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5.xml" ContentType="application/vnd.openxmlformats-officedocument.drawingml.chartshap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6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7.xml" ContentType="application/vnd.openxmlformats-officedocument.drawingml.chartshap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omments4.xml" ContentType="application/vnd.openxmlformats-officedocument.spreadsheetml.comments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BTS\"/>
    </mc:Choice>
  </mc:AlternateContent>
  <bookViews>
    <workbookView xWindow="0" yWindow="300" windowWidth="15360" windowHeight="5730" tabRatio="839" firstSheet="3" activeTab="4"/>
  </bookViews>
  <sheets>
    <sheet name="Controls" sheetId="1" r:id="rId1"/>
    <sheet name="SIs" sheetId="12" r:id="rId2"/>
    <sheet name="VTdd" sheetId="58" r:id="rId3"/>
    <sheet name="Packs" sheetId="33" r:id="rId4"/>
    <sheet name="tlIntro" sheetId="2" r:id="rId5"/>
    <sheet name="Company" sheetId="32" r:id="rId6"/>
    <sheet name="tlCh1A" sheetId="20" r:id="rId7"/>
    <sheet name="tlCh1B" sheetId="51" r:id="rId8"/>
    <sheet name="tlCh2A" sheetId="86" r:id="rId9"/>
    <sheet name="tlCh2B" sheetId="87" r:id="rId10"/>
    <sheet name="tlCh3A" sheetId="88" r:id="rId11"/>
    <sheet name="tlCh3B" sheetId="89" r:id="rId12"/>
    <sheet name="tlCh4A" sheetId="90" r:id="rId13"/>
    <sheet name="tlCh4B" sheetId="91" r:id="rId14"/>
    <sheet name="OutComp" sheetId="73" r:id="rId15"/>
    <sheet name="OutCh1" sheetId="31" r:id="rId16"/>
    <sheet name="OutCh2" sheetId="83" r:id="rId17"/>
    <sheet name="OutCh3" sheetId="84" r:id="rId18"/>
    <sheet name="OutCh4" sheetId="85" r:id="rId19"/>
    <sheet name="OutDashboard" sheetId="30" r:id="rId20"/>
    <sheet name="Dec" sheetId="4" r:id="rId21"/>
    <sheet name="Calc" sheetId="14" r:id="rId22"/>
    <sheet name="FinCalc" sheetId="35" r:id="rId23"/>
    <sheet name="FinPNL" sheetId="36" r:id="rId24"/>
    <sheet name="FinBSOpen" sheetId="37" r:id="rId25"/>
    <sheet name="FinBSClose" sheetId="38" r:id="rId26"/>
    <sheet name="FinCF" sheetId="39" r:id="rId27"/>
    <sheet name="Cbal" sheetId="8" r:id="rId28"/>
    <sheet name="Obal" sheetId="7" r:id="rId29"/>
    <sheet name="adj" sheetId="24" r:id="rId30"/>
    <sheet name="param" sheetId="23" r:id="rId31"/>
    <sheet name="Glossary" sheetId="15" r:id="rId32"/>
    <sheet name="Data" sheetId="27" r:id="rId33"/>
    <sheet name="Sheet1" sheetId="96" state="hidden" r:id="rId34"/>
  </sheets>
  <functionGroups builtInGroupCount="18"/>
  <definedNames>
    <definedName name="_Order1" hidden="1">255</definedName>
    <definedName name="_Order2" hidden="1">255</definedName>
    <definedName name="adj_CostCode">adj!$B$5</definedName>
    <definedName name="adj_FTECode">adj!$B$4</definedName>
    <definedName name="adj_IndexTeam">adj!$E$2:$E$2</definedName>
    <definedName name="adj_RepCostCode">adj!$B$6</definedName>
    <definedName name="adj_RepMTUCostCode">adj!$B$7</definedName>
    <definedName name="calcCh1AddSlotAvailable">Calc!$E$5661:$E$5661</definedName>
    <definedName name="calcCh1AnalyticsEmp1Req">Calc!$E$7605:$E$7605</definedName>
    <definedName name="calcCh1AnalyticsExp">Calc!$E$7606:$E$7606</definedName>
    <definedName name="calcCh1AnalyticsNumberBought">Calc!$E$7603:$E$7603</definedName>
    <definedName name="calcCh1CondShare">Calc!$E$5088:$E$5088</definedName>
    <definedName name="calcCh1CustProfitTot">Calc!$E$3261:$E$3261</definedName>
    <definedName name="calcCh1MarkPlan">Calc!$E$5032:$E$5032</definedName>
    <definedName name="calcCh1MarkPlanEmp1Req">Calc!$E$5034:$E$5034</definedName>
    <definedName name="calcCh1MarkPlanExp">Calc!$E$5035:$E$5035</definedName>
    <definedName name="calcCh1MarkPlanSeg1Fit">Calc!$E$5037:$E$5037</definedName>
    <definedName name="calcCh1MarkPlanSeg2Fit">Calc!$E$5038:$E$5038</definedName>
    <definedName name="calcCh1MarkPlanSeg3Fit">Calc!$E$5039:$E$5039</definedName>
    <definedName name="calcCh1MarkPlanSeg4Fit">Calc!$E$5040:$E$5040</definedName>
    <definedName name="calcCh1NewSlots">Calc!$E$5657:$E$5657</definedName>
    <definedName name="calcCh1Prod1AvgCustPrice">Calc!$E$2031:$E$2031</definedName>
    <definedName name="calcCh1Prod1AvgPrice">Calc!$E$2028:$E$2028</definedName>
    <definedName name="calcCh1Prod1AvgPricePromo1">Calc!$E$2034:$E$2034</definedName>
    <definedName name="calcCh1Prod1AvgPricePromo2">Calc!$E$2036:$E$2036</definedName>
    <definedName name="calcCh1Prod1AvgPromoPrice">Calc!$E$2038:$E$2038</definedName>
    <definedName name="calcCh1Prod1CustProfitTot">Calc!$E$2754:$E$2754</definedName>
    <definedName name="calcCh1Prod1PromoROIavg">Calc!$E$8143:$E$8143</definedName>
    <definedName name="calcCh1Prod1PromoRoiMax">Calc!$E$8088:$E$8088</definedName>
    <definedName name="calcCh1Prod1PromoRoiMaxIndex">Calc!$E$8091:$E$8091</definedName>
    <definedName name="calcCh1Prod1PromoRoiMin">Calc!$E$8087:$E$8087</definedName>
    <definedName name="calcCh1Prod1PromoRoiMinIndex">Calc!$E$8090:$E$8090</definedName>
    <definedName name="calcCh1Prod1Seg1AssortmentFit">Calc!$E$4580:$E$4580</definedName>
    <definedName name="calcCh1Prod1Seg2AssortmentFit">Calc!$E$4587:$E$4587</definedName>
    <definedName name="calcCh1Prod1Seg3AssortmentFit">Calc!$E$4594:$E$4594</definedName>
    <definedName name="calcCh1Prod1Seg4AssortmentFit">Calc!$E$4601:$E$4601</definedName>
    <definedName name="calcCh1Prod1Slot1Active">Calc!$E$30:$E$30</definedName>
    <definedName name="calcCh1Prod1Slot1AvgPrice">Calc!$E$2003:$E$2003</definedName>
    <definedName name="calcCh1Prod1Slot1AvgSalePrice">Calc!$E$1595:$E$1595</definedName>
    <definedName name="calcCh1Prod1Slot1BaseCustProfPWeek">Calc!$E$6183:$E$6183</definedName>
    <definedName name="calcCh1Prod1Slot1BaseGPaLPUnit">Calc!$E$6181:$E$6181</definedName>
    <definedName name="calcCh1Prod1Slot1BaseGPaLPWeek">Calc!$E$6182:$E$6182</definedName>
    <definedName name="calcCh1Prod1Slot1BaseVolPWeek">Calc!$E$6180:$E$6180</definedName>
    <definedName name="calcCh1Prod1Slot1ChVolShare">Calc!$E$7851:$E$7851</definedName>
    <definedName name="calcCh1Prod1Slot1CustPrice">Calc!$E$1587:$E$1587</definedName>
    <definedName name="calcCh1Prod1Slot1CustProfitBase">Calc!$E$2495:$E$2495</definedName>
    <definedName name="calcCh1Prod1Slot1CustProfitBaseMarginAbs">Calc!$E$2491:$E$2491</definedName>
    <definedName name="calcCh1Prod1Slot1CustProfitBaseMarginPct">Calc!$E$2492:$E$2492</definedName>
    <definedName name="calcCh1Prod1Slot1CustProfitBaseVol">Calc!$E$2493:$E$2493</definedName>
    <definedName name="calcCh1Prod1Slot1CustProfitPromo1">Calc!$E$2501:$E$2501</definedName>
    <definedName name="calcCh1Prod1Slot1CustProfitPromo1MarginAbs">Calc!$E$2498:$E$2498</definedName>
    <definedName name="calcCh1Prod1Slot1CustProfitPromo1Vol">Calc!$E$2499:$E$2499</definedName>
    <definedName name="calcCh1Prod1Slot1CustProfitPromo2">Calc!$E$2507:$E$2507</definedName>
    <definedName name="calcCh1Prod1Slot1CustProfitPromo2MarginAbs">Calc!$E$2504:$E$2504</definedName>
    <definedName name="calcCh1Prod1Slot1CustProfitPromo2Vol">Calc!$E$2505:$E$2505</definedName>
    <definedName name="calcCh1Prod1Slot1CustProfitTot">Calc!$E$2509:$E$2509</definedName>
    <definedName name="CalcCh1Prod1Slot1Depreciation">Calc!$E$3590:$E$3590</definedName>
    <definedName name="CalcCh1Prod1Slot1DepreciationPUnit">Calc!$E$3662:$E$3662</definedName>
    <definedName name="CalcCh1Prod1Slot1ManufacturingCostPUnit">Calc!$E$3515:$E$3515</definedName>
    <definedName name="calcCh1Prod1Slot1NoPromoPricePLitre">Calc!$E$2001:$E$2001</definedName>
    <definedName name="calcCh1Prod1Slot1NoPromoVol">Calc!$E$2000:$E$2000</definedName>
    <definedName name="calcCh1Prod1Slot1Pack">Calc!$E$3752:$E$3752</definedName>
    <definedName name="calcCh1Prod1Slot1PackFitBase">Calc!$E$3756:$E$3756</definedName>
    <definedName name="calcCh1Prod1Slot1PriceDif">Calc!$E$8017:$E$8017</definedName>
    <definedName name="calcCh1Prod1Slot1Promo1CustPrice">Calc!$E$1591:$E$1591</definedName>
    <definedName name="calcCh1Prod1Slot1Promo1CustProfPWeek">Calc!$E$6203:$E$6203</definedName>
    <definedName name="calcCh1Prod1Slot1Promo1CustUplift">Calc!$E$6203:$E$6203</definedName>
    <definedName name="calcCh1Prod1Slot1Promo1GPaLPUnit">Calc!$E$6191:$E$6191</definedName>
    <definedName name="calcCh1Prod1Slot1Promo1GPaLPWeek">Calc!$E$6192:$E$6192</definedName>
    <definedName name="calcCh1Prod1Slot1Promo1GPaLUplift">Calc!$E$6193:$E$6193</definedName>
    <definedName name="calcCh1Prod1Slot1Promo1Plan">Calc!$E$237:$E$237</definedName>
    <definedName name="calcCh1Prod1Slot1Promo1PlanEmp1Req">Calc!$E$5846:$E$5846</definedName>
    <definedName name="calcCh1Prod1Slot1Promo1PlanExp">Calc!$E$5847:$E$5847</definedName>
    <definedName name="calcCh1Prod1Slot1Promo1PlanShare">Calc!$E$1590:$E$1590</definedName>
    <definedName name="calcCh1Prod1Slot1Promo1PricePLitre">Calc!$E$1997:$E$1997</definedName>
    <definedName name="calcCh1Prod1Slot1Promo1ROI">Calc!$E$6198:$E$6198</definedName>
    <definedName name="calcCh1Prod1Slot1Promo1Seg1Efficiency">Calc!$E$243:$E$243</definedName>
    <definedName name="calcCh1Prod1Slot1Promo1Seg1Fit">Calc!$E$242:$E$242</definedName>
    <definedName name="calcCh1Prod1Slot1Promo1Seg1Share">Calc!$E$244:$E$244</definedName>
    <definedName name="calcCh1Prod1Slot1Promo1Seg1ShareBase">Calc!$E$244:$E$244</definedName>
    <definedName name="calcCh1Prod1Slot1Promo1Seg2Efficiency">Calc!$E$249:$E$249</definedName>
    <definedName name="calcCh1Prod1Slot1Promo1Seg2Fit">Calc!$E$248:$E$248</definedName>
    <definedName name="calcCh1Prod1Slot1Promo1Seg2Share">Calc!$E$250:$E$250</definedName>
    <definedName name="calcCh1Prod1Slot1Promo1Seg2ShareBase">Calc!$E$250:$E$250</definedName>
    <definedName name="calcCh1Prod1Slot1Promo1Seg3Efficiency">Calc!$E$255:$E$255</definedName>
    <definedName name="calcCh1Prod1Slot1Promo1Seg3Fit">Calc!$E$254:$E$254</definedName>
    <definedName name="calcCh1Prod1Slot1Promo1Seg3Share">Calc!$E$256:$E$256</definedName>
    <definedName name="calcCh1Prod1Slot1Promo1Seg3ShareBase">Calc!$E$256:$E$256</definedName>
    <definedName name="calcCh1Prod1Slot1Promo1Seg4Efficiency">Calc!$E$261:$E$261</definedName>
    <definedName name="calcCh1Prod1Slot1Promo1Seg4Fit">Calc!$E$260:$E$260</definedName>
    <definedName name="calcCh1Prod1Slot1Promo1Seg4Share">Calc!$E$262:$E$262</definedName>
    <definedName name="calcCh1Prod1Slot1Promo1Seg4ShareBase">Calc!$E$262:$E$262</definedName>
    <definedName name="calcCh1Prod1Slot1Promo1Vol">Calc!$E$1996:$E$1996</definedName>
    <definedName name="calcCh1Prod1Slot1Promo1VolPWeek">Calc!$E$6187:$E$6187</definedName>
    <definedName name="calcCh1Prod1Slot1Promo1VolUplift">Calc!$E$6188:$E$6188</definedName>
    <definedName name="calcCh1Prod1Slot1Promo1Weeks">Calc!$E$238:$E$238</definedName>
    <definedName name="calcCh1Prod1Slot1Promo2CustPrice">Calc!$E$1594:$E$1594</definedName>
    <definedName name="calcCh1Prod1Slot1Promo2CustProfPWeek">Calc!$E$6223:$E$6223</definedName>
    <definedName name="calcCh1Prod1Slot1Promo2CustUplift">Calc!$E$6223:$E$6223</definedName>
    <definedName name="calcCh1Prod1Slot1Promo2GPaLPUnit">Calc!$E$6211:$E$6211</definedName>
    <definedName name="calcCh1Prod1Slot1Promo2GPaLPWeek">Calc!$E$6212:$E$6212</definedName>
    <definedName name="calcCh1Prod1Slot1Promo2GPaLUplift">Calc!$E$6213:$E$6213</definedName>
    <definedName name="calcCh1Prod1Slot1Promo2Plan">Calc!$E$264:$E$264</definedName>
    <definedName name="calcCh1Prod1Slot1Promo2PlanEmp1Req">Calc!$E$5923:$E$5923</definedName>
    <definedName name="calcCh1Prod1Slot1Promo2PlanExp">Calc!$E$5924:$E$5924</definedName>
    <definedName name="calcCh1Prod1Slot1Promo2PlanShare">Calc!$E$1593:$E$1593</definedName>
    <definedName name="calcCh1Prod1Slot1Promo2PricePLitre">Calc!$E$1999:$E$1999</definedName>
    <definedName name="calcCh1Prod1Slot1Promo2ROI">Calc!$E$6218:$E$6218</definedName>
    <definedName name="calcCh1Prod1Slot1Promo2Seg1Efficiency">Calc!$E$270:$E$270</definedName>
    <definedName name="calcCh1Prod1Slot1Promo2Seg1Fit">Calc!$E$269:$E$269</definedName>
    <definedName name="calcCh1Prod1Slot1Promo2Seg1Share">Calc!$E$271:$E$271</definedName>
    <definedName name="calcCh1Prod1Slot1Promo2Seg1ShareBase">Calc!$E$271:$E$271</definedName>
    <definedName name="calcCh1Prod1Slot1Promo2Seg2Efficiency">Calc!$E$276:$E$276</definedName>
    <definedName name="calcCh1Prod1Slot1Promo2Seg2Fit">Calc!$E$275:$E$275</definedName>
    <definedName name="calcCh1Prod1Slot1Promo2Seg2Share">Calc!$E$277:$E$277</definedName>
    <definedName name="calcCh1Prod1Slot1Promo2Seg2ShareBase">Calc!$E$277:$E$277</definedName>
    <definedName name="calcCh1Prod1Slot1Promo2Seg3Efficiency">Calc!$E$282:$E$282</definedName>
    <definedName name="calcCh1Prod1Slot1Promo2Seg3Fit">Calc!$E$281:$E$281</definedName>
    <definedName name="calcCh1Prod1Slot1Promo2Seg3Share">Calc!$E$283:$E$283</definedName>
    <definedName name="calcCh1Prod1Slot1Promo2Seg3ShareBase">Calc!$E$283:$E$283</definedName>
    <definedName name="calcCh1Prod1Slot1Promo2Seg4Efficiency">Calc!$E$288:$E$288</definedName>
    <definedName name="calcCh1Prod1Slot1Promo2Seg4Fit">Calc!$E$287:$E$287</definedName>
    <definedName name="calcCh1Prod1Slot1Promo2Seg4Share">Calc!$E$289:$E$289</definedName>
    <definedName name="calcCh1Prod1Slot1Promo2Seg4ShareBase">Calc!$E$289:$E$289</definedName>
    <definedName name="calcCh1Prod1Slot1Promo2Vol">Calc!$E$1998:$E$1998</definedName>
    <definedName name="calcCh1Prod1Slot1Promo2VolPWeek">Calc!$E$6207:$E$6207</definedName>
    <definedName name="calcCh1Prod1Slot1Promo2VolUplift">Calc!$E$6208:$E$6208</definedName>
    <definedName name="calcCh1Prod1Slot1Promo2Weeks">Calc!$E$265:$E$265</definedName>
    <definedName name="calcCh1Prod1Slot1Seg1PackFit">Calc!$E$3760:$E$3760</definedName>
    <definedName name="calcCh1Prod1Slot1Seg2PackFit">Calc!$E$3762:$E$3762</definedName>
    <definedName name="calcCh1Prod1Slot1Seg3PackFit">Calc!$E$3764:$E$3764</definedName>
    <definedName name="calcCh1Prod1Slot1Seg4PackFit">Calc!$E$3766:$E$3766</definedName>
    <definedName name="calcCh1Prod1Slot1ShelfPrice">Calc!$E$1588:$E$1588</definedName>
    <definedName name="calcCh1Prod1Slot1TotalVolSold">Calc!$E$2002:$E$2002</definedName>
    <definedName name="calcCh1Prod1Slot1ValDrivExp">Calc!$E$5147:$E$5147</definedName>
    <definedName name="calcCh1Prod1Slot1VolForecastSlot">Calc!$E$164:$E$164</definedName>
    <definedName name="calcCh1Prod1Slot1WD">Calc!$E$5389:$E$5389</definedName>
    <definedName name="calcCh1Prod1Slot2Active">Calc!$E$31:$E$31</definedName>
    <definedName name="calcCh1Prod1Slot2AvgPrice">Calc!$E$2013:$E$2013</definedName>
    <definedName name="calcCh1Prod1Slot2AvgSalePrice">Calc!$E$1606:$E$1606</definedName>
    <definedName name="calcCh1Prod1Slot2BaseCustProfPWeek">Calc!$E$6229:$E$6229</definedName>
    <definedName name="calcCh1Prod1Slot2BaseCustUplift">Calc!$E$6229:$E$6229</definedName>
    <definedName name="calcCh1Prod1Slot2BaseGPaLPUnit">Calc!$E$6227:$E$6227</definedName>
    <definedName name="calcCh1Prod1Slot2BaseGPaLPWeek">Calc!$E$6228:$E$6228</definedName>
    <definedName name="calcCh1Prod1Slot2BaseVolPWeek">Calc!$E$6226:$E$6226</definedName>
    <definedName name="calcCh1Prod1Slot2ChVolShare">Calc!$E$7852:$E$7852</definedName>
    <definedName name="calcCh1Prod1Slot2CustPrice">Calc!$E$1598:$E$1598</definedName>
    <definedName name="calcCh1Prod1Slot2CustProfitBase">Calc!$E$2517:$E$2517</definedName>
    <definedName name="calcCh1Prod1Slot2CustProfitBaseMarginAbs">Calc!$E$2513:$E$2513</definedName>
    <definedName name="calcCh1Prod1Slot2CustProfitBaseMarginPct">Calc!$E$2514:$E$2514</definedName>
    <definedName name="calcCh1Prod1Slot2CustProfitBaseVol">Calc!$E$2515:$E$2515</definedName>
    <definedName name="calcCh1Prod1Slot2CustProfitPromo1">Calc!$E$2523:$E$2523</definedName>
    <definedName name="calcCh1Prod1Slot2CustProfitPromo1MarginAbs">Calc!$E$2520:$E$2520</definedName>
    <definedName name="calcCh1Prod1Slot2CustProfitPromo1Vol">Calc!$E$2521:$E$2521</definedName>
    <definedName name="calcCh1Prod1Slot2CustProfitPromo2">Calc!$E$2529:$E$2529</definedName>
    <definedName name="calcCh1Prod1Slot2CustProfitPromo2MarginAbs">Calc!$E$2526:$E$2526</definedName>
    <definedName name="calcCh1Prod1Slot2CustProfitPromo2Vol">Calc!$E$2527:$E$2527</definedName>
    <definedName name="calcCh1Prod1Slot2CustProfitTot">Calc!$E$2531:$E$2531</definedName>
    <definedName name="CalcCh1Prod1Slot2Depreciation">Calc!$E$3591:$E$3591</definedName>
    <definedName name="CalcCh1Prod1Slot2DepreciationPUnit">Calc!$E$3663:$E$3663</definedName>
    <definedName name="CalcCh1Prod1Slot2ManufacturingCostPUnit">Calc!$E$3516:$E$3516</definedName>
    <definedName name="calcCh1Prod1Slot2NoPromoPricePLitre">Calc!$E$2011:$E$2011</definedName>
    <definedName name="calcCh1Prod1Slot2NoPromoVol">Calc!$E$2010:$E$2010</definedName>
    <definedName name="calcCh1Prod1Slot2Pack">Calc!$E$3769:$E$3769</definedName>
    <definedName name="calcCh1Prod1Slot2PackFitBase">Calc!$E$3773:$E$3773</definedName>
    <definedName name="calcCh1Prod1Slot2PriceDif">Calc!$E$8018:$E$8018</definedName>
    <definedName name="calcCh1Prod1Slot2Promo1CustPrice">Calc!$E$1602:$E$1602</definedName>
    <definedName name="calcCh1Prod1Slot2Promo1CustProfPWeek">Calc!$E$6249:$E$6249</definedName>
    <definedName name="calcCh1Prod1Slot2Promo1CustUplift">Calc!$E$6249:$E$6249</definedName>
    <definedName name="calcCh1Prod1Slot2Promo1GPaLPUnit">Calc!$E$6237:$E$6237</definedName>
    <definedName name="calcCh1Prod1Slot2Promo1GPaLPWeek">Calc!$E$6238:$E$6238</definedName>
    <definedName name="calcCh1Prod1Slot2Promo1GPaLUplift">Calc!$E$6239:$E$6239</definedName>
    <definedName name="calcCh1Prod1Slot2Promo1Plan">Calc!$E$292:$E$292</definedName>
    <definedName name="calcCh1Prod1Slot2Promo1PlanEmp1Req">Calc!$E$5852:$E$5852</definedName>
    <definedName name="calcCh1Prod1Slot2Promo1PlanExp">Calc!$E$5853:$E$5853</definedName>
    <definedName name="calcCh1Prod1Slot2Promo1PlanShare">Calc!$E$1601:$E$1601</definedName>
    <definedName name="calcCh1Prod1Slot2Promo1PricePLitre">Calc!$E$2007:$E$2007</definedName>
    <definedName name="calcCh1Prod1Slot2Promo1ROI">Calc!$E$6244:$E$6244</definedName>
    <definedName name="calcCh1Prod1Slot2Promo1Seg1Efficiency">Calc!$E$298:$E$298</definedName>
    <definedName name="calcCh1Prod1Slot2Promo1Seg1Fit">Calc!$E$297:$E$297</definedName>
    <definedName name="calcCh1Prod1Slot2Promo1Seg1Share">Calc!$E$299:$E$299</definedName>
    <definedName name="calcCh1Prod1Slot2Promo1Seg1ShareBase">Calc!$E$299:$E$299</definedName>
    <definedName name="calcCh1Prod1Slot2Promo1Seg2Efficiency">Calc!$E$304:$E$304</definedName>
    <definedName name="calcCh1Prod1Slot2Promo1Seg2Fit">Calc!$E$303:$E$303</definedName>
    <definedName name="calcCh1Prod1Slot2Promo1Seg2Share">Calc!$E$305:$E$305</definedName>
    <definedName name="calcCh1Prod1Slot2Promo1Seg2ShareBase">Calc!$E$305:$E$305</definedName>
    <definedName name="calcCh1Prod1Slot2Promo1Seg3Efficiency">Calc!$E$310:$E$310</definedName>
    <definedName name="calcCh1Prod1Slot2Promo1Seg3Fit">Calc!$E$309:$E$309</definedName>
    <definedName name="calcCh1Prod1Slot2Promo1Seg3Share">Calc!$E$311:$E$311</definedName>
    <definedName name="calcCh1Prod1Slot2Promo1Seg3ShareBase">Calc!$E$311:$E$311</definedName>
    <definedName name="calcCh1Prod1Slot2Promo1Seg4Efficiency">Calc!$E$316:$E$316</definedName>
    <definedName name="calcCh1Prod1Slot2Promo1Seg4Fit">Calc!$E$315:$E$315</definedName>
    <definedName name="calcCh1Prod1Slot2Promo1Seg4Share">Calc!$E$317:$E$317</definedName>
    <definedName name="calcCh1Prod1Slot2Promo1Seg4ShareBase">Calc!$E$317:$E$317</definedName>
    <definedName name="calcCh1Prod1Slot2Promo1Share">Calc!$E$250:$E$250</definedName>
    <definedName name="calcCh1Prod1Slot2Promo1Vol">Calc!$E$2006:$E$2006</definedName>
    <definedName name="calcCh1Prod1Slot2Promo1VolPWeek">Calc!$E$6233:$E$6233</definedName>
    <definedName name="calcCh1Prod1Slot2Promo1VolUplift">Calc!$E$6234:$E$6234</definedName>
    <definedName name="calcCh1Prod1Slot2Promo1Weeks">Calc!$E$293:$E$293</definedName>
    <definedName name="calcCh1Prod1Slot2Promo2CustPrice">Calc!$E$1605:$E$1605</definedName>
    <definedName name="calcCh1Prod1Slot2Promo2CustProfPWeek">Calc!$E$6269:$E$6269</definedName>
    <definedName name="calcCh1Prod1Slot2Promo2CustUplift">Calc!$E$6269:$E$6269</definedName>
    <definedName name="calcCh1Prod1Slot2Promo2GPaLPUnit">Calc!$E$6257:$E$6257</definedName>
    <definedName name="calcCh1Prod1Slot2Promo2GPaLPWeek">Calc!$E$6258:$E$6258</definedName>
    <definedName name="calcCh1Prod1Slot2Promo2GPaLUplift">Calc!$E$6259:$E$6259</definedName>
    <definedName name="calcCh1Prod1Slot2Promo2Plan">Calc!$E$319:$E$319</definedName>
    <definedName name="calcCh1Prod1Slot2Promo2PlanEmp1Req">Calc!$E$5929:$E$5929</definedName>
    <definedName name="calcCh1Prod1Slot2Promo2PlanExp">Calc!$E$5930:$E$5930</definedName>
    <definedName name="calcCh1Prod1Slot2Promo2PlanShare">Calc!$E$1604:$E$1604</definedName>
    <definedName name="calcCh1Prod1Slot2Promo2PricePLitre">Calc!$E$2009:$E$2009</definedName>
    <definedName name="calcCh1Prod1Slot2Promo2ROI">Calc!$E$6264:$E$6264</definedName>
    <definedName name="calcCh1Prod1Slot2Promo2Seg1Efficiency">Calc!$E$325:$E$325</definedName>
    <definedName name="calcCh1Prod1Slot2Promo2Seg1Fit">Calc!$E$324:$E$324</definedName>
    <definedName name="calcCh1Prod1Slot2Promo2Seg1Share">Calc!$E$326:$E$326</definedName>
    <definedName name="calcCh1Prod1Slot2Promo2Seg1ShareBase">Calc!$E$326:$E$326</definedName>
    <definedName name="calcCh1Prod1Slot2Promo2Seg2Efficiency">Calc!$E$331:$E$331</definedName>
    <definedName name="calcCh1Prod1Slot2Promo2Seg2Fit">Calc!$E$330:$E$330</definedName>
    <definedName name="calcCh1Prod1Slot2Promo2Seg2Share">Calc!$E$332:$E$332</definedName>
    <definedName name="calcCh1Prod1Slot2Promo2Seg2ShareBase">Calc!$E$332:$E$332</definedName>
    <definedName name="calcCh1Prod1Slot2Promo2Seg3Efficiency">Calc!$E$337:$E$337</definedName>
    <definedName name="calcCh1Prod1Slot2Promo2Seg3Fit">Calc!$E$336:$E$336</definedName>
    <definedName name="calcCh1Prod1Slot2Promo2Seg3Share">Calc!$E$338:$E$338</definedName>
    <definedName name="calcCh1Prod1Slot2Promo2Seg3ShareBase">Calc!$E$338:$E$338</definedName>
    <definedName name="calcCh1Prod1Slot2Promo2Seg4Efficiency">Calc!$E$343:$E$343</definedName>
    <definedName name="calcCh1Prod1Slot2Promo2Seg4Fit">Calc!$E$342:$E$342</definedName>
    <definedName name="calcCh1Prod1Slot2Promo2Seg4Share">Calc!$E$344:$E$344</definedName>
    <definedName name="calcCh1Prod1Slot2Promo2Seg4ShareBase">Calc!$E$344:$E$344</definedName>
    <definedName name="calcCh1Prod1Slot2Promo2Vol">Calc!$E$2008:$E$2008</definedName>
    <definedName name="calcCh1Prod1Slot2Promo2VolPWeek">Calc!$E$6253:$E$6253</definedName>
    <definedName name="calcCh1Prod1Slot2Promo2VolUplift">Calc!$E$6254:$E$6254</definedName>
    <definedName name="calcCh1Prod1Slot2Promo2Weeks">Calc!$E$320:$E$320</definedName>
    <definedName name="calcCh1Prod1Slot2Seg1PackFit">Calc!$E$3777:$E$3777</definedName>
    <definedName name="calcCh1Prod1Slot2Seg2PackFit">Calc!$E$3779:$E$3779</definedName>
    <definedName name="calcCh1Prod1Slot2Seg3PackFit">Calc!$E$3781:$E$3781</definedName>
    <definedName name="calcCh1Prod1Slot2Seg4PackFit">Calc!$E$3783:$E$3783</definedName>
    <definedName name="calcCh1Prod1Slot2ShelfPrice">Calc!$E$1599:$E$1599</definedName>
    <definedName name="calcCh1Prod1Slot2TotalVolSold">Calc!$E$2012:$E$2012</definedName>
    <definedName name="calcCh1Prod1Slot2ValDrivExp">Calc!$E$5148:$E$5148</definedName>
    <definedName name="calcCh1Prod1Slot2VolForecastSlot">Calc!$E$165:$E$165</definedName>
    <definedName name="calcCh1Prod1Slot2WD">Calc!$E$5393:$E$5393</definedName>
    <definedName name="calcCh1Prod1Slot3Active">Calc!$E$32:$E$32</definedName>
    <definedName name="calcCh1Prod1Slot3AvgPrice">Calc!$E$2023:$E$2023</definedName>
    <definedName name="calcCh1Prod1Slot3AvgSalePrice">Calc!$E$1617:$E$1617</definedName>
    <definedName name="calcCh1Prod1Slot3BaseCustProfPWeek">Calc!$E$6275:$E$6275</definedName>
    <definedName name="calcCh1Prod1Slot3BaseCustUplift">Calc!$E$6275:$E$6275</definedName>
    <definedName name="calcCh1Prod1Slot3BaseGPaLPUnit">Calc!$E$6273:$E$6273</definedName>
    <definedName name="calcCh1Prod1Slot3BaseGPaLPWeek">Calc!$E$6274:$E$6274</definedName>
    <definedName name="calcCh1Prod1Slot3BaseVolPWeek">Calc!$E$6272:$E$6272</definedName>
    <definedName name="calcCh1Prod1Slot3ChVolShare">Calc!$E$7853:$E$7853</definedName>
    <definedName name="calcCh1Prod1Slot3CustPrice">Calc!$E$1609:$E$1609</definedName>
    <definedName name="calcCh1Prod1Slot3CustProfitBase">Calc!$E$2539:$E$2539</definedName>
    <definedName name="calcCh1Prod1Slot3CustProfitBaseMarginAbs">Calc!$E$2535:$E$2535</definedName>
    <definedName name="calcCh1Prod1Slot3CustProfitBaseMarginPct">Calc!$E$2536:$E$2536</definedName>
    <definedName name="calcCh1Prod1Slot3CustProfitBaseVol">Calc!$E$2537:$E$2537</definedName>
    <definedName name="calcCh1Prod1Slot3CustProfitPromo1">Calc!$E$2545:$E$2545</definedName>
    <definedName name="calcCh1Prod1Slot3CustProfitPromo1MarginAbs">Calc!$E$2542:$E$2542</definedName>
    <definedName name="calcCh1Prod1Slot3CustProfitPromo1Vol">Calc!$E$2543:$E$2543</definedName>
    <definedName name="calcCh1Prod1Slot3CustProfitPromo2">Calc!$E$2551:$E$2551</definedName>
    <definedName name="calcCh1Prod1Slot3CustProfitPromo2MarginAbs">Calc!$E$2548:$E$2548</definedName>
    <definedName name="calcCh1Prod1Slot3CustProfitPromo2Vol">Calc!$E$2549:$E$2549</definedName>
    <definedName name="calcCh1Prod1Slot3CustProfitTot">Calc!$E$2553:$E$2553</definedName>
    <definedName name="CalcCh1Prod1Slot3Depreciation">Calc!$E$3592:$E$3592</definedName>
    <definedName name="CalcCh1Prod1Slot3DepreciationPUnit">Calc!$E$3664:$E$3664</definedName>
    <definedName name="CalcCh1Prod1Slot3ManufacturingCostPUnit">Calc!$E$3517:$E$3517</definedName>
    <definedName name="calcCh1Prod1Slot3NoPromoPricePLitre">Calc!$E$2021:$E$2021</definedName>
    <definedName name="calcCh1Prod1Slot3NoPromoVol">Calc!$E$2020:$E$2020</definedName>
    <definedName name="calcCh1Prod1Slot3Pack">Calc!$E$3786:$E$3786</definedName>
    <definedName name="calcCh1Prod1Slot3PackFitBase">Calc!$E$3790:$E$3790</definedName>
    <definedName name="calcCh1Prod1Slot3PriceDif">Calc!$E$8019:$E$8019</definedName>
    <definedName name="calcCh1Prod1Slot3Promo1CustPrice">Calc!$E$1613:$E$1613</definedName>
    <definedName name="calcCh1Prod1Slot3Promo1CustProfPWeek">Calc!$E$6295:$E$6295</definedName>
    <definedName name="calcCh1Prod1Slot3Promo1CustUplift">Calc!$E$6295:$E$6295</definedName>
    <definedName name="calcCh1Prod1Slot3Promo1GPaLPUnit">Calc!$E$6283:$E$6283</definedName>
    <definedName name="calcCh1Prod1Slot3Promo1GPaLPWeek">Calc!$E$6284:$E$6284</definedName>
    <definedName name="calcCh1Prod1Slot3Promo1GPaLUplift">Calc!$E$6285:$E$6285</definedName>
    <definedName name="calcCh1Prod1Slot3Promo1Plan">Calc!$E$347:$E$347</definedName>
    <definedName name="calcCh1Prod1Slot3Promo1PlanEmp1Req">Calc!$E$5858:$E$5858</definedName>
    <definedName name="calcCh1Prod1Slot3Promo1PlanExp">Calc!$E$5859:$E$5859</definedName>
    <definedName name="calcCh1Prod1Slot3Promo1PlanShare">Calc!$E$1612:$E$1612</definedName>
    <definedName name="calcCh1Prod1Slot3Promo1PricePLitre">Calc!$E$2017:$E$2017</definedName>
    <definedName name="calcCh1Prod1Slot3Promo1ROI">Calc!$E$6290:$E$6290</definedName>
    <definedName name="calcCh1Prod1Slot3Promo1Seg1Efficiency">Calc!$E$353:$E$353</definedName>
    <definedName name="calcCh1Prod1Slot3Promo1Seg1Fit">Calc!$E$352:$E$352</definedName>
    <definedName name="calcCh1Prod1Slot3Promo1Seg1Share">Calc!$E$354:$E$354</definedName>
    <definedName name="calcCh1Prod1Slot3Promo1Seg1ShareBase">Calc!$E$354:$E$354</definedName>
    <definedName name="calcCh1Prod1Slot3Promo1Seg2Efficiency">Calc!$E$359:$E$359</definedName>
    <definedName name="calcCh1Prod1Slot3Promo1Seg2Fit">Calc!$E$358:$E$358</definedName>
    <definedName name="calcCh1Prod1Slot3Promo1Seg2Share">Calc!$E$360:$E$360</definedName>
    <definedName name="calcCh1Prod1Slot3Promo1Seg2ShareBase">Calc!$E$360:$E$360</definedName>
    <definedName name="calcCh1Prod1Slot3Promo1Seg3Efficiency">Calc!$E$365:$E$365</definedName>
    <definedName name="calcCh1Prod1Slot3Promo1Seg3Fit">Calc!$E$364:$E$364</definedName>
    <definedName name="calcCh1Prod1Slot3Promo1Seg3Share">Calc!$E$366:$E$366</definedName>
    <definedName name="calcCh1Prod1Slot3Promo1Seg3ShareBase">Calc!$E$366:$E$366</definedName>
    <definedName name="calcCh1Prod1Slot3Promo1Seg4Efficiency">Calc!$E$371:$E$371</definedName>
    <definedName name="calcCh1Prod1Slot3Promo1Seg4Fit">Calc!$E$370:$E$370</definedName>
    <definedName name="calcCh1Prod1Slot3Promo1Seg4Share">Calc!$E$372:$E$372</definedName>
    <definedName name="calcCh1Prod1Slot3Promo1Seg4ShareBase">Calc!$E$372:$E$372</definedName>
    <definedName name="calcCh1Prod1Slot3Promo1Vol">Calc!$E$2016:$E$2016</definedName>
    <definedName name="calcCh1Prod1Slot3Promo1VolPWeek">Calc!$E$6279:$E$6279</definedName>
    <definedName name="calcCh1Prod1Slot3Promo1VolUplift">Calc!$E$6280:$E$6280</definedName>
    <definedName name="calcCh1Prod1Slot3Promo1Weeks">Calc!$E$348:$E$348</definedName>
    <definedName name="calcCh1Prod1Slot3Promo2CustPrice">Calc!$E$1616:$E$1616</definedName>
    <definedName name="calcCh1Prod1Slot3Promo2CustProfPWeek">Calc!$E$6315:$E$6315</definedName>
    <definedName name="calcCh1Prod1Slot3Promo2CustUplift">Calc!$E$6315:$E$6315</definedName>
    <definedName name="calcCh1Prod1Slot3Promo2GPaLPUnit">Calc!$E$6303:$E$6303</definedName>
    <definedName name="calcCh1Prod1Slot3Promo2GPaLPWeek">Calc!$E$6304:$E$6304</definedName>
    <definedName name="calcCh1Prod1Slot3Promo2GPaLUplift">Calc!$E$6305:$E$6305</definedName>
    <definedName name="calcCh1Prod1Slot3Promo2Plan">Calc!$E$374:$E$374</definedName>
    <definedName name="calcCh1Prod1Slot3Promo2PlanEmp1Req">Calc!$E$5935:$E$5935</definedName>
    <definedName name="calcCh1Prod1Slot3Promo2PlanExp">Calc!$E$5936:$E$5936</definedName>
    <definedName name="calcCh1Prod1Slot3Promo2PlanShare">Calc!$E$1615:$E$1615</definedName>
    <definedName name="calcCh1Prod1Slot3Promo2PricePLitre">Calc!$E$2019:$E$2019</definedName>
    <definedName name="calcCh1Prod1Slot3Promo2ROI">Calc!$E$6310:$E$6310</definedName>
    <definedName name="calcCh1Prod1Slot3Promo2Seg1Efficiency">Calc!$E$380:$E$380</definedName>
    <definedName name="calcCh1Prod1Slot3Promo2Seg1Fit">Calc!$E$379:$E$379</definedName>
    <definedName name="calcCh1Prod1Slot3Promo2Seg1Share">Calc!$E$381:$E$381</definedName>
    <definedName name="calcCh1Prod1Slot3Promo2Seg1ShareBase">Calc!$E$381:$E$381</definedName>
    <definedName name="calcCh1Prod1Slot3Promo2Seg2Efficiency">Calc!$E$386:$E$386</definedName>
    <definedName name="calcCh1Prod1Slot3Promo2Seg2Fit">Calc!$E$385:$E$385</definedName>
    <definedName name="calcCh1Prod1Slot3Promo2Seg2Share">Calc!$E$387:$E$387</definedName>
    <definedName name="calcCh1Prod1Slot3Promo2Seg2ShareBase">Calc!$E$387:$E$387</definedName>
    <definedName name="calcCh1Prod1Slot3Promo2Seg3Efficiency">Calc!$E$392:$E$392</definedName>
    <definedName name="calcCh1Prod1Slot3Promo2Seg3Fit">Calc!$E$391:$E$391</definedName>
    <definedName name="calcCh1Prod1Slot3Promo2Seg3Share">Calc!$E$393:$E$393</definedName>
    <definedName name="calcCh1Prod1Slot3Promo2Seg3ShareBase">Calc!$E$393:$E$393</definedName>
    <definedName name="calcCh1Prod1Slot3Promo2Seg4Efficiency">Calc!$E$398:$E$398</definedName>
    <definedName name="calcCh1Prod1Slot3Promo2Seg4Fit">Calc!$E$397:$E$397</definedName>
    <definedName name="calcCh1Prod1Slot3Promo2Seg4Share">Calc!$E$399:$E$399</definedName>
    <definedName name="calcCh1Prod1Slot3Promo2Seg4ShareBase">Calc!$E$399:$E$399</definedName>
    <definedName name="calcCh1Prod1Slot3Promo2Vol">Calc!$E$2018:$E$2018</definedName>
    <definedName name="calcCh1Prod1Slot3Promo2VolPWeek">Calc!$E$6299:$E$6299</definedName>
    <definedName name="calcCh1Prod1Slot3Promo2VolUplift">Calc!$E$6300:$E$6300</definedName>
    <definedName name="calcCh1Prod1Slot3Promo2Weeks">Calc!$E$375:$E$375</definedName>
    <definedName name="calcCh1Prod1Slot3Seg1PackFit">Calc!$E$3794:$E$3794</definedName>
    <definedName name="calcCh1Prod1Slot3Seg2PackFit">Calc!$E$3796:$E$3796</definedName>
    <definedName name="calcCh1Prod1Slot3Seg3PackFit">Calc!$E$3798:$E$3798</definedName>
    <definedName name="calcCh1Prod1Slot3Seg4PackFit">Calc!$E$3800:$E$3800</definedName>
    <definedName name="calcCh1Prod1Slot3ShelfPrice">Calc!$E$1610:$E$1610</definedName>
    <definedName name="calcCh1Prod1Slot3TotalVolSold">Calc!$E$2022:$E$2022</definedName>
    <definedName name="calcCh1Prod1Slot3ValDrivExp">Calc!$E$5149:$E$5149</definedName>
    <definedName name="calcCh1Prod1Slot3VolForecastSlot">Calc!$E$166:$E$166</definedName>
    <definedName name="calcCh1Prod1Slot3WD">Calc!$E$5397:$E$5397</definedName>
    <definedName name="calcCh1Prod1SlotsEnd">Calc!$E$7385:$E$7385</definedName>
    <definedName name="calcCh1Prod1SlotsNew">Calc!$E$7384:$E$7384</definedName>
    <definedName name="calcCh1Prod1SlotsNextEmp1Req">Calc!$E$7388:$E$7388</definedName>
    <definedName name="calcCh1Prod1SlotsNextExp">Calc!$E$7389:$E$7389</definedName>
    <definedName name="calcCh1Prod1SlotsStart">Calc!$E$7383:$E$7383</definedName>
    <definedName name="calcCh1Prod1SlotsTotEmp1Req">Calc!$E$7391:$E$7391</definedName>
    <definedName name="calcCh1Prod1SlotsTotExp">Calc!$E$7392:$E$7392</definedName>
    <definedName name="calcCh1Prod1SlotTotActive">Calc!$E$34:$E$34</definedName>
    <definedName name="calcCh1Prod1TotalVolSold">Calc!$E$2027:$E$2027</definedName>
    <definedName name="calcCh1Prod1VolForecastProd">Calc!$E$6:$E$6</definedName>
    <definedName name="calcCh1Prod1VolSoldNoPromo">Calc!$E$2030:$E$2030</definedName>
    <definedName name="calcCh1Prod1VolSoldPromo1">Calc!$E$2033:$E$2033</definedName>
    <definedName name="calcCh1Prod1VolSoldPromo2">Calc!$E$2035:$E$2035</definedName>
    <definedName name="calcCh1Prod2AvgCustPrice">Calc!$E$2077:$E$2077</definedName>
    <definedName name="calcCh1Prod2AvgPrice">Calc!$E$2074:$E$2074</definedName>
    <definedName name="calcCh1Prod2AvgPricePromo1">Calc!$E$2080:$E$2080</definedName>
    <definedName name="calcCh1Prod2AvgPricePromo2">Calc!$E$2082:$E$2082</definedName>
    <definedName name="calcCh1Prod2AvgPromoPrice">Calc!$E$2084:$E$2084</definedName>
    <definedName name="calcCh1Prod2CustProfitTot">Calc!$E$2755:$E$2755</definedName>
    <definedName name="calcCh1Prod2PromoROIavg">Calc!$E$8151:$E$8151</definedName>
    <definedName name="calcCh1Prod2PromoRoiMax">Calc!$E$8102:$E$8102</definedName>
    <definedName name="calcCh1Prod2PromoRoiMaxIndex">Calc!$E$8105:$E$8105</definedName>
    <definedName name="calcCh1Prod2PromoRoiMin">Calc!$E$8101:$E$8101</definedName>
    <definedName name="calcCh1Prod2PromoRoiMinIndex">Calc!$E$8104:$E$8104</definedName>
    <definedName name="calcCh1Prod2Seg1AssortmentFit">Calc!$E$4608:$E$4608</definedName>
    <definedName name="calcCh1Prod2Seg2AssortmentFit">Calc!$E$4615:$E$4615</definedName>
    <definedName name="calcCh1Prod2Seg3AssortmentFit">Calc!$E$4622:$E$4622</definedName>
    <definedName name="calcCh1Prod2Seg4AssortmentFit">Calc!$E$4629:$E$4629</definedName>
    <definedName name="calcCh1Prod2Slot1Active">Calc!$E$37:$E$37</definedName>
    <definedName name="calcCh1Prod2Slot1AvgPrice">Calc!$E$2049:$E$2049</definedName>
    <definedName name="calcCh1Prod2Slot1AvgSalePrice">Calc!$E$1629:$E$1629</definedName>
    <definedName name="calcCh1Prod2Slot1BaseCustProfPWeek">Calc!$E$6322:$E$6322</definedName>
    <definedName name="calcCh1Prod2Slot1BaseCustUplift">Calc!$E$6322:$E$6322</definedName>
    <definedName name="calcCh1Prod2Slot1BaseGPaLPUnit">Calc!$E$6320:$E$6320</definedName>
    <definedName name="calcCh1Prod2Slot1BaseGPaLPWeek">Calc!$E$6321:$E$6321</definedName>
    <definedName name="calcCh1Prod2Slot1BaseVolPWeek">Calc!$E$6319:$E$6319</definedName>
    <definedName name="calcCh1Prod2Slot1ChVolShare">Calc!$E$7855:$E$7855</definedName>
    <definedName name="calcCh1Prod2Slot1CustPrice">Calc!$E$1621:$E$1621</definedName>
    <definedName name="calcCh1Prod2Slot1CustProfitBase">Calc!$E$2561:$E$2561</definedName>
    <definedName name="calcCh1Prod2Slot1CustProfitBaseMarginAbs">Calc!$E$2557:$E$2557</definedName>
    <definedName name="calcCh1Prod2Slot1CustProfitBaseMarginPct">Calc!$E$2558:$E$2558</definedName>
    <definedName name="calcCh1Prod2Slot1CustProfitBaseVol">Calc!$E$2559:$E$2559</definedName>
    <definedName name="calcCh1Prod2Slot1CustProfitPromo1">Calc!$E$2567:$E$2567</definedName>
    <definedName name="calcCh1Prod2Slot1CustProfitPromo1MarginAbs">Calc!$E$2564:$E$2564</definedName>
    <definedName name="calcCh1Prod2Slot1CustProfitPromo1Vol">Calc!$E$2565:$E$2565</definedName>
    <definedName name="calcCh1Prod2Slot1CustProfitPromo2">Calc!$E$2573:$E$2573</definedName>
    <definedName name="calcCh1Prod2Slot1CustProfitPromo2MarginAbs">Calc!$E$2570:$E$2570</definedName>
    <definedName name="calcCh1Prod2Slot1CustProfitPromo2Vol">Calc!$E$2571:$E$2571</definedName>
    <definedName name="calcCh1Prod2Slot1CustProfitTot">Calc!$E$2575:$E$2575</definedName>
    <definedName name="CalcCh1Prod2Slot1Depreciation">Calc!$E$3594:$E$3594</definedName>
    <definedName name="CalcCh1Prod2Slot1DepreciationPUnit">Calc!$E$3666:$E$3666</definedName>
    <definedName name="CalcCh1Prod2Slot1ManufacturingCostPUnit">Calc!$E$3519:$E$3519</definedName>
    <definedName name="calcCh1Prod2Slot1NoPromoPricePLitre">Calc!$E$2047:$E$2047</definedName>
    <definedName name="calcCh1Prod2Slot1NoPromoVol">Calc!$E$2046:$E$2046</definedName>
    <definedName name="calcCh1Prod2Slot1Pack">Calc!$E$3803:$E$3803</definedName>
    <definedName name="calcCh1Prod2Slot1PackFitBase">Calc!$E$3807:$E$3807</definedName>
    <definedName name="calcCh1Prod2Slot1PriceDif">Calc!$E$8009:$E$8009</definedName>
    <definedName name="calcCh1Prod2Slot1Promo1CustPrice">Calc!$E$1625:$E$1625</definedName>
    <definedName name="calcCh1Prod2Slot1Promo1CustProfPWeek">Calc!$E$6342:$E$6342</definedName>
    <definedName name="calcCh1Prod2Slot1Promo1CustUplift">Calc!$E$6342:$E$6342</definedName>
    <definedName name="calcCh1Prod2Slot1Promo1GPaLPUnit">Calc!$E$6330:$E$6330</definedName>
    <definedName name="calcCh1Prod2Slot1Promo1GPaLPWeek">Calc!$E$6331:$E$6331</definedName>
    <definedName name="calcCh1Prod2Slot1Promo1GPaLUplift">Calc!$E$6332:$E$6332</definedName>
    <definedName name="calcCh1Prod2Slot1Promo1Plan">Calc!$E$403:$E$403</definedName>
    <definedName name="calcCh1Prod2Slot1Promo1PlanEmp1Req">Calc!$E$5864:$E$5864</definedName>
    <definedName name="calcCh1Prod2Slot1Promo1PlanExp">Calc!$E$5865:$E$5865</definedName>
    <definedName name="calcCh1Prod2Slot1Promo1PlanShare">Calc!$E$1624:$E$1624</definedName>
    <definedName name="calcCh1Prod2Slot1Promo1PricePLitre">Calc!$E$2043:$E$2043</definedName>
    <definedName name="calcCh1Prod2Slot1Promo1ROI">Calc!$E$6337:$E$6337</definedName>
    <definedName name="calcCh1Prod2Slot1Promo1Seg1Efficiency">Calc!$E$409:$E$409</definedName>
    <definedName name="calcCh1Prod2Slot1Promo1Seg1Fit">Calc!$E$408:$E$408</definedName>
    <definedName name="calcCh1Prod2Slot1Promo1Seg1Share">Calc!$E$410:$E$410</definedName>
    <definedName name="calcCh1Prod2Slot1Promo1Seg1ShareBase">Calc!$E$410:$E$410</definedName>
    <definedName name="calcCh1Prod2Slot1Promo1Seg2Efficiency">Calc!$E$415:$E$415</definedName>
    <definedName name="calcCh1Prod2Slot1Promo1Seg2Fit">Calc!$E$414:$E$414</definedName>
    <definedName name="calcCh1Prod2Slot1Promo1Seg2Share">Calc!$E$416:$E$416</definedName>
    <definedName name="calcCh1Prod2Slot1Promo1Seg2ShareBase">Calc!$E$416:$E$416</definedName>
    <definedName name="calcCh1Prod2Slot1Promo1Seg3Efficiency">Calc!$E$421:$E$421</definedName>
    <definedName name="calcCh1Prod2Slot1Promo1Seg3Fit">Calc!$E$420:$E$420</definedName>
    <definedName name="calcCh1Prod2Slot1Promo1Seg3Share">Calc!$E$422:$E$422</definedName>
    <definedName name="calcCh1Prod2Slot1Promo1Seg3ShareBase">Calc!$E$422:$E$422</definedName>
    <definedName name="calcCh1Prod2Slot1Promo1Seg4Efficiency">Calc!$E$427:$E$427</definedName>
    <definedName name="calcCh1Prod2Slot1Promo1Seg4Fit">Calc!$E$426:$E$426</definedName>
    <definedName name="calcCh1Prod2Slot1Promo1Seg4Share">Calc!$E$428:$E$428</definedName>
    <definedName name="calcCh1Prod2Slot1Promo1Seg4ShareBase">Calc!$E$428:$E$428</definedName>
    <definedName name="calcCh1Prod2Slot1Promo1Vol">Calc!$E$2042:$E$2042</definedName>
    <definedName name="calcCh1Prod2Slot1Promo1VolPWeek">Calc!$E$6326:$E$6326</definedName>
    <definedName name="calcCh1Prod2Slot1Promo1VolUplift">Calc!$E$6327:$E$6327</definedName>
    <definedName name="calcCh1Prod2Slot1Promo1Weeks">Calc!$E$404:$E$404</definedName>
    <definedName name="calcCh1Prod2Slot1Promo2CustPrice">Calc!$E$1628:$E$1628</definedName>
    <definedName name="calcCh1Prod2Slot1Promo2CustProfPWeek">Calc!$E$6362:$E$6362</definedName>
    <definedName name="calcCh1Prod2Slot1Promo2CustUplift">Calc!$E$6362:$E$6362</definedName>
    <definedName name="calcCh1Prod2Slot1Promo2GPaLPUnit">Calc!$E$6350:$E$6350</definedName>
    <definedName name="calcCh1Prod2Slot1Promo2GPaLPWeek">Calc!$E$6351:$E$6351</definedName>
    <definedName name="calcCh1Prod2Slot1Promo2GPaLUplift">Calc!$E$6352:$E$6352</definedName>
    <definedName name="calcCh1Prod2Slot1Promo2Plan">Calc!$E$430:$E$430</definedName>
    <definedName name="calcCh1Prod2Slot1Promo2PlanEmp1Req">Calc!$E$5941:$E$5941</definedName>
    <definedName name="calcCh1Prod2Slot1Promo2PlanExp">Calc!$E$5942:$E$5942</definedName>
    <definedName name="calcCh1Prod2Slot1Promo2PlanShare">Calc!$E$1627:$E$1627</definedName>
    <definedName name="calcCh1Prod2Slot1Promo2PricePLitre">Calc!$E$2045:$E$2045</definedName>
    <definedName name="calcCh1Prod2Slot1Promo2ROI">Calc!$E$6357:$E$6357</definedName>
    <definedName name="calcCh1Prod2Slot1Promo2Seg1Efficiency">Calc!$E$436:$E$436</definedName>
    <definedName name="calcCh1Prod2Slot1Promo2Seg1Fit">Calc!$E$435:$E$435</definedName>
    <definedName name="calcCh1Prod2Slot1Promo2Seg1Share">Calc!$E$437:$E$437</definedName>
    <definedName name="calcCh1Prod2Slot1Promo2Seg1ShareBase">Calc!$E$437:$E$437</definedName>
    <definedName name="calcCh1Prod2Slot1Promo2Seg2Efficiency">Calc!$E$442:$E$442</definedName>
    <definedName name="calcCh1Prod2Slot1Promo2Seg2Fit">Calc!$E$441:$E$441</definedName>
    <definedName name="calcCh1Prod2Slot1Promo2Seg2Share">Calc!$E$443:$E$443</definedName>
    <definedName name="calcCh1Prod2Slot1Promo2Seg2ShareBase">Calc!$E$443:$E$443</definedName>
    <definedName name="calcCh1Prod2Slot1Promo2Seg3Efficiency">Calc!$E$448:$E$448</definedName>
    <definedName name="calcCh1Prod2Slot1Promo2Seg3Fit">Calc!$E$447:$E$447</definedName>
    <definedName name="calcCh1Prod2Slot1Promo2Seg3Share">Calc!$E$449:$E$449</definedName>
    <definedName name="calcCh1Prod2Slot1Promo2Seg3ShareBase">Calc!$E$449:$E$449</definedName>
    <definedName name="calcCh1Prod2Slot1Promo2Seg4Efficiency">Calc!$E$454:$E$454</definedName>
    <definedName name="calcCh1Prod2Slot1Promo2Seg4Fit">Calc!$E$453:$E$453</definedName>
    <definedName name="calcCh1Prod2Slot1Promo2Seg4Share">Calc!$E$455:$E$455</definedName>
    <definedName name="calcCh1Prod2Slot1Promo2Seg4ShareBase">Calc!$E$455:$E$455</definedName>
    <definedName name="calcCh1Prod2Slot1Promo2Vol">Calc!$E$2044:$E$2044</definedName>
    <definedName name="calcCh1Prod2Slot1Promo2VolPWeek">Calc!$E$6346:$E$6346</definedName>
    <definedName name="calcCh1Prod2Slot1Promo2VolUplift">Calc!$E$6347:$E$6347</definedName>
    <definedName name="calcCh1Prod2Slot1Promo2Weeks">Calc!$E$431:$E$431</definedName>
    <definedName name="calcCh1Prod2Slot1Seg1PackFit">Calc!$E$3811:$E$3811</definedName>
    <definedName name="calcCh1Prod2Slot1Seg2PackFit">Calc!$E$3813:$E$3813</definedName>
    <definedName name="calcCh1Prod2Slot1Seg3PackFit">Calc!$E$3815:$E$3815</definedName>
    <definedName name="calcCh1Prod2Slot1Seg4PackFit">Calc!$E$3817:$E$3817</definedName>
    <definedName name="calcCh1Prod2Slot1ShelfPrice">Calc!$E$1622:$E$1622</definedName>
    <definedName name="calcCh1Prod2Slot1TotalVolSold">Calc!$E$2048:$E$2048</definedName>
    <definedName name="calcCh1Prod2Slot1ValDrivExp">Calc!$E$5150:$E$5150</definedName>
    <definedName name="calcCh1Prod2Slot1VolForecastSlot">Calc!$E$168:$E$168</definedName>
    <definedName name="calcCh1Prod2Slot1WD">Calc!$E$5402:$E$5402</definedName>
    <definedName name="calcCh1Prod2Slot2Active">Calc!$E$38:$E$38</definedName>
    <definedName name="calcCh1Prod2Slot2AvgPrice">Calc!$E$2059:$E$2059</definedName>
    <definedName name="calcCh1Prod2Slot2AvgSalePrice">Calc!$E$1640:$E$1640</definedName>
    <definedName name="calcCh1Prod2Slot2BaseCustProfPWeek">Calc!$E$6368:$E$6368</definedName>
    <definedName name="calcCh1Prod2Slot2BaseCustUplift">Calc!$E$6368:$E$6368</definedName>
    <definedName name="calcCh1Prod2Slot2BaseGPaLPUnit">Calc!$E$6366:$E$6366</definedName>
    <definedName name="calcCh1Prod2Slot2BaseGPaLPWeek">Calc!$E$6367:$E$6367</definedName>
    <definedName name="calcCh1Prod2Slot2BaseVolPWeek">Calc!$E$6365:$E$6365</definedName>
    <definedName name="calcCh1Prod2Slot2ChVolShare">Calc!$E$7856:$E$7856</definedName>
    <definedName name="calcCh1Prod2Slot2CustPrice">Calc!$E$1632:$E$1632</definedName>
    <definedName name="calcCh1Prod2Slot2CustProfitBase">Calc!$E$2583:$E$2583</definedName>
    <definedName name="calcCh1Prod2Slot2CustProfitBaseMarginAbs">Calc!$E$2579:$E$2579</definedName>
    <definedName name="calcCh1Prod2Slot2CustProfitBaseMarginPct">Calc!$E$2580:$E$2580</definedName>
    <definedName name="calcCh1Prod2Slot2CustProfitBaseVol">Calc!$E$2581:$E$2581</definedName>
    <definedName name="calcCh1Prod2Slot2CustProfitPromo1">Calc!$E$2589:$E$2589</definedName>
    <definedName name="calcCh1Prod2Slot2CustProfitPromo1MarginAbs">Calc!$E$2586:$E$2586</definedName>
    <definedName name="calcCh1Prod2Slot2CustProfitPromo1Vol">Calc!$E$2587:$E$2587</definedName>
    <definedName name="calcCh1Prod2Slot2CustProfitPromo2">Calc!$E$2595:$E$2595</definedName>
    <definedName name="calcCh1Prod2Slot2CustProfitPromo2MarginAbs">Calc!$E$2592:$E$2592</definedName>
    <definedName name="calcCh1Prod2Slot2CustProfitPromo2Vol">Calc!$E$2593:$E$2593</definedName>
    <definedName name="calcCh1Prod2Slot2CustProfitTot">Calc!$E$2597:$E$2597</definedName>
    <definedName name="CalcCh1Prod2Slot2Depreciation">Calc!$E$3595:$E$3595</definedName>
    <definedName name="CalcCh1Prod2Slot2DepreciationPUnit">Calc!$E$3667:$E$3667</definedName>
    <definedName name="CalcCh1Prod2Slot2ManufacturingCostPUnit">Calc!$E$3520:$E$3520</definedName>
    <definedName name="calcCh1Prod2Slot2NoPromoPricePLitre">Calc!$E$2057:$E$2057</definedName>
    <definedName name="calcCh1Prod2Slot2NoPromoVol">Calc!$E$2056:$E$2056</definedName>
    <definedName name="calcCh1Prod2Slot2Pack">Calc!$E$3820:$E$3820</definedName>
    <definedName name="calcCh1Prod2Slot2PackFitBase">Calc!$E$3824:$E$3824</definedName>
    <definedName name="calcCh1Prod2Slot2PriceDif">Calc!$E$8010:$E$8010</definedName>
    <definedName name="calcCh1Prod2Slot2Promo1CustPrice">Calc!$E$1636:$E$1636</definedName>
    <definedName name="calcCh1Prod2Slot2Promo1CustProfPWeek">Calc!$E$6388:$E$6388</definedName>
    <definedName name="calcCh1Prod2Slot2Promo1CustUplift">Calc!$E$6388:$E$6388</definedName>
    <definedName name="calcCh1Prod2Slot2Promo1GPaLPUnit">Calc!$E$6376:$E$6376</definedName>
    <definedName name="calcCh1Prod2Slot2Promo1GPaLPWeek">Calc!$E$6377:$E$6377</definedName>
    <definedName name="calcCh1Prod2Slot2Promo1GPaLUplift">Calc!$E$6378:$E$6378</definedName>
    <definedName name="calcCh1Prod2Slot2Promo1Plan">Calc!$E$458:$E$458</definedName>
    <definedName name="calcCh1Prod2Slot2Promo1PlanEmp1Req">Calc!$E$5870:$E$5870</definedName>
    <definedName name="calcCh1Prod2Slot2Promo1PlanExp">Calc!$E$5871:$E$5871</definedName>
    <definedName name="calcCh1Prod2Slot2Promo1PlanShare">Calc!$E$1635:$E$1635</definedName>
    <definedName name="calcCh1Prod2Slot2Promo1PricePLitre">Calc!$E$2053:$E$2053</definedName>
    <definedName name="calcCh1Prod2Slot2Promo1ROI">Calc!$E$6383:$E$6383</definedName>
    <definedName name="calcCh1Prod2Slot2Promo1Seg1Efficiency">Calc!$E$464:$E$464</definedName>
    <definedName name="calcCh1Prod2Slot2Promo1Seg1Fit">Calc!$E$463:$E$463</definedName>
    <definedName name="calcCh1Prod2Slot2Promo1Seg1Share">Calc!$E$465:$E$465</definedName>
    <definedName name="calcCh1Prod2Slot2Promo1Seg1ShareBase">Calc!$E$465:$E$465</definedName>
    <definedName name="calcCh1Prod2Slot2Promo1Seg2Efficiency">Calc!$E$470:$E$470</definedName>
    <definedName name="calcCh1Prod2Slot2Promo1Seg2Fit">Calc!$E$469:$E$469</definedName>
    <definedName name="calcCh1Prod2Slot2Promo1Seg2Share">Calc!$E$471:$E$471</definedName>
    <definedName name="calcCh1Prod2Slot2Promo1Seg2ShareBase">Calc!$E$471:$E$471</definedName>
    <definedName name="calcCh1Prod2Slot2Promo1Seg3Efficiency">Calc!$E$476:$E$476</definedName>
    <definedName name="calcCh1Prod2Slot2Promo1Seg3Fit">Calc!$E$475:$E$475</definedName>
    <definedName name="calcCh1Prod2Slot2Promo1Seg3Share">Calc!$E$477:$E$477</definedName>
    <definedName name="calcCh1Prod2Slot2Promo1Seg3ShareBase">Calc!$E$477:$E$477</definedName>
    <definedName name="calcCh1Prod2Slot2Promo1Seg4Efficiency">Calc!$E$482:$E$482</definedName>
    <definedName name="calcCh1Prod2Slot2Promo1Seg4Fit">Calc!$E$481:$E$481</definedName>
    <definedName name="calcCh1Prod2Slot2Promo1Seg4Share">Calc!$E$483:$E$483</definedName>
    <definedName name="calcCh1Prod2Slot2Promo1Seg4ShareBase">Calc!$E$483:$E$483</definedName>
    <definedName name="calcCh1Prod2Slot2Promo1Vol">Calc!$E$2052:$E$2052</definedName>
    <definedName name="calcCh1Prod2Slot2Promo1VolPWeek">Calc!$E$6372:$E$6372</definedName>
    <definedName name="calcCh1Prod2Slot2Promo1VolUplift">Calc!$E$6373:$E$6373</definedName>
    <definedName name="calcCh1Prod2Slot2Promo1Weeks">Calc!$E$459:$E$459</definedName>
    <definedName name="calcCh1Prod2Slot2Promo2CustPrice">Calc!$E$1639:$E$1639</definedName>
    <definedName name="calcCh1Prod2Slot2Promo2CustProfPWeek">Calc!$E$6408:$E$6408</definedName>
    <definedName name="calcCh1Prod2Slot2Promo2CustUplift">Calc!$E$6408:$E$6408</definedName>
    <definedName name="calcCh1Prod2Slot2Promo2GPaLPUnit">Calc!$E$6396:$E$6396</definedName>
    <definedName name="calcCh1Prod2Slot2Promo2GPaLPWeek">Calc!$E$6397:$E$6397</definedName>
    <definedName name="calcCh1Prod2Slot2Promo2GPaLUplift">Calc!$E$6398:$E$6398</definedName>
    <definedName name="calcCh1Prod2Slot2Promo2Plan">Calc!$E$485:$E$485</definedName>
    <definedName name="calcCh1Prod2Slot2Promo2PlanEmp1Req">Calc!$E$5947:$E$5947</definedName>
    <definedName name="calcCh1Prod2Slot2Promo2PlanExp">Calc!$E$5948:$E$5948</definedName>
    <definedName name="calcCh1Prod2Slot2Promo2PlanShare">Calc!$E$1638:$E$1638</definedName>
    <definedName name="calcCh1Prod2Slot2Promo2PricePLitre">Calc!$E$2055:$E$2055</definedName>
    <definedName name="calcCh1Prod2Slot2Promo2ROI">Calc!$E$6403:$E$6403</definedName>
    <definedName name="calcCh1Prod2Slot2Promo2Seg1Efficiency">Calc!$E$491:$E$491</definedName>
    <definedName name="calcCh1Prod2Slot2Promo2Seg1Fit">Calc!$E$490:$E$490</definedName>
    <definedName name="calcCh1Prod2Slot2Promo2Seg1Share">Calc!$E$492:$E$492</definedName>
    <definedName name="calcCh1Prod2Slot2Promo2Seg1ShareBase">Calc!$E$492:$E$492</definedName>
    <definedName name="calcCh1Prod2Slot2Promo2Seg2Efficiency">Calc!$E$497:$E$497</definedName>
    <definedName name="calcCh1Prod2Slot2Promo2Seg2Fit">Calc!$E$496:$E$496</definedName>
    <definedName name="calcCh1Prod2Slot2Promo2Seg2Share">Calc!$E$498:$E$498</definedName>
    <definedName name="calcCh1Prod2Slot2Promo2Seg2ShareBase">Calc!$E$498:$E$498</definedName>
    <definedName name="calcCh1Prod2Slot2Promo2Seg3Efficiency">Calc!$E$503:$E$503</definedName>
    <definedName name="calcCh1Prod2Slot2Promo2Seg3Fit">Calc!$E$502:$E$502</definedName>
    <definedName name="calcCh1Prod2Slot2Promo2Seg3Share">Calc!$E$504:$E$504</definedName>
    <definedName name="calcCh1Prod2Slot2Promo2Seg3ShareBase">Calc!$E$504:$E$504</definedName>
    <definedName name="calcCh1Prod2Slot2Promo2Seg4Efficiency">Calc!$E$509:$E$509</definedName>
    <definedName name="calcCh1Prod2Slot2Promo2Seg4Fit">Calc!$E$508:$E$508</definedName>
    <definedName name="calcCh1Prod2Slot2Promo2Seg4Share">Calc!$E$510:$E$510</definedName>
    <definedName name="calcCh1Prod2Slot2Promo2Seg4ShareBase">Calc!$E$510:$E$510</definedName>
    <definedName name="calcCh1Prod2Slot2Promo2Vol">Calc!$E$2054:$E$2054</definedName>
    <definedName name="calcCh1Prod2Slot2Promo2VolPWeek">Calc!$E$6392:$E$6392</definedName>
    <definedName name="calcCh1Prod2Slot2Promo2VolUplift">Calc!$E$6393:$E$6393</definedName>
    <definedName name="calcCh1Prod2Slot2Promo2Weeks">Calc!$E$486:$E$486</definedName>
    <definedName name="calcCh1Prod2Slot2Seg1PackFit">Calc!$E$3828:$E$3828</definedName>
    <definedName name="calcCh1Prod2Slot2Seg2PackFit">Calc!$E$3830:$E$3830</definedName>
    <definedName name="calcCh1Prod2Slot2Seg3PackFit">Calc!$E$3832:$E$3832</definedName>
    <definedName name="calcCh1Prod2Slot2Seg4PackFit">Calc!$E$3834:$E$3834</definedName>
    <definedName name="calcCh1Prod2Slot2ShelfPrice">Calc!$E$1633:$E$1633</definedName>
    <definedName name="calcCh1Prod2Slot2TotalVolSold">Calc!$E$2058:$E$2058</definedName>
    <definedName name="calcCh1Prod2Slot2ValDrivExp">Calc!$E$5151:$E$5151</definedName>
    <definedName name="calcCh1Prod2Slot2VolForecastSlot">Calc!$E$169:$E$169</definedName>
    <definedName name="calcCh1Prod2Slot2WD">Calc!$E$5406:$E$5406</definedName>
    <definedName name="calcCh1Prod2Slot3Active">Calc!$E$39:$E$39</definedName>
    <definedName name="calcCh1Prod2Slot3AvgPrice">Calc!$E$2069:$E$2069</definedName>
    <definedName name="calcCh1Prod2Slot3AvgSalePrice">Calc!$E$1651:$E$1651</definedName>
    <definedName name="calcCh1Prod2Slot3BaseCustProfPWeek">Calc!$E$6414:$E$6414</definedName>
    <definedName name="calcCh1Prod2Slot3BaseCustUplift">Calc!$E$6414:$E$6414</definedName>
    <definedName name="calcCh1Prod2Slot3BaseGPaLPUnit">Calc!$E$6412:$E$6412</definedName>
    <definedName name="calcCh1Prod2Slot3BaseGPaLPWeek">Calc!$E$6413:$E$6413</definedName>
    <definedName name="calcCh1Prod2Slot3BaseVolPWeek">Calc!$E$6411:$E$6411</definedName>
    <definedName name="calcCh1Prod2Slot3ChVolShare">Calc!$E$7857:$E$7857</definedName>
    <definedName name="calcCh1Prod2Slot3CustPrice">Calc!$E$1643:$E$1643</definedName>
    <definedName name="calcCh1Prod2Slot3CustProfitBase">Calc!$E$2605:$E$2605</definedName>
    <definedName name="calcCh1Prod2Slot3CustProfitBaseMarginAbs">Calc!$E$2601:$E$2601</definedName>
    <definedName name="calcCh1Prod2Slot3CustProfitBaseMarginPct">Calc!$E$2602:$E$2602</definedName>
    <definedName name="calcCh1Prod2Slot3CustProfitBaseVol">Calc!$E$2603:$E$2603</definedName>
    <definedName name="calcCh1Prod2Slot3CustProfitPromo1">Calc!$E$2611:$E$2611</definedName>
    <definedName name="calcCh1Prod2Slot3CustProfitPromo1MarginAbs">Calc!$E$2608:$E$2608</definedName>
    <definedName name="calcCh1Prod2Slot3CustProfitPromo1Vol">Calc!$E$2609:$E$2609</definedName>
    <definedName name="calcCh1Prod2Slot3CustProfitPromo2">Calc!$E$2617:$E$2617</definedName>
    <definedName name="calcCh1Prod2Slot3CustProfitPromo2MarginAbs">Calc!$E$2614:$E$2614</definedName>
    <definedName name="calcCh1Prod2Slot3CustProfitPromo2Vol">Calc!$E$2615:$E$2615</definedName>
    <definedName name="calcCh1Prod2Slot3CustProfitTot">Calc!$E$2619:$E$2619</definedName>
    <definedName name="CalcCh1Prod2Slot3Depreciation">Calc!$E$3596:$E$3596</definedName>
    <definedName name="CalcCh1Prod2Slot3DepreciationPUnit">Calc!$E$3668:$E$3668</definedName>
    <definedName name="CalcCh1Prod2Slot3ManufacturingCostPUnit">Calc!$E$3521:$E$3521</definedName>
    <definedName name="calcCh1Prod2Slot3NoPromoPricePLitre">Calc!$E$2067:$E$2067</definedName>
    <definedName name="calcCh1Prod2Slot3NoPromoVol">Calc!$E$2066:$E$2066</definedName>
    <definedName name="calcCh1Prod2Slot3Pack">Calc!$E$3837:$E$3837</definedName>
    <definedName name="calcCh1Prod2Slot3PackFitBase">Calc!$E$3841:$E$3841</definedName>
    <definedName name="calcCh1Prod2Slot3PriceDif">Calc!$E$8011:$E$8011</definedName>
    <definedName name="calcCh1Prod2Slot3Promo1CustPrice">Calc!$E$1647:$E$1647</definedName>
    <definedName name="calcCh1Prod2Slot3Promo1CustProfPWeek">Calc!$E$6434:$E$6434</definedName>
    <definedName name="calcCh1Prod2Slot3Promo1CustUplift">Calc!$E$6434:$E$6434</definedName>
    <definedName name="calcCh1Prod2Slot3Promo1GPaLPUnit">Calc!$E$6422:$E$6422</definedName>
    <definedName name="calcCh1Prod2Slot3Promo1GPaLPWeek">Calc!$E$6423:$E$6423</definedName>
    <definedName name="calcCh1Prod2Slot3Promo1GPaLUplift">Calc!$E$6424:$E$6424</definedName>
    <definedName name="calcCh1Prod2Slot3Promo1Plan">Calc!$E$513:$E$513</definedName>
    <definedName name="calcCh1Prod2Slot3Promo1PlanEmp1Req">Calc!$E$5876:$E$5876</definedName>
    <definedName name="calcCh1Prod2Slot3Promo1PlanExp">Calc!$E$5877:$E$5877</definedName>
    <definedName name="calcCh1Prod2Slot3Promo1PlanShare">Calc!$E$1646:$E$1646</definedName>
    <definedName name="calcCh1Prod2Slot3Promo1PricePLitre">Calc!$E$2063:$E$2063</definedName>
    <definedName name="calcCh1Prod2Slot3Promo1ROI">Calc!$E$6429:$E$6429</definedName>
    <definedName name="calcCh1Prod2Slot3Promo1Seg1Efficiency">Calc!$E$519:$E$519</definedName>
    <definedName name="calcCh1Prod2Slot3Promo1Seg1Fit">Calc!$E$518:$E$518</definedName>
    <definedName name="calcCh1Prod2Slot3Promo1Seg1Share">Calc!$E$520:$E$520</definedName>
    <definedName name="calcCh1Prod2Slot3Promo1Seg1ShareBase">Calc!$E$520:$E$520</definedName>
    <definedName name="calcCh1Prod2Slot3Promo1Seg2Efficiency">Calc!$E$525:$E$525</definedName>
    <definedName name="calcCh1Prod2Slot3Promo1Seg2Fit">Calc!$E$524:$E$524</definedName>
    <definedName name="calcCh1Prod2Slot3Promo1Seg2Share">Calc!$E$526:$E$526</definedName>
    <definedName name="calcCh1Prod2Slot3Promo1Seg2ShareBase">Calc!$E$526:$E$526</definedName>
    <definedName name="calcCh1Prod2Slot3Promo1Seg3Efficiency">Calc!$E$531:$E$531</definedName>
    <definedName name="calcCh1Prod2Slot3Promo1Seg3Fit">Calc!$E$530:$E$530</definedName>
    <definedName name="calcCh1Prod2Slot3Promo1Seg3Share">Calc!$E$532:$E$532</definedName>
    <definedName name="calcCh1Prod2Slot3Promo1Seg3ShareBase">Calc!$E$532:$E$532</definedName>
    <definedName name="calcCh1Prod2Slot3Promo1Seg4Efficiency">Calc!$E$537:$E$537</definedName>
    <definedName name="calcCh1Prod2Slot3Promo1Seg4Fit">Calc!$E$536:$E$536</definedName>
    <definedName name="calcCh1Prod2Slot3Promo1Seg4Share">Calc!$E$538:$E$538</definedName>
    <definedName name="calcCh1Prod2Slot3Promo1Seg4ShareBase">Calc!$E$538:$E$538</definedName>
    <definedName name="calcCh1Prod2Slot3Promo1Vol">Calc!$E$2062:$E$2062</definedName>
    <definedName name="calcCh1Prod2Slot3Promo1VolPWeek">Calc!$E$6418:$E$6418</definedName>
    <definedName name="calcCh1Prod2Slot3Promo1VolUplift">Calc!$E$6419:$E$6419</definedName>
    <definedName name="calcCh1Prod2Slot3Promo1Weeks">Calc!$E$514:$E$514</definedName>
    <definedName name="calcCh1Prod2Slot3Promo2CustPrice">Calc!$E$1650:$E$1650</definedName>
    <definedName name="calcCh1Prod2Slot3Promo2CustProfPWeek">Calc!$E$6454:$E$6454</definedName>
    <definedName name="calcCh1Prod2Slot3Promo2CustUplift">Calc!$E$6454:$E$6454</definedName>
    <definedName name="calcCh1Prod2Slot3Promo2GPaLPUnit">Calc!$E$6442:$E$6442</definedName>
    <definedName name="calcCh1Prod2Slot3Promo2GPaLPWeek">Calc!$E$6443:$E$6443</definedName>
    <definedName name="calcCh1Prod2Slot3Promo2GPaLUplift">Calc!$E$6444:$E$6444</definedName>
    <definedName name="calcCh1Prod2Slot3Promo2Plan">Calc!$E$540:$E$540</definedName>
    <definedName name="calcCh1Prod2Slot3Promo2PlanEmp1Req">Calc!$E$5953:$E$5953</definedName>
    <definedName name="calcCh1Prod2Slot3Promo2PlanExp">Calc!$E$5954:$E$5954</definedName>
    <definedName name="calcCh1Prod2Slot3Promo2PlanShare">Calc!$E$1649:$E$1649</definedName>
    <definedName name="calcCh1Prod2Slot3Promo2PricePLitre">Calc!$E$2065:$E$2065</definedName>
    <definedName name="calcCh1Prod2Slot3Promo2ROI">Calc!$E$6449:$E$6449</definedName>
    <definedName name="calcCh1Prod2Slot3Promo2Seg1Efficiency">Calc!$E$546:$E$546</definedName>
    <definedName name="calcCh1Prod2Slot3Promo2Seg1Fit">Calc!$E$545:$E$545</definedName>
    <definedName name="calcCh1Prod2Slot3Promo2Seg1Share">Calc!$E$547:$E$547</definedName>
    <definedName name="calcCh1Prod2Slot3Promo2Seg1ShareBase">Calc!$E$547:$E$547</definedName>
    <definedName name="calcCh1Prod2Slot3Promo2Seg2Efficiency">Calc!$E$552:$E$552</definedName>
    <definedName name="calcCh1Prod2Slot3Promo2Seg2Fit">Calc!$E$551:$E$551</definedName>
    <definedName name="calcCh1Prod2Slot3Promo2Seg2Share">Calc!$E$553:$E$553</definedName>
    <definedName name="calcCh1Prod2Slot3Promo2Seg2ShareBase">Calc!$E$553:$E$553</definedName>
    <definedName name="calcCh1Prod2Slot3Promo2Seg3Efficiency">Calc!$E$558:$E$558</definedName>
    <definedName name="calcCh1Prod2Slot3Promo2Seg3Fit">Calc!$E$557:$E$557</definedName>
    <definedName name="calcCh1Prod2Slot3Promo2Seg3Share">Calc!$E$559:$E$559</definedName>
    <definedName name="calcCh1Prod2Slot3Promo2Seg3ShareBase">Calc!$E$559:$E$559</definedName>
    <definedName name="calcCh1Prod2Slot3Promo2Seg4Efficiency">Calc!$E$564:$E$564</definedName>
    <definedName name="calcCh1Prod2Slot3Promo2Seg4Fit">Calc!$E$563:$E$563</definedName>
    <definedName name="calcCh1Prod2Slot3Promo2Seg4Share">Calc!$E$565:$E$565</definedName>
    <definedName name="calcCh1Prod2Slot3Promo2Seg4ShareBase">Calc!$E$565:$E$565</definedName>
    <definedName name="calcCh1Prod2Slot3Promo2Vol">Calc!$E$2064:$E$2064</definedName>
    <definedName name="calcCh1Prod2Slot3Promo2VolPWeek">Calc!$E$6438:$E$6438</definedName>
    <definedName name="calcCh1Prod2Slot3Promo2VolUplift">Calc!$E$6439:$E$6439</definedName>
    <definedName name="calcCh1Prod2Slot3Promo2Weeks">Calc!$E$541:$E$541</definedName>
    <definedName name="calcCh1Prod2Slot3Seg1PackFit">Calc!$E$3845:$E$3845</definedName>
    <definedName name="calcCh1Prod2Slot3Seg2PackFit">Calc!$E$3847:$E$3847</definedName>
    <definedName name="calcCh1Prod2Slot3Seg3PackFit">Calc!$E$3849:$E$3849</definedName>
    <definedName name="calcCh1Prod2Slot3Seg4PackFit">Calc!$E$3851:$E$3851</definedName>
    <definedName name="calcCh1Prod2Slot3ShelfPrice">Calc!$E$1644:$E$1644</definedName>
    <definedName name="calcCh1Prod2Slot3TotalVolSold">Calc!$E$2068:$E$2068</definedName>
    <definedName name="calcCh1Prod2Slot3ValDrivExp">Calc!$E$5152:$E$5152</definedName>
    <definedName name="calcCh1Prod2Slot3VolForecastSlot">Calc!$E$170:$E$170</definedName>
    <definedName name="calcCh1Prod2Slot3WD">Calc!$E$5410:$E$5410</definedName>
    <definedName name="calcCh1Prod2SlotsEnd">Calc!$E$7397:$E$7397</definedName>
    <definedName name="calcCh1Prod2SlotsNew">Calc!$E$7396:$E$7396</definedName>
    <definedName name="calcCh1Prod2SlotsNextEmp1Req">Calc!$E$7400:$E$7400</definedName>
    <definedName name="calcCh1Prod2SlotsNextExp">Calc!$E$7401:$E$7401</definedName>
    <definedName name="calcCh1Prod2SlotsStart">Calc!$E$7395:$E$7395</definedName>
    <definedName name="calcCh1Prod2SlotsTotEmp1Req">Calc!$E$7403:$E$7403</definedName>
    <definedName name="calcCh1Prod2SlotsTotExp">Calc!$E$7404:$E$7404</definedName>
    <definedName name="calcCh1Prod2SlotTotActive">Calc!$E$41:$E$41</definedName>
    <definedName name="calcCh1Prod2TotalVolSold">Calc!$E$2073:$E$2073</definedName>
    <definedName name="calcCh1Prod2VolForecastProd">Calc!$E$7:$E$7</definedName>
    <definedName name="calcCh1Prod2VolSoldNoPromo">Calc!$E$2076:$E$2076</definedName>
    <definedName name="calcCh1Prod2VolSoldPromo1">Calc!$E$2079:$E$2079</definedName>
    <definedName name="calcCh1Prod2VolSoldPromo2">Calc!$E$2081:$E$2081</definedName>
    <definedName name="calcCh1Prod3AvgCustPrice">Calc!$E$2123:$E$2123</definedName>
    <definedName name="calcCh1Prod3AvgPrice">Calc!$E$2120:$E$2120</definedName>
    <definedName name="calcCh1Prod3AvgPricePromo1">Calc!$E$2126:$E$2126</definedName>
    <definedName name="calcCh1Prod3AvgPricePromo2">Calc!$E$2128:$E$2128</definedName>
    <definedName name="calcCh1Prod3AvgPromoPrice">Calc!$E$2130:$E$2130</definedName>
    <definedName name="calcCh1Prod3CustProfitTot">Calc!$E$2756:$E$2756</definedName>
    <definedName name="calcCh1Prod3PromoROIavg">Calc!$E$8159:$E$8159</definedName>
    <definedName name="calcCh1Prod3PromoRoiMax">Calc!$E$8116:$E$8116</definedName>
    <definedName name="calcCh1Prod3PromoRoiMaxIndex">Calc!$E$8119:$E$8119</definedName>
    <definedName name="calcCh1Prod3PromoRoiMin">Calc!$E$8115:$E$8115</definedName>
    <definedName name="calcCh1Prod3PromoRoiMinIndex">Calc!$E$8118:$E$8118</definedName>
    <definedName name="calcCh1Prod3Seg1AssortmentFit">Calc!$E$4636:$E$4636</definedName>
    <definedName name="calcCh1Prod3Seg2AssortmentFit">Calc!$E$4643:$E$4643</definedName>
    <definedName name="calcCh1Prod3Seg3AssortmentFit">Calc!$E$4650:$E$4650</definedName>
    <definedName name="calcCh1Prod3Seg4AssortmentFit">Calc!$E$4657:$E$4657</definedName>
    <definedName name="calcCh1Prod3Slot1Active">Calc!$E$44:$E$44</definedName>
    <definedName name="calcCh1Prod3Slot1AvgPrice">Calc!$E$2095:$E$2095</definedName>
    <definedName name="calcCh1Prod3Slot1AvgSalePrice">Calc!$E$1663:$E$1663</definedName>
    <definedName name="calcCh1Prod3Slot1BaseCustProfPWeek">Calc!$E$6461:$E$6461</definedName>
    <definedName name="calcCh1Prod3Slot1BaseCustUplift">Calc!$E$6461:$E$6461</definedName>
    <definedName name="calcCh1Prod3Slot1BaseGPaLPUnit">Calc!$E$6459:$E$6459</definedName>
    <definedName name="calcCh1Prod3Slot1BaseGPaLPWeek">Calc!$E$6460:$E$6460</definedName>
    <definedName name="calcCh1Prod3Slot1BaseVolPWeek">Calc!$E$6458:$E$6458</definedName>
    <definedName name="calcCh1Prod3Slot1ChVolShare">Calc!$E$7859:$E$7859</definedName>
    <definedName name="calcCh1Prod3Slot1CustPrice">Calc!$E$1655:$E$1655</definedName>
    <definedName name="calcCh1Prod3Slot1CustProfitBase">Calc!$E$2627:$E$2627</definedName>
    <definedName name="calcCh1Prod3Slot1CustProfitBaseMarginAbs">Calc!$E$2623:$E$2623</definedName>
    <definedName name="calcCh1Prod3Slot1CustProfitBaseMarginPct">Calc!$E$2624:$E$2624</definedName>
    <definedName name="calcCh1Prod3Slot1CustProfitBaseVol">Calc!$E$2625:$E$2625</definedName>
    <definedName name="calcCh1Prod3Slot1CustProfitPromo1">Calc!$E$2633:$E$2633</definedName>
    <definedName name="calcCh1Prod3Slot1CustProfitPromo1MarginAbs">Calc!$E$2630:$E$2630</definedName>
    <definedName name="calcCh1Prod3Slot1CustProfitPromo1Vol">Calc!$E$2631:$E$2631</definedName>
    <definedName name="calcCh1Prod3Slot1CustProfitPromo2">Calc!$E$2639:$E$2639</definedName>
    <definedName name="calcCh1Prod3Slot1CustProfitPromo2MarginAbs">Calc!$E$2636:$E$2636</definedName>
    <definedName name="calcCh1Prod3Slot1CustProfitPromo2Vol">Calc!$E$2637:$E$2637</definedName>
    <definedName name="calcCh1Prod3Slot1CustProfitTot">Calc!$E$2641:$E$2641</definedName>
    <definedName name="CalcCh1Prod3Slot1Depreciation">Calc!$E$3598:$E$3598</definedName>
    <definedName name="CalcCh1Prod3Slot1DepreciationPUnit">Calc!$E$3670:$E$3670</definedName>
    <definedName name="CalcCh1Prod3Slot1ManufacturingCostPUnit">Calc!$E$3523:$E$3523</definedName>
    <definedName name="calcCh1Prod3Slot1NoPromoPricePLitre">Calc!$E$2093:$E$2093</definedName>
    <definedName name="calcCh1Prod3Slot1NoPromoVol">Calc!$E$2092:$E$2092</definedName>
    <definedName name="calcCh1Prod3Slot1Pack">Calc!$E$3854:$E$3854</definedName>
    <definedName name="calcCh1Prod3Slot1PackFitBase">Calc!$E$3858:$E$3858</definedName>
    <definedName name="calcCh1Prod3Slot1PriceDif">Calc!$E$8013:$E$8013</definedName>
    <definedName name="calcCh1Prod3Slot1Promo1CustPrice">Calc!$E$1659:$E$1659</definedName>
    <definedName name="calcCh1Prod3Slot1Promo1CustProfPWeek">Calc!$E$6481:$E$6481</definedName>
    <definedName name="calcCh1Prod3Slot1Promo1CustUplift">Calc!$E$6481:$E$6481</definedName>
    <definedName name="calcCh1Prod3Slot1Promo1GPaLPUnit">Calc!$E$6469:$E$6469</definedName>
    <definedName name="calcCh1Prod3Slot1Promo1GPaLPWeek">Calc!$E$6470:$E$6470</definedName>
    <definedName name="calcCh1Prod3Slot1Promo1GPaLUplift">Calc!$E$6471:$E$6471</definedName>
    <definedName name="calcCh1Prod3Slot1Promo1Plan">Calc!$E$569:$E$569</definedName>
    <definedName name="calcCh1Prod3Slot1Promo1PlanEmp1Req">Calc!$E$5882:$E$5882</definedName>
    <definedName name="calcCh1Prod3Slot1Promo1PlanExp">Calc!$E$5883:$E$5883</definedName>
    <definedName name="calcCh1Prod3Slot1Promo1PlanShare">Calc!$E$1658:$E$1658</definedName>
    <definedName name="calcCh1Prod3Slot1Promo1PricePLitre">Calc!$E$2089:$E$2089</definedName>
    <definedName name="calcCh1Prod3Slot1Promo1ROI">Calc!$E$6476:$E$6476</definedName>
    <definedName name="calcCh1Prod3Slot1Promo1Seg1Efficiency">Calc!$E$575:$E$575</definedName>
    <definedName name="calcCh1Prod3Slot1Promo1Seg1Fit">Calc!$E$574:$E$574</definedName>
    <definedName name="calcCh1Prod3Slot1Promo1Seg1Share">Calc!$E$576:$E$576</definedName>
    <definedName name="calcCh1Prod3Slot1Promo1Seg1ShareBase">Calc!$E$576:$E$576</definedName>
    <definedName name="calcCh1Prod3Slot1Promo1Seg2Efficiency">Calc!$E$581:$E$581</definedName>
    <definedName name="calcCh1Prod3Slot1Promo1Seg2Fit">Calc!$E$580:$E$580</definedName>
    <definedName name="calcCh1Prod3Slot1Promo1Seg2Share">Calc!$E$582:$E$582</definedName>
    <definedName name="calcCh1Prod3Slot1Promo1Seg2ShareBase">Calc!$E$582:$E$582</definedName>
    <definedName name="calcCh1Prod3Slot1Promo1Seg3Efficiency">Calc!$E$587:$E$587</definedName>
    <definedName name="calcCh1Prod3Slot1Promo1Seg3Fit">Calc!$E$586:$E$586</definedName>
    <definedName name="calcCh1Prod3Slot1Promo1Seg3Share">Calc!$E$588:$E$588</definedName>
    <definedName name="calcCh1Prod3Slot1Promo1Seg3ShareBase">Calc!$E$588:$E$588</definedName>
    <definedName name="calcCh1Prod3Slot1Promo1Seg4Efficiency">Calc!$E$593:$E$593</definedName>
    <definedName name="calcCh1Prod3Slot1Promo1Seg4Fit">Calc!$E$592:$E$592</definedName>
    <definedName name="calcCh1Prod3Slot1Promo1Seg4Share">Calc!$E$594:$E$594</definedName>
    <definedName name="calcCh1Prod3Slot1Promo1Seg4ShareBase">Calc!$E$594:$E$594</definedName>
    <definedName name="calcCh1Prod3Slot1Promo1Vol">Calc!$E$2088:$E$2088</definedName>
    <definedName name="calcCh1Prod3Slot1Promo1VolPWeek">Calc!$E$6465:$E$6465</definedName>
    <definedName name="calcCh1Prod3Slot1Promo1VolUplift">Calc!$E$6466:$E$6466</definedName>
    <definedName name="calcCh1Prod3Slot1Promo1Weeks">Calc!$E$570:$E$570</definedName>
    <definedName name="calcCh1Prod3Slot1Promo2CustPrice">Calc!$E$1662:$E$1662</definedName>
    <definedName name="calcCh1Prod3Slot1Promo2CustProfPWeek">Calc!$E$6501:$E$6501</definedName>
    <definedName name="calcCh1Prod3Slot1Promo2CustUplift">Calc!$E$6501:$E$6501</definedName>
    <definedName name="calcCh1Prod3Slot1Promo2GPaLPUnit">Calc!$E$6489:$E$6489</definedName>
    <definedName name="calcCh1Prod3Slot1Promo2GPaLPWeek">Calc!$E$6490:$E$6490</definedName>
    <definedName name="calcCh1Prod3Slot1Promo2GPaLUplift">Calc!$E$6491:$E$6491</definedName>
    <definedName name="calcCh1Prod3Slot1Promo2Plan">Calc!$E$596:$E$596</definedName>
    <definedName name="calcCh1Prod3Slot1Promo2PlanEmp1Req">Calc!$E$5959:$E$5959</definedName>
    <definedName name="calcCh1Prod3Slot1Promo2PlanExp">Calc!$E$5960:$E$5960</definedName>
    <definedName name="calcCh1Prod3Slot1Promo2PlanShare">Calc!$E$1661:$E$1661</definedName>
    <definedName name="calcCh1Prod3Slot1Promo2PricePLitre">Calc!$E$2091:$E$2091</definedName>
    <definedName name="calcCh1Prod3Slot1Promo2ROI">Calc!$E$6496:$E$6496</definedName>
    <definedName name="calcCh1Prod3Slot1Promo2Seg1Efficiency">Calc!$E$602:$E$602</definedName>
    <definedName name="calcCh1Prod3Slot1Promo2Seg1Fit">Calc!$E$601:$E$601</definedName>
    <definedName name="calcCh1Prod3Slot1Promo2Seg1Share">Calc!$E$603:$E$603</definedName>
    <definedName name="calcCh1Prod3Slot1Promo2Seg1ShareBase">Calc!$E$603:$E$603</definedName>
    <definedName name="calcCh1Prod3Slot1Promo2Seg2Efficiency">Calc!$E$608:$E$608</definedName>
    <definedName name="calcCh1Prod3Slot1Promo2Seg2Fit">Calc!$E$607:$E$607</definedName>
    <definedName name="calcCh1Prod3Slot1Promo2Seg2Share">Calc!$E$609:$E$609</definedName>
    <definedName name="calcCh1Prod3Slot1Promo2Seg2ShareBase">Calc!$E$609:$E$609</definedName>
    <definedName name="calcCh1Prod3Slot1Promo2Seg3Efficiency">Calc!$E$614:$E$614</definedName>
    <definedName name="calcCh1Prod3Slot1Promo2Seg3Fit">Calc!$E$613:$E$613</definedName>
    <definedName name="calcCh1Prod3Slot1Promo2Seg3Share">Calc!$E$615:$E$615</definedName>
    <definedName name="calcCh1Prod3Slot1Promo2Seg3ShareBase">Calc!$E$615:$E$615</definedName>
    <definedName name="calcCh1Prod3Slot1Promo2Seg4Efficiency">Calc!$E$620:$E$620</definedName>
    <definedName name="calcCh1Prod3Slot1Promo2Seg4Fit">Calc!$E$619:$E$619</definedName>
    <definedName name="calcCh1Prod3Slot1Promo2Seg4Share">Calc!$E$621:$E$621</definedName>
    <definedName name="calcCh1Prod3Slot1Promo2Seg4ShareBase">Calc!$E$621:$E$621</definedName>
    <definedName name="calcCh1Prod3Slot1Promo2Vol">Calc!$E$2090:$E$2090</definedName>
    <definedName name="calcCh1Prod3Slot1Promo2VolPWeek">Calc!$E$6485:$E$6485</definedName>
    <definedName name="calcCh1Prod3Slot1Promo2VolUplift">Calc!$E$6486:$E$6486</definedName>
    <definedName name="calcCh1Prod3Slot1Promo2Weeks">Calc!$E$597:$E$597</definedName>
    <definedName name="calcCh1Prod3Slot1Seg1PackFit">Calc!$E$3862:$E$3862</definedName>
    <definedName name="calcCh1Prod3Slot1Seg2PackFit">Calc!$E$3864:$E$3864</definedName>
    <definedName name="calcCh1Prod3Slot1Seg3PackFit">Calc!$E$3866:$E$3866</definedName>
    <definedName name="calcCh1Prod3Slot1Seg4PackFit">Calc!$E$3868:$E$3868</definedName>
    <definedName name="calcCh1Prod3Slot1ShelfPrice">Calc!$E$1656:$E$1656</definedName>
    <definedName name="calcCh1Prod3Slot1TotalVolSold">Calc!$E$2094:$E$2094</definedName>
    <definedName name="calcCh1Prod3Slot1ValDrivExp">Calc!$E$5153:$E$5153</definedName>
    <definedName name="calcCh1Prod3Slot1VolForecastSlot">Calc!$E$172:$E$172</definedName>
    <definedName name="calcCh1Prod3Slot1WD">Calc!$E$5415:$E$5415</definedName>
    <definedName name="calcCh1Prod3Slot2Active">Calc!$E$45:$E$45</definedName>
    <definedName name="calcCh1Prod3Slot2AvgPrice">Calc!$E$2105:$E$2105</definedName>
    <definedName name="calcCh1Prod3Slot2AvgSalePrice">Calc!$E$1674:$E$1674</definedName>
    <definedName name="calcCh1Prod3Slot2BaseCustProfPWeek">Calc!$E$6507:$E$6507</definedName>
    <definedName name="calcCh1Prod3Slot2BaseCustUplift">Calc!$E$6507:$E$6507</definedName>
    <definedName name="calcCh1Prod3Slot2BaseGPaLPUnit">Calc!$E$6505:$E$6505</definedName>
    <definedName name="calcCh1Prod3Slot2BaseGPaLPWeek">Calc!$E$6506:$E$6506</definedName>
    <definedName name="calcCh1Prod3Slot2BaseVolPWeek">Calc!$E$6504:$E$6504</definedName>
    <definedName name="calcCh1Prod3Slot2ChVolShare">Calc!$E$7860:$E$7860</definedName>
    <definedName name="calcCh1Prod3Slot2CustPrice">Calc!$E$1666:$E$1666</definedName>
    <definedName name="calcCh1Prod3Slot2CustProfitBase">Calc!$E$2649:$E$2649</definedName>
    <definedName name="calcCh1Prod3Slot2CustProfitBaseMarginAbs">Calc!$E$2645:$E$2645</definedName>
    <definedName name="calcCh1Prod3Slot2CustProfitBaseMarginPct">Calc!$E$2646:$E$2646</definedName>
    <definedName name="calcCh1Prod3Slot2CustProfitBaseVol">Calc!$E$2647:$E$2647</definedName>
    <definedName name="calcCh1Prod3Slot2CustProfitPromo1">Calc!$E$2655:$E$2655</definedName>
    <definedName name="calcCh1Prod3Slot2CustProfitPromo1MarginAbs">Calc!$E$2652:$E$2652</definedName>
    <definedName name="calcCh1Prod3Slot2CustProfitPromo1Vol">Calc!$E$2653:$E$2653</definedName>
    <definedName name="calcCh1Prod3Slot2CustProfitPromo2">Calc!$E$2661:$E$2661</definedName>
    <definedName name="calcCh1Prod3Slot2CustProfitPromo2MarginAbs">Calc!$E$2658:$E$2658</definedName>
    <definedName name="calcCh1Prod3Slot2CustProfitPromo2Vol">Calc!$E$2659:$E$2659</definedName>
    <definedName name="calcCh1Prod3Slot2CustProfitTot">Calc!$E$2663:$E$2663</definedName>
    <definedName name="CalcCh1Prod3Slot2Depreciation">Calc!$E$3599:$E$3599</definedName>
    <definedName name="CalcCh1Prod3Slot2DepreciationPUnit">Calc!$E$3671:$E$3671</definedName>
    <definedName name="CalcCh1Prod3Slot2ManufacturingCostPUnit">Calc!$E$3524:$E$3524</definedName>
    <definedName name="calcCh1Prod3Slot2NoPromoPricePLitre">Calc!$E$2103:$E$2103</definedName>
    <definedName name="calcCh1Prod3Slot2NoPromoVol">Calc!$E$2102:$E$2102</definedName>
    <definedName name="calcCh1Prod3Slot2Pack">Calc!$E$3871:$E$3871</definedName>
    <definedName name="calcCh1Prod3Slot2PackFitBase">Calc!$E$3875:$E$3875</definedName>
    <definedName name="calcCh1Prod3Slot2PriceDif">Calc!$E$8014:$E$8014</definedName>
    <definedName name="calcCh1Prod3Slot2Promo1CustPrice">Calc!$E$1670:$E$1670</definedName>
    <definedName name="calcCh1Prod3Slot2Promo1CustProfPWeek">Calc!$E$6527:$E$6527</definedName>
    <definedName name="calcCh1Prod3Slot2Promo1CustUplift">Calc!$E$6527:$E$6527</definedName>
    <definedName name="calcCh1Prod3Slot2Promo1GPaLPUnit">Calc!$E$6515:$E$6515</definedName>
    <definedName name="calcCh1Prod3Slot2Promo1GPaLPWeek">Calc!$E$6516:$E$6516</definedName>
    <definedName name="calcCh1Prod3Slot2Promo1GPaLUplift">Calc!$E$6517:$E$6517</definedName>
    <definedName name="calcCh1Prod3Slot2Promo1Plan">Calc!$E$624:$E$624</definedName>
    <definedName name="calcCh1Prod3Slot2Promo1PlanEmp1Req">Calc!$E$5888:$E$5888</definedName>
    <definedName name="calcCh1Prod3Slot2Promo1PlanExp">Calc!$E$5889:$E$5889</definedName>
    <definedName name="calcCh1Prod3Slot2Promo1PlanShare">Calc!$E$1669:$E$1669</definedName>
    <definedName name="calcCh1Prod3Slot2Promo1PricePLitre">Calc!$E$2099:$E$2099</definedName>
    <definedName name="calcCh1Prod3Slot2Promo1ROI">Calc!$E$6522:$E$6522</definedName>
    <definedName name="calcCh1Prod3Slot2Promo1Seg1Efficiency">Calc!$E$630:$E$630</definedName>
    <definedName name="calcCh1Prod3Slot2Promo1Seg1Fit">Calc!$E$629:$E$629</definedName>
    <definedName name="calcCh1Prod3Slot2Promo1Seg1Share">Calc!$E$631:$E$631</definedName>
    <definedName name="calcCh1Prod3Slot2Promo1Seg1ShareBase">Calc!$E$631:$E$631</definedName>
    <definedName name="calcCh1Prod3Slot2Promo1Seg2Efficiency">Calc!$E$636:$E$636</definedName>
    <definedName name="calcCh1Prod3Slot2Promo1Seg2Fit">Calc!$E$635:$E$635</definedName>
    <definedName name="calcCh1Prod3Slot2Promo1Seg2Share">Calc!$E$637:$E$637</definedName>
    <definedName name="calcCh1Prod3Slot2Promo1Seg2ShareBase">Calc!$E$637:$E$637</definedName>
    <definedName name="calcCh1Prod3Slot2Promo1Seg3Efficiency">Calc!$E$642:$E$642</definedName>
    <definedName name="calcCh1Prod3Slot2Promo1Seg3Fit">Calc!$E$641:$E$641</definedName>
    <definedName name="calcCh1Prod3Slot2Promo1Seg3Share">Calc!$E$643:$E$643</definedName>
    <definedName name="calcCh1Prod3Slot2Promo1Seg3ShareBase">Calc!$E$643:$E$643</definedName>
    <definedName name="calcCh1Prod3Slot2Promo1Seg4Efficiency">Calc!$E$648:$E$648</definedName>
    <definedName name="calcCh1Prod3Slot2Promo1Seg4Fit">Calc!$E$647:$E$647</definedName>
    <definedName name="calcCh1Prod3Slot2Promo1Seg4Share">Calc!$E$649:$E$649</definedName>
    <definedName name="calcCh1Prod3Slot2Promo1Seg4ShareBase">Calc!$E$649:$E$649</definedName>
    <definedName name="calcCh1Prod3Slot2Promo1Vol">Calc!$E$2098:$E$2098</definedName>
    <definedName name="calcCh1Prod3Slot2Promo1VolPWeek">Calc!$E$6511:$E$6511</definedName>
    <definedName name="calcCh1Prod3Slot2Promo1VolUplift">Calc!$E$6512:$E$6512</definedName>
    <definedName name="calcCh1Prod3Slot2Promo1Weeks">Calc!$E$625:$E$625</definedName>
    <definedName name="calcCh1Prod3Slot2Promo2CustPrice">Calc!$E$1673:$E$1673</definedName>
    <definedName name="calcCh1Prod3Slot2Promo2CustProfPWeek">Calc!$E$6547:$E$6547</definedName>
    <definedName name="calcCh1Prod3Slot2Promo2CustUplift">Calc!$E$6547:$E$6547</definedName>
    <definedName name="calcCh1Prod3Slot2Promo2GPaLPUnit">Calc!$E$6535:$E$6535</definedName>
    <definedName name="calcCh1Prod3Slot2Promo2GPaLPWeek">Calc!$E$6536:$E$6536</definedName>
    <definedName name="calcCh1Prod3Slot2Promo2GPaLUplift">Calc!$E$6537:$E$6537</definedName>
    <definedName name="calcCh1Prod3Slot2Promo2Plan">Calc!$E$651:$E$651</definedName>
    <definedName name="calcCh1Prod3Slot2Promo2PlanEmp1Req">Calc!$E$5965:$E$5965</definedName>
    <definedName name="calcCh1Prod3Slot2Promo2PlanExp">Calc!$E$5966:$E$5966</definedName>
    <definedName name="calcCh1Prod3Slot2Promo2PlanShare">Calc!$E$1672:$E$1672</definedName>
    <definedName name="calcCh1Prod3Slot2Promo2PricePLitre">Calc!$E$2101:$E$2101</definedName>
    <definedName name="calcCh1Prod3Slot2Promo2ROI">Calc!$E$6542:$E$6542</definedName>
    <definedName name="calcCh1Prod3Slot2Promo2Seg1Efficiency">Calc!$E$657:$E$657</definedName>
    <definedName name="calcCh1Prod3Slot2Promo2Seg1Fit">Calc!$E$656:$E$656</definedName>
    <definedName name="calcCh1Prod3Slot2Promo2Seg1Share">Calc!$E$658:$E$658</definedName>
    <definedName name="calcCh1Prod3Slot2Promo2Seg1ShareBase">Calc!$E$658:$E$658</definedName>
    <definedName name="calcCh1Prod3Slot2Promo2Seg2Efficiency">Calc!$E$663:$E$663</definedName>
    <definedName name="calcCh1Prod3Slot2Promo2Seg2Fit">Calc!$E$662:$E$662</definedName>
    <definedName name="calcCh1Prod3Slot2Promo2Seg2Share">Calc!$E$664:$E$664</definedName>
    <definedName name="calcCh1Prod3Slot2Promo2Seg2ShareBase">Calc!$E$664:$E$664</definedName>
    <definedName name="calcCh1Prod3Slot2Promo2Seg3Efficiency">Calc!$E$669:$E$669</definedName>
    <definedName name="calcCh1Prod3Slot2Promo2Seg3Fit">Calc!$E$668:$E$668</definedName>
    <definedName name="calcCh1Prod3Slot2Promo2Seg3Share">Calc!$E$670:$E$670</definedName>
    <definedName name="calcCh1Prod3Slot2Promo2Seg3ShareBase">Calc!$E$670:$E$670</definedName>
    <definedName name="calcCh1Prod3Slot2Promo2Seg4Efficiency">Calc!$E$675:$E$675</definedName>
    <definedName name="calcCh1Prod3Slot2Promo2Seg4Fit">Calc!$E$674:$E$674</definedName>
    <definedName name="calcCh1Prod3Slot2Promo2Seg4Share">Calc!$E$676:$E$676</definedName>
    <definedName name="calcCh1Prod3Slot2Promo2Seg4ShareBase">Calc!$E$676:$E$676</definedName>
    <definedName name="calcCh1Prod3Slot2Promo2Vol">Calc!$E$2100:$E$2100</definedName>
    <definedName name="calcCh1Prod3Slot2Promo2VolPWeek">Calc!$E$6531:$E$6531</definedName>
    <definedName name="calcCh1Prod3Slot2Promo2VolUplift">Calc!$E$6532:$E$6532</definedName>
    <definedName name="calcCh1Prod3Slot2Promo2Weeks">Calc!$E$652:$E$652</definedName>
    <definedName name="calcCh1Prod3Slot2Seg1PackFit">Calc!$E$3879:$E$3879</definedName>
    <definedName name="calcCh1Prod3Slot2Seg2PackFit">Calc!$E$3881:$E$3881</definedName>
    <definedName name="calcCh1Prod3Slot2Seg3PackFit">Calc!$E$3883:$E$3883</definedName>
    <definedName name="calcCh1Prod3Slot2Seg4PackFit">Calc!$E$3885:$E$3885</definedName>
    <definedName name="calcCh1Prod3Slot2ShelfPrice">Calc!$E$1667:$E$1667</definedName>
    <definedName name="calcCh1Prod3Slot2TotalVolSold">Calc!$E$2104:$E$2104</definedName>
    <definedName name="calcCh1Prod3Slot2ValDrivExp">Calc!$E$5154:$E$5154</definedName>
    <definedName name="calcCh1Prod3Slot2VolForecastSlot">Calc!$E$173:$E$173</definedName>
    <definedName name="calcCh1Prod3Slot2WD">Calc!$E$5419:$E$5419</definedName>
    <definedName name="calcCh1Prod3Slot3Active">Calc!$E$46:$E$46</definedName>
    <definedName name="calcCh1Prod3Slot3AvgPrice">Calc!$E$2115:$E$2115</definedName>
    <definedName name="calcCh1Prod3Slot3AvgSalePrice">Calc!$E$1685:$E$1685</definedName>
    <definedName name="calcCh1Prod3Slot3BaseCustProfPWeek">Calc!$E$6553:$E$6553</definedName>
    <definedName name="calcCh1Prod3Slot3BaseCustUplift">Calc!$E$6553:$E$6553</definedName>
    <definedName name="calcCh1Prod3Slot3BaseGPaLPUnit">Calc!$E$6551:$E$6551</definedName>
    <definedName name="calcCh1Prod3Slot3BaseGPaLPWeek">Calc!$E$6552:$E$6552</definedName>
    <definedName name="calcCh1Prod3Slot3BaseVolPWeek">Calc!$E$6550:$E$6550</definedName>
    <definedName name="calcCh1Prod3Slot3ChVolShare">Calc!$E$7861:$E$7861</definedName>
    <definedName name="calcCh1Prod3Slot3CustPrice">Calc!$E$1677:$E$1677</definedName>
    <definedName name="calcCh1Prod3Slot3CustProfitBase">Calc!$E$2671:$E$2671</definedName>
    <definedName name="calcCh1Prod3Slot3CustProfitBaseMarginAbs">Calc!$E$2667:$E$2667</definedName>
    <definedName name="calcCh1Prod3Slot3CustProfitBaseMarginPct">Calc!$E$2668:$E$2668</definedName>
    <definedName name="calcCh1Prod3Slot3CustProfitBaseVol">Calc!$E$2669:$E$2669</definedName>
    <definedName name="calcCh1Prod3Slot3CustProfitPromo1">Calc!$E$2677:$E$2677</definedName>
    <definedName name="calcCh1Prod3Slot3CustProfitPromo1MarginAbs">Calc!$E$2674:$E$2674</definedName>
    <definedName name="calcCh1Prod3Slot3CustProfitPromo1Vol">Calc!$E$2675:$E$2675</definedName>
    <definedName name="calcCh1Prod3Slot3CustProfitPromo2">Calc!$E$2683:$E$2683</definedName>
    <definedName name="calcCh1Prod3Slot3CustProfitPromo2MarginAbs">Calc!$E$2680:$E$2680</definedName>
    <definedName name="calcCh1Prod3Slot3CustProfitPromo2Vol">Calc!$E$2681:$E$2681</definedName>
    <definedName name="calcCh1Prod3Slot3CustProfitTot">Calc!$E$2685:$E$2685</definedName>
    <definedName name="CalcCh1Prod3Slot3Depreciation">Calc!$E$3600:$E$3600</definedName>
    <definedName name="CalcCh1Prod3Slot3DepreciationPUnit">Calc!$E$3672:$E$3672</definedName>
    <definedName name="CalcCh1Prod3Slot3ManufacturingCostPUnit">Calc!$E$3525:$E$3525</definedName>
    <definedName name="calcCh1Prod3Slot3NoPromoPricePLitre">Calc!$E$2113:$E$2113</definedName>
    <definedName name="calcCh1Prod3Slot3NoPromoVol">Calc!$E$2112:$E$2112</definedName>
    <definedName name="calcCh1Prod3Slot3Pack">Calc!$E$3888:$E$3888</definedName>
    <definedName name="calcCh1Prod3Slot3PackFitBase">Calc!$E$3892:$E$3892</definedName>
    <definedName name="calcCh1Prod3Slot3PriceDif">Calc!$E$8015:$E$8015</definedName>
    <definedName name="calcCh1Prod3Slot3Promo1CustPrice">Calc!$E$1681:$E$1681</definedName>
    <definedName name="calcCh1Prod3Slot3Promo1CustProfPWeek">Calc!$E$6573:$E$6573</definedName>
    <definedName name="calcCh1Prod3Slot3Promo1CustUplift">Calc!$E$6573:$E$6573</definedName>
    <definedName name="calcCh1Prod3Slot3Promo1GPaLPUnit">Calc!$E$6561:$E$6561</definedName>
    <definedName name="calcCh1Prod3Slot3Promo1GPaLPWeek">Calc!$E$6562:$E$6562</definedName>
    <definedName name="calcCh1Prod3Slot3Promo1GPaLUplift">Calc!$E$6563:$E$6563</definedName>
    <definedName name="calcCh1Prod3Slot3Promo1Plan">Calc!$E$679:$E$679</definedName>
    <definedName name="calcCh1Prod3Slot3Promo1PlanEmp1Req">Calc!$E$5894:$E$5894</definedName>
    <definedName name="calcCh1Prod3Slot3Promo1PlanExp">Calc!$E$5895:$E$5895</definedName>
    <definedName name="calcCh1Prod3Slot3Promo1PlanShare">Calc!$E$1680:$E$1680</definedName>
    <definedName name="calcCh1Prod3Slot3Promo1PricePLitre">Calc!$E$2109:$E$2109</definedName>
    <definedName name="calcCh1Prod3Slot3Promo1ROI">Calc!$E$6568:$E$6568</definedName>
    <definedName name="calcCh1Prod3Slot3Promo1Seg1Efficiency">Calc!$E$685:$E$685</definedName>
    <definedName name="calcCh1Prod3Slot3Promo1Seg1Fit">Calc!$E$684:$E$684</definedName>
    <definedName name="calcCh1Prod3Slot3Promo1Seg1Share">Calc!$E$686:$E$686</definedName>
    <definedName name="calcCh1Prod3Slot3Promo1Seg1ShareBase">Calc!$E$686:$E$686</definedName>
    <definedName name="calcCh1Prod3Slot3Promo1Seg2Efficiency">Calc!$E$691:$E$691</definedName>
    <definedName name="calcCh1Prod3Slot3Promo1Seg2Fit">Calc!$E$690:$E$690</definedName>
    <definedName name="calcCh1Prod3Slot3Promo1Seg2Share">Calc!$E$692:$E$692</definedName>
    <definedName name="calcCh1Prod3Slot3Promo1Seg2ShareBase">Calc!$E$692:$E$692</definedName>
    <definedName name="calcCh1Prod3Slot3Promo1Seg3Efficiency">Calc!$E$697:$E$697</definedName>
    <definedName name="calcCh1Prod3Slot3Promo1Seg3Fit">Calc!$E$696:$E$696</definedName>
    <definedName name="calcCh1Prod3Slot3Promo1Seg3Share">Calc!$E$698:$E$698</definedName>
    <definedName name="calcCh1Prod3Slot3Promo1Seg3ShareBase">Calc!$E$698:$E$698</definedName>
    <definedName name="calcCh1Prod3Slot3Promo1Seg4Efficiency">Calc!$E$703:$E$703</definedName>
    <definedName name="calcCh1Prod3Slot3Promo1Seg4Fit">Calc!$E$702:$E$702</definedName>
    <definedName name="calcCh1Prod3Slot3Promo1Seg4Share">Calc!$E$704:$E$704</definedName>
    <definedName name="calcCh1Prod3Slot3Promo1Seg4ShareBase">Calc!$E$704:$E$704</definedName>
    <definedName name="calcCh1Prod3Slot3Promo1Vol">Calc!$E$2108:$E$2108</definedName>
    <definedName name="calcCh1Prod3Slot3Promo1VolPWeek">Calc!$E$6557:$E$6557</definedName>
    <definedName name="calcCh1Prod3Slot3Promo1VolUplift">Calc!$E$6558:$E$6558</definedName>
    <definedName name="calcCh1Prod3Slot3Promo1Weeks">Calc!$E$680:$E$680</definedName>
    <definedName name="calcCh1Prod3Slot3Promo2CustPrice">Calc!$E$1684:$E$1684</definedName>
    <definedName name="calcCh1Prod3Slot3Promo2CustProfPWeek">Calc!$E$6593:$E$6593</definedName>
    <definedName name="calcCh1Prod3Slot3Promo2CustUplift">Calc!$E$6593:$E$6593</definedName>
    <definedName name="calcCh1Prod3Slot3Promo2GPaLPUnit">Calc!$E$6581:$E$6581</definedName>
    <definedName name="calcCh1Prod3Slot3Promo2GPaLPWeek">Calc!$E$6582:$E$6582</definedName>
    <definedName name="calcCh1Prod3Slot3Promo2GPaLUplift">Calc!$E$6583:$E$6583</definedName>
    <definedName name="calcCh1Prod3Slot3Promo2Plan">Calc!$E$706:$E$706</definedName>
    <definedName name="calcCh1Prod3Slot3Promo2PlanEmp1Req">Calc!$E$5971:$E$5971</definedName>
    <definedName name="calcCh1Prod3Slot3Promo2PlanExp">Calc!$E$5972:$E$5972</definedName>
    <definedName name="calcCh1Prod3Slot3Promo2PlanShare">Calc!$E$1683:$E$1683</definedName>
    <definedName name="calcCh1Prod3Slot3Promo2PricePLitre">Calc!$E$2111:$E$2111</definedName>
    <definedName name="calcCh1Prod3Slot3Promo2ROI">Calc!$E$6588:$E$6588</definedName>
    <definedName name="calcCh1Prod3Slot3Promo2Seg1Efficiency">Calc!$E$712:$E$712</definedName>
    <definedName name="calcCh1Prod3Slot3Promo2Seg1Fit">Calc!$E$711:$E$711</definedName>
    <definedName name="calcCh1Prod3Slot3Promo2Seg1Share">Calc!$E$713:$E$713</definedName>
    <definedName name="calcCh1Prod3Slot3Promo2Seg1ShareBase">Calc!$E$713:$E$713</definedName>
    <definedName name="calcCh1Prod3Slot3Promo2Seg2Efficiency">Calc!$E$718:$E$718</definedName>
    <definedName name="calcCh1Prod3Slot3Promo2Seg2Fit">Calc!$E$717:$E$717</definedName>
    <definedName name="calcCh1Prod3Slot3Promo2Seg2Share">Calc!$E$719:$E$719</definedName>
    <definedName name="calcCh1Prod3Slot3Promo2Seg2ShareBase">Calc!$E$719:$E$719</definedName>
    <definedName name="calcCh1Prod3Slot3Promo2Seg3Efficiency">Calc!$E$724:$E$724</definedName>
    <definedName name="calcCh1Prod3Slot3Promo2Seg3Fit">Calc!$E$723:$E$723</definedName>
    <definedName name="calcCh1Prod3Slot3Promo2Seg3Share">Calc!$E$725:$E$725</definedName>
    <definedName name="calcCh1Prod3Slot3Promo2Seg3ShareBase">Calc!$E$725:$E$725</definedName>
    <definedName name="calcCh1Prod3Slot3Promo2Seg4Efficiency">Calc!$E$730:$E$730</definedName>
    <definedName name="calcCh1Prod3Slot3Promo2Seg4Fit">Calc!$E$729:$E$729</definedName>
    <definedName name="calcCh1Prod3Slot3Promo2Seg4Share">Calc!$E$731:$E$731</definedName>
    <definedName name="calcCh1Prod3Slot3Promo2Seg4ShareBase">Calc!$E$731:$E$731</definedName>
    <definedName name="calcCh1Prod3Slot3Promo2Vol">Calc!$E$2110:$E$2110</definedName>
    <definedName name="calcCh1Prod3Slot3Promo2VolPWeek">Calc!$E$6577:$E$6577</definedName>
    <definedName name="calcCh1Prod3Slot3Promo2VolUplift">Calc!$E$6578:$E$6578</definedName>
    <definedName name="calcCh1Prod3Slot3Promo2Weeks">Calc!$E$707:$E$707</definedName>
    <definedName name="calcCh1Prod3Slot3Seg1PackFit">Calc!$E$3896:$E$3896</definedName>
    <definedName name="calcCh1Prod3Slot3Seg2PackFit">Calc!$E$3898:$E$3898</definedName>
    <definedName name="calcCh1Prod3Slot3Seg3PackFit">Calc!$E$3900:$E$3900</definedName>
    <definedName name="calcCh1Prod3Slot3Seg4PackFit">Calc!$E$3902:$E$3902</definedName>
    <definedName name="calcCh1Prod3Slot3ShelfPrice">Calc!$E$1678:$E$1678</definedName>
    <definedName name="calcCh1Prod3Slot3TotalVolSold">Calc!$E$2114:$E$2114</definedName>
    <definedName name="calcCh1Prod3Slot3ValDrivExp">Calc!$E$5155:$E$5155</definedName>
    <definedName name="calcCh1Prod3Slot3VolForecastSlot">Calc!$E$174:$E$174</definedName>
    <definedName name="calcCh1Prod3Slot3WD">Calc!$E$5423:$E$5423</definedName>
    <definedName name="calcCh1Prod3SlotsEnd">Calc!$E$7409:$E$7409</definedName>
    <definedName name="calcCh1Prod3SlotsNew">Calc!$E$7408:$E$7408</definedName>
    <definedName name="calcCh1Prod3SlotsNextEmp1Req">Calc!$E$7412:$E$7412</definedName>
    <definedName name="calcCh1Prod3SlotsNextExp">Calc!$E$7413:$E$7413</definedName>
    <definedName name="calcCh1Prod3SlotsStart">Calc!$E$7407:$E$7407</definedName>
    <definedName name="calcCh1Prod3SlotsTotEmp1Req">Calc!$E$7415:$E$7415</definedName>
    <definedName name="calcCh1Prod3SlotsTotExp">Calc!$E$7416:$E$7416</definedName>
    <definedName name="calcCh1Prod3SlotTotActive">Calc!$E$48:$E$48</definedName>
    <definedName name="calcCh1Prod3TotalVolSold">Calc!$E$2119:$E$2119</definedName>
    <definedName name="calcCh1Prod3VolForecastProd">Calc!$E$8:$E$8</definedName>
    <definedName name="calcCh1Prod3VolSoldNoPromo">Calc!$E$2122:$E$2122</definedName>
    <definedName name="calcCh1Prod3VolSoldPromo1">Calc!$E$2125:$E$2125</definedName>
    <definedName name="calcCh1Prod3VolSoldPromo2">Calc!$E$2127:$E$2127</definedName>
    <definedName name="calcCh1Prod4AvgCustPrice">Calc!$E$2169:$E$2169</definedName>
    <definedName name="calcCh1Prod4AvgPrice">Calc!$E$2166:$E$2166</definedName>
    <definedName name="calcCh1Prod4AvgPricePromo1">Calc!$E$2172:$E$2172</definedName>
    <definedName name="calcCh1Prod4AvgPricePromo2">Calc!$E$2174:$E$2174</definedName>
    <definedName name="calcCh1Prod4AvgPromoPrice">Calc!$E$2176:$E$2176</definedName>
    <definedName name="calcCh1Prod4CustProfitTot">Calc!$E$2757:$E$2757</definedName>
    <definedName name="calcCh1Prod4PromoROIavg">Calc!$E$8167:$E$8167</definedName>
    <definedName name="calcCh1Prod4Seg1AssortmentFit">Calc!$E$4664:$E$4664</definedName>
    <definedName name="calcCh1Prod4Seg2AssortmentFit">Calc!$E$4671:$E$4671</definedName>
    <definedName name="calcCh1Prod4Seg3AssortmentFit">Calc!$E$4678:$E$4678</definedName>
    <definedName name="calcCh1Prod4Seg4AssortmentFit">Calc!$E$4685:$E$4685</definedName>
    <definedName name="calcCh1Prod4Slot1Active">Calc!$E$51:$E$51</definedName>
    <definedName name="calcCh1Prod4Slot1AvgPrice">Calc!$E$2141:$E$2141</definedName>
    <definedName name="calcCh1Prod4Slot1AvgSalePrice">Calc!$E$1697:$E$1697</definedName>
    <definedName name="calcCh1Prod4Slot1BaseCustProfPWeek">Calc!$E$6600:$E$6600</definedName>
    <definedName name="calcCh1Prod4Slot1BaseCustUplift">Calc!$E$6600:$E$6600</definedName>
    <definedName name="calcCh1Prod4Slot1BaseGPaLPUnit">Calc!$E$6598:$E$6598</definedName>
    <definedName name="calcCh1Prod4Slot1BaseGPaLPWeek">Calc!$E$6599:$E$6599</definedName>
    <definedName name="calcCh1Prod4Slot1BaseVolPWeek">Calc!$E$6597:$E$6597</definedName>
    <definedName name="calcCh1Prod4Slot1ChVolShare">Calc!$E$7863:$E$7863</definedName>
    <definedName name="calcCh1Prod4Slot1CustPrice">Calc!$E$1689:$E$1689</definedName>
    <definedName name="calcCh1Prod4Slot1CustProfitBase">Calc!$E$2693:$E$2693</definedName>
    <definedName name="calcCh1Prod4Slot1CustProfitBaseMarginAbs">Calc!$E$2689:$E$2689</definedName>
    <definedName name="calcCh1Prod4Slot1CustProfitBaseMarginPct">Calc!$E$2690:$E$2690</definedName>
    <definedName name="calcCh1Prod4Slot1CustProfitBaseVol">Calc!$E$2691:$E$2691</definedName>
    <definedName name="calcCh1Prod4Slot1CustProfitPromo1">Calc!$E$2699:$E$2699</definedName>
    <definedName name="calcCh1Prod4Slot1CustProfitPromo1MarginAbs">Calc!$E$2696:$E$2696</definedName>
    <definedName name="calcCh1Prod4Slot1CustProfitPromo1Vol">Calc!$E$2697:$E$2697</definedName>
    <definedName name="calcCh1Prod4Slot1CustProfitPromo2">Calc!$E$2705:$E$2705</definedName>
    <definedName name="calcCh1Prod4Slot1CustProfitPromo2MarginAbs">Calc!$E$2702:$E$2702</definedName>
    <definedName name="calcCh1Prod4Slot1CustProfitPromo2Vol">Calc!$E$2703:$E$2703</definedName>
    <definedName name="calcCh1Prod4Slot1CustProfitTot">Calc!$E$2707:$E$2707</definedName>
    <definedName name="CalcCh1Prod4Slot1Depreciation">Calc!$E$3602:$E$3602</definedName>
    <definedName name="CalcCh1Prod4Slot1DepreciationPUnit">Calc!$E$3674:$E$3674</definedName>
    <definedName name="CalcCh1Prod4Slot1ManufacturingCostPUnit">Calc!$E$3527:$E$3527</definedName>
    <definedName name="calcCh1Prod4Slot1NoPromoPricePLitre">Calc!$E$2139:$E$2139</definedName>
    <definedName name="calcCh1Prod4Slot1NoPromoVol">Calc!$E$2138:$E$2138</definedName>
    <definedName name="calcCh1Prod4Slot1Pack">Calc!$E$3905:$E$3905</definedName>
    <definedName name="calcCh1Prod4Slot1PackFitBase">Calc!$E$3909:$E$3909</definedName>
    <definedName name="calcCh1Prod4Slot1PriceDif">Calc!$E$8021:$E$8021</definedName>
    <definedName name="calcCh1Prod4Slot1Promo1CustPrice">Calc!$E$1693:$E$1693</definedName>
    <definedName name="calcCh1Prod4Slot1Promo1CustProfPWeek">Calc!$E$6620:$E$6620</definedName>
    <definedName name="calcCh1Prod4Slot1Promo1CustUplift">Calc!$E$6620:$E$6620</definedName>
    <definedName name="calcCh1Prod4Slot1Promo1GPaLPUnit">Calc!$E$6608:$E$6608</definedName>
    <definedName name="calcCh1Prod4Slot1Promo1GPaLPWeek">Calc!$E$6609:$E$6609</definedName>
    <definedName name="calcCh1Prod4Slot1Promo1GPaLUplift">Calc!$E$6610:$E$6610</definedName>
    <definedName name="calcCh1Prod4Slot1Promo1Plan">Calc!$E$735:$E$735</definedName>
    <definedName name="calcCh1Prod4Slot1Promo1PlanEmp1Req">Calc!$E$5900:$E$5900</definedName>
    <definedName name="calcCh1Prod4Slot1Promo1PlanExp">Calc!$E$5901:$E$5901</definedName>
    <definedName name="calcCh1Prod4Slot1Promo1PlanShare">Calc!$E$1692:$E$1692</definedName>
    <definedName name="calcCh1Prod4Slot1Promo1PricePLitre">Calc!$E$2135:$E$2135</definedName>
    <definedName name="calcCh1Prod4Slot1Promo1ROI">Calc!$E$6615:$E$6615</definedName>
    <definedName name="calcCh1Prod4Slot1Promo1Seg1Efficiency">Calc!$E$741:$E$741</definedName>
    <definedName name="calcCh1Prod4Slot1Promo1Seg1Fit">Calc!$E$740:$E$740</definedName>
    <definedName name="calcCh1Prod4Slot1Promo1Seg1Share">Calc!$E$742:$E$742</definedName>
    <definedName name="calcCh1Prod4Slot1Promo1Seg1ShareBase">Calc!$E$742:$E$742</definedName>
    <definedName name="calcCh1Prod4Slot1Promo1Seg2Efficiency">Calc!$E$747:$E$747</definedName>
    <definedName name="calcCh1Prod4Slot1Promo1Seg2Fit">Calc!$E$746:$E$746</definedName>
    <definedName name="calcCh1Prod4Slot1Promo1Seg2Share">Calc!$E$748:$E$748</definedName>
    <definedName name="calcCh1Prod4Slot1Promo1Seg2ShareBase">Calc!$E$748:$E$748</definedName>
    <definedName name="calcCh1Prod4Slot1Promo1Seg3Efficiency">Calc!$E$753:$E$753</definedName>
    <definedName name="calcCh1Prod4Slot1Promo1Seg3Fit">Calc!$E$752:$E$752</definedName>
    <definedName name="calcCh1Prod4Slot1Promo1Seg3Share">Calc!$E$754:$E$754</definedName>
    <definedName name="calcCh1Prod4Slot1Promo1Seg3ShareBase">Calc!$E$754:$E$754</definedName>
    <definedName name="calcCh1Prod4Slot1Promo1Seg4Efficiency">Calc!$E$759:$E$759</definedName>
    <definedName name="calcCh1Prod4Slot1Promo1Seg4Fit">Calc!$E$758:$E$758</definedName>
    <definedName name="calcCh1Prod4Slot1Promo1Seg4Share">Calc!$E$760:$E$760</definedName>
    <definedName name="calcCh1Prod4Slot1Promo1Seg4ShareBase">Calc!$E$760:$E$760</definedName>
    <definedName name="calcCh1Prod4Slot1Promo1Vol">Calc!$E$2134:$E$2134</definedName>
    <definedName name="calcCh1Prod4Slot1Promo1VolPWeek">Calc!$E$6604:$E$6604</definedName>
    <definedName name="calcCh1Prod4Slot1Promo1VolUplift">Calc!$E$6605:$E$6605</definedName>
    <definedName name="calcCh1Prod4Slot1Promo1Weeks">Calc!$E$736:$E$736</definedName>
    <definedName name="calcCh1Prod4Slot1Promo2CustPrice">Calc!$E$1696:$E$1696</definedName>
    <definedName name="calcCh1Prod4Slot1Promo2CustProfPWeek">Calc!$E$6640:$E$6640</definedName>
    <definedName name="calcCh1Prod4Slot1Promo2CustUplift">Calc!$E$6640:$E$6640</definedName>
    <definedName name="calcCh1Prod4Slot1Promo2GPaLPUnit">Calc!$E$6628:$E$6628</definedName>
    <definedName name="calcCh1Prod4Slot1Promo2GPaLPWeek">Calc!$E$6629:$E$6629</definedName>
    <definedName name="calcCh1Prod4Slot1Promo2GPaLUplift">Calc!$E$6630:$E$6630</definedName>
    <definedName name="calcCh1Prod4Slot1Promo2Plan">Calc!$E$762:$E$762</definedName>
    <definedName name="calcCh1Prod4Slot1Promo2PlanEmp1Req">Calc!$E$5977:$E$5977</definedName>
    <definedName name="calcCh1Prod4Slot1Promo2PlanExp">Calc!$E$5978:$E$5978</definedName>
    <definedName name="calcCh1Prod4Slot1Promo2PlanShare">Calc!$E$1695:$E$1695</definedName>
    <definedName name="calcCh1Prod4Slot1Promo2PricePLitre">Calc!$E$2137:$E$2137</definedName>
    <definedName name="calcCh1Prod4Slot1Promo2ROI">Calc!$E$6635:$E$6635</definedName>
    <definedName name="calcCh1Prod4Slot1Promo2Seg1Efficiency">Calc!$E$768:$E$768</definedName>
    <definedName name="calcCh1Prod4Slot1Promo2Seg1Fit">Calc!$E$767:$E$767</definedName>
    <definedName name="calcCh1Prod4Slot1Promo2Seg1Share">Calc!$E$769:$E$769</definedName>
    <definedName name="calcCh1Prod4Slot1Promo2Seg1ShareBase">Calc!$E$769:$E$769</definedName>
    <definedName name="calcCh1Prod4Slot1Promo2Seg2Efficiency">Calc!$E$774:$E$774</definedName>
    <definedName name="calcCh1Prod4Slot1Promo2Seg2Fit">Calc!$E$773:$E$773</definedName>
    <definedName name="calcCh1Prod4Slot1Promo2Seg2Share">Calc!$E$775:$E$775</definedName>
    <definedName name="calcCh1Prod4Slot1Promo2Seg2ShareBase">Calc!$E$775:$E$775</definedName>
    <definedName name="calcCh1Prod4Slot1Promo2Seg3Efficiency">Calc!$E$780:$E$780</definedName>
    <definedName name="calcCh1Prod4Slot1Promo2Seg3Fit">Calc!$E$779:$E$779</definedName>
    <definedName name="calcCh1Prod4Slot1Promo2Seg3Share">Calc!$E$781:$E$781</definedName>
    <definedName name="calcCh1Prod4Slot1Promo2Seg3ShareBase">Calc!$E$781:$E$781</definedName>
    <definedName name="calcCh1Prod4Slot1Promo2Seg4Efficiency">Calc!$E$786:$E$786</definedName>
    <definedName name="calcCh1Prod4Slot1Promo2Seg4Fit">Calc!$E$785:$E$785</definedName>
    <definedName name="calcCh1Prod4Slot1Promo2Seg4Share">Calc!$E$787:$E$787</definedName>
    <definedName name="calcCh1Prod4Slot1Promo2Seg4ShareBase">Calc!$E$787:$E$787</definedName>
    <definedName name="calcCh1Prod4Slot1Promo2Vol">Calc!$E$2136:$E$2136</definedName>
    <definedName name="calcCh1Prod4Slot1Promo2VolPWeek">Calc!$E$6624:$E$6624</definedName>
    <definedName name="calcCh1Prod4Slot1Promo2VolUplift">Calc!$E$6625:$E$6625</definedName>
    <definedName name="calcCh1Prod4Slot1Promo2Weeks">Calc!$E$763:$E$763</definedName>
    <definedName name="calcCh1Prod4Slot1Seg1PackFit">Calc!$E$3913:$E$3913</definedName>
    <definedName name="calcCh1Prod4Slot1Seg2PackFit">Calc!$E$3915:$E$3915</definedName>
    <definedName name="calcCh1Prod4Slot1Seg3PackFit">Calc!$E$3917:$E$3917</definedName>
    <definedName name="calcCh1Prod4Slot1Seg4PackFit">Calc!$E$3919:$E$3919</definedName>
    <definedName name="calcCh1Prod4Slot1ShelfPrice">Calc!$E$1690:$E$1690</definedName>
    <definedName name="calcCh1Prod4Slot1TotalVolSold">Calc!$E$2140:$E$2140</definedName>
    <definedName name="calcCh1Prod4Slot1ValDrivExp">Calc!$E$5156:$E$5156</definedName>
    <definedName name="calcCh1Prod4Slot1VolForecastSlot">Calc!$E$176:$E$176</definedName>
    <definedName name="calcCh1Prod4Slot1WD">Calc!$E$5428:$E$5428</definedName>
    <definedName name="calcCh1Prod4Slot2Active">Calc!$E$52:$E$52</definedName>
    <definedName name="calcCh1Prod4Slot2AvgPrice">Calc!$E$2151:$E$2151</definedName>
    <definedName name="calcCh1Prod4Slot2AvgSalePrice">Calc!$E$1708:$E$1708</definedName>
    <definedName name="calcCh1Prod4Slot2BaseCustProfPWeek">Calc!$E$6646:$E$6646</definedName>
    <definedName name="calcCh1Prod4Slot2BaseCustUplift">Calc!$E$6646:$E$6646</definedName>
    <definedName name="calcCh1Prod4Slot2BaseGPaLPUnit">Calc!$E$6644:$E$6644</definedName>
    <definedName name="calcCh1Prod4Slot2BaseGPaLPWeek">Calc!$E$6645:$E$6645</definedName>
    <definedName name="calcCh1Prod4Slot2BaseVolPWeek">Calc!$E$6643:$E$6643</definedName>
    <definedName name="calcCh1Prod4Slot2ChVolShare">Calc!$E$7864:$E$7864</definedName>
    <definedName name="calcCh1Prod4Slot2CustPrice">Calc!$E$1700:$E$1700</definedName>
    <definedName name="calcCh1Prod4Slot2CustProfitBase">Calc!$E$2715:$E$2715</definedName>
    <definedName name="calcCh1Prod4Slot2CustProfitBaseMarginAbs">Calc!$E$2711:$E$2711</definedName>
    <definedName name="calcCh1Prod4Slot2CustProfitBaseMarginPct">Calc!$E$2712:$E$2712</definedName>
    <definedName name="calcCh1Prod4Slot2CustProfitBaseVol">Calc!$E$2713:$E$2713</definedName>
    <definedName name="calcCh1Prod4Slot2CustProfitPromo1">Calc!$E$2721:$E$2721</definedName>
    <definedName name="calcCh1Prod4Slot2CustProfitPromo1MarginAbs">Calc!$E$2718:$E$2718</definedName>
    <definedName name="calcCh1Prod4Slot2CustProfitPromo1Vol">Calc!$E$2719:$E$2719</definedName>
    <definedName name="calcCh1Prod4Slot2CustProfitPromo2">Calc!$E$2727:$E$2727</definedName>
    <definedName name="calcCh1Prod4Slot2CustProfitPromo2MarginAbs">Calc!$E$2724:$E$2724</definedName>
    <definedName name="calcCh1Prod4Slot2CustProfitPromo2Vol">Calc!$E$2725:$E$2725</definedName>
    <definedName name="calcCh1Prod4Slot2CustProfitTot">Calc!$E$2729:$E$2729</definedName>
    <definedName name="CalcCh1Prod4Slot2Depreciation">Calc!$E$3603:$E$3603</definedName>
    <definedName name="CalcCh1Prod4Slot2DepreciationPUnit">Calc!$E$3675:$E$3675</definedName>
    <definedName name="CalcCh1Prod4Slot2ManufacturingCostPUnit">Calc!$E$3528:$E$3528</definedName>
    <definedName name="calcCh1Prod4Slot2NoPromoPricePLitre">Calc!$E$2149:$E$2149</definedName>
    <definedName name="calcCh1Prod4Slot2NoPromoVol">Calc!$E$2148:$E$2148</definedName>
    <definedName name="calcCh1Prod4Slot2Pack">Calc!$E$3922:$E$3922</definedName>
    <definedName name="calcCh1Prod4Slot2PackFitBase">Calc!$E$3926:$E$3926</definedName>
    <definedName name="calcCh1Prod4Slot2PriceDif">Calc!$E$8022:$E$8022</definedName>
    <definedName name="calcCh1Prod4Slot2Promo1CustPrice">Calc!$E$1704:$E$1704</definedName>
    <definedName name="calcCh1Prod4Slot2Promo1CustProfPWeek">Calc!$E$6666:$E$6666</definedName>
    <definedName name="calcCh1Prod4Slot2Promo1CustUplift">Calc!$E$6666:$E$6666</definedName>
    <definedName name="calcCh1Prod4Slot2Promo1GPaLPUnit">Calc!$E$6654:$E$6654</definedName>
    <definedName name="calcCh1Prod4Slot2Promo1GPaLPWeek">Calc!$E$6655:$E$6655</definedName>
    <definedName name="calcCh1Prod4Slot2Promo1GPaLUplift">Calc!$E$6656:$E$6656</definedName>
    <definedName name="calcCh1Prod4Slot2Promo1Plan">Calc!$E$790:$E$790</definedName>
    <definedName name="calcCh1Prod4Slot2Promo1PlanEmp1Req">Calc!$E$5906:$E$5906</definedName>
    <definedName name="calcCh1Prod4Slot2Promo1PlanExp">Calc!$E$5907:$E$5907</definedName>
    <definedName name="calcCh1Prod4Slot2Promo1PlanShare">Calc!$E$1703:$E$1703</definedName>
    <definedName name="calcCh1Prod4Slot2Promo1PricePLitre">Calc!$E$2145:$E$2145</definedName>
    <definedName name="calcCh1Prod4Slot2Promo1ROI">Calc!$E$6661:$E$6661</definedName>
    <definedName name="calcCh1Prod4Slot2Promo1Seg1Efficiency">Calc!$E$796:$E$796</definedName>
    <definedName name="calcCh1Prod4Slot2Promo1Seg1Fit">Calc!$E$795:$E$795</definedName>
    <definedName name="calcCh1Prod4Slot2Promo1Seg1Share">Calc!$E$797:$E$797</definedName>
    <definedName name="calcCh1Prod4Slot2Promo1Seg1ShareBase">Calc!$E$797:$E$797</definedName>
    <definedName name="calcCh1Prod4Slot2Promo1Seg2Efficiency">Calc!$E$802:$E$802</definedName>
    <definedName name="calcCh1Prod4Slot2Promo1Seg2Fit">Calc!$E$801:$E$801</definedName>
    <definedName name="calcCh1Prod4Slot2Promo1Seg2Share">Calc!$E$803:$E$803</definedName>
    <definedName name="calcCh1Prod4Slot2Promo1Seg2ShareBase">Calc!$E$803:$E$803</definedName>
    <definedName name="calcCh1Prod4Slot2Promo1Seg3Efficiency">Calc!$E$808:$E$808</definedName>
    <definedName name="calcCh1Prod4Slot2Promo1Seg3Fit">Calc!$E$807:$E$807</definedName>
    <definedName name="calcCh1Prod4Slot2Promo1Seg3Share">Calc!$E$809:$E$809</definedName>
    <definedName name="calcCh1Prod4Slot2Promo1Seg3ShareBase">Calc!$E$809:$E$809</definedName>
    <definedName name="calcCh1Prod4Slot2Promo1Seg4Efficiency">Calc!$E$814:$E$814</definedName>
    <definedName name="calcCh1Prod4Slot2Promo1Seg4Fit">Calc!$E$813:$E$813</definedName>
    <definedName name="calcCh1Prod4Slot2Promo1Seg4Share">Calc!$E$815:$E$815</definedName>
    <definedName name="calcCh1Prod4Slot2Promo1Seg4ShareBase">Calc!$E$815:$E$815</definedName>
    <definedName name="calcCh1Prod4Slot2Promo1Vol">Calc!$E$2144:$E$2144</definedName>
    <definedName name="calcCh1Prod4Slot2Promo1VolPWeek">Calc!$E$6650:$E$6650</definedName>
    <definedName name="calcCh1Prod4Slot2Promo1VolUplift">Calc!$E$6651:$E$6651</definedName>
    <definedName name="calcCh1Prod4Slot2Promo1Weeks">Calc!$E$791:$E$791</definedName>
    <definedName name="calcCh1Prod4Slot2Promo2CustPrice">Calc!$E$1707:$E$1707</definedName>
    <definedName name="calcCh1Prod4Slot2Promo2CustProfPWeek">Calc!$E$6686:$E$6686</definedName>
    <definedName name="calcCh1Prod4Slot2Promo2CustUplift">Calc!$E$6686:$E$6686</definedName>
    <definedName name="calcCh1Prod4Slot2Promo2GPaLPUnit">Calc!$E$6674:$E$6674</definedName>
    <definedName name="calcCh1Prod4Slot2Promo2GPaLPWeek">Calc!$E$6675:$E$6675</definedName>
    <definedName name="calcCh1Prod4Slot2Promo2GPaLUplift">Calc!$E$6676:$E$6676</definedName>
    <definedName name="calcCh1Prod4Slot2Promo2Plan">Calc!$E$817:$E$817</definedName>
    <definedName name="calcCh1Prod4Slot2Promo2PlanEmp1Req">Calc!$E$5983:$E$5983</definedName>
    <definedName name="calcCh1Prod4Slot2Promo2PlanExp">Calc!$E$5984:$E$5984</definedName>
    <definedName name="calcCh1Prod4Slot2Promo2PlanShare">Calc!$E$1706:$E$1706</definedName>
    <definedName name="calcCh1Prod4Slot2Promo2PricePLitre">Calc!$E$2147:$E$2147</definedName>
    <definedName name="calcCh1Prod4Slot2Promo2ROI">Calc!$E$6681:$E$6681</definedName>
    <definedName name="calcCh1Prod4Slot2Promo2Seg1Efficiency">Calc!$E$823:$E$823</definedName>
    <definedName name="calcCh1Prod4Slot2Promo2Seg1Fit">Calc!$E$822:$E$822</definedName>
    <definedName name="calcCh1Prod4Slot2Promo2Seg1Share">Calc!$E$824:$E$824</definedName>
    <definedName name="calcCh1Prod4Slot2Promo2Seg1ShareBase">Calc!$E$824:$E$824</definedName>
    <definedName name="calcCh1Prod4Slot2Promo2Seg2Efficiency">Calc!$E$829:$E$829</definedName>
    <definedName name="calcCh1Prod4Slot2Promo2Seg2Fit">Calc!$E$828:$E$828</definedName>
    <definedName name="calcCh1Prod4Slot2Promo2Seg2Share">Calc!$E$830:$E$830</definedName>
    <definedName name="calcCh1Prod4Slot2Promo2Seg2ShareBase">Calc!$E$830:$E$830</definedName>
    <definedName name="calcCh1Prod4Slot2Promo2Seg3Efficiency">Calc!$E$835:$E$835</definedName>
    <definedName name="calcCh1Prod4Slot2Promo2Seg3Fit">Calc!$E$834:$E$834</definedName>
    <definedName name="calcCh1Prod4Slot2Promo2Seg3Share">Calc!$E$836:$E$836</definedName>
    <definedName name="calcCh1Prod4Slot2Promo2Seg3ShareBase">Calc!$E$836:$E$836</definedName>
    <definedName name="calcCh1Prod4Slot2Promo2Seg4Efficiency">Calc!$E$841:$E$841</definedName>
    <definedName name="calcCh1Prod4Slot2Promo2Seg4Fit">Calc!$E$840:$E$840</definedName>
    <definedName name="calcCh1Prod4Slot2Promo2Seg4Share">Calc!$E$842:$E$842</definedName>
    <definedName name="calcCh1Prod4Slot2Promo2Seg4ShareBase">Calc!$E$842:$E$842</definedName>
    <definedName name="calcCh1Prod4Slot2Promo2Vol">Calc!$E$2146:$E$2146</definedName>
    <definedName name="calcCh1Prod4Slot2Promo2VolPWeek">Calc!$E$6670:$E$6670</definedName>
    <definedName name="calcCh1Prod4Slot2Promo2VolUplift">Calc!$E$6671:$E$6671</definedName>
    <definedName name="calcCh1Prod4Slot2Promo2Weeks">Calc!$E$818:$E$818</definedName>
    <definedName name="calcCh1Prod4Slot2Seg1PackFit">Calc!$E$3930:$E$3930</definedName>
    <definedName name="calcCh1Prod4Slot2Seg2PackFit">Calc!$E$3932:$E$3932</definedName>
    <definedName name="calcCh1Prod4Slot2Seg3PackFit">Calc!$E$3934:$E$3934</definedName>
    <definedName name="calcCh1Prod4Slot2Seg4PackFit">Calc!$E$3936:$E$3936</definedName>
    <definedName name="calcCh1Prod4Slot2ShelfPrice">Calc!$E$1701:$E$1701</definedName>
    <definedName name="calcCh1Prod4Slot2TotalVolSold">Calc!$E$2150:$E$2150</definedName>
    <definedName name="calcCh1Prod4Slot2ValDrivExp">Calc!$E$5157:$E$5157</definedName>
    <definedName name="calcCh1Prod4Slot2VolForecastSlot">Calc!$E$177:$E$177</definedName>
    <definedName name="calcCh1Prod4Slot2WD">Calc!$E$5432:$E$5432</definedName>
    <definedName name="calcCh1Prod4Slot3Active">Calc!$E$53:$E$53</definedName>
    <definedName name="calcCh1Prod4Slot3AvgPrice">Calc!$E$2161:$E$2161</definedName>
    <definedName name="calcCh1Prod4Slot3AvgSalePrice">Calc!$E$1719:$E$1719</definedName>
    <definedName name="calcCh1Prod4Slot3BaseCustProfPWeek">Calc!$E$6692:$E$6692</definedName>
    <definedName name="calcCh1Prod4Slot3BaseCustUplift">Calc!$E$6692:$E$6692</definedName>
    <definedName name="calcCh1Prod4Slot3BaseGPaLPUnit">Calc!$E$6690:$E$6690</definedName>
    <definedName name="calcCh1Prod4Slot3BaseGPaLPWeek">Calc!$E$6691:$E$6691</definedName>
    <definedName name="calcCh1Prod4Slot3BaseVolPWeek">Calc!$E$6689:$E$6689</definedName>
    <definedName name="calcCh1Prod4Slot3ChVolShare">Calc!$E$7865:$E$7865</definedName>
    <definedName name="calcCh1Prod4Slot3CustPrice">Calc!$E$1711:$E$1711</definedName>
    <definedName name="calcCh1Prod4Slot3CustProfitBase">Calc!$E$2737:$E$2737</definedName>
    <definedName name="calcCh1Prod4Slot3CustProfitBaseMarginAbs">Calc!$E$2733:$E$2733</definedName>
    <definedName name="calcCh1Prod4Slot3CustProfitBaseMarginPct">Calc!$E$2734:$E$2734</definedName>
    <definedName name="calcCh1Prod4Slot3CustProfitBaseVol">Calc!$E$2735:$E$2735</definedName>
    <definedName name="calcCh1Prod4Slot3CustProfitPromo1">Calc!$E$2743:$E$2743</definedName>
    <definedName name="calcCh1Prod4Slot3CustProfitPromo1MarginAbs">Calc!$E$2740:$E$2740</definedName>
    <definedName name="calcCh1Prod4Slot3CustProfitPromo1Vol">Calc!$E$2741:$E$2741</definedName>
    <definedName name="calcCh1Prod4Slot3CustProfitPromo2">Calc!$E$2749:$E$2749</definedName>
    <definedName name="calcCh1Prod4Slot3CustProfitPromo2MarginAbs">Calc!$E$2746:$E$2746</definedName>
    <definedName name="calcCh1Prod4Slot3CustProfitPromo2Vol">Calc!$E$2747:$E$2747</definedName>
    <definedName name="calcCh1Prod4Slot3CustProfitTot">Calc!$E$2751:$E$2751</definedName>
    <definedName name="CalcCh1Prod4Slot3Depreciation">Calc!$E$3604:$E$3604</definedName>
    <definedName name="CalcCh1Prod4Slot3DepreciationPUnit">Calc!$E$3676:$E$3676</definedName>
    <definedName name="CalcCh1Prod4Slot3ManufacturingCostPUnit">Calc!$E$3529:$E$3529</definedName>
    <definedName name="calcCh1Prod4Slot3NoPromoPricePLitre">Calc!$E$2159:$E$2159</definedName>
    <definedName name="calcCh1Prod4Slot3NoPromoVol">Calc!$E$2158:$E$2158</definedName>
    <definedName name="calcCh1Prod4Slot3Pack">Calc!$E$3939:$E$3939</definedName>
    <definedName name="calcCh1Prod4Slot3PackFitBase">Calc!$E$3943:$E$3943</definedName>
    <definedName name="calcCh1Prod4Slot3PriceDif">Calc!$E$8023:$E$8023</definedName>
    <definedName name="calcCh1Prod4Slot3Promo1CustPrice">Calc!$E$1715:$E$1715</definedName>
    <definedName name="calcCh1Prod4Slot3Promo1CustProfPWeek">Calc!$E$6712:$E$6712</definedName>
    <definedName name="calcCh1Prod4Slot3Promo1CustUplift">Calc!$E$6712:$E$6712</definedName>
    <definedName name="calcCh1Prod4Slot3Promo1GPaLPUnit">Calc!$E$6700:$E$6700</definedName>
    <definedName name="calcCh1Prod4Slot3Promo1GPaLPWeek">Calc!$E$6701:$E$6701</definedName>
    <definedName name="calcCh1Prod4Slot3Promo1GPaLUplift">Calc!$E$6702:$E$6702</definedName>
    <definedName name="calcCh1Prod4Slot3Promo1Plan">Calc!$E$845:$E$845</definedName>
    <definedName name="calcCh1Prod4Slot3Promo1PlanEmp1Req">Calc!$E$5912:$E$5912</definedName>
    <definedName name="calcCh1Prod4Slot3Promo1PlanExp">Calc!$E$5913:$E$5913</definedName>
    <definedName name="calcCh1Prod4Slot3Promo1PlanShare">Calc!$E$1714:$E$1714</definedName>
    <definedName name="calcCh1Prod4Slot3Promo1PricePLitre">Calc!$E$2155:$E$2155</definedName>
    <definedName name="calcCh1Prod4Slot3Promo1ROI">Calc!$E$6707:$E$6707</definedName>
    <definedName name="calcCh1Prod4Slot3Promo1Seg1Efficiency">Calc!$E$851:$E$851</definedName>
    <definedName name="calcCh1Prod4Slot3Promo1Seg1Fit">Calc!$E$850:$E$850</definedName>
    <definedName name="calcCh1Prod4Slot3Promo1Seg1Share">Calc!$E$852:$E$852</definedName>
    <definedName name="calcCh1Prod4Slot3Promo1Seg1ShareBase">Calc!$E$852:$E$852</definedName>
    <definedName name="calcCh1Prod4Slot3Promo1Seg2Efficiency">Calc!$E$857:$E$857</definedName>
    <definedName name="calcCh1Prod4Slot3Promo1Seg2Fit">Calc!$E$856:$E$856</definedName>
    <definedName name="calcCh1Prod4Slot3Promo1Seg2Share">Calc!$E$858:$E$858</definedName>
    <definedName name="calcCh1Prod4Slot3Promo1Seg2ShareBase">Calc!$E$858:$E$858</definedName>
    <definedName name="calcCh1Prod4Slot3Promo1Seg3Efficiency">Calc!$E$863:$E$863</definedName>
    <definedName name="calcCh1Prod4Slot3Promo1Seg3Fit">Calc!$E$862:$E$862</definedName>
    <definedName name="calcCh1Prod4Slot3Promo1Seg3Share">Calc!$E$864:$E$864</definedName>
    <definedName name="calcCh1Prod4Slot3Promo1Seg3ShareBase">Calc!$E$864:$E$864</definedName>
    <definedName name="calcCh1Prod4Slot3Promo1Seg4Efficiency">Calc!$E$869:$E$869</definedName>
    <definedName name="calcCh1Prod4Slot3Promo1Seg4Fit">Calc!$E$868:$E$868</definedName>
    <definedName name="calcCh1Prod4Slot3Promo1Seg4Share">Calc!$E$870:$E$870</definedName>
    <definedName name="calcCh1Prod4Slot3Promo1Seg4ShareBase">Calc!$E$870:$E$870</definedName>
    <definedName name="calcCh1Prod4Slot3Promo1Vol">Calc!$E$2154:$E$2154</definedName>
    <definedName name="calcCh1Prod4Slot3Promo1VolPWeek">Calc!$E$6696:$E$6696</definedName>
    <definedName name="calcCh1Prod4Slot3Promo1VolUplift">Calc!$E$6697:$E$6697</definedName>
    <definedName name="calcCh1Prod4Slot3Promo1Weeks">Calc!$E$846:$E$846</definedName>
    <definedName name="calcCh1Prod4Slot3Promo2CustPrice">Calc!$E$1718:$E$1718</definedName>
    <definedName name="calcCh1Prod4Slot3Promo2CustProfPWeek">Calc!$E$6732:$E$6732</definedName>
    <definedName name="calcCh1Prod4Slot3Promo2CustUplift">Calc!$E$6732:$E$6732</definedName>
    <definedName name="calcCh1Prod4Slot3Promo2GPaLPUnit">Calc!$E$6720:$E$6720</definedName>
    <definedName name="calcCh1Prod4Slot3Promo2GPaLPWeek">Calc!$E$6721:$E$6721</definedName>
    <definedName name="calcCh1Prod4Slot3Promo2GPaLUplift">Calc!$E$6722:$E$6722</definedName>
    <definedName name="calcCh1Prod4Slot3Promo2Plan">Calc!$E$872:$E$872</definedName>
    <definedName name="calcCh1Prod4Slot3Promo2PlanEmp1Req">Calc!$E$5989:$E$5989</definedName>
    <definedName name="calcCh1Prod4Slot3Promo2PlanExp">Calc!$E$5990:$E$5990</definedName>
    <definedName name="calcCh1Prod4Slot3Promo2PlanShare">Calc!$E$1717:$E$1717</definedName>
    <definedName name="calcCh1Prod4Slot3Promo2PricePLitre">Calc!$E$2157:$E$2157</definedName>
    <definedName name="calcCh1Prod4Slot3Promo2ROI">Calc!$E$6727:$E$6727</definedName>
    <definedName name="calcCh1Prod4Slot3Promo2Seg1Efficiency">Calc!$E$878:$E$878</definedName>
    <definedName name="calcCh1Prod4Slot3Promo2Seg1Fit">Calc!$E$877:$E$877</definedName>
    <definedName name="calcCh1Prod4Slot3Promo2Seg1Share">Calc!$E$879:$E$879</definedName>
    <definedName name="calcCh1Prod4Slot3Promo2Seg1ShareBase">Calc!$E$879:$E$879</definedName>
    <definedName name="calcCh1Prod4Slot3Promo2Seg2Efficiency">Calc!$E$884:$E$884</definedName>
    <definedName name="calcCh1Prod4Slot3Promo2Seg2Fit">Calc!$E$883:$E$883</definedName>
    <definedName name="calcCh1Prod4Slot3Promo2Seg2Share">Calc!$E$885:$E$885</definedName>
    <definedName name="calcCh1Prod4Slot3Promo2Seg2ShareBase">Calc!$E$885:$E$885</definedName>
    <definedName name="calcCh1Prod4Slot3Promo2Seg3Efficiency">Calc!$E$890:$E$890</definedName>
    <definedName name="calcCh1Prod4Slot3Promo2Seg3Fit">Calc!$E$889:$E$889</definedName>
    <definedName name="calcCh1Prod4Slot3Promo2Seg3Share">Calc!$E$891:$E$891</definedName>
    <definedName name="calcCh1Prod4Slot3Promo2Seg3ShareBase">Calc!$E$891:$E$891</definedName>
    <definedName name="calcCh1Prod4Slot3Promo2Seg4Efficiency">Calc!$E$896:$E$896</definedName>
    <definedName name="calcCh1Prod4Slot3Promo2Seg4Fit">Calc!$E$895:$E$895</definedName>
    <definedName name="calcCh1Prod4Slot3Promo2Seg4Share">Calc!$E$897:$E$897</definedName>
    <definedName name="calcCh1Prod4Slot3Promo2Seg4ShareBase">Calc!$E$897:$E$897</definedName>
    <definedName name="calcCh1Prod4Slot3Promo2Vol">Calc!$E$2156:$E$2156</definedName>
    <definedName name="calcCh1Prod4Slot3Promo2VolPWeek">Calc!$E$6716:$E$6716</definedName>
    <definedName name="calcCh1Prod4Slot3Promo2VolUplift">Calc!$E$6717:$E$6717</definedName>
    <definedName name="calcCh1Prod4Slot3Promo2Weeks">Calc!$E$873:$E$873</definedName>
    <definedName name="calcCh1Prod4Slot3Seg1PackFit">Calc!$E$3947:$E$3947</definedName>
    <definedName name="calcCh1Prod4Slot3Seg2PackFit">Calc!$E$3949:$E$3949</definedName>
    <definedName name="calcCh1Prod4Slot3Seg3PackFit">Calc!$E$3951:$E$3951</definedName>
    <definedName name="calcCh1Prod4Slot3Seg4PackFit">Calc!$E$3953:$E$3953</definedName>
    <definedName name="calcCh1Prod4Slot3ShelfPrice">Calc!$E$1712:$E$1712</definedName>
    <definedName name="calcCh1Prod4Slot3TotalVolSold">Calc!$E$2160:$E$2160</definedName>
    <definedName name="calcCh1Prod4Slot3ValDrivExp">Calc!$E$5158:$E$5158</definedName>
    <definedName name="calcCh1Prod4Slot3VolForecastSlot">Calc!$E$178:$E$178</definedName>
    <definedName name="calcCh1Prod4Slot3WD">Calc!$E$5436:$E$5436</definedName>
    <definedName name="calcCh1Prod4SlotsEnd">Calc!$E$7421:$E$7421</definedName>
    <definedName name="calcCh1Prod4SlotsNew">Calc!$E$7420:$E$7420</definedName>
    <definedName name="calcCh1Prod4SlotsNextEmp1Req">Calc!$E$7424:$E$7424</definedName>
    <definedName name="calcCh1Prod4SlotsNextExp">Calc!$E$7425:$E$7425</definedName>
    <definedName name="calcCh1Prod4SlotsStart">Calc!$E$7419:$E$7419</definedName>
    <definedName name="calcCh1Prod4SlotsTotEmp1Req">Calc!$E$7427:$E$7427</definedName>
    <definedName name="calcCh1Prod4SlotsTotExp">Calc!$E$7428:$E$7428</definedName>
    <definedName name="calcCh1Prod4SlotTotActive">Calc!$E$55:$E$55</definedName>
    <definedName name="calcCh1Prod4TotalVolSold">Calc!$E$2165:$E$2165</definedName>
    <definedName name="calcCh1Prod4VolForecastProd">Calc!$E$9:$E$9</definedName>
    <definedName name="calcCh1Prod4VolSoldNoPromo">Calc!$E$2168:$E$2168</definedName>
    <definedName name="calcCh1Prod4VolSoldPromo1">Calc!$E$2171:$E$2171</definedName>
    <definedName name="calcCh1Prod4VolSoldPromo2">Calc!$E$2173:$E$2173</definedName>
    <definedName name="calcCh1Promo1PlanEmp1ReqTot">Calc!$E$5916:$E$5916</definedName>
    <definedName name="calcCh1Promo1PlanExpTot">Calc!$E$5917:$E$5917</definedName>
    <definedName name="calcCh1Promo2PlanEmp1ReqTot">Calc!$E$5993:$E$5993</definedName>
    <definedName name="calcCh1Promo2PlanExpTot">Calc!$E$5994:$E$5994</definedName>
    <definedName name="calcCh1PromoRoiAvg">Calc!$E$8169:$E$8169</definedName>
    <definedName name="calcCh1PromoWeeks">Calc!$E$6154:$E$6154</definedName>
    <definedName name="calcCh1PromoWeeksAvail">Calc!$E$6156:$E$6156</definedName>
    <definedName name="calcCh1PromoWeeksMax">Calc!$E$6158:$E$6158</definedName>
    <definedName name="calcCh1PromoWeeksUsed">Calc!$E$6155:$E$6155</definedName>
    <definedName name="calcCh1SlotMaxReached">Calc!$E$5663:$E$5663</definedName>
    <definedName name="calcCh1SlotsTotEmp1Req">Calc!$E$7432:$E$7432</definedName>
    <definedName name="calcCh1SlotsTotExp">Calc!$E$7433:$E$7433</definedName>
    <definedName name="calcCh1SlotTotActive">Calc!$E$57:$E$57</definedName>
    <definedName name="calcCh1TotalVolSold">Calc!$E$7848:$E$7848</definedName>
    <definedName name="calcCh1ValDriv1">Calc!$E$5114:$E$5114</definedName>
    <definedName name="calcCh1ValDriv1AccEnd">Calc!$E$5349:$E$5349</definedName>
    <definedName name="calcCh1ValDriv1AccStart">Calc!$E$5342:$E$5342</definedName>
    <definedName name="calcCh1ValDriv1Emp1Req">Calc!$E$5116:$E$5116</definedName>
    <definedName name="calcCh1ValDriv1Exp">Calc!$E$5117:$E$5117</definedName>
    <definedName name="calcCh1ValDriv2">Calc!$E$5120:$E$5120</definedName>
    <definedName name="calcCh1ValDriv2AccEnd">Calc!$E$5619:$E$5619</definedName>
    <definedName name="calcCh1ValDriv2AccStart">Calc!$E$5612:$E$5612</definedName>
    <definedName name="calcCh1ValDriv2Emp1Req">Calc!$E$5122:$E$5122</definedName>
    <definedName name="calcCh1ValDriv2Exp">Calc!$E$5123:$E$5123</definedName>
    <definedName name="calcCh1ValDriv3">Calc!$E$5126:$E$5126</definedName>
    <definedName name="calcCh1ValDriv3AccEnd">Calc!$E$5708:$E$5708</definedName>
    <definedName name="calcCh1ValDriv3AccStart">Calc!$E$5701:$E$5701</definedName>
    <definedName name="calcCh1ValDriv3Emp1Req">Calc!$E$5128:$E$5128</definedName>
    <definedName name="calcCh1ValDriv3Exp">Calc!$E$5129:$E$5129</definedName>
    <definedName name="calcCh1ValDriv4">Calc!$E$5132:$E$5132</definedName>
    <definedName name="calcCh1ValDriv4AccEnd">Calc!$E$5750:$E$5750</definedName>
    <definedName name="calcCh1ValDriv4AccEndMMScore">Calc!$E$5751:$E$5751</definedName>
    <definedName name="calcCh1ValDriv4AccStart">Calc!$E$5743:$E$5743</definedName>
    <definedName name="calcCh1ValDriv4Emp1Req">Calc!$E$5134:$E$5134</definedName>
    <definedName name="calcCh1ValDriv4Exp">Calc!$E$5135:$E$5135</definedName>
    <definedName name="calcCh1ValDriv5">Calc!$E$5138:$E$5138</definedName>
    <definedName name="calcCh1ValDriv5AccEnd">Calc!$E$5798:$E$5798</definedName>
    <definedName name="calcCh1ValDriv5AccStart">Calc!$E$5789:$E$5789</definedName>
    <definedName name="calcCh1ValDriv5Emp1Req">Calc!$E$5140:$E$5140</definedName>
    <definedName name="calcCh1ValDriv5Exp">Calc!$E$5141:$E$5141</definedName>
    <definedName name="calcCh1ValDriv5MMScore">Calc!$E$5799:$E$5799</definedName>
    <definedName name="calcCh1ValDrivCond">Calc!$E$5163:$E$5163</definedName>
    <definedName name="calcCh1ValDrivCondEmp1Req">Calc!$E$5165:$E$5165</definedName>
    <definedName name="calcCh1ValDrivCondExp">Calc!$E$5166:$E$5166</definedName>
    <definedName name="calcCh1ValDrivEmp1ReqTot">Calc!$E$5144:$E$5144</definedName>
    <definedName name="calcCh1ValDrivExpTot">Calc!$E$5145:$E$5145</definedName>
    <definedName name="calcCh1Vt">Calc!$E$7688:$E$7688</definedName>
    <definedName name="calcCh1VtCode">Calc!$E$7689:$E$7689</definedName>
    <definedName name="calcCh1WDAccInv">Calc!$E$5383:$E$5383</definedName>
    <definedName name="calcCh1WDValDriv1">Calc!$E$5384:$E$5384</definedName>
    <definedName name="calcCh1WeightedAvgPrice">Calc!$E$7946:$E$7946</definedName>
    <definedName name="calcCh2AddSlotAvailable">Calc!$E$5672:$E$5672</definedName>
    <definedName name="calcCh2AnalyticsEmp1Req">Calc!$E$7611:$E$7611</definedName>
    <definedName name="calcCh2AnalyticsExp">Calc!$E$7612:$E$7612</definedName>
    <definedName name="calcCh2AnalyticsNumberBought">Calc!$E$7609:$E$7609</definedName>
    <definedName name="calcCh2CondShare">Calc!$E$5095:$E$5095</definedName>
    <definedName name="calcCh2CustProfitTot">Calc!$E$3262:$E$3262</definedName>
    <definedName name="calcCh2MarkPlan">Calc!$E$5044:$E$5044</definedName>
    <definedName name="calcCh2MarkPlanEmp1Req">Calc!$E$5046:$E$5046</definedName>
    <definedName name="calcCh2MarkPlanExp">Calc!$E$5047:$E$5047</definedName>
    <definedName name="calcCh2MarkPlanSeg1Fit">Calc!$E$5049:$E$5049</definedName>
    <definedName name="calcCh2MarkPlanSeg2Fit">Calc!$E$5050:$E$5050</definedName>
    <definedName name="calcCh2MarkPlanSeg3Fit">Calc!$E$5051:$E$5051</definedName>
    <definedName name="calcCh2MarkPlanSeg4Fit">Calc!$E$5052:$E$5052</definedName>
    <definedName name="calcCh2NewSlots">Calc!$E$5668:$E$5668</definedName>
    <definedName name="calcCh2Prod1CustProfitTot">Calc!$E$2857:$E$2857</definedName>
    <definedName name="calcCh2Prod1Seg1AssortmentFit">Calc!$E$4694:$E$4694</definedName>
    <definedName name="calcCh2Prod1Seg2AssortmentFit">Calc!$E$4701:$E$4701</definedName>
    <definedName name="calcCh2Prod1Seg3AssortmentFit">Calc!$E$4708:$E$4708</definedName>
    <definedName name="calcCh2Prod1Seg4AssortmentFit">Calc!$E$4715:$E$4715</definedName>
    <definedName name="calcCh2Prod1Slot1Active">Calc!$E$61:$E$61</definedName>
    <definedName name="calcCh2Prod1Slot1AvgSalePrice">Calc!$E$1727:$E$1727</definedName>
    <definedName name="calcCh2Prod1Slot1ChVolShare">Calc!$E$7871:$E$7871</definedName>
    <definedName name="calcCh2Prod1Slot1CustPrice">Calc!$E$1725:$E$1725</definedName>
    <definedName name="calcCh2Prod1Slot1CustProfitBase">Calc!$E$2766:$E$2766</definedName>
    <definedName name="calcCh2Prod1Slot1CustProfitBaseMarginAbs">Calc!$E$2762:$E$2762</definedName>
    <definedName name="calcCh2Prod1Slot1CustProfitBaseMarginPct">Calc!$E$2763:$E$2763</definedName>
    <definedName name="calcCh2Prod1Slot1CustProfitBaseVol">Calc!$E$2764:$E$2764</definedName>
    <definedName name="CalcCh2Prod1Slot1Depreciation">Calc!$E$3607:$E$3607</definedName>
    <definedName name="CalcCh2Prod1Slot1DepreciationPUnit">Calc!$E$3679:$E$3679</definedName>
    <definedName name="CalcCh2Prod1Slot1ManufacturingCostPUnit">Calc!$E$3532:$E$3532</definedName>
    <definedName name="calcCh2Prod1Slot1Pack">Calc!$E$3958:$E$3958</definedName>
    <definedName name="calcCh2Prod1Slot1PackFitBase">Calc!$E$3962:$E$3962</definedName>
    <definedName name="calcCh2Prod1Slot1PriceDif">Calc!$E$8034:$E$8034</definedName>
    <definedName name="calcCh2Prod1Slot1Seg1PackFit">Calc!$E$3966:$E$3966</definedName>
    <definedName name="calcCh2Prod1Slot1Seg2PackFit">Calc!$E$3968:$E$3968</definedName>
    <definedName name="calcCh2Prod1Slot1Seg3PackFit">Calc!$E$3970:$E$3970</definedName>
    <definedName name="calcCh2Prod1Slot1Seg4PackFit">Calc!$E$3972:$E$3972</definedName>
    <definedName name="calcCh2Prod1Slot1ShelfPrice">Calc!$E$1726:$E$1726</definedName>
    <definedName name="calcCh2Prod1Slot1ValDrivExp">Calc!$E$5204:$E$5204</definedName>
    <definedName name="calcCh2Prod1Slot1VolForecastSlot">Calc!$E$181:$E$181</definedName>
    <definedName name="calcCh2Prod1Slot1WD">Calc!$E$5446:$E$5446</definedName>
    <definedName name="calcCh2Prod1Slot2Active">Calc!$E$62:$E$62</definedName>
    <definedName name="calcCh2Prod1Slot2AvgSalePrice">Calc!$E$1732:$E$1732</definedName>
    <definedName name="calcCh2Prod1Slot2ChVolShare">Calc!$E$7872:$E$7872</definedName>
    <definedName name="calcCh2Prod1Slot2CustPrice">Calc!$E$1730:$E$1730</definedName>
    <definedName name="calcCh2Prod1Slot2CustProfitBase">Calc!$E$2774:$E$2774</definedName>
    <definedName name="calcCh2Prod1Slot2CustProfitBaseMarginAbs">Calc!$E$2770:$E$2770</definedName>
    <definedName name="calcCh2Prod1Slot2CustProfitBaseMarginPct">Calc!$E$2771:$E$2771</definedName>
    <definedName name="calcCh2Prod1Slot2CustProfitBaseVol">Calc!$E$2772:$E$2772</definedName>
    <definedName name="CalcCh2Prod1Slot2Depreciation">Calc!$E$3608:$E$3608</definedName>
    <definedName name="CalcCh2Prod1Slot2DepreciationPUnit">Calc!$E$3680:$E$3680</definedName>
    <definedName name="CalcCh2Prod1Slot2ManufacturingCostPUnit">Calc!$E$3533:$E$3533</definedName>
    <definedName name="calcCh2Prod1Slot2Pack">Calc!$E$3975:$E$3975</definedName>
    <definedName name="calcCh2Prod1Slot2PackFitBase">Calc!$E$3979:$E$3979</definedName>
    <definedName name="calcCh2Prod1Slot2PriceDif">Calc!$E$8035:$E$8035</definedName>
    <definedName name="calcCh2Prod1Slot2Seg1PackFit">Calc!$E$3983:$E$3983</definedName>
    <definedName name="calcCh2Prod1Slot2Seg2PackFit">Calc!$E$3985:$E$3985</definedName>
    <definedName name="calcCh2Prod1Slot2Seg3PackFit">Calc!$E$3987:$E$3987</definedName>
    <definedName name="calcCh2Prod1Slot2Seg4PackFit">Calc!$E$3989:$E$3989</definedName>
    <definedName name="calcCh2Prod1Slot2ShelfPrice">Calc!$E$1731:$E$1731</definedName>
    <definedName name="calcCh2Prod1Slot2ValDrivExp">Calc!$E$5205:$E$5205</definedName>
    <definedName name="calcCh2Prod1Slot2VolForecastSlot">Calc!$E$182:$E$182</definedName>
    <definedName name="calcCh2Prod1Slot2WD">Calc!$E$5450:$E$5450</definedName>
    <definedName name="calcCh2Prod1Slot3Active">Calc!$E$63:$E$63</definedName>
    <definedName name="calcCh2Prod1Slot3AvgSalePrice">Calc!$E$1737:$E$1737</definedName>
    <definedName name="calcCh2Prod1Slot3ChVolShare">Calc!$E$7873:$E$7873</definedName>
    <definedName name="calcCh2Prod1Slot3CustPrice">Calc!$E$1735:$E$1735</definedName>
    <definedName name="calcCh2Prod1Slot3CustProfitBase">Calc!$E$2782:$E$2782</definedName>
    <definedName name="calcCh2Prod1Slot3CustProfitBaseMarginAbs">Calc!$E$2778:$E$2778</definedName>
    <definedName name="calcCh2Prod1Slot3CustProfitBaseMarginPct">Calc!$E$2779:$E$2779</definedName>
    <definedName name="calcCh2Prod1Slot3CustProfitBaseVol">Calc!$E$2780:$E$2780</definedName>
    <definedName name="CalcCh2Prod1Slot3Depreciation">Calc!$E$3609:$E$3609</definedName>
    <definedName name="CalcCh2Prod1Slot3DepreciationPUnit">Calc!$E$3681:$E$3681</definedName>
    <definedName name="CalcCh2Prod1Slot3ManufacturingCostPUnit">Calc!$E$3534:$E$3534</definedName>
    <definedName name="calcCh2Prod1Slot3Pack">Calc!$E$3992:$E$3992</definedName>
    <definedName name="calcCh2Prod1Slot3PackFitBase">Calc!$E$3996:$E$3996</definedName>
    <definedName name="calcCh2Prod1Slot3PriceDif">Calc!$E$8036:$E$8036</definedName>
    <definedName name="calcCh2Prod1Slot3Seg1PackFit">Calc!$E$4000:$E$4000</definedName>
    <definedName name="calcCh2Prod1Slot3Seg2PackFit">Calc!$E$4002:$E$4002</definedName>
    <definedName name="calcCh2Prod1Slot3Seg3PackFit">Calc!$E$4004:$E$4004</definedName>
    <definedName name="calcCh2Prod1Slot3Seg4PackFit">Calc!$E$4006:$E$4006</definedName>
    <definedName name="calcCh2Prod1Slot3ShelfPrice">Calc!$E$1736:$E$1736</definedName>
    <definedName name="calcCh2Prod1Slot3ValDrivExp">Calc!$E$5206:$E$5206</definedName>
    <definedName name="calcCh2Prod1Slot3VolForecastSlot">Calc!$E$183:$E$183</definedName>
    <definedName name="calcCh2Prod1Slot3WD">Calc!$E$5454:$E$5454</definedName>
    <definedName name="calcCh2Prod1SlotsEnd">Calc!$E$7440:$E$7440</definedName>
    <definedName name="calcCh2Prod1SlotsNew">Calc!$E$7439:$E$7439</definedName>
    <definedName name="calcCh2Prod1SlotsNextEmp1Req">Calc!$E$7443:$E$7443</definedName>
    <definedName name="calcCh2Prod1SlotsNextExp">Calc!$E$7444:$E$7444</definedName>
    <definedName name="calcCh2Prod1SlotsStart">Calc!$E$7438:$E$7438</definedName>
    <definedName name="calcCh2Prod1SlotsTotEmp1Req">Calc!$E$7446:$E$7446</definedName>
    <definedName name="calcCh2Prod1SlotsTotExp">Calc!$E$7447:$E$7447</definedName>
    <definedName name="calcCh2Prod1SlotTotActive">Calc!$E$65:$E$65</definedName>
    <definedName name="calcCh2Prod1VolForecastProd">Calc!$E$11:$E$11</definedName>
    <definedName name="calcCh2Prod2CustProfitTot">Calc!$E$2858:$E$2858</definedName>
    <definedName name="calcCh2Prod2Seg1AssortmentFit">Calc!$E$4722:$E$4722</definedName>
    <definedName name="calcCh2Prod2Seg2AssortmentFit">Calc!$E$4729:$E$4729</definedName>
    <definedName name="calcCh2Prod2Seg3AssortmentFit">Calc!$E$4736:$E$4736</definedName>
    <definedName name="calcCh2Prod2Seg4AssortmentFit">Calc!$E$4743:$E$4743</definedName>
    <definedName name="calcCh2Prod2Slot1Active">Calc!$E$68:$E$68</definedName>
    <definedName name="calcCh2Prod2Slot1AvgSalePrice">Calc!$E$1743:$E$1743</definedName>
    <definedName name="calcCh2Prod2Slot1ChVolShare">Calc!$E$7875:$E$7875</definedName>
    <definedName name="calcCh2Prod2Slot1CustPrice">Calc!$E$1741:$E$1741</definedName>
    <definedName name="calcCh2Prod2Slot1CustProfitBase">Calc!$E$2790:$E$2790</definedName>
    <definedName name="calcCh2Prod2Slot1CustProfitBaseMarginAbs">Calc!$E$2786:$E$2786</definedName>
    <definedName name="calcCh2Prod2Slot1CustProfitBaseMarginPct">Calc!$E$2787:$E$2787</definedName>
    <definedName name="calcCh2Prod2Slot1CustProfitBaseVol">Calc!$E$2788:$E$2788</definedName>
    <definedName name="CalcCh2Prod2Slot1Depreciation">Calc!$E$3611:$E$3611</definedName>
    <definedName name="CalcCh2Prod2Slot1DepreciationPUnit">Calc!$E$3683:$E$3683</definedName>
    <definedName name="CalcCh2Prod2Slot1ManufacturingCostPUnit">Calc!$E$3536:$E$3536</definedName>
    <definedName name="calcCh2Prod2Slot1Pack">Calc!$E$4009:$E$4009</definedName>
    <definedName name="calcCh2Prod2Slot1PackFitBase">Calc!$E$4013:$E$4013</definedName>
    <definedName name="calcCh2Prod2Slot1PriceDif">Calc!$E$8026:$E$8026</definedName>
    <definedName name="calcCh2Prod2Slot1Seg1PackFit">Calc!$E$4017:$E$4017</definedName>
    <definedName name="calcCh2Prod2Slot1Seg2PackFit">Calc!$E$4019:$E$4019</definedName>
    <definedName name="calcCh2Prod2Slot1Seg3PackFit">Calc!$E$4021:$E$4021</definedName>
    <definedName name="calcCh2Prod2Slot1Seg4PackFit">Calc!$E$4023:$E$4023</definedName>
    <definedName name="calcCh2Prod2Slot1ShelfPrice">Calc!$E$1742:$E$1742</definedName>
    <definedName name="calcCh2Prod2Slot1ValDrivExp">Calc!$E$5207:$E$5207</definedName>
    <definedName name="calcCh2Prod2Slot1VolForecastSlot">Calc!$E$185:$E$185</definedName>
    <definedName name="calcCh2Prod2Slot1WD">Calc!$E$5459:$E$5459</definedName>
    <definedName name="calcCh2Prod2Slot2Active">Calc!$E$69:$E$69</definedName>
    <definedName name="calcCh2Prod2Slot2AvgSalePrice">Calc!$E$1748:$E$1748</definedName>
    <definedName name="calcCh2Prod2Slot2ChVolShare">Calc!$E$7876:$E$7876</definedName>
    <definedName name="calcCh2Prod2Slot2CustPrice">Calc!$E$1746:$E$1746</definedName>
    <definedName name="calcCh2Prod2Slot2CustProfitBase">Calc!$E$2798:$E$2798</definedName>
    <definedName name="calcCh2Prod2Slot2CustProfitBaseMarginAbs">Calc!$E$2794:$E$2794</definedName>
    <definedName name="calcCh2Prod2Slot2CustProfitBaseMarginPct">Calc!$E$2795:$E$2795</definedName>
    <definedName name="calcCh2Prod2Slot2CustProfitBaseVol">Calc!$E$2796:$E$2796</definedName>
    <definedName name="CalcCh2Prod2Slot2Depreciation">Calc!$E$3612:$E$3612</definedName>
    <definedName name="CalcCh2Prod2Slot2DepreciationPUnit">Calc!$E$3684:$E$3684</definedName>
    <definedName name="CalcCh2Prod2Slot2ManufacturingCostPUnit">Calc!$E$3537:$E$3537</definedName>
    <definedName name="calcCh2Prod2Slot2Pack">Calc!$E$4026:$E$4026</definedName>
    <definedName name="calcCh2Prod2Slot2PackFitBase">Calc!$E$4030:$E$4030</definedName>
    <definedName name="calcCh2Prod2Slot2PriceDif">Calc!$E$8027:$E$8027</definedName>
    <definedName name="calcCh2Prod2Slot2Seg1PackFit">Calc!$E$4034:$E$4034</definedName>
    <definedName name="calcCh2Prod2Slot2Seg2PackFit">Calc!$E$4036:$E$4036</definedName>
    <definedName name="calcCh2Prod2Slot2Seg3PackFit">Calc!$E$4038:$E$4038</definedName>
    <definedName name="calcCh2Prod2Slot2Seg4PackFit">Calc!$E$4040:$E$4040</definedName>
    <definedName name="calcCh2Prod2Slot2ShelfPrice">Calc!$E$1747:$E$1747</definedName>
    <definedName name="calcCh2Prod2Slot2ValDrivExp">Calc!$E$5208:$E$5208</definedName>
    <definedName name="calcCh2Prod2Slot2VolForecastSlot">Calc!$E$186:$E$186</definedName>
    <definedName name="calcCh2Prod2Slot2WD">Calc!$E$5463:$E$5463</definedName>
    <definedName name="calcCh2Prod2Slot3Active">Calc!$E$70:$E$70</definedName>
    <definedName name="calcCh2Prod2Slot3AvgSalePrice">Calc!$E$1753:$E$1753</definedName>
    <definedName name="calcCh2Prod2Slot3ChVolShare">Calc!$E$7877:$E$7877</definedName>
    <definedName name="calcCh2Prod2Slot3CustPrice">Calc!$E$1751:$E$1751</definedName>
    <definedName name="calcCh2Prod2Slot3CustProfitBase">Calc!$E$2806:$E$2806</definedName>
    <definedName name="calcCh2Prod2Slot3CustProfitBaseMarginAbs">Calc!$E$2802:$E$2802</definedName>
    <definedName name="calcCh2Prod2Slot3CustProfitBaseMarginPct">Calc!$E$2803:$E$2803</definedName>
    <definedName name="calcCh2Prod2Slot3CustProfitBaseVol">Calc!$E$2804:$E$2804</definedName>
    <definedName name="CalcCh2Prod2Slot3Depreciation">Calc!$E$3613:$E$3613</definedName>
    <definedName name="CalcCh2Prod2Slot3DepreciationPUnit">Calc!$E$3685:$E$3685</definedName>
    <definedName name="CalcCh2Prod2Slot3ManufacturingCostPUnit">Calc!$E$3538:$E$3538</definedName>
    <definedName name="calcCh2Prod2Slot3Pack">Calc!$E$4043:$E$4043</definedName>
    <definedName name="calcCh2Prod2Slot3PackFitBase">Calc!$E$4047:$E$4047</definedName>
    <definedName name="calcCh2Prod2Slot3PriceDif">Calc!$E$8028:$E$8028</definedName>
    <definedName name="calcCh2Prod2Slot3Seg1PackFit">Calc!$E$4051:$E$4051</definedName>
    <definedName name="calcCh2Prod2Slot3Seg2PackFit">Calc!$E$4053:$E$4053</definedName>
    <definedName name="calcCh2Prod2Slot3Seg3PackFit">Calc!$E$4055:$E$4055</definedName>
    <definedName name="calcCh2Prod2Slot3Seg4PackFit">Calc!$E$4057:$E$4057</definedName>
    <definedName name="calcCh2Prod2Slot3ShelfPrice">Calc!$E$1752:$E$1752</definedName>
    <definedName name="calcCh2Prod2Slot3ValDrivExp">Calc!$E$5209:$E$5209</definedName>
    <definedName name="calcCh2Prod2Slot3VolForecastSlot">Calc!$E$187:$E$187</definedName>
    <definedName name="calcCh2Prod2Slot3WD">Calc!$E$5467:$E$5467</definedName>
    <definedName name="calcCh2Prod2SlotsEnd">Calc!$E$7452:$E$7452</definedName>
    <definedName name="calcCh2Prod2SlotsNew">Calc!$E$7451:$E$7451</definedName>
    <definedName name="calcCh2Prod2SlotsNextEmp1Req">Calc!$E$7455:$E$7455</definedName>
    <definedName name="calcCh2Prod2SlotsNextExp">Calc!$E$7456:$E$7456</definedName>
    <definedName name="calcCh2Prod2SlotsStart">Calc!$E$7450:$E$7450</definedName>
    <definedName name="calcCh2Prod2SlotsTotEmp1Req">Calc!$E$7458:$E$7458</definedName>
    <definedName name="calcCh2Prod2SlotsTotExp">Calc!$E$7459:$E$7459</definedName>
    <definedName name="calcCh2Prod2SlotTotActive">Calc!$E$72:$E$72</definedName>
    <definedName name="calcCh2Prod2VolForecastProd">Calc!$E$12:$E$12</definedName>
    <definedName name="calcCh2Prod3CustProfitTot">Calc!$E$2859:$E$2859</definedName>
    <definedName name="calcCh2Prod3Seg1AssortmentFit">Calc!$E$4750:$E$4750</definedName>
    <definedName name="calcCh2Prod3Seg2AssortmentFit">Calc!$E$4757:$E$4757</definedName>
    <definedName name="calcCh2Prod3Seg3AssortmentFit">Calc!$E$4764:$E$4764</definedName>
    <definedName name="calcCh2Prod3Seg4AssortmentFit">Calc!$E$4771:$E$4771</definedName>
    <definedName name="calcCh2Prod3Slot1Active">Calc!$E$75:$E$75</definedName>
    <definedName name="calcCh2Prod3Slot1AvgSalePrice">Calc!$E$1759:$E$1759</definedName>
    <definedName name="calcCh2Prod3Slot1ChVolShare">Calc!$E$7879:$E$7879</definedName>
    <definedName name="calcCh2Prod3Slot1CustPrice">Calc!$E$1757:$E$1757</definedName>
    <definedName name="calcCh2Prod3Slot1CustProfitBase">Calc!$E$2814:$E$2814</definedName>
    <definedName name="calcCh2Prod3Slot1CustProfitBaseMarginAbs">Calc!$E$2810:$E$2810</definedName>
    <definedName name="calcCh2Prod3Slot1CustProfitBaseMarginPct">Calc!$E$2811:$E$2811</definedName>
    <definedName name="calcCh2Prod3Slot1CustProfitBaseVol">Calc!$E$2812:$E$2812</definedName>
    <definedName name="CalcCh2Prod3Slot1Depreciation">Calc!$E$3615:$E$3615</definedName>
    <definedName name="CalcCh2Prod3Slot1DepreciationPUnit">Calc!$E$3687:$E$3687</definedName>
    <definedName name="CalcCh2Prod3Slot1ManufacturingCostPUnit">Calc!$E$3540:$E$3540</definedName>
    <definedName name="calcCh2Prod3Slot1Pack">Calc!$E$4060:$E$4060</definedName>
    <definedName name="calcCh2Prod3Slot1PackFitBase">Calc!$E$4064:$E$4064</definedName>
    <definedName name="calcCh2Prod3Slot1PriceDif">Calc!$E$8030:$E$8030</definedName>
    <definedName name="calcCh2Prod3Slot1Seg1PackFit">Calc!$E$4068:$E$4068</definedName>
    <definedName name="calcCh2Prod3Slot1Seg2PackFit">Calc!$E$4070:$E$4070</definedName>
    <definedName name="calcCh2Prod3Slot1Seg3PackFit">Calc!$E$4072:$E$4072</definedName>
    <definedName name="calcCh2Prod3Slot1Seg4PackFit">Calc!$E$4074:$E$4074</definedName>
    <definedName name="calcCh2Prod3Slot1ShelfPrice">Calc!$E$1758:$E$1758</definedName>
    <definedName name="calcCh2Prod3Slot1ValDrivExp">Calc!$E$5210:$E$5210</definedName>
    <definedName name="calcCh2Prod3Slot1VolForecastSlot">Calc!$E$189:$E$189</definedName>
    <definedName name="calcCh2Prod3Slot1WD">Calc!$E$5472:$E$5472</definedName>
    <definedName name="calcCh2Prod3Slot2Active">Calc!$E$76:$E$76</definedName>
    <definedName name="calcCh2Prod3Slot2AvgSalePrice">Calc!$E$1764:$E$1764</definedName>
    <definedName name="calcCh2Prod3Slot2ChVolShare">Calc!$E$7880:$E$7880</definedName>
    <definedName name="calcCh2Prod3Slot2CustPrice">Calc!$E$1762:$E$1762</definedName>
    <definedName name="calcCh2Prod3Slot2CustProfitBase">Calc!$E$2822:$E$2822</definedName>
    <definedName name="calcCh2Prod3Slot2CustProfitBaseMarginAbs">Calc!$E$2818:$E$2818</definedName>
    <definedName name="calcCh2Prod3Slot2CustProfitBaseMarginPct">Calc!$E$2819:$E$2819</definedName>
    <definedName name="calcCh2Prod3Slot2CustProfitBaseVol">Calc!$E$2820:$E$2820</definedName>
    <definedName name="CalcCh2Prod3Slot2Depreciation">Calc!$E$3616:$E$3616</definedName>
    <definedName name="CalcCh2Prod3Slot2DepreciationPUnit">Calc!$E$3688:$E$3688</definedName>
    <definedName name="CalcCh2Prod3Slot2ManufacturingCostPUnit">Calc!$E$3541:$E$3541</definedName>
    <definedName name="calcCh2Prod3Slot2Pack">Calc!$E$4077:$E$4077</definedName>
    <definedName name="calcCh2Prod3Slot2PackFitBase">Calc!$E$4081:$E$4081</definedName>
    <definedName name="calcCh2Prod3Slot2PriceDif">Calc!$E$8031:$E$8031</definedName>
    <definedName name="calcCh2Prod3Slot2Seg1PackFit">Calc!$E$4085:$E$4085</definedName>
    <definedName name="calcCh2Prod3Slot2Seg2PackFit">Calc!$E$4087:$E$4087</definedName>
    <definedName name="calcCh2Prod3Slot2Seg3PackFit">Calc!$E$4089:$E$4089</definedName>
    <definedName name="calcCh2Prod3Slot2Seg4PackFit">Calc!$E$4091:$E$4091</definedName>
    <definedName name="calcCh2Prod3Slot2ShelfPrice">Calc!$E$1763:$E$1763</definedName>
    <definedName name="calcCh2Prod3Slot2ValDrivExp">Calc!$E$5211:$E$5211</definedName>
    <definedName name="calcCh2Prod3Slot2VolForecastSlot">Calc!$E$190:$E$190</definedName>
    <definedName name="calcCh2Prod3Slot2WD">Calc!$E$5476:$E$5476</definedName>
    <definedName name="calcCh2Prod3Slot3Active">Calc!$E$77:$E$77</definedName>
    <definedName name="calcCh2Prod3Slot3AvgSalePrice">Calc!$E$1769:$E$1769</definedName>
    <definedName name="calcCh2Prod3Slot3ChVolShare">Calc!$E$7881:$E$7881</definedName>
    <definedName name="calcCh2Prod3Slot3CustPrice">Calc!$E$1767:$E$1767</definedName>
    <definedName name="calcCh2Prod3Slot3CustProfitBase">Calc!$E$2830:$E$2830</definedName>
    <definedName name="calcCh2Prod3Slot3CustProfitBaseMarginAbs">Calc!$E$2826:$E$2826</definedName>
    <definedName name="calcCh2Prod3Slot3CustProfitBaseMarginPct">Calc!$E$2827:$E$2827</definedName>
    <definedName name="calcCh2Prod3Slot3CustProfitBaseVol">Calc!$E$2828:$E$2828</definedName>
    <definedName name="CalcCh2Prod3Slot3Depreciation">Calc!$E$3617:$E$3617</definedName>
    <definedName name="CalcCh2Prod3Slot3DepreciationPUnit">Calc!$E$3689:$E$3689</definedName>
    <definedName name="CalcCh2Prod3Slot3ManufacturingCostPUnit">Calc!$E$3542:$E$3542</definedName>
    <definedName name="calcCh2Prod3Slot3Pack">Calc!$E$4094:$E$4094</definedName>
    <definedName name="calcCh2Prod3Slot3PackFitBase">Calc!$E$4098:$E$4098</definedName>
    <definedName name="calcCh2Prod3Slot3PriceDif">Calc!$E$8032:$E$8032</definedName>
    <definedName name="calcCh2Prod3Slot3Seg1PackFit">Calc!$E$4102:$E$4102</definedName>
    <definedName name="calcCh2Prod3Slot3Seg2PackFit">Calc!$E$4104:$E$4104</definedName>
    <definedName name="calcCh2Prod3Slot3Seg3PackFit">Calc!$E$4106:$E$4106</definedName>
    <definedName name="calcCh2Prod3Slot3Seg4PackFit">Calc!$E$4108:$E$4108</definedName>
    <definedName name="calcCh2Prod3Slot3ShelfPrice">Calc!$E$1768:$E$1768</definedName>
    <definedName name="calcCh2Prod3Slot3ValDrivExp">Calc!$E$5212:$E$5212</definedName>
    <definedName name="calcCh2Prod3Slot3VolForecastSlot">Calc!$E$191:$E$191</definedName>
    <definedName name="calcCh2Prod3Slot3WD">Calc!$E$5480:$E$5480</definedName>
    <definedName name="calcCh2Prod3SlotsEnd">Calc!$E$7464:$E$7464</definedName>
    <definedName name="calcCh2Prod3SlotsNew">Calc!$E$7463:$E$7463</definedName>
    <definedName name="calcCh2Prod3SlotsNextEmp1Req">Calc!$E$7467:$E$7467</definedName>
    <definedName name="calcCh2Prod3SlotsNextExp">Calc!$E$7468:$E$7468</definedName>
    <definedName name="calcCh2Prod3SlotsStart">Calc!$E$7462:$E$7462</definedName>
    <definedName name="calcCh2Prod3SlotsTotEmp1Req">Calc!$E$7470:$E$7470</definedName>
    <definedName name="calcCh2Prod3SlotsTotExp">Calc!$E$7471:$E$7471</definedName>
    <definedName name="calcCh2Prod3SlotTotActive">Calc!$E$79:$E$79</definedName>
    <definedName name="calcCh2Prod3VolForecastProd">Calc!$E$13:$E$13</definedName>
    <definedName name="calcCh2Prod4CustProfitTot">Calc!$E$2860:$E$2860</definedName>
    <definedName name="calcCh2Prod4Seg1AssortmentFit">Calc!$E$4778:$E$4778</definedName>
    <definedName name="calcCh2Prod4Seg2AssortmentFit">Calc!$E$4785:$E$4785</definedName>
    <definedName name="calcCh2Prod4Seg3AssortmentFit">Calc!$E$4792:$E$4792</definedName>
    <definedName name="calcCh2Prod4Seg4AssortmentFit">Calc!$E$4799:$E$4799</definedName>
    <definedName name="calcCh2Prod4Slot1Active">Calc!$E$82:$E$82</definedName>
    <definedName name="calcCh2Prod4Slot1AvgSalePrice">Calc!$E$1775:$E$1775</definedName>
    <definedName name="calcCh2Prod4Slot1ChVolShare">Calc!$E$7883:$E$7883</definedName>
    <definedName name="calcCh2Prod4Slot1CustPrice">Calc!$E$1773:$E$1773</definedName>
    <definedName name="calcCh2Prod4Slot1CustProfitBase">Calc!$E$2838:$E$2838</definedName>
    <definedName name="calcCh2Prod4Slot1CustProfitBaseMarginAbs">Calc!$E$2834:$E$2834</definedName>
    <definedName name="calcCh2Prod4Slot1CustProfitBaseMarginPct">Calc!$E$2835:$E$2835</definedName>
    <definedName name="calcCh2Prod4Slot1CustProfitBaseVol">Calc!$E$2836:$E$2836</definedName>
    <definedName name="CalcCh2Prod4Slot1Depreciation">Calc!$E$3619:$E$3619</definedName>
    <definedName name="CalcCh2Prod4Slot1DepreciationPUnit">Calc!$E$3691:$E$3691</definedName>
    <definedName name="CalcCh2Prod4Slot1ManufacturingCostPUnit">Calc!$E$3544:$E$3544</definedName>
    <definedName name="calcCh2Prod4Slot1Pack">Calc!$E$4111:$E$4111</definedName>
    <definedName name="calcCh2Prod4Slot1PackFitBase">Calc!$E$4115:$E$4115</definedName>
    <definedName name="calcCh2Prod4Slot1PriceDif">Calc!$E$8038:$E$8038</definedName>
    <definedName name="calcCh2Prod4Slot1Seg1PackFit">Calc!$E$4119:$E$4119</definedName>
    <definedName name="calcCh2Prod4Slot1Seg2PackFit">Calc!$E$4121:$E$4121</definedName>
    <definedName name="calcCh2Prod4Slot1Seg3PackFit">Calc!$E$4123:$E$4123</definedName>
    <definedName name="calcCh2Prod4Slot1Seg4PackFit">Calc!$E$4125:$E$4125</definedName>
    <definedName name="calcCh2Prod4Slot1ShelfPrice">Calc!$E$1774:$E$1774</definedName>
    <definedName name="calcCh2Prod4Slot1ValDrivExp">Calc!$E$5213:$E$5213</definedName>
    <definedName name="calcCh2Prod4Slot1VolForecastSlot">Calc!$E$193:$E$193</definedName>
    <definedName name="calcCh2Prod4Slot1WD">Calc!$E$5485:$E$5485</definedName>
    <definedName name="calcCh2Prod4Slot2Active">Calc!$E$83:$E$83</definedName>
    <definedName name="calcCh2Prod4Slot2AvgSalePrice">Calc!$E$1780:$E$1780</definedName>
    <definedName name="calcCh2Prod4Slot2ChVolShare">Calc!$E$7884:$E$7884</definedName>
    <definedName name="calcCh2Prod4Slot2CustPrice">Calc!$E$1778:$E$1778</definedName>
    <definedName name="calcCh2Prod4Slot2CustProfitBase">Calc!$E$2846:$E$2846</definedName>
    <definedName name="calcCh2Prod4Slot2CustProfitBaseMarginAbs">Calc!$E$2842:$E$2842</definedName>
    <definedName name="calcCh2Prod4Slot2CustProfitBaseMarginPct">Calc!$E$2843:$E$2843</definedName>
    <definedName name="calcCh2Prod4Slot2CustProfitBaseVol">Calc!$E$2844:$E$2844</definedName>
    <definedName name="CalcCh2Prod4Slot2Depreciation">Calc!$E$3620:$E$3620</definedName>
    <definedName name="CalcCh2Prod4Slot2DepreciationPUnit">Calc!$E$3692:$E$3692</definedName>
    <definedName name="CalcCh2Prod4Slot2ManufacturingCostPUnit">Calc!$E$3545:$E$3545</definedName>
    <definedName name="calcCh2Prod4Slot2Pack">Calc!$E$4128:$E$4128</definedName>
    <definedName name="calcCh2Prod4Slot2PackFitBase">Calc!$E$4132:$E$4132</definedName>
    <definedName name="calcCh2Prod4Slot2PriceDif">Calc!$E$8039:$E$8039</definedName>
    <definedName name="calcCh2Prod4Slot2Seg1PackFit">Calc!$E$4136:$E$4136</definedName>
    <definedName name="calcCh2Prod4Slot2Seg2PackFit">Calc!$E$4138:$E$4138</definedName>
    <definedName name="calcCh2Prod4Slot2Seg3PackFit">Calc!$E$4140:$E$4140</definedName>
    <definedName name="calcCh2Prod4Slot2Seg4PackFit">Calc!$E$4142:$E$4142</definedName>
    <definedName name="calcCh2Prod4Slot2ShelfPrice">Calc!$E$1779:$E$1779</definedName>
    <definedName name="calcCh2Prod4Slot2ValDrivExp">Calc!$E$5214:$E$5214</definedName>
    <definedName name="calcCh2Prod4Slot2VolForecastSlot">Calc!$E$194:$E$194</definedName>
    <definedName name="calcCh2Prod4Slot2WD">Calc!$E$5489:$E$5489</definedName>
    <definedName name="calcCh2Prod4Slot3Active">Calc!$E$84:$E$84</definedName>
    <definedName name="calcCh2Prod4Slot3AvgSalePrice">Calc!$E$1785:$E$1785</definedName>
    <definedName name="calcCh2Prod4Slot3ChVolShare">Calc!$E$7885:$E$7885</definedName>
    <definedName name="calcCh2Prod4Slot3CustPrice">Calc!$E$1783:$E$1783</definedName>
    <definedName name="calcCh2Prod4Slot3CustProfitBase">Calc!$E$2854:$E$2854</definedName>
    <definedName name="calcCh2Prod4Slot3CustProfitBaseMarginAbs">Calc!$E$2850:$E$2850</definedName>
    <definedName name="calcCh2Prod4Slot3CustProfitBaseMarginPct">Calc!$E$2851:$E$2851</definedName>
    <definedName name="calcCh2Prod4Slot3CustProfitBaseVol">Calc!$E$2852:$E$2852</definedName>
    <definedName name="CalcCh2Prod4Slot3Depreciation">Calc!$E$3621:$E$3621</definedName>
    <definedName name="CalcCh2Prod4Slot3DepreciationPUnit">Calc!$E$3693:$E$3693</definedName>
    <definedName name="CalcCh2Prod4Slot3ManufacturingCostPUnit">Calc!$E$3546:$E$3546</definedName>
    <definedName name="calcCh2Prod4Slot3Pack">Calc!$E$4145:$E$4145</definedName>
    <definedName name="calcCh2Prod4Slot3PackFitBase">Calc!$E$4149:$E$4149</definedName>
    <definedName name="calcCh2Prod4Slot3PriceDif">Calc!$E$8040:$E$8040</definedName>
    <definedName name="calcCh2Prod4Slot3Seg1PackFit">Calc!$E$4153:$E$4153</definedName>
    <definedName name="calcCh2Prod4Slot3Seg2PackFit">Calc!$E$4155:$E$4155</definedName>
    <definedName name="calcCh2Prod4Slot3Seg3PackFit">Calc!$E$4157:$E$4157</definedName>
    <definedName name="calcCh2Prod4Slot3Seg4PackFit">Calc!$E$4159:$E$4159</definedName>
    <definedName name="calcCh2Prod4Slot3ShelfPrice">Calc!$E$1784:$E$1784</definedName>
    <definedName name="calcCh2Prod4Slot3ValDrivExp">Calc!$E$5215:$E$5215</definedName>
    <definedName name="calcCh2Prod4Slot3VolForecastSlot">Calc!$E$195:$E$195</definedName>
    <definedName name="calcCh2Prod4Slot3WD">Calc!$E$5493:$E$5493</definedName>
    <definedName name="calcCh2Prod4SlotsEnd">Calc!$E$7476:$E$7476</definedName>
    <definedName name="calcCh2Prod4SlotsNew">Calc!$E$7475:$E$7475</definedName>
    <definedName name="calcCh2Prod4SlotsNextEmp1Req">Calc!$E$7479:$E$7479</definedName>
    <definedName name="calcCh2Prod4SlotsNextExp">Calc!$E$7480:$E$7480</definedName>
    <definedName name="calcCh2Prod4SlotsStart">Calc!$E$7474:$E$7474</definedName>
    <definedName name="calcCh2Prod4SlotsTotEmp1Req">Calc!$E$7482:$E$7482</definedName>
    <definedName name="calcCh2Prod4SlotsTotExp">Calc!$E$7483:$E$7483</definedName>
    <definedName name="calcCh2Prod4SlotTotActive">Calc!$E$86:$E$86</definedName>
    <definedName name="calcCh2Prod4VolForecastProd">Calc!$E$14:$E$14</definedName>
    <definedName name="calcCh2SlotMaxReached">Calc!$E$5674:$E$5674</definedName>
    <definedName name="calcCh2SlotsNextEmp1Req">Calc!$E$7487:$E$7487</definedName>
    <definedName name="calcCh2SlotsNextExp">Calc!$E$7488:$E$7488</definedName>
    <definedName name="calcCh2SlotsTotEmp1Req">Calc!$E$7487:$E$7487</definedName>
    <definedName name="calcCh2SlotsTotExp">Calc!$E$7488:$E$7488</definedName>
    <definedName name="calcCh2SlotTotActive">Calc!$E$88:$E$88</definedName>
    <definedName name="calcCh2TotalVolSold">Calc!$E$7868:$E$7868</definedName>
    <definedName name="calcCh2ValDriv1">Calc!$E$5171:$E$5171</definedName>
    <definedName name="calcCh2ValDriv1AccEnd">Calc!$E$5359:$E$5359</definedName>
    <definedName name="calcCh2ValDriv1AccStart">Calc!$E$5352:$E$5352</definedName>
    <definedName name="calcCh2ValDriv1Emp1Req">Calc!$E$5173:$E$5173</definedName>
    <definedName name="calcCh2ValDriv1Exp">Calc!$E$5174:$E$5174</definedName>
    <definedName name="calcCh2ValDriv2">Calc!$E$5177:$E$5177</definedName>
    <definedName name="calcCh2ValDriv2AccEnd">Calc!$E$5629:$E$5629</definedName>
    <definedName name="calcCh2ValDriv2AccStart">Calc!$E$5622:$E$5622</definedName>
    <definedName name="calcCh2ValDriv2Emp1Req">Calc!$E$5179:$E$5179</definedName>
    <definedName name="calcCh2ValDriv2Exp">Calc!$E$5180:$E$5180</definedName>
    <definedName name="calcCh2ValDriv3">Calc!$E$5183:$E$5183</definedName>
    <definedName name="calcCh2ValDriv3AccEnd">Calc!$E$5718:$E$5718</definedName>
    <definedName name="calcCh2ValDriv3AccStart">Calc!$E$5711:$E$5711</definedName>
    <definedName name="calcCh2ValDriv3Emp1Req">Calc!$E$5185:$E$5185</definedName>
    <definedName name="calcCh2ValDriv3Exp">Calc!$E$5186:$E$5186</definedName>
    <definedName name="calcCh2ValDriv4">Calc!$E$5189:$E$5189</definedName>
    <definedName name="calcCh2ValDriv4AccEnd">Calc!$E$5761:$E$5761</definedName>
    <definedName name="calcCh2ValDriv4AccEndMMScore">Calc!$E$5762:$E$5762</definedName>
    <definedName name="calcCh2ValDriv4AccStart">Calc!$E$5754:$E$5754</definedName>
    <definedName name="calcCh2ValDriv4Emp1Req">Calc!$E$5191:$E$5191</definedName>
    <definedName name="calcCh2ValDriv4Exp">Calc!$E$5192:$E$5192</definedName>
    <definedName name="calcCh2ValDriv5">Calc!$E$5195:$E$5195</definedName>
    <definedName name="calcCh2ValDriv5AccEnd">Calc!$E$5811:$E$5811</definedName>
    <definedName name="calcCh2ValDriv5AccStart">Calc!$E$5802:$E$5802</definedName>
    <definedName name="calcCh2ValDriv5Emp1Req">Calc!$E$5197:$E$5197</definedName>
    <definedName name="calcCh2ValDriv5Exp">Calc!$E$5198:$E$5198</definedName>
    <definedName name="calcCh2ValDriv5MMScore">Calc!$E$5812:$E$5812</definedName>
    <definedName name="calcCh2ValDrivCond">Calc!$E$5220:$E$5220</definedName>
    <definedName name="calcCh2ValDrivCondEmp1Req">Calc!$E$5222:$E$5222</definedName>
    <definedName name="calcCh2ValDrivCondExp">Calc!$E$5223:$E$5223</definedName>
    <definedName name="calcCh2ValDrivEmp1ReqTot">Calc!$E$5201:$E$5201</definedName>
    <definedName name="calcCh2ValDrivExpTot">Calc!$E$5202:$E$5202</definedName>
    <definedName name="calcCh2Vt">Calc!$E$7692:$E$7692</definedName>
    <definedName name="calcCh2VtCode">Calc!$E$7693:$E$7693</definedName>
    <definedName name="calcCh2WDAccInv">Calc!$E$5440:$E$5440</definedName>
    <definedName name="calcCh2WDValDriv1">Calc!$E$5441:$E$5441</definedName>
    <definedName name="calcCh2WeightedAvgPrice">Calc!$E$7965:$E$7965</definedName>
    <definedName name="calcCh3AddSlotAvailable">Calc!$E$5683:$E$5683</definedName>
    <definedName name="calcCh3AnalyticsEmp1Req">Calc!$E$7617:$E$7617</definedName>
    <definedName name="calcCh3AnalyticsExp">Calc!$E$7618:$E$7618</definedName>
    <definedName name="calcCh3AnalyticsNumberBought">Calc!$E$7615:$E$7615</definedName>
    <definedName name="calcCh3CondShare">Calc!$E$5102:$E$5102</definedName>
    <definedName name="calcCh3CustProfitTot">Calc!$E$3263:$E$3263</definedName>
    <definedName name="calcCh3MarkPlan">Calc!$E$5055:$E$5055</definedName>
    <definedName name="calcCh3MarkPlanEmp1Req">Calc!$E$5057:$E$5057</definedName>
    <definedName name="calcCh3MarkPlanExp">Calc!$E$5058:$E$5058</definedName>
    <definedName name="calcCh3MarkPlanSeg1Fit">Calc!$E$5060:$E$5060</definedName>
    <definedName name="calcCh3MarkPlanSeg2Fit">Calc!$E$5061:$E$5061</definedName>
    <definedName name="calcCh3MarkPlanSeg3Fit">Calc!$E$5062:$E$5062</definedName>
    <definedName name="calcCh3MarkPlanSeg4Fit">Calc!$E$5063:$E$5063</definedName>
    <definedName name="calcCh3NewSlots">Calc!$E$5679:$E$5679</definedName>
    <definedName name="calcCh3Prod1AvgCustPrice">Calc!$E$2210:$E$2210</definedName>
    <definedName name="calcCh3Prod1AvgPrice">Calc!$E$2207:$E$2207</definedName>
    <definedName name="calcCh3Prod1AvgPricePromo1">Calc!$E$2213:$E$2213</definedName>
    <definedName name="calcCh3Prod1AvgPromoPrice">Calc!$E$2215:$E$2215</definedName>
    <definedName name="calcCh3Prod1CustProfitTot">Calc!$E$3056:$E$3056</definedName>
    <definedName name="calcCh3Prod1PromoROIavg">Calc!$E$8175:$E$8175</definedName>
    <definedName name="calcCh3Prod1PromoRoiMax">Calc!$E$8128:$E$8128</definedName>
    <definedName name="calcCh3Prod1PromoRoiMaxIndex">Calc!$E$8131:$E$8131</definedName>
    <definedName name="calcCh3Prod1PromoRoiMin">Calc!$E$8127:$E$8127</definedName>
    <definedName name="calcCh3Prod1PromoRoiMinIndex">Calc!$E$8130:$E$8130</definedName>
    <definedName name="calcCh3Prod1Seg1AssortmentFit">Calc!$E$4808:$E$4808</definedName>
    <definedName name="calcCh3Prod1Seg2AssortmentFit">Calc!$E$4815:$E$4815</definedName>
    <definedName name="calcCh3Prod1Seg3AssortmentFit">Calc!$E$4822:$E$4822</definedName>
    <definedName name="calcCh3Prod1Seg4AssortmentFit">Calc!$E$4829:$E$4829</definedName>
    <definedName name="calcCh3Prod1Slot1Active">Calc!$E$92:$E$92</definedName>
    <definedName name="calcCh3Prod1Slot1AvgPrice">Calc!$E$2186:$E$2186</definedName>
    <definedName name="calcCh3Prod1Slot1AvgSalePrice">Calc!$E$1796:$E$1796</definedName>
    <definedName name="calcCh3Prod1Slot1BaseCustProfPWeek">Calc!$E$6742:$E$6742</definedName>
    <definedName name="calcCh3Prod1Slot1BaseCustUplift">Calc!$E$6742:$E$6742</definedName>
    <definedName name="calcCh3Prod1Slot1BaseGPaLPUnit">Calc!$E$6740:$E$6740</definedName>
    <definedName name="calcCh3Prod1Slot1BaseGPaLPWeek">Calc!$E$6741:$E$6741</definedName>
    <definedName name="calcCh3Prod1Slot1BaseVolPWeek">Calc!$E$6739:$E$6739</definedName>
    <definedName name="calcCh3Prod1Slot1ChVolShare">Calc!$E$7891:$E$7891</definedName>
    <definedName name="calcCh3Prod1Slot1CustPrice">Calc!$E$1791:$E$1791</definedName>
    <definedName name="calcCh3Prod1Slot1CustProfitBase">Calc!$E$2869:$E$2869</definedName>
    <definedName name="calcCh3Prod1Slot1CustProfitBaseMarginAbs">Calc!$E$2865:$E$2865</definedName>
    <definedName name="calcCh3Prod1Slot1CustProfitBaseMarginPct">Calc!$E$2866:$E$2866</definedName>
    <definedName name="calcCh3Prod1Slot1CustProfitBaseVol">Calc!$E$2867:$E$2867</definedName>
    <definedName name="calcCh3Prod1Slot1CustProfitPromo1">Calc!$E$2875:$E$2875</definedName>
    <definedName name="calcCh3Prod1Slot1CustProfitPromo1MarginAbs">Calc!$E$2872:$E$2872</definedName>
    <definedName name="calcCh3Prod1Slot1CustProfitPromo1Vol">Calc!$E$2873:$E$2873</definedName>
    <definedName name="calcCh3Prod1Slot1CustProfitTot">Calc!$E$2877:$E$2877</definedName>
    <definedName name="CalcCh3Prod1Slot1Depreciation">Calc!$E$3624:$E$3624</definedName>
    <definedName name="CalcCh3Prod1Slot1DepreciationPUnit">Calc!$E$3696:$E$3696</definedName>
    <definedName name="CalcCh3Prod1Slot1ManufacturingCostPUnit">Calc!$E$3549:$E$3549</definedName>
    <definedName name="calcCh3Prod1Slot1NoPromoPricePLitre">Calc!$E$2184:$E$2184</definedName>
    <definedName name="calcCh3Prod1Slot1NoPromoVol">Calc!$E$2183:$E$2183</definedName>
    <definedName name="calcCh3Prod1Slot1Pack">Calc!$E$4164:$E$4164</definedName>
    <definedName name="calcCh3Prod1Slot1PackFitBase">Calc!$E$4168:$E$4168</definedName>
    <definedName name="calcCh3Prod1Slot1PriceDif">Calc!$E$8051:$E$8051</definedName>
    <definedName name="calcCh3Prod1Slot1Promo1CustPrice">Calc!$E$1795:$E$1795</definedName>
    <definedName name="calcCh3Prod1Slot1Promo1CustProfPWeek">Calc!$E$6762:$E$6762</definedName>
    <definedName name="calcCh3Prod1Slot1Promo1CustUplift">Calc!$E$6762:$E$6762</definedName>
    <definedName name="calcCh3Prod1Slot1Promo1GPaLPUnit">Calc!$E$6750:$E$6750</definedName>
    <definedName name="calcCh3Prod1Slot1Promo1GPaLPWeek">Calc!$E$6751:$E$6751</definedName>
    <definedName name="calcCh3Prod1Slot1Promo1GPaLUplift">Calc!$E$6752:$E$6752</definedName>
    <definedName name="calcCh3Prod1Slot1Promo1Plan">Calc!$E$903:$E$903</definedName>
    <definedName name="calcCh3Prod1Slot1Promo1PlanEmp1Req">Calc!$E$6000:$E$6000</definedName>
    <definedName name="calcCh3Prod1Slot1Promo1PlanExp">Calc!$E$6001:$E$6001</definedName>
    <definedName name="calcCh3Prod1Slot1Promo1PlanShare">Calc!$E$1794:$E$1794</definedName>
    <definedName name="calcCh3Prod1Slot1Promo1PricePLitre">Calc!$E$2182:$E$2182</definedName>
    <definedName name="calcCh3Prod1Slot1Promo1ROI">Calc!$E$6757:$E$6757</definedName>
    <definedName name="calcCh3Prod1Slot1Promo1Seg1Efficiency">Calc!$E$909:$E$909</definedName>
    <definedName name="calcCh3Prod1Slot1Promo1Seg1Fit">Calc!$E$908:$E$908</definedName>
    <definedName name="calcCh3Prod1Slot1Promo1Seg1Share">Calc!$E$910:$E$910</definedName>
    <definedName name="calcCh3Prod1Slot1Promo1Seg2Efficiency">Calc!$E$915:$E$915</definedName>
    <definedName name="calcCh3Prod1Slot1Promo1Seg2Fit">Calc!$E$914:$E$914</definedName>
    <definedName name="calcCh3Prod1Slot1Promo1Seg2Share">Calc!$E$916:$E$916</definedName>
    <definedName name="calcCh3Prod1Slot1Promo1Seg3Efficiency">Calc!$E$921:$E$921</definedName>
    <definedName name="calcCh3Prod1Slot1Promo1Seg3Fit">Calc!$E$920:$E$920</definedName>
    <definedName name="calcCh3Prod1Slot1Promo1Seg3Share">Calc!$E$922:$E$922</definedName>
    <definedName name="calcCh3Prod1Slot1Promo1Seg4Efficiency">Calc!$E$927:$E$927</definedName>
    <definedName name="calcCh3Prod1Slot1Promo1Seg4Fit">Calc!$E$926:$E$926</definedName>
    <definedName name="calcCh3Prod1Slot1Promo1Seg4Share">Calc!$E$928:$E$928</definedName>
    <definedName name="calcCh3Prod1Slot1Promo1Vol">Calc!$E$2181:$E$2181</definedName>
    <definedName name="calcCh3Prod1Slot1Promo1VolPWeek">Calc!$E$6746:$E$6746</definedName>
    <definedName name="calcCh3Prod1Slot1Promo1VolUplift">Calc!$E$6747:$E$6747</definedName>
    <definedName name="calcCh3Prod1Slot1Promo1Weeks">Calc!$E$904:$E$904</definedName>
    <definedName name="calcCh3Prod1Slot1Seg1PackFit">Calc!$E$4172:$E$4172</definedName>
    <definedName name="calcCh3Prod1Slot1Seg2PackFit">Calc!$E$4174:$E$4174</definedName>
    <definedName name="calcCh3Prod1Slot1Seg3PackFit">Calc!$E$4176:$E$4176</definedName>
    <definedName name="calcCh3Prod1Slot1Seg4PackFit">Calc!$E$4178:$E$4178</definedName>
    <definedName name="calcCh3Prod1Slot1ShelfPrice">Calc!$E$1792:$E$1792</definedName>
    <definedName name="calcCh3Prod1Slot1TotalVolSold">Calc!$E$2185:$E$2185</definedName>
    <definedName name="calcCh3Prod1Slot1ValDrivExp">Calc!$E$5261:$E$5261</definedName>
    <definedName name="calcCh3Prod1Slot1VolForecastSlot">Calc!$E$198:$E$198</definedName>
    <definedName name="calcCh3Prod1Slot1WD">Calc!$E$5503:$E$5503</definedName>
    <definedName name="calcCh3Prod1Slot2Active">Calc!$E$93:$E$93</definedName>
    <definedName name="calcCh3Prod1Slot2AvgPrice">Calc!$E$2194:$E$2194</definedName>
    <definedName name="calcCh3Prod1Slot2AvgSalePrice">Calc!$E$1804:$E$1804</definedName>
    <definedName name="calcCh3Prod1Slot2BaseCustProfPWeek">Calc!$E$6768:$E$6768</definedName>
    <definedName name="calcCh3Prod1Slot2BaseCustUplift">Calc!$E$6768:$E$6768</definedName>
    <definedName name="calcCh3Prod1Slot2BaseGPaLPUnit">Calc!$E$6766:$E$6766</definedName>
    <definedName name="calcCh3Prod1Slot2BaseGPaLPWeek">Calc!$E$6767:$E$6767</definedName>
    <definedName name="calcCh3Prod1Slot2BaseVolPWeek">Calc!$E$6765:$E$6765</definedName>
    <definedName name="calcCh3Prod1Slot2ChVolShare">Calc!$E$7892:$E$7892</definedName>
    <definedName name="calcCh3Prod1Slot2CustPrice">Calc!$E$1799:$E$1799</definedName>
    <definedName name="calcCh3Prod1Slot2CustProfitBase">Calc!$E$2885:$E$2885</definedName>
    <definedName name="calcCh3Prod1Slot2CustProfitBaseMarginAbs">Calc!$E$2881:$E$2881</definedName>
    <definedName name="calcCh3Prod1Slot2CustProfitBaseMarginPct">Calc!$E$2882:$E$2882</definedName>
    <definedName name="calcCh3Prod1Slot2CustProfitBaseVol">Calc!$E$2883:$E$2883</definedName>
    <definedName name="calcCh3Prod1Slot2CustProfitPromo1">Calc!$E$2891:$E$2891</definedName>
    <definedName name="calcCh3Prod1Slot2CustProfitPromo1MarginAbs">Calc!$E$2888:$E$2888</definedName>
    <definedName name="calcCh3Prod1Slot2CustProfitPromo1Vol">Calc!$E$2889:$E$2889</definedName>
    <definedName name="calcCh3Prod1Slot2CustProfitTot">Calc!$E$2893:$E$2893</definedName>
    <definedName name="CalcCh3Prod1Slot2Depreciation">Calc!$E$3625:$E$3625</definedName>
    <definedName name="CalcCh3Prod1Slot2DepreciationPUnit">Calc!$E$3697:$E$3697</definedName>
    <definedName name="CalcCh3Prod1Slot2ManufacturingCostPUnit">Calc!$E$3550:$E$3550</definedName>
    <definedName name="calcCh3Prod1Slot2NoPromoPricePLitre">Calc!$E$2192:$E$2192</definedName>
    <definedName name="calcCh3Prod1Slot2NoPromoVol">Calc!$E$2191:$E$2191</definedName>
    <definedName name="calcCh3Prod1Slot2Pack">Calc!$E$4181:$E$4181</definedName>
    <definedName name="calcCh3Prod1Slot2PackFitBase">Calc!$E$4185:$E$4185</definedName>
    <definedName name="calcCh3Prod1Slot2PriceDif">Calc!$E$8052:$E$8052</definedName>
    <definedName name="calcCh3Prod1Slot2Promo1CustPrice">Calc!$E$1803:$E$1803</definedName>
    <definedName name="calcCh3Prod1Slot2Promo1CustProfPWeek">Calc!$E$6788:$E$6788</definedName>
    <definedName name="calcCh3Prod1Slot2Promo1CustUplift">Calc!$E$6788:$E$6788</definedName>
    <definedName name="calcCh3Prod1Slot2Promo1GPaLPUnit">Calc!$E$6776:$E$6776</definedName>
    <definedName name="calcCh3Prod1Slot2Promo1GPaLPWeek">Calc!$E$6777:$E$6777</definedName>
    <definedName name="calcCh3Prod1Slot2Promo1GPaLUplift">Calc!$E$6778:$E$6778</definedName>
    <definedName name="calcCh3Prod1Slot2Promo1Plan">Calc!$E$931:$E$931</definedName>
    <definedName name="calcCh3Prod1Slot2Promo1PlanEmp1Req">Calc!$E$6006:$E$6006</definedName>
    <definedName name="calcCh3Prod1Slot2Promo1PlanExp">Calc!$E$6007:$E$6007</definedName>
    <definedName name="calcCh3Prod1Slot2Promo1PlanShare">Calc!$E$1802:$E$1802</definedName>
    <definedName name="calcCh3Prod1Slot2Promo1PricePLitre">Calc!$E$2190:$E$2190</definedName>
    <definedName name="calcCh3Prod1Slot2Promo1ROI">Calc!$E$6783:$E$6783</definedName>
    <definedName name="calcCh3Prod1Slot2Promo1Seg1Efficiency">Calc!$E$937:$E$937</definedName>
    <definedName name="calcCh3Prod1Slot2Promo1Seg1Fit">Calc!$E$936:$E$936</definedName>
    <definedName name="calcCh3Prod1Slot2Promo1Seg1Share">Calc!$E$938:$E$938</definedName>
    <definedName name="calcCh3Prod1Slot2Promo1Seg2Efficiency">Calc!$E$943:$E$943</definedName>
    <definedName name="calcCh3Prod1Slot2Promo1Seg2Fit">Calc!$E$942:$E$942</definedName>
    <definedName name="calcCh3Prod1Slot2Promo1Seg2Share">Calc!$E$944:$E$944</definedName>
    <definedName name="calcCh3Prod1Slot2Promo1Seg3Efficiency">Calc!$E$949:$E$949</definedName>
    <definedName name="calcCh3Prod1Slot2Promo1Seg3Fit">Calc!$E$948:$E$948</definedName>
    <definedName name="calcCh3Prod1Slot2Promo1Seg3Share">Calc!$E$950:$E$950</definedName>
    <definedName name="calcCh3Prod1Slot2Promo1Seg4Efficiency">Calc!$E$955:$E$955</definedName>
    <definedName name="calcCh3Prod1Slot2Promo1Seg4Fit">Calc!$E$954:$E$954</definedName>
    <definedName name="calcCh3Prod1Slot2Promo1Seg4Share">Calc!$E$956:$E$956</definedName>
    <definedName name="calcCh3Prod1Slot2Promo1Vol">Calc!$E$2189:$E$2189</definedName>
    <definedName name="calcCh3Prod1Slot2Promo1VolPWeek">Calc!$E$6772:$E$6772</definedName>
    <definedName name="calcCh3Prod1Slot2Promo1VolUplift">Calc!$E$6773:$E$6773</definedName>
    <definedName name="calcCh3Prod1Slot2Promo1Weeks">Calc!$E$932:$E$932</definedName>
    <definedName name="calcCh3Prod1Slot2Seg1PackFit">Calc!$E$4189:$E$4189</definedName>
    <definedName name="calcCh3Prod1Slot2Seg2PackFit">Calc!$E$4191:$E$4191</definedName>
    <definedName name="calcCh3Prod1Slot2Seg3PackFit">Calc!$E$4193:$E$4193</definedName>
    <definedName name="calcCh3Prod1Slot2Seg4PackFit">Calc!$E$4195:$E$4195</definedName>
    <definedName name="calcCh3Prod1Slot2ShelfPrice">Calc!$E$1800:$E$1800</definedName>
    <definedName name="calcCh3Prod1Slot2TotalVolSold">Calc!$E$2193:$E$2193</definedName>
    <definedName name="calcCh3Prod1Slot2ValDrivExp">Calc!$E$5262:$E$5262</definedName>
    <definedName name="calcCh3Prod1Slot2VolForecastSlot">Calc!$E$199:$E$199</definedName>
    <definedName name="calcCh3Prod1Slot2WD">Calc!$E$5507:$E$5507</definedName>
    <definedName name="calcCh3Prod1Slot3Active">Calc!$E$94:$E$94</definedName>
    <definedName name="calcCh3Prod1Slot3AvgPrice">Calc!$E$2202:$E$2202</definedName>
    <definedName name="calcCh3Prod1Slot3AvgSalePrice">Calc!$E$1812:$E$1812</definedName>
    <definedName name="calcCh3Prod1Slot3BaseCustProfPWeek">Calc!$E$6794:$E$6794</definedName>
    <definedName name="calcCh3Prod1Slot3BaseCustUplift">Calc!$E$6794:$E$6794</definedName>
    <definedName name="calcCh3Prod1Slot3BaseGPaLPUnit">Calc!$E$6792:$E$6792</definedName>
    <definedName name="calcCh3Prod1Slot3BaseGPaLPWeek">Calc!$E$6793:$E$6793</definedName>
    <definedName name="calcCh3Prod1Slot3BaseVolPWeek">Calc!$E$6791:$E$6791</definedName>
    <definedName name="calcCh3Prod1Slot3ChVolShare">Calc!$E$7893:$E$7893</definedName>
    <definedName name="calcCh3Prod1Slot3CustPrice">Calc!$E$1807:$E$1807</definedName>
    <definedName name="calcCh3Prod1Slot3CustProfitBase">Calc!$E$2901:$E$2901</definedName>
    <definedName name="calcCh3Prod1Slot3CustProfitBaseMarginAbs">Calc!$E$2897:$E$2897</definedName>
    <definedName name="calcCh3Prod1Slot3CustProfitBaseMarginPct">Calc!$E$2898:$E$2898</definedName>
    <definedName name="calcCh3Prod1Slot3CustProfitBaseVol">Calc!$E$2899:$E$2899</definedName>
    <definedName name="calcCh3Prod1Slot3CustProfitPromo1">Calc!$E$2907:$E$2907</definedName>
    <definedName name="calcCh3Prod1Slot3CustProfitPromo1MarginAbs">Calc!$E$2904:$E$2904</definedName>
    <definedName name="calcCh3Prod1Slot3CustProfitPromo1Vol">Calc!$E$2905:$E$2905</definedName>
    <definedName name="calcCh3Prod1Slot3CustProfitTot">Calc!$E$2909:$E$2909</definedName>
    <definedName name="CalcCh3Prod1Slot3Depreciation">Calc!$E$3626:$E$3626</definedName>
    <definedName name="CalcCh3Prod1Slot3DepreciationPUnit">Calc!$E$3698:$E$3698</definedName>
    <definedName name="CalcCh3Prod1Slot3ManufacturingCostPUnit">Calc!$E$3551:$E$3551</definedName>
    <definedName name="calcCh3Prod1Slot3NoPromoPricePLitre">Calc!$E$2200:$E$2200</definedName>
    <definedName name="calcCh3Prod1Slot3NoPromoVol">Calc!$E$2199:$E$2199</definedName>
    <definedName name="calcCh3Prod1Slot3Pack">Calc!$E$4198:$E$4198</definedName>
    <definedName name="calcCh3Prod1Slot3PackFitBase">Calc!$E$4202:$E$4202</definedName>
    <definedName name="calcCh3Prod1Slot3PriceDif">Calc!$E$8053:$E$8053</definedName>
    <definedName name="calcCh3Prod1Slot3Promo1CustPrice">Calc!$E$1811:$E$1811</definedName>
    <definedName name="calcCh3Prod1Slot3Promo1CustProfPWeek">Calc!$E$6814:$E$6814</definedName>
    <definedName name="calcCh3Prod1Slot3Promo1CustUplift">Calc!$E$6814:$E$6814</definedName>
    <definedName name="calcCh3Prod1Slot3Promo1GPaLPUnit">Calc!$E$6802:$E$6802</definedName>
    <definedName name="calcCh3Prod1Slot3Promo1GPaLPWeek">Calc!$E$6803:$E$6803</definedName>
    <definedName name="calcCh3Prod1Slot3Promo1GPaLUplift">Calc!$E$6804:$E$6804</definedName>
    <definedName name="calcCh3Prod1Slot3Promo1Plan">Calc!$E$959:$E$959</definedName>
    <definedName name="calcCh3Prod1Slot3Promo1PlanEmp1Req">Calc!$E$6012:$E$6012</definedName>
    <definedName name="calcCh3Prod1Slot3Promo1PlanExp">Calc!$E$6013:$E$6013</definedName>
    <definedName name="calcCh3Prod1Slot3Promo1PlanShare">Calc!$E$1810:$E$1810</definedName>
    <definedName name="calcCh3Prod1Slot3Promo1PricePLitre">Calc!$E$2198:$E$2198</definedName>
    <definedName name="calcCh3Prod1Slot3Promo1ROI">Calc!$E$6809:$E$6809</definedName>
    <definedName name="calcCh3Prod1Slot3Promo1Seg1Efficiency">Calc!$E$965:$E$965</definedName>
    <definedName name="calcCh3Prod1Slot3Promo1Seg1Fit">Calc!$E$964:$E$964</definedName>
    <definedName name="calcCh3Prod1Slot3Promo1Seg1Share">Calc!$E$966:$E$966</definedName>
    <definedName name="calcCh3Prod1Slot3Promo1Seg2Efficiency">Calc!$E$971:$E$971</definedName>
    <definedName name="calcCh3Prod1Slot3Promo1Seg2Fit">Calc!$E$970:$E$970</definedName>
    <definedName name="calcCh3Prod1Slot3Promo1Seg2Share">Calc!$E$972:$E$972</definedName>
    <definedName name="calcCh3Prod1Slot3Promo1Seg3Efficiency">Calc!$E$977:$E$977</definedName>
    <definedName name="calcCh3Prod1Slot3Promo1Seg3Fit">Calc!$E$976:$E$976</definedName>
    <definedName name="calcCh3Prod1Slot3Promo1Seg3Share">Calc!$E$978:$E$978</definedName>
    <definedName name="calcCh3Prod1Slot3Promo1Seg4Efficiency">Calc!$E$983:$E$983</definedName>
    <definedName name="calcCh3Prod1Slot3Promo1Seg4Fit">Calc!$E$982:$E$982</definedName>
    <definedName name="calcCh3Prod1Slot3Promo1Seg4Share">Calc!$E$984:$E$984</definedName>
    <definedName name="calcCh3Prod1Slot3Promo1Vol">Calc!$E$2197:$E$2197</definedName>
    <definedName name="calcCh3Prod1Slot3Promo1VolPWeek">Calc!$E$6798:$E$6798</definedName>
    <definedName name="calcCh3Prod1Slot3Promo1VolUplift">Calc!$E$6799:$E$6799</definedName>
    <definedName name="calcCh3Prod1Slot3Promo1Weeks">Calc!$E$960:$E$960</definedName>
    <definedName name="calcCh3Prod1Slot3Seg1PackFit">Calc!$E$4206:$E$4206</definedName>
    <definedName name="calcCh3Prod1Slot3Seg2PackFit">Calc!$E$4208:$E$4208</definedName>
    <definedName name="calcCh3Prod1Slot3Seg3PackFit">Calc!$E$4210:$E$4210</definedName>
    <definedName name="calcCh3Prod1Slot3Seg4PackFit">Calc!$E$4212:$E$4212</definedName>
    <definedName name="calcCh3Prod1Slot3ShelfPrice">Calc!$E$1808:$E$1808</definedName>
    <definedName name="calcCh3Prod1Slot3TotalVolSold">Calc!$E$2201:$E$2201</definedName>
    <definedName name="calcCh3Prod1Slot3ValDrivExp">Calc!$E$5263:$E$5263</definedName>
    <definedName name="calcCh3Prod1Slot3VolForecastSlot">Calc!$E$200:$E$200</definedName>
    <definedName name="calcCh3Prod1Slot3WD">Calc!$E$5511:$E$5511</definedName>
    <definedName name="calcCh3Prod1SlotsEnd">Calc!$E$7495:$E$7495</definedName>
    <definedName name="calcCh3Prod1SlotsNew">Calc!$E$7494:$E$7494</definedName>
    <definedName name="calcCh3Prod1SlotsNextEmp1Req">Calc!$E$7498:$E$7498</definedName>
    <definedName name="calcCh3Prod1SlotsNextExp">Calc!$E$7499:$E$7499</definedName>
    <definedName name="calcCh3Prod1SlotsStart">Calc!$E$7493:$E$7493</definedName>
    <definedName name="calcCh3Prod1SlotsTotEmp1Req">Calc!$E$7501:$E$7501</definedName>
    <definedName name="calcCh3Prod1SlotsTotExp">Calc!$E$7502:$E$7502</definedName>
    <definedName name="calcCh3Prod1SlotTotActive">Calc!$E$96:$E$96</definedName>
    <definedName name="calcCh3Prod1TotalVolSold">Calc!$E$2206:$E$2206</definedName>
    <definedName name="calcCh3Prod1VolForecastProd">Calc!$E$16:$E$16</definedName>
    <definedName name="calcCh3Prod1VolSoldNoPromo">Calc!$E$2209:$E$2209</definedName>
    <definedName name="calcCh3Prod1VolSoldPromo1">Calc!$E$2212:$E$2212</definedName>
    <definedName name="calcCh3Prod2AvgCustPrice">Calc!$E$2248:$E$2248</definedName>
    <definedName name="calcCh3Prod2AvgPrice">Calc!$E$2245:$E$2245</definedName>
    <definedName name="calcCh3Prod2AvgPricePromo1">Calc!$E$2251:$E$2251</definedName>
    <definedName name="calcCh3Prod2AvgPromoPrice">Calc!$E$2253:$E$2253</definedName>
    <definedName name="calcCh3Prod2CustProfitTot">Calc!$E$3057:$E$3057</definedName>
    <definedName name="calcCh3Prod2PromoROIavg">Calc!$E$8180:$E$8180</definedName>
    <definedName name="calcCh3Prod2Seg1AssortmentFit">Calc!$E$4836:$E$4836</definedName>
    <definedName name="calcCh3Prod2Seg2AssortmentFit">Calc!$E$4843:$E$4843</definedName>
    <definedName name="calcCh3Prod2Seg3AssortmentFit">Calc!$E$4850:$E$4850</definedName>
    <definedName name="calcCh3Prod2Seg4AssortmentFit">Calc!$E$4857:$E$4857</definedName>
    <definedName name="calcCh3Prod2Slot1Active">Calc!$E$99:$E$99</definedName>
    <definedName name="calcCh3Prod2Slot1AvgPrice">Calc!$E$2224:$E$2224</definedName>
    <definedName name="calcCh3Prod2Slot1AvgSalePrice">Calc!$E$1821:$E$1821</definedName>
    <definedName name="calcCh3Prod2Slot1BaseCustProfPWeek">Calc!$E$6821:$E$6821</definedName>
    <definedName name="calcCh3Prod2Slot1BaseCustUplift">Calc!$E$6821:$E$6821</definedName>
    <definedName name="calcCh3Prod2Slot1BaseGPaLPUnit">Calc!$E$6819:$E$6819</definedName>
    <definedName name="calcCh3Prod2Slot1BaseGPaLPWeek">Calc!$E$6820:$E$6820</definedName>
    <definedName name="calcCh3Prod2Slot1BaseVolPWeek">Calc!$E$6818:$E$6818</definedName>
    <definedName name="calcCh3Prod2Slot1ChVolShare">Calc!$E$7895:$E$7895</definedName>
    <definedName name="calcCh3Prod2Slot1CustPrice">Calc!$E$1816:$E$1816</definedName>
    <definedName name="calcCh3Prod2Slot1CustProfitBase">Calc!$E$2917:$E$2917</definedName>
    <definedName name="calcCh3Prod2Slot1CustProfitBaseMarginAbs">Calc!$E$2913:$E$2913</definedName>
    <definedName name="calcCh3Prod2Slot1CustProfitBaseMarginPct">Calc!$E$2914:$E$2914</definedName>
    <definedName name="calcCh3Prod2Slot1CustProfitBaseVol">Calc!$E$2915:$E$2915</definedName>
    <definedName name="calcCh3Prod2Slot1CustProfitPromo1">Calc!$E$2923:$E$2923</definedName>
    <definedName name="calcCh3Prod2Slot1CustProfitPromo1MarginAbs">Calc!$E$2920:$E$2920</definedName>
    <definedName name="calcCh3Prod2Slot1CustProfitPromo1Vol">Calc!$E$2921:$E$2921</definedName>
    <definedName name="calcCh3Prod2Slot1CustProfitTot">Calc!$E$2925:$E$2925</definedName>
    <definedName name="CalcCh3Prod2Slot1Depreciation">Calc!$E$3628:$E$3628</definedName>
    <definedName name="CalcCh3Prod2Slot1DepreciationPUnit">Calc!$E$3700:$E$3700</definedName>
    <definedName name="CalcCh3Prod2Slot1ManufacturingCostPUnit">Calc!$E$3553:$E$3553</definedName>
    <definedName name="calcCh3Prod2Slot1NoPromoPricePLitre">Calc!$E$2222:$E$2222</definedName>
    <definedName name="calcCh3Prod2Slot1NoPromoVol">Calc!$E$2221:$E$2221</definedName>
    <definedName name="calcCh3Prod2Slot1Pack">Calc!$E$4215:$E$4215</definedName>
    <definedName name="calcCh3Prod2Slot1PackFitBase">Calc!$E$4219:$E$4219</definedName>
    <definedName name="calcCh3Prod2Slot1PriceDif">Calc!$E$8043:$E$8043</definedName>
    <definedName name="calcCh3Prod2Slot1Promo1CustPrice">Calc!$E$1820:$E$1820</definedName>
    <definedName name="calcCh3Prod2Slot1Promo1CustProfPWeek">Calc!$E$6841:$E$6841</definedName>
    <definedName name="calcCh3Prod2Slot1Promo1CustUplift">Calc!$E$6841:$E$6841</definedName>
    <definedName name="calcCh3Prod2Slot1Promo1GPaLPUnit">Calc!$E$6829:$E$6829</definedName>
    <definedName name="calcCh3Prod2Slot1Promo1GPaLPWeek">Calc!$E$6830:$E$6830</definedName>
    <definedName name="calcCh3Prod2Slot1Promo1GPaLUplift">Calc!$E$6831:$E$6831</definedName>
    <definedName name="calcCh3Prod2Slot1Promo1Plan">Calc!$E$988:$E$988</definedName>
    <definedName name="calcCh3Prod2Slot1Promo1PlanEmp1Req">Calc!$E$6018:$E$6018</definedName>
    <definedName name="calcCh3Prod2Slot1Promo1PlanExp">Calc!$E$6019:$E$6019</definedName>
    <definedName name="calcCh3Prod2Slot1Promo1PlanShare">Calc!$E$1819:$E$1819</definedName>
    <definedName name="calcCh3Prod2Slot1Promo1PricePLitre">Calc!$E$2220:$E$2220</definedName>
    <definedName name="calcCh3Prod2Slot1Promo1ROI">Calc!$E$6836:$E$6836</definedName>
    <definedName name="calcCh3Prod2Slot1Promo1Seg1Efficiency">Calc!$E$994:$E$994</definedName>
    <definedName name="calcCh3Prod2Slot1Promo1Seg1Fit">Calc!$E$993:$E$993</definedName>
    <definedName name="calcCh3Prod2Slot1Promo1Seg1Share">Calc!$E$995:$E$995</definedName>
    <definedName name="calcCh3Prod2Slot1Promo1Seg2Efficiency">Calc!$E$1000:$E$1000</definedName>
    <definedName name="calcCh3Prod2Slot1Promo1Seg2Fit">Calc!$E$999:$E$999</definedName>
    <definedName name="calcCh3Prod2Slot1Promo1Seg2Share">Calc!$E$1001:$E$1001</definedName>
    <definedName name="calcCh3Prod2Slot1Promo1Seg3Efficiency">Calc!$E$1006:$E$1006</definedName>
    <definedName name="calcCh3Prod2Slot1Promo1Seg3Fit">Calc!$E$1005:$E$1005</definedName>
    <definedName name="calcCh3Prod2Slot1Promo1Seg3Share">Calc!$E$1007:$E$1007</definedName>
    <definedName name="calcCh3Prod2Slot1Promo1Seg4Efficiency">Calc!$E$1012:$E$1012</definedName>
    <definedName name="calcCh3Prod2Slot1Promo1Seg4Fit">Calc!$E$1011:$E$1011</definedName>
    <definedName name="calcCh3Prod2Slot1Promo1Seg4Share">Calc!$E$1013:$E$1013</definedName>
    <definedName name="calcCh3Prod2Slot1Promo1Vol">Calc!$E$2219:$E$2219</definedName>
    <definedName name="calcCh3Prod2Slot1Promo1VolPWeek">Calc!$E$6825:$E$6825</definedName>
    <definedName name="calcCh3Prod2Slot1Promo1VolUplift">Calc!$E$6826:$E$6826</definedName>
    <definedName name="calcCh3Prod2Slot1Promo1Weeks">Calc!$E$989:$E$989</definedName>
    <definedName name="calcCh3Prod2Slot1Seg1PackFit">Calc!$E$4223:$E$4223</definedName>
    <definedName name="calcCh3Prod2Slot1Seg2PackFit">Calc!$E$4225:$E$4225</definedName>
    <definedName name="calcCh3Prod2Slot1Seg3PackFit">Calc!$E$4227:$E$4227</definedName>
    <definedName name="calcCh3Prod2Slot1Seg4PackFit">Calc!$E$4229:$E$4229</definedName>
    <definedName name="calcCh3Prod2Slot1ShelfPrice">Calc!$E$1817:$E$1817</definedName>
    <definedName name="calcCh3Prod2Slot1TotalVolSold">Calc!$E$2223:$E$2223</definedName>
    <definedName name="calcCh3Prod2Slot1ValDrivExp">Calc!$E$5264:$E$5264</definedName>
    <definedName name="calcCh3Prod2Slot1VolForecastSlot">Calc!$E$202:$E$202</definedName>
    <definedName name="calcCh3Prod2Slot1WD">Calc!$E$5516:$E$5516</definedName>
    <definedName name="calcCh3Prod2Slot2Active">Calc!$E$100:$E$100</definedName>
    <definedName name="calcCh3Prod2Slot2AvgPrice">Calc!$E$2232:$E$2232</definedName>
    <definedName name="calcCh3Prod2Slot2AvgSalePrice">Calc!$E$1829:$E$1829</definedName>
    <definedName name="calcCh3Prod2Slot2BaseCustProfPWeek">Calc!$E$6847:$E$6847</definedName>
    <definedName name="calcCh3Prod2Slot2BaseCustUplift">Calc!$E$6847:$E$6847</definedName>
    <definedName name="calcCh3Prod2Slot2BaseGPaLPUnit">Calc!$E$6845:$E$6845</definedName>
    <definedName name="calcCh3Prod2Slot2BaseGPaLPWeek">Calc!$E$6846:$E$6846</definedName>
    <definedName name="calcCh3Prod2Slot2BaseVolPWeek">Calc!$E$6844:$E$6844</definedName>
    <definedName name="calcCh3Prod2Slot2ChVolShare">Calc!$E$7896:$E$7896</definedName>
    <definedName name="calcCh3Prod2Slot2CustPrice">Calc!$E$1824:$E$1824</definedName>
    <definedName name="calcCh3Prod2Slot2CustProfitBase">Calc!$E$2933:$E$2933</definedName>
    <definedName name="calcCh3Prod2Slot2CustProfitBaseMarginAbs">Calc!$E$2929:$E$2929</definedName>
    <definedName name="calcCh3Prod2Slot2CustProfitBaseMarginPct">Calc!$E$2930:$E$2930</definedName>
    <definedName name="calcCh3Prod2Slot2CustProfitBaseVol">Calc!$E$2931:$E$2931</definedName>
    <definedName name="calcCh3Prod2Slot2CustProfitPromo1">Calc!$E$2939:$E$2939</definedName>
    <definedName name="calcCh3Prod2Slot2CustProfitPromo1MarginAbs">Calc!$E$2936:$E$2936</definedName>
    <definedName name="calcCh3Prod2Slot2CustProfitPromo1Vol">Calc!$E$2937:$E$2937</definedName>
    <definedName name="calcCh3Prod2Slot2CustProfitTot">Calc!$E$2941:$E$2941</definedName>
    <definedName name="CalcCh3Prod2Slot2Depreciation">Calc!$E$3629:$E$3629</definedName>
    <definedName name="CalcCh3Prod2Slot2DepreciationPUnit">Calc!$E$3701:$E$3701</definedName>
    <definedName name="CalcCh3Prod2Slot2ManufacturingCostPUnit">Calc!$E$3554:$E$3554</definedName>
    <definedName name="calcCh3Prod2Slot2NoPromoPricePLitre">Calc!$E$2230:$E$2230</definedName>
    <definedName name="calcCh3Prod2Slot2NoPromoVol">Calc!$E$2229:$E$2229</definedName>
    <definedName name="calcCh3Prod2Slot2Pack">Calc!$E$4232:$E$4232</definedName>
    <definedName name="calcCh3Prod2Slot2PackFitBase">Calc!$E$4236:$E$4236</definedName>
    <definedName name="calcCh3Prod2Slot2PriceDif">Calc!$E$8044:$E$8044</definedName>
    <definedName name="calcCh3Prod2Slot2Promo1CustPrice">Calc!$E$1828:$E$1828</definedName>
    <definedName name="calcCh3Prod2Slot2Promo1CustProfPWeek">Calc!$E$6867:$E$6867</definedName>
    <definedName name="calcCh3Prod2Slot2Promo1CustUplift">Calc!$E$6867:$E$6867</definedName>
    <definedName name="calcCh3Prod2Slot2Promo1GPaLPUnit">Calc!$E$6855:$E$6855</definedName>
    <definedName name="calcCh3Prod2Slot2Promo1GPaLPWeek">Calc!$E$6856:$E$6856</definedName>
    <definedName name="calcCh3Prod2Slot2Promo1GPaLUplift">Calc!$E$6857:$E$6857</definedName>
    <definedName name="calcCh3Prod2Slot2Promo1Plan">Calc!$E$1016:$E$1016</definedName>
    <definedName name="calcCh3Prod2Slot2Promo1PlanEmp1Req">Calc!$E$6024:$E$6024</definedName>
    <definedName name="calcCh3Prod2Slot2Promo1PlanExp">Calc!$E$6025:$E$6025</definedName>
    <definedName name="calcCh3Prod2Slot2Promo1PlanShare">Calc!$E$1827:$E$1827</definedName>
    <definedName name="calcCh3Prod2Slot2Promo1PricePLitre">Calc!$E$2228:$E$2228</definedName>
    <definedName name="calcCh3Prod2Slot2Promo1ROI">Calc!$E$6862:$E$6862</definedName>
    <definedName name="calcCh3Prod2Slot2Promo1Seg1Efficiency">Calc!$E$1022:$E$1022</definedName>
    <definedName name="calcCh3Prod2Slot2Promo1Seg1Fit">Calc!$E$1021:$E$1021</definedName>
    <definedName name="calcCh3Prod2Slot2Promo1Seg1Share">Calc!$E$1023:$E$1023</definedName>
    <definedName name="calcCh3Prod2Slot2Promo1Seg2Efficiency">Calc!$E$1028:$E$1028</definedName>
    <definedName name="calcCh3Prod2Slot2Promo1Seg2Fit">Calc!$E$1027:$E$1027</definedName>
    <definedName name="calcCh3Prod2Slot2Promo1Seg2Share">Calc!$E$1029:$E$1029</definedName>
    <definedName name="calcCh3Prod2Slot2Promo1Seg3Efficiency">Calc!$E$1034:$E$1034</definedName>
    <definedName name="calcCh3Prod2Slot2Promo1Seg3Fit">Calc!$E$1033:$E$1033</definedName>
    <definedName name="calcCh3Prod2Slot2Promo1Seg3Share">Calc!$E$1035:$E$1035</definedName>
    <definedName name="calcCh3Prod2Slot2Promo1Seg4Efficiency">Calc!$E$1040:$E$1040</definedName>
    <definedName name="calcCh3Prod2Slot2Promo1Seg4Fit">Calc!$E$1039:$E$1039</definedName>
    <definedName name="calcCh3Prod2Slot2Promo1Seg4Share">Calc!$E$1041:$E$1041</definedName>
    <definedName name="calcCh3Prod2Slot2Promo1Vol">Calc!$E$2227:$E$2227</definedName>
    <definedName name="calcCh3Prod2Slot2Promo1VolPWeek">Calc!$E$6851:$E$6851</definedName>
    <definedName name="calcCh3Prod2Slot2Promo1VolUplift">Calc!$E$6852:$E$6852</definedName>
    <definedName name="calcCh3Prod2Slot2Promo1Weeks">Calc!$E$1017:$E$1017</definedName>
    <definedName name="calcCh3Prod2Slot2Seg1PackFit">Calc!$E$4240:$E$4240</definedName>
    <definedName name="calcCh3Prod2Slot2Seg2PackFit">Calc!$E$4242:$E$4242</definedName>
    <definedName name="calcCh3Prod2Slot2Seg3PackFit">Calc!$E$4244:$E$4244</definedName>
    <definedName name="calcCh3Prod2Slot2Seg4PackFit">Calc!$E$4246:$E$4246</definedName>
    <definedName name="calcCh3Prod2Slot2ShelfPrice">Calc!$E$1825:$E$1825</definedName>
    <definedName name="calcCh3Prod2Slot2TotalVolSold">Calc!$E$2231:$E$2231</definedName>
    <definedName name="calcCh3Prod2Slot2ValDrivExp">Calc!$E$5265:$E$5265</definedName>
    <definedName name="calcCh3Prod2Slot2VolForecastSlot">Calc!$E$203:$E$203</definedName>
    <definedName name="calcCh3Prod2Slot2WD">Calc!$E$5520:$E$5520</definedName>
    <definedName name="calcCh3Prod2Slot3Active">Calc!$E$101:$E$101</definedName>
    <definedName name="calcCh3Prod2Slot3AvgPrice">Calc!$E$2240:$E$2240</definedName>
    <definedName name="calcCh3Prod2Slot3AvgSalePrice">Calc!$E$1837:$E$1837</definedName>
    <definedName name="calcCh3Prod2Slot3BaseCustProfPWeek">Calc!$E$6873:$E$6873</definedName>
    <definedName name="calcCh3Prod2Slot3BaseCustUplift">Calc!$E$6873:$E$6873</definedName>
    <definedName name="calcCh3Prod2Slot3BaseGPaLPUnit">Calc!$E$6871:$E$6871</definedName>
    <definedName name="calcCh3Prod2Slot3BaseGPaLPWeek">Calc!$E$6872:$E$6872</definedName>
    <definedName name="calcCh3Prod2Slot3BaseVolPWeek">Calc!$E$6870:$E$6870</definedName>
    <definedName name="calcCh3Prod2Slot3ChVolShare">Calc!$E$7897:$E$7897</definedName>
    <definedName name="calcCh3Prod2Slot3CustPrice">Calc!$E$1832:$E$1832</definedName>
    <definedName name="calcCh3Prod2Slot3CustProfitBase">Calc!$E$2949:$E$2949</definedName>
    <definedName name="calcCh3Prod2Slot3CustProfitBaseMarginAbs">Calc!$E$2945:$E$2945</definedName>
    <definedName name="calcCh3Prod2Slot3CustProfitBaseMarginPct">Calc!$E$2946:$E$2946</definedName>
    <definedName name="calcCh3Prod2Slot3CustProfitBaseVol">Calc!$E$2947:$E$2947</definedName>
    <definedName name="calcCh3Prod2Slot3CustProfitPromo1">Calc!$E$2955:$E$2955</definedName>
    <definedName name="calcCh3Prod2Slot3CustProfitPromo1MarginAbs">Calc!$E$2952:$E$2952</definedName>
    <definedName name="calcCh3Prod2Slot3CustProfitPromo1Vol">Calc!$E$2953:$E$2953</definedName>
    <definedName name="calcCh3Prod2Slot3CustProfitTot">Calc!$E$2957:$E$2957</definedName>
    <definedName name="CalcCh3Prod2Slot3Depreciation">Calc!$E$3630:$E$3630</definedName>
    <definedName name="CalcCh3Prod2Slot3DepreciationPUnit">Calc!$E$3702:$E$3702</definedName>
    <definedName name="CalcCh3Prod2Slot3ManufacturingCostPUnit">Calc!$E$3555:$E$3555</definedName>
    <definedName name="calcCh3Prod2Slot3NoPromoPricePLitre">Calc!$E$2238:$E$2238</definedName>
    <definedName name="calcCh3Prod2Slot3NoPromoVol">Calc!$E$2237:$E$2237</definedName>
    <definedName name="calcCh3Prod2Slot3Pack">Calc!$E$4249:$E$4249</definedName>
    <definedName name="calcCh3Prod2Slot3PackFitBase">Calc!$E$4253:$E$4253</definedName>
    <definedName name="calcCh3Prod2Slot3PriceDif">Calc!$E$8045:$E$8045</definedName>
    <definedName name="calcCh3Prod2Slot3Promo1CustPrice">Calc!$E$1836:$E$1836</definedName>
    <definedName name="calcCh3Prod2Slot3Promo1CustProfPWeek">Calc!$E$6893:$E$6893</definedName>
    <definedName name="calcCh3Prod2Slot3Promo1CustUplift">Calc!$E$6893:$E$6893</definedName>
    <definedName name="calcCh3Prod2Slot3Promo1GPaLPUnit">Calc!$E$6881:$E$6881</definedName>
    <definedName name="calcCh3Prod2Slot3Promo1GPaLPWeek">Calc!$E$6882:$E$6882</definedName>
    <definedName name="calcCh3Prod2Slot3Promo1GPaLUplift">Calc!$E$6883:$E$6883</definedName>
    <definedName name="calcCh3Prod2Slot3Promo1Plan">Calc!$E$1044:$E$1044</definedName>
    <definedName name="calcCh3Prod2Slot3Promo1PlanEmp1Req">Calc!$E$6030:$E$6030</definedName>
    <definedName name="calcCh3Prod2Slot3Promo1PlanExp">Calc!$E$6031:$E$6031</definedName>
    <definedName name="calcCh3Prod2Slot3Promo1PlanShare">Calc!$E$1835:$E$1835</definedName>
    <definedName name="calcCh3Prod2Slot3Promo1PricePLitre">Calc!$E$2236:$E$2236</definedName>
    <definedName name="calcCh3Prod2Slot3Promo1ROI">Calc!$E$6888:$E$6888</definedName>
    <definedName name="calcCh3Prod2Slot3Promo1Seg1Efficiency">Calc!$E$1050:$E$1050</definedName>
    <definedName name="calcCh3Prod2Slot3Promo1Seg1Fit">Calc!$E$1049:$E$1049</definedName>
    <definedName name="calcCh3Prod2Slot3Promo1Seg1Share">Calc!$E$1051:$E$1051</definedName>
    <definedName name="calcCh3Prod2Slot3Promo1Seg2Efficiency">Calc!$E$1056:$E$1056</definedName>
    <definedName name="calcCh3Prod2Slot3Promo1Seg2Fit">Calc!$E$1055:$E$1055</definedName>
    <definedName name="calcCh3Prod2Slot3Promo1Seg2Share">Calc!$E$1057:$E$1057</definedName>
    <definedName name="calcCh3Prod2Slot3Promo1Seg3Efficiency">Calc!$E$1062:$E$1062</definedName>
    <definedName name="calcCh3Prod2Slot3Promo1Seg3Fit">Calc!$E$1061:$E$1061</definedName>
    <definedName name="calcCh3Prod2Slot3Promo1Seg3Share">Calc!$E$1063:$E$1063</definedName>
    <definedName name="calcCh3Prod2Slot3Promo1Seg4Efficiency">Calc!$E$1068:$E$1068</definedName>
    <definedName name="calcCh3Prod2Slot3Promo1Seg4Fit">Calc!$E$1067:$E$1067</definedName>
    <definedName name="calcCh3Prod2Slot3Promo1Seg4Share">Calc!$E$1069:$E$1069</definedName>
    <definedName name="calcCh3Prod2Slot3Promo1Vol">Calc!$E$2235:$E$2235</definedName>
    <definedName name="calcCh3Prod2Slot3Promo1VolPWeek">Calc!$E$6877:$E$6877</definedName>
    <definedName name="calcCh3Prod2Slot3Promo1VolUplift">Calc!$E$6878:$E$6878</definedName>
    <definedName name="calcCh3Prod2Slot3Promo1Weeks">Calc!$E$1045:$E$1045</definedName>
    <definedName name="calcCh3Prod2Slot3Seg1PackFit">Calc!$E$4257:$E$4257</definedName>
    <definedName name="calcCh3Prod2Slot3Seg2PackFit">Calc!$E$4259:$E$4259</definedName>
    <definedName name="calcCh3Prod2Slot3Seg3PackFit">Calc!$E$4261:$E$4261</definedName>
    <definedName name="calcCh3Prod2Slot3Seg4PackFit">Calc!$E$4263:$E$4263</definedName>
    <definedName name="calcCh3Prod2Slot3ShelfPrice">Calc!$E$1833:$E$1833</definedName>
    <definedName name="calcCh3Prod2Slot3TotalVolSold">Calc!$E$2239:$E$2239</definedName>
    <definedName name="calcCh3Prod2Slot3ValDrivExp">Calc!$E$5266:$E$5266</definedName>
    <definedName name="calcCh3Prod2Slot3VolForecastSlot">Calc!$E$204:$E$204</definedName>
    <definedName name="calcCh3Prod2Slot3WD">Calc!$E$5524:$E$5524</definedName>
    <definedName name="calcCh3Prod2SlotsEnd">Calc!$E$7507:$E$7507</definedName>
    <definedName name="calcCh3Prod2SlotsNew">Calc!$E$7506:$E$7506</definedName>
    <definedName name="calcCh3Prod2SlotsNextEmp1Req">Calc!$E$7510:$E$7510</definedName>
    <definedName name="calcCh3Prod2SlotsNextExp">Calc!$E$7511:$E$7511</definedName>
    <definedName name="calcCh3Prod2SlotsStart">Calc!$E$7505:$E$7505</definedName>
    <definedName name="calcCh3Prod2SlotsTotEmp1Req">Calc!$E$7513:$E$7513</definedName>
    <definedName name="calcCh3Prod2SlotsTotExp">Calc!$E$7514:$E$7514</definedName>
    <definedName name="calcCh3Prod2SlotTotActive">Calc!$E$103:$E$103</definedName>
    <definedName name="calcCh3Prod2TotalVolSold">Calc!$E$2244:$E$2244</definedName>
    <definedName name="calcCh3Prod2VolForecastProd">Calc!$E$17:$E$17</definedName>
    <definedName name="calcCh3Prod2VolSoldNoPromo">Calc!$E$2247:$E$2247</definedName>
    <definedName name="calcCh3Prod2VolSoldPromo1">Calc!$E$2250:$E$2250</definedName>
    <definedName name="calcCh3Prod3AvgCustPrice">Calc!$E$2286:$E$2286</definedName>
    <definedName name="calcCh3Prod3AvgPrice">Calc!$E$2283:$E$2283</definedName>
    <definedName name="calcCh3Prod3AvgPricePromo1">Calc!$E$2289:$E$2289</definedName>
    <definedName name="calcCh3Prod3AvgPromoPrice">Calc!$E$2291:$E$2291</definedName>
    <definedName name="calcCh3Prod3CustProfitTot">Calc!$E$3058:$E$3058</definedName>
    <definedName name="calcCh3Prod3PromoROIavg">Calc!$E$8185:$E$8185</definedName>
    <definedName name="calcCh3Prod3Seg1AssortmentFit">Calc!$E$4864:$E$4864</definedName>
    <definedName name="calcCh3Prod3Seg2AssortmentFit">Calc!$E$4871:$E$4871</definedName>
    <definedName name="calcCh3Prod3Seg3AssortmentFit">Calc!$E$4878:$E$4878</definedName>
    <definedName name="calcCh3Prod3Seg4AssortmentFit">Calc!$E$4885:$E$4885</definedName>
    <definedName name="calcCh3Prod3Slot1Active">Calc!$E$106:$E$106</definedName>
    <definedName name="calcCh3Prod3Slot1AvgPrice">Calc!$E$2262:$E$2262</definedName>
    <definedName name="calcCh3Prod3Slot1AvgSalePrice">Calc!$E$1846:$E$1846</definedName>
    <definedName name="calcCh3Prod3Slot1BaseCustProfPWeek">Calc!$E$6900:$E$6900</definedName>
    <definedName name="calcCh3Prod3Slot1BaseCustUplift">Calc!$E$6900:$E$6900</definedName>
    <definedName name="calcCh3Prod3Slot1BaseGPaLPUnit">Calc!$E$6898:$E$6898</definedName>
    <definedName name="calcCh3Prod3Slot1BaseGPaLPWeek">Calc!$E$6899:$E$6899</definedName>
    <definedName name="calcCh3Prod3Slot1BaseVolPWeek">Calc!$E$6897:$E$6897</definedName>
    <definedName name="calcCh3Prod3Slot1ChVolShare">Calc!$E$7899:$E$7899</definedName>
    <definedName name="calcCh3Prod3Slot1CustPrice">Calc!$E$1841:$E$1841</definedName>
    <definedName name="calcCh3Prod3Slot1CustProfitBase">Calc!$E$2965:$E$2965</definedName>
    <definedName name="calcCh3Prod3Slot1CustProfitBaseMarginAbs">Calc!$E$2961:$E$2961</definedName>
    <definedName name="calcCh3Prod3Slot1CustProfitBaseMarginPct">Calc!$E$2962:$E$2962</definedName>
    <definedName name="calcCh3Prod3Slot1CustProfitBaseVol">Calc!$E$2963:$E$2963</definedName>
    <definedName name="calcCh3Prod3Slot1CustProfitPromo1">Calc!$E$2971:$E$2971</definedName>
    <definedName name="calcCh3Prod3Slot1CustProfitPromo1MarginAbs">Calc!$E$2968:$E$2968</definedName>
    <definedName name="calcCh3Prod3Slot1CustProfitPromo1Vol">Calc!$E$2969:$E$2969</definedName>
    <definedName name="calcCh3Prod3Slot1CustProfitTot">Calc!$E$2973:$E$2973</definedName>
    <definedName name="CalcCh3Prod3Slot1Depreciation">Calc!$E$3632:$E$3632</definedName>
    <definedName name="CalcCh3Prod3Slot1DepreciationPUnit">Calc!$E$3704:$E$3704</definedName>
    <definedName name="CalcCh3Prod3Slot1ManufacturingCostPUnit">Calc!$E$3557:$E$3557</definedName>
    <definedName name="calcCh3Prod3Slot1NoPromoPricePLitre">Calc!$E$2260:$E$2260</definedName>
    <definedName name="calcCh3Prod3Slot1NoPromoVol">Calc!$E$2259:$E$2259</definedName>
    <definedName name="calcCh3Prod3Slot1Pack">Calc!$E$4266:$E$4266</definedName>
    <definedName name="calcCh3Prod3Slot1PackFitBase">Calc!$E$4270:$E$4270</definedName>
    <definedName name="calcCh3Prod3Slot1PriceDif">Calc!$E$8047:$E$8047</definedName>
    <definedName name="calcCh3Prod3Slot1Promo1CustPrice">Calc!$E$1845:$E$1845</definedName>
    <definedName name="calcCh3Prod3Slot1Promo1CustProfPWeek">Calc!$E$6920:$E$6920</definedName>
    <definedName name="calcCh3Prod3Slot1Promo1CustUplift">Calc!$E$6920:$E$6920</definedName>
    <definedName name="calcCh3Prod3Slot1Promo1GPaLPUnit">Calc!$E$6908:$E$6908</definedName>
    <definedName name="calcCh3Prod3Slot1Promo1GPaLPWeek">Calc!$E$6909:$E$6909</definedName>
    <definedName name="calcCh3Prod3Slot1Promo1GPaLUplift">Calc!$E$6910:$E$6910</definedName>
    <definedName name="calcCh3Prod3Slot1Promo1Plan">Calc!$E$1073:$E$1073</definedName>
    <definedName name="calcCh3Prod3Slot1Promo1PlanEmp1Req">Calc!$E$6036:$E$6036</definedName>
    <definedName name="calcCh3Prod3Slot1Promo1PlanExp">Calc!$E$6037:$E$6037</definedName>
    <definedName name="calcCh3Prod3Slot1Promo1PlanShare">Calc!$E$1844:$E$1844</definedName>
    <definedName name="calcCh3Prod3Slot1Promo1PricePLitre">Calc!$E$2258:$E$2258</definedName>
    <definedName name="calcCh3Prod3Slot1Promo1ROI">Calc!$E$6915:$E$6915</definedName>
    <definedName name="calcCh3Prod3Slot1Promo1Seg1Efficiency">Calc!$E$1079:$E$1079</definedName>
    <definedName name="calcCh3Prod3Slot1Promo1Seg1Fit">Calc!$E$1078:$E$1078</definedName>
    <definedName name="calcCh3Prod3Slot1Promo1Seg1Share">Calc!$E$1080:$E$1080</definedName>
    <definedName name="calcCh3Prod3Slot1Promo1Seg2Efficiency">Calc!$E$1085:$E$1085</definedName>
    <definedName name="calcCh3Prod3Slot1Promo1Seg2Fit">Calc!$E$1084:$E$1084</definedName>
    <definedName name="calcCh3Prod3Slot1Promo1Seg2Share">Calc!$E$1086:$E$1086</definedName>
    <definedName name="calcCh3Prod3Slot1Promo1Seg3Efficiency">Calc!$E$1091:$E$1091</definedName>
    <definedName name="calcCh3Prod3Slot1Promo1Seg3Fit">Calc!$E$1090:$E$1090</definedName>
    <definedName name="calcCh3Prod3Slot1Promo1Seg3Share">Calc!$E$1092:$E$1092</definedName>
    <definedName name="calcCh3Prod3Slot1Promo1Seg4Efficiency">Calc!$E$1097:$E$1097</definedName>
    <definedName name="calcCh3Prod3Slot1Promo1Seg4Fit">Calc!$E$1096:$E$1096</definedName>
    <definedName name="calcCh3Prod3Slot1Promo1Seg4Share">Calc!$E$1098:$E$1098</definedName>
    <definedName name="calcCh3Prod3Slot1Promo1Vol">Calc!$E$2257:$E$2257</definedName>
    <definedName name="calcCh3Prod3Slot1Promo1VolPWeek">Calc!$E$6904:$E$6904</definedName>
    <definedName name="calcCh3Prod3Slot1Promo1VolUplift">Calc!$E$6905:$E$6905</definedName>
    <definedName name="calcCh3Prod3Slot1Promo1Weeks">Calc!$E$1074:$E$1074</definedName>
    <definedName name="calcCh3Prod3Slot1Seg1PackFit">Calc!$E$4274:$E$4274</definedName>
    <definedName name="calcCh3Prod3Slot1Seg2PackFit">Calc!$E$4276:$E$4276</definedName>
    <definedName name="calcCh3Prod3Slot1Seg3PackFit">Calc!$E$4278:$E$4278</definedName>
    <definedName name="calcCh3Prod3Slot1Seg4PackFit">Calc!$E$4280:$E$4280</definedName>
    <definedName name="calcCh3Prod3Slot1ShelfPrice">Calc!$E$1842:$E$1842</definedName>
    <definedName name="calcCh3Prod3Slot1TotalVolSold">Calc!$E$2261:$E$2261</definedName>
    <definedName name="calcCh3Prod3Slot1ValDrivExp">Calc!$E$5267:$E$5267</definedName>
    <definedName name="calcCh3Prod3Slot1VolForecastSlot">Calc!$E$206:$E$206</definedName>
    <definedName name="calcCh3Prod3Slot1WD">Calc!$E$5529:$E$5529</definedName>
    <definedName name="calcCh3Prod3Slot2Active">Calc!$E$107:$E$107</definedName>
    <definedName name="calcCh3Prod3Slot2AvgPrice">Calc!$E$2270:$E$2270</definedName>
    <definedName name="calcCh3Prod3Slot2AvgSalePrice">Calc!$E$1854:$E$1854</definedName>
    <definedName name="calcCh3Prod3Slot2BaseCustProfPWeek">Calc!$E$6926:$E$6926</definedName>
    <definedName name="calcCh3Prod3Slot2BaseCustUplift">Calc!$E$6926:$E$6926</definedName>
    <definedName name="calcCh3Prod3Slot2BaseGPaLPUnit">Calc!$E$6924:$E$6924</definedName>
    <definedName name="calcCh3Prod3Slot2BaseGPaLPWeek">Calc!$E$6925:$E$6925</definedName>
    <definedName name="calcCh3Prod3Slot2BaseVolPWeek">Calc!$E$6923:$E$6923</definedName>
    <definedName name="calcCh3Prod3Slot2ChVolShare">Calc!$E$7900:$E$7900</definedName>
    <definedName name="calcCh3Prod3Slot2CustPrice">Calc!$E$1849:$E$1849</definedName>
    <definedName name="calcCh3Prod3Slot2CustProfitBase">Calc!$E$2981:$E$2981</definedName>
    <definedName name="calcCh3Prod3Slot2CustProfitBaseMarginAbs">Calc!$E$2977:$E$2977</definedName>
    <definedName name="calcCh3Prod3Slot2CustProfitBaseMarginPct">Calc!$E$2978:$E$2978</definedName>
    <definedName name="calcCh3Prod3Slot2CustProfitBaseVol">Calc!$E$2979:$E$2979</definedName>
    <definedName name="calcCh3Prod3Slot2CustProfitPromo1">Calc!$E$2987:$E$2987</definedName>
    <definedName name="calcCh3Prod3Slot2CustProfitPromo1MarginAbs">Calc!$E$2984:$E$2984</definedName>
    <definedName name="calcCh3Prod3Slot2CustProfitPromo1Vol">Calc!$E$2985:$E$2985</definedName>
    <definedName name="calcCh3Prod3Slot2CustProfitTot">Calc!$E$2989:$E$2989</definedName>
    <definedName name="CalcCh3Prod3Slot2Depreciation">Calc!$E$3633:$E$3633</definedName>
    <definedName name="CalcCh3Prod3Slot2DepreciationPUnit">Calc!$E$3705:$E$3705</definedName>
    <definedName name="CalcCh3Prod3Slot2ManufacturingCostPUnit">Calc!$E$3558:$E$3558</definedName>
    <definedName name="calcCh3Prod3Slot2NoPromoPricePLitre">Calc!$E$2268:$E$2268</definedName>
    <definedName name="calcCh3Prod3Slot2NoPromoVol">Calc!$E$2267:$E$2267</definedName>
    <definedName name="calcCh3Prod3Slot2Pack">Calc!$E$4283:$E$4283</definedName>
    <definedName name="calcCh3Prod3Slot2PackFitBase">Calc!$E$4287:$E$4287</definedName>
    <definedName name="calcCh3Prod3Slot2PriceDif">Calc!$E$8048:$E$8048</definedName>
    <definedName name="calcCh3Prod3Slot2Promo1CustPrice">Calc!$E$1853:$E$1853</definedName>
    <definedName name="calcCh3Prod3Slot2Promo1CustProfPWeek">Calc!$E$6946:$E$6946</definedName>
    <definedName name="calcCh3Prod3Slot2Promo1CustUplift">Calc!$E$6946:$E$6946</definedName>
    <definedName name="calcCh3Prod3Slot2Promo1GPaLPUnit">Calc!$E$6934:$E$6934</definedName>
    <definedName name="calcCh3Prod3Slot2Promo1GPaLPWeek">Calc!$E$6935:$E$6935</definedName>
    <definedName name="calcCh3Prod3Slot2Promo1GPaLUplift">Calc!$E$6936:$E$6936</definedName>
    <definedName name="calcCh3Prod3Slot2Promo1Plan">Calc!$E$1101:$E$1101</definedName>
    <definedName name="calcCh3Prod3Slot2Promo1PlanEmp1Req">Calc!$E$6042:$E$6042</definedName>
    <definedName name="calcCh3Prod3Slot2Promo1PlanExp">Calc!$E$6043:$E$6043</definedName>
    <definedName name="calcCh3Prod3Slot2Promo1PlanShare">Calc!$E$1852:$E$1852</definedName>
    <definedName name="calcCh3Prod3Slot2Promo1PricePLitre">Calc!$E$2266:$E$2266</definedName>
    <definedName name="calcCh3Prod3Slot2Promo1ROI">Calc!$E$6941:$E$6941</definedName>
    <definedName name="calcCh3Prod3Slot2Promo1Seg1Efficiency">Calc!$E$1107:$E$1107</definedName>
    <definedName name="calcCh3Prod3Slot2Promo1Seg1Fit">Calc!$E$1106:$E$1106</definedName>
    <definedName name="calcCh3Prod3Slot2Promo1Seg1Share">Calc!$E$1108:$E$1108</definedName>
    <definedName name="calcCh3Prod3Slot2Promo1Seg2Efficiency">Calc!$E$1113:$E$1113</definedName>
    <definedName name="calcCh3Prod3Slot2Promo1Seg2Fit">Calc!$E$1112:$E$1112</definedName>
    <definedName name="calcCh3Prod3Slot2Promo1Seg2Share">Calc!$E$1114:$E$1114</definedName>
    <definedName name="calcCh3Prod3Slot2Promo1Seg3Efficiency">Calc!$E$1119:$E$1119</definedName>
    <definedName name="calcCh3Prod3Slot2Promo1Seg3Fit">Calc!$E$1118:$E$1118</definedName>
    <definedName name="calcCh3Prod3Slot2Promo1Seg3Share">Calc!$E$1120:$E$1120</definedName>
    <definedName name="calcCh3Prod3Slot2Promo1Seg4Efficiency">Calc!$E$1125:$E$1125</definedName>
    <definedName name="calcCh3Prod3Slot2Promo1Seg4Fit">Calc!$E$1124:$E$1124</definedName>
    <definedName name="calcCh3Prod3Slot2Promo1Seg4Share">Calc!$E$1126:$E$1126</definedName>
    <definedName name="calcCh3Prod3Slot2Promo1Vol">Calc!$E$2265:$E$2265</definedName>
    <definedName name="calcCh3Prod3Slot2Promo1VolPWeek">Calc!$E$6930:$E$6930</definedName>
    <definedName name="calcCh3Prod3Slot2Promo1VolUplift">Calc!$E$6931:$E$6931</definedName>
    <definedName name="calcCh3Prod3Slot2Promo1Weeks">Calc!$E$1102:$E$1102</definedName>
    <definedName name="calcCh3Prod3Slot2Seg1PackFit">Calc!$E$4291:$E$4291</definedName>
    <definedName name="calcCh3Prod3Slot2Seg2PackFit">Calc!$E$4293:$E$4293</definedName>
    <definedName name="calcCh3Prod3Slot2Seg3PackFit">Calc!$E$4295:$E$4295</definedName>
    <definedName name="calcCh3Prod3Slot2Seg4PackFit">Calc!$E$4297:$E$4297</definedName>
    <definedName name="calcCh3Prod3Slot2ShelfPrice">Calc!$E$1850:$E$1850</definedName>
    <definedName name="calcCh3Prod3Slot2TotalVolSold">Calc!$E$2269:$E$2269</definedName>
    <definedName name="calcCh3Prod3Slot2ValDrivExp">Calc!$E$5268:$E$5268</definedName>
    <definedName name="calcCh3Prod3Slot2VolForecastSlot">Calc!$E$207:$E$207</definedName>
    <definedName name="calcCh3Prod3Slot2WD">Calc!$E$5533:$E$5533</definedName>
    <definedName name="calcCh3Prod3Slot3Active">Calc!$E$108:$E$108</definedName>
    <definedName name="calcCh3Prod3Slot3AvgPrice">Calc!$E$2278:$E$2278</definedName>
    <definedName name="calcCh3Prod3Slot3AvgSalePrice">Calc!$E$1862:$E$1862</definedName>
    <definedName name="calcCh3Prod3Slot3BaseCustProfPWeek">Calc!$E$6952:$E$6952</definedName>
    <definedName name="calcCh3Prod3Slot3BaseCustUplift">Calc!$E$6952:$E$6952</definedName>
    <definedName name="calcCh3Prod3Slot3BaseGPaLPUnit">Calc!$E$6950:$E$6950</definedName>
    <definedName name="calcCh3Prod3Slot3BaseGPaLPWeek">Calc!$E$6951:$E$6951</definedName>
    <definedName name="calcCh3Prod3Slot3BaseVolPWeek">Calc!$E$6949:$E$6949</definedName>
    <definedName name="calcCh3Prod3Slot3ChVolShare">Calc!$E$7901:$E$7901</definedName>
    <definedName name="calcCh3Prod3Slot3CustPrice">Calc!$E$1857:$E$1857</definedName>
    <definedName name="calcCh3Prod3Slot3CustProfitBase">Calc!$E$2997:$E$2997</definedName>
    <definedName name="calcCh3Prod3Slot3CustProfitBaseMarginAbs">Calc!$E$2993:$E$2993</definedName>
    <definedName name="calcCh3Prod3Slot3CustProfitBaseMarginPct">Calc!$E$2994:$E$2994</definedName>
    <definedName name="calcCh3Prod3Slot3CustProfitBaseVol">Calc!$E$2995:$E$2995</definedName>
    <definedName name="calcCh3Prod3Slot3CustProfitPromo1">Calc!$E$3003:$E$3003</definedName>
    <definedName name="calcCh3Prod3Slot3CustProfitPromo1MarginAbs">Calc!$E$3000:$E$3000</definedName>
    <definedName name="calcCh3Prod3Slot3CustProfitPromo1Vol">Calc!$E$3001:$E$3001</definedName>
    <definedName name="calcCh3Prod3Slot3CustProfitTot">Calc!$E$3005:$E$3005</definedName>
    <definedName name="CalcCh3Prod3Slot3Depreciation">Calc!$E$3634:$E$3634</definedName>
    <definedName name="CalcCh3Prod3Slot3DepreciationPUnit">Calc!$E$3706:$E$3706</definedName>
    <definedName name="CalcCh3Prod3Slot3ManufacturingCostPUnit">Calc!$E$3559:$E$3559</definedName>
    <definedName name="calcCh3Prod3Slot3NoPromoPricePLitre">Calc!$E$2276:$E$2276</definedName>
    <definedName name="calcCh3Prod3Slot3NoPromoVol">Calc!$E$2275:$E$2275</definedName>
    <definedName name="calcCh3Prod3Slot3Pack">Calc!$E$4300:$E$4300</definedName>
    <definedName name="calcCh3Prod3Slot3PackFitBase">Calc!$E$4304:$E$4304</definedName>
    <definedName name="calcCh3Prod3Slot3PriceDif">Calc!$E$8049:$E$8049</definedName>
    <definedName name="calcCh3Prod3Slot3Promo1CustPrice">Calc!$E$1861:$E$1861</definedName>
    <definedName name="calcCh3Prod3Slot3Promo1CustProfPWeek">Calc!$E$6972:$E$6972</definedName>
    <definedName name="calcCh3Prod3Slot3Promo1CustUplift">Calc!$E$6972:$E$6972</definedName>
    <definedName name="calcCh3Prod3Slot3Promo1GPaLPUnit">Calc!$E$6960:$E$6960</definedName>
    <definedName name="calcCh3Prod3Slot3Promo1GPaLPWeek">Calc!$E$6961:$E$6961</definedName>
    <definedName name="calcCh3Prod3Slot3Promo1GPaLUplift">Calc!$E$6962:$E$6962</definedName>
    <definedName name="calcCh3Prod3Slot3Promo1Plan">Calc!$E$1129:$E$1129</definedName>
    <definedName name="calcCh3Prod3Slot3Promo1PlanEmp1Req">Calc!$E$6048:$E$6048</definedName>
    <definedName name="calcCh3Prod3Slot3Promo1PlanExp">Calc!$E$6049:$E$6049</definedName>
    <definedName name="calcCh3Prod3Slot3Promo1PlanShare">Calc!$E$1860:$E$1860</definedName>
    <definedName name="calcCh3Prod3Slot3Promo1PricePLitre">Calc!$E$2274:$E$2274</definedName>
    <definedName name="calcCh3Prod3Slot3Promo1ROI">Calc!$E$6967:$E$6967</definedName>
    <definedName name="calcCh3Prod3Slot3Promo1Seg1Efficiency">Calc!$E$1135:$E$1135</definedName>
    <definedName name="calcCh3Prod3Slot3Promo1Seg1Fit">Calc!$E$1134:$E$1134</definedName>
    <definedName name="calcCh3Prod3Slot3Promo1Seg1Share">Calc!$E$1136:$E$1136</definedName>
    <definedName name="calcCh3Prod3Slot3Promo1Seg2Efficiency">Calc!$E$1141:$E$1141</definedName>
    <definedName name="calcCh3Prod3Slot3Promo1Seg2Fit">Calc!$E$1140:$E$1140</definedName>
    <definedName name="calcCh3Prod3Slot3Promo1Seg2Share">Calc!$E$1142:$E$1142</definedName>
    <definedName name="calcCh3Prod3Slot3Promo1Seg3Efficiency">Calc!$E$1147:$E$1147</definedName>
    <definedName name="calcCh3Prod3Slot3Promo1Seg3Fit">Calc!$E$1146:$E$1146</definedName>
    <definedName name="calcCh3Prod3Slot3Promo1Seg3Share">Calc!$E$1148:$E$1148</definedName>
    <definedName name="calcCh3Prod3Slot3Promo1Seg4Efficiency">Calc!$E$1153:$E$1153</definedName>
    <definedName name="calcCh3Prod3Slot3Promo1Seg4Fit">Calc!$E$1152:$E$1152</definedName>
    <definedName name="calcCh3Prod3Slot3Promo1Seg4Share">Calc!$E$1154:$E$1154</definedName>
    <definedName name="calcCh3Prod3Slot3Promo1Vol">Calc!$E$2273:$E$2273</definedName>
    <definedName name="calcCh3Prod3Slot3Promo1VolPWeek">Calc!$E$6956:$E$6956</definedName>
    <definedName name="calcCh3Prod3Slot3Promo1VolUplift">Calc!$E$6957:$E$6957</definedName>
    <definedName name="calcCh3Prod3Slot3Promo1Weeks">Calc!$E$1130:$E$1130</definedName>
    <definedName name="calcCh3Prod3Slot3Seg1PackFit">Calc!$E$4308:$E$4308</definedName>
    <definedName name="calcCh3Prod3Slot3Seg2PackFit">Calc!$E$4310:$E$4310</definedName>
    <definedName name="calcCh3Prod3Slot3Seg3PackFit">Calc!$E$4312:$E$4312</definedName>
    <definedName name="calcCh3Prod3Slot3Seg4PackFit">Calc!$E$4314:$E$4314</definedName>
    <definedName name="calcCh3Prod3Slot3ShelfPrice">Calc!$E$1858:$E$1858</definedName>
    <definedName name="calcCh3Prod3Slot3TotalVolSold">Calc!$E$2277:$E$2277</definedName>
    <definedName name="calcCh3Prod3Slot3ValDrivExp">Calc!$E$5269:$E$5269</definedName>
    <definedName name="calcCh3Prod3Slot3VolForecastSlot">Calc!$E$208:$E$208</definedName>
    <definedName name="calcCh3Prod3Slot3WD">Calc!$E$5537:$E$5537</definedName>
    <definedName name="calcCh3Prod3SlotsEnd">Calc!$E$7519:$E$7519</definedName>
    <definedName name="calcCh3Prod3SlotsNew">Calc!$E$7518:$E$7518</definedName>
    <definedName name="calcCh3Prod3SlotsNextEmp1Req">Calc!$E$7522:$E$7522</definedName>
    <definedName name="calcCh3Prod3SlotsNextExp">Calc!$E$7523:$E$7523</definedName>
    <definedName name="calcCh3Prod3SlotsStart">Calc!$E$7517:$E$7517</definedName>
    <definedName name="calcCh3Prod3SlotsTotEmp1Req">Calc!$E$7525:$E$7525</definedName>
    <definedName name="calcCh3Prod3SlotsTotExp">Calc!$E$7526:$E$7526</definedName>
    <definedName name="calcCh3Prod3SlotTotActive">Calc!$E$110:$E$110</definedName>
    <definedName name="calcCh3Prod3TotalVolSold">Calc!$E$2282:$E$2282</definedName>
    <definedName name="calcCh3Prod3VolForecastProd">Calc!$E$18:$E$18</definedName>
    <definedName name="calcCh3Prod3VolSoldNoPromo">Calc!$E$2285:$E$2285</definedName>
    <definedName name="calcCh3Prod3VolSoldPromo1">Calc!$E$2288:$E$2288</definedName>
    <definedName name="calcCh3Prod4AvgCustPrice">Calc!$E$2324:$E$2324</definedName>
    <definedName name="calcCh3Prod4AvgPrice">Calc!$E$2321:$E$2321</definedName>
    <definedName name="calcCh3Prod4AvgPricePromo1">Calc!$E$2327:$E$2327</definedName>
    <definedName name="calcCh3Prod4AvgPromoPrice">Calc!$E$2329:$E$2329</definedName>
    <definedName name="calcCh3Prod4CustProfitTot">Calc!$E$3059:$E$3059</definedName>
    <definedName name="calcCh3Prod4PromoROIavg">Calc!$E$8190:$E$8190</definedName>
    <definedName name="calcCh3Prod4Seg1AssortmentFit">Calc!$E$4892:$E$4892</definedName>
    <definedName name="calcCh3Prod4Seg2AssortmentFit">Calc!$E$4899:$E$4899</definedName>
    <definedName name="calcCh3Prod4Seg3AssortmentFit">Calc!$E$4906:$E$4906</definedName>
    <definedName name="calcCh3Prod4Seg4AssortmentFit">Calc!$E$4913:$E$4913</definedName>
    <definedName name="calcCh3Prod4Slot1Active">Calc!$E$113:$E$113</definedName>
    <definedName name="calcCh3Prod4Slot1AvgPrice">Calc!$E$2300:$E$2300</definedName>
    <definedName name="calcCh3Prod4Slot1AvgSalePrice">Calc!$E$1871:$E$1871</definedName>
    <definedName name="calcCh3Prod4Slot1BaseCustProfPWeek">Calc!$E$6979:$E$6979</definedName>
    <definedName name="calcCh3Prod4Slot1BaseCustUplift">Calc!$E$6979:$E$6979</definedName>
    <definedName name="calcCh3Prod4Slot1BaseGPaLPUnit">Calc!$E$6977:$E$6977</definedName>
    <definedName name="calcCh3Prod4Slot1BaseGPaLPWeek">Calc!$E$6978:$E$6978</definedName>
    <definedName name="calcCh3Prod4Slot1BaseVolPWeek">Calc!$E$6976:$E$6976</definedName>
    <definedName name="calcCh3Prod4Slot1ChVolShare">Calc!$E$7903:$E$7903</definedName>
    <definedName name="calcCh3Prod4Slot1CustPrice">Calc!$E$1866:$E$1866</definedName>
    <definedName name="calcCh3Prod4Slot1CustProfitBase">Calc!$E$3013:$E$3013</definedName>
    <definedName name="calcCh3Prod4Slot1CustProfitBaseMarginAbs">Calc!$E$3009:$E$3009</definedName>
    <definedName name="calcCh3Prod4Slot1CustProfitBaseMarginPct">Calc!$E$3010:$E$3010</definedName>
    <definedName name="calcCh3Prod4Slot1CustProfitBaseVol">Calc!$E$3011:$E$3011</definedName>
    <definedName name="calcCh3Prod4Slot1CustProfitPromo1">Calc!$E$3019:$E$3019</definedName>
    <definedName name="calcCh3Prod4Slot1CustProfitPromo1MarginAbs">Calc!$E$3016:$E$3016</definedName>
    <definedName name="calcCh3Prod4Slot1CustProfitPromo1Vol">Calc!$E$3017:$E$3017</definedName>
    <definedName name="calcCh3Prod4Slot1CustProfitTot">Calc!$E$3021:$E$3021</definedName>
    <definedName name="CalcCh3Prod4Slot1Depreciation">Calc!$E$3636:$E$3636</definedName>
    <definedName name="CalcCh3Prod4Slot1DepreciationPUnit">Calc!$E$3708:$E$3708</definedName>
    <definedName name="CalcCh3Prod4Slot1ManufacturingCostPUnit">Calc!$E$3561:$E$3561</definedName>
    <definedName name="calcCh3Prod4Slot1NoPromoPricePLitre">Calc!$E$2298:$E$2298</definedName>
    <definedName name="calcCh3Prod4Slot1NoPromoVol">Calc!$E$2297:$E$2297</definedName>
    <definedName name="calcCh3Prod4Slot1Pack">Calc!$E$4317:$E$4317</definedName>
    <definedName name="calcCh3Prod4Slot1PackFitBase">Calc!$E$4321:$E$4321</definedName>
    <definedName name="calcCh3Prod4Slot1PriceDif">Calc!$E$8055:$E$8055</definedName>
    <definedName name="calcCh3Prod4Slot1Promo1CustPrice">Calc!$E$1870:$E$1870</definedName>
    <definedName name="calcCh3Prod4Slot1Promo1CustProfPWeek">Calc!$E$6999:$E$6999</definedName>
    <definedName name="calcCh3Prod4Slot1Promo1CustUplift">Calc!$E$6999:$E$6999</definedName>
    <definedName name="calcCh3Prod4Slot1Promo1GPaLPUnit">Calc!$E$6987:$E$6987</definedName>
    <definedName name="calcCh3Prod4Slot1Promo1GPaLPWeek">Calc!$E$6988:$E$6988</definedName>
    <definedName name="calcCh3Prod4Slot1Promo1GPaLUplift">Calc!$E$6989:$E$6989</definedName>
    <definedName name="calcCh3Prod4Slot1Promo1Plan">Calc!$E$1158:$E$1158</definedName>
    <definedName name="calcCh3Prod4Slot1Promo1PlanEmp1Req">Calc!$E$6054:$E$6054</definedName>
    <definedName name="calcCh3Prod4Slot1Promo1PlanExp">Calc!$E$6055:$E$6055</definedName>
    <definedName name="calcCh3Prod4Slot1Promo1PlanShare">Calc!$E$1869:$E$1869</definedName>
    <definedName name="calcCh3Prod4Slot1Promo1PricePLitre">Calc!$E$2296:$E$2296</definedName>
    <definedName name="calcCh3Prod4Slot1Promo1ROI">Calc!$E$6994:$E$6994</definedName>
    <definedName name="calcCh3Prod4Slot1Promo1Seg1Efficiency">Calc!$E$1164:$E$1164</definedName>
    <definedName name="calcCh3Prod4Slot1Promo1Seg1Fit">Calc!$E$1163:$E$1163</definedName>
    <definedName name="calcCh3Prod4Slot1Promo1Seg1Share">Calc!$E$1165:$E$1165</definedName>
    <definedName name="calcCh3Prod4Slot1Promo1Seg2Efficiency">Calc!$E$1170:$E$1170</definedName>
    <definedName name="calcCh3Prod4Slot1Promo1Seg2Fit">Calc!$E$1169:$E$1169</definedName>
    <definedName name="calcCh3Prod4Slot1Promo1Seg2Share">Calc!$E$1171:$E$1171</definedName>
    <definedName name="calcCh3Prod4Slot1Promo1Seg3Efficiency">Calc!$E$1176:$E$1176</definedName>
    <definedName name="calcCh3Prod4Slot1Promo1Seg3Fit">Calc!$E$1175:$E$1175</definedName>
    <definedName name="calcCh3Prod4Slot1Promo1Seg3Share">Calc!$E$1177:$E$1177</definedName>
    <definedName name="calcCh3Prod4Slot1Promo1Seg4Efficiency">Calc!$E$1182:$E$1182</definedName>
    <definedName name="calcCh3Prod4Slot1Promo1Seg4Fit">Calc!$E$1181:$E$1181</definedName>
    <definedName name="calcCh3Prod4Slot1Promo1Seg4Share">Calc!$E$1183:$E$1183</definedName>
    <definedName name="calcCh3Prod4Slot1Promo1Vol">Calc!$E$2295:$E$2295</definedName>
    <definedName name="calcCh3Prod4Slot1Promo1VolPWeek">Calc!$E$6983:$E$6983</definedName>
    <definedName name="calcCh3Prod4Slot1Promo1VolUplift">Calc!$E$6984:$E$6984</definedName>
    <definedName name="calcCh3Prod4Slot1Promo1Weeks">Calc!$E$1159:$E$1159</definedName>
    <definedName name="calcCh3Prod4Slot1Seg1PackFit">Calc!$E$4325:$E$4325</definedName>
    <definedName name="calcCh3Prod4Slot1Seg2PackFit">Calc!$E$4327:$E$4327</definedName>
    <definedName name="calcCh3Prod4Slot1Seg3PackFit">Calc!$E$4329:$E$4329</definedName>
    <definedName name="calcCh3Prod4Slot1Seg4PackFit">Calc!$E$4331:$E$4331</definedName>
    <definedName name="calcCh3Prod4Slot1ShelfPrice">Calc!$E$1867:$E$1867</definedName>
    <definedName name="calcCh3Prod4Slot1TotalVolSold">Calc!$E$2299:$E$2299</definedName>
    <definedName name="calcCh3Prod4Slot1ValDrivExp">Calc!$E$5270:$E$5270</definedName>
    <definedName name="calcCh3Prod4Slot1VolForecastSlot">Calc!$E$210:$E$210</definedName>
    <definedName name="calcCh3Prod4Slot1WD">Calc!$E$5542:$E$5542</definedName>
    <definedName name="calcCh3Prod4Slot2Active">Calc!$E$114:$E$114</definedName>
    <definedName name="calcCh3Prod4Slot2AvgPrice">Calc!$E$2308:$E$2308</definedName>
    <definedName name="calcCh3Prod4Slot2AvgSalePrice">Calc!$E$1879:$E$1879</definedName>
    <definedName name="calcCh3Prod4Slot2BaseCustProfPWeek">Calc!$E$7005:$E$7005</definedName>
    <definedName name="calcCh3Prod4Slot2BaseCustUplift">Calc!$E$7005:$E$7005</definedName>
    <definedName name="calcCh3Prod4Slot2BaseGPaLPUnit">Calc!$E$7003:$E$7003</definedName>
    <definedName name="calcCh3Prod4Slot2BaseGPaLPWeek">Calc!$E$7004:$E$7004</definedName>
    <definedName name="calcCh3Prod4Slot2BaseVolPWeek">Calc!$E$7002:$E$7002</definedName>
    <definedName name="calcCh3Prod4Slot2ChVolShare">Calc!$E$7904:$E$7904</definedName>
    <definedName name="calcCh3Prod4Slot2CustPrice">Calc!$E$1874:$E$1874</definedName>
    <definedName name="calcCh3Prod4Slot2CustProfitBase">Calc!$E$3029:$E$3029</definedName>
    <definedName name="calcCh3Prod4Slot2CustProfitBaseMarginAbs">Calc!$E$3025:$E$3025</definedName>
    <definedName name="calcCh3Prod4Slot2CustProfitBaseMarginPct">Calc!$E$3026:$E$3026</definedName>
    <definedName name="calcCh3Prod4Slot2CustProfitBaseVol">Calc!$E$3027:$E$3027</definedName>
    <definedName name="calcCh3Prod4Slot2CustProfitPromo1">Calc!$E$3035:$E$3035</definedName>
    <definedName name="calcCh3Prod4Slot2CustProfitPromo1MarginAbs">Calc!$E$3032:$E$3032</definedName>
    <definedName name="calcCh3Prod4Slot2CustProfitPromo1Vol">Calc!$E$3033:$E$3033</definedName>
    <definedName name="calcCh3Prod4Slot2CustProfitTot">Calc!$E$3037:$E$3037</definedName>
    <definedName name="CalcCh3Prod4Slot2Depreciation">Calc!$E$3637:$E$3637</definedName>
    <definedName name="CalcCh3Prod4Slot2DepreciationPUnit">Calc!$E$3709:$E$3709</definedName>
    <definedName name="CalcCh3Prod4Slot2ManufacturingCostPUnit">Calc!$E$3562:$E$3562</definedName>
    <definedName name="calcCh3Prod4Slot2NoPromoPricePLitre">Calc!$E$2306:$E$2306</definedName>
    <definedName name="calcCh3Prod4Slot2NoPromoVol">Calc!$E$2305:$E$2305</definedName>
    <definedName name="calcCh3Prod4Slot2Pack">Calc!$E$4334:$E$4334</definedName>
    <definedName name="calcCh3Prod4Slot2PackFitBase">Calc!$E$4338:$E$4338</definedName>
    <definedName name="calcCh3Prod4Slot2PriceDif">Calc!$E$8056:$E$8056</definedName>
    <definedName name="calcCh3Prod4Slot2Promo1CustPrice">Calc!$E$1878:$E$1878</definedName>
    <definedName name="calcCh3Prod4Slot2Promo1CustProfPWeek">Calc!$E$7025:$E$7025</definedName>
    <definedName name="calcCh3Prod4Slot2Promo1CustUplift">Calc!$E$7025:$E$7025</definedName>
    <definedName name="calcCh3Prod4Slot2Promo1GPaLPUnit">Calc!$E$7013:$E$7013</definedName>
    <definedName name="calcCh3Prod4Slot2Promo1GPaLPWeek">Calc!$E$7014:$E$7014</definedName>
    <definedName name="calcCh3Prod4Slot2Promo1GPaLUplift">Calc!$E$7015:$E$7015</definedName>
    <definedName name="calcCh3Prod4Slot2Promo1Plan">Calc!$E$1186:$E$1186</definedName>
    <definedName name="calcCh3Prod4Slot2Promo1PlanEmp1Req">Calc!$E$6060:$E$6060</definedName>
    <definedName name="calcCh3Prod4Slot2Promo1PlanExp">Calc!$E$6061:$E$6061</definedName>
    <definedName name="calcCh3Prod4Slot2Promo1PlanShare">Calc!$E$1877:$E$1877</definedName>
    <definedName name="calcCh3Prod4Slot2Promo1PricePLitre">Calc!$E$2304:$E$2304</definedName>
    <definedName name="calcCh3Prod4Slot2Promo1ROI">Calc!$E$7020:$E$7020</definedName>
    <definedName name="calcCh3Prod4Slot2Promo1Seg1Efficiency">Calc!$E$1192:$E$1192</definedName>
    <definedName name="calcCh3Prod4Slot2Promo1Seg1Fit">Calc!$E$1191:$E$1191</definedName>
    <definedName name="calcCh3Prod4Slot2Promo1Seg1Share">Calc!$E$1193:$E$1193</definedName>
    <definedName name="calcCh3Prod4Slot2Promo1Seg2Efficiency">Calc!$E$1198:$E$1198</definedName>
    <definedName name="calcCh3Prod4Slot2Promo1Seg2Fit">Calc!$E$1197:$E$1197</definedName>
    <definedName name="calcCh3Prod4Slot2Promo1Seg2Share">Calc!$E$1199:$E$1199</definedName>
    <definedName name="calcCh3Prod4Slot2Promo1Seg3Efficiency">Calc!$E$1204:$E$1204</definedName>
    <definedName name="calcCh3Prod4Slot2Promo1Seg3Fit">Calc!$E$1203:$E$1203</definedName>
    <definedName name="calcCh3Prod4Slot2Promo1Seg3Share">Calc!$E$1205:$E$1205</definedName>
    <definedName name="calcCh3Prod4Slot2Promo1Seg4Efficiency">Calc!$E$1210:$E$1210</definedName>
    <definedName name="calcCh3Prod4Slot2Promo1Seg4Fit">Calc!$E$1209:$E$1209</definedName>
    <definedName name="calcCh3Prod4Slot2Promo1Seg4Share">Calc!$E$1211:$E$1211</definedName>
    <definedName name="calcCh3Prod4Slot2Promo1Vol">Calc!$E$2303:$E$2303</definedName>
    <definedName name="calcCh3Prod4Slot2Promo1VolPWeek">Calc!$E$7009:$E$7009</definedName>
    <definedName name="calcCh3Prod4Slot2Promo1VolUplift">Calc!$E$7010:$E$7010</definedName>
    <definedName name="calcCh3Prod4Slot2Promo1Weeks">Calc!$E$1187:$E$1187</definedName>
    <definedName name="calcCh3Prod4Slot2Seg1PackFit">Calc!$E$4342:$E$4342</definedName>
    <definedName name="calcCh3Prod4Slot2Seg2PackFit">Calc!$E$4344:$E$4344</definedName>
    <definedName name="calcCh3Prod4Slot2Seg3PackFit">Calc!$E$4346:$E$4346</definedName>
    <definedName name="calcCh3Prod4Slot2Seg4PackFit">Calc!$E$4348:$E$4348</definedName>
    <definedName name="calcCh3Prod4Slot2ShelfPrice">Calc!$E$1875:$E$1875</definedName>
    <definedName name="calcCh3Prod4Slot2TotalVolSold">Calc!$E$2307:$E$2307</definedName>
    <definedName name="calcCh3Prod4Slot2ValDrivExp">Calc!$E$5271:$E$5271</definedName>
    <definedName name="calcCh3Prod4Slot2VolForecastSlot">Calc!$E$211:$E$211</definedName>
    <definedName name="calcCh3Prod4Slot2WD">Calc!$E$5546:$E$5546</definedName>
    <definedName name="calcCh3Prod4Slot3Active">Calc!$E$115:$E$115</definedName>
    <definedName name="calcCh3Prod4Slot3AvgPrice">Calc!$E$2316:$E$2316</definedName>
    <definedName name="calcCh3Prod4Slot3AvgSalePrice">Calc!$E$1887:$E$1887</definedName>
    <definedName name="calcCh3Prod4Slot3BaseCustProfPWeek">Calc!$E$7031:$E$7031</definedName>
    <definedName name="calcCh3Prod4Slot3BaseCustUplift">Calc!$E$7031:$E$7031</definedName>
    <definedName name="calcCh3Prod4Slot3BaseGPaLPUnit">Calc!$E$7029:$E$7029</definedName>
    <definedName name="calcCh3Prod4Slot3BaseGPaLPWeek">Calc!$E$7030:$E$7030</definedName>
    <definedName name="calcCh3Prod4Slot3BaseVolPWeek">Calc!$E$7028:$E$7028</definedName>
    <definedName name="calcCh3Prod4Slot3ChVolShare">Calc!$E$7905:$E$7905</definedName>
    <definedName name="calcCh3Prod4Slot3CustPrice">Calc!$E$1882:$E$1882</definedName>
    <definedName name="calcCh3Prod4Slot3CustProfitBase">Calc!$E$3045:$E$3045</definedName>
    <definedName name="calcCh3Prod4Slot3CustProfitBaseMarginAbs">Calc!$E$3041:$E$3041</definedName>
    <definedName name="calcCh3Prod4Slot3CustProfitBaseMarginPct">Calc!$E$3042:$E$3042</definedName>
    <definedName name="calcCh3Prod4Slot3CustProfitBaseVol">Calc!$E$3043:$E$3043</definedName>
    <definedName name="calcCh3Prod4Slot3CustProfitPromo1">Calc!$E$3051:$E$3051</definedName>
    <definedName name="calcCh3Prod4Slot3CustProfitPromo1MarginAbs">Calc!$E$3048:$E$3048</definedName>
    <definedName name="calcCh3Prod4Slot3CustProfitPromo1Vol">Calc!$E$3049:$E$3049</definedName>
    <definedName name="calcCh3Prod4Slot3CustProfitTot">Calc!$E$3053:$E$3053</definedName>
    <definedName name="CalcCh3Prod4Slot3Depreciation">Calc!$E$3638:$E$3638</definedName>
    <definedName name="CalcCh3Prod4Slot3DepreciationPUnit">Calc!$E$3710:$E$3710</definedName>
    <definedName name="CalcCh3Prod4Slot3ManufacturingCostPUnit">Calc!$E$3563:$E$3563</definedName>
    <definedName name="calcCh3Prod4Slot3NoPromoPricePLitre">Calc!$E$2314:$E$2314</definedName>
    <definedName name="calcCh3Prod4Slot3NoPromoVol">Calc!$E$2313:$E$2313</definedName>
    <definedName name="calcCh3Prod4Slot3Pack">Calc!$E$4351:$E$4351</definedName>
    <definedName name="calcCh3Prod4Slot3PackFitBase">Calc!$E$4355:$E$4355</definedName>
    <definedName name="calcCh3Prod4Slot3PriceDif">Calc!$E$8057:$E$8057</definedName>
    <definedName name="calcCh3Prod4Slot3Promo1CustPrice">Calc!$E$1886:$E$1886</definedName>
    <definedName name="calcCh3Prod4Slot3Promo1CustProfPWeek">Calc!$E$7051:$E$7051</definedName>
    <definedName name="calcCh3Prod4Slot3Promo1CustUplift">Calc!$E$7051:$E$7051</definedName>
    <definedName name="calcCh3Prod4Slot3Promo1GPaLPUnit">Calc!$E$7039:$E$7039</definedName>
    <definedName name="calcCh3Prod4Slot3Promo1GPaLPWeek">Calc!$E$7040:$E$7040</definedName>
    <definedName name="calcCh3Prod4Slot3Promo1GPaLUplift">Calc!$E$7041:$E$7041</definedName>
    <definedName name="calcCh3Prod4Slot3Promo1Plan">Calc!$E$1214:$E$1214</definedName>
    <definedName name="calcCh3Prod4Slot3Promo1PlanEmp1Req">Calc!$E$6066:$E$6066</definedName>
    <definedName name="calcCh3Prod4Slot3Promo1PlanExp">Calc!$E$6067:$E$6067</definedName>
    <definedName name="calcCh3Prod4Slot3Promo1PlanShare">Calc!$E$1885:$E$1885</definedName>
    <definedName name="calcCh3Prod4Slot3Promo1PricePLitre">Calc!$E$2312:$E$2312</definedName>
    <definedName name="calcCh3Prod4Slot3Promo1ROI">Calc!$E$7046:$E$7046</definedName>
    <definedName name="calcCh3Prod4Slot3Promo1Seg1Efficiency">Calc!$E$1220:$E$1220</definedName>
    <definedName name="calcCh3Prod4Slot3Promo1Seg1Fit">Calc!$E$1219:$E$1219</definedName>
    <definedName name="calcCh3Prod4Slot3Promo1Seg1Share">Calc!$E$1221:$E$1221</definedName>
    <definedName name="calcCh3Prod4Slot3Promo1Seg2Efficiency">Calc!$E$1226:$E$1226</definedName>
    <definedName name="calcCh3Prod4Slot3Promo1Seg2Fit">Calc!$E$1225:$E$1225</definedName>
    <definedName name="calcCh3Prod4Slot3Promo1Seg2Share">Calc!$E$1227:$E$1227</definedName>
    <definedName name="calcCh3Prod4Slot3Promo1Seg3Efficiency">Calc!$E$1232:$E$1232</definedName>
    <definedName name="calcCh3Prod4Slot3Promo1Seg3Fit">Calc!$E$1231:$E$1231</definedName>
    <definedName name="calcCh3Prod4Slot3Promo1Seg3Share">Calc!$E$1233:$E$1233</definedName>
    <definedName name="calcCh3Prod4Slot3Promo1Seg4Efficiency">Calc!$E$1238:$E$1238</definedName>
    <definedName name="calcCh3Prod4Slot3Promo1Seg4Fit">Calc!$E$1237:$E$1237</definedName>
    <definedName name="calcCh3Prod4Slot3Promo1Seg4Share">Calc!$E$1239:$E$1239</definedName>
    <definedName name="calcCh3Prod4Slot3Promo1Vol">Calc!$E$2311:$E$2311</definedName>
    <definedName name="calcCh3Prod4Slot3Promo1VolPWeek">Calc!$E$7035:$E$7035</definedName>
    <definedName name="calcCh3Prod4Slot3Promo1VolUplift">Calc!$E$7036:$E$7036</definedName>
    <definedName name="calcCh3Prod4Slot3Promo1Weeks">Calc!$E$1215:$E$1215</definedName>
    <definedName name="calcCh3Prod4Slot3Seg1PackFit">Calc!$E$4359:$E$4359</definedName>
    <definedName name="calcCh3Prod4Slot3Seg2PackFit">Calc!$E$4361:$E$4361</definedName>
    <definedName name="calcCh3Prod4Slot3Seg3PackFit">Calc!$E$4363:$E$4363</definedName>
    <definedName name="calcCh3Prod4Slot3Seg4PackFit">Calc!$E$4365:$E$4365</definedName>
    <definedName name="calcCh3Prod4Slot3ShelfPrice">Calc!$E$1883:$E$1883</definedName>
    <definedName name="calcCh3Prod4Slot3TotalVolSold">Calc!$E$2315:$E$2315</definedName>
    <definedName name="calcCh3Prod4Slot3ValDrivExp">Calc!$E$5272:$E$5272</definedName>
    <definedName name="calcCh3Prod4Slot3VolForecastSlot">Calc!$E$212:$E$212</definedName>
    <definedName name="calcCh3Prod4Slot3WD">Calc!$E$5550:$E$5550</definedName>
    <definedName name="calcCh3Prod4SlotsEnd">Calc!$E$7531:$E$7531</definedName>
    <definedName name="calcCh3Prod4SlotsNew">Calc!$E$7530:$E$7530</definedName>
    <definedName name="calcCh3Prod4SlotsNextEmp1Req">Calc!$E$7534:$E$7534</definedName>
    <definedName name="calcCh3Prod4SlotsNextExp">Calc!$E$7535:$E$7535</definedName>
    <definedName name="calcCh3Prod4SlotsStart">Calc!$E$7529:$E$7529</definedName>
    <definedName name="calcCh3Prod4SlotsTotEmp1Req">Calc!$E$7537:$E$7537</definedName>
    <definedName name="calcCh3Prod4SlotsTotExp">Calc!$E$7538:$E$7538</definedName>
    <definedName name="calcCh3Prod4SlotTotActive">Calc!$E$117:$E$117</definedName>
    <definedName name="calcCh3Prod4TotalVolSold">Calc!$E$2320:$E$2320</definedName>
    <definedName name="calcCh3Prod4VolForecastProd">Calc!$E$19:$E$19</definedName>
    <definedName name="calcCh3Prod4VolSoldNoPromo">Calc!$E$2323:$E$2323</definedName>
    <definedName name="calcCh3Prod4VolSoldPromo1">Calc!$E$2326:$E$2326</definedName>
    <definedName name="calcCh3Promo1PlanEmp1ReqTot">Calc!$E$6070:$E$6070</definedName>
    <definedName name="calcCh3Promo1PlanExpTot">Calc!$E$6071:$E$6071</definedName>
    <definedName name="calcCh3PromoRoiAvg">Calc!$E$8192:$E$8192</definedName>
    <definedName name="calcCh3PromoWeeks">Calc!$E$6162:$E$6162</definedName>
    <definedName name="calcCh3PromoWeeksAvail">Calc!$E$6164:$E$6164</definedName>
    <definedName name="calcCh3PromoWeeksMax">Calc!$E$6166:$E$6166</definedName>
    <definedName name="calcCh3PromoWeeksUsed">Calc!$E$6163:$E$6163</definedName>
    <definedName name="calcCh3SlotMaxReached">Calc!$E$5685:$E$5685</definedName>
    <definedName name="calcCh3SlotsNextEmp1Req">Calc!$E$7542:$E$7542</definedName>
    <definedName name="calcCh3SlotsNextExp">Calc!$E$7543:$E$7543</definedName>
    <definedName name="calcCh3SlotsTotEmp1Req">Calc!$E$7542:$E$7542</definedName>
    <definedName name="calcCh3SlotsTotExp">Calc!$E$7543:$E$7543</definedName>
    <definedName name="calcCh3SlotTotActive">Calc!$E$119:$E$119</definedName>
    <definedName name="calcCh3TotalVolSold">Calc!$E$7888:$E$7888</definedName>
    <definedName name="calcCh3ValDriv1">Calc!$E$5228:$E$5228</definedName>
    <definedName name="calcCh3ValDriv1AccEnd">Calc!$E$5369:$E$5369</definedName>
    <definedName name="calcCh3ValDriv1AccStart">Calc!$E$5362:$E$5362</definedName>
    <definedName name="calcCh3ValDriv1Emp1Req">Calc!$E$5230:$E$5230</definedName>
    <definedName name="calcCh3ValDriv1Exp">Calc!$E$5231:$E$5231</definedName>
    <definedName name="calcCh3ValDriv2">Calc!$E$5234:$E$5234</definedName>
    <definedName name="calcCh3ValDriv2AccEnd">Calc!$E$5639:$E$5639</definedName>
    <definedName name="calcCh3ValDriv2AccStart">Calc!$E$5632:$E$5632</definedName>
    <definedName name="calcCh3ValDriv2Emp1Req">Calc!$E$5236:$E$5236</definedName>
    <definedName name="calcCh3ValDriv2Exp">Calc!$E$5237:$E$5237</definedName>
    <definedName name="calcCh3ValDriv3">Calc!$E$5240:$E$5240</definedName>
    <definedName name="calcCh3ValDriv3AccEnd">Calc!$E$5728:$E$5728</definedName>
    <definedName name="calcCh3ValDriv3AccStart">Calc!$E$5721:$E$5721</definedName>
    <definedName name="calcCh3ValDriv3Emp1Req">Calc!$E$5242:$E$5242</definedName>
    <definedName name="calcCh3ValDriv3Exp">Calc!$E$5243:$E$5243</definedName>
    <definedName name="calcCh3ValDriv4">Calc!$E$5246:$E$5246</definedName>
    <definedName name="calcCh3ValDriv4AccEnd">Calc!$E$5772:$E$5772</definedName>
    <definedName name="calcCh3ValDriv4AccEndMMScore">Calc!$E$5773:$E$5773</definedName>
    <definedName name="calcCh3ValDriv4AccStart">Calc!$E$5765:$E$5765</definedName>
    <definedName name="calcCh3ValDriv4Emp1Req">Calc!$E$5248:$E$5248</definedName>
    <definedName name="calcCh3ValDriv4Exp">Calc!$E$5249:$E$5249</definedName>
    <definedName name="calcCh3ValDriv5">Calc!$E$5252:$E$5252</definedName>
    <definedName name="calcCh3ValDriv5AccEnd">Calc!$E$5824:$E$5824</definedName>
    <definedName name="calcCh3ValDriv5AccStart">Calc!$E$5815:$E$5815</definedName>
    <definedName name="calcCh3ValDriv5Emp1Req">Calc!$E$5254:$E$5254</definedName>
    <definedName name="calcCh3ValDriv5Exp">Calc!$E$5255:$E$5255</definedName>
    <definedName name="calcCh3ValDriv5MMScore">Calc!$E$5825:$E$5825</definedName>
    <definedName name="calcCh3ValDrivCond">Calc!$E$5277:$E$5277</definedName>
    <definedName name="calcCh3ValDrivCondEmp1Req">Calc!$E$5279:$E$5279</definedName>
    <definedName name="calcCh3ValDrivCondExp">Calc!$E$5280:$E$5280</definedName>
    <definedName name="calcCh3ValDrivEmp1ReqTot">Calc!$E$5258:$E$5258</definedName>
    <definedName name="calcCh3ValDrivExpTot">Calc!$E$5259:$E$5259</definedName>
    <definedName name="calcCh3Vt">Calc!$E$7696:$E$7696</definedName>
    <definedName name="calcCh3VtCode">Calc!$E$7697:$E$7697</definedName>
    <definedName name="calcCh3WDAccInv">Calc!$E$5497:$E$5497</definedName>
    <definedName name="calcCh3WDValDriv1">Calc!$E$5498:$E$5498</definedName>
    <definedName name="calcCh3WeightedAvgPrice">Calc!$E$7984:$E$7984</definedName>
    <definedName name="calcCh4AddSlotAvailable">Calc!$E$5694:$E$5694</definedName>
    <definedName name="calcCh4AnalyticsEmp1Req">Calc!$E$7623:$E$7623</definedName>
    <definedName name="calcCh4AnalyticsExp">Calc!$E$7624:$E$7624</definedName>
    <definedName name="calcCh4AnalyticsNumberBought">Calc!$E$7621:$E$7621</definedName>
    <definedName name="calcCh4CondShare">Calc!$E$5109:$E$5109</definedName>
    <definedName name="calcCh4CustProfitTot">Calc!$E$3264:$E$3264</definedName>
    <definedName name="calcCh4MarkPlan">Calc!$E$5066:$E$5066</definedName>
    <definedName name="calcCh4MarkPlanEmp1Req">Calc!$E$5068:$E$5068</definedName>
    <definedName name="calcCh4MarkPlanExp">Calc!$E$5069:$E$5069</definedName>
    <definedName name="calcCh4MarkPlanSeg1Fit">Calc!$E$5071:$E$5071</definedName>
    <definedName name="calcCh4MarkPlanSeg2Fit">Calc!$E$5072:$E$5072</definedName>
    <definedName name="calcCh4MarkPlanSeg3Fit">Calc!$E$5073:$E$5073</definedName>
    <definedName name="calcCh4MarkPlanSeg4Fit">Calc!$E$5074:$E$5074</definedName>
    <definedName name="calcCh4NewSlots">Calc!$E$5690:$E$5690</definedName>
    <definedName name="calcCh4Prod1AvgCustPrice">Calc!$E$2363:$E$2363</definedName>
    <definedName name="calcCh4Prod1AvgPrice">Calc!$E$2360:$E$2360</definedName>
    <definedName name="calcCh4Prod1AvgPricePromo1">Calc!$E$2366:$E$2366</definedName>
    <definedName name="calcCh4Prod1AvgPromoPrice">Calc!$E$2368:$E$2368</definedName>
    <definedName name="calcCh4Prod1CustProfitTot">Calc!$E$3255:$E$3255</definedName>
    <definedName name="calcCh4Prod1PromoROIavg">Calc!$E$8200:$E$8200</definedName>
    <definedName name="calcCh4Prod1Seg1AssortmentFit">Calc!$E$4922:$E$4922</definedName>
    <definedName name="calcCh4Prod1Seg2AssortmentFit">Calc!$E$4929:$E$4929</definedName>
    <definedName name="calcCh4Prod1Seg3AssortmentFit">Calc!$E$4936:$E$4936</definedName>
    <definedName name="calcCh4Prod1Seg4AssortmentFit">Calc!$E$4943:$E$4943</definedName>
    <definedName name="calcCh4Prod1Slot1Active">Calc!$E$123:$E$123</definedName>
    <definedName name="calcCh4Prod1Slot1AvgPrice">Calc!$E$2339:$E$2339</definedName>
    <definedName name="calcCh4Prod1Slot1AvgSalePrice">Calc!$E$1898:$E$1898</definedName>
    <definedName name="calcCh4Prod1Slot1BaseCustProfPWeek">Calc!$E$7060:$E$7060</definedName>
    <definedName name="calcCh4Prod1Slot1BaseCustUplift">Calc!$E$7060:$E$7060</definedName>
    <definedName name="calcCh4Prod1Slot1BaseGPaLPUnit">Calc!$E$7058:$E$7058</definedName>
    <definedName name="calcCh4Prod1Slot1BaseGPaLPWeek">Calc!$E$7059:$E$7059</definedName>
    <definedName name="calcCh4Prod1Slot1BaseVolPWeek">Calc!$E$7057:$E$7057</definedName>
    <definedName name="calcCh4Prod1Slot1ChVolShare">Calc!$E$7911:$E$7911</definedName>
    <definedName name="calcCh4Prod1Slot1CustPrice">Calc!$E$1893:$E$1893</definedName>
    <definedName name="calcCh4Prod1Slot1CustProfitBase">Calc!$E$3068:$E$3068</definedName>
    <definedName name="calcCh4Prod1Slot1CustProfitBaseMarginAbs">Calc!$E$3064:$E$3064</definedName>
    <definedName name="calcCh4Prod1Slot1CustProfitBaseMarginPct">Calc!$E$3065:$E$3065</definedName>
    <definedName name="calcCh4Prod1Slot1CustProfitBaseVol">Calc!$E$3066:$E$3066</definedName>
    <definedName name="calcCh4Prod1Slot1CustProfitPromo1">Calc!$E$3074:$E$3074</definedName>
    <definedName name="calcCh4Prod1Slot1CustProfitPromo1MarginAbs">Calc!$E$3071:$E$3071</definedName>
    <definedName name="calcCh4Prod1Slot1CustProfitPromo1Vol">Calc!$E$3072:$E$3072</definedName>
    <definedName name="calcCh4Prod1Slot1CustProfitTot">Calc!$E$3076:$E$3076</definedName>
    <definedName name="CalcCh4Prod1Slot1Depreciation">Calc!$E$3641:$E$3641</definedName>
    <definedName name="CalcCh4Prod1Slot1DepreciationPUnit">Calc!$E$3713:$E$3713</definedName>
    <definedName name="CalcCh4Prod1Slot1ManufacturingCostPUnit">Calc!$E$3566:$E$3566</definedName>
    <definedName name="calcCh4Prod1Slot1NoPromoPricePLitre">Calc!$E$2337:$E$2337</definedName>
    <definedName name="calcCh4Prod1Slot1NoPromoVol">Calc!$E$2336:$E$2336</definedName>
    <definedName name="calcCh4Prod1Slot1Pack">Calc!$E$4370:$E$4370</definedName>
    <definedName name="calcCh4Prod1Slot1PackFitBase">Calc!$E$4374:$E$4374</definedName>
    <definedName name="calcCh4Prod1Slot1PriceDif">Calc!$E$8068:$E$8068</definedName>
    <definedName name="calcCh4Prod1Slot1Promo1CustPrice">Calc!$E$1897:$E$1897</definedName>
    <definedName name="calcCh4Prod1Slot1Promo1CustProfPWeek">Calc!$E$7080:$E$7080</definedName>
    <definedName name="calcCh4Prod1Slot1Promo1CustUplift">Calc!$E$7080:$E$7080</definedName>
    <definedName name="calcCh4Prod1Slot1Promo1GPaLPUnit">Calc!$E$7068:$E$7068</definedName>
    <definedName name="calcCh4Prod1Slot1Promo1GPaLPWeek">Calc!$E$7069:$E$7069</definedName>
    <definedName name="calcCh4Prod1Slot1Promo1GPaLUplift">Calc!$E$7070:$E$7070</definedName>
    <definedName name="calcCh4Prod1Slot1Promo1Plan">Calc!$E$1245:$E$1245</definedName>
    <definedName name="calcCh4Prod1Slot1Promo1PlanEmp1Req">Calc!$E$6077:$E$6077</definedName>
    <definedName name="calcCh4Prod1Slot1Promo1PlanExp">Calc!$E$6078:$E$6078</definedName>
    <definedName name="calcCh4Prod1Slot1Promo1PlanShare">Calc!$E$1896:$E$1896</definedName>
    <definedName name="calcCh4Prod1Slot1Promo1PricePLitre">Calc!$E$2335:$E$2335</definedName>
    <definedName name="calcCh4Prod1Slot1Promo1ROI">Calc!$E$7075:$E$7075</definedName>
    <definedName name="calcCh4Prod1Slot1Promo1Seg1Efficiency">Calc!$E$1251:$E$1251</definedName>
    <definedName name="calcCh4Prod1Slot1Promo1Seg1Fit">Calc!$E$1250:$E$1250</definedName>
    <definedName name="calcCh4Prod1Slot1Promo1Seg1Share">Calc!$E$1252:$E$1252</definedName>
    <definedName name="calcCh4Prod1Slot1Promo1Seg2Efficiency">Calc!$E$1257:$E$1257</definedName>
    <definedName name="calcCh4Prod1Slot1Promo1Seg2Fit">Calc!$E$1256:$E$1256</definedName>
    <definedName name="calcCh4Prod1Slot1Promo1Seg2Share">Calc!$E$1258:$E$1258</definedName>
    <definedName name="calcCh4Prod1Slot1Promo1Seg3Efficiency">Calc!$E$1263:$E$1263</definedName>
    <definedName name="calcCh4Prod1Slot1Promo1Seg3Fit">Calc!$E$1262:$E$1262</definedName>
    <definedName name="calcCh4Prod1Slot1Promo1Seg3Share">Calc!$E$1264:$E$1264</definedName>
    <definedName name="calcCh4Prod1Slot1Promo1Seg4Efficiency">Calc!$E$1269:$E$1269</definedName>
    <definedName name="calcCh4Prod1Slot1Promo1Seg4Fit">Calc!$E$1268:$E$1268</definedName>
    <definedName name="calcCh4Prod1Slot1Promo1Seg4Share">Calc!$E$1270:$E$1270</definedName>
    <definedName name="calcCh4Prod1Slot1Promo1Vol">Calc!$E$2334:$E$2334</definedName>
    <definedName name="calcCh4Prod1Slot1Promo1VolPWeek">Calc!$E$7064:$E$7064</definedName>
    <definedName name="calcCh4Prod1Slot1Promo1VolUplift">Calc!$E$7065:$E$7065</definedName>
    <definedName name="calcCh4Prod1Slot1Promo1Weeks">Calc!$E$1246:$E$1246</definedName>
    <definedName name="calcCh4Prod1Slot1Seg1PackFit">Calc!$E$4378:$E$4378</definedName>
    <definedName name="calcCh4Prod1Slot1Seg2PackFit">Calc!$E$4380:$E$4380</definedName>
    <definedName name="calcCh4Prod1Slot1Seg3PackFit">Calc!$E$4382:$E$4382</definedName>
    <definedName name="calcCh4Prod1Slot1Seg4PackFit">Calc!$E$4384:$E$4384</definedName>
    <definedName name="calcCh4Prod1Slot1ShelfPrice">Calc!$E$1894:$E$1894</definedName>
    <definedName name="calcCh4Prod1Slot1TotalVolSold">Calc!$E$2338:$E$2338</definedName>
    <definedName name="calcCh4Prod1Slot1ValDrivExp">Calc!$E$5318:$E$5318</definedName>
    <definedName name="calcCh4Prod1Slot1VolForecastSlot">Calc!$E$215:$E$215</definedName>
    <definedName name="calcCh4Prod1Slot1WD">Calc!$E$5560:$E$5560</definedName>
    <definedName name="calcCh4Prod1Slot2Active">Calc!$E$124:$E$124</definedName>
    <definedName name="calcCh4Prod1Slot2AvgPrice">Calc!$E$2347:$E$2347</definedName>
    <definedName name="calcCh4Prod1Slot2AvgSalePrice">Calc!$E$1906:$E$1906</definedName>
    <definedName name="calcCh4Prod1Slot2BaseCustProfPWeek">Calc!$E$7086:$E$7086</definedName>
    <definedName name="calcCh4Prod1Slot2BaseCustUplift">Calc!$E$7086:$E$7086</definedName>
    <definedName name="calcCh4Prod1Slot2BaseGPaLPUnit">Calc!$E$7084:$E$7084</definedName>
    <definedName name="calcCh4Prod1Slot2BaseGPaLPWeek">Calc!$E$7085:$E$7085</definedName>
    <definedName name="calcCh4Prod1Slot2BaseVolPWeek">Calc!$E$7083:$E$7083</definedName>
    <definedName name="calcCh4Prod1Slot2ChVolShare">Calc!$E$7912:$E$7912</definedName>
    <definedName name="calcCh4Prod1Slot2CustPrice">Calc!$E$1901:$E$1901</definedName>
    <definedName name="calcCh4Prod1Slot2CustProfitBase">Calc!$E$3084:$E$3084</definedName>
    <definedName name="calcCh4Prod1Slot2CustProfitBaseMarginAbs">Calc!$E$3080:$E$3080</definedName>
    <definedName name="calcCh4Prod1Slot2CustProfitBaseMarginPct">Calc!$E$3081:$E$3081</definedName>
    <definedName name="calcCh4Prod1Slot2CustProfitBaseVol">Calc!$E$3082:$E$3082</definedName>
    <definedName name="calcCh4Prod1Slot2CustProfitPromo1">Calc!$E$3090:$E$3090</definedName>
    <definedName name="calcCh4Prod1Slot2CustProfitPromo1MarginAbs">Calc!$E$3087:$E$3087</definedName>
    <definedName name="calcCh4Prod1Slot2CustProfitPromo1Vol">Calc!$E$3088:$E$3088</definedName>
    <definedName name="calcCh4Prod1Slot2CustProfitTot">Calc!$E$3092:$E$3092</definedName>
    <definedName name="CalcCh4Prod1Slot2Depreciation">Calc!$E$3642:$E$3642</definedName>
    <definedName name="CalcCh4Prod1Slot2DepreciationPUnit">Calc!$E$3714:$E$3714</definedName>
    <definedName name="CalcCh4Prod1Slot2ManufacturingCostPUnit">Calc!$E$3567:$E$3567</definedName>
    <definedName name="calcCh4Prod1Slot2NoPromoPricePLitre">Calc!$E$2345:$E$2345</definedName>
    <definedName name="calcCh4Prod1Slot2NoPromoVol">Calc!$E$2344:$E$2344</definedName>
    <definedName name="calcCh4Prod1Slot2Pack">Calc!$E$4387:$E$4387</definedName>
    <definedName name="calcCh4Prod1Slot2PackFitBase">Calc!$E$4391:$E$4391</definedName>
    <definedName name="calcCh4Prod1Slot2PriceDif">Calc!$E$8069:$E$8069</definedName>
    <definedName name="calcCh4Prod1Slot2Promo1CustPrice">Calc!$E$1905:$E$1905</definedName>
    <definedName name="calcCh4Prod1Slot2Promo1CustProfPWeek">Calc!$E$7106:$E$7106</definedName>
    <definedName name="calcCh4Prod1Slot2Promo1CustUplift">Calc!$E$7106:$E$7106</definedName>
    <definedName name="calcCh4Prod1Slot2Promo1GPaLPUnit">Calc!$E$7094:$E$7094</definedName>
    <definedName name="calcCh4Prod1Slot2Promo1GPaLPWeek">Calc!$E$7095:$E$7095</definedName>
    <definedName name="calcCh4Prod1Slot2Promo1GPaLUplift">Calc!$E$7096:$E$7096</definedName>
    <definedName name="calcCh4Prod1Slot2Promo1Plan">Calc!$E$1273:$E$1273</definedName>
    <definedName name="calcCh4Prod1Slot2Promo1PlanEmp1Req">Calc!$E$6083:$E$6083</definedName>
    <definedName name="calcCh4Prod1Slot2Promo1PlanExp">Calc!$E$6084:$E$6084</definedName>
    <definedName name="calcCh4Prod1Slot2Promo1PlanShare">Calc!$E$1904:$E$1904</definedName>
    <definedName name="calcCh4Prod1Slot2Promo1PricePLitre">Calc!$E$2343:$E$2343</definedName>
    <definedName name="calcCh4Prod1Slot2Promo1ROI">Calc!$E$7101:$E$7101</definedName>
    <definedName name="calcCh4Prod1Slot2Promo1Seg1Efficiency">Calc!$E$1279:$E$1279</definedName>
    <definedName name="calcCh4Prod1Slot2Promo1Seg1Fit">Calc!$E$1278:$E$1278</definedName>
    <definedName name="calcCh4Prod1Slot2Promo1Seg1Share">Calc!$E$1280:$E$1280</definedName>
    <definedName name="calcCh4Prod1Slot2Promo1Seg2Efficiency">Calc!$E$1285:$E$1285</definedName>
    <definedName name="calcCh4Prod1Slot2Promo1Seg2Fit">Calc!$E$1284:$E$1284</definedName>
    <definedName name="calcCh4Prod1Slot2Promo1Seg2Share">Calc!$E$1286:$E$1286</definedName>
    <definedName name="calcCh4Prod1Slot2Promo1Seg3Efficiency">Calc!$E$1291:$E$1291</definedName>
    <definedName name="calcCh4Prod1Slot2Promo1Seg3Fit">Calc!$E$1290:$E$1290</definedName>
    <definedName name="calcCh4Prod1Slot2Promo1Seg3Share">Calc!$E$1292:$E$1292</definedName>
    <definedName name="calcCh4Prod1Slot2Promo1Seg4Efficiency">Calc!$E$1297:$E$1297</definedName>
    <definedName name="calcCh4Prod1Slot2Promo1Seg4Fit">Calc!$E$1296:$E$1296</definedName>
    <definedName name="calcCh4Prod1Slot2Promo1Seg4Share">Calc!$E$1298:$E$1298</definedName>
    <definedName name="calcCh4Prod1Slot2Promo1Vol">Calc!$E$2342:$E$2342</definedName>
    <definedName name="calcCh4Prod1Slot2Promo1VolPWeek">Calc!$E$7090:$E$7090</definedName>
    <definedName name="calcCh4Prod1Slot2Promo1VolUplift">Calc!$E$7091:$E$7091</definedName>
    <definedName name="calcCh4Prod1Slot2Promo1Weeks">Calc!$E$1274:$E$1274</definedName>
    <definedName name="calcCh4Prod1Slot2Seg1PackFit">Calc!$E$4395:$E$4395</definedName>
    <definedName name="calcCh4Prod1Slot2Seg2PackFit">Calc!$E$4397:$E$4397</definedName>
    <definedName name="calcCh4Prod1Slot2Seg3PackFit">Calc!$E$4399:$E$4399</definedName>
    <definedName name="calcCh4Prod1Slot2Seg4PackFit">Calc!$E$4401:$E$4401</definedName>
    <definedName name="calcCh4Prod1Slot2ShelfPrice">Calc!$E$1902:$E$1902</definedName>
    <definedName name="calcCh4Prod1Slot2TotalVolSold">Calc!$E$2346:$E$2346</definedName>
    <definedName name="calcCh4Prod1Slot2ValDrivExp">Calc!$E$5319:$E$5319</definedName>
    <definedName name="calcCh4Prod1Slot2VolForecastSlot">Calc!$E$216:$E$216</definedName>
    <definedName name="calcCh4Prod1Slot2WD">Calc!$E$5564:$E$5564</definedName>
    <definedName name="calcCh4Prod1Slot3Active">Calc!$E$125:$E$125</definedName>
    <definedName name="calcCh4Prod1Slot3AvgPrice">Calc!$E$2355:$E$2355</definedName>
    <definedName name="calcCh4Prod1Slot3AvgSalePrice">Calc!$E$1914:$E$1914</definedName>
    <definedName name="calcCh4Prod1Slot3BaseCustProfPWeek">Calc!$E$7112:$E$7112</definedName>
    <definedName name="calcCh4Prod1Slot3BaseCustUplift">Calc!$E$7112:$E$7112</definedName>
    <definedName name="calcCh4Prod1Slot3BaseGPaLPUnit">Calc!$E$7110:$E$7110</definedName>
    <definedName name="calcCh4Prod1Slot3BaseGPaLPWeek">Calc!$E$7111:$E$7111</definedName>
    <definedName name="calcCh4Prod1Slot3BaseVolPWeek">Calc!$E$7109:$E$7109</definedName>
    <definedName name="calcCh4Prod1Slot3ChVolShare">Calc!$E$7913:$E$7913</definedName>
    <definedName name="calcCh4Prod1Slot3CustPrice">Calc!$E$1909:$E$1909</definedName>
    <definedName name="calcCh4Prod1Slot3CustProfitBase">Calc!$E$3100:$E$3100</definedName>
    <definedName name="calcCh4Prod1Slot3CustProfitBaseMarginAbs">Calc!$E$3096:$E$3096</definedName>
    <definedName name="calcCh4Prod1Slot3CustProfitBaseMarginPct">Calc!$E$3097:$E$3097</definedName>
    <definedName name="calcCh4Prod1Slot3CustProfitBaseVol">Calc!$E$3098:$E$3098</definedName>
    <definedName name="calcCh4Prod1Slot3CustProfitPromo1">Calc!$E$3106:$E$3106</definedName>
    <definedName name="calcCh4Prod1Slot3CustProfitPromo1MarginAbs">Calc!$E$3103:$E$3103</definedName>
    <definedName name="calcCh4Prod1Slot3CustProfitPromo1Vol">Calc!$E$3104:$E$3104</definedName>
    <definedName name="calcCh4Prod1Slot3CustProfitTot">Calc!$E$3108:$E$3108</definedName>
    <definedName name="CalcCh4Prod1Slot3Depreciation">Calc!$E$3643:$E$3643</definedName>
    <definedName name="CalcCh4Prod1Slot3DepreciationPUnit">Calc!$E$3715:$E$3715</definedName>
    <definedName name="CalcCh4Prod1Slot3ManufacturingCostPUnit">Calc!$E$3568:$E$3568</definedName>
    <definedName name="calcCh4Prod1Slot3NoPromoPricePLitre">Calc!$E$2353:$E$2353</definedName>
    <definedName name="calcCh4Prod1Slot3NoPromoVol">Calc!$E$2352:$E$2352</definedName>
    <definedName name="calcCh4Prod1Slot3Pack">Calc!$E$4404:$E$4404</definedName>
    <definedName name="calcCh4Prod1Slot3PackFitBase">Calc!$E$4408:$E$4408</definedName>
    <definedName name="calcCh4Prod1Slot3PriceDif">Calc!$E$8070:$E$8070</definedName>
    <definedName name="calcCh4Prod1Slot3Promo1CustPrice">Calc!$E$1913:$E$1913</definedName>
    <definedName name="calcCh4Prod1Slot3Promo1CustProfPWeek">Calc!$E$7132:$E$7132</definedName>
    <definedName name="calcCh4Prod1Slot3Promo1CustUplift">Calc!$E$7132:$E$7132</definedName>
    <definedName name="calcCh4Prod1Slot3Promo1GPaLPUnit">Calc!$E$7120:$E$7120</definedName>
    <definedName name="calcCh4Prod1Slot3Promo1GPaLPWeek">Calc!$E$7121:$E$7121</definedName>
    <definedName name="calcCh4Prod1Slot3Promo1GPaLUplift">Calc!$E$7122:$E$7122</definedName>
    <definedName name="calcCh4Prod1Slot3Promo1Plan">Calc!$E$1301:$E$1301</definedName>
    <definedName name="calcCh4Prod1Slot3Promo1PlanEmp1Req">Calc!$E$6089:$E$6089</definedName>
    <definedName name="calcCh4Prod1Slot3Promo1PlanExp">Calc!$E$6090:$E$6090</definedName>
    <definedName name="calcCh4Prod1Slot3Promo1PlanShare">Calc!$E$1912:$E$1912</definedName>
    <definedName name="calcCh4Prod1Slot3Promo1PricePLitre">Calc!$E$2351:$E$2351</definedName>
    <definedName name="calcCh4Prod1Slot3Promo1ROI">Calc!$E$7127:$E$7127</definedName>
    <definedName name="calcCh4Prod1Slot3Promo1Seg1Efficiency">Calc!$E$1307:$E$1307</definedName>
    <definedName name="calcCh4Prod1Slot3Promo1Seg1Fit">Calc!$E$1306:$E$1306</definedName>
    <definedName name="calcCh4Prod1Slot3Promo1Seg1Share">Calc!$E$1308:$E$1308</definedName>
    <definedName name="calcCh4Prod1Slot3Promo1Seg2Efficiency">Calc!$E$1313:$E$1313</definedName>
    <definedName name="calcCh4Prod1Slot3Promo1Seg2Fit">Calc!$E$1312:$E$1312</definedName>
    <definedName name="calcCh4Prod1Slot3Promo1Seg2Share">Calc!$E$1314:$E$1314</definedName>
    <definedName name="calcCh4Prod1Slot3Promo1Seg3Efficiency">Calc!$E$1319:$E$1319</definedName>
    <definedName name="calcCh4Prod1Slot3Promo1Seg3Fit">Calc!$E$1318:$E$1318</definedName>
    <definedName name="calcCh4Prod1Slot3Promo1Seg3Share">Calc!$E$1320:$E$1320</definedName>
    <definedName name="calcCh4Prod1Slot3Promo1Seg4Efficiency">Calc!$E$1325:$E$1325</definedName>
    <definedName name="calcCh4Prod1Slot3Promo1Seg4Fit">Calc!$E$1324:$E$1324</definedName>
    <definedName name="calcCh4Prod1Slot3Promo1Seg4Share">Calc!$E$1326:$E$1326</definedName>
    <definedName name="calcCh4Prod1Slot3Promo1Vol">Calc!$E$2350:$E$2350</definedName>
    <definedName name="calcCh4Prod1Slot3Promo1VolPWeek">Calc!$E$7116:$E$7116</definedName>
    <definedName name="calcCh4Prod1Slot3Promo1VolUplift">Calc!$E$7117:$E$7117</definedName>
    <definedName name="calcCh4Prod1Slot3Promo1Weeks">Calc!$E$1302:$E$1302</definedName>
    <definedName name="calcCh4Prod1Slot3Seg1PackFit">Calc!$E$4412:$E$4412</definedName>
    <definedName name="calcCh4Prod1Slot3Seg2PackFit">Calc!$E$4414:$E$4414</definedName>
    <definedName name="calcCh4Prod1Slot3Seg3PackFit">Calc!$E$4416:$E$4416</definedName>
    <definedName name="calcCh4Prod1Slot3Seg4PackFit">Calc!$E$4418:$E$4418</definedName>
    <definedName name="calcCh4Prod1Slot3ShelfPrice">Calc!$E$1910:$E$1910</definedName>
    <definedName name="calcCh4Prod1Slot3TotalVolSold">Calc!$E$2354:$E$2354</definedName>
    <definedName name="calcCh4Prod1Slot3ValDrivExp">Calc!$E$5320:$E$5320</definedName>
    <definedName name="calcCh4Prod1Slot3VolForecastSlot">Calc!$E$217:$E$217</definedName>
    <definedName name="calcCh4Prod1Slot3WD">Calc!$E$5568:$E$5568</definedName>
    <definedName name="calcCh4Prod1SlotsEnd">Calc!$E$7550:$E$7550</definedName>
    <definedName name="calcCh4Prod1SlotsNew">Calc!$E$7549:$E$7549</definedName>
    <definedName name="calcCh4Prod1SlotsNextEmp1Req">Calc!$E$7553:$E$7553</definedName>
    <definedName name="calcCh4Prod1SlotsNextExp">Calc!$E$7554:$E$7554</definedName>
    <definedName name="calcCh4Prod1SlotsStart">Calc!$E$7548:$E$7548</definedName>
    <definedName name="calcCh4Prod1SlotsTotEmp1Req">Calc!$E$7556:$E$7556</definedName>
    <definedName name="calcCh4Prod1SlotsTotExp">Calc!$E$7557:$E$7557</definedName>
    <definedName name="calcCh4Prod1SlotTotActive">Calc!$E$127:$E$127</definedName>
    <definedName name="calcCh4Prod1TotalVolSold">Calc!$E$2359:$E$2359</definedName>
    <definedName name="calcCh4Prod1VolForecastProd">Calc!$E$21:$E$21</definedName>
    <definedName name="calcCh4Prod1VolSoldNoPromo">Calc!$E$2362:$E$2362</definedName>
    <definedName name="calcCh4Prod1VolSoldPromo1">Calc!$E$2365:$E$2365</definedName>
    <definedName name="calcCh4Prod2AvgCustPrice">Calc!$E$2401:$E$2401</definedName>
    <definedName name="calcCh4Prod2AvgPrice">Calc!$E$2398:$E$2398</definedName>
    <definedName name="calcCh4Prod2AvgPricePromo1">Calc!$E$2404:$E$2404</definedName>
    <definedName name="calcCh4Prod2AvgPromoPrice">Calc!$E$2406:$E$2406</definedName>
    <definedName name="calcCh4Prod2CustProfitTot">Calc!$E$3256:$E$3256</definedName>
    <definedName name="calcCh4Prod2PromoROIavg">Calc!$E$8205:$E$8205</definedName>
    <definedName name="calcCh4Prod2Seg1AssortmentFit">Calc!$E$4950:$E$4950</definedName>
    <definedName name="calcCh4Prod2Seg2AssortmentFit">Calc!$E$4957:$E$4957</definedName>
    <definedName name="calcCh4Prod2Seg3AssortmentFit">Calc!$E$4964:$E$4964</definedName>
    <definedName name="calcCh4Prod2Seg4AssortmentFit">Calc!$E$4971:$E$4971</definedName>
    <definedName name="calcCh4Prod2Slot1Active">Calc!$E$130:$E$130</definedName>
    <definedName name="calcCh4Prod2Slot1AvgPrice">Calc!$E$2377:$E$2377</definedName>
    <definedName name="calcCh4Prod2Slot1AvgSalePrice">Calc!$E$1923:$E$1923</definedName>
    <definedName name="calcCh4Prod2Slot1BaseCustProfPWeek">Calc!$E$7139:$E$7139</definedName>
    <definedName name="calcCh4Prod2Slot1BaseCustUplift">Calc!$E$7139:$E$7139</definedName>
    <definedName name="calcCh4Prod2Slot1BaseGPaLPUnit">Calc!$E$7137:$E$7137</definedName>
    <definedName name="calcCh4Prod2Slot1BaseGPaLPWeek">Calc!$E$7138:$E$7138</definedName>
    <definedName name="calcCh4Prod2Slot1BaseVolPWeek">Calc!$E$7136:$E$7136</definedName>
    <definedName name="calcCh4Prod2Slot1ChVolShare">Calc!$E$7915:$E$7915</definedName>
    <definedName name="calcCh4Prod2Slot1CustPrice">Calc!$E$1918:$E$1918</definedName>
    <definedName name="calcCh4Prod2Slot1CustProfitBase">Calc!$E$3116:$E$3116</definedName>
    <definedName name="calcCh4Prod2Slot1CustProfitBaseMarginAbs">Calc!$E$3112:$E$3112</definedName>
    <definedName name="calcCh4Prod2Slot1CustProfitBaseMarginPct">Calc!$E$3113:$E$3113</definedName>
    <definedName name="calcCh4Prod2Slot1CustProfitBaseVol">Calc!$E$3114:$E$3114</definedName>
    <definedName name="calcCh4Prod2Slot1CustProfitPromo1">Calc!$E$3122:$E$3122</definedName>
    <definedName name="calcCh4Prod2Slot1CustProfitPromo1MarginAbs">Calc!$E$3119:$E$3119</definedName>
    <definedName name="calcCh4Prod2Slot1CustProfitPromo1Vol">Calc!$E$3120:$E$3120</definedName>
    <definedName name="calcCh4Prod2Slot1CustProfitTot">Calc!$E$3124:$E$3124</definedName>
    <definedName name="CalcCh4Prod2Slot1Depreciation">Calc!$E$3645:$E$3645</definedName>
    <definedName name="CalcCh4Prod2Slot1DepreciationPUnit">Calc!$E$3717:$E$3717</definedName>
    <definedName name="CalcCh4Prod2Slot1ManufacturingCostPUnit">Calc!$E$3570:$E$3570</definedName>
    <definedName name="calcCh4Prod2Slot1NoPromoPricePLitre">Calc!$E$2375:$E$2375</definedName>
    <definedName name="calcCh4Prod2Slot1NoPromoVol">Calc!$E$2374:$E$2374</definedName>
    <definedName name="calcCh4Prod2Slot1Pack">Calc!$E$4421:$E$4421</definedName>
    <definedName name="calcCh4Prod2Slot1PackFitBase">Calc!$E$4425:$E$4425</definedName>
    <definedName name="calcCh4Prod2Slot1PriceDif">Calc!$E$8060:$E$8060</definedName>
    <definedName name="calcCh4Prod2Slot1Promo1CustPrice">Calc!$E$1922:$E$1922</definedName>
    <definedName name="calcCh4Prod2Slot1Promo1CustProfPWeek">Calc!$E$7159:$E$7159</definedName>
    <definedName name="calcCh4Prod2Slot1Promo1CustUplift">Calc!$E$7159:$E$7159</definedName>
    <definedName name="calcCh4Prod2Slot1Promo1GPaLPUnit">Calc!$E$7147:$E$7147</definedName>
    <definedName name="calcCh4Prod2Slot1Promo1GPaLPWeek">Calc!$E$7148:$E$7148</definedName>
    <definedName name="calcCh4Prod2Slot1Promo1GPaLUplift">Calc!$E$7149:$E$7149</definedName>
    <definedName name="calcCh4Prod2Slot1Promo1Plan">Calc!$E$1330:$E$1330</definedName>
    <definedName name="calcCh4Prod2Slot1Promo1PlanEmp1Req">Calc!$E$6095:$E$6095</definedName>
    <definedName name="calcCh4Prod2Slot1Promo1PlanExp">Calc!$E$6096:$E$6096</definedName>
    <definedName name="calcCh4Prod2Slot1Promo1PlanShare">Calc!$E$1921:$E$1921</definedName>
    <definedName name="calcCh4Prod2Slot1Promo1PricePLitre">Calc!$E$2373:$E$2373</definedName>
    <definedName name="calcCh4Prod2Slot1Promo1ROI">Calc!$E$7154:$E$7154</definedName>
    <definedName name="calcCh4Prod2Slot1Promo1Seg1Efficiency">Calc!$E$1336:$E$1336</definedName>
    <definedName name="calcCh4Prod2Slot1Promo1Seg1Fit">Calc!$E$1335:$E$1335</definedName>
    <definedName name="calcCh4Prod2Slot1Promo1Seg1Share">Calc!$E$1337:$E$1337</definedName>
    <definedName name="calcCh4Prod2Slot1Promo1Seg2Efficiency">Calc!$E$1342:$E$1342</definedName>
    <definedName name="calcCh4Prod2Slot1Promo1Seg2Fit">Calc!$E$1341:$E$1341</definedName>
    <definedName name="calcCh4Prod2Slot1Promo1Seg2Share">Calc!$E$1343:$E$1343</definedName>
    <definedName name="calcCh4Prod2Slot1Promo1Seg3Efficiency">Calc!$E$1348:$E$1348</definedName>
    <definedName name="calcCh4Prod2Slot1Promo1Seg3Fit">Calc!$E$1347:$E$1347</definedName>
    <definedName name="calcCh4Prod2Slot1Promo1Seg3Share">Calc!$E$1349:$E$1349</definedName>
    <definedName name="calcCh4Prod2Slot1Promo1Seg4Efficiency">Calc!$E$1354:$E$1354</definedName>
    <definedName name="calcCh4Prod2Slot1Promo1Seg4Fit">Calc!$E$1353:$E$1353</definedName>
    <definedName name="calcCh4Prod2Slot1Promo1Seg4Share">Calc!$E$1355:$E$1355</definedName>
    <definedName name="calcCh4Prod2Slot1Promo1Vol">Calc!$E$2372:$E$2372</definedName>
    <definedName name="calcCh4Prod2Slot1Promo1VolPWeek">Calc!$E$7143:$E$7143</definedName>
    <definedName name="calcCh4Prod2Slot1Promo1VolUplift">Calc!$E$7144:$E$7144</definedName>
    <definedName name="calcCh4Prod2Slot1Promo1Weeks">Calc!$E$1331:$E$1331</definedName>
    <definedName name="calcCh4Prod2Slot1Seg1PackFit">Calc!$E$4429:$E$4429</definedName>
    <definedName name="calcCh4Prod2Slot1Seg2PackFit">Calc!$E$4431:$E$4431</definedName>
    <definedName name="calcCh4Prod2Slot1Seg3PackFit">Calc!$E$4433:$E$4433</definedName>
    <definedName name="calcCh4Prod2Slot1Seg4PackFit">Calc!$E$4435:$E$4435</definedName>
    <definedName name="calcCh4Prod2Slot1ShelfPrice">Calc!$E$1919:$E$1919</definedName>
    <definedName name="calcCh4Prod2Slot1TotalVolSold">Calc!$E$2376:$E$2376</definedName>
    <definedName name="calcCh4Prod2Slot1ValDrivExp">Calc!$E$5321:$E$5321</definedName>
    <definedName name="calcCh4Prod2Slot1VolForecastSlot">Calc!$E$219:$E$219</definedName>
    <definedName name="calcCh4Prod2Slot1WD">Calc!$E$5573:$E$5573</definedName>
    <definedName name="calcCh4Prod2Slot2Active">Calc!$E$131:$E$131</definedName>
    <definedName name="calcCh4Prod2Slot2AvgPrice">Calc!$E$2385:$E$2385</definedName>
    <definedName name="calcCh4Prod2Slot2AvgSalePrice">Calc!$E$1931:$E$1931</definedName>
    <definedName name="calcCh4Prod2Slot2BaseCustProfPWeek">Calc!$E$7165:$E$7165</definedName>
    <definedName name="calcCh4Prod2Slot2BaseCustUplift">Calc!$E$7165:$E$7165</definedName>
    <definedName name="calcCh4Prod2Slot2BaseGPaLPUnit">Calc!$E$7163:$E$7163</definedName>
    <definedName name="calcCh4Prod2Slot2BaseGPaLPWeek">Calc!$E$7164:$E$7164</definedName>
    <definedName name="calcCh4Prod2Slot2BaseVolPWeek">Calc!$E$7162:$E$7162</definedName>
    <definedName name="calcCh4Prod2Slot2ChVolShare">Calc!$E$7916:$E$7916</definedName>
    <definedName name="calcCh4Prod2Slot2CustPrice">Calc!$E$1926:$E$1926</definedName>
    <definedName name="calcCh4Prod2Slot2CustProfitBase">Calc!$E$3132:$E$3132</definedName>
    <definedName name="calcCh4Prod2Slot2CustProfitBaseMarginAbs">Calc!$E$3128:$E$3128</definedName>
    <definedName name="calcCh4Prod2Slot2CustProfitBaseMarginPct">Calc!$E$3129:$E$3129</definedName>
    <definedName name="calcCh4Prod2Slot2CustProfitBaseVol">Calc!$E$3130:$E$3130</definedName>
    <definedName name="calcCh4Prod2Slot2CustProfitPromo1">Calc!$E$3138:$E$3138</definedName>
    <definedName name="calcCh4Prod2Slot2CustProfitPromo1MarginAbs">Calc!$E$3135:$E$3135</definedName>
    <definedName name="calcCh4Prod2Slot2CustProfitPromo1Vol">Calc!$E$3136:$E$3136</definedName>
    <definedName name="calcCh4Prod2Slot2CustProfitTot">Calc!$E$3140:$E$3140</definedName>
    <definedName name="CalcCh4Prod2Slot2Depreciation">Calc!$E$3646:$E$3646</definedName>
    <definedName name="CalcCh4Prod2Slot2DepreciationPUnit">Calc!$E$3718:$E$3718</definedName>
    <definedName name="CalcCh4Prod2Slot2ManufacturingCostPUnit">Calc!$E$3571:$E$3571</definedName>
    <definedName name="calcCh4Prod2Slot2NoPromoPricePLitre">Calc!$E$2383:$E$2383</definedName>
    <definedName name="calcCh4Prod2Slot2NoPromoVol">Calc!$E$2382:$E$2382</definedName>
    <definedName name="calcCh4Prod2Slot2Pack">Calc!$E$4438:$E$4438</definedName>
    <definedName name="calcCh4Prod2Slot2PackFitBase">Calc!$E$4442:$E$4442</definedName>
    <definedName name="calcCh4Prod2Slot2PriceDif">Calc!$E$8061:$E$8061</definedName>
    <definedName name="calcCh4Prod2Slot2Promo1CustPrice">Calc!$E$1930:$E$1930</definedName>
    <definedName name="calcCh4Prod2Slot2Promo1CustProfPWeek">Calc!$E$7185:$E$7185</definedName>
    <definedName name="calcCh4Prod2Slot2Promo1CustUplift">Calc!$E$7185:$E$7185</definedName>
    <definedName name="calcCh4Prod2Slot2Promo1GPaLPUnit">Calc!$E$7173:$E$7173</definedName>
    <definedName name="calcCh4Prod2Slot2Promo1GPaLPWeek">Calc!$E$7174:$E$7174</definedName>
    <definedName name="calcCh4Prod2Slot2Promo1GPaLUplift">Calc!$E$7175:$E$7175</definedName>
    <definedName name="calcCh4Prod2Slot2Promo1Plan">Calc!$E$1358:$E$1358</definedName>
    <definedName name="calcCh4Prod2Slot2Promo1PlanEmp1Req">Calc!$E$6101:$E$6101</definedName>
    <definedName name="calcCh4Prod2Slot2Promo1PlanExp">Calc!$E$6102:$E$6102</definedName>
    <definedName name="calcCh4Prod2Slot2Promo1PlanShare">Calc!$E$1929:$E$1929</definedName>
    <definedName name="calcCh4Prod2Slot2Promo1PricePLitre">Calc!$E$2381:$E$2381</definedName>
    <definedName name="calcCh4Prod2Slot2Promo1ROI">Calc!$E$7180:$E$7180</definedName>
    <definedName name="calcCh4Prod2Slot2Promo1Seg1Efficiency">Calc!$E$1364:$E$1364</definedName>
    <definedName name="calcCh4Prod2Slot2Promo1Seg1Fit">Calc!$E$1363:$E$1363</definedName>
    <definedName name="calcCh4Prod2Slot2Promo1Seg1Share">Calc!$E$1365:$E$1365</definedName>
    <definedName name="calcCh4Prod2Slot2Promo1Seg2Efficiency">Calc!$E$1370:$E$1370</definedName>
    <definedName name="calcCh4Prod2Slot2Promo1Seg2Fit">Calc!$E$1369:$E$1369</definedName>
    <definedName name="calcCh4Prod2Slot2Promo1Seg2Share">Calc!$E$1371:$E$1371</definedName>
    <definedName name="calcCh4Prod2Slot2Promo1Seg3Efficiency">Calc!$E$1376:$E$1376</definedName>
    <definedName name="calcCh4Prod2Slot2Promo1Seg3Fit">Calc!$E$1375:$E$1375</definedName>
    <definedName name="calcCh4Prod2Slot2Promo1Seg3Share">Calc!$E$1377:$E$1377</definedName>
    <definedName name="calcCh4Prod2Slot2Promo1Seg4Efficiency">Calc!$E$1382:$E$1382</definedName>
    <definedName name="calcCh4Prod2Slot2Promo1Seg4Fit">Calc!$E$1381:$E$1381</definedName>
    <definedName name="calcCh4Prod2Slot2Promo1Seg4Share">Calc!$E$1383:$E$1383</definedName>
    <definedName name="calcCh4Prod2Slot2Promo1Vol">Calc!$E$2380:$E$2380</definedName>
    <definedName name="calcCh4Prod2Slot2Promo1VolPWeek">Calc!$E$7169:$E$7169</definedName>
    <definedName name="calcCh4Prod2Slot2Promo1VolUplift">Calc!$E$7170:$E$7170</definedName>
    <definedName name="calcCh4Prod2Slot2Promo1Weeks">Calc!$E$1359:$E$1359</definedName>
    <definedName name="calcCh4Prod2Slot2Seg1PackFit">Calc!$E$4446:$E$4446</definedName>
    <definedName name="calcCh4Prod2Slot2Seg2PackFit">Calc!$E$4448:$E$4448</definedName>
    <definedName name="calcCh4Prod2Slot2Seg3PackFit">Calc!$E$4450:$E$4450</definedName>
    <definedName name="calcCh4Prod2Slot2Seg4PackFit">Calc!$E$4452:$E$4452</definedName>
    <definedName name="calcCh4Prod2Slot2ShelfPrice">Calc!$E$1927:$E$1927</definedName>
    <definedName name="calcCh4Prod2Slot2TotalVolSold">Calc!$E$2384:$E$2384</definedName>
    <definedName name="calcCh4Prod2Slot2ValDrivExp">Calc!$E$5322:$E$5322</definedName>
    <definedName name="calcCh4Prod2Slot2VolForecastSlot">Calc!$E$220:$E$220</definedName>
    <definedName name="calcCh4Prod2Slot2WD">Calc!$E$5577:$E$5577</definedName>
    <definedName name="calcCh4Prod2Slot3Active">Calc!$E$132:$E$132</definedName>
    <definedName name="calcCh4Prod2Slot3AvgPrice">Calc!$E$2393:$E$2393</definedName>
    <definedName name="calcCh4Prod2Slot3AvgSalePrice">Calc!$E$1939:$E$1939</definedName>
    <definedName name="calcCh4Prod2Slot3BaseCustProfPWeek">Calc!$E$7191:$E$7191</definedName>
    <definedName name="calcCh4Prod2Slot3BaseCustUplift">Calc!$E$7191:$E$7191</definedName>
    <definedName name="calcCh4Prod2Slot3BaseGPaLPUnit">Calc!$E$7189:$E$7189</definedName>
    <definedName name="calcCh4Prod2Slot3BaseGPaLPWeek">Calc!$E$7190:$E$7190</definedName>
    <definedName name="calcCh4Prod2Slot3BaseVolPWeek">Calc!$E$7188:$E$7188</definedName>
    <definedName name="calcCh4Prod2Slot3ChVolShare">Calc!$E$7917:$E$7917</definedName>
    <definedName name="calcCh4Prod2Slot3CustPrice">Calc!$E$1934:$E$1934</definedName>
    <definedName name="calcCh4Prod2Slot3CustProfitBase">Calc!$E$3148:$E$3148</definedName>
    <definedName name="calcCh4Prod2Slot3CustProfitBaseMarginAbs">Calc!$E$3144:$E$3144</definedName>
    <definedName name="calcCh4Prod2Slot3CustProfitBaseMarginPct">Calc!$E$3145:$E$3145</definedName>
    <definedName name="calcCh4Prod2Slot3CustProfitBaseVol">Calc!$E$3146:$E$3146</definedName>
    <definedName name="calcCh4Prod2Slot3CustProfitPromo1">Calc!$E$3154:$E$3154</definedName>
    <definedName name="calcCh4Prod2Slot3CustProfitPromo1MarginAbs">Calc!$E$3151:$E$3151</definedName>
    <definedName name="calcCh4Prod2Slot3CustProfitPromo1Vol">Calc!$E$3152:$E$3152</definedName>
    <definedName name="calcCh4Prod2Slot3CustProfitTot">Calc!$E$3156:$E$3156</definedName>
    <definedName name="CalcCh4Prod2Slot3Depreciation">Calc!$E$3647:$E$3647</definedName>
    <definedName name="CalcCh4Prod2Slot3DepreciationPUnit">Calc!$E$3719:$E$3719</definedName>
    <definedName name="CalcCh4Prod2Slot3ManufacturingCostPUnit">Calc!$E$3572:$E$3572</definedName>
    <definedName name="calcCh4Prod2Slot3NoPromoPricePLitre">Calc!$E$2391:$E$2391</definedName>
    <definedName name="calcCh4Prod2Slot3NoPromoVol">Calc!$E$2390:$E$2390</definedName>
    <definedName name="calcCh4Prod2Slot3Pack">Calc!$E$4455:$E$4455</definedName>
    <definedName name="calcCh4Prod2Slot3PackFitBase">Calc!$E$4459:$E$4459</definedName>
    <definedName name="calcCh4Prod2Slot3PriceDif">Calc!$E$8062:$E$8062</definedName>
    <definedName name="calcCh4Prod2Slot3Promo1CustPrice">Calc!$E$1938:$E$1938</definedName>
    <definedName name="calcCh4Prod2Slot3Promo1CustProfPWeek">Calc!$E$7211:$E$7211</definedName>
    <definedName name="calcCh4Prod2Slot3Promo1CustUplift">Calc!$E$7211:$E$7211</definedName>
    <definedName name="calcCh4Prod2Slot3Promo1GPaLPUnit">Calc!$E$7199:$E$7199</definedName>
    <definedName name="calcCh4Prod2Slot3Promo1GPaLPWeek">Calc!$E$7200:$E$7200</definedName>
    <definedName name="calcCh4Prod2Slot3Promo1GPaLUplift">Calc!$E$7201:$E$7201</definedName>
    <definedName name="calcCh4Prod2Slot3Promo1Plan">Calc!$E$1386:$E$1386</definedName>
    <definedName name="calcCh4Prod2Slot3Promo1PlanEmp1Req">Calc!$E$6107:$E$6107</definedName>
    <definedName name="calcCh4Prod2Slot3Promo1PlanExp">Calc!$E$6108:$E$6108</definedName>
    <definedName name="calcCh4Prod2Slot3Promo1PlanShare">Calc!$E$1937:$E$1937</definedName>
    <definedName name="calcCh4Prod2Slot3Promo1PricePLitre">Calc!$E$2389:$E$2389</definedName>
    <definedName name="calcCh4Prod2Slot3Promo1ROI">Calc!$E$7206:$E$7206</definedName>
    <definedName name="calcCh4Prod2Slot3Promo1Seg1Efficiency">Calc!$E$1392:$E$1392</definedName>
    <definedName name="calcCh4Prod2Slot3Promo1Seg1Fit">Calc!$E$1391:$E$1391</definedName>
    <definedName name="calcCh4Prod2Slot3Promo1Seg1Share">Calc!$E$1393:$E$1393</definedName>
    <definedName name="calcCh4Prod2Slot3Promo1Seg2Efficiency">Calc!$E$1398:$E$1398</definedName>
    <definedName name="calcCh4Prod2Slot3Promo1Seg2Fit">Calc!$E$1397:$E$1397</definedName>
    <definedName name="calcCh4Prod2Slot3Promo1Seg2Share">Calc!$E$1399:$E$1399</definedName>
    <definedName name="calcCh4Prod2Slot3Promo1Seg3Efficiency">Calc!$E$1404:$E$1404</definedName>
    <definedName name="calcCh4Prod2Slot3Promo1Seg3Fit">Calc!$E$1403:$E$1403</definedName>
    <definedName name="calcCh4Prod2Slot3Promo1Seg3Share">Calc!$E$1405:$E$1405</definedName>
    <definedName name="calcCh4Prod2Slot3Promo1Seg4Efficiency">Calc!$E$1410:$E$1410</definedName>
    <definedName name="calcCh4Prod2Slot3Promo1Seg4Fit">Calc!$E$1409:$E$1409</definedName>
    <definedName name="calcCh4Prod2Slot3Promo1Seg4Share">Calc!$E$1411:$E$1411</definedName>
    <definedName name="calcCh4Prod2Slot3Promo1Vol">Calc!$E$2388:$E$2388</definedName>
    <definedName name="calcCh4Prod2Slot3Promo1VolPWeek">Calc!$E$7195:$E$7195</definedName>
    <definedName name="calcCh4Prod2Slot3Promo1VolUplift">Calc!$E$7196:$E$7196</definedName>
    <definedName name="calcCh4Prod2Slot3Promo1Weeks">Calc!$E$1387:$E$1387</definedName>
    <definedName name="calcCh4Prod2Slot3Seg1PackFit">Calc!$E$4463:$E$4463</definedName>
    <definedName name="calcCh4Prod2Slot3Seg2PackFit">Calc!$E$4465:$E$4465</definedName>
    <definedName name="calcCh4Prod2Slot3Seg3PackFit">Calc!$E$4467:$E$4467</definedName>
    <definedName name="calcCh4Prod2Slot3Seg4PackFit">Calc!$E$4469:$E$4469</definedName>
    <definedName name="calcCh4Prod2Slot3ShelfPrice">Calc!$E$1935:$E$1935</definedName>
    <definedName name="calcCh4Prod2Slot3TotalVolSold">Calc!$E$2392:$E$2392</definedName>
    <definedName name="calcCh4Prod2Slot3ValDrivExp">Calc!$E$5323:$E$5323</definedName>
    <definedName name="calcCh4Prod2Slot3VolForecastSlot">Calc!$E$221:$E$221</definedName>
    <definedName name="calcCh4Prod2Slot3WD">Calc!$E$5581:$E$5581</definedName>
    <definedName name="calcCh4Prod2SlotsEnd">Calc!$E$7562:$E$7562</definedName>
    <definedName name="calcCh4Prod2SlotsNew">Calc!$E$7561:$E$7561</definedName>
    <definedName name="calcCh4Prod2SlotsNextEmp1Req">Calc!$E$7565:$E$7565</definedName>
    <definedName name="calcCh4Prod2SlotsNextExp">Calc!$E$7566:$E$7566</definedName>
    <definedName name="calcCh4Prod2SlotsStart">Calc!$E$7560:$E$7560</definedName>
    <definedName name="calcCh4Prod2SlotsTotEmp1Req">Calc!$E$7568:$E$7568</definedName>
    <definedName name="calcCh4Prod2SlotsTotExp">Calc!$E$7569:$E$7569</definedName>
    <definedName name="calcCh4Prod2SlotTotActive">Calc!$E$134:$E$134</definedName>
    <definedName name="calcCh4Prod2TotalVolSold">Calc!$E$2397:$E$2397</definedName>
    <definedName name="calcCh4Prod2VolForecastProd">Calc!$E$22:$E$22</definedName>
    <definedName name="calcCh4Prod2VolSoldNoPromo">Calc!$E$2400:$E$2400</definedName>
    <definedName name="calcCh4Prod2VolSoldPromo1">Calc!$E$2403:$E$2403</definedName>
    <definedName name="calcCh4Prod3AvgCustPrice">Calc!$E$2439:$E$2439</definedName>
    <definedName name="calcCh4Prod3AvgPrice">Calc!$E$2436:$E$2436</definedName>
    <definedName name="calcCh4Prod3AvgPricePromo1">Calc!$E$2442:$E$2442</definedName>
    <definedName name="calcCh4Prod3AvgPromoPrice">Calc!$E$2444:$E$2444</definedName>
    <definedName name="calcCh4Prod3CustProfitTot">Calc!$E$3257:$E$3257</definedName>
    <definedName name="calcCh4Prod3PromoROIavg">Calc!$E$8210:$E$8210</definedName>
    <definedName name="calcCh4Prod3Seg1AssortmentFit">Calc!$E$4978:$E$4978</definedName>
    <definedName name="calcCh4Prod3Seg2AssortmentFit">Calc!$E$4985:$E$4985</definedName>
    <definedName name="calcCh4Prod3Seg3AssortmentFit">Calc!$E$4992:$E$4992</definedName>
    <definedName name="calcCh4Prod3Seg4AssortmentFit">Calc!$E$4999:$E$4999</definedName>
    <definedName name="calcCh4Prod3Slot1Active">Calc!$E$137:$E$137</definedName>
    <definedName name="calcCh4Prod3Slot1AvgPrice">Calc!$E$2415:$E$2415</definedName>
    <definedName name="calcCh4Prod3Slot1AvgSalePrice">Calc!$E$1948:$E$1948</definedName>
    <definedName name="calcCh4Prod3Slot1BaseCustProfPWeek">Calc!$E$7218:$E$7218</definedName>
    <definedName name="calcCh4Prod3Slot1BaseCustUplift">Calc!$E$7218:$E$7218</definedName>
    <definedName name="calcCh4Prod3Slot1BaseGPaLPUnit">Calc!$E$7216:$E$7216</definedName>
    <definedName name="calcCh4Prod3Slot1BaseGPaLPWeek">Calc!$E$7217:$E$7217</definedName>
    <definedName name="calcCh4Prod3Slot1BaseVolPWeek">Calc!$E$7215:$E$7215</definedName>
    <definedName name="calcCh4Prod3Slot1ChVolShare">Calc!$E$7919:$E$7919</definedName>
    <definedName name="calcCh4Prod3Slot1CustPrice">Calc!$E$1943:$E$1943</definedName>
    <definedName name="calcCh4Prod3Slot1CustProfitBase">Calc!$E$3164:$E$3164</definedName>
    <definedName name="calcCh4Prod3Slot1CustProfitBaseMarginAbs">Calc!$E$3160:$E$3160</definedName>
    <definedName name="calcCh4Prod3Slot1CustProfitBaseMarginPct">Calc!$E$3161:$E$3161</definedName>
    <definedName name="calcCh4Prod3Slot1CustProfitBaseVol">Calc!$E$3162:$E$3162</definedName>
    <definedName name="calcCh4Prod3Slot1CustProfitPromo1">Calc!$E$3170:$E$3170</definedName>
    <definedName name="calcCh4Prod3Slot1CustProfitPromo1MarginAbs">Calc!$E$3167:$E$3167</definedName>
    <definedName name="calcCh4Prod3Slot1CustProfitPromo1Vol">Calc!$E$3168:$E$3168</definedName>
    <definedName name="calcCh4Prod3Slot1CustProfitTot">Calc!$E$3172:$E$3172</definedName>
    <definedName name="CalcCh4Prod3Slot1Depreciation">Calc!$E$3649:$E$3649</definedName>
    <definedName name="CalcCh4Prod3Slot1DepreciationPUnit">Calc!$E$3721:$E$3721</definedName>
    <definedName name="CalcCh4Prod3Slot1ManufacturingCostPUnit">Calc!$E$3574:$E$3574</definedName>
    <definedName name="calcCh4Prod3Slot1NoPromoPricePLitre">Calc!$E$2413:$E$2413</definedName>
    <definedName name="calcCh4Prod3Slot1NoPromoVol">Calc!$E$2412:$E$2412</definedName>
    <definedName name="calcCh4Prod3Slot1Pack">Calc!$E$4472:$E$4472</definedName>
    <definedName name="calcCh4Prod3Slot1PackFitBase">Calc!$E$4476:$E$4476</definedName>
    <definedName name="calcCh4Prod3Slot1PriceDif">Calc!$E$8064:$E$8064</definedName>
    <definedName name="calcCh4Prod3Slot1Promo1CustPrice">Calc!$E$1947:$E$1947</definedName>
    <definedName name="calcCh4Prod3Slot1Promo1CustProfPWeek">Calc!$E$7238:$E$7238</definedName>
    <definedName name="calcCh4Prod3Slot1Promo1CustUplift">Calc!$E$7238:$E$7238</definedName>
    <definedName name="calcCh4Prod3Slot1Promo1GPaLPUnit">Calc!$E$7226:$E$7226</definedName>
    <definedName name="calcCh4Prod3Slot1Promo1GPaLPWeek">Calc!$E$7227:$E$7227</definedName>
    <definedName name="calcCh4Prod3Slot1Promo1GPaLUplift">Calc!$E$7228:$E$7228</definedName>
    <definedName name="calcCh4Prod3Slot1Promo1Plan">Calc!$E$1415:$E$1415</definedName>
    <definedName name="calcCh4Prod3Slot1Promo1PlanEmp1Req">Calc!$E$6113:$E$6113</definedName>
    <definedName name="calcCh4Prod3Slot1Promo1PlanExp">Calc!$E$6114:$E$6114</definedName>
    <definedName name="calcCh4Prod3Slot1Promo1PlanShare">Calc!$E$1946:$E$1946</definedName>
    <definedName name="calcCh4Prod3Slot1Promo1PricePLitre">Calc!$E$2411:$E$2411</definedName>
    <definedName name="calcCh4Prod3Slot1Promo1ROI">Calc!$E$7233:$E$7233</definedName>
    <definedName name="calcCh4Prod3Slot1Promo1Seg1Efficiency">Calc!$E$1421:$E$1421</definedName>
    <definedName name="calcCh4Prod3Slot1Promo1Seg1Fit">Calc!$E$1420:$E$1420</definedName>
    <definedName name="calcCh4Prod3Slot1Promo1Seg1Share">Calc!$E$1422:$E$1422</definedName>
    <definedName name="calcCh4Prod3Slot1Promo1Seg2Efficiency">Calc!$E$1427:$E$1427</definedName>
    <definedName name="calcCh4Prod3Slot1Promo1Seg2Fit">Calc!$E$1426:$E$1426</definedName>
    <definedName name="calcCh4Prod3Slot1Promo1Seg2Share">Calc!$E$1428:$E$1428</definedName>
    <definedName name="calcCh4Prod3Slot1Promo1Seg3Efficiency">Calc!$E$1433:$E$1433</definedName>
    <definedName name="calcCh4Prod3Slot1Promo1Seg3Fit">Calc!$E$1432:$E$1432</definedName>
    <definedName name="calcCh4Prod3Slot1Promo1Seg3Share">Calc!$E$1434:$E$1434</definedName>
    <definedName name="calcCh4Prod3Slot1Promo1Seg4Efficiency">Calc!$E$1439:$E$1439</definedName>
    <definedName name="calcCh4Prod3Slot1Promo1Seg4Fit">Calc!$E$1438:$E$1438</definedName>
    <definedName name="calcCh4Prod3Slot1Promo1Seg4Share">Calc!$E$1440:$E$1440</definedName>
    <definedName name="calcCh4Prod3Slot1Promo1Vol">Calc!$E$2410:$E$2410</definedName>
    <definedName name="calcCh4Prod3Slot1Promo1VolPWeek">Calc!$E$7222:$E$7222</definedName>
    <definedName name="calcCh4Prod3Slot1Promo1VolUplift">Calc!$E$7223:$E$7223</definedName>
    <definedName name="calcCh4Prod3Slot1Promo1Weeks">Calc!$E$1416:$E$1416</definedName>
    <definedName name="calcCh4Prod3Slot1Seg1PackFit">Calc!$E$4480:$E$4480</definedName>
    <definedName name="calcCh4Prod3Slot1Seg2PackFit">Calc!$E$4482:$E$4482</definedName>
    <definedName name="calcCh4Prod3Slot1Seg3PackFit">Calc!$E$4484:$E$4484</definedName>
    <definedName name="calcCh4Prod3Slot1Seg4PackFit">Calc!$E$4486:$E$4486</definedName>
    <definedName name="calcCh4Prod3Slot1ShelfPrice">Calc!$E$1944:$E$1944</definedName>
    <definedName name="calcCh4Prod3Slot1TotalVolSold">Calc!$E$2414:$E$2414</definedName>
    <definedName name="calcCh4Prod3Slot1ValDrivExp">Calc!$E$5324:$E$5324</definedName>
    <definedName name="calcCh4Prod3Slot1VolForecastSlot">Calc!$E$223:$E$223</definedName>
    <definedName name="calcCh4Prod3Slot1WD">Calc!$E$5586:$E$5586</definedName>
    <definedName name="calcCh4Prod3Slot2Active">Calc!$E$138:$E$138</definedName>
    <definedName name="calcCh4Prod3Slot2AvgPrice">Calc!$E$2423:$E$2423</definedName>
    <definedName name="calcCh4Prod3Slot2AvgSalePrice">Calc!$E$1956:$E$1956</definedName>
    <definedName name="calcCh4Prod3Slot2BaseCustProfPWeek">Calc!$E$7244:$E$7244</definedName>
    <definedName name="calcCh4Prod3Slot2BaseCustUplift">Calc!$E$7244:$E$7244</definedName>
    <definedName name="calcCh4Prod3Slot2BaseGPaLPUnit">Calc!$E$7242:$E$7242</definedName>
    <definedName name="calcCh4Prod3Slot2BaseGPaLPWeek">Calc!$E$7243:$E$7243</definedName>
    <definedName name="calcCh4Prod3Slot2BaseVolPWeek">Calc!$E$7241:$E$7241</definedName>
    <definedName name="calcCh4Prod3Slot2ChVolShare">Calc!$E$7920:$E$7920</definedName>
    <definedName name="calcCh4Prod3Slot2CustPrice">Calc!$E$1951:$E$1951</definedName>
    <definedName name="calcCh4Prod3Slot2CustProfitBase">Calc!$E$3180:$E$3180</definedName>
    <definedName name="calcCh4Prod3Slot2CustProfitBaseMarginAbs">Calc!$E$3176:$E$3176</definedName>
    <definedName name="calcCh4Prod3Slot2CustProfitBaseMarginPct">Calc!$E$3177:$E$3177</definedName>
    <definedName name="calcCh4Prod3Slot2CustProfitBaseVol">Calc!$E$3178:$E$3178</definedName>
    <definedName name="calcCh4Prod3Slot2CustProfitPromo1">Calc!$E$3186:$E$3186</definedName>
    <definedName name="calcCh4Prod3Slot2CustProfitPromo1MarginAbs">Calc!$E$3183:$E$3183</definedName>
    <definedName name="calcCh4Prod3Slot2CustProfitPromo1Vol">Calc!$E$3184:$E$3184</definedName>
    <definedName name="calcCh4Prod3Slot2CustProfitTot">Calc!$E$3188:$E$3188</definedName>
    <definedName name="CalcCh4Prod3Slot2Depreciation">Calc!$E$3650:$E$3650</definedName>
    <definedName name="CalcCh4Prod3Slot2DepreciationPUnit">Calc!$E$3722:$E$3722</definedName>
    <definedName name="CalcCh4Prod3Slot2ManufacturingCostPUnit">Calc!$E$3575:$E$3575</definedName>
    <definedName name="calcCh4Prod3Slot2NoPromoPricePLitre">Calc!$E$2421:$E$2421</definedName>
    <definedName name="calcCh4Prod3Slot2NoPromoVol">Calc!$E$2420:$E$2420</definedName>
    <definedName name="calcCh4Prod3Slot2Pack">Calc!$E$4489:$E$4489</definedName>
    <definedName name="calcCh4Prod3Slot2PackFitBase">Calc!$E$4493:$E$4493</definedName>
    <definedName name="calcCh4Prod3Slot2PriceDif">Calc!$E$8065:$E$8065</definedName>
    <definedName name="calcCh4Prod3Slot2Promo1CustPrice">Calc!$E$1955:$E$1955</definedName>
    <definedName name="calcCh4Prod3Slot2Promo1CustProfPWeek">Calc!$E$7264:$E$7264</definedName>
    <definedName name="calcCh4Prod3Slot2Promo1CustUplift">Calc!$E$7264:$E$7264</definedName>
    <definedName name="calcCh4Prod3Slot2Promo1GPaLPUnit">Calc!$E$7252:$E$7252</definedName>
    <definedName name="calcCh4Prod3Slot2Promo1GPaLPWeek">Calc!$E$7253:$E$7253</definedName>
    <definedName name="calcCh4Prod3Slot2Promo1GPaLUplift">Calc!$E$7254:$E$7254</definedName>
    <definedName name="calcCh4Prod3Slot2Promo1Plan">Calc!$E$1443:$E$1443</definedName>
    <definedName name="calcCh4Prod3Slot2Promo1PlanEmp1Req">Calc!$E$6119:$E$6119</definedName>
    <definedName name="calcCh4Prod3Slot2Promo1PlanExp">Calc!$E$6120:$E$6120</definedName>
    <definedName name="calcCh4Prod3Slot2Promo1PlanShare">Calc!$E$1954:$E$1954</definedName>
    <definedName name="calcCh4Prod3Slot2Promo1PricePLitre">Calc!$E$2419:$E$2419</definedName>
    <definedName name="calcCh4Prod3Slot2Promo1ROI">Calc!$E$7259:$E$7259</definedName>
    <definedName name="calcCh4Prod3Slot2Promo1Seg1Efficiency">Calc!$E$1449:$E$1449</definedName>
    <definedName name="calcCh4Prod3Slot2Promo1Seg1Fit">Calc!$E$1448:$E$1448</definedName>
    <definedName name="calcCh4Prod3Slot2Promo1Seg1Share">Calc!$E$1450:$E$1450</definedName>
    <definedName name="calcCh4Prod3Slot2Promo1Seg2Efficiency">Calc!$E$1455:$E$1455</definedName>
    <definedName name="calcCh4Prod3Slot2Promo1Seg2Fit">Calc!$E$1454:$E$1454</definedName>
    <definedName name="calcCh4Prod3Slot2Promo1Seg2Share">Calc!$E$1456:$E$1456</definedName>
    <definedName name="calcCh4Prod3Slot2Promo1Seg3Efficiency">Calc!$E$1461:$E$1461</definedName>
    <definedName name="calcCh4Prod3Slot2Promo1Seg3Fit">Calc!$E$1460:$E$1460</definedName>
    <definedName name="calcCh4Prod3Slot2Promo1Seg3Share">Calc!$E$1462:$E$1462</definedName>
    <definedName name="calcCh4Prod3Slot2Promo1Seg4Efficiency">Calc!$E$1467:$E$1467</definedName>
    <definedName name="calcCh4Prod3Slot2Promo1Seg4Fit">Calc!$E$1466:$E$1466</definedName>
    <definedName name="calcCh4Prod3Slot2Promo1Seg4Share">Calc!$E$1468:$E$1468</definedName>
    <definedName name="calcCh4Prod3Slot2Promo1Vol">Calc!$E$2418:$E$2418</definedName>
    <definedName name="calcCh4Prod3Slot2Promo1VolPWeek">Calc!$E$7248:$E$7248</definedName>
    <definedName name="calcCh4Prod3Slot2Promo1VolUplift">Calc!$E$7249:$E$7249</definedName>
    <definedName name="calcCh4Prod3Slot2Promo1Weeks">Calc!$E$1444:$E$1444</definedName>
    <definedName name="calcCh4Prod3Slot2Seg1PackFit">Calc!$E$4497:$E$4497</definedName>
    <definedName name="calcCh4Prod3Slot2Seg2PackFit">Calc!$E$4499:$E$4499</definedName>
    <definedName name="calcCh4Prod3Slot2Seg3PackFit">Calc!$E$4501:$E$4501</definedName>
    <definedName name="calcCh4Prod3Slot2Seg4PackFit">Calc!$E$4503:$E$4503</definedName>
    <definedName name="calcCh4Prod3Slot2ShelfPrice">Calc!$E$1952:$E$1952</definedName>
    <definedName name="calcCh4Prod3Slot2TotalVolSold">Calc!$E$2422:$E$2422</definedName>
    <definedName name="calcCh4Prod3Slot2ValDrivExp">Calc!$E$5325:$E$5325</definedName>
    <definedName name="calcCh4Prod3Slot2VolForecastSlot">Calc!$E$224:$E$224</definedName>
    <definedName name="calcCh4Prod3Slot2WD">Calc!$E$5590:$E$5590</definedName>
    <definedName name="calcCh4Prod3Slot3Active">Calc!$E$139:$E$139</definedName>
    <definedName name="calcCh4Prod3Slot3AvgPrice">Calc!$E$2431:$E$2431</definedName>
    <definedName name="calcCh4Prod3Slot3AvgSalePrice">Calc!$E$1964:$E$1964</definedName>
    <definedName name="calcCh4Prod3Slot3BaseCustProfPWeek">Calc!$E$7270:$E$7270</definedName>
    <definedName name="calcCh4Prod3Slot3BaseCustUplift">Calc!$E$7270:$E$7270</definedName>
    <definedName name="calcCh4Prod3Slot3BaseGPaLPUnit">Calc!$E$7268:$E$7268</definedName>
    <definedName name="calcCh4Prod3Slot3BaseGPaLPWeek">Calc!$E$7269:$E$7269</definedName>
    <definedName name="calcCh4Prod3Slot3BaseVolPWeek">Calc!$E$7267:$E$7267</definedName>
    <definedName name="calcCh4Prod3Slot3ChVolShare">Calc!$E$7921:$E$7921</definedName>
    <definedName name="calcCh4Prod3Slot3CustPrice">Calc!$E$1959:$E$1959</definedName>
    <definedName name="calcCh4Prod3Slot3CustProfitBase">Calc!$E$3196:$E$3196</definedName>
    <definedName name="calcCh4Prod3Slot3CustProfitBaseMarginAbs">Calc!$E$3192:$E$3192</definedName>
    <definedName name="calcCh4Prod3Slot3CustProfitBaseMarginPct">Calc!$E$3193:$E$3193</definedName>
    <definedName name="calcCh4Prod3Slot3CustProfitBaseVol">Calc!$E$3194:$E$3194</definedName>
    <definedName name="calcCh4Prod3Slot3CustProfitPromo1">Calc!$E$3202:$E$3202</definedName>
    <definedName name="calcCh4Prod3Slot3CustProfitPromo1MarginAbs">Calc!$E$3199:$E$3199</definedName>
    <definedName name="calcCh4Prod3Slot3CustProfitPromo1Vol">Calc!$E$3200:$E$3200</definedName>
    <definedName name="calcCh4Prod3Slot3CustProfitTot">Calc!$E$3204:$E$3204</definedName>
    <definedName name="CalcCh4Prod3Slot3Depreciation">Calc!$E$3651:$E$3651</definedName>
    <definedName name="CalcCh4Prod3Slot3DepreciationPUnit">Calc!$E$3723:$E$3723</definedName>
    <definedName name="CalcCh4Prod3Slot3ManufacturingCostPUnit">Calc!$E$3576:$E$3576</definedName>
    <definedName name="calcCh4Prod3Slot3NoPromoPricePLitre">Calc!$E$2429:$E$2429</definedName>
    <definedName name="calcCh4Prod3Slot3NoPromoVol">Calc!$E$2428:$E$2428</definedName>
    <definedName name="calcCh4Prod3Slot3Pack">Calc!$E$4506:$E$4506</definedName>
    <definedName name="calcCh4Prod3Slot3PackFitBase">Calc!$E$4510:$E$4510</definedName>
    <definedName name="calcCh4Prod3Slot3PriceDif">Calc!$E$8066:$E$8066</definedName>
    <definedName name="calcCh4Prod3Slot3Promo1CustPrice">Calc!$E$1963:$E$1963</definedName>
    <definedName name="calcCh4Prod3Slot3Promo1CustProfPWeek">Calc!$E$7290:$E$7290</definedName>
    <definedName name="calcCh4Prod3Slot3Promo1CustUplift">Calc!$E$7290:$E$7290</definedName>
    <definedName name="calcCh4Prod3Slot3Promo1GPaLPUnit">Calc!$E$7278:$E$7278</definedName>
    <definedName name="calcCh4Prod3Slot3Promo1GPaLPWeek">Calc!$E$7279:$E$7279</definedName>
    <definedName name="calcCh4Prod3Slot3Promo1GPaLUplift">Calc!$E$7280:$E$7280</definedName>
    <definedName name="calcCh4Prod3Slot3Promo1Plan">Calc!$E$1471:$E$1471</definedName>
    <definedName name="calcCh4Prod3Slot3Promo1PlanEmp1Req">Calc!$E$6125:$E$6125</definedName>
    <definedName name="calcCh4Prod3Slot3Promo1PlanExp">Calc!$E$6126:$E$6126</definedName>
    <definedName name="calcCh4Prod3Slot3Promo1PlanShare">Calc!$E$1962:$E$1962</definedName>
    <definedName name="calcCh4Prod3Slot3Promo1PricePLitre">Calc!$E$2427:$E$2427</definedName>
    <definedName name="calcCh4Prod3Slot3Promo1ROI">Calc!$E$7285:$E$7285</definedName>
    <definedName name="calcCh4Prod3Slot3Promo1Seg1Efficiency">Calc!$E$1477:$E$1477</definedName>
    <definedName name="calcCh4Prod3Slot3Promo1Seg1Fit">Calc!$E$1476:$E$1476</definedName>
    <definedName name="calcCh4Prod3Slot3Promo1Seg1Share">Calc!$E$1478:$E$1478</definedName>
    <definedName name="calcCh4Prod3Slot3Promo1Seg2Efficiency">Calc!$E$1483:$E$1483</definedName>
    <definedName name="calcCh4Prod3Slot3Promo1Seg2Fit">Calc!$E$1482:$E$1482</definedName>
    <definedName name="calcCh4Prod3Slot3Promo1Seg2Share">Calc!$E$1484:$E$1484</definedName>
    <definedName name="calcCh4Prod3Slot3Promo1Seg3Efficiency">Calc!$E$1489:$E$1489</definedName>
    <definedName name="calcCh4Prod3Slot3Promo1Seg3Fit">Calc!$E$1488:$E$1488</definedName>
    <definedName name="calcCh4Prod3Slot3Promo1Seg3Share">Calc!$E$1490:$E$1490</definedName>
    <definedName name="calcCh4Prod3Slot3Promo1Seg4Efficiency">Calc!$E$1495:$E$1495</definedName>
    <definedName name="calcCh4Prod3Slot3Promo1Seg4Fit">Calc!$E$1494:$E$1494</definedName>
    <definedName name="calcCh4Prod3Slot3Promo1Seg4Share">Calc!$E$1496:$E$1496</definedName>
    <definedName name="calcCh4Prod3Slot3Promo1Vol">Calc!$E$2426:$E$2426</definedName>
    <definedName name="calcCh4Prod3Slot3Promo1VolPWeek">Calc!$E$7274:$E$7274</definedName>
    <definedName name="calcCh4Prod3Slot3Promo1VolUplift">Calc!$E$7275:$E$7275</definedName>
    <definedName name="calcCh4Prod3Slot3Promo1Weeks">Calc!$E$1472:$E$1472</definedName>
    <definedName name="calcCh4Prod3Slot3Seg1PackFit">Calc!$E$4514:$E$4514</definedName>
    <definedName name="calcCh4Prod3Slot3Seg2PackFit">Calc!$E$4516:$E$4516</definedName>
    <definedName name="calcCh4Prod3Slot3Seg3PackFit">Calc!$E$4518:$E$4518</definedName>
    <definedName name="calcCh4Prod3Slot3Seg4PackFit">Calc!$E$4520:$E$4520</definedName>
    <definedName name="calcCh4Prod3Slot3ShelfPrice">Calc!$E$1960:$E$1960</definedName>
    <definedName name="calcCh4Prod3Slot3TotalVolSold">Calc!$E$2430:$E$2430</definedName>
    <definedName name="calcCh4Prod3Slot3ValDrivExp">Calc!$E$5326:$E$5326</definedName>
    <definedName name="calcCh4Prod3Slot3VolForecastSlot">Calc!$E$225:$E$225</definedName>
    <definedName name="calcCh4Prod3Slot3WD">Calc!$E$5594:$E$5594</definedName>
    <definedName name="calcCh4Prod3SlotsEnd">Calc!$E$7574:$E$7574</definedName>
    <definedName name="calcCh4Prod3SlotsNew">Calc!$E$7573:$E$7573</definedName>
    <definedName name="calcCh4Prod3SlotsNextEmp1Req">Calc!$E$7577:$E$7577</definedName>
    <definedName name="calcCh4Prod3SlotsNextExp">Calc!$E$7578:$E$7578</definedName>
    <definedName name="calcCh4Prod3SlotsStart">Calc!$E$7572:$E$7572</definedName>
    <definedName name="calcCh4Prod3SlotsTotEmp1Req">Calc!$E$7580:$E$7580</definedName>
    <definedName name="calcCh4Prod3SlotsTotExp">Calc!$E$7581:$E$7581</definedName>
    <definedName name="calcCh4Prod3SlotTotActive">Calc!$E$141:$E$141</definedName>
    <definedName name="calcCh4Prod3TotalVolSold">Calc!$E$2435:$E$2435</definedName>
    <definedName name="calcCh4Prod3VolForecastProd">Calc!$E$23:$E$23</definedName>
    <definedName name="calcCh4Prod3VolSoldNoPromo">Calc!$E$2438:$E$2438</definedName>
    <definedName name="calcCh4Prod3VolSoldPromo1">Calc!$E$2441:$E$2441</definedName>
    <definedName name="calcCh4Prod4AvgCustPrice">Calc!$E$2477:$E$2477</definedName>
    <definedName name="calcCh4Prod4AvgPrice">Calc!$E$2474:$E$2474</definedName>
    <definedName name="calcCh4Prod4AvgPricePromo1">Calc!$E$2480:$E$2480</definedName>
    <definedName name="calcCh4Prod4AvgPromoPrice">Calc!$E$2482:$E$2482</definedName>
    <definedName name="calcCh4Prod4CustProfitTot">Calc!$E$3258:$E$3258</definedName>
    <definedName name="calcCh4Prod4PromoROIavg">Calc!$E$8215:$E$8215</definedName>
    <definedName name="calcCh4Prod4Seg1AssortmentFit">Calc!$E$5006:$E$5006</definedName>
    <definedName name="calcCh4Prod4Seg2AssortmentFit">Calc!$E$5013:$E$5013</definedName>
    <definedName name="calcCh4Prod4Seg3AssortmentFit">Calc!$E$5020:$E$5020</definedName>
    <definedName name="calcCh4Prod4Seg4AssortmentFit">Calc!$E$5027:$E$5027</definedName>
    <definedName name="calcCh4Prod4Slot1Active">Calc!$E$144:$E$144</definedName>
    <definedName name="calcCh4Prod4Slot1AvgPrice">Calc!$E$2453:$E$2453</definedName>
    <definedName name="calcCh4Prod4Slot1AvgSalePrice">Calc!$E$1973:$E$1973</definedName>
    <definedName name="calcCh4Prod4Slot1BaseCustProfPWeek">Calc!$E$7297:$E$7297</definedName>
    <definedName name="calcCh4Prod4Slot1BaseCustUplift">Calc!$E$7297:$E$7297</definedName>
    <definedName name="calcCh4Prod4Slot1BaseGPaLPUnit">Calc!$E$7295:$E$7295</definedName>
    <definedName name="calcCh4Prod4Slot1BaseGPaLPWeek">Calc!$E$7296:$E$7296</definedName>
    <definedName name="calcCh4Prod4Slot1BaseVolPWeek">Calc!$E$7294:$E$7294</definedName>
    <definedName name="calcCh4Prod4Slot1ChVolShare">Calc!$E$7923:$E$7923</definedName>
    <definedName name="calcCh4Prod4Slot1CustPrice">Calc!$E$1968:$E$1968</definedName>
    <definedName name="calcCh4Prod4Slot1CustProfitBase">Calc!$E$3212:$E$3212</definedName>
    <definedName name="calcCh4Prod4Slot1CustProfitBaseMarginAbs">Calc!$E$3208:$E$3208</definedName>
    <definedName name="calcCh4Prod4Slot1CustProfitBaseMarginPct">Calc!$E$3209:$E$3209</definedName>
    <definedName name="calcCh4Prod4Slot1CustProfitBaseVol">Calc!$E$3210:$E$3210</definedName>
    <definedName name="calcCh4Prod4Slot1CustProfitPromo1">Calc!$E$3218:$E$3218</definedName>
    <definedName name="calcCh4Prod4Slot1CustProfitPromo1MarginAbs">Calc!$E$3215:$E$3215</definedName>
    <definedName name="calcCh4Prod4Slot1CustProfitPromo1Vol">Calc!$E$3216:$E$3216</definedName>
    <definedName name="calcCh4Prod4Slot1CustProfitTot">Calc!$E$3220:$E$3220</definedName>
    <definedName name="CalcCh4Prod4Slot1Depreciation">Calc!$E$3653:$E$3653</definedName>
    <definedName name="CalcCh4Prod4Slot1DepreciationPUnit">Calc!$E$3725:$E$3725</definedName>
    <definedName name="CalcCh4Prod4Slot1ManufacturingCostPUnit">Calc!$E$3578:$E$3578</definedName>
    <definedName name="calcCh4Prod4Slot1NoPromoPricePLitre">Calc!$E$2451:$E$2451</definedName>
    <definedName name="calcCh4Prod4Slot1NoPromoVol">Calc!$E$2450:$E$2450</definedName>
    <definedName name="calcCh4Prod4Slot1Pack">Calc!$E$4523:$E$4523</definedName>
    <definedName name="calcCh4Prod4Slot1PackFitBase">Calc!$E$4527:$E$4527</definedName>
    <definedName name="calcCh4Prod4Slot1PriceDif">Calc!$E$8072:$E$8072</definedName>
    <definedName name="calcCh4Prod4Slot1Promo1CustPrice">Calc!$E$1972:$E$1972</definedName>
    <definedName name="calcCh4Prod4Slot1Promo1CustProfPWeek">Calc!$E$7317:$E$7317</definedName>
    <definedName name="calcCh4Prod4Slot1Promo1CustUplift">Calc!$E$7317:$E$7317</definedName>
    <definedName name="calcCh4Prod4Slot1Promo1GPaLPUnit">Calc!$E$7305:$E$7305</definedName>
    <definedName name="calcCh4Prod4Slot1Promo1GPaLPWeek">Calc!$E$7306:$E$7306</definedName>
    <definedName name="calcCh4Prod4Slot1Promo1GPaLUplift">Calc!$E$7307:$E$7307</definedName>
    <definedName name="calcCh4Prod4Slot1Promo1Plan">Calc!$E$1500:$E$1500</definedName>
    <definedName name="calcCh4Prod4Slot1Promo1PlanEmp1Req">Calc!$E$6131:$E$6131</definedName>
    <definedName name="calcCh4Prod4Slot1Promo1PlanExp">Calc!$E$6132:$E$6132</definedName>
    <definedName name="calcCh4Prod4Slot1Promo1PlanShare">Calc!$E$1971:$E$1971</definedName>
    <definedName name="calcCh4Prod4Slot1Promo1PricePLitre">Calc!$E$2449:$E$2449</definedName>
    <definedName name="calcCh4Prod4Slot1Promo1ROI">Calc!$E$7312:$E$7312</definedName>
    <definedName name="calcCh4Prod4Slot1Promo1Seg1Efficiency">Calc!$E$1506:$E$1506</definedName>
    <definedName name="calcCh4Prod4Slot1Promo1Seg1Fit">Calc!$E$1505:$E$1505</definedName>
    <definedName name="calcCh4Prod4Slot1Promo1Seg1Share">Calc!$E$1507:$E$1507</definedName>
    <definedName name="calcCh4Prod4Slot1Promo1Seg2Efficiency">Calc!$E$1512:$E$1512</definedName>
    <definedName name="calcCh4Prod4Slot1Promo1Seg2Fit">Calc!$E$1511:$E$1511</definedName>
    <definedName name="calcCh4Prod4Slot1Promo1Seg2Share">Calc!$E$1513:$E$1513</definedName>
    <definedName name="calcCh4Prod4Slot1Promo1Seg3Efficiency">Calc!$E$1518:$E$1518</definedName>
    <definedName name="calcCh4Prod4Slot1Promo1Seg3Fit">Calc!$E$1517:$E$1517</definedName>
    <definedName name="calcCh4Prod4Slot1Promo1Seg3Share">Calc!$E$1519:$E$1519</definedName>
    <definedName name="calcCh4Prod4Slot1Promo1Seg4Efficiency">Calc!$E$1524:$E$1524</definedName>
    <definedName name="calcCh4Prod4Slot1Promo1Seg4Fit">Calc!$E$1523:$E$1523</definedName>
    <definedName name="calcCh4Prod4Slot1Promo1Seg4Share">Calc!$E$1525:$E$1525</definedName>
    <definedName name="calcCh4Prod4Slot1Promo1Vol">Calc!$E$2448:$E$2448</definedName>
    <definedName name="calcCh4Prod4Slot1Promo1VolPWeek">Calc!$E$7301:$E$7301</definedName>
    <definedName name="calcCh4Prod4Slot1Promo1VolUplift">Calc!$E$7302:$E$7302</definedName>
    <definedName name="calcCh4Prod4Slot1Promo1Weeks">Calc!$E$1501:$E$1501</definedName>
    <definedName name="calcCh4Prod4Slot1Seg1PackFit">Calc!$E$4531:$E$4531</definedName>
    <definedName name="calcCh4Prod4Slot1Seg2PackFit">Calc!$E$4533:$E$4533</definedName>
    <definedName name="calcCh4Prod4Slot1Seg3PackFit">Calc!$E$4535:$E$4535</definedName>
    <definedName name="calcCh4Prod4Slot1Seg4PackFit">Calc!$E$4537:$E$4537</definedName>
    <definedName name="calcCh4Prod4Slot1ShelfPrice">Calc!$E$1969:$E$1969</definedName>
    <definedName name="calcCh4Prod4Slot1TotalVolSold">Calc!$E$2452:$E$2452</definedName>
    <definedName name="calcCh4Prod4Slot1ValDrivExp">Calc!$E$5327:$E$5327</definedName>
    <definedName name="calcCh4Prod4Slot1VolForecastSlot">Calc!$E$227:$E$227</definedName>
    <definedName name="calcCh4Prod4Slot1WD">Calc!$E$5599:$E$5599</definedName>
    <definedName name="calcCh4Prod4Slot2Active">Calc!$E$145:$E$145</definedName>
    <definedName name="calcCh4Prod4Slot2AvgPrice">Calc!$E$2461:$E$2461</definedName>
    <definedName name="calcCh4Prod4Slot2AvgSalePrice">Calc!$E$1981:$E$1981</definedName>
    <definedName name="calcCh4Prod4Slot2BaseCustProfPWeek">Calc!$E$7323:$E$7323</definedName>
    <definedName name="calcCh4Prod4Slot2BaseCustUplift">Calc!$E$7323:$E$7323</definedName>
    <definedName name="calcCh4Prod4Slot2BaseGPaLPUnit">Calc!$E$7321:$E$7321</definedName>
    <definedName name="calcCh4Prod4Slot2BaseGPaLPWeek">Calc!$E$7322:$E$7322</definedName>
    <definedName name="calcCh4Prod4Slot2BaseVolPWeek">Calc!$E$7320:$E$7320</definedName>
    <definedName name="calcCh4Prod4Slot2ChVolShare">Calc!$E$7924:$E$7924</definedName>
    <definedName name="calcCh4Prod4Slot2CustPrice">Calc!$E$1976:$E$1976</definedName>
    <definedName name="calcCh4Prod4Slot2CustProfitBase">Calc!$E$3228:$E$3228</definedName>
    <definedName name="calcCh4Prod4Slot2CustProfitBaseMarginAbs">Calc!$E$3224:$E$3224</definedName>
    <definedName name="calcCh4Prod4Slot2CustProfitBaseMarginPct">Calc!$E$3225:$E$3225</definedName>
    <definedName name="calcCh4Prod4Slot2CustProfitBaseVol">Calc!$E$3226:$E$3226</definedName>
    <definedName name="calcCh4Prod4Slot2CustProfitPromo1">Calc!$E$3234:$E$3234</definedName>
    <definedName name="calcCh4Prod4Slot2CustProfitPromo1MarginAbs">Calc!$E$3231:$E$3231</definedName>
    <definedName name="calcCh4Prod4Slot2CustProfitPromo1Vol">Calc!$E$3232:$E$3232</definedName>
    <definedName name="calcCh4Prod4Slot2CustProfitTot">Calc!$E$3236:$E$3236</definedName>
    <definedName name="CalcCh4Prod4Slot2Depreciation">Calc!$E$3654:$E$3654</definedName>
    <definedName name="CalcCh4Prod4Slot2DepreciationPUnit">Calc!$E$3726:$E$3726</definedName>
    <definedName name="CalcCh4Prod4Slot2ManufacturingCostPUnit">Calc!$E$3579:$E$3579</definedName>
    <definedName name="calcCh4Prod4Slot2NoPromoPricePLitre">Calc!$E$2459:$E$2459</definedName>
    <definedName name="calcCh4Prod4Slot2NoPromoVol">Calc!$E$2458:$E$2458</definedName>
    <definedName name="calcCh4Prod4Slot2Pack">Calc!$E$4540:$E$4540</definedName>
    <definedName name="calcCh4Prod4Slot2PackFitBase">Calc!$E$4544:$E$4544</definedName>
    <definedName name="calcCh4Prod4Slot2PriceDif">Calc!$E$8073:$E$8073</definedName>
    <definedName name="calcCh4Prod4Slot2Promo1CustPrice">Calc!$E$1980:$E$1980</definedName>
    <definedName name="calcCh4Prod4Slot2Promo1CustProfPWeek">Calc!$E$7343:$E$7343</definedName>
    <definedName name="calcCh4Prod4Slot2Promo1CustUplift">Calc!$E$7343:$E$7343</definedName>
    <definedName name="calcCh4Prod4Slot2Promo1GPaLPUnit">Calc!$E$7331:$E$7331</definedName>
    <definedName name="calcCh4Prod4Slot2Promo1GPaLPWeek">Calc!$E$7332:$E$7332</definedName>
    <definedName name="calcCh4Prod4Slot2Promo1GPaLUplift">Calc!$E$7333:$E$7333</definedName>
    <definedName name="calcCh4Prod4Slot2Promo1Plan">Calc!$E$1528:$E$1528</definedName>
    <definedName name="calcCh4Prod4Slot2Promo1PlanEmp1Req">Calc!$E$6137:$E$6137</definedName>
    <definedName name="calcCh4Prod4Slot2Promo1PlanExp">Calc!$E$6138:$E$6138</definedName>
    <definedName name="calcCh4Prod4Slot2Promo1PlanShare">Calc!$E$1979:$E$1979</definedName>
    <definedName name="calcCh4Prod4Slot2Promo1PricePLitre">Calc!$E$2457:$E$2457</definedName>
    <definedName name="calcCh4Prod4Slot2Promo1ROI">Calc!$E$7338:$E$7338</definedName>
    <definedName name="calcCh4Prod4Slot2Promo1Seg1Efficiency">Calc!$E$1534:$E$1534</definedName>
    <definedName name="calcCh4Prod4Slot2Promo1Seg1Fit">Calc!$E$1533:$E$1533</definedName>
    <definedName name="calcCh4Prod4Slot2Promo1Seg1Share">Calc!$E$1535:$E$1535</definedName>
    <definedName name="calcCh4Prod4Slot2Promo1Seg2Efficiency">Calc!$E$1540:$E$1540</definedName>
    <definedName name="calcCh4Prod4Slot2Promo1Seg2Fit">Calc!$E$1539:$E$1539</definedName>
    <definedName name="calcCh4Prod4Slot2Promo1Seg2Share">Calc!$E$1541:$E$1541</definedName>
    <definedName name="calcCh4Prod4Slot2Promo1Seg3Efficiency">Calc!$E$1546:$E$1546</definedName>
    <definedName name="calcCh4Prod4Slot2Promo1Seg3Fit">Calc!$E$1545:$E$1545</definedName>
    <definedName name="calcCh4Prod4Slot2Promo1Seg3Share">Calc!$E$1547:$E$1547</definedName>
    <definedName name="calcCh4Prod4Slot2Promo1Seg4Efficiency">Calc!$E$1552:$E$1552</definedName>
    <definedName name="calcCh4Prod4Slot2Promo1Seg4Fit">Calc!$E$1551:$E$1551</definedName>
    <definedName name="calcCh4Prod4Slot2Promo1Seg4Share">Calc!$E$1553:$E$1553</definedName>
    <definedName name="calcCh4Prod4Slot2Promo1Vol">Calc!$E$2456:$E$2456</definedName>
    <definedName name="calcCh4Prod4Slot2Promo1VolPWeek">Calc!$E$7327:$E$7327</definedName>
    <definedName name="calcCh4Prod4Slot2Promo1VolUplift">Calc!$E$7328:$E$7328</definedName>
    <definedName name="calcCh4Prod4Slot2Promo1Weeks">Calc!$E$1529:$E$1529</definedName>
    <definedName name="calcCh4Prod4Slot2Seg1PackFit">Calc!$E$4548:$E$4548</definedName>
    <definedName name="calcCh4Prod4Slot2Seg2PackFit">Calc!$E$4550:$E$4550</definedName>
    <definedName name="calcCh4Prod4Slot2Seg3PackFit">Calc!$E$4552:$E$4552</definedName>
    <definedName name="calcCh4Prod4Slot2Seg4PackFit">Calc!$E$4554:$E$4554</definedName>
    <definedName name="calcCh4Prod4Slot2ShelfPrice">Calc!$E$1977:$E$1977</definedName>
    <definedName name="calcCh4Prod4Slot2TotalVolSold">Calc!$E$2460:$E$2460</definedName>
    <definedName name="calcCh4Prod4Slot2ValDrivExp">Calc!$E$5328:$E$5328</definedName>
    <definedName name="calcCh4Prod4Slot2VolForecastSlot">Calc!$E$228:$E$228</definedName>
    <definedName name="calcCh4Prod4Slot2WD">Calc!$E$5603:$E$5603</definedName>
    <definedName name="calcCh4Prod4Slot3Active">Calc!$E$146:$E$146</definedName>
    <definedName name="calcCh4Prod4Slot3AvgPrice">Calc!$E$2469:$E$2469</definedName>
    <definedName name="calcCh4Prod4Slot3AvgSalePrice">Calc!$E$1989:$E$1989</definedName>
    <definedName name="calcCh4Prod4Slot3BaseCustProfPWeek">Calc!$E$7349:$E$7349</definedName>
    <definedName name="calcCh4Prod4Slot3BaseCustUplift">Calc!$E$7349:$E$7349</definedName>
    <definedName name="calcCh4Prod4Slot3BaseGPaLPUnit">Calc!$E$7347:$E$7347</definedName>
    <definedName name="calcCh4Prod4Slot3BaseGPaLPWeek">Calc!$E$7348:$E$7348</definedName>
    <definedName name="calcCh4Prod4Slot3BaseVolPWeek">Calc!$E$7346:$E$7346</definedName>
    <definedName name="calcCh4Prod4Slot3ChVolShare">Calc!$E$7925:$E$7925</definedName>
    <definedName name="calcCh4Prod4Slot3CustPrice">Calc!$E$1984:$E$1984</definedName>
    <definedName name="calcCh4Prod4Slot3CustProfitBase">Calc!$E$3244:$E$3244</definedName>
    <definedName name="calcCh4Prod4Slot3CustProfitBaseMarginAbs">Calc!$E$3240:$E$3240</definedName>
    <definedName name="calcCh4Prod4Slot3CustProfitBaseMarginPct">Calc!$E$3241:$E$3241</definedName>
    <definedName name="calcCh4Prod4Slot3CustProfitBaseVol">Calc!$E$3242:$E$3242</definedName>
    <definedName name="calcCh4Prod4Slot3CustProfitPromo1">Calc!$E$3250:$E$3250</definedName>
    <definedName name="calcCh4Prod4Slot3CustProfitPromo1MarginAbs">Calc!$E$3247:$E$3247</definedName>
    <definedName name="calcCh4Prod4Slot3CustProfitPromo1Vol">Calc!$E$3248:$E$3248</definedName>
    <definedName name="calcCh4Prod4Slot3CustProfitTot">Calc!$E$3252:$E$3252</definedName>
    <definedName name="CalcCh4Prod4Slot3Depreciation">Calc!$E$3655:$E$3655</definedName>
    <definedName name="CalcCh4Prod4Slot3DepreciationPUnit">Calc!$E$3727:$E$3727</definedName>
    <definedName name="CalcCh4Prod4Slot3ManufacturingCostPUnit">Calc!$E$3580:$E$3580</definedName>
    <definedName name="calcCh4Prod4Slot3NoPromoPricePLitre">Calc!$E$2467:$E$2467</definedName>
    <definedName name="calcCh4Prod4Slot3NoPromoVol">Calc!$E$2466:$E$2466</definedName>
    <definedName name="calcCh4Prod4Slot3Pack">Calc!$E$4557:$E$4557</definedName>
    <definedName name="calcCh4Prod4Slot3PackFitBase">Calc!$E$4561:$E$4561</definedName>
    <definedName name="calcCh4Prod4Slot3PriceDif">Calc!$E$8074:$E$8074</definedName>
    <definedName name="calcCh4Prod4Slot3Promo1CustPrice">Calc!$E$1988:$E$1988</definedName>
    <definedName name="calcCh4Prod4Slot3Promo1CustProfPWeek">Calc!$E$7369:$E$7369</definedName>
    <definedName name="calcCh4Prod4Slot3Promo1CustUplift">Calc!$E$7369:$E$7369</definedName>
    <definedName name="calcCh4Prod4Slot3Promo1GPaLPUnit">Calc!$E$7357:$E$7357</definedName>
    <definedName name="calcCh4Prod4Slot3Promo1GPaLPWeek">Calc!$E$7358:$E$7358</definedName>
    <definedName name="calcCh4Prod4Slot3Promo1GPaLUplift">Calc!$E$7359:$E$7359</definedName>
    <definedName name="calcCh4Prod4Slot3Promo1Plan">Calc!$E$1556:$E$1556</definedName>
    <definedName name="calcCh4Prod4Slot3Promo1PlanEmp1Req">Calc!$E$6143:$E$6143</definedName>
    <definedName name="calcCh4Prod4Slot3Promo1PlanExp">Calc!$E$6144:$E$6144</definedName>
    <definedName name="calcCh4Prod4Slot3Promo1PlanShare">Calc!$E$1987:$E$1987</definedName>
    <definedName name="calcCh4Prod4Slot3Promo1PricePLitre">Calc!$E$2465:$E$2465</definedName>
    <definedName name="calcCh4Prod4Slot3Promo1ROI">Calc!$E$7364:$E$7364</definedName>
    <definedName name="calcCh4Prod4Slot3Promo1Seg1Efficiency">Calc!$E$1562:$E$1562</definedName>
    <definedName name="calcCh4Prod4Slot3Promo1Seg1Fit">Calc!$E$1561:$E$1561</definedName>
    <definedName name="calcCh4Prod4Slot3Promo1Seg1Share">Calc!$E$1563:$E$1563</definedName>
    <definedName name="calcCh4Prod4Slot3Promo1Seg2Efficiency">Calc!$E$1568:$E$1568</definedName>
    <definedName name="calcCh4Prod4Slot3Promo1Seg2Fit">Calc!$E$1567:$E$1567</definedName>
    <definedName name="calcCh4Prod4Slot3Promo1Seg2Share">Calc!$E$1569:$E$1569</definedName>
    <definedName name="calcCh4Prod4Slot3Promo1Seg3Efficiency">Calc!$E$1574:$E$1574</definedName>
    <definedName name="calcCh4Prod4Slot3Promo1Seg3Fit">Calc!$E$1573:$E$1573</definedName>
    <definedName name="calcCh4Prod4Slot3Promo1Seg3Share">Calc!$E$1575:$E$1575</definedName>
    <definedName name="calcCh4Prod4Slot3Promo1Seg4Efficiency">Calc!$E$1580:$E$1580</definedName>
    <definedName name="calcCh4Prod4Slot3Promo1Seg4Fit">Calc!$E$1579:$E$1579</definedName>
    <definedName name="calcCh4Prod4Slot3Promo1Seg4Share">Calc!$E$1581:$E$1581</definedName>
    <definedName name="calcCh4Prod4Slot3Promo1Vol">Calc!$E$2464:$E$2464</definedName>
    <definedName name="calcCh4Prod4Slot3Promo1VolPWeek">Calc!$E$7353:$E$7353</definedName>
    <definedName name="calcCh4Prod4Slot3Promo1VolUplift">Calc!$E$7354:$E$7354</definedName>
    <definedName name="calcCh4Prod4Slot3Promo1Weeks">Calc!$E$1557:$E$1557</definedName>
    <definedName name="calcCh4Prod4Slot3Seg1PackFit">Calc!$E$4565:$E$4565</definedName>
    <definedName name="calcCh4Prod4Slot3Seg2PackFit">Calc!$E$4567:$E$4567</definedName>
    <definedName name="calcCh4Prod4Slot3Seg3PackFit">Calc!$E$4569:$E$4569</definedName>
    <definedName name="calcCh4Prod4Slot3Seg4PackFit">Calc!$E$4571:$E$4571</definedName>
    <definedName name="calcCh4Prod4Slot3ShelfPrice">Calc!$E$1985:$E$1985</definedName>
    <definedName name="calcCh4Prod4Slot3TotalVolSold">Calc!$E$2468:$E$2468</definedName>
    <definedName name="calcCh4Prod4Slot3ValDrivExp">Calc!$E$5329:$E$5329</definedName>
    <definedName name="calcCh4Prod4Slot3VolForecastSlot">Calc!$E$229:$E$229</definedName>
    <definedName name="calcCh4Prod4Slot3WD">Calc!$E$5607:$E$5607</definedName>
    <definedName name="calcCh4Prod4SlotsEnd">Calc!$E$7586:$E$7586</definedName>
    <definedName name="calcCh4Prod4SlotsNew">Calc!$E$7585:$E$7585</definedName>
    <definedName name="calcCh4Prod4SlotsNextEmp1Req">Calc!$E$7589:$E$7589</definedName>
    <definedName name="calcCh4Prod4SlotsNextExp">Calc!$E$7590:$E$7590</definedName>
    <definedName name="calcCh4Prod4SlotsStart">Calc!$E$7584:$E$7584</definedName>
    <definedName name="calcCh4Prod4SlotsTotEmp1Req">Calc!$E$7592:$E$7592</definedName>
    <definedName name="calcCh4Prod4SlotsTotExp">Calc!$E$7593:$E$7593</definedName>
    <definedName name="calcCh4Prod4SlotTotActive">Calc!$E$148:$E$148</definedName>
    <definedName name="calcCh4Prod4TotalVolSold">Calc!$E$2473:$E$2473</definedName>
    <definedName name="calcCh4Prod4VolForecastProd">Calc!$E$24:$E$24</definedName>
    <definedName name="calcCh4Prod4VolSoldNoPromo">Calc!$E$2476:$E$2476</definedName>
    <definedName name="calcCh4Prod4VolSoldPromo1">Calc!$E$2479:$E$2479</definedName>
    <definedName name="calcCh4Promo1PlanEmp1ReqTot">Calc!$E$6147:$E$6147</definedName>
    <definedName name="calcCh4Promo1PlanExpTot">Calc!$E$6148:$E$6148</definedName>
    <definedName name="calcCh4PromoRoiAvg">Calc!$E$8217:$E$8217</definedName>
    <definedName name="calcCh4PromoWeeks">Calc!$E$6170:$E$6170</definedName>
    <definedName name="calcCh4PromoWeeksAvail">Calc!$E$6172:$E$6172</definedName>
    <definedName name="calcCh4PromoWeeksMax">Calc!$E$6174:$E$6174</definedName>
    <definedName name="calcCh4PromoWeeksUsed">Calc!$E$6171:$E$6171</definedName>
    <definedName name="calcCh4SlotMaxReached">Calc!$E$5696:$E$5696</definedName>
    <definedName name="calcCh4SlotsNextEmp1Req">Calc!$E$7597:$E$7597</definedName>
    <definedName name="calcCh4SlotsNextExp">Calc!$E$7598:$E$7598</definedName>
    <definedName name="calcCh4SlotsTotEmp1Req">Calc!$E$7597:$E$7597</definedName>
    <definedName name="calcCh4SlotsTotExp">Calc!$E$7598:$E$7598</definedName>
    <definedName name="calcCh4SlotTotActive">Calc!$E$150:$E$150</definedName>
    <definedName name="calcCh4TotalVolSold">Calc!$E$7908:$E$7908</definedName>
    <definedName name="calcCh4ValDriv1">Calc!$E$5285:$E$5285</definedName>
    <definedName name="calcCh4ValDriv1AccEnd">Calc!$E$5379:$E$5379</definedName>
    <definedName name="calcCh4ValDriv1AccStart">Calc!$E$5372:$E$5372</definedName>
    <definedName name="calcCh4ValDriv1Emp1Req">Calc!$E$5287:$E$5287</definedName>
    <definedName name="calcCh4ValDriv1Exp">Calc!$E$5288:$E$5288</definedName>
    <definedName name="calcCh4ValDriv2">Calc!$E$5291:$E$5291</definedName>
    <definedName name="calcCh4ValDriv2AccEnd">Calc!$E$5649:$E$5649</definedName>
    <definedName name="calcCh4ValDriv2AccStart">Calc!$E$5642:$E$5642</definedName>
    <definedName name="calcCh4ValDriv2Emp1Req">Calc!$E$5293:$E$5293</definedName>
    <definedName name="calcCh4ValDriv2Exp">Calc!$E$5294:$E$5294</definedName>
    <definedName name="calcCh4ValDriv3">Calc!$E$5297:$E$5297</definedName>
    <definedName name="calcCh4ValDriv3AccEnd">Calc!$E$5738:$E$5738</definedName>
    <definedName name="calcCh4ValDriv3AccStart">Calc!$E$5731:$E$5731</definedName>
    <definedName name="calcCh4ValDriv3Emp1Req">Calc!$E$5299:$E$5299</definedName>
    <definedName name="calcCh4ValDriv3Exp">Calc!$E$5300:$E$5300</definedName>
    <definedName name="calcCh4ValDriv4">Calc!$E$5303:$E$5303</definedName>
    <definedName name="calcCh4ValDriv4AccEnd">Calc!$E$5783:$E$5783</definedName>
    <definedName name="calcCh4ValDriv4AccEndMMScore">Calc!$E$5784:$E$5784</definedName>
    <definedName name="calcCh4ValDriv4AccStart">Calc!$E$5776:$E$5776</definedName>
    <definedName name="calcCh4ValDriv4Emp1Req">Calc!$E$5305:$E$5305</definedName>
    <definedName name="calcCh4ValDriv4Exp">Calc!$E$5306:$E$5306</definedName>
    <definedName name="calcCh4ValDriv5">Calc!$E$5309:$E$5309</definedName>
    <definedName name="calcCh4ValDriv5AccEnd">Calc!$E$5837:$E$5837</definedName>
    <definedName name="calcCh4ValDriv5AccStart">Calc!$E$5828:$E$5828</definedName>
    <definedName name="calcCh4ValDriv5Emp1Req">Calc!$E$5311:$E$5311</definedName>
    <definedName name="calcCh4ValDriv5Exp">Calc!$E$5312:$E$5312</definedName>
    <definedName name="calcCh4ValDriv5MMScore">Calc!$E$5838:$E$5838</definedName>
    <definedName name="calcCh4ValDrivCond">Calc!$E$5334:$E$5334</definedName>
    <definedName name="calcCh4ValDrivCondEmp1Req">Calc!$E$5336:$E$5336</definedName>
    <definedName name="calcCh4ValDrivCondExp">Calc!$E$5337:$E$5337</definedName>
    <definedName name="calcCh4ValDrivEmp1ReqTot">Calc!$E$5315:$E$5315</definedName>
    <definedName name="calcCh4ValDrivExpTot">Calc!$E$5316:$E$5316</definedName>
    <definedName name="calcCh4Vt">Calc!$E$7700:$E$7700</definedName>
    <definedName name="calcCh4VtCode">Calc!$E$7701:$E$7701</definedName>
    <definedName name="calcCh4WDAccInv">Calc!$E$5554:$E$5554</definedName>
    <definedName name="calcCh4WDValDriv1">Calc!$E$5555:$E$5555</definedName>
    <definedName name="calcCh4WeightedAvgPrice">Calc!$E$8003:$E$8003</definedName>
    <definedName name="calcCustProfitTot">Calc!$E$3271:$E$3271</definedName>
    <definedName name="CalcEmp1AdminExp">Calc!$E$7683:$E$7683</definedName>
    <definedName name="CalcEmp1Att">Calc!$E$7675:$E$7675</definedName>
    <definedName name="CalcEmp1End">Calc!$E$7676:$E$7676</definedName>
    <definedName name="CalcEmp1Exp">Calc!$E$7681:$E$7681</definedName>
    <definedName name="calcEmp1Open">Calc!$E$7672:$E$7672</definedName>
    <definedName name="calcEmp1Rec">Calc!$E$7673:$E$7673</definedName>
    <definedName name="CalcEmp1RecDismExp">Calc!$E$7682:$E$7682</definedName>
    <definedName name="CalcEmp1Req">Calc!$E$7668:$E$7668</definedName>
    <definedName name="CalcEmp1Unassigned">Calc!$E$7678:$E$7678</definedName>
    <definedName name="CalcEmp1Utiliz">Calc!$E$7677:$E$7677</definedName>
    <definedName name="calcMarkPlanEmp1ReqTot">Calc!$E$5078:$E$5078</definedName>
    <definedName name="calcMarkPlanExpTot">Calc!$E$5079:$E$5079</definedName>
    <definedName name="calcPackInnovation1">Calc!$E$3734:$E$3734</definedName>
    <definedName name="calcPackInnovation1Emp1Req">Calc!$E$3736:$E$3736</definedName>
    <definedName name="calcPackInnovation1Exp">Calc!$E$3737:$E$3737</definedName>
    <definedName name="calcPackInnovation2">Calc!$E$3739:$E$3739</definedName>
    <definedName name="calcPackInnovation2Emp1Req">Calc!$E$3741:$E$3741</definedName>
    <definedName name="calcPackInnovation2Exp">Calc!$E$3742:$E$3742</definedName>
    <definedName name="calcPackInnovationEmp1ReqTot">Calc!$E$3746:$E$3746</definedName>
    <definedName name="calcPackInnovationExpTot">Calc!$E$3747:$E$3747</definedName>
    <definedName name="CalcPlant1AtMaximum">Calc!$E$3360:$E$3360</definedName>
    <definedName name="CalcPlant1CapitalLoss">Calc!$E$3365:$E$3365</definedName>
    <definedName name="CalcPlant1Ch1Prod1Slot1Alloc">Calc!$E$3372:$E$3372</definedName>
    <definedName name="CalcPlant1Ch1Prod1Slot1HoursReq">Calc!$E$3279:$E$3279</definedName>
    <definedName name="CalcPlant1Ch1Prod1Slot1ManufacturingCost">Calc!$E$3444:$E$3444</definedName>
    <definedName name="CalcPlant1Ch1Prod1Slot2Alloc">Calc!$E$3373:$E$3373</definedName>
    <definedName name="CalcPlant1Ch1Prod1Slot2HoursReq">Calc!$E$3280:$E$3280</definedName>
    <definedName name="CalcPlant1Ch1Prod1Slot2ManufacturingCost">Calc!$E$3445:$E$3445</definedName>
    <definedName name="CalcPlant1Ch1Prod1Slot3Alloc">Calc!$E$3374:$E$3374</definedName>
    <definedName name="CalcPlant1Ch1Prod1Slot3HoursReq">Calc!$E$3281:$E$3281</definedName>
    <definedName name="CalcPlant1Ch1Prod1Slot3ManufacturingCost">Calc!$E$3446:$E$3446</definedName>
    <definedName name="CalcPlant1Ch1Prod2Slot1Alloc">Calc!$E$3376:$E$3376</definedName>
    <definedName name="CalcPlant1Ch1Prod2Slot1HoursReq">Calc!$E$3283:$E$3283</definedName>
    <definedName name="CalcPlant1Ch1Prod2Slot1ManufacturingCost">Calc!$E$3448:$E$3448</definedName>
    <definedName name="CalcPlant1Ch1Prod2Slot2Alloc">Calc!$E$3377:$E$3377</definedName>
    <definedName name="CalcPlant1Ch1Prod2Slot2HoursReq">Calc!$E$3284:$E$3284</definedName>
    <definedName name="CalcPlant1Ch1Prod2Slot2ManufacturingCost">Calc!$E$3449:$E$3449</definedName>
    <definedName name="CalcPlant1Ch1Prod2Slot3Alloc">Calc!$E$3378:$E$3378</definedName>
    <definedName name="CalcPlant1Ch1Prod2Slot3HoursReq">Calc!$E$3285:$E$3285</definedName>
    <definedName name="CalcPlant1Ch1Prod2Slot3ManufacturingCost">Calc!$E$3450:$E$3450</definedName>
    <definedName name="CalcPlant1Ch1Prod3Slot1Alloc">Calc!$E$3380:$E$3380</definedName>
    <definedName name="CalcPlant1Ch1Prod3Slot1HoursReq">Calc!$E$3287:$E$3287</definedName>
    <definedName name="CalcPlant1Ch1Prod3Slot1ManufacturingCost">Calc!$E$3452:$E$3452</definedName>
    <definedName name="CalcPlant1Ch1Prod3Slot2Alloc">Calc!$E$3381:$E$3381</definedName>
    <definedName name="CalcPlant1Ch1Prod3Slot2HoursReq">Calc!$E$3288:$E$3288</definedName>
    <definedName name="CalcPlant1Ch1Prod3Slot2ManufacturingCost">Calc!$E$3453:$E$3453</definedName>
    <definedName name="CalcPlant1Ch1Prod3Slot3Alloc">Calc!$E$3382:$E$3382</definedName>
    <definedName name="CalcPlant1Ch1Prod3Slot3HoursReq">Calc!$E$3289:$E$3289</definedName>
    <definedName name="CalcPlant1Ch1Prod3Slot3ManufacturingCost">Calc!$E$3454:$E$3454</definedName>
    <definedName name="CalcPlant1Ch1Prod4Slot1Alloc">Calc!$E$3384:$E$3384</definedName>
    <definedName name="CalcPlant1Ch1Prod4Slot1HoursReq">Calc!$E$3291:$E$3291</definedName>
    <definedName name="CalcPlant1Ch1Prod4Slot1ManufacturingCost">Calc!$E$3456:$E$3456</definedName>
    <definedName name="CalcPlant1Ch1Prod4Slot2Alloc">Calc!$E$3385:$E$3385</definedName>
    <definedName name="CalcPlant1Ch1Prod4Slot2HoursReq">Calc!$E$3292:$E$3292</definedName>
    <definedName name="CalcPlant1Ch1Prod4Slot2ManufacturingCost">Calc!$E$3457:$E$3457</definedName>
    <definedName name="CalcPlant1Ch1Prod4Slot3Alloc">Calc!$E$3386:$E$3386</definedName>
    <definedName name="CalcPlant1Ch1Prod4Slot3HoursReq">Calc!$E$3293:$E$3293</definedName>
    <definedName name="CalcPlant1Ch1Prod4Slot3ManufacturingCost">Calc!$E$3458:$E$3458</definedName>
    <definedName name="CalcPlant1Ch2Prod1Slot1Alloc">Calc!$E$3389:$E$3389</definedName>
    <definedName name="CalcPlant1Ch2Prod1Slot1HoursReq">Calc!$E$3296:$E$3296</definedName>
    <definedName name="CalcPlant1Ch2Prod1Slot1ManufacturingCost">Calc!$E$3461:$E$3461</definedName>
    <definedName name="CalcPlant1Ch2Prod1Slot2Alloc">Calc!$E$3390:$E$3390</definedName>
    <definedName name="CalcPlant1Ch2Prod1Slot2HoursReq">Calc!$E$3297:$E$3297</definedName>
    <definedName name="CalcPlant1Ch2Prod1Slot2ManufacturingCost">Calc!$E$3462:$E$3462</definedName>
    <definedName name="CalcPlant1Ch2Prod1Slot3Alloc">Calc!$E$3391:$E$3391</definedName>
    <definedName name="CalcPlant1Ch2Prod1Slot3HoursReq">Calc!$E$3298:$E$3298</definedName>
    <definedName name="CalcPlant1Ch2Prod1Slot3ManufacturingCost">Calc!$E$3463:$E$3463</definedName>
    <definedName name="CalcPlant1Ch2Prod2Slot1Alloc">Calc!$E$3393:$E$3393</definedName>
    <definedName name="CalcPlant1Ch2Prod2Slot1HoursReq">Calc!$E$3300:$E$3300</definedName>
    <definedName name="CalcPlant1Ch2Prod2Slot1ManufacturingCost">Calc!$E$3465:$E$3465</definedName>
    <definedName name="CalcPlant1Ch2Prod2Slot2Alloc">Calc!$E$3394:$E$3394</definedName>
    <definedName name="CalcPlant1Ch2Prod2Slot2HoursReq">Calc!$E$3301:$E$3301</definedName>
    <definedName name="CalcPlant1Ch2Prod2Slot2ManufacturingCost">Calc!$E$3466:$E$3466</definedName>
    <definedName name="CalcPlant1Ch2Prod2Slot3Alloc">Calc!$E$3395:$E$3395</definedName>
    <definedName name="CalcPlant1Ch2Prod2Slot3HoursReq">Calc!$E$3302:$E$3302</definedName>
    <definedName name="CalcPlant1Ch2Prod2Slot3ManufacturingCost">Calc!$E$3467:$E$3467</definedName>
    <definedName name="CalcPlant1Ch2Prod3Slot1Alloc">Calc!$E$3397:$E$3397</definedName>
    <definedName name="CalcPlant1Ch2Prod3Slot1HoursReq">Calc!$E$3304:$E$3304</definedName>
    <definedName name="CalcPlant1Ch2Prod3Slot1ManufacturingCost">Calc!$E$3469:$E$3469</definedName>
    <definedName name="CalcPlant1Ch2Prod3Slot2Alloc">Calc!$E$3398:$E$3398</definedName>
    <definedName name="CalcPlant1Ch2Prod3Slot2HoursReq">Calc!$E$3305:$E$3305</definedName>
    <definedName name="CalcPlant1Ch2Prod3Slot2ManufacturingCost">Calc!$E$3470:$E$3470</definedName>
    <definedName name="CalcPlant1Ch2Prod3Slot3Alloc">Calc!$E$3399:$E$3399</definedName>
    <definedName name="CalcPlant1Ch2Prod3Slot3HoursReq">Calc!$E$3306:$E$3306</definedName>
    <definedName name="CalcPlant1Ch2Prod3Slot3ManufacturingCost">Calc!$E$3471:$E$3471</definedName>
    <definedName name="CalcPlant1Ch2Prod4Slot1Alloc">Calc!$E$3401:$E$3401</definedName>
    <definedName name="CalcPlant1Ch2Prod4Slot1HoursReq">Calc!$E$3308:$E$3308</definedName>
    <definedName name="CalcPlant1Ch2Prod4Slot1ManufacturingCost">Calc!$E$3473:$E$3473</definedName>
    <definedName name="CalcPlant1Ch2Prod4Slot2Alloc">Calc!$E$3402:$E$3402</definedName>
    <definedName name="CalcPlant1Ch2Prod4Slot2HoursReq">Calc!$E$3309:$E$3309</definedName>
    <definedName name="CalcPlant1Ch2Prod4Slot2ManufacturingCost">Calc!$E$3474:$E$3474</definedName>
    <definedName name="CalcPlant1Ch2Prod4Slot3Alloc">Calc!$E$3403:$E$3403</definedName>
    <definedName name="CalcPlant1Ch2Prod4Slot3HoursReq">Calc!$E$3310:$E$3310</definedName>
    <definedName name="CalcPlant1Ch2Prod4Slot3ManufacturingCost">Calc!$E$3475:$E$3475</definedName>
    <definedName name="CalcPlant1Ch3Prod1Slot1Alloc">Calc!$E$3406:$E$3406</definedName>
    <definedName name="CalcPlant1Ch3Prod1Slot1HoursReq">Calc!$E$3313:$E$3313</definedName>
    <definedName name="CalcPlant1Ch3Prod1Slot1ManufacturingCost">Calc!$E$3478:$E$3478</definedName>
    <definedName name="CalcPlant1Ch3Prod1Slot2Alloc">Calc!$E$3407:$E$3407</definedName>
    <definedName name="CalcPlant1Ch3Prod1Slot2HoursReq">Calc!$E$3314:$E$3314</definedName>
    <definedName name="CalcPlant1Ch3Prod1Slot2ManufacturingCost">Calc!$E$3479:$E$3479</definedName>
    <definedName name="CalcPlant1Ch3Prod1Slot3Alloc">Calc!$E$3408:$E$3408</definedName>
    <definedName name="CalcPlant1Ch3Prod1Slot3HoursReq">Calc!$E$3315:$E$3315</definedName>
    <definedName name="CalcPlant1Ch3Prod1Slot3ManufacturingCost">Calc!$E$3480:$E$3480</definedName>
    <definedName name="CalcPlant1Ch3Prod2Slot1Alloc">Calc!$E$3410:$E$3410</definedName>
    <definedName name="CalcPlant1Ch3Prod2Slot1HoursReq">Calc!$E$3317:$E$3317</definedName>
    <definedName name="CalcPlant1Ch3Prod2Slot1ManufacturingCost">Calc!$E$3482:$E$3482</definedName>
    <definedName name="CalcPlant1Ch3Prod2Slot2Alloc">Calc!$E$3411:$E$3411</definedName>
    <definedName name="CalcPlant1Ch3Prod2Slot2HoursReq">Calc!$E$3318:$E$3318</definedName>
    <definedName name="CalcPlant1Ch3Prod2Slot2ManufacturingCost">Calc!$E$3483:$E$3483</definedName>
    <definedName name="CalcPlant1Ch3Prod2Slot3Alloc">Calc!$E$3412:$E$3412</definedName>
    <definedName name="CalcPlant1Ch3Prod2Slot3HoursReq">Calc!$E$3319:$E$3319</definedName>
    <definedName name="CalcPlant1Ch3Prod2Slot3ManufacturingCost">Calc!$E$3484:$E$3484</definedName>
    <definedName name="CalcPlant1Ch3Prod3Slot1Alloc">Calc!$E$3414:$E$3414</definedName>
    <definedName name="CalcPlant1Ch3Prod3Slot1HoursReq">Calc!$E$3321:$E$3321</definedName>
    <definedName name="CalcPlant1Ch3Prod3Slot1ManufacturingCost">Calc!$E$3486:$E$3486</definedName>
    <definedName name="CalcPlant1Ch3Prod3Slot2Alloc">Calc!$E$3415:$E$3415</definedName>
    <definedName name="CalcPlant1Ch3Prod3Slot2HoursReq">Calc!$E$3322:$E$3322</definedName>
    <definedName name="CalcPlant1Ch3Prod3Slot2ManufacturingCost">Calc!$E$3487:$E$3487</definedName>
    <definedName name="CalcPlant1Ch3Prod3Slot3Alloc">Calc!$E$3416:$E$3416</definedName>
    <definedName name="CalcPlant1Ch3Prod3Slot3HoursReq">Calc!$E$3323:$E$3323</definedName>
    <definedName name="CalcPlant1Ch3Prod3Slot3ManufacturingCost">Calc!$E$3488:$E$3488</definedName>
    <definedName name="CalcPlant1Ch3Prod4Slot1Alloc">Calc!$E$3418:$E$3418</definedName>
    <definedName name="CalcPlant1Ch3Prod4Slot1HoursReq">Calc!$E$3325:$E$3325</definedName>
    <definedName name="CalcPlant1Ch3Prod4Slot1ManufacturingCost">Calc!$E$3490:$E$3490</definedName>
    <definedName name="CalcPlant1Ch3Prod4Slot2Alloc">Calc!$E$3419:$E$3419</definedName>
    <definedName name="CalcPlant1Ch3Prod4Slot2HoursReq">Calc!$E$3326:$E$3326</definedName>
    <definedName name="CalcPlant1Ch3Prod4Slot2ManufacturingCost">Calc!$E$3491:$E$3491</definedName>
    <definedName name="CalcPlant1Ch3Prod4Slot3Alloc">Calc!$E$3420:$E$3420</definedName>
    <definedName name="CalcPlant1Ch3Prod4Slot3HoursReq">Calc!$E$3327:$E$3327</definedName>
    <definedName name="CalcPlant1Ch3Prod4Slot3ManufacturingCost">Calc!$E$3492:$E$3492</definedName>
    <definedName name="CalcPlant1Ch4Prod1Slot1Alloc">Calc!$E$3423:$E$3423</definedName>
    <definedName name="CalcPlant1Ch4Prod1Slot1HoursReq">Calc!$E$3330:$E$3330</definedName>
    <definedName name="CalcPlant1Ch4Prod1Slot1ManufacturingCost">Calc!$E$3495:$E$3495</definedName>
    <definedName name="CalcPlant1Ch4Prod1Slot2Alloc">Calc!$E$3424:$E$3424</definedName>
    <definedName name="CalcPlant1Ch4Prod1Slot2HoursReq">Calc!$E$3331:$E$3331</definedName>
    <definedName name="CalcPlant1Ch4Prod1Slot2ManufacturingCost">Calc!$E$3496:$E$3496</definedName>
    <definedName name="CalcPlant1Ch4Prod1Slot3Alloc">Calc!$E$3425:$E$3425</definedName>
    <definedName name="CalcPlant1Ch4Prod1Slot3HoursReq">Calc!$E$3332:$E$3332</definedName>
    <definedName name="CalcPlant1Ch4Prod1Slot3ManufacturingCost">Calc!$E$3497:$E$3497</definedName>
    <definedName name="CalcPlant1Ch4Prod2Slot1Alloc">Calc!$E$3427:$E$3427</definedName>
    <definedName name="CalcPlant1Ch4Prod2Slot1HoursReq">Calc!$E$3334:$E$3334</definedName>
    <definedName name="CalcPlant1Ch4Prod2Slot1ManufacturingCost">Calc!$E$3499:$E$3499</definedName>
    <definedName name="CalcPlant1Ch4Prod2Slot2Alloc">Calc!$E$3428:$E$3428</definedName>
    <definedName name="CalcPlant1Ch4Prod2Slot2HoursReq">Calc!$E$3335:$E$3335</definedName>
    <definedName name="CalcPlant1Ch4Prod2Slot2ManufacturingCost">Calc!$E$3500:$E$3500</definedName>
    <definedName name="CalcPlant1Ch4Prod2Slot3Alloc">Calc!$E$3429:$E$3429</definedName>
    <definedName name="CalcPlant1Ch4Prod2Slot3HoursReq">Calc!$E$3336:$E$3336</definedName>
    <definedName name="CalcPlant1Ch4Prod2Slot3ManufacturingCost">Calc!$E$3501:$E$3501</definedName>
    <definedName name="CalcPlant1Ch4Prod3Slot1Alloc">Calc!$E$3431:$E$3431</definedName>
    <definedName name="CalcPlant1Ch4Prod3Slot1HoursReq">Calc!$E$3338:$E$3338</definedName>
    <definedName name="CalcPlant1Ch4Prod3Slot1ManufacturingCost">Calc!$E$3503:$E$3503</definedName>
    <definedName name="CalcPlant1Ch4Prod3Slot2Alloc">Calc!$E$3432:$E$3432</definedName>
    <definedName name="CalcPlant1Ch4Prod3Slot2HoursReq">Calc!$E$3339:$E$3339</definedName>
    <definedName name="CalcPlant1Ch4Prod3Slot2ManufacturingCost">Calc!$E$3504:$E$3504</definedName>
    <definedName name="CalcPlant1Ch4Prod3Slot3Alloc">Calc!$E$3433:$E$3433</definedName>
    <definedName name="CalcPlant1Ch4Prod3Slot3HoursReq">Calc!$E$3340:$E$3340</definedName>
    <definedName name="CalcPlant1Ch4Prod3Slot3ManufacturingCost">Calc!$E$3505:$E$3505</definedName>
    <definedName name="CalcPlant1Ch4Prod4Slot1Alloc">Calc!$E$3435:$E$3435</definedName>
    <definedName name="CalcPlant1Ch4Prod4Slot1HoursReq">Calc!$E$3342:$E$3342</definedName>
    <definedName name="CalcPlant1Ch4Prod4Slot1ManufacturingCost">Calc!$E$3507:$E$3507</definedName>
    <definedName name="CalcPlant1Ch4Prod4Slot2Alloc">Calc!$E$3436:$E$3436</definedName>
    <definedName name="CalcPlant1Ch4Prod4Slot2HoursReq">Calc!$E$3343:$E$3343</definedName>
    <definedName name="CalcPlant1Ch4Prod4Slot2ManufacturingCost">Calc!$E$3508:$E$3508</definedName>
    <definedName name="CalcPlant1Ch4Prod4Slot3Alloc">Calc!$E$3437:$E$3437</definedName>
    <definedName name="CalcPlant1Ch4Prod4Slot3HoursReq">Calc!$E$3344:$E$3344</definedName>
    <definedName name="CalcPlant1Ch4Prod4Slot3ManufacturingCost">Calc!$E$3509:$E$3509</definedName>
    <definedName name="CalcPlant1Dep">Calc!$E$3584:$E$3584</definedName>
    <definedName name="CalcPlant1DivestmentRevenue">Calc!$E$3364:$E$3364</definedName>
    <definedName name="CalcPlant1DivestmentValue">Calc!$E$3363:$E$3363</definedName>
    <definedName name="CalcPlant1HoursAvail">Calc!$E$3357:$E$3357</definedName>
    <definedName name="CalcPlant1HoursAvailPreInvest">Calc!$E$3350:$E$3350</definedName>
    <definedName name="CalcPlant1HoursReq">Calc!$E$3346:$E$3346</definedName>
    <definedName name="CalcPlant1InvestCostNewUnit">Calc!$E$3361:$E$3361</definedName>
    <definedName name="CalcPlant1Investment">Calc!$E$3362:$E$3362</definedName>
    <definedName name="CalcPlant1MachCost">Calc!$E$3367:$E$3367</definedName>
    <definedName name="CalcPlant1ResetPct">Calc!$E$3359:$E$3359</definedName>
    <definedName name="CalcPlant1UnitsAvail">Calc!$E$3356:$E$3356</definedName>
    <definedName name="CalcPlant1UnitsAvailPreInvest">Calc!$E$3349:$E$3349</definedName>
    <definedName name="CalcPlant1UnitsEnd">Calc!$E$3355:$E$3355</definedName>
    <definedName name="CalcPlant1Utiliz">Calc!$E$3358:$E$3358</definedName>
    <definedName name="CalcPlant1UtilizPreInvest">Calc!$E$3351:$E$3351</definedName>
    <definedName name="calcProd1CustProfitTot">Calc!$E$3266:$E$3266</definedName>
    <definedName name="calcProd1SlotTotActive">Calc!$E$154:$E$154</definedName>
    <definedName name="calcProd2CustProfitTot">Calc!$E$3267:$E$3267</definedName>
    <definedName name="calcProd2SlotTotActive">Calc!$E$155:$E$155</definedName>
    <definedName name="calcProd3CustProfitTot">Calc!$E$3268:$E$3268</definedName>
    <definedName name="calcProd3SlotTotActive">Calc!$E$156:$E$156</definedName>
    <definedName name="calcProd4CustProfitTot">Calc!$E$3269:$E$3269</definedName>
    <definedName name="calcProd4SlotTotActive">Calc!$E$157:$E$157</definedName>
    <definedName name="calcPromoRoiAvg">Calc!$E$8219:$E$8219</definedName>
    <definedName name="calcReportEmp1Req">Calc!$E$7636:$E$7636</definedName>
    <definedName name="calcReportExpReq">Calc!$E$7637:$E$7637</definedName>
    <definedName name="calcSI1Code">Calc!$E$7710:$E$7710</definedName>
    <definedName name="calcSI2Code">Calc!$E$7715:$E$7715</definedName>
    <definedName name="calcSI3Code">Calc!$E$7720:$E$7720</definedName>
    <definedName name="calcSI4Code">Calc!$E$7725:$E$7725</definedName>
    <definedName name="calcSI5Code">Calc!$E$7730:$E$7730</definedName>
    <definedName name="calcTableSIsLaunched">Calc!$D$7755:$E$7794</definedName>
    <definedName name="calcTableSIsRoundsIntoLaunch">Calc!$D$7798:$E$7837</definedName>
    <definedName name="cbal_Paste">Cbal!$E$3:$E$3</definedName>
    <definedName name="cbalCh1CustomerProfitTot">Cbal!$E$321:$E$321</definedName>
    <definedName name="cbalCh1GCCTot">Cbal!$E$314:$E$314</definedName>
    <definedName name="cbalCh1GPaLTot">Cbal!$E$307:$E$307</definedName>
    <definedName name="cbalCh1Prod1Slot1Active">Cbal!$E$110:$E$110</definedName>
    <definedName name="cbalCh1Prod1Slot1AvgPrice">Cbal!$E$339:$E$339</definedName>
    <definedName name="cbalCh1Prod1Slot1AvgPromoPrice">Cbal!$E$340:$E$340</definedName>
    <definedName name="cbalCh1Prod1Slot1COGS">Cbal!$E$353:$E$353</definedName>
    <definedName name="cbalCh1Prod1Slot1COGSpL">Cbal!$E$354:$E$354</definedName>
    <definedName name="cbalCh1Prod1Slot1CustPrice">Cbal!$E$336:$E$336</definedName>
    <definedName name="cbalCh1Prod1Slot1GPaL">Cbal!$E$332:$E$332</definedName>
    <definedName name="cbalCh1Prod1Slot1GPaLPerLitre">Cbal!$E$335:$E$335</definedName>
    <definedName name="cbalCh1Prod1Slot1NetRev">Cbal!$E$331:$E$331</definedName>
    <definedName name="cbalCh1Prod1Slot1NetRevPerLtr">Cbal!$E$334:$E$334</definedName>
    <definedName name="cbalCh1Prod1Slot1Pack">Cbal!$E$341:$E$341</definedName>
    <definedName name="cbalCh1Prod1Slot1Promo1">Cbal!$E$241:$E$241</definedName>
    <definedName name="cbalCh1Prod1Slot1Promo1CustUplift">Cbal!$E$351:$E$351</definedName>
    <definedName name="cbalCh1Prod1Slot1Promo1GPaLUplift">Cbal!$E$347:$E$347</definedName>
    <definedName name="cbalCh1Prod1Slot1Promo1Price">Cbal!$E$337:$E$337</definedName>
    <definedName name="cbalCh1Prod1Slot1Promo1ROI">Cbal!$E$344:$E$344</definedName>
    <definedName name="cbalCh1Prod1Slot1Promo1Share">Cbal!$E$342:$E$342</definedName>
    <definedName name="cbalCh1Prod1Slot1Promo1VolUplift">Cbal!$E$349:$E$349</definedName>
    <definedName name="cbalCh1Prod1Slot1Promo1Weeks">Cbal!$E$1243:$E$1243</definedName>
    <definedName name="cbalCh1Prod1Slot1Promo2">Cbal!$E$242:$E$242</definedName>
    <definedName name="cbalCh1Prod1Slot1Promo2CustUplift">Cbal!$E$352:$E$352</definedName>
    <definedName name="cbalCh1Prod1Slot1Promo2GPaLUplift">Cbal!$E$348:$E$348</definedName>
    <definedName name="cbalCh1Prod1Slot1Promo2Price">Cbal!$E$338:$E$338</definedName>
    <definedName name="cbalCh1Prod1Slot1Promo2ROI">Cbal!$E$345:$E$345</definedName>
    <definedName name="cbalCh1Prod1Slot1Promo2Share">Cbal!$E$343:$E$343</definedName>
    <definedName name="cbalCh1Prod1Slot1Promo2VolUplift">Cbal!$E$350:$E$350</definedName>
    <definedName name="cbalCh1Prod1Slot1Promo2Weeks">Cbal!$E$1244:$E$1244</definedName>
    <definedName name="cbalCh1Prod1Slot1SoldVol">Cbal!$E$333:$E$333</definedName>
    <definedName name="cbalCh1Prod1Slot1WD">Cbal!$E$346:$E$346</definedName>
    <definedName name="cbalCh1Prod1Slot2Active">Cbal!$E$111:$E$111</definedName>
    <definedName name="cbalCh1Prod1Slot2AvgPrice">Cbal!$E$364:$E$364</definedName>
    <definedName name="cbalCh1Prod1Slot2AvgPromoPrice">Cbal!$E$365:$E$365</definedName>
    <definedName name="cbalCh1Prod1Slot2COGS">Cbal!$E$378:$E$378</definedName>
    <definedName name="cbalCh1Prod1Slot2COGSpL">Cbal!$E$379:$E$379</definedName>
    <definedName name="cbalCh1Prod1Slot2CustPrice">Cbal!$E$361:$E$361</definedName>
    <definedName name="cbalCh1Prod1Slot2GPaL">Cbal!$E$357:$E$357</definedName>
    <definedName name="cbalCh1Prod1Slot2GPaLPerLitre">Cbal!$E$360:$E$360</definedName>
    <definedName name="cbalCh1Prod1Slot2NetRev">Cbal!$E$356:$E$356</definedName>
    <definedName name="cbalCh1Prod1Slot2NetRevPerLtr">Cbal!$E$359:$E$359</definedName>
    <definedName name="cbalCh1Prod1Slot2Pack">Cbal!$E$366:$E$366</definedName>
    <definedName name="cbalCh1Prod1Slot2Promo1">Cbal!$E$243:$E$243</definedName>
    <definedName name="cbalCh1Prod1Slot2Promo1CustUplift">Cbal!$E$376:$E$376</definedName>
    <definedName name="cbalCh1Prod1Slot2Promo1GPaLUplift">Cbal!$E$372:$E$372</definedName>
    <definedName name="cbalCh1Prod1Slot2Promo1Price">Cbal!$E$362:$E$362</definedName>
    <definedName name="cbalCh1Prod1Slot2Promo1ROI">Cbal!$E$369:$E$369</definedName>
    <definedName name="cbalCh1Prod1Slot2Promo1Share">Cbal!$E$367:$E$367</definedName>
    <definedName name="cbalCh1Prod1Slot2Promo1VolUplift">Cbal!$E$374:$E$374</definedName>
    <definedName name="cbalCh1Prod1Slot2Promo1Weeks">Cbal!$E$1245:$E$1245</definedName>
    <definedName name="cbalCh1Prod1Slot2Promo2">Cbal!$E$244:$E$244</definedName>
    <definedName name="cbalCh1Prod1Slot2Promo2CustUplift">Cbal!$E$377:$E$377</definedName>
    <definedName name="cbalCh1Prod1Slot2Promo2GPaLUplift">Cbal!$E$373:$E$373</definedName>
    <definedName name="cbalCh1Prod1Slot2Promo2Price">Cbal!$E$363:$E$363</definedName>
    <definedName name="cbalCh1Prod1Slot2Promo2ROI">Cbal!$E$370:$E$370</definedName>
    <definedName name="cbalCh1Prod1Slot2Promo2Share">Cbal!$E$368:$E$368</definedName>
    <definedName name="cbalCh1Prod1Slot2Promo2VolUplift">Cbal!$E$375:$E$375</definedName>
    <definedName name="cbalCh1Prod1Slot2Promo2Weeks">Cbal!$E$1246:$E$1246</definedName>
    <definedName name="cbalCh1Prod1Slot2SoldVol">Cbal!$E$358:$E$358</definedName>
    <definedName name="cbalCh1Prod1Slot2WD">Cbal!$E$371:$E$371</definedName>
    <definedName name="cbalCh1Prod1Slot3Active">Cbal!$E$112:$E$112</definedName>
    <definedName name="cbalCh1Prod1Slot3AvgPrice">Cbal!$E$389:$E$389</definedName>
    <definedName name="cbalCh1Prod1Slot3AvgPromoPrice">Cbal!$E$390:$E$390</definedName>
    <definedName name="cbalCh1Prod1Slot3COGS">Cbal!$E$403:$E$403</definedName>
    <definedName name="cbalCh1Prod1Slot3COGSpL">Cbal!$E$404:$E$404</definedName>
    <definedName name="cbalCh1Prod1Slot3CustPrice">Cbal!$E$386:$E$386</definedName>
    <definedName name="cbalCh1Prod1Slot3GPaL">Cbal!$E$382:$E$382</definedName>
    <definedName name="cbalCh1Prod1Slot3GPaLPerLitre">Cbal!$E$385:$E$385</definedName>
    <definedName name="cbalCh1Prod1Slot3NetRev">Cbal!$E$381:$E$381</definedName>
    <definedName name="cbalCh1Prod1Slot3NetRevPerLtr">Cbal!$E$384:$E$384</definedName>
    <definedName name="cbalCh1Prod1Slot3Pack">Cbal!$E$391:$E$391</definedName>
    <definedName name="cbalCh1Prod1Slot3Promo1">Cbal!$E$245:$E$245</definedName>
    <definedName name="cbalCh1Prod1Slot3Promo1CustUplift">Cbal!$E$401:$E$401</definedName>
    <definedName name="cbalCh1Prod1Slot3Promo1GPaLUplift">Cbal!$E$397:$E$397</definedName>
    <definedName name="cbalCh1Prod1Slot3Promo1Price">Cbal!$E$387:$E$387</definedName>
    <definedName name="cbalCh1Prod1Slot3Promo1ROI">Cbal!$E$394:$E$394</definedName>
    <definedName name="cbalCh1Prod1Slot3Promo1Share">Cbal!$E$392:$E$392</definedName>
    <definedName name="cbalCh1Prod1Slot3Promo1VolUplift">Cbal!$E$399:$E$399</definedName>
    <definedName name="cbalCh1Prod1Slot3Promo1Weeks">Cbal!$E$1247:$E$1247</definedName>
    <definedName name="cbalCh1Prod1Slot3Promo2">Cbal!$E$246:$E$246</definedName>
    <definedName name="cbalCh1Prod1Slot3Promo2CustUplift">Cbal!$E$402:$E$402</definedName>
    <definedName name="cbalCh1Prod1Slot3Promo2GPaLUplift">Cbal!$E$398:$E$398</definedName>
    <definedName name="cbalCh1Prod1Slot3Promo2Price">Cbal!$E$388:$E$388</definedName>
    <definedName name="cbalCh1Prod1Slot3Promo2ROI">Cbal!$E$395:$E$395</definedName>
    <definedName name="cbalCh1Prod1Slot3Promo2Share">Cbal!$E$393:$E$393</definedName>
    <definedName name="cbalCh1Prod1Slot3Promo2VolUplift">Cbal!$E$400:$E$400</definedName>
    <definedName name="cbalCh1Prod1Slot3Promo2Weeks">Cbal!$E$1248:$E$1248</definedName>
    <definedName name="cbalCh1Prod1Slot3SoldVol">Cbal!$E$383:$E$383</definedName>
    <definedName name="cbalCh1Prod1Slot3WD">Cbal!$E$396:$E$396</definedName>
    <definedName name="cbalCh1Prod1SlotTotActive">Cbal!$E$114:$E$114</definedName>
    <definedName name="cbalCh1Prod2Slot1Active">Cbal!$E$117:$E$117</definedName>
    <definedName name="cbalCh1Prod2Slot1AvgPrice">Cbal!$E$416:$E$416</definedName>
    <definedName name="cbalCh1Prod2Slot1AvgPromoPrice">Cbal!$E$417:$E$417</definedName>
    <definedName name="cbalCh1Prod2Slot1COGS">Cbal!$E$430:$E$430</definedName>
    <definedName name="cbalCh1Prod2Slot1COGSpL">Cbal!$E$431:$E$431</definedName>
    <definedName name="cbalCh1Prod2Slot1CustPrice">Cbal!$E$413:$E$413</definedName>
    <definedName name="cbalCh1Prod2Slot1GPaL">Cbal!$E$409:$E$409</definedName>
    <definedName name="cbalCh1Prod2Slot1GPaLPerLitre">Cbal!$E$412:$E$412</definedName>
    <definedName name="cbalCh1Prod2Slot1NetRev">Cbal!$E$408:$E$408</definedName>
    <definedName name="cbalCh1Prod2Slot1NetRevPerLtr">Cbal!$E$411:$E$411</definedName>
    <definedName name="cbalCh1Prod2Slot1Pack">Cbal!$E$418:$E$418</definedName>
    <definedName name="cbalCh1Prod2Slot1Promo1">Cbal!$E$247:$E$247</definedName>
    <definedName name="cbalCh1Prod2Slot1Promo1CustUplift">Cbal!$E$428:$E$428</definedName>
    <definedName name="cbalCh1Prod2Slot1Promo1GPaLUplift">Cbal!$E$424:$E$424</definedName>
    <definedName name="cbalCh1Prod2Slot1Promo1Price">Cbal!$E$414:$E$414</definedName>
    <definedName name="cbalCh1Prod2Slot1Promo1ROI">Cbal!$E$421:$E$421</definedName>
    <definedName name="cbalCh1Prod2Slot1Promo1Share">Cbal!$E$419:$E$419</definedName>
    <definedName name="cbalCh1Prod2Slot1Promo1VolUplift">Cbal!$E$426:$E$426</definedName>
    <definedName name="cbalCh1Prod2Slot1Promo1Weeks">Cbal!$E$1250:$E$1250</definedName>
    <definedName name="cbalCh1Prod2Slot1Promo2">Cbal!$E$248:$E$248</definedName>
    <definedName name="cbalCh1Prod2Slot1Promo2CustUplift">Cbal!$E$429:$E$429</definedName>
    <definedName name="cbalCh1Prod2Slot1Promo2GPaLUplift">Cbal!$E$425:$E$425</definedName>
    <definedName name="cbalCh1Prod2Slot1Promo2Price">Cbal!$E$415:$E$415</definedName>
    <definedName name="cbalCh1Prod2Slot1Promo2ROI">Cbal!$E$422:$E$422</definedName>
    <definedName name="cbalCh1Prod2Slot1Promo2Share">Cbal!$E$420:$E$420</definedName>
    <definedName name="cbalCh1Prod2Slot1Promo2VolUplift">Cbal!$E$427:$E$427</definedName>
    <definedName name="cbalCh1Prod2Slot1Promo2Weeks">Cbal!$E$1251:$E$1251</definedName>
    <definedName name="cbalCh1Prod2Slot1SoldVol">Cbal!$E$410:$E$410</definedName>
    <definedName name="cbalCh1Prod2Slot1WD">Cbal!$E$423:$E$423</definedName>
    <definedName name="cbalCh1Prod2Slot2Active">Cbal!$E$118:$E$118</definedName>
    <definedName name="cbalCh1Prod2Slot2AvgPrice">Cbal!$E$441:$E$441</definedName>
    <definedName name="cbalCh1Prod2Slot2AvgPromoPrice">Cbal!$E$442:$E$442</definedName>
    <definedName name="cbalCh1Prod2Slot2COGS">Cbal!$E$455:$E$455</definedName>
    <definedName name="cbalCh1Prod2Slot2COGSpL">Cbal!$E$456:$E$456</definedName>
    <definedName name="cbalCh1Prod2Slot2CustPrice">Cbal!$E$438:$E$438</definedName>
    <definedName name="cbalCh1Prod2Slot2GPaL">Cbal!$E$434:$E$434</definedName>
    <definedName name="cbalCh1Prod2Slot2GPaLPerLitre">Cbal!$E$437:$E$437</definedName>
    <definedName name="cbalCh1Prod2Slot2NetRev">Cbal!$E$433:$E$433</definedName>
    <definedName name="cbalCh1Prod2Slot2NetRevPerLtr">Cbal!$E$436:$E$436</definedName>
    <definedName name="cbalCh1Prod2Slot2Pack">Cbal!$E$443:$E$443</definedName>
    <definedName name="cbalCh1Prod2Slot2Promo1">Cbal!$E$249:$E$249</definedName>
    <definedName name="cbalCh1Prod2Slot2Promo1CustUplift">Cbal!$E$453:$E$453</definedName>
    <definedName name="cbalCh1Prod2Slot2Promo1GPaLUplift">Cbal!$E$449:$E$449</definedName>
    <definedName name="cbalCh1Prod2Slot2Promo1Price">Cbal!$E$439:$E$439</definedName>
    <definedName name="cbalCh1Prod2Slot2Promo1ROI">Cbal!$E$446:$E$446</definedName>
    <definedName name="cbalCh1Prod2Slot2Promo1Share">Cbal!$E$444:$E$444</definedName>
    <definedName name="cbalCh1Prod2Slot2Promo1VolUplift">Cbal!$E$451:$E$451</definedName>
    <definedName name="cbalCh1Prod2Slot2Promo1Weeks">Cbal!$E$1252:$E$1252</definedName>
    <definedName name="cbalCh1Prod2Slot2Promo2">Cbal!$E$250:$E$250</definedName>
    <definedName name="cbalCh1Prod2Slot2Promo2CustUplift">Cbal!$E$454:$E$454</definedName>
    <definedName name="cbalCh1Prod2Slot2Promo2GPaLUplift">Cbal!$E$450:$E$450</definedName>
    <definedName name="cbalCh1Prod2Slot2Promo2Price">Cbal!$E$440:$E$440</definedName>
    <definedName name="cbalCh1Prod2Slot2Promo2ROI">Cbal!$E$447:$E$447</definedName>
    <definedName name="cbalCh1Prod2Slot2Promo2Share">Cbal!$E$445:$E$445</definedName>
    <definedName name="cbalCh1Prod2Slot2Promo2VolUplift">Cbal!$E$452:$E$452</definedName>
    <definedName name="cbalCh1Prod2Slot2Promo2Weeks">Cbal!$E$1253:$E$1253</definedName>
    <definedName name="cbalCh1Prod2Slot2SoldVol">Cbal!$E$435:$E$435</definedName>
    <definedName name="cbalCh1Prod2Slot2WD">Cbal!$E$448:$E$448</definedName>
    <definedName name="cbalCh1Prod2Slot3Active">Cbal!$E$119:$E$119</definedName>
    <definedName name="cbalCh1Prod2Slot3AvgPrice">Cbal!$E$466:$E$466</definedName>
    <definedName name="cbalCh1Prod2Slot3AvgPromoPrice">Cbal!$E$467:$E$467</definedName>
    <definedName name="cbalCh1Prod2Slot3COGS">Cbal!$E$480:$E$480</definedName>
    <definedName name="cbalCh1Prod2Slot3COGSpL">Cbal!$E$481:$E$481</definedName>
    <definedName name="cbalCh1Prod2Slot3CustPrice">Cbal!$E$463:$E$463</definedName>
    <definedName name="cbalCh1Prod2Slot3GPaL">Cbal!$E$459:$E$459</definedName>
    <definedName name="cbalCh1Prod2Slot3GPaLPerLitre">Cbal!$E$462:$E$462</definedName>
    <definedName name="cbalCh1Prod2Slot3NetRev">Cbal!$E$458:$E$458</definedName>
    <definedName name="cbalCh1Prod2Slot3NetRevPerLtr">Cbal!$E$461:$E$461</definedName>
    <definedName name="cbalCh1Prod2Slot3Pack">Cbal!$E$468:$E$468</definedName>
    <definedName name="cbalCh1Prod2Slot3Promo1">Cbal!$E$251:$E$251</definedName>
    <definedName name="cbalCh1Prod2Slot3Promo1CustUplift">Cbal!$E$478:$E$478</definedName>
    <definedName name="cbalCh1Prod2Slot3Promo1GPaLUplift">Cbal!$E$474:$E$474</definedName>
    <definedName name="cbalCh1Prod2Slot3Promo1Price">Cbal!$E$464:$E$464</definedName>
    <definedName name="cbalCh1Prod2Slot3Promo1ROI">Cbal!$E$471:$E$471</definedName>
    <definedName name="cbalCh1Prod2Slot3Promo1Share">Cbal!$E$469:$E$469</definedName>
    <definedName name="cbalCh1Prod2Slot3Promo1VolUplift">Cbal!$E$476:$E$476</definedName>
    <definedName name="cbalCh1Prod2Slot3Promo1Weeks">Cbal!$E$1254:$E$1254</definedName>
    <definedName name="cbalCh1Prod2Slot3Promo2">Cbal!$E$252:$E$252</definedName>
    <definedName name="cbalCh1Prod2Slot3Promo2CustUplift">Cbal!$E$479:$E$479</definedName>
    <definedName name="cbalCh1Prod2Slot3Promo2GPaLUplift">Cbal!$E$475:$E$475</definedName>
    <definedName name="cbalCh1Prod2Slot3Promo2Price">Cbal!$E$465:$E$465</definedName>
    <definedName name="cbalCh1Prod2Slot3Promo2ROI">Cbal!$E$472:$E$472</definedName>
    <definedName name="cbalCh1Prod2Slot3Promo2Share">Cbal!$E$470:$E$470</definedName>
    <definedName name="cbalCh1Prod2Slot3Promo2VolUplift">Cbal!$E$477:$E$477</definedName>
    <definedName name="cbalCh1Prod2Slot3Promo2Weeks">Cbal!$E$1255:$E$1255</definedName>
    <definedName name="cbalCh1Prod2Slot3SoldVol">Cbal!$E$460:$E$460</definedName>
    <definedName name="cbalCh1Prod2Slot3WD">Cbal!$E$473:$E$473</definedName>
    <definedName name="cbalCh1Prod2SlotTotActive">Cbal!$E$121:$E$121</definedName>
    <definedName name="cbalCh1Prod3Slot1Active">Cbal!$E$124:$E$124</definedName>
    <definedName name="cbalCh1Prod3Slot1AvgPrice">Cbal!$E$493:$E$493</definedName>
    <definedName name="cbalCh1Prod3Slot1AvgPromoPrice">Cbal!$E$494:$E$494</definedName>
    <definedName name="cbalCh1Prod3Slot1COGS">Cbal!$E$507:$E$507</definedName>
    <definedName name="cbalCh1Prod3Slot1COGSpL">Cbal!$E$508:$E$508</definedName>
    <definedName name="cbalCh1Prod3Slot1CustPrice">Cbal!$E$490:$E$490</definedName>
    <definedName name="cbalCh1Prod3Slot1GPaL">Cbal!$E$486:$E$486</definedName>
    <definedName name="cbalCh1Prod3Slot1GPaLPerLitre">Cbal!$E$489:$E$489</definedName>
    <definedName name="cbalCh1Prod3Slot1NetRev">Cbal!$E$485:$E$485</definedName>
    <definedName name="cbalCh1Prod3Slot1NetRevPerLtr">Cbal!$E$488:$E$488</definedName>
    <definedName name="cbalCh1Prod3Slot1Pack">Cbal!$E$495:$E$495</definedName>
    <definedName name="cbalCh1Prod3Slot1Promo1">Cbal!$E$253:$E$253</definedName>
    <definedName name="cbalCh1Prod3Slot1Promo1CustUplift">Cbal!$E$505:$E$505</definedName>
    <definedName name="cbalCh1Prod3Slot1Promo1GPaLUplift">Cbal!$E$501:$E$501</definedName>
    <definedName name="cbalCh1Prod3Slot1Promo1Price">Cbal!$E$491:$E$491</definedName>
    <definedName name="cbalCh1Prod3Slot1Promo1ROI">Cbal!$E$498:$E$498</definedName>
    <definedName name="cbalCh1Prod3Slot1Promo1Share">Cbal!$E$496:$E$496</definedName>
    <definedName name="cbalCh1Prod3Slot1Promo1VolUplift">Cbal!$E$503:$E$503</definedName>
    <definedName name="cbalCh1Prod3Slot1Promo1Weeks">Cbal!$E$1257:$E$1257</definedName>
    <definedName name="cbalCh1Prod3Slot1Promo2">Cbal!$E$254:$E$254</definedName>
    <definedName name="cbalCh1Prod3Slot1Promo2CustUplift">Cbal!$E$506:$E$506</definedName>
    <definedName name="cbalCh1Prod3Slot1Promo2GPaLUplift">Cbal!$E$502:$E$502</definedName>
    <definedName name="cbalCh1Prod3Slot1Promo2Price">Cbal!$E$492:$E$492</definedName>
    <definedName name="cbalCh1Prod3Slot1Promo2ROI">Cbal!$E$499:$E$499</definedName>
    <definedName name="cbalCh1Prod3Slot1Promo2Share">Cbal!$E$497:$E$497</definedName>
    <definedName name="cbalCh1Prod3Slot1Promo2VolUplift">Cbal!$E$504:$E$504</definedName>
    <definedName name="cbalCh1Prod3Slot1Promo2Weeks">Cbal!$E$1258:$E$1258</definedName>
    <definedName name="cbalCh1Prod3Slot1SoldVol">Cbal!$E$487:$E$487</definedName>
    <definedName name="cbalCh1Prod3Slot1WD">Cbal!$E$500:$E$500</definedName>
    <definedName name="cbalCh1Prod3Slot2Active">Cbal!$E$125:$E$125</definedName>
    <definedName name="cbalCh1Prod3Slot2AvgPrice">Cbal!$E$518:$E$518</definedName>
    <definedName name="cbalCh1Prod3Slot2AvgPromoPrice">Cbal!$E$519:$E$519</definedName>
    <definedName name="cbalCh1Prod3Slot2COGS">Cbal!$E$532:$E$532</definedName>
    <definedName name="cbalCh1Prod3Slot2COGSpL">Cbal!$E$533:$E$533</definedName>
    <definedName name="cbalCh1Prod3Slot2CustPrice">Cbal!$E$515:$E$515</definedName>
    <definedName name="cbalCh1Prod3Slot2GPaL">Cbal!$E$511:$E$511</definedName>
    <definedName name="cbalCh1Prod3Slot2GPaLPerLitre">Cbal!$E$514:$E$514</definedName>
    <definedName name="cbalCh1Prod3Slot2NetRev">Cbal!$E$510:$E$510</definedName>
    <definedName name="cbalCh1Prod3Slot2NetRevPerLtr">Cbal!$E$513:$E$513</definedName>
    <definedName name="cbalCh1Prod3Slot2Pack">Cbal!$E$520:$E$520</definedName>
    <definedName name="cbalCh1Prod3Slot2Promo1">Cbal!$E$255:$E$255</definedName>
    <definedName name="cbalCh1Prod3Slot2Promo1CustUplift">Cbal!$E$530:$E$530</definedName>
    <definedName name="cbalCh1Prod3Slot2Promo1GPaLUplift">Cbal!$E$526:$E$526</definedName>
    <definedName name="cbalCh1Prod3Slot2Promo1Price">Cbal!$E$516:$E$516</definedName>
    <definedName name="cbalCh1Prod3Slot2Promo1ROI">Cbal!$E$523:$E$523</definedName>
    <definedName name="cbalCh1Prod3Slot2Promo1Share">Cbal!$E$521:$E$521</definedName>
    <definedName name="cbalCh1Prod3Slot2Promo1VolUplift">Cbal!$E$528:$E$528</definedName>
    <definedName name="cbalCh1Prod3Slot2Promo1Weeks">Cbal!$E$1259:$E$1259</definedName>
    <definedName name="cbalCh1Prod3Slot2Promo2">Cbal!$E$256:$E$256</definedName>
    <definedName name="cbalCh1Prod3Slot2Promo2CustUplift">Cbal!$E$531:$E$531</definedName>
    <definedName name="cbalCh1Prod3Slot2Promo2GPaLUplift">Cbal!$E$527:$E$527</definedName>
    <definedName name="cbalCh1Prod3Slot2Promo2Price">Cbal!$E$517:$E$517</definedName>
    <definedName name="cbalCh1Prod3Slot2Promo2ROI">Cbal!$E$524:$E$524</definedName>
    <definedName name="cbalCh1Prod3Slot2Promo2Share">Cbal!$E$522:$E$522</definedName>
    <definedName name="cbalCh1Prod3Slot2Promo2VolUplift">Cbal!$E$529:$E$529</definedName>
    <definedName name="cbalCh1Prod3Slot2Promo2Weeks">Cbal!$E$1260:$E$1260</definedName>
    <definedName name="cbalCh1Prod3Slot2SoldVol">Cbal!$E$512:$E$512</definedName>
    <definedName name="cbalCh1Prod3Slot2WD">Cbal!$E$525:$E$525</definedName>
    <definedName name="cbalCh1Prod3Slot3Active">Cbal!$E$126:$E$126</definedName>
    <definedName name="cbalCh1Prod3Slot3AvgPrice">Cbal!$E$543:$E$543</definedName>
    <definedName name="cbalCh1Prod3Slot3AvgPromoPrice">Cbal!$E$544:$E$544</definedName>
    <definedName name="cbalCh1Prod3Slot3COGS">Cbal!$E$557:$E$557</definedName>
    <definedName name="cbalCh1Prod3Slot3COGSpL">Cbal!$E$558:$E$558</definedName>
    <definedName name="cbalCh1Prod3Slot3CustPrice">Cbal!$E$540:$E$540</definedName>
    <definedName name="cbalCh1Prod3Slot3GPaL">Cbal!$E$536:$E$536</definedName>
    <definedName name="cbalCh1Prod3Slot3GPaLPerLitre">Cbal!$E$539:$E$539</definedName>
    <definedName name="cbalCh1Prod3Slot3NetRev">Cbal!$E$535:$E$535</definedName>
    <definedName name="cbalCh1Prod3Slot3NetRevPerLtr">Cbal!$E$538:$E$538</definedName>
    <definedName name="cbalCh1Prod3Slot3Pack">Cbal!$E$545:$E$545</definedName>
    <definedName name="cbalCh1Prod3Slot3Promo1">Cbal!$E$257:$E$257</definedName>
    <definedName name="cbalCh1Prod3Slot3Promo1CustUplift">Cbal!$E$555:$E$555</definedName>
    <definedName name="cbalCh1Prod3Slot3Promo1GPaLUplift">Cbal!$E$551:$E$551</definedName>
    <definedName name="cbalCh1Prod3Slot3Promo1Price">Cbal!$E$541:$E$541</definedName>
    <definedName name="cbalCh1Prod3Slot3Promo1ROI">Cbal!$E$548:$E$548</definedName>
    <definedName name="cbalCh1Prod3Slot3Promo1Share">Cbal!$E$546:$E$546</definedName>
    <definedName name="cbalCh1Prod3Slot3Promo1VolUplift">Cbal!$E$553:$E$553</definedName>
    <definedName name="cbalCh1Prod3Slot3Promo1Weeks">Cbal!$E$1261:$E$1261</definedName>
    <definedName name="cbalCh1Prod3Slot3Promo2">Cbal!$E$258:$E$258</definedName>
    <definedName name="cbalCh1Prod3Slot3Promo2CustUplift">Cbal!$E$556:$E$556</definedName>
    <definedName name="cbalCh1Prod3Slot3Promo2GPaLUplift">Cbal!$E$552:$E$552</definedName>
    <definedName name="cbalCh1Prod3Slot3Promo2Price">Cbal!$E$542:$E$542</definedName>
    <definedName name="cbalCh1Prod3Slot3Promo2ROI">Cbal!$E$549:$E$549</definedName>
    <definedName name="cbalCh1Prod3Slot3Promo2Share">Cbal!$E$547:$E$547</definedName>
    <definedName name="cbalCh1Prod3Slot3Promo2VolUplift">Cbal!$E$554:$E$554</definedName>
    <definedName name="cbalCh1Prod3Slot3Promo2Weeks">Cbal!$E$1262:$E$1262</definedName>
    <definedName name="cbalCh1Prod3Slot3SoldVol">Cbal!$E$537:$E$537</definedName>
    <definedName name="cbalCh1Prod3Slot3WD">Cbal!$E$550:$E$550</definedName>
    <definedName name="cbalCh1Prod3SlotTotActive">Cbal!$E$128:$E$128</definedName>
    <definedName name="cbalCh1Prod4Slot1Active">Cbal!$E$131:$E$131</definedName>
    <definedName name="cbalCh1Prod4Slot1AvgPrice">Cbal!$E$570:$E$570</definedName>
    <definedName name="cbalCh1Prod4Slot1AvgPromoPrice">Cbal!$E$571:$E$571</definedName>
    <definedName name="cbalCh1Prod4Slot1COGS">Cbal!$E$584:$E$584</definedName>
    <definedName name="cbalCh1Prod4Slot1COGSpL">Cbal!$E$585:$E$585</definedName>
    <definedName name="cbalCh1Prod4Slot1CustPrice">Cbal!$E$567:$E$567</definedName>
    <definedName name="cbalCh1Prod4Slot1GPaL">Cbal!$E$563:$E$563</definedName>
    <definedName name="cbalCh1Prod4Slot1GPaLPerLitre">Cbal!$E$566:$E$566</definedName>
    <definedName name="cbalCh1Prod4Slot1NetRev">Cbal!$E$562:$E$562</definedName>
    <definedName name="cbalCh1Prod4Slot1NetRevPerLtr">Cbal!$E$565:$E$565</definedName>
    <definedName name="cbalCh1Prod4Slot1Pack">Cbal!$E$572:$E$572</definedName>
    <definedName name="cbalCh1Prod4Slot1Promo1">Cbal!$E$259:$E$259</definedName>
    <definedName name="cbalCh1Prod4Slot1Promo1CustUplift">Cbal!$E$582:$E$582</definedName>
    <definedName name="cbalCh1Prod4Slot1Promo1GPaLUplift">Cbal!$E$578:$E$578</definedName>
    <definedName name="cbalCh1Prod4Slot1Promo1Price">Cbal!$E$568:$E$568</definedName>
    <definedName name="cbalCh1Prod4Slot1Promo1ROI">Cbal!$E$575:$E$575</definedName>
    <definedName name="cbalCh1Prod4Slot1Promo1Share">Cbal!$E$573:$E$573</definedName>
    <definedName name="cbalCh1Prod4Slot1Promo1VolUplift">Cbal!$E$580:$E$580</definedName>
    <definedName name="cbalCh1Prod4Slot1Promo1Weeks">Cbal!$E$1264:$E$1264</definedName>
    <definedName name="cbalCh1Prod4Slot1Promo2">Cbal!$E$260:$E$260</definedName>
    <definedName name="cbalCh1Prod4Slot1Promo2CustUplift">Cbal!$E$583:$E$583</definedName>
    <definedName name="cbalCh1Prod4Slot1Promo2GPaLUplift">Cbal!$E$579:$E$579</definedName>
    <definedName name="cbalCh1Prod4Slot1Promo2Price">Cbal!$E$569:$E$569</definedName>
    <definedName name="cbalCh1Prod4Slot1Promo2ROI">Cbal!$E$576:$E$576</definedName>
    <definedName name="cbalCh1Prod4Slot1Promo2Share">Cbal!$E$574:$E$574</definedName>
    <definedName name="cbalCh1Prod4Slot1Promo2VolUplift">Cbal!$E$581:$E$581</definedName>
    <definedName name="cbalCh1Prod4Slot1Promo2Weeks">Cbal!$E$1265:$E$1265</definedName>
    <definedName name="cbalCh1Prod4Slot1SoldVol">Cbal!$E$564:$E$564</definedName>
    <definedName name="cbalCh1Prod4Slot1WD">Cbal!$E$577:$E$577</definedName>
    <definedName name="cbalCh1Prod4Slot2Active">Cbal!$E$132:$E$132</definedName>
    <definedName name="cbalCh1Prod4Slot2AvgPrice">Cbal!$E$595:$E$595</definedName>
    <definedName name="cbalCh1Prod4Slot2AvgPromoPrice">Cbal!$E$596:$E$596</definedName>
    <definedName name="cbalCh1Prod4Slot2COGS">Cbal!$E$609:$E$609</definedName>
    <definedName name="cbalCh1Prod4Slot2COGSpL">Cbal!$E$610:$E$610</definedName>
    <definedName name="cbalCh1Prod4Slot2CustPrice">Cbal!$E$592:$E$592</definedName>
    <definedName name="cbalCh1Prod4Slot2GPaL">Cbal!$E$588:$E$588</definedName>
    <definedName name="cbalCh1Prod4Slot2GPaLPerLitre">Cbal!$E$591:$E$591</definedName>
    <definedName name="cbalCh1Prod4Slot2NetRev">Cbal!$E$587:$E$587</definedName>
    <definedName name="cbalCh1Prod4Slot2NetRevPerLtr">Cbal!$E$590:$E$590</definedName>
    <definedName name="cbalCh1Prod4Slot2Pack">Cbal!$E$597:$E$597</definedName>
    <definedName name="cbalCh1Prod4Slot2Promo1">Cbal!$E$261:$E$261</definedName>
    <definedName name="cbalCh1Prod4Slot2Promo1CustUplift">Cbal!$E$607:$E$607</definedName>
    <definedName name="cbalCh1Prod4Slot2Promo1GPaLUplift">Cbal!$E$603:$E$603</definedName>
    <definedName name="cbalCh1Prod4Slot2Promo1Price">Cbal!$E$593:$E$593</definedName>
    <definedName name="cbalCh1Prod4Slot2Promo1ROI">Cbal!$E$600:$E$600</definedName>
    <definedName name="cbalCh1Prod4Slot2Promo1Share">Cbal!$E$598:$E$598</definedName>
    <definedName name="cbalCh1Prod4Slot2Promo1VolUplift">Cbal!$E$605:$E$605</definedName>
    <definedName name="cbalCh1Prod4Slot2Promo1Weeks">Cbal!$E$1266:$E$1266</definedName>
    <definedName name="cbalCh1Prod4Slot2Promo2">Cbal!$E$262:$E$262</definedName>
    <definedName name="cbalCh1Prod4Slot2Promo2CustUplift">Cbal!$E$608:$E$608</definedName>
    <definedName name="cbalCh1Prod4Slot2Promo2GPaLUplift">Cbal!$E$604:$E$604</definedName>
    <definedName name="cbalCh1Prod4Slot2Promo2Price">Cbal!$E$594:$E$594</definedName>
    <definedName name="cbalCh1Prod4Slot2Promo2ROI">Cbal!$E$601:$E$601</definedName>
    <definedName name="cbalCh1Prod4Slot2Promo2Share">Cbal!$E$599:$E$599</definedName>
    <definedName name="cbalCh1Prod4Slot2Promo2VolUplift">Cbal!$E$606:$E$606</definedName>
    <definedName name="cbalCh1Prod4Slot2Promo2Weeks">Cbal!$E$1267:$E$1267</definedName>
    <definedName name="cbalCh1Prod4Slot2SoldVol">Cbal!$E$589:$E$589</definedName>
    <definedName name="cbalCh1Prod4Slot2WD">Cbal!$E$602:$E$602</definedName>
    <definedName name="cbalCh1Prod4Slot3Active">Cbal!$E$133:$E$133</definedName>
    <definedName name="cbalCh1Prod4Slot3AvgPrice">Cbal!$E$620:$E$620</definedName>
    <definedName name="cbalCh1Prod4Slot3AvgPromoPrice">Cbal!$E$621:$E$621</definedName>
    <definedName name="cbalCh1Prod4Slot3COGS">Cbal!$E$634:$E$634</definedName>
    <definedName name="cbalCh1Prod4Slot3COGSpL">Cbal!$E$635:$E$635</definedName>
    <definedName name="cbalCh1Prod4Slot3CustPrice">Cbal!$E$617:$E$617</definedName>
    <definedName name="cbalCh1Prod4Slot3GPaL">Cbal!$E$613:$E$613</definedName>
    <definedName name="cbalCh1Prod4Slot3GPaLPerLitre">Cbal!$E$616:$E$616</definedName>
    <definedName name="cbalCh1Prod4Slot3NetRev">Cbal!$E$612:$E$612</definedName>
    <definedName name="cbalCh1Prod4Slot3NetRevPerLtr">Cbal!$E$615:$E$615</definedName>
    <definedName name="cbalCh1Prod4Slot3Pack">Cbal!$E$622:$E$622</definedName>
    <definedName name="cbalCh1Prod4Slot3Promo1">Cbal!$E$263:$E$263</definedName>
    <definedName name="cbalCh1Prod4Slot3Promo1CustUplift">Cbal!$E$632:$E$632</definedName>
    <definedName name="cbalCh1Prod4Slot3Promo1GPaLUplift">Cbal!$E$628:$E$628</definedName>
    <definedName name="cbalCh1Prod4Slot3Promo1Price">Cbal!$E$618:$E$618</definedName>
    <definedName name="cbalCh1Prod4Slot3Promo1ROI">Cbal!$E$625:$E$625</definedName>
    <definedName name="cbalCh1Prod4Slot3Promo1Share">Cbal!$E$623:$E$623</definedName>
    <definedName name="cbalCh1Prod4Slot3Promo1VolUplift">Cbal!$E$630:$E$630</definedName>
    <definedName name="cbalCh1Prod4Slot3Promo1Weeks">Cbal!$E$1268:$E$1268</definedName>
    <definedName name="cbalCh1Prod4Slot3Promo2">Cbal!$E$264:$E$264</definedName>
    <definedName name="cbalCh1Prod4Slot3Promo2CustUplift">Cbal!$E$633:$E$633</definedName>
    <definedName name="cbalCh1Prod4Slot3Promo2GPaLUplift">Cbal!$E$629:$E$629</definedName>
    <definedName name="cbalCh1Prod4Slot3Promo2Price">Cbal!$E$619:$E$619</definedName>
    <definedName name="cbalCh1Prod4Slot3Promo2ROI">Cbal!$E$626:$E$626</definedName>
    <definedName name="cbalCh1Prod4Slot3Promo2Share">Cbal!$E$624:$E$624</definedName>
    <definedName name="cbalCh1Prod4Slot3Promo2VolUplift">Cbal!$E$631:$E$631</definedName>
    <definedName name="cbalCh1Prod4Slot3Promo2Weeks">Cbal!$E$1269:$E$1269</definedName>
    <definedName name="cbalCh1Prod4Slot3SoldVol">Cbal!$E$614:$E$614</definedName>
    <definedName name="cbalCh1Prod4Slot3WD">Cbal!$E$627:$E$627</definedName>
    <definedName name="cbalCh1Prod4SlotTotActive">Cbal!$E$135:$E$135</definedName>
    <definedName name="cbalCh1RevenueTot">Cbal!$E$300:$E$300</definedName>
    <definedName name="cbalCh1Slots">Cbal!$E$88:$E$88</definedName>
    <definedName name="cbalCh1SlotTotActive">Cbal!$E$137:$E$137</definedName>
    <definedName name="cbalCh1ValDriv1">Cbal!$E$58:$E$58</definedName>
    <definedName name="cbalCh1ValDriv2">Cbal!$E$63:$E$63</definedName>
    <definedName name="cbalCh1ValDriv3">Cbal!$E$68:$E$68</definedName>
    <definedName name="cbalCh1ValDriv4">Cbal!$E$73:$E$73</definedName>
    <definedName name="cbalCh1ValDriv5">Cbal!$E$78:$E$78</definedName>
    <definedName name="cbalCh1ValDrivCond">Cbal!$E$83:$E$83</definedName>
    <definedName name="cbalCh2CustomerProfitTot">Cbal!$E$322:$E$322</definedName>
    <definedName name="cbalCh2GCCTot">Cbal!$E$315:$E$315</definedName>
    <definedName name="cbalCh2GPaLTot">Cbal!$E$308:$E$308</definedName>
    <definedName name="cbalCh2Prod1Slot1Active">Cbal!$E$141:$E$141</definedName>
    <definedName name="cbalCh2Prod1Slot1AvgPrice">Cbal!$E$646:$E$646</definedName>
    <definedName name="cbalCh2Prod1Slot1COGS">Cbal!$E$649:$E$649</definedName>
    <definedName name="cbalCh2Prod1Slot1COGSpL">Cbal!$E$650:$E$650</definedName>
    <definedName name="cbalCh2Prod1Slot1CustPrice">Cbal!$E$645:$E$645</definedName>
    <definedName name="cbalCh2Prod1Slot1GPaL">Cbal!$E$641:$E$641</definedName>
    <definedName name="cbalCh2Prod1Slot1GPaLPerLitre">Cbal!$E$644:$E$644</definedName>
    <definedName name="cbalCh2Prod1Slot1NetRev">Cbal!$E$640:$E$640</definedName>
    <definedName name="cbalCh2Prod1Slot1NetRevPerLtr">Cbal!$E$643:$E$643</definedName>
    <definedName name="cbalCh2Prod1Slot1Pack">Cbal!$E$647:$E$647</definedName>
    <definedName name="cbalCh2Prod1Slot1SoldVol">Cbal!$E$642:$E$642</definedName>
    <definedName name="cbalCh2Prod1Slot1WD">Cbal!$E$648:$E$648</definedName>
    <definedName name="cbalCh2Prod1Slot2Active">Cbal!$E$142:$E$142</definedName>
    <definedName name="cbalCh2Prod1Slot2AvgPrice">Cbal!$E$658:$E$658</definedName>
    <definedName name="cbalCh2Prod1Slot2COGS">Cbal!$E$661:$E$661</definedName>
    <definedName name="cbalCh2Prod1Slot2COGSpL">Cbal!$E$662:$E$662</definedName>
    <definedName name="cbalCh2Prod1Slot2CustPrice">Cbal!$E$657:$E$657</definedName>
    <definedName name="cbalCh2Prod1Slot2GPaL">Cbal!$E$653:$E$653</definedName>
    <definedName name="cbalCh2Prod1Slot2GPaLPerLitre">Cbal!$E$656:$E$656</definedName>
    <definedName name="cbalCh2Prod1Slot2NetRev">Cbal!$E$652:$E$652</definedName>
    <definedName name="cbalCh2Prod1Slot2NetRevPerLtr">Cbal!$E$655:$E$655</definedName>
    <definedName name="cbalCh2Prod1Slot2Pack">Cbal!$E$659:$E$659</definedName>
    <definedName name="cbalCh2Prod1Slot2SoldVol">Cbal!$E$654:$E$654</definedName>
    <definedName name="cbalCh2Prod1Slot2WD">Cbal!$E$660:$E$660</definedName>
    <definedName name="cbalCh2Prod1Slot3Active">Cbal!$E$143:$E$143</definedName>
    <definedName name="cbalCh2Prod1Slot3AvgPrice">Cbal!$E$670:$E$670</definedName>
    <definedName name="cbalCh2Prod1Slot3COGS">Cbal!$E$673:$E$673</definedName>
    <definedName name="cbalCh2Prod1Slot3COGSpL">Cbal!$E$674:$E$674</definedName>
    <definedName name="cbalCh2Prod1Slot3CustPrice">Cbal!$E$669:$E$669</definedName>
    <definedName name="cbalCh2Prod1Slot3GPaL">Cbal!$E$665:$E$665</definedName>
    <definedName name="cbalCh2Prod1Slot3GPaLPerLitre">Cbal!$E$668:$E$668</definedName>
    <definedName name="cbalCh2Prod1Slot3NetRev">Cbal!$E$664:$E$664</definedName>
    <definedName name="cbalCh2Prod1Slot3NetRevPerLtr">Cbal!$E$667:$E$667</definedName>
    <definedName name="cbalCh2Prod1Slot3Pack">Cbal!$E$671:$E$671</definedName>
    <definedName name="cbalCh2Prod1Slot3SoldVol">Cbal!$E$666:$E$666</definedName>
    <definedName name="cbalCh2Prod1Slot3WD">Cbal!$E$672:$E$672</definedName>
    <definedName name="cbalCh2Prod1SlotTotActive">Cbal!$E$145:$E$145</definedName>
    <definedName name="cbalCh2Prod2Slot1Active">Cbal!$E$148:$E$148</definedName>
    <definedName name="cbalCh2Prod2Slot1AvgPrice">Cbal!$E$684:$E$684</definedName>
    <definedName name="cbalCh2Prod2Slot1COGS">Cbal!$E$687:$E$687</definedName>
    <definedName name="cbalCh2Prod2Slot1COGSpL">Cbal!$E$688:$E$688</definedName>
    <definedName name="cbalCh2Prod2Slot1CustPrice">Cbal!$E$683:$E$683</definedName>
    <definedName name="cbalCh2Prod2Slot1GPaL">Cbal!$E$679:$E$679</definedName>
    <definedName name="cbalCh2Prod2Slot1GPaLPerLitre">Cbal!$E$682:$E$682</definedName>
    <definedName name="cbalCh2Prod2Slot1NetRev">Cbal!$E$678:$E$678</definedName>
    <definedName name="cbalCh2Prod2Slot1NetRevPerLtr">Cbal!$E$681:$E$681</definedName>
    <definedName name="cbalCh2Prod2Slot1Pack">Cbal!$E$685:$E$685</definedName>
    <definedName name="cbalCh2Prod2Slot1SoldVol">Cbal!$E$680:$E$680</definedName>
    <definedName name="cbalCh2Prod2Slot1WD">Cbal!$E$686:$E$686</definedName>
    <definedName name="cbalCh2Prod2Slot2Active">Cbal!$E$149:$E$149</definedName>
    <definedName name="cbalCh2Prod2Slot2AvgPrice">Cbal!$E$696:$E$696</definedName>
    <definedName name="cbalCh2Prod2Slot2COGS">Cbal!$E$699:$E$699</definedName>
    <definedName name="cbalCh2Prod2Slot2COGSpL">Cbal!$E$700:$E$700</definedName>
    <definedName name="cbalCh2Prod2Slot2CustPrice">Cbal!$E$695:$E$695</definedName>
    <definedName name="cbalCh2Prod2Slot2GPaL">Cbal!$E$691:$E$691</definedName>
    <definedName name="cbalCh2Prod2Slot2GPaLPerLitre">Cbal!$E$694:$E$694</definedName>
    <definedName name="cbalCh2Prod2Slot2NetRev">Cbal!$E$690:$E$690</definedName>
    <definedName name="cbalCh2Prod2Slot2NetRevPerLtr">Cbal!$E$693:$E$693</definedName>
    <definedName name="cbalCh2Prod2Slot2Pack">Cbal!$E$697:$E$697</definedName>
    <definedName name="cbalCh2Prod2Slot2SoldVol">Cbal!$E$692:$E$692</definedName>
    <definedName name="cbalCh2Prod2Slot2WD">Cbal!$E$698:$E$698</definedName>
    <definedName name="cbalCh2Prod2Slot3Active">Cbal!$E$150:$E$150</definedName>
    <definedName name="cbalCh2Prod2Slot3AvgPrice">Cbal!$E$708:$E$708</definedName>
    <definedName name="cbalCh2Prod2Slot3COGS">Cbal!$E$711:$E$711</definedName>
    <definedName name="cbalCh2Prod2Slot3COGSpL">Cbal!$E$712:$E$712</definedName>
    <definedName name="cbalCh2Prod2Slot3CustPrice">Cbal!$E$707:$E$707</definedName>
    <definedName name="cbalCh2Prod2Slot3GPaL">Cbal!$E$703:$E$703</definedName>
    <definedName name="cbalCh2Prod2Slot3GPaLPerLitre">Cbal!$E$706:$E$706</definedName>
    <definedName name="cbalCh2Prod2Slot3NetRev">Cbal!$E$702:$E$702</definedName>
    <definedName name="cbalCh2Prod2Slot3NetRevPerLtr">Cbal!$E$705:$E$705</definedName>
    <definedName name="cbalCh2Prod2Slot3Pack">Cbal!$E$709:$E$709</definedName>
    <definedName name="cbalCh2Prod2Slot3SoldVol">Cbal!$E$704:$E$704</definedName>
    <definedName name="cbalCh2Prod2Slot3WD">Cbal!$E$710:$E$710</definedName>
    <definedName name="cbalCh2Prod2SlotTotActive">Cbal!$E$152:$E$152</definedName>
    <definedName name="cbalCh2Prod3Slot1Active">Cbal!$E$155:$E$155</definedName>
    <definedName name="cbalCh2Prod3Slot1AvgPrice">Cbal!$E$722:$E$722</definedName>
    <definedName name="cbalCh2Prod3Slot1COGS">Cbal!$E$725:$E$725</definedName>
    <definedName name="cbalCh2Prod3Slot1COGSpL">Cbal!$E$726:$E$726</definedName>
    <definedName name="cbalCh2Prod3Slot1CustPrice">Cbal!$E$721:$E$721</definedName>
    <definedName name="cbalCh2Prod3Slot1GPaL">Cbal!$E$717:$E$717</definedName>
    <definedName name="cbalCh2Prod3Slot1GPaLPerLitre">Cbal!$E$720:$E$720</definedName>
    <definedName name="cbalCh2Prod3Slot1NetRev">Cbal!$E$716:$E$716</definedName>
    <definedName name="cbalCh2Prod3Slot1NetRevPerLtr">Cbal!$E$719:$E$719</definedName>
    <definedName name="cbalCh2Prod3Slot1Pack">Cbal!$E$723:$E$723</definedName>
    <definedName name="cbalCh2Prod3Slot1SoldVol">Cbal!$E$718:$E$718</definedName>
    <definedName name="cbalCh2Prod3Slot1WD">Cbal!$E$724:$E$724</definedName>
    <definedName name="cbalCh2Prod3Slot2Active">Cbal!$E$156:$E$156</definedName>
    <definedName name="cbalCh2Prod3Slot2AvgPrice">Cbal!$E$734:$E$734</definedName>
    <definedName name="cbalCh2Prod3Slot2COGS">Cbal!$E$737:$E$737</definedName>
    <definedName name="cbalCh2Prod3Slot2COGSpL">Cbal!$E$738:$E$738</definedName>
    <definedName name="cbalCh2Prod3Slot2CustPrice">Cbal!$E$733:$E$733</definedName>
    <definedName name="cbalCh2Prod3Slot2GPaL">Cbal!$E$729:$E$729</definedName>
    <definedName name="cbalCh2Prod3Slot2GPaLPerLitre">Cbal!$E$732:$E$732</definedName>
    <definedName name="cbalCh2Prod3Slot2NetRev">Cbal!$E$728:$E$728</definedName>
    <definedName name="cbalCh2Prod3Slot2NetRevPerLtr">Cbal!$E$731:$E$731</definedName>
    <definedName name="cbalCh2Prod3Slot2Pack">Cbal!$E$735:$E$735</definedName>
    <definedName name="cbalCh2Prod3Slot2SoldVol">Cbal!$E$730:$E$730</definedName>
    <definedName name="cbalCh2Prod3Slot2WD">Cbal!$E$736:$E$736</definedName>
    <definedName name="cbalCh2Prod3Slot3Active">Cbal!$E$157:$E$157</definedName>
    <definedName name="cbalCh2Prod3Slot3AvgPrice">Cbal!$E$746:$E$746</definedName>
    <definedName name="cbalCh2Prod3Slot3COGS">Cbal!$E$749:$E$749</definedName>
    <definedName name="cbalCh2Prod3Slot3COGSpL">Cbal!$E$750:$E$750</definedName>
    <definedName name="cbalCh2Prod3Slot3CustPrice">Cbal!$E$745:$E$745</definedName>
    <definedName name="cbalCh2Prod3Slot3GPaL">Cbal!$E$741:$E$741</definedName>
    <definedName name="cbalCh2Prod3Slot3GPaLPerLitre">Cbal!$E$744:$E$744</definedName>
    <definedName name="cbalCh2Prod3Slot3NetRev">Cbal!$E$740:$E$740</definedName>
    <definedName name="cbalCh2Prod3Slot3NetRevPerLtr">Cbal!$E$743:$E$743</definedName>
    <definedName name="cbalCh2Prod3Slot3Pack">Cbal!$E$747:$E$747</definedName>
    <definedName name="cbalCh2Prod3Slot3SoldVol">Cbal!$E$742:$E$742</definedName>
    <definedName name="cbalCh2Prod3Slot3WD">Cbal!$E$748:$E$748</definedName>
    <definedName name="cbalCh2Prod3SlotTotActive">Cbal!$E$159:$E$159</definedName>
    <definedName name="cbalCh2Prod4Slot1Active">Cbal!$E$162:$E$162</definedName>
    <definedName name="cbalCh2Prod4Slot1AvgPrice">Cbal!$E$760:$E$760</definedName>
    <definedName name="cbalCh2Prod4Slot1COGS">Cbal!$E$763:$E$763</definedName>
    <definedName name="cbalCh2Prod4Slot1COGSpL">Cbal!$E$764:$E$764</definedName>
    <definedName name="cbalCh2Prod4Slot1CustPrice">Cbal!$E$759:$E$759</definedName>
    <definedName name="cbalCh2Prod4Slot1GPaL">Cbal!$E$755:$E$755</definedName>
    <definedName name="cbalCh2Prod4Slot1GPaLPerLitre">Cbal!$E$758:$E$758</definedName>
    <definedName name="cbalCh2Prod4Slot1NetRev">Cbal!$E$754:$E$754</definedName>
    <definedName name="cbalCh2Prod4Slot1NetRevPerLtr">Cbal!$E$757:$E$757</definedName>
    <definedName name="cbalCh2Prod4Slot1Pack">Cbal!$E$761:$E$761</definedName>
    <definedName name="cbalCh2Prod4Slot1SoldVol">Cbal!$E$756:$E$756</definedName>
    <definedName name="cbalCh2Prod4Slot1WD">Cbal!$E$762:$E$762</definedName>
    <definedName name="cbalCh2Prod4Slot2Active">Cbal!$E$163:$E$163</definedName>
    <definedName name="cbalCh2Prod4Slot2AvgPrice">Cbal!$E$772:$E$772</definedName>
    <definedName name="cbalCh2Prod4Slot2COGS">Cbal!$E$775:$E$775</definedName>
    <definedName name="cbalCh2Prod4Slot2COGSpL">Cbal!$E$776:$E$776</definedName>
    <definedName name="cbalCh2Prod4Slot2CustPrice">Cbal!$E$771:$E$771</definedName>
    <definedName name="cbalCh2Prod4Slot2GPaL">Cbal!$E$767:$E$767</definedName>
    <definedName name="cbalCh2Prod4Slot2GPaLPerLitre">Cbal!$E$770:$E$770</definedName>
    <definedName name="cbalCh2Prod4Slot2NetRev">Cbal!$E$766:$E$766</definedName>
    <definedName name="cbalCh2Prod4Slot2NetRevPerLtr">Cbal!$E$769:$E$769</definedName>
    <definedName name="cbalCh2Prod4Slot2Pack">Cbal!$E$773:$E$773</definedName>
    <definedName name="cbalCh2Prod4Slot2SoldVol">Cbal!$E$768:$E$768</definedName>
    <definedName name="cbalCh2Prod4Slot2WD">Cbal!$E$774:$E$774</definedName>
    <definedName name="cbalCh2Prod4Slot3Active">Cbal!$E$164:$E$164</definedName>
    <definedName name="cbalCh2Prod4Slot3AvgPrice">Cbal!$E$784:$E$784</definedName>
    <definedName name="cbalCh2Prod4Slot3COGS">Cbal!$E$787:$E$787</definedName>
    <definedName name="cbalCh2Prod4Slot3COGSpL">Cbal!$E$788:$E$788</definedName>
    <definedName name="cbalCh2Prod4Slot3CustPrice">Cbal!$E$783:$E$783</definedName>
    <definedName name="cbalCh2Prod4Slot3GPaL">Cbal!$E$779:$E$779</definedName>
    <definedName name="cbalCh2Prod4Slot3GPaLPerLitre">Cbal!$E$782:$E$782</definedName>
    <definedName name="cbalCh2Prod4Slot3NetRev">Cbal!$E$778:$E$778</definedName>
    <definedName name="cbalCh2Prod4Slot3NetRevPerLtr">Cbal!$E$781:$E$781</definedName>
    <definedName name="cbalCh2Prod4Slot3Pack">Cbal!$E$785:$E$785</definedName>
    <definedName name="cbalCh2Prod4Slot3SoldVol">Cbal!$E$780:$E$780</definedName>
    <definedName name="cbalCh2Prod4Slot3WD">Cbal!$E$786:$E$786</definedName>
    <definedName name="cbalCh2Prod4SlotTotActive">Cbal!$E$166:$E$166</definedName>
    <definedName name="cbalCh2RevenueTot">Cbal!$E$301:$E$301</definedName>
    <definedName name="cbalCh2Slots">Cbal!$E$89:$E$89</definedName>
    <definedName name="cbalCh2SlotTotActive">Cbal!$E$168:$E$168</definedName>
    <definedName name="cbalCh2ValDriv1">Cbal!$E$59:$E$59</definedName>
    <definedName name="cbalCh2ValDriv2">Cbal!$E$64:$E$64</definedName>
    <definedName name="cbalCh2ValDriv3">Cbal!$E$69:$E$69</definedName>
    <definedName name="cbalCh2ValDriv4">Cbal!$E$74:$E$74</definedName>
    <definedName name="cbalCh2ValDriv5">Cbal!$E$79:$E$79</definedName>
    <definedName name="cbalCh2ValDrivCond">Cbal!$E$84:$E$84</definedName>
    <definedName name="cbalCh3CustomerProfitTot">Cbal!$E$323:$E$323</definedName>
    <definedName name="cbalCh3GCCTot">Cbal!$E$316:$E$316</definedName>
    <definedName name="cbalCh3GPaLTot">Cbal!$E$309:$E$309</definedName>
    <definedName name="cbalCh3Prod1Slot1Active">Cbal!$E$172:$E$172</definedName>
    <definedName name="cbalCh3Prod1Slot1AvgPrice">Cbal!$E$800:$E$800</definedName>
    <definedName name="cbalCh3Prod1Slot1COGS">Cbal!$E$808:$E$808</definedName>
    <definedName name="cbalCh3Prod1Slot1COGSpL">Cbal!$E$809:$E$809</definedName>
    <definedName name="cbalCh3Prod1Slot1CustPrice">Cbal!$E$798:$E$798</definedName>
    <definedName name="cbalCh3Prod1Slot1GPaL">Cbal!$E$794:$E$794</definedName>
    <definedName name="cbalCh3Prod1Slot1GPaLPerLitre">Cbal!$E$797:$E$797</definedName>
    <definedName name="cbalCh3Prod1Slot1NetRev">Cbal!$E$793:$E$793</definedName>
    <definedName name="cbalCh3Prod1Slot1NetRevPerLtr">Cbal!$E$796:$E$796</definedName>
    <definedName name="cbalCh3Prod1Slot1Pack">Cbal!$E$801:$E$801</definedName>
    <definedName name="cbalCh3Prod1Slot1Promo1">Cbal!$E$268:$E$268</definedName>
    <definedName name="cbalCh3Prod1Slot1Promo1CustUplift">Cbal!$E$807:$E$807</definedName>
    <definedName name="cbalCh3Prod1Slot1Promo1GPaLUplift">Cbal!$E$805:$E$805</definedName>
    <definedName name="cbalCh3Prod1Slot1Promo1Price">Cbal!$E$799:$E$799</definedName>
    <definedName name="cbalCh3Prod1Slot1Promo1ROI">Cbal!$E$803:$E$803</definedName>
    <definedName name="cbalCh3Prod1Slot1Promo1Share">Cbal!$E$802:$E$802</definedName>
    <definedName name="cbalCh3Prod1Slot1Promo1VolUplift">Cbal!$E$806:$E$806</definedName>
    <definedName name="cbalCh3Prod1Slot1Promo1Weeks">Cbal!$E$1272:$E$1272</definedName>
    <definedName name="cbalCh3Prod1Slot1SoldVol">Cbal!$E$795:$E$795</definedName>
    <definedName name="cbalCh3Prod1Slot1WD">Cbal!$E$804:$E$804</definedName>
    <definedName name="cbalCh3Prod1Slot2Active">Cbal!$E$173:$E$173</definedName>
    <definedName name="cbalCh3Prod1Slot2AvgPrice">Cbal!$E$818:$E$818</definedName>
    <definedName name="cbalCh3Prod1Slot2COGS">Cbal!$E$826:$E$826</definedName>
    <definedName name="cbalCh3Prod1Slot2COGSpL">Cbal!$E$827:$E$827</definedName>
    <definedName name="cbalCh3Prod1Slot2CustPrice">Cbal!$E$816:$E$816</definedName>
    <definedName name="cbalCh3Prod1Slot2GPaL">Cbal!$E$812:$E$812</definedName>
    <definedName name="cbalCh3Prod1Slot2GPaLPerLitre">Cbal!$E$815:$E$815</definedName>
    <definedName name="cbalCh3Prod1Slot2NetRev">Cbal!$E$811:$E$811</definedName>
    <definedName name="cbalCh3Prod1Slot2NetRevPerLtr">Cbal!$E$814:$E$814</definedName>
    <definedName name="cbalCh3Prod1Slot2Pack">Cbal!$E$819:$E$819</definedName>
    <definedName name="cbalCh3Prod1Slot2Promo1">Cbal!$E$269:$E$269</definedName>
    <definedName name="cbalCh3Prod1Slot2Promo1CustUplift">Cbal!$E$825:$E$825</definedName>
    <definedName name="cbalCh3Prod1Slot2Promo1GPaLUplift">Cbal!$E$823:$E$823</definedName>
    <definedName name="cbalCh3Prod1Slot2Promo1Price">Cbal!$E$817:$E$817</definedName>
    <definedName name="cbalCh3Prod1Slot2Promo1ROI">Cbal!$E$821:$E$821</definedName>
    <definedName name="cbalCh3Prod1Slot2Promo1Share">Cbal!$E$820:$E$820</definedName>
    <definedName name="cbalCh3Prod1Slot2Promo1VolUplift">Cbal!$E$824:$E$824</definedName>
    <definedName name="cbalCh3Prod1Slot2Promo1Weeks">Cbal!$E$1273:$E$1273</definedName>
    <definedName name="cbalCh3Prod1Slot2SoldVol">Cbal!$E$813:$E$813</definedName>
    <definedName name="cbalCh3Prod1Slot2WD">Cbal!$E$822:$E$822</definedName>
    <definedName name="cbalCh3Prod1Slot3Active">Cbal!$E$174:$E$174</definedName>
    <definedName name="cbalCh3Prod1Slot3AvgPrice">Cbal!$E$836:$E$836</definedName>
    <definedName name="cbalCh3Prod1Slot3COGS">Cbal!$E$844:$E$844</definedName>
    <definedName name="cbalCh3Prod1Slot3COGSpL">Cbal!$E$845:$E$845</definedName>
    <definedName name="cbalCh3Prod1Slot3CustPrice">Cbal!$E$834:$E$834</definedName>
    <definedName name="cbalCh3Prod1Slot3GPaL">Cbal!$E$830:$E$830</definedName>
    <definedName name="cbalCh3Prod1Slot3GPaLPerLitre">Cbal!$E$833:$E$833</definedName>
    <definedName name="cbalCh3Prod1Slot3NetRev">Cbal!$E$829:$E$829</definedName>
    <definedName name="cbalCh3Prod1Slot3NetRevPerLtr">Cbal!$E$832:$E$832</definedName>
    <definedName name="cbalCh3Prod1Slot3Pack">Cbal!$E$837:$E$837</definedName>
    <definedName name="cbalCh3Prod1Slot3Promo1">Cbal!$E$270:$E$270</definedName>
    <definedName name="cbalCh3Prod1Slot3Promo1CustUplift">Cbal!$E$843:$E$843</definedName>
    <definedName name="cbalCh3Prod1Slot3Promo1GPaLUplift">Cbal!$E$841:$E$841</definedName>
    <definedName name="cbalCh3Prod1Slot3Promo1Price">Cbal!$E$835:$E$835</definedName>
    <definedName name="cbalCh3Prod1Slot3Promo1ROI">Cbal!$E$839:$E$839</definedName>
    <definedName name="cbalCh3Prod1Slot3Promo1Share">Cbal!$E$838:$E$838</definedName>
    <definedName name="cbalCh3Prod1Slot3Promo1VolUplift">Cbal!$E$842:$E$842</definedName>
    <definedName name="cbalCh3Prod1Slot3Promo1Weeks">Cbal!$E$1274:$E$1274</definedName>
    <definedName name="cbalCh3Prod1Slot3SoldVol">Cbal!$E$831:$E$831</definedName>
    <definedName name="cbalCh3Prod1Slot3WD">Cbal!$E$840:$E$840</definedName>
    <definedName name="cbalCh3Prod1SlotTotActive">Cbal!$E$176:$E$176</definedName>
    <definedName name="cbalCh3Prod2Slot1Active">Cbal!$E$179:$E$179</definedName>
    <definedName name="cbalCh3Prod2Slot1AvgPrice">Cbal!$E$856:$E$856</definedName>
    <definedName name="cbalCh3Prod2Slot1COGS">Cbal!$E$864:$E$864</definedName>
    <definedName name="cbalCh3Prod2Slot1COGSpL">Cbal!$E$865:$E$865</definedName>
    <definedName name="cbalCh3Prod2Slot1CustPrice">Cbal!$E$854:$E$854</definedName>
    <definedName name="cbalCh3Prod2Slot1GPaL">Cbal!$E$850:$E$850</definedName>
    <definedName name="cbalCh3Prod2Slot1GPaLPerLitre">Cbal!$E$853:$E$853</definedName>
    <definedName name="cbalCh3Prod2Slot1NetRev">Cbal!$E$849:$E$849</definedName>
    <definedName name="cbalCh3Prod2Slot1NetRevPerLtr">Cbal!$E$852:$E$852</definedName>
    <definedName name="cbalCh3Prod2Slot1Pack">Cbal!$E$857:$E$857</definedName>
    <definedName name="cbalCh3Prod2Slot1Promo1">Cbal!$E$271:$E$271</definedName>
    <definedName name="cbalCh3Prod2Slot1Promo1CustUplift">Cbal!$E$863:$E$863</definedName>
    <definedName name="cbalCh3Prod2Slot1Promo1GPaLUplift">Cbal!$E$861:$E$861</definedName>
    <definedName name="cbalCh3Prod2Slot1Promo1Price">Cbal!$E$855:$E$855</definedName>
    <definedName name="cbalCh3Prod2Slot1Promo1ROI">Cbal!$E$859:$E$859</definedName>
    <definedName name="cbalCh3Prod2Slot1Promo1Share">Cbal!$E$858:$E$858</definedName>
    <definedName name="cbalCh3Prod2Slot1Promo1VolUplift">Cbal!$E$862:$E$862</definedName>
    <definedName name="cbalCh3Prod2Slot1Promo1Weeks">Cbal!$E$1276:$E$1276</definedName>
    <definedName name="cbalCh3Prod2Slot1SoldVol">Cbal!$E$851:$E$851</definedName>
    <definedName name="cbalCh3Prod2Slot1WD">Cbal!$E$860:$E$860</definedName>
    <definedName name="cbalCh3Prod2Slot2Active">Cbal!$E$180:$E$180</definedName>
    <definedName name="cbalCh3Prod2Slot2AvgPrice">Cbal!$E$874:$E$874</definedName>
    <definedName name="cbalCh3Prod2Slot2COGS">Cbal!$E$882:$E$882</definedName>
    <definedName name="cbalCh3Prod2Slot2COGSpL">Cbal!$E$883:$E$883</definedName>
    <definedName name="cbalCh3Prod2Slot2CustPrice">Cbal!$E$872:$E$872</definedName>
    <definedName name="cbalCh3Prod2Slot2GPaL">Cbal!$E$868:$E$868</definedName>
    <definedName name="cbalCh3Prod2Slot2GPaLPerLitre">Cbal!$E$871:$E$871</definedName>
    <definedName name="cbalCh3Prod2Slot2NetRev">Cbal!$E$867:$E$867</definedName>
    <definedName name="cbalCh3Prod2Slot2NetRevPerLtr">Cbal!$E$870:$E$870</definedName>
    <definedName name="cbalCh3Prod2Slot2Pack">Cbal!$E$875:$E$875</definedName>
    <definedName name="cbalCh3Prod2Slot2Promo1">Cbal!$E$272:$E$272</definedName>
    <definedName name="cbalCh3Prod2Slot2Promo1CustUplift">Cbal!$E$881:$E$881</definedName>
    <definedName name="cbalCh3Prod2Slot2Promo1GPaLUplift">Cbal!$E$879:$E$879</definedName>
    <definedName name="cbalCh3Prod2Slot2Promo1Price">Cbal!$E$873:$E$873</definedName>
    <definedName name="cbalCh3Prod2Slot2Promo1ROI">Cbal!$E$877:$E$877</definedName>
    <definedName name="cbalCh3Prod2Slot2Promo1Share">Cbal!$E$876:$E$876</definedName>
    <definedName name="cbalCh3Prod2Slot2Promo1VolUplift">Cbal!$E$880:$E$880</definedName>
    <definedName name="cbalCh3Prod2Slot2Promo1Weeks">Cbal!$E$1277:$E$1277</definedName>
    <definedName name="cbalCh3Prod2Slot2SoldVol">Cbal!$E$869:$E$869</definedName>
    <definedName name="cbalCh3Prod2Slot2WD">Cbal!$E$878:$E$878</definedName>
    <definedName name="cbalCh3Prod2Slot3Active">Cbal!$E$181:$E$181</definedName>
    <definedName name="cbalCh3Prod2Slot3AvgPrice">Cbal!$E$892:$E$892</definedName>
    <definedName name="cbalCh3Prod2Slot3COGS">Cbal!$E$900:$E$900</definedName>
    <definedName name="cbalCh3Prod2Slot3COGSpL">Cbal!$E$901:$E$901</definedName>
    <definedName name="cbalCh3Prod2Slot3CustPrice">Cbal!$E$890:$E$890</definedName>
    <definedName name="cbalCh3Prod2Slot3GPaL">Cbal!$E$886:$E$886</definedName>
    <definedName name="cbalCh3Prod2Slot3GPaLPerLitre">Cbal!$E$889:$E$889</definedName>
    <definedName name="cbalCh3Prod2Slot3NetRev">Cbal!$E$885:$E$885</definedName>
    <definedName name="cbalCh3Prod2Slot3NetRevPerLtr">Cbal!$E$888:$E$888</definedName>
    <definedName name="cbalCh3Prod2Slot3Pack">Cbal!$E$893:$E$893</definedName>
    <definedName name="cbalCh3Prod2Slot3Promo1">Cbal!$E$273:$E$273</definedName>
    <definedName name="cbalCh3Prod2Slot3Promo1CustUplift">Cbal!$E$899:$E$899</definedName>
    <definedName name="cbalCh3Prod2Slot3Promo1GPaLUplift">Cbal!$E$897:$E$897</definedName>
    <definedName name="cbalCh3Prod2Slot3Promo1Price">Cbal!$E$891:$E$891</definedName>
    <definedName name="cbalCh3Prod2Slot3Promo1ROI">Cbal!$E$895:$E$895</definedName>
    <definedName name="cbalCh3Prod2Slot3Promo1Share">Cbal!$E$894:$E$894</definedName>
    <definedName name="cbalCh3Prod2Slot3Promo1VolUplift">Cbal!$E$898:$E$898</definedName>
    <definedName name="cbalCh3Prod2Slot3Promo1Weeks">Cbal!$E$1278:$E$1278</definedName>
    <definedName name="cbalCh3Prod2Slot3SoldVol">Cbal!$E$887:$E$887</definedName>
    <definedName name="cbalCh3Prod2Slot3WD">Cbal!$E$896:$E$896</definedName>
    <definedName name="cbalCh3Prod2SlotTotActive">Cbal!$E$183:$E$183</definedName>
    <definedName name="cbalCh3Prod3Slot1Active">Cbal!$E$186:$E$186</definedName>
    <definedName name="cbalCh3Prod3Slot1AvgPrice">Cbal!$E$912:$E$912</definedName>
    <definedName name="cbalCh3Prod3Slot1COGS">Cbal!$E$920:$E$920</definedName>
    <definedName name="cbalCh3Prod3Slot1COGSpL">Cbal!$E$921:$E$921</definedName>
    <definedName name="cbalCh3Prod3Slot1CustPrice">Cbal!$E$910:$E$910</definedName>
    <definedName name="cbalCh3Prod3Slot1GPaL">Cbal!$E$906:$E$906</definedName>
    <definedName name="cbalCh3Prod3Slot1GPaLPerLitre">Cbal!$E$909:$E$909</definedName>
    <definedName name="cbalCh3Prod3Slot1NetRev">Cbal!$E$905:$E$905</definedName>
    <definedName name="cbalCh3Prod3Slot1NetRevPerLtr">Cbal!$E$908:$E$908</definedName>
    <definedName name="cbalCh3Prod3Slot1Pack">Cbal!$E$913:$E$913</definedName>
    <definedName name="cbalCh3Prod3Slot1Promo1">Cbal!$E$274:$E$274</definedName>
    <definedName name="cbalCh3Prod3Slot1Promo1CustUplift">Cbal!$E$919:$E$919</definedName>
    <definedName name="cbalCh3Prod3Slot1Promo1GPaLUplift">Cbal!$E$917:$E$917</definedName>
    <definedName name="cbalCh3Prod3Slot1Promo1Price">Cbal!$E$911:$E$911</definedName>
    <definedName name="cbalCh3Prod3Slot1Promo1ROI">Cbal!$E$915:$E$915</definedName>
    <definedName name="cbalCh3Prod3Slot1Promo1Share">Cbal!$E$914:$E$914</definedName>
    <definedName name="cbalCh3Prod3Slot1Promo1VolUplift">Cbal!$E$918:$E$918</definedName>
    <definedName name="cbalCh3Prod3Slot1Promo1Weeks">Cbal!$E$1280:$E$1280</definedName>
    <definedName name="cbalCh3Prod3Slot1SoldVol">Cbal!$E$907:$E$907</definedName>
    <definedName name="cbalCh3Prod3Slot1WD">Cbal!$E$916:$E$916</definedName>
    <definedName name="cbalCh3Prod3Slot2Active">Cbal!$E$187:$E$187</definedName>
    <definedName name="cbalCh3Prod3Slot2AvgPrice">Cbal!$E$930:$E$930</definedName>
    <definedName name="cbalCh3Prod3Slot2COGS">Cbal!$E$938:$E$938</definedName>
    <definedName name="cbalCh3Prod3Slot2COGSpL">Cbal!$E$939:$E$939</definedName>
    <definedName name="cbalCh3Prod3Slot2CustPrice">Cbal!$E$928:$E$928</definedName>
    <definedName name="cbalCh3Prod3Slot2GPaL">Cbal!$E$924:$E$924</definedName>
    <definedName name="cbalCh3Prod3Slot2GPaLPerLitre">Cbal!$E$927:$E$927</definedName>
    <definedName name="cbalCh3Prod3Slot2NetRev">Cbal!$E$923:$E$923</definedName>
    <definedName name="cbalCh3Prod3Slot2NetRevPerLtr">Cbal!$E$926:$E$926</definedName>
    <definedName name="cbalCh3Prod3Slot2Pack">Cbal!$E$931:$E$931</definedName>
    <definedName name="cbalCh3Prod3Slot2Promo1">Cbal!$E$275:$E$275</definedName>
    <definedName name="cbalCh3Prod3Slot2Promo1CustUplift">Cbal!$E$937:$E$937</definedName>
    <definedName name="cbalCh3Prod3Slot2Promo1GPaLUplift">Cbal!$E$935:$E$935</definedName>
    <definedName name="cbalCh3Prod3Slot2Promo1Price">Cbal!$E$929:$E$929</definedName>
    <definedName name="cbalCh3Prod3Slot2Promo1ROI">Cbal!$E$933:$E$933</definedName>
    <definedName name="cbalCh3Prod3Slot2Promo1Share">Cbal!$E$932:$E$932</definedName>
    <definedName name="cbalCh3Prod3Slot2Promo1VolUplift">Cbal!$E$936:$E$936</definedName>
    <definedName name="cbalCh3Prod3Slot2Promo1Weeks">Cbal!$E$1281:$E$1281</definedName>
    <definedName name="cbalCh3Prod3Slot2SoldVol">Cbal!$E$925:$E$925</definedName>
    <definedName name="cbalCh3Prod3Slot2WD">Cbal!$E$934:$E$934</definedName>
    <definedName name="cbalCh3Prod3Slot3Active">Cbal!$E$188:$E$188</definedName>
    <definedName name="cbalCh3Prod3Slot3AvgPrice">Cbal!$E$948:$E$948</definedName>
    <definedName name="cbalCh3Prod3Slot3COGS">Cbal!$E$956:$E$956</definedName>
    <definedName name="cbalCh3Prod3Slot3COGSpL">Cbal!$E$957:$E$957</definedName>
    <definedName name="cbalCh3Prod3Slot3CustPrice">Cbal!$E$946:$E$946</definedName>
    <definedName name="cbalCh3Prod3Slot3GPaL">Cbal!$E$942:$E$942</definedName>
    <definedName name="cbalCh3Prod3Slot3GPaLPerLitre">Cbal!$E$945:$E$945</definedName>
    <definedName name="cbalCh3Prod3Slot3NetRev">Cbal!$E$941:$E$941</definedName>
    <definedName name="cbalCh3Prod3Slot3NetRevPerLtr">Cbal!$E$944:$E$944</definedName>
    <definedName name="cbalCh3Prod3Slot3Pack">Cbal!$E$949:$E$949</definedName>
    <definedName name="cbalCh3Prod3Slot3Promo1">Cbal!$E$276:$E$276</definedName>
    <definedName name="cbalCh3Prod3Slot3Promo1CustUplift">Cbal!$E$955:$E$955</definedName>
    <definedName name="cbalCh3Prod3Slot3Promo1GPaLUplift">Cbal!$E$953:$E$953</definedName>
    <definedName name="cbalCh3Prod3Slot3Promo1Price">Cbal!$E$947:$E$947</definedName>
    <definedName name="cbalCh3Prod3Slot3Promo1ROI">Cbal!$E$951:$E$951</definedName>
    <definedName name="cbalCh3Prod3Slot3Promo1Share">Cbal!$E$950:$E$950</definedName>
    <definedName name="cbalCh3Prod3Slot3Promo1VolUplift">Cbal!$E$954:$E$954</definedName>
    <definedName name="cbalCh3Prod3Slot3Promo1Weeks">Cbal!$E$1282:$E$1282</definedName>
    <definedName name="cbalCh3Prod3Slot3SoldVol">Cbal!$E$943:$E$943</definedName>
    <definedName name="cbalCh3Prod3Slot3WD">Cbal!$E$952:$E$952</definedName>
    <definedName name="cbalCh3Prod3SlotTotActive">Cbal!$E$190:$E$190</definedName>
    <definedName name="cbalCh3Prod4Slot1Active">Cbal!$E$193:$E$193</definedName>
    <definedName name="cbalCh3Prod4Slot1AvgPrice">Cbal!$E$968:$E$968</definedName>
    <definedName name="cbalCh3Prod4Slot1COGS">Cbal!$E$976:$E$976</definedName>
    <definedName name="cbalCh3Prod4Slot1COGSpL">Cbal!$E$977:$E$977</definedName>
    <definedName name="cbalCh3Prod4Slot1CustPrice">Cbal!$E$966:$E$966</definedName>
    <definedName name="cbalCh3Prod4Slot1GPaL">Cbal!$E$962:$E$962</definedName>
    <definedName name="cbalCh3Prod4Slot1GPaLPerLitre">Cbal!$E$965:$E$965</definedName>
    <definedName name="cbalCh3Prod4Slot1NetRev">Cbal!$E$961:$E$961</definedName>
    <definedName name="cbalCh3Prod4Slot1NetRevPerLtr">Cbal!$E$964:$E$964</definedName>
    <definedName name="cbalCh3Prod4Slot1Pack">Cbal!$E$969:$E$969</definedName>
    <definedName name="cbalCh3Prod4Slot1Promo1">Cbal!$E$277:$E$277</definedName>
    <definedName name="cbalCh3Prod4Slot1Promo1CustUplift">Cbal!$E$975:$E$975</definedName>
    <definedName name="cbalCh3Prod4Slot1Promo1GPaLUplift">Cbal!$E$973:$E$973</definedName>
    <definedName name="cbalCh3Prod4Slot1Promo1Price">Cbal!$E$967:$E$967</definedName>
    <definedName name="cbalCh3Prod4Slot1Promo1ROI">Cbal!$E$971:$E$971</definedName>
    <definedName name="cbalCh3Prod4Slot1Promo1Share">Cbal!$E$970:$E$970</definedName>
    <definedName name="cbalCh3Prod4Slot1Promo1VolUplift">Cbal!$E$974:$E$974</definedName>
    <definedName name="cbalCh3Prod4Slot1Promo1Weeks">Cbal!$E$1284:$E$1284</definedName>
    <definedName name="cbalCh3Prod4Slot1SoldVol">Cbal!$E$963:$E$963</definedName>
    <definedName name="cbalCh3Prod4Slot1WD">Cbal!$E$972:$E$972</definedName>
    <definedName name="cbalCh3Prod4Slot2Active">Cbal!$E$194:$E$194</definedName>
    <definedName name="cbalCh3Prod4Slot2AvgPrice">Cbal!$E$986:$E$986</definedName>
    <definedName name="cbalCh3Prod4Slot2COGS">Cbal!$E$994:$E$994</definedName>
    <definedName name="cbalCh3Prod4Slot2COGSpL">Cbal!$E$995:$E$995</definedName>
    <definedName name="cbalCh3Prod4Slot2CustPrice">Cbal!$E$984:$E$984</definedName>
    <definedName name="cbalCh3Prod4Slot2GPaL">Cbal!$E$980:$E$980</definedName>
    <definedName name="cbalCh3Prod4Slot2GPaLPerLitre">Cbal!$E$983:$E$983</definedName>
    <definedName name="cbalCh3Prod4Slot2NetRev">Cbal!$E$979:$E$979</definedName>
    <definedName name="cbalCh3Prod4Slot2NetRevPerLtr">Cbal!$E$982:$E$982</definedName>
    <definedName name="cbalCh3Prod4Slot2Pack">Cbal!$E$987:$E$987</definedName>
    <definedName name="cbalCh3Prod4Slot2Promo1">Cbal!$E$278:$E$278</definedName>
    <definedName name="cbalCh3Prod4Slot2Promo1CustUplift">Cbal!$E$993:$E$993</definedName>
    <definedName name="cbalCh3Prod4Slot2Promo1GPaLUplift">Cbal!$E$991:$E$991</definedName>
    <definedName name="cbalCh3Prod4Slot2Promo1Price">Cbal!$E$985:$E$985</definedName>
    <definedName name="cbalCh3Prod4Slot2Promo1ROI">Cbal!$E$989:$E$989</definedName>
    <definedName name="cbalCh3Prod4Slot2Promo1Share">Cbal!$E$988:$E$988</definedName>
    <definedName name="cbalCh3Prod4Slot2Promo1VolUplift">Cbal!$E$992:$E$992</definedName>
    <definedName name="cbalCh3Prod4Slot2Promo1Weeks">Cbal!$E$1285:$E$1285</definedName>
    <definedName name="cbalCh3Prod4Slot2SoldVol">Cbal!$E$981:$E$981</definedName>
    <definedName name="cbalCh3Prod4Slot2WD">Cbal!$E$990:$E$990</definedName>
    <definedName name="cbalCh3Prod4Slot3Active">Cbal!$E$195:$E$195</definedName>
    <definedName name="cbalCh3Prod4Slot3AvgPrice">Cbal!$E$1004:$E$1004</definedName>
    <definedName name="cbalCh3Prod4Slot3COGS">Cbal!$E$1012:$E$1012</definedName>
    <definedName name="cbalCh3Prod4Slot3COGSpL">Cbal!$E$1013:$E$1013</definedName>
    <definedName name="cbalCh3Prod4Slot3CustPrice">Cbal!$E$1002:$E$1002</definedName>
    <definedName name="cbalCh3Prod4Slot3GPaL">Cbal!$E$998:$E$998</definedName>
    <definedName name="cbalCh3Prod4Slot3GPaLPerLitre">Cbal!$E$1001:$E$1001</definedName>
    <definedName name="cbalCh3Prod4Slot3NetRev">Cbal!$E$997:$E$997</definedName>
    <definedName name="cbalCh3Prod4Slot3NetRevPerLtr">Cbal!$E$1000:$E$1000</definedName>
    <definedName name="cbalCh3Prod4Slot3Pack">Cbal!$E$1005:$E$1005</definedName>
    <definedName name="cbalCh3Prod4Slot3Promo1">Cbal!$E$279:$E$279</definedName>
    <definedName name="cbalCh3Prod4Slot3Promo1CustUplift">Cbal!$E$1011:$E$1011</definedName>
    <definedName name="cbalCh3Prod4Slot3Promo1GPaLUplift">Cbal!$E$1009:$E$1009</definedName>
    <definedName name="cbalCh3Prod4Slot3Promo1Price">Cbal!$E$1003:$E$1003</definedName>
    <definedName name="cbalCh3Prod4Slot3Promo1ROI">Cbal!$E$1007:$E$1007</definedName>
    <definedName name="cbalCh3Prod4Slot3Promo1Share">Cbal!$E$1006:$E$1006</definedName>
    <definedName name="cbalCh3Prod4Slot3Promo1VolUplift">Cbal!$E$1010:$E$1010</definedName>
    <definedName name="cbalCh3Prod4Slot3Promo1Weeks">Cbal!$E$1286:$E$1286</definedName>
    <definedName name="cbalCh3Prod4Slot3SoldVol">Cbal!$E$999:$E$999</definedName>
    <definedName name="cbalCh3Prod4Slot3WD">Cbal!$E$1008:$E$1008</definedName>
    <definedName name="cbalCh3Prod4SlotTotActive">Cbal!$E$197:$E$197</definedName>
    <definedName name="cbalCh3RevenueTot">Cbal!$E$302:$E$302</definedName>
    <definedName name="cbalCh3Slots">Cbal!$E$90:$E$90</definedName>
    <definedName name="cbalCh3SlotTotActive">Cbal!$E$199:$E$199</definedName>
    <definedName name="cbalCh3ValDriv1">Cbal!$E$60:$E$60</definedName>
    <definedName name="cbalCh3ValDriv2">Cbal!$E$65:$E$65</definedName>
    <definedName name="cbalCh3ValDriv3">Cbal!$E$70:$E$70</definedName>
    <definedName name="cbalCh3ValDriv4">Cbal!$E$75:$E$75</definedName>
    <definedName name="cbalCh3ValDriv5">Cbal!$E$80:$E$80</definedName>
    <definedName name="cbalCh3ValDrivCond">Cbal!$E$85:$E$85</definedName>
    <definedName name="cbalCh4CustomerProfitTot">Cbal!$E$324:$E$324</definedName>
    <definedName name="cbalCh4GCCTot">Cbal!$E$317:$E$317</definedName>
    <definedName name="cbalCh4GPaLTot">Cbal!$E$310:$E$310</definedName>
    <definedName name="cbalCh4Prod1Slot1Active">Cbal!$E$203:$E$203</definedName>
    <definedName name="cbalCh4Prod1Slot1AvgPrice">Cbal!$E$1025:$E$1025</definedName>
    <definedName name="cbalCh4Prod1Slot1COGS">Cbal!$E$1033:$E$1033</definedName>
    <definedName name="cbalCh4Prod1Slot1COGSpL">Cbal!$E$1034:$E$1034</definedName>
    <definedName name="cbalCh4Prod1Slot1CustPrice">Cbal!$E$1023:$E$1023</definedName>
    <definedName name="cbalCh4Prod1Slot1GPaL">Cbal!$E$1019:$E$1019</definedName>
    <definedName name="cbalCh4Prod1Slot1GPaLPerLitre">Cbal!$E$1022:$E$1022</definedName>
    <definedName name="cbalCh4Prod1Slot1NetRev">Cbal!$E$1018:$E$1018</definedName>
    <definedName name="cbalCh4Prod1Slot1NetRevPerLtr">Cbal!$E$1021:$E$1021</definedName>
    <definedName name="cbalCh4Prod1Slot1Pack">Cbal!$E$1026:$E$1026</definedName>
    <definedName name="cbalCh4Prod1Slot1Promo1">Cbal!$E$283:$E$283</definedName>
    <definedName name="cbalCh4Prod1Slot1Promo1CustUplift">Cbal!$E$1032:$E$1032</definedName>
    <definedName name="cbalCh4Prod1Slot1Promo1GPaLUplift">Cbal!$E$1030:$E$1030</definedName>
    <definedName name="cbalCh4Prod1Slot1Promo1Price">Cbal!$E$1024:$E$1024</definedName>
    <definedName name="cbalCh4Prod1Slot1Promo1ROI">Cbal!$E$1028:$E$1028</definedName>
    <definedName name="cbalCh4Prod1Slot1Promo1Share">Cbal!$E$1027:$E$1027</definedName>
    <definedName name="cbalCh4Prod1Slot1Promo1VolUplift">Cbal!$E$1031:$E$1031</definedName>
    <definedName name="cbalCh4Prod1Slot1Promo1Weeks">Cbal!$E$1289:$E$1289</definedName>
    <definedName name="cbalCh4Prod1Slot1SoldVol">Cbal!$E$1020:$E$1020</definedName>
    <definedName name="cbalCh4Prod1Slot1WD">Cbal!$E$1029:$E$1029</definedName>
    <definedName name="cbalCh4Prod1Slot2Active">Cbal!$E$204:$E$204</definedName>
    <definedName name="cbalCh4Prod1Slot2AvgPrice">Cbal!$E$1043:$E$1043</definedName>
    <definedName name="cbalCh4Prod1Slot2COGS">Cbal!$E$1051:$E$1051</definedName>
    <definedName name="cbalCh4Prod1Slot2COGSpL">Cbal!$E$1052:$E$1052</definedName>
    <definedName name="cbalCh4Prod1Slot2CustPrice">Cbal!$E$1041:$E$1041</definedName>
    <definedName name="cbalCh4Prod1Slot2GPaL">Cbal!$E$1037:$E$1037</definedName>
    <definedName name="cbalCh4Prod1Slot2GPaLPerLitre">Cbal!$E$1040:$E$1040</definedName>
    <definedName name="cbalCh4Prod1Slot2NetRev">Cbal!$E$1036:$E$1036</definedName>
    <definedName name="cbalCh4Prod1Slot2NetRevPerLtr">Cbal!$E$1039:$E$1039</definedName>
    <definedName name="cbalCh4Prod1Slot2Pack">Cbal!$E$1044:$E$1044</definedName>
    <definedName name="cbalCh4Prod1Slot2Promo1">Cbal!$E$284:$E$284</definedName>
    <definedName name="cbalCh4Prod1Slot2Promo1CustUplift">Cbal!$E$1050:$E$1050</definedName>
    <definedName name="cbalCh4Prod1Slot2Promo1GPaLUplift">Cbal!$E$1048:$E$1048</definedName>
    <definedName name="cbalCh4Prod1Slot2Promo1Price">Cbal!$E$1042:$E$1042</definedName>
    <definedName name="cbalCh4Prod1Slot2Promo1ROI">Cbal!$E$1046:$E$1046</definedName>
    <definedName name="cbalCh4Prod1Slot2Promo1Share">Cbal!$E$1045:$E$1045</definedName>
    <definedName name="cbalCh4Prod1Slot2Promo1VolUplift">Cbal!$E$1049:$E$1049</definedName>
    <definedName name="cbalCh4Prod1Slot2Promo1Weeks">Cbal!$E$1290:$E$1290</definedName>
    <definedName name="cbalCh4Prod1Slot2SoldVol">Cbal!$E$1038:$E$1038</definedName>
    <definedName name="cbalCh4Prod1Slot2WD">Cbal!$E$1047:$E$1047</definedName>
    <definedName name="cbalCh4Prod1Slot3Active">Cbal!$E$205:$E$205</definedName>
    <definedName name="cbalCh4Prod1Slot3AvgPrice">Cbal!$E$1061:$E$1061</definedName>
    <definedName name="cbalCh4Prod1Slot3COGS">Cbal!$E$1069:$E$1069</definedName>
    <definedName name="cbalCh4Prod1Slot3COGSpL">Cbal!$E$1070:$E$1070</definedName>
    <definedName name="cbalCh4Prod1Slot3CustPrice">Cbal!$E$1059:$E$1059</definedName>
    <definedName name="cbalCh4Prod1Slot3GPaL">Cbal!$E$1055:$E$1055</definedName>
    <definedName name="cbalCh4Prod1Slot3GPaLPerLitre">Cbal!$E$1058:$E$1058</definedName>
    <definedName name="cbalCh4Prod1Slot3NetRev">Cbal!$E$1054:$E$1054</definedName>
    <definedName name="cbalCh4Prod1Slot3NetRevPerLtr">Cbal!$E$1057:$E$1057</definedName>
    <definedName name="cbalCh4Prod1Slot3Pack">Cbal!$E$1062:$E$1062</definedName>
    <definedName name="cbalCh4Prod1Slot3Promo1">Cbal!$E$285:$E$285</definedName>
    <definedName name="cbalCh4Prod1Slot3Promo1CustUplift">Cbal!$E$1068:$E$1068</definedName>
    <definedName name="cbalCh4Prod1Slot3Promo1GPaLUplift">Cbal!$E$1066:$E$1066</definedName>
    <definedName name="cbalCh4Prod1Slot3Promo1Price">Cbal!$E$1060:$E$1060</definedName>
    <definedName name="cbalCh4Prod1Slot3Promo1ROI">Cbal!$E$1064:$E$1064</definedName>
    <definedName name="cbalCh4Prod1Slot3Promo1Share">Cbal!$E$1063:$E$1063</definedName>
    <definedName name="cbalCh4Prod1Slot3Promo1VolUplift">Cbal!$E$1067:$E$1067</definedName>
    <definedName name="cbalCh4Prod1Slot3Promo1Weeks">Cbal!$E$1291:$E$1291</definedName>
    <definedName name="cbalCh4Prod1Slot3SoldVol">Cbal!$E$1056:$E$1056</definedName>
    <definedName name="cbalCh4Prod1Slot3WD">Cbal!$E$1065:$E$1065</definedName>
    <definedName name="cbalCh4Prod1SlotTotActive">Cbal!$E$207:$E$207</definedName>
    <definedName name="cbalCh4Prod2Slot1Active">Cbal!$E$210:$E$210</definedName>
    <definedName name="cbalCh4Prod2Slot1AvgPrice">Cbal!$E$1081:$E$1081</definedName>
    <definedName name="cbalCh4Prod2Slot1COGS">Cbal!$E$1089:$E$1089</definedName>
    <definedName name="cbalCh4Prod2Slot1COGSpL">Cbal!$E$1090:$E$1090</definedName>
    <definedName name="cbalCh4Prod2Slot1CustPrice">Cbal!$E$1079:$E$1079</definedName>
    <definedName name="cbalCh4Prod2Slot1GPaL">Cbal!$E$1075:$E$1075</definedName>
    <definedName name="cbalCh4Prod2Slot1GPaLPerLitre">Cbal!$E$1078:$E$1078</definedName>
    <definedName name="cbalCh4Prod2Slot1NetRev">Cbal!$E$1074:$E$1074</definedName>
    <definedName name="cbalCh4Prod2Slot1NetRevPerLtr">Cbal!$E$1077:$E$1077</definedName>
    <definedName name="cbalCh4Prod2Slot1Pack">Cbal!$E$1082:$E$1082</definedName>
    <definedName name="cbalCh4Prod2Slot1Promo1">Cbal!$E$286:$E$286</definedName>
    <definedName name="cbalCh4Prod2Slot1Promo1CustUplift">Cbal!$E$1088:$E$1088</definedName>
    <definedName name="cbalCh4Prod2Slot1Promo1GPaLUplift">Cbal!$E$1086:$E$1086</definedName>
    <definedName name="cbalCh4Prod2Slot1Promo1Price">Cbal!$E$1080:$E$1080</definedName>
    <definedName name="cbalCh4Prod2Slot1Promo1ROI">Cbal!$E$1084:$E$1084</definedName>
    <definedName name="cbalCh4Prod2Slot1Promo1Share">Cbal!$E$1083:$E$1083</definedName>
    <definedName name="cbalCh4Prod2Slot1Promo1VolUplift">Cbal!$E$1087:$E$1087</definedName>
    <definedName name="cbalCh4Prod2Slot1Promo1Weeks">Cbal!$E$1293:$E$1293</definedName>
    <definedName name="cbalCh4Prod2Slot1SoldVol">Cbal!$E$1076:$E$1076</definedName>
    <definedName name="cbalCh4Prod2Slot1WD">Cbal!$E$1085:$E$1085</definedName>
    <definedName name="cbalCh4Prod2Slot2Active">Cbal!$E$211:$E$211</definedName>
    <definedName name="cbalCh4Prod2Slot2AvgPrice">Cbal!$E$1099:$E$1099</definedName>
    <definedName name="cbalCh4Prod2Slot2COGS">Cbal!$E$1107:$E$1107</definedName>
    <definedName name="cbalCh4Prod2Slot2COGSpL">Cbal!$E$1108:$E$1108</definedName>
    <definedName name="cbalCh4Prod2Slot2CustPrice">Cbal!$E$1097:$E$1097</definedName>
    <definedName name="cbalCh4Prod2Slot2GPaL">Cbal!$E$1093:$E$1093</definedName>
    <definedName name="cbalCh4Prod2Slot2GPaLPerLitre">Cbal!$E$1096:$E$1096</definedName>
    <definedName name="cbalCh4Prod2Slot2NetRev">Cbal!$E$1092:$E$1092</definedName>
    <definedName name="cbalCh4Prod2Slot2NetRevPerLtr">Cbal!$E$1095:$E$1095</definedName>
    <definedName name="cbalCh4Prod2Slot2Pack">Cbal!$E$1100:$E$1100</definedName>
    <definedName name="cbalCh4Prod2Slot2Promo1">Cbal!$E$287:$E$287</definedName>
    <definedName name="cbalCh4Prod2Slot2Promo1CustUplift">Cbal!$E$1106:$E$1106</definedName>
    <definedName name="cbalCh4Prod2Slot2Promo1GPaLUplift">Cbal!$E$1104:$E$1104</definedName>
    <definedName name="cbalCh4Prod2Slot2Promo1Price">Cbal!$E$1098:$E$1098</definedName>
    <definedName name="cbalCh4Prod2Slot2Promo1ROI">Cbal!$E$1102:$E$1102</definedName>
    <definedName name="cbalCh4Prod2Slot2Promo1Share">Cbal!$E$1101:$E$1101</definedName>
    <definedName name="cbalCh4Prod2Slot2Promo1VolUplift">Cbal!$E$1105:$E$1105</definedName>
    <definedName name="cbalCh4Prod2Slot2Promo1Weeks">Cbal!$E$1294:$E$1294</definedName>
    <definedName name="cbalCh4Prod2Slot2SoldVol">Cbal!$E$1094:$E$1094</definedName>
    <definedName name="cbalCh4Prod2Slot2WD">Cbal!$E$1103:$E$1103</definedName>
    <definedName name="cbalCh4Prod2Slot3Active">Cbal!$E$212:$E$212</definedName>
    <definedName name="cbalCh4Prod2Slot3AvgPrice">Cbal!$E$1117:$E$1117</definedName>
    <definedName name="cbalCh4Prod2Slot3COGS">Cbal!$E$1125:$E$1125</definedName>
    <definedName name="cbalCh4Prod2Slot3COGSpL">Cbal!$E$1126:$E$1126</definedName>
    <definedName name="cbalCh4Prod2Slot3CustPrice">Cbal!$E$1115:$E$1115</definedName>
    <definedName name="cbalCh4Prod2Slot3GPaL">Cbal!$E$1111:$E$1111</definedName>
    <definedName name="cbalCh4Prod2Slot3GPaLPerLitre">Cbal!$E$1114:$E$1114</definedName>
    <definedName name="cbalCh4Prod2Slot3NetRev">Cbal!$E$1110:$E$1110</definedName>
    <definedName name="cbalCh4Prod2Slot3NetRevPerLtr">Cbal!$E$1113:$E$1113</definedName>
    <definedName name="cbalCh4Prod2Slot3Pack">Cbal!$E$1118:$E$1118</definedName>
    <definedName name="cbalCh4Prod2Slot3Promo1">Cbal!$E$288:$E$288</definedName>
    <definedName name="cbalCh4Prod2Slot3Promo1CustUplift">Cbal!$E$1124:$E$1124</definedName>
    <definedName name="cbalCh4Prod2Slot3Promo1GPaLUplift">Cbal!$E$1122:$E$1122</definedName>
    <definedName name="cbalCh4Prod2Slot3Promo1Price">Cbal!$E$1116:$E$1116</definedName>
    <definedName name="cbalCh4Prod2Slot3Promo1ROI">Cbal!$E$1120:$E$1120</definedName>
    <definedName name="cbalCh4Prod2Slot3Promo1Share">Cbal!$E$1119:$E$1119</definedName>
    <definedName name="cbalCh4Prod2Slot3Promo1VolUplift">Cbal!$E$1123:$E$1123</definedName>
    <definedName name="cbalCh4Prod2Slot3Promo1Weeks">Cbal!$E$1295:$E$1295</definedName>
    <definedName name="cbalCh4Prod2Slot3SoldVol">Cbal!$E$1112:$E$1112</definedName>
    <definedName name="cbalCh4Prod2Slot3WD">Cbal!$E$1121:$E$1121</definedName>
    <definedName name="cbalCh4Prod2SlotTotActive">Cbal!$E$214:$E$214</definedName>
    <definedName name="cbalCh4Prod3Slot1Active">Cbal!$E$217:$E$217</definedName>
    <definedName name="cbalCh4Prod3Slot1AvgPrice">Cbal!$E$1137:$E$1137</definedName>
    <definedName name="cbalCh4Prod3Slot1COGS">Cbal!$E$1145:$E$1145</definedName>
    <definedName name="cbalCh4Prod3Slot1COGSpL">Cbal!$E$1146:$E$1146</definedName>
    <definedName name="cbalCh4Prod3Slot1CustPrice">Cbal!$E$1135:$E$1135</definedName>
    <definedName name="cbalCh4Prod3Slot1GPaL">Cbal!$E$1131:$E$1131</definedName>
    <definedName name="cbalCh4Prod3Slot1GPaLPerLitre">Cbal!$E$1134:$E$1134</definedName>
    <definedName name="cbalCh4Prod3Slot1NetRev">Cbal!$E$1130:$E$1130</definedName>
    <definedName name="cbalCh4Prod3Slot1NetRevPerLtr">Cbal!$E$1133:$E$1133</definedName>
    <definedName name="cbalCh4Prod3Slot1Pack">Cbal!$E$1138:$E$1138</definedName>
    <definedName name="cbalCh4Prod3Slot1Promo1">Cbal!$E$289:$E$289</definedName>
    <definedName name="cbalCh4Prod3Slot1Promo1CustUplift">Cbal!$E$1144:$E$1144</definedName>
    <definedName name="cbalCh4Prod3Slot1Promo1GPaLUplift">Cbal!$E$1142:$E$1142</definedName>
    <definedName name="cbalCh4Prod3Slot1Promo1Price">Cbal!$E$1136:$E$1136</definedName>
    <definedName name="cbalCh4Prod3Slot1Promo1ROI">Cbal!$E$1140:$E$1140</definedName>
    <definedName name="cbalCh4Prod3Slot1Promo1Share">Cbal!$E$1139:$E$1139</definedName>
    <definedName name="cbalCh4Prod3Slot1Promo1VolUplift">Cbal!$E$1143:$E$1143</definedName>
    <definedName name="cbalCh4Prod3Slot1Promo1Weeks">Cbal!$E$1297:$E$1297</definedName>
    <definedName name="cbalCh4Prod3Slot1SoldVol">Cbal!$E$1132:$E$1132</definedName>
    <definedName name="cbalCh4Prod3Slot1WD">Cbal!$E$1141:$E$1141</definedName>
    <definedName name="cbalCh4Prod3Slot2Active">Cbal!$E$218:$E$218</definedName>
    <definedName name="cbalCh4Prod3Slot2AvgPrice">Cbal!$E$1155:$E$1155</definedName>
    <definedName name="cbalCh4Prod3Slot2COGS">Cbal!$E$1163:$E$1163</definedName>
    <definedName name="cbalCh4Prod3Slot2COGSpL">Cbal!$E$1164:$E$1164</definedName>
    <definedName name="cbalCh4Prod3Slot2CustPrice">Cbal!$E$1153:$E$1153</definedName>
    <definedName name="cbalCh4Prod3Slot2GPaL">Cbal!$E$1149:$E$1149</definedName>
    <definedName name="cbalCh4Prod3Slot2GPaLPerLitre">Cbal!$E$1152:$E$1152</definedName>
    <definedName name="cbalCh4Prod3Slot2NetRev">Cbal!$E$1148:$E$1148</definedName>
    <definedName name="cbalCh4Prod3Slot2NetRevPerLtr">Cbal!$E$1151:$E$1151</definedName>
    <definedName name="cbalCh4Prod3Slot2Pack">Cbal!$E$1156:$E$1156</definedName>
    <definedName name="cbalCh4Prod3Slot2Promo1">Cbal!$E$290:$E$290</definedName>
    <definedName name="cbalCh4Prod3Slot2Promo1CustUplift">Cbal!$E$1162:$E$1162</definedName>
    <definedName name="cbalCh4Prod3Slot2Promo1GPaLUplift">Cbal!$E$1160:$E$1160</definedName>
    <definedName name="cbalCh4Prod3Slot2Promo1Price">Cbal!$E$1154:$E$1154</definedName>
    <definedName name="cbalCh4Prod3Slot2Promo1ROI">Cbal!$E$1158:$E$1158</definedName>
    <definedName name="cbalCh4Prod3Slot2Promo1Share">Cbal!$E$1157:$E$1157</definedName>
    <definedName name="cbalCh4Prod3Slot2Promo1VolUplift">Cbal!$E$1161:$E$1161</definedName>
    <definedName name="cbalCh4Prod3Slot2Promo1Weeks">Cbal!$E$1298:$E$1298</definedName>
    <definedName name="cbalCh4Prod3Slot2SoldVol">Cbal!$E$1150:$E$1150</definedName>
    <definedName name="cbalCh4Prod3Slot2WD">Cbal!$E$1159:$E$1159</definedName>
    <definedName name="cbalCh4Prod3Slot3Active">Cbal!$E$219:$E$219</definedName>
    <definedName name="cbalCh4Prod3Slot3AvgPrice">Cbal!$E$1173:$E$1173</definedName>
    <definedName name="cbalCh4Prod3Slot3COGS">Cbal!$E$1181:$E$1181</definedName>
    <definedName name="cbalCh4Prod3Slot3COGSpL">Cbal!$E$1182:$E$1182</definedName>
    <definedName name="cbalCh4Prod3Slot3CustPrice">Cbal!$E$1171:$E$1171</definedName>
    <definedName name="cbalCh4Prod3Slot3GPaL">Cbal!$E$1167:$E$1167</definedName>
    <definedName name="cbalCh4Prod3Slot3GPaLPerLitre">Cbal!$E$1170:$E$1170</definedName>
    <definedName name="cbalCh4Prod3Slot3NetRev">Cbal!$E$1166:$E$1166</definedName>
    <definedName name="cbalCh4Prod3Slot3NetRevPerLtr">Cbal!$E$1169:$E$1169</definedName>
    <definedName name="cbalCh4Prod3Slot3Pack">Cbal!$E$1174:$E$1174</definedName>
    <definedName name="cbalCh4Prod3Slot3Promo1">Cbal!$E$291:$E$291</definedName>
    <definedName name="cbalCh4Prod3Slot3Promo1CustUplift">Cbal!$E$1180:$E$1180</definedName>
    <definedName name="cbalCh4Prod3Slot3Promo1GPaLUplift">Cbal!$E$1178:$E$1178</definedName>
    <definedName name="cbalCh4Prod3Slot3Promo1Price">Cbal!$E$1172:$E$1172</definedName>
    <definedName name="cbalCh4Prod3Slot3Promo1ROI">Cbal!$E$1176:$E$1176</definedName>
    <definedName name="cbalCh4Prod3Slot3Promo1Share">Cbal!$E$1175:$E$1175</definedName>
    <definedName name="cbalCh4Prod3Slot3Promo1VolUplift">Cbal!$E$1179:$E$1179</definedName>
    <definedName name="cbalCh4Prod3Slot3Promo1Weeks">Cbal!$E$1299:$E$1299</definedName>
    <definedName name="cbalCh4Prod3Slot3SoldVol">Cbal!$E$1168:$E$1168</definedName>
    <definedName name="cbalCh4Prod3Slot3WD">Cbal!$E$1177:$E$1177</definedName>
    <definedName name="cbalCh4Prod3SlotTotActive">Cbal!$E$221:$E$221</definedName>
    <definedName name="cbalCh4Prod4Slot1Active">Cbal!$E$224:$E$224</definedName>
    <definedName name="cbalCh4Prod4Slot1AvgPrice">Cbal!$E$1193:$E$1193</definedName>
    <definedName name="cbalCh4Prod4Slot1COGS">Cbal!$E$1201:$E$1201</definedName>
    <definedName name="cbalCh4Prod4Slot1COGSpL">Cbal!$E$1202:$E$1202</definedName>
    <definedName name="cbalCh4Prod4Slot1CustPrice">Cbal!$E$1191:$E$1191</definedName>
    <definedName name="cbalCh4Prod4Slot1GPaL">Cbal!$E$1187:$E$1187</definedName>
    <definedName name="cbalCh4Prod4Slot1GPaLPerLitre">Cbal!$E$1190:$E$1190</definedName>
    <definedName name="cbalCh4Prod4Slot1NetRev">Cbal!$E$1186:$E$1186</definedName>
    <definedName name="cbalCh4Prod4Slot1NetRevPerLtr">Cbal!$E$1189:$E$1189</definedName>
    <definedName name="cbalCh4Prod4Slot1Pack">Cbal!$E$1194:$E$1194</definedName>
    <definedName name="cbalCh4Prod4Slot1Promo1">Cbal!$E$292:$E$292</definedName>
    <definedName name="cbalCh4Prod4Slot1Promo1CustUplift">Cbal!$E$1200:$E$1200</definedName>
    <definedName name="cbalCh4Prod4Slot1Promo1GPaLUplift">Cbal!$E$1198:$E$1198</definedName>
    <definedName name="cbalCh4Prod4Slot1Promo1Price">Cbal!$E$1192:$E$1192</definedName>
    <definedName name="cbalCh4Prod4Slot1Promo1ROI">Cbal!$E$1196:$E$1196</definedName>
    <definedName name="cbalCh4Prod4Slot1Promo1Share">Cbal!$E$1195:$E$1195</definedName>
    <definedName name="cbalCh4Prod4Slot1Promo1VolUplift">Cbal!$E$1199:$E$1199</definedName>
    <definedName name="cbalCh4Prod4Slot1Promo1Weeks">Cbal!$E$1301:$E$1301</definedName>
    <definedName name="cbalCh4Prod4Slot1SoldVol">Cbal!$E$1188:$E$1188</definedName>
    <definedName name="cbalCh4Prod4Slot1WD">Cbal!$E$1197:$E$1197</definedName>
    <definedName name="cbalCh4Prod4Slot2Active">Cbal!$E$225:$E$225</definedName>
    <definedName name="cbalCh4Prod4Slot2AvgPrice">Cbal!$E$1211:$E$1211</definedName>
    <definedName name="cbalCh4Prod4Slot2COGS">Cbal!$E$1219:$E$1219</definedName>
    <definedName name="cbalCh4Prod4Slot2COGSpL">Cbal!$E$1220:$E$1220</definedName>
    <definedName name="cbalCh4Prod4Slot2CustPrice">Cbal!$E$1209:$E$1209</definedName>
    <definedName name="cbalCh4Prod4Slot2GPaL">Cbal!$E$1205:$E$1205</definedName>
    <definedName name="cbalCh4Prod4Slot2GPaLPerLitre">Cbal!$E$1208:$E$1208</definedName>
    <definedName name="cbalCh4Prod4Slot2NetRev">Cbal!$E$1204:$E$1204</definedName>
    <definedName name="cbalCh4Prod4Slot2NetRevPerLtr">Cbal!$E$1207:$E$1207</definedName>
    <definedName name="cbalCh4Prod4Slot2Pack">Cbal!$E$1212:$E$1212</definedName>
    <definedName name="cbalCh4Prod4Slot2Promo1">Cbal!$E$293:$E$293</definedName>
    <definedName name="cbalCh4Prod4Slot2Promo1CustUplift">Cbal!$E$1218:$E$1218</definedName>
    <definedName name="cbalCh4Prod4Slot2Promo1GPaLUplift">Cbal!$E$1216:$E$1216</definedName>
    <definedName name="cbalCh4Prod4Slot2Promo1Price">Cbal!$E$1210:$E$1210</definedName>
    <definedName name="cbalCh4Prod4Slot2Promo1ROI">Cbal!$E$1214:$E$1214</definedName>
    <definedName name="cbalCh4Prod4Slot2Promo1Share">Cbal!$E$1213:$E$1213</definedName>
    <definedName name="cbalCh4Prod4Slot2Promo1VolUplift">Cbal!$E$1217:$E$1217</definedName>
    <definedName name="cbalCh4Prod4Slot2Promo1Weeks">Cbal!$E$1302:$E$1302</definedName>
    <definedName name="cbalCh4Prod4Slot2SoldVol">Cbal!$E$1206:$E$1206</definedName>
    <definedName name="cbalCh4Prod4Slot2WD">Cbal!$E$1215:$E$1215</definedName>
    <definedName name="cbalCh4Prod4Slot3Active">Cbal!$E$226:$E$226</definedName>
    <definedName name="cbalCh4Prod4Slot3AvgPrice">Cbal!$E$1229:$E$1229</definedName>
    <definedName name="cbalCh4Prod4Slot3COGS">Cbal!$E$1237:$E$1237</definedName>
    <definedName name="cbalCh4Prod4Slot3COGSpL">Cbal!$E$1238:$E$1238</definedName>
    <definedName name="cbalCh4Prod4Slot3CustPrice">Cbal!$E$1227:$E$1227</definedName>
    <definedName name="cbalCh4Prod4Slot3GPaL">Cbal!$E$1223:$E$1223</definedName>
    <definedName name="cbalCh4Prod4Slot3GPaLPerLitre">Cbal!$E$1226:$E$1226</definedName>
    <definedName name="cbalCh4Prod4Slot3NetRev">Cbal!$E$1222:$E$1222</definedName>
    <definedName name="cbalCh4Prod4Slot3NetRevPerLtr">Cbal!$E$1225:$E$1225</definedName>
    <definedName name="cbalCh4Prod4Slot3Pack">Cbal!$E$1230:$E$1230</definedName>
    <definedName name="cbalCh4Prod4Slot3Promo1">Cbal!$E$294:$E$294</definedName>
    <definedName name="cbalCh4Prod4Slot3Promo1CustUplift">Cbal!$E$1236:$E$1236</definedName>
    <definedName name="cbalCh4Prod4Slot3Promo1GPaLUplift">Cbal!$E$1234:$E$1234</definedName>
    <definedName name="cbalCh4Prod4Slot3Promo1Price">Cbal!$E$1228:$E$1228</definedName>
    <definedName name="cbalCh4Prod4Slot3Promo1ROI">Cbal!$E$1232:$E$1232</definedName>
    <definedName name="cbalCh4Prod4Slot3Promo1Share">Cbal!$E$1231:$E$1231</definedName>
    <definedName name="cbalCh4Prod4Slot3Promo1VolUplift">Cbal!$E$1235:$E$1235</definedName>
    <definedName name="cbalCh4Prod4Slot3Promo1Weeks">Cbal!$E$1303:$E$1303</definedName>
    <definedName name="cbalCh4Prod4Slot3SoldVol">Cbal!$E$1224:$E$1224</definedName>
    <definedName name="cbalCh4Prod4Slot3WD">Cbal!$E$1233:$E$1233</definedName>
    <definedName name="cbalCh4Prod4SlotTotActive">Cbal!$E$228:$E$228</definedName>
    <definedName name="cbalCh4RevenueTot">Cbal!$E$303:$E$303</definedName>
    <definedName name="cbalCh4Slots">Cbal!$E$91:$E$91</definedName>
    <definedName name="cbalCh4SlotTotActive">Cbal!$E$230:$E$230</definedName>
    <definedName name="cbalCh4ValDriv1">Cbal!$E$61:$E$61</definedName>
    <definedName name="cbalCh4ValDriv2">Cbal!$E$66:$E$66</definedName>
    <definedName name="cbalCh4ValDriv3">Cbal!$E$71:$E$71</definedName>
    <definedName name="cbalCh4ValDriv4">Cbal!$E$76:$E$76</definedName>
    <definedName name="cbalCh4ValDriv5">Cbal!$E$81:$E$81</definedName>
    <definedName name="cbalCh4ValDrivCond">Cbal!$E$86:$E$86</definedName>
    <definedName name="cbalCompanyCustomerProfitTot">Cbal!$E$319:$E$319</definedName>
    <definedName name="cbalCompanyEBIT">Cbal!$E$312:$E$312</definedName>
    <definedName name="cbalCompanyGPaLTot">Cbal!$E$305:$E$305</definedName>
    <definedName name="cbalCompanyRevenueTot">Cbal!$E$298:$E$298</definedName>
    <definedName name="cbalCompanyVolSold">Cbal!$E$326:$E$326</definedName>
    <definedName name="cbalEmp1">Cbal!$E$104:$E$104</definedName>
    <definedName name="cbalPack10Avail">Cbal!$E$35:$E$35</definedName>
    <definedName name="cbalPack11Avail">Cbal!$E$36:$E$36</definedName>
    <definedName name="cbalPack12Avail">Cbal!$E$37:$E$37</definedName>
    <definedName name="cbalPack13Avail">Cbal!$E$38:$E$38</definedName>
    <definedName name="cbalPack14Avail">Cbal!$E$39:$E$39</definedName>
    <definedName name="cbalPack15Avail">Cbal!$E$40:$E$40</definedName>
    <definedName name="cbalPack16Avail">Cbal!$E$41:$E$41</definedName>
    <definedName name="cbalPack17Avail">Cbal!$E$42:$E$42</definedName>
    <definedName name="cbalPack18Avail">Cbal!$E$43:$E$43</definedName>
    <definedName name="cbalPack19Avail">Cbal!$E$44:$E$44</definedName>
    <definedName name="cbalPack1Avail">Cbal!$E$26:$E$26</definedName>
    <definedName name="cbalPack20Avail">Cbal!$E$45:$E$45</definedName>
    <definedName name="cbalPack21Avail">Cbal!$E$46:$E$46</definedName>
    <definedName name="cbalPack22Avail">Cbal!$E$47:$E$47</definedName>
    <definedName name="cbalPack23Avail">Cbal!$E$48:$E$48</definedName>
    <definedName name="cbalPack24Avail">Cbal!$E$49:$E$49</definedName>
    <definedName name="cbalPack25Avail">Cbal!$E$50:$E$50</definedName>
    <definedName name="cbalPack26Avail">Cbal!$E$51:$E$51</definedName>
    <definedName name="cbalPack27Avail">Cbal!$E$52:$E$52</definedName>
    <definedName name="cbalPack28Avail">Cbal!$E$53:$E$53</definedName>
    <definedName name="cbalPack29Avail">Cbal!$E$54:$E$54</definedName>
    <definedName name="cbalPack2Avail">Cbal!$E$27:$E$27</definedName>
    <definedName name="cbalPack30Avail">Cbal!$E$55:$E$55</definedName>
    <definedName name="cbalPack3Avail">Cbal!$E$28:$E$28</definedName>
    <definedName name="cbalPack4Avail">Cbal!$E$29:$E$29</definedName>
    <definedName name="cbalPack5Avail">Cbal!$E$30:$E$30</definedName>
    <definedName name="cbalPack6Avail">Cbal!$E$31:$E$31</definedName>
    <definedName name="cbalPack7Avail">Cbal!$E$32:$E$32</definedName>
    <definedName name="cbalPack8Avail">Cbal!$E$33:$E$33</definedName>
    <definedName name="cbalPack9Avail">Cbal!$E$34:$E$34</definedName>
    <definedName name="cbalPlant1Units">Cbal!$E$93:$E$93</definedName>
    <definedName name="cbalProd1SlotTotActive">Cbal!$E$234:$E$234</definedName>
    <definedName name="cbalProd2SlotTotActive">Cbal!$E$235:$E$235</definedName>
    <definedName name="cbalProd3SlotTotActive">Cbal!$E$236:$E$236</definedName>
    <definedName name="cbalProd4SlotTotActive">Cbal!$E$237:$E$237</definedName>
    <definedName name="cbalReport1">Cbal!$E$96:$E$96</definedName>
    <definedName name="cbalReport2">Cbal!$E$97:$E$97</definedName>
    <definedName name="cbalReport3">Cbal!$E$98:$E$98</definedName>
    <definedName name="cbalReport4">Cbal!$E$99:$E$99</definedName>
    <definedName name="cbalReport5">Cbal!$E$100:$E$100</definedName>
    <definedName name="cbalReport6">Cbal!$E$101:$E$101</definedName>
    <definedName name="cbalSI1CodeR1">Cbal!$E$6:$E$6</definedName>
    <definedName name="cbalSI1CodeR2">Cbal!$E$12:$E$12</definedName>
    <definedName name="cbalSI1CodeR3">Cbal!$E$18:$E$18</definedName>
    <definedName name="cbalSI2CodeR1">Cbal!$E$7:$E$7</definedName>
    <definedName name="cbalSI2CodeR2">Cbal!$E$13:$E$13</definedName>
    <definedName name="cbalSI2CodeR3">Cbal!$E$19:$E$19</definedName>
    <definedName name="cbalSI3CodeR1">Cbal!$E$8:$E$8</definedName>
    <definedName name="cbalSI3CodeR2">Cbal!$E$14:$E$14</definedName>
    <definedName name="cbalSI3CodeR3">Cbal!$E$20:$E$20</definedName>
    <definedName name="cbalSI4CodeR1">Cbal!$E$9:$E$9</definedName>
    <definedName name="cbalSI4CodeR2">Cbal!$E$15:$E$15</definedName>
    <definedName name="cbalSI4CodeR3">Cbal!$E$21:$E$21</definedName>
    <definedName name="cbalSI5CodeR1">Cbal!$E$10:$E$10</definedName>
    <definedName name="cbalSI5CodeR2">Cbal!$E$16:$E$16</definedName>
    <definedName name="cbalSI5CodeR3">Cbal!$E$22:$E$22</definedName>
    <definedName name="cnstDaysPYear">Glossary!$D$6</definedName>
    <definedName name="cnstMillion">Glossary!$D$5</definedName>
    <definedName name="cnstWeeksPYear">Glossary!$D$7</definedName>
    <definedName name="core_FilePrefix">Controls!$D$5</definedName>
    <definedName name="Cuhlia_Plant_Units_Available">Calc!$E$3356:$E$3356</definedName>
    <definedName name="dataBrandNames">Data!$E$1369:$H$1369</definedName>
    <definedName name="dataCanBrand">Data!$D$1375:$H$1379</definedName>
    <definedName name="dataCanPack">Data!$D$1388:$AI$1419</definedName>
    <definedName name="dataCh1Prod1MarketVolume">Data!$D$44:$J$44</definedName>
    <definedName name="dataCh1Prod1NewSlotsExp">Data!$D$806:$F$810</definedName>
    <definedName name="dataCh1Prod1Seg1MarketVolBase">Data!$D$54:$G$54</definedName>
    <definedName name="dataCh1Prod1Seg2MarketVolBase">Data!$D$55:$G$55</definedName>
    <definedName name="dataCh1Prod1Seg3MarketVolBase">Data!$D$56:$G$56</definedName>
    <definedName name="dataCh1Prod1Seg4MarketVolBase">Data!$D$57:$G$57</definedName>
    <definedName name="dataCh1Prod1Volume">Data!$D$40:$J$40</definedName>
    <definedName name="dataCh1Prod23Seg1MarketVolBase">Data!$D$74:$G$74</definedName>
    <definedName name="dataCh1Prod23Seg2MarketVolBase">Data!$D$75:$G$75</definedName>
    <definedName name="dataCh1Prod23Seg3MarketVolBase">Data!$D$76:$G$76</definedName>
    <definedName name="dataCh1Prod23Seg4MarketVolBase">Data!$D$77:$G$77</definedName>
    <definedName name="dataCh1Prod2n3MarketVolume">Data!$D$64:$J$64</definedName>
    <definedName name="dataCh1Prod2n3Volume">Data!$D$60:$J$60</definedName>
    <definedName name="dataCh1Prod2NewSlotsExp">Data!$H$806:$J$810</definedName>
    <definedName name="dataCh1Prod3NewSlotsExp">Data!$L$806:$N$810</definedName>
    <definedName name="dataCh1Prod4MarketVolume">Data!$W$82:$AA$87</definedName>
    <definedName name="dataCh1Prod4NewSlotsExp">Data!$P$806:$R$810</definedName>
    <definedName name="dataCh1Prod4Seg1MarketVolBase">Data!$D$94:$G$94</definedName>
    <definedName name="dataCh1Prod4Seg1MarketVolShare">Data!$D$88:$G$88</definedName>
    <definedName name="dataCh1Prod4Seg2MarketVolBase">Data!$D$95:$G$95</definedName>
    <definedName name="dataCh1Prod4Seg2MarketVolShare">Data!$D$89:$G$89</definedName>
    <definedName name="dataCh1Prod4Seg3MarketVolBase">Data!$D$96:$G$96</definedName>
    <definedName name="dataCh1Prod4Seg3MarketVolShare">Data!$D$90:$G$90</definedName>
    <definedName name="dataCh1Prod4Seg4MarketVolBase">Data!$D$97:$G$97</definedName>
    <definedName name="dataCh1Prod4Seg4MarketVolShare">Data!$D$91:$G$91</definedName>
    <definedName name="dataCh1Prod4Volume">Data!$D$80:$J$80</definedName>
    <definedName name="dataCh1PromoPlansExp">Data!$D$745:$F$798</definedName>
    <definedName name="dataCh1PromoType">Data!$D$726:$D$731</definedName>
    <definedName name="dataCh1PromoWeeks">Data!$D$949:$E$974</definedName>
    <definedName name="dataCh1SlotsAvailable">Data!$D$934:$E$945</definedName>
    <definedName name="dataCh1WdBaseline">Data!$D$865:$H$895</definedName>
    <definedName name="dataCh1WdDecImpacts">Data!$D$898:$E$929</definedName>
    <definedName name="dataCh2Prod1MarketVolume">Data!$D$106:$J$106</definedName>
    <definedName name="dataCh2Prod1NewSlotsExp">Data!$D$814:$F$818</definedName>
    <definedName name="dataCh2Prod1Seg1MarketVolBase">Data!$D$116:$G$116</definedName>
    <definedName name="dataCh2Prod1Seg2MarketVolBase">Data!$D$117:$G$117</definedName>
    <definedName name="dataCh2Prod1Seg3MarketVolBase">Data!$D$118:$G$118</definedName>
    <definedName name="dataCh2Prod1Seg4MarketVolBase">Data!$D$119:$G$119</definedName>
    <definedName name="dataCh2Prod1Volume">Data!$D$102:$J$102</definedName>
    <definedName name="dataCh2Prod23Seg1MarketVolBase">Data!$D$136:$G$136</definedName>
    <definedName name="dataCh2Prod23Seg2MarketVolBase">Data!$D$137:$G$137</definedName>
    <definedName name="dataCh2Prod23Seg3MarketVolBase">Data!$D$138:$G$138</definedName>
    <definedName name="dataCh2Prod23Seg4MarketVolBase">Data!$D$139:$G$139</definedName>
    <definedName name="dataCh2Prod2n3MarketVolume">Data!$D$126:$J$126</definedName>
    <definedName name="dataCh2Prod2n3Volume">Data!$D$122:$J$122</definedName>
    <definedName name="dataCh2Prod2NewSlotsExp">Data!$H$814:$J$818</definedName>
    <definedName name="dataCh2Prod3NewSlotsExp">Data!$L$814:$N$818</definedName>
    <definedName name="dataCh2Prod4MarketVolume">Data!$W$144:$AA$149</definedName>
    <definedName name="dataCh2Prod4NewSlotsExp">Data!$P$814:$R$818</definedName>
    <definedName name="dataCh2Prod4Seg1MarketVolBase">Data!$D$156:$G$156</definedName>
    <definedName name="dataCh2Prod4Seg1MarketVolShare">Data!$D$150:$G$150</definedName>
    <definedName name="dataCh2Prod4Seg2MarketVolBase">Data!$D$157:$G$157</definedName>
    <definedName name="dataCh2Prod4Seg2MarketVolShare">Data!$D$151:$G$151</definedName>
    <definedName name="dataCh2Prod4Seg3MarketVolBase">Data!$D$158:$G$158</definedName>
    <definedName name="dataCh2Prod4Seg3MarketVolShare">Data!$D$152:$G$152</definedName>
    <definedName name="dataCh2Prod4Seg4MarketVolBase">Data!$D$159:$G$159</definedName>
    <definedName name="dataCh2Prod4Seg4MarketVolShare">Data!$D$153:$G$153</definedName>
    <definedName name="dataCh2Prod4Volume">Data!$D$142:$J$142</definedName>
    <definedName name="dataCh2PromoType">Data!$E$726:$E$731</definedName>
    <definedName name="dataCh2PromoWeeks">Data!$G$949:$H$974</definedName>
    <definedName name="dataCh2SlotsAvailable">Data!$G$934:$H$945</definedName>
    <definedName name="dataCh2WdBaseline">Data!$J$865:$N$895</definedName>
    <definedName name="dataCh2WdDecImpacts">Data!$J$898:$K$929</definedName>
    <definedName name="dataCh3Prod1MarketVolume">Data!$D$168:$J$168</definedName>
    <definedName name="dataCh3Prod1NewSlotsExp">Data!$D$822:$F$826</definedName>
    <definedName name="dataCh3Prod1Seg1MarketVolBase">Data!$D$178:$G$178</definedName>
    <definedName name="dataCh3Prod1Seg2MarketVolBase">Data!$D$179:$G$179</definedName>
    <definedName name="dataCh3Prod1Seg3MarketVolBase">Data!$D$180:$G$180</definedName>
    <definedName name="dataCh3Prod1Seg4MarketVolBase">Data!$D$181:$G$181</definedName>
    <definedName name="dataCh3Prod1Volume">Data!$D$164:$J$164</definedName>
    <definedName name="dataCh3Prod23Seg1MarketVolBase">Data!$D$198:$G$198</definedName>
    <definedName name="dataCh3Prod23Seg2MarketVolBase">Data!$D$199:$G$199</definedName>
    <definedName name="dataCh3Prod23Seg3MarketVolBase">Data!$D$200:$G$200</definedName>
    <definedName name="dataCh3Prod23Seg4MarketVolBase">Data!$D$201:$G$201</definedName>
    <definedName name="dataCh3Prod2n3MarketVolume">Data!$D$188:$J$188</definedName>
    <definedName name="dataCh3Prod2n3Volume">Data!$D$184:$J$184</definedName>
    <definedName name="dataCh3Prod2NewSlotsExp">Data!$H$822:$J$826</definedName>
    <definedName name="dataCh3Prod3NewSlotsExp">Data!$L$822:$N$826</definedName>
    <definedName name="dataCh3Prod4MarketVolume">Data!$W$206:$AA$211</definedName>
    <definedName name="dataCh3Prod4NewSlotsExp">Data!$P$822:$R$826</definedName>
    <definedName name="dataCh3Prod4Seg1MarketVolBase">Data!$D$218:$G$218</definedName>
    <definedName name="dataCh3Prod4Seg1MarketVolShare">Data!$D$212:$G$212</definedName>
    <definedName name="dataCh3Prod4Seg2MarketVolBase">Data!$D$219:$G$219</definedName>
    <definedName name="dataCh3Prod4Seg2MarketVolShare">Data!$D$213:$G$213</definedName>
    <definedName name="dataCh3Prod4Seg3MarketVolBase">Data!$D$220:$G$220</definedName>
    <definedName name="dataCh3Prod4Seg3MarketVolShare">Data!$D$214:$G$214</definedName>
    <definedName name="dataCh3Prod4Seg4MarketVolBase">Data!$D$221:$G$221</definedName>
    <definedName name="dataCh3Prod4Seg4MarketVolShare">Data!$D$215:$G$215</definedName>
    <definedName name="dataCh3Prod4Volume">Data!$D$204:$J$204</definedName>
    <definedName name="dataCh3PromoPlansExp">Data!$H$745:$J$798</definedName>
    <definedName name="dataCh3PromoType">Data!$F$726:$F$731</definedName>
    <definedName name="dataCh3PromoWeeks">Data!$J$949:$K$974</definedName>
    <definedName name="dataCh3SlotsAvailable">Data!$J$934:$K$945</definedName>
    <definedName name="dataCh3WdBaseline">Data!$P$865:$T$895</definedName>
    <definedName name="dataCh3WdDecImpacts">Data!$P$898:$Q$929</definedName>
    <definedName name="dataCh4Prod1MarketVolume">Data!$D$230:$J$230</definedName>
    <definedName name="dataCh4Prod1NewSlotsExp">Data!$D$830:$F$834</definedName>
    <definedName name="dataCh4Prod1Seg1MarketVolBase">Data!$D$240:$G$240</definedName>
    <definedName name="dataCh4Prod1Seg2MarketVolBase">Data!$D$241:$G$241</definedName>
    <definedName name="dataCh4Prod1Seg3MarketVolBase">Data!$D$242:$G$242</definedName>
    <definedName name="dataCh4Prod1Seg4MarketVolBase">Data!$D$243:$G$243</definedName>
    <definedName name="dataCh4Prod1Volume">Data!$D$226:$J$226</definedName>
    <definedName name="dataCh4Prod23Seg1MarketVolBase">Data!$D$260:$G$260</definedName>
    <definedName name="dataCh4Prod23Seg2MarketVolBase">Data!$D$261:$G$261</definedName>
    <definedName name="dataCh4Prod23Seg3MarketVolBase">Data!$D$262:$G$262</definedName>
    <definedName name="dataCh4Prod23Seg4MarketVolBase">Data!$D$263:$G$263</definedName>
    <definedName name="dataCh4Prod2n3MarketVolume">Data!$D$250:$J$250</definedName>
    <definedName name="dataCh4Prod2n3Volume">Data!$D$246:$J$246</definedName>
    <definedName name="dataCh4Prod2NewSlotsExp">Data!$H$830:$J$834</definedName>
    <definedName name="dataCh4Prod3NewSlotsExp">Data!$L$830:$N$834</definedName>
    <definedName name="dataCh4Prod4MarketVolume">Data!$D$270:$J$270</definedName>
    <definedName name="dataCh4Prod4NewSlotsExp">Data!$P$830:$R$834</definedName>
    <definedName name="dataCh4Prod4Seg1MarketVolBase">Data!$D$280:$G$280</definedName>
    <definedName name="dataCh4Prod4Seg2MarketVolBase">Data!$D$281:$G$281</definedName>
    <definedName name="dataCh4Prod4Seg3MarketVolBase">Data!$D$282:$G$282</definedName>
    <definedName name="dataCh4Prod4Seg4MarketVolBase">Data!$D$283:$G$283</definedName>
    <definedName name="dataCh4Prod4Volume">Data!$D$266:$J$266</definedName>
    <definedName name="dataCh4PromoPlansExp">Data!$L$745:$N$798</definedName>
    <definedName name="dataCh4PromoType">Data!$G$726:$G$731</definedName>
    <definedName name="dataCh4PromoWeeks">Data!$M$949:$N$974</definedName>
    <definedName name="dataCh4SlotsAvailable">Data!$M$934:$N$945</definedName>
    <definedName name="dataCh4WdBaseline">Data!$V$865:$Z$895</definedName>
    <definedName name="dataCh4WdDecImpacts">Data!$V$898:$W$929</definedName>
    <definedName name="dataCustomerMargin">Data!$C$714:$G$718</definedName>
    <definedName name="dataFixedGAExp">Data!$D$483:$G$483</definedName>
    <definedName name="dataFixedMSExp">Data!$D$482:$G$482</definedName>
    <definedName name="dataFixedRDExp">Data!$D$481:$G$481</definedName>
    <definedName name="dataForecastImpactLabCost">Data!$D$1206:$H$1283</definedName>
    <definedName name="dataForecastImpactLogisticsCost">Data!$D$1287:$H$1364</definedName>
    <definedName name="dataForecastImpactMatCost">Data!$D$1125:$H$1202</definedName>
    <definedName name="dataLevels1to5">Data!$D$855:$D$859</definedName>
    <definedName name="dataMarketingPlansExp">Data!$F$841:$H$849</definedName>
    <definedName name="dataMarketingPlansFit">Data!$J$840:$N$849</definedName>
    <definedName name="dataMarketingPlansList">Data!$D$841:$D$849</definedName>
    <definedName name="dataMMCh1Prod1Seg1">Data!$C$290:$H$299</definedName>
    <definedName name="dataMMCh1Prod1Seg2">Data!$K$290:$P$299</definedName>
    <definedName name="dataMMCh1Prod1Seg3">Data!$S$290:$X$299</definedName>
    <definedName name="dataMMCh1Prod1Seg4">Data!$AA$290:$AF$299</definedName>
    <definedName name="dataMMCh1Prod23Seg1">Data!$C$305:$H$314</definedName>
    <definedName name="dataMMCh1Prod23Seg2">Data!$K$305:$P$314</definedName>
    <definedName name="dataMMCh1Prod23Seg3">Data!$S$305:$X$314</definedName>
    <definedName name="dataMMCh1Prod23Seg4">Data!$AA$305:$AF$314</definedName>
    <definedName name="dataMMCh1Prod4Seg1">Data!$C$320:$H$329</definedName>
    <definedName name="dataMMCh1Prod4Seg2">Data!$K$320:$P$329</definedName>
    <definedName name="dataMMCh1Prod4Seg3">Data!$S$320:$X$329</definedName>
    <definedName name="dataMMCh1Prod4Seg4">Data!$AA$320:$AF$329</definedName>
    <definedName name="dataMMCh2Prod1Seg1">Data!$C$335:$H$344</definedName>
    <definedName name="dataMMCh2Prod1Seg2">Data!$K$335:$P$344</definedName>
    <definedName name="dataMMCh2Prod1Seg3">Data!$S$335:$X$344</definedName>
    <definedName name="dataMMCh2Prod1Seg4">Data!$AA$335:$AF$344</definedName>
    <definedName name="dataMMCh2Prod23Seg1">Data!$C$350:$H$359</definedName>
    <definedName name="dataMMCh2Prod23Seg2">Data!$K$350:$P$359</definedName>
    <definedName name="dataMMCh2Prod23Seg3">Data!$S$350:$X$359</definedName>
    <definedName name="dataMMCh2Prod23Seg4">Data!$AA$350:$AF$359</definedName>
    <definedName name="dataMMCh2Prod4Seg1">Data!$C$365:$H$374</definedName>
    <definedName name="dataMMCh2Prod4Seg2">Data!$K$365:$P$374</definedName>
    <definedName name="dataMMCh2Prod4Seg3">Data!$S$365:$X$374</definedName>
    <definedName name="dataMMCh2Prod4Seg4">Data!$AA$365:$AF$374</definedName>
    <definedName name="dataMMCh3Prod1Seg1">Data!$C$380:$H$389</definedName>
    <definedName name="dataMMCh3Prod1Seg2">Data!$K$380:$P$389</definedName>
    <definedName name="dataMMCh3Prod1Seg3">Data!$S$380:$X$389</definedName>
    <definedName name="dataMMCh3Prod1Seg4">Data!$AA$380:$AF$389</definedName>
    <definedName name="dataMMCh3Prod23Seg1">Data!$C$395:$H$404</definedName>
    <definedName name="dataMMCh3Prod23Seg2">Data!$K$395:$P$404</definedName>
    <definedName name="dataMMCh3Prod23Seg3">Data!$S$395:$X$404</definedName>
    <definedName name="dataMMCh3Prod23Seg4">Data!$AA$395:$AF$404</definedName>
    <definedName name="dataMMCh3Prod4Seg1">Data!$C$410:$H$419</definedName>
    <definedName name="dataMMCh3Prod4Seg2">Data!$K$410:$P$419</definedName>
    <definedName name="dataMMCh3Prod4Seg3">Data!$S$410:$X$419</definedName>
    <definedName name="dataMMCh3Prod4Seg4">Data!$AA$410:$AF$419</definedName>
    <definedName name="dataMMCh4Prod1Seg1">Data!$C$425:$H$434</definedName>
    <definedName name="dataMMCh4Prod1Seg2">Data!$K$425:$P$434</definedName>
    <definedName name="dataMMCh4Prod1Seg3">Data!$S$425:$X$434</definedName>
    <definedName name="dataMMCh4Prod1Seg4">Data!$AA$425:$AF$434</definedName>
    <definedName name="dataMMCh4Prod23Seg1">Data!$C$440:$H$449</definedName>
    <definedName name="dataMMCh4Prod23Seg2">Data!$K$440:$P$449</definedName>
    <definedName name="dataMMCh4Prod23Seg3">Data!$S$440:$X$449</definedName>
    <definedName name="dataMMCh4Prod23Seg4">Data!$AA$440:$AF$449</definedName>
    <definedName name="dataMMCh4Prod4Seg1">Data!$C$455:$H$464</definedName>
    <definedName name="dataMMCh4Prod4Seg2">Data!$K$455:$P$464</definedName>
    <definedName name="dataMMCh4Prod4Seg3">Data!$S$455:$X$464</definedName>
    <definedName name="dataMMCh4Prod4Seg4">Data!$AA$455:$AF$464</definedName>
    <definedName name="dataNewSlots">Data!$M$855:$O$859</definedName>
    <definedName name="dataNumTeams">Data!$D$14</definedName>
    <definedName name="dataPackChFit">Data!$C$490:$G$520</definedName>
    <definedName name="dataPackInnovation">Data!$C$632:$E$662</definedName>
    <definedName name="dataPackLabourHrs">Data!$D$1055:$H$1085</definedName>
    <definedName name="dataPackLogisticsCost">Data!$D$1091:$H$1121</definedName>
    <definedName name="dataPackMaterialExp">Data!$D$1019:$H$1049</definedName>
    <definedName name="dataPackMatExp">Data!$D$983:$H$1013</definedName>
    <definedName name="dataPackNames">Data!$E$1371:$AI$1371</definedName>
    <definedName name="dataPackPrice">Data!$C$596:$G$626</definedName>
    <definedName name="dataPackProdFit">Data!$C$525:$G$555</definedName>
    <definedName name="dataPackSegFit">Data!$C$560:$G$590</definedName>
    <definedName name="dataPackSize">Data!$C$668:$E$698</definedName>
    <definedName name="dataProd1MarketVolume">Data!$G$44:$J$44</definedName>
    <definedName name="dataProd1Volume">Data!$G$40:$J$40</definedName>
    <definedName name="dataPromoPlanDisc">Data!$D$736:$H$741</definedName>
    <definedName name="dataPromoSeg1">Data!$D$1527:$AI$1533</definedName>
    <definedName name="dataPromoSeg2">Data!$D$1536:$AI$1542</definedName>
    <definedName name="dataPromoSeg3">Data!$D$1545:$AI$1551</definedName>
    <definedName name="dataPromoSeg4">Data!$D$1554:$AI$1560</definedName>
    <definedName name="dataPromoWeeksEffect">Data!$D$1564:$H$1591</definedName>
    <definedName name="dataPromoWeeksShareEffect">Data!$D$1594:$H$1621</definedName>
    <definedName name="dataRevenueFactor">Data!$C$703:$D$707</definedName>
    <definedName name="dataValDrivCond">Data!$J$855:$K$859</definedName>
    <definedName name="dataValDrivExp">Data!$F$855:$H$859</definedName>
    <definedName name="DB_ArrayDash1Names">OutDashboard!$C$43:$C$52</definedName>
    <definedName name="DB_ArrayDash1Values">OutDashboard!$H$43:$H$52</definedName>
    <definedName name="DB_ArrayDash2Names">OutDashboard!$C$57:$C$66</definedName>
    <definedName name="DB_ArrayDash2Values">OutDashboard!$H$57:$H$66</definedName>
    <definedName name="DB_ArrayDash3Names">OutDashboard!$C$71:$C$80</definedName>
    <definedName name="DB_ArrayDash3Values">OutDashboard!$H$71:$H$80</definedName>
    <definedName name="DB_ArrayDash4Names">OutDashboard!$C$85:$C$94</definedName>
    <definedName name="DB_ArrayDash4Values">OutDashboard!$H$85:$H$94</definedName>
    <definedName name="DB_ArrayDash5Names">OutDashboard!$C$99:$C$108</definedName>
    <definedName name="DB_ArrayDash5Values">OutDashboard!$H$99:$H$108</definedName>
    <definedName name="DB_ArrayDash6Names">OutDashboard!$C$113:$C$122</definedName>
    <definedName name="DB_ArrayDash6Values">OutDashboard!$H$113:$H$122</definedName>
    <definedName name="DB_ArrayDash7Names">OutDashboard!$C$127:$C$136</definedName>
    <definedName name="DB_ArrayDash7Values">OutDashboard!$H$127:$H$136</definedName>
    <definedName name="DB_Dashboard1">OutDashboard!$E$14</definedName>
    <definedName name="DB_Dashboard2">OutDashboard!$E$17</definedName>
    <definedName name="DB_Dashboard3">OutDashboard!$E$20</definedName>
    <definedName name="DB_Dashboard4">OutDashboard!$E$23</definedName>
    <definedName name="DB_Dashboard5">OutDashboard!$E$26</definedName>
    <definedName name="DB_Dashboard6">OutDashboard!$E$29</definedName>
    <definedName name="DB_Dashboard7">OutDashboard!$E$32</definedName>
    <definedName name="DB_LargeWhiteSpace">OutDashboard!$E$143</definedName>
    <definedName name="DB_LargeWhiteSpaceLength">OutDashboard!$E$38</definedName>
    <definedName name="DB_SubWhiteSpace">OutDashboard!$E$144</definedName>
    <definedName name="DB_SubWhiteSpaceLength">OutDashboard!$E$39</definedName>
    <definedName name="DB_WhiteSpace">OutDashboard!$E$142</definedName>
    <definedName name="DB_WhiteSpaceLength">OutDashboard!$E$37</definedName>
    <definedName name="dec_End">Dec!$E$636</definedName>
    <definedName name="dec_Names">Dec!$F$3:$F$634</definedName>
    <definedName name="dec_Paste">Dec!$E$3:$E$3</definedName>
    <definedName name="dec_Round">Controls!$D$43</definedName>
    <definedName name="dec_TeamName">Controls!$D$39</definedName>
    <definedName name="dec_TeamNumber">Controls!$D$41</definedName>
    <definedName name="dec_ToolInputPrefix">Controls!$D$45</definedName>
    <definedName name="decCh1MarkPlan">Dec!$E$28:$E$28</definedName>
    <definedName name="decCh1Prod1Forecast">Dec!$E$74:$E$74</definedName>
    <definedName name="decCh1Prod1Slot1Active">Dec!$E$97:$E$97</definedName>
    <definedName name="decCh1Prod1Slot1CustPrice">Dec!$E$284:$E$284</definedName>
    <definedName name="decCh1Prod1Slot1Forecast">Dec!$E$498:$E$498</definedName>
    <definedName name="decCh1Prod1Slot1Pack">Dec!$E$213:$E$213</definedName>
    <definedName name="decCh1Prod1Slot1Promo1">Dec!$E$356:$E$356</definedName>
    <definedName name="decCh1Prod1Slot1Promo1ShareFrc">Dec!$E$569:$E$569</definedName>
    <definedName name="decCh1Prod1Slot1Promo1Weeks">Dec!$E$427:$E$427</definedName>
    <definedName name="decCh1Prod1Slot1Promo2">Dec!$E$373:$E$373</definedName>
    <definedName name="decCh1Prod1Slot1Promo2ShareFrc">Dec!$E$586:$E$586</definedName>
    <definedName name="decCh1Prod1Slot1Promo2Weeks">Dec!$E$444:$E$444</definedName>
    <definedName name="decCh1Prod1Slot2Active">Dec!$E$98:$E$98</definedName>
    <definedName name="decCh1Prod1Slot2CustPrice">Dec!$E$285:$E$285</definedName>
    <definedName name="decCh1Prod1Slot2Forecast">Dec!$E$499:$E$499</definedName>
    <definedName name="decCh1Prod1Slot2Pack">Dec!$E$214:$E$214</definedName>
    <definedName name="decCh1Prod1Slot2Promo1">Dec!$E$357:$E$357</definedName>
    <definedName name="decCh1Prod1Slot2Promo1ShareFrc">Dec!$E$570:$E$570</definedName>
    <definedName name="decCh1Prod1Slot2Promo1Weeks">Dec!$E$428:$E$428</definedName>
    <definedName name="decCh1Prod1Slot2Promo2">Dec!$E$374:$E$374</definedName>
    <definedName name="decCh1Prod1Slot2Promo2ShareFrc">Dec!$E$587:$E$587</definedName>
    <definedName name="decCh1Prod1Slot2Promo2Weeks">Dec!$E$445:$E$445</definedName>
    <definedName name="decCh1Prod1Slot3Active">Dec!$E$99:$E$99</definedName>
    <definedName name="decCh1Prod1Slot3CustPrice">Dec!$E$286:$E$286</definedName>
    <definedName name="decCh1Prod1Slot3Forecast">Dec!$E$500:$E$500</definedName>
    <definedName name="decCh1Prod1Slot3Pack">Dec!$E$215:$E$215</definedName>
    <definedName name="decCh1Prod1Slot3Promo1">Dec!$E$358:$E$358</definedName>
    <definedName name="decCh1Prod1Slot3Promo1ShareFrc">Dec!$E$571:$E$571</definedName>
    <definedName name="decCh1Prod1Slot3Promo1Weeks">Dec!$E$429:$E$429</definedName>
    <definedName name="decCh1Prod1Slot3Promo2">Dec!$E$375:$E$375</definedName>
    <definedName name="decCh1Prod1Slot3Promo2ShareFrc">Dec!$E$588:$E$588</definedName>
    <definedName name="decCh1Prod1Slot3Promo2Weeks">Dec!$E$446:$E$446</definedName>
    <definedName name="decCh1Prod2Forecast">Dec!$E$75:$E$75</definedName>
    <definedName name="decCh1Prod2Slot1Active">Dec!$E$101:$E$101</definedName>
    <definedName name="decCh1Prod2Slot1CustPrice">Dec!$E$288:$E$288</definedName>
    <definedName name="decCh1Prod2Slot1Forecast">Dec!$E$502:$E$502</definedName>
    <definedName name="decCh1Prod2Slot1Pack">Dec!$E$217:$E$217</definedName>
    <definedName name="decCh1Prod2Slot1Promo1">Dec!$E$360:$E$360</definedName>
    <definedName name="decCh1Prod2Slot1Promo1ShareFrc">Dec!$E$573:$E$573</definedName>
    <definedName name="decCh1Prod2Slot1Promo1Weeks">Dec!$E$431:$E$431</definedName>
    <definedName name="decCh1Prod2Slot1Promo2">Dec!$E$377:$E$377</definedName>
    <definedName name="decCh1Prod2Slot1Promo2ShareFrc">Dec!$E$590:$E$590</definedName>
    <definedName name="decCh1Prod2Slot1Promo2Weeks">Dec!$E$448:$E$448</definedName>
    <definedName name="decCh1Prod2Slot2Active">Dec!$E$102:$E$102</definedName>
    <definedName name="decCh1Prod2Slot2CustPrice">Dec!$E$289:$E$289</definedName>
    <definedName name="decCh1Prod2Slot2Forecast">Dec!$E$503:$E$503</definedName>
    <definedName name="decCh1Prod2Slot2Pack">Dec!$E$218:$E$218</definedName>
    <definedName name="decCh1Prod2Slot2Promo1">Dec!$E$361:$E$361</definedName>
    <definedName name="decCh1Prod2Slot2Promo1ShareFrc">Dec!$E$574:$E$574</definedName>
    <definedName name="decCh1Prod2Slot2Promo1Weeks">Dec!$E$432:$E$432</definedName>
    <definedName name="decCh1Prod2Slot2Promo2">Dec!$E$378:$E$378</definedName>
    <definedName name="decCh1Prod2Slot2Promo2ShareFrc">Dec!$E$591:$E$591</definedName>
    <definedName name="decCh1Prod2Slot2Promo2Weeks">Dec!$E$449:$E$449</definedName>
    <definedName name="decCh1Prod2Slot3Active">Dec!$E$103:$E$103</definedName>
    <definedName name="decCh1Prod2Slot3CustPrice">Dec!$E$290:$E$290</definedName>
    <definedName name="decCh1Prod2Slot3Forecast">Dec!$E$504:$E$504</definedName>
    <definedName name="decCh1Prod2Slot3Pack">Dec!$E$219:$E$219</definedName>
    <definedName name="decCh1Prod2Slot3Promo1">Dec!$E$362:$E$362</definedName>
    <definedName name="decCh1Prod2Slot3Promo1ShareFrc">Dec!$E$575:$E$575</definedName>
    <definedName name="decCh1Prod2Slot3Promo1Weeks">Dec!$E$433:$E$433</definedName>
    <definedName name="decCh1Prod2Slot3Promo2">Dec!$E$379:$E$379</definedName>
    <definedName name="decCh1Prod2Slot3Promo2ShareFrc">Dec!$E$592:$E$592</definedName>
    <definedName name="decCh1Prod2Slot3Promo2Weeks">Dec!$E$450:$E$450</definedName>
    <definedName name="decCh1Prod3Forecast">Dec!$E$76:$E$76</definedName>
    <definedName name="decCh1Prod3Slot1Active">Dec!$E$105:$E$105</definedName>
    <definedName name="decCh1Prod3Slot1CustPrice">Dec!$E$292:$E$292</definedName>
    <definedName name="decCh1Prod3Slot1Forecast">Dec!$E$506:$E$506</definedName>
    <definedName name="decCh1Prod3Slot1Pack">Dec!$E$221:$E$221</definedName>
    <definedName name="decCh1Prod3Slot1Promo1">Dec!$E$364:$E$364</definedName>
    <definedName name="decCh1Prod3Slot1Promo1ShareFrc">Dec!$E$577:$E$577</definedName>
    <definedName name="decCh1Prod3Slot1Promo1Weeks">Dec!$E$435:$E$435</definedName>
    <definedName name="decCh1Prod3Slot1Promo2">Dec!$E$381:$E$381</definedName>
    <definedName name="decCh1Prod3Slot1Promo2ShareFrc">Dec!$E$594:$E$594</definedName>
    <definedName name="decCh1Prod3Slot1Promo2Weeks">Dec!$E$452:$E$452</definedName>
    <definedName name="decCh1Prod3Slot2Active">Dec!$E$106:$E$106</definedName>
    <definedName name="decCh1Prod3Slot2CustPrice">Dec!$E$293:$E$293</definedName>
    <definedName name="decCh1Prod3Slot2Forecast">Dec!$E$507:$E$507</definedName>
    <definedName name="decCh1Prod3Slot2Pack">Dec!$E$222:$E$222</definedName>
    <definedName name="decCh1Prod3Slot2Promo1">Dec!$E$365:$E$365</definedName>
    <definedName name="decCh1Prod3Slot2Promo1ShareFrc">Dec!$E$578:$E$578</definedName>
    <definedName name="decCh1Prod3Slot2Promo1Weeks">Dec!$E$436:$E$436</definedName>
    <definedName name="decCh1Prod3Slot2Promo2">Dec!$E$382:$E$382</definedName>
    <definedName name="decCh1Prod3Slot2Promo2ShareFrc">Dec!$E$595:$E$595</definedName>
    <definedName name="decCh1Prod3Slot2Promo2Weeks">Dec!$E$453:$E$453</definedName>
    <definedName name="decCh1Prod3Slot3Active">Dec!$E$107:$E$107</definedName>
    <definedName name="decCh1Prod3Slot3CustPrice">Dec!$E$294:$E$294</definedName>
    <definedName name="decCh1Prod3Slot3Forecast">Dec!$E$508:$E$508</definedName>
    <definedName name="decCh1Prod3Slot3Pack">Dec!$E$223:$E$223</definedName>
    <definedName name="decCh1Prod3Slot3Promo1">Dec!$E$366:$E$366</definedName>
    <definedName name="decCh1Prod3Slot3Promo1ShareFrc">Dec!$E$579:$E$579</definedName>
    <definedName name="decCh1Prod3Slot3Promo1Weeks">Dec!$E$437:$E$437</definedName>
    <definedName name="decCh1Prod3Slot3Promo2">Dec!$E$383:$E$383</definedName>
    <definedName name="decCh1Prod3Slot3Promo2ShareFrc">Dec!$E$596:$E$596</definedName>
    <definedName name="decCh1Prod3Slot3Promo2Weeks">Dec!$E$454:$E$454</definedName>
    <definedName name="decCh1Prod4Forecast">Dec!$E$77:$E$77</definedName>
    <definedName name="decCh1Prod4Slot1Active">Dec!$E$109:$E$109</definedName>
    <definedName name="decCh1Prod4Slot1CustPrice">Dec!$E$296:$E$296</definedName>
    <definedName name="decCh1Prod4Slot1Forecast">Dec!$E$510:$E$510</definedName>
    <definedName name="decCh1Prod4Slot1Pack">Dec!$E$225:$E$225</definedName>
    <definedName name="decCh1Prod4Slot1Promo1">Dec!$E$368:$E$368</definedName>
    <definedName name="decCh1Prod4Slot1Promo1ShareFrc">Dec!$E$581:$E$581</definedName>
    <definedName name="decCh1Prod4Slot1Promo1Weeks">Dec!$E$439:$E$439</definedName>
    <definedName name="decCh1Prod4Slot1Promo2">Dec!$E$385:$E$385</definedName>
    <definedName name="decCh1Prod4Slot1Promo2ShareFrc">Dec!$E$598:$E$598</definedName>
    <definedName name="decCh1Prod4Slot1Promo2Weeks">Dec!$E$456:$E$456</definedName>
    <definedName name="decCh1Prod4Slot2Active">Dec!$E$110:$E$110</definedName>
    <definedName name="decCh1Prod4Slot2CustPrice">Dec!$E$297:$E$297</definedName>
    <definedName name="decCh1Prod4Slot2Forecast">Dec!$E$511:$E$511</definedName>
    <definedName name="decCh1Prod4Slot2Pack">Dec!$E$226:$E$226</definedName>
    <definedName name="decCh1Prod4Slot2Promo1">Dec!$E$369:$E$369</definedName>
    <definedName name="decCh1Prod4Slot2Promo1ShareFrc">Dec!$E$582:$E$582</definedName>
    <definedName name="decCh1Prod4Slot2Promo1Weeks">Dec!$E$440:$E$440</definedName>
    <definedName name="decCh1Prod4Slot2Promo2">Dec!$E$386:$E$386</definedName>
    <definedName name="decCh1Prod4Slot2Promo2ShareFrc">Dec!$E$599:$E$599</definedName>
    <definedName name="decCh1Prod4Slot2Promo2Weeks">Dec!$E$457:$E$457</definedName>
    <definedName name="decCh1Prod4Slot3Active">Dec!$E$111:$E$111</definedName>
    <definedName name="decCh1Prod4Slot3CustPrice">Dec!$E$298:$E$298</definedName>
    <definedName name="decCh1Prod4Slot3Forecast">Dec!$E$512:$E$512</definedName>
    <definedName name="decCh1Prod4Slot3Pack">Dec!$E$227:$E$227</definedName>
    <definedName name="decCh1Prod4Slot3Promo1">Dec!$E$370:$E$370</definedName>
    <definedName name="decCh1Prod4Slot3Promo1ShareFrc">Dec!$E$583:$E$583</definedName>
    <definedName name="decCh1Prod4Slot3Promo1Weeks">Dec!$E$441:$E$441</definedName>
    <definedName name="decCh1Prod4Slot3Promo2">Dec!$E$387:$E$387</definedName>
    <definedName name="decCh1Prod4Slot3Promo2ShareFrc">Dec!$E$600:$E$600</definedName>
    <definedName name="decCh1Prod4Slot3Promo2Weeks">Dec!$E$458:$E$458</definedName>
    <definedName name="decCh1R1Report1">Dec!$E$167:$E$167</definedName>
    <definedName name="decCh1R1Report2">Dec!$E$168:$E$168</definedName>
    <definedName name="decCh1R2Report3">Dec!$E$170:$E$170</definedName>
    <definedName name="decCh1R2Report4">Dec!$E$171:$E$171</definedName>
    <definedName name="decCh1R3Report5">Dec!$E$173:$E$173</definedName>
    <definedName name="decCh1R3Report6">Dec!$E$174:$E$174</definedName>
    <definedName name="decCh1ValDriv1">Dec!$E$34:$E$34</definedName>
    <definedName name="decCh1ValDriv2">Dec!$E$35:$E$35</definedName>
    <definedName name="decCh1ValDriv3">Dec!$E$36:$E$36</definedName>
    <definedName name="decCh1ValDriv4">Dec!$E$37:$E$37</definedName>
    <definedName name="decCh1ValDriv5">Dec!$E$38:$E$38</definedName>
    <definedName name="decCh1ValDrivCond">Dec!$E$39:$E$39</definedName>
    <definedName name="decCh1VT">Dec!$E$66:$E$66</definedName>
    <definedName name="decCh2MarkPlan">Dec!$E$29:$E$29</definedName>
    <definedName name="decCh2Prod1Forecast">Dec!$E$79:$E$79</definedName>
    <definedName name="decCh2Prod1Slot1Active">Dec!$E$114:$E$114</definedName>
    <definedName name="decCh2Prod1Slot1CustPrice">Dec!$E$301:$E$301</definedName>
    <definedName name="decCh2Prod1Slot1Forecast">Dec!$E$515:$E$515</definedName>
    <definedName name="decCh2Prod1Slot1Pack">Dec!$E$230:$E$230</definedName>
    <definedName name="decCh2Prod1Slot2Active">Dec!$E$115:$E$115</definedName>
    <definedName name="decCh2Prod1Slot2CustPrice">Dec!$E$302:$E$302</definedName>
    <definedName name="decCh2Prod1Slot2Forecast">Dec!$E$516:$E$516</definedName>
    <definedName name="decCh2Prod1Slot2Pack">Dec!$E$231:$E$231</definedName>
    <definedName name="decCh2Prod1Slot3Active">Dec!$E$116:$E$116</definedName>
    <definedName name="decCh2Prod1Slot3CustPrice">Dec!$E$303:$E$303</definedName>
    <definedName name="decCh2Prod1Slot3Forecast">Dec!$E$517:$E$517</definedName>
    <definedName name="decCh2Prod1Slot3Pack">Dec!$E$232:$E$232</definedName>
    <definedName name="decCh2Prod2Forecast">Dec!$E$80:$E$80</definedName>
    <definedName name="decCh2Prod2Slot1Active">Dec!$E$118:$E$118</definedName>
    <definedName name="decCh2Prod2Slot1CustPrice">Dec!$E$305:$E$305</definedName>
    <definedName name="decCh2Prod2Slot1Forecast">Dec!$E$519:$E$519</definedName>
    <definedName name="decCh2Prod2Slot1Pack">Dec!$E$234:$E$234</definedName>
    <definedName name="decCh2Prod2Slot2Active">Dec!$E$119:$E$119</definedName>
    <definedName name="decCh2Prod2Slot2CustPrice">Dec!$E$306:$E$306</definedName>
    <definedName name="decCh2Prod2Slot2Forecast">Dec!$E$520:$E$520</definedName>
    <definedName name="decCh2Prod2Slot2Pack">Dec!$E$235:$E$235</definedName>
    <definedName name="decCh2Prod2Slot3Active">Dec!$E$120:$E$120</definedName>
    <definedName name="decCh2Prod2Slot3CustPrice">Dec!$E$307:$E$307</definedName>
    <definedName name="decCh2Prod2Slot3Forecast">Dec!$E$521:$E$521</definedName>
    <definedName name="decCh2Prod2Slot3Pack">Dec!$E$236:$E$236</definedName>
    <definedName name="decCh2Prod3Forecast">Dec!$E$81:$E$81</definedName>
    <definedName name="decCh2Prod3Slot1Active">Dec!$E$122:$E$122</definedName>
    <definedName name="decCh2Prod3Slot1CustPrice">Dec!$E$309:$E$309</definedName>
    <definedName name="decCh2Prod3Slot1Forecast">Dec!$E$523:$E$523</definedName>
    <definedName name="decCh2Prod3Slot1Pack">Dec!$E$238:$E$238</definedName>
    <definedName name="decCh2Prod3Slot2Active">Dec!$E$123:$E$123</definedName>
    <definedName name="decCh2Prod3Slot2CustPrice">Dec!$E$310:$E$310</definedName>
    <definedName name="decCh2Prod3Slot2Forecast">Dec!$E$524:$E$524</definedName>
    <definedName name="decCh2Prod3Slot2Pack">Dec!$E$239:$E$239</definedName>
    <definedName name="decCh2Prod3Slot3Active">Dec!$E$124:$E$124</definedName>
    <definedName name="decCh2Prod3Slot3CustPrice">Dec!$E$311:$E$311</definedName>
    <definedName name="decCh2Prod3Slot3Forecast">Dec!$E$525:$E$525</definedName>
    <definedName name="decCh2Prod3Slot3Pack">Dec!$E$240:$E$240</definedName>
    <definedName name="decCh2Prod4Forecast">Dec!$E$82:$E$82</definedName>
    <definedName name="decCh2Prod4Slot1Active">Dec!$E$126:$E$126</definedName>
    <definedName name="decCh2Prod4Slot1CustPrice">Dec!$E$313:$E$313</definedName>
    <definedName name="decCh2Prod4Slot1Forecast">Dec!$E$527:$E$527</definedName>
    <definedName name="decCh2Prod4Slot1Pack">Dec!$E$242:$E$242</definedName>
    <definedName name="decCh2Prod4Slot2Active">Dec!$E$127:$E$127</definedName>
    <definedName name="decCh2Prod4Slot2CustPrice">Dec!$E$314:$E$314</definedName>
    <definedName name="decCh2Prod4Slot2Forecast">Dec!$E$528:$E$528</definedName>
    <definedName name="decCh2Prod4Slot2Pack">Dec!$E$243:$E$243</definedName>
    <definedName name="decCh2Prod4Slot3Active">Dec!$E$128:$E$128</definedName>
    <definedName name="decCh2Prod4Slot3CustPrice">Dec!$E$315:$E$315</definedName>
    <definedName name="decCh2Prod4Slot3Forecast">Dec!$E$529:$E$529</definedName>
    <definedName name="decCh2Prod4Slot3Pack">Dec!$E$244:$E$244</definedName>
    <definedName name="decCh2R1Report1">Dec!$E$178:$E$178</definedName>
    <definedName name="decCh2R1Report2">Dec!$E$179:$E$179</definedName>
    <definedName name="decCh2R2Report3">Dec!$E$181:$E$181</definedName>
    <definedName name="decCh2R2Report4">Dec!$E$182:$E$182</definedName>
    <definedName name="decCh2R3Report5">Dec!$E$184:$E$184</definedName>
    <definedName name="decCh2R3Report6">Dec!$E$185:$E$185</definedName>
    <definedName name="decCh2ValDriv1">Dec!$E$42:$E$42</definedName>
    <definedName name="decCh2ValDriv2">Dec!$E$43:$E$43</definedName>
    <definedName name="decCh2ValDriv3">Dec!$E$44:$E$44</definedName>
    <definedName name="decCh2ValDriv4">Dec!$E$45:$E$45</definedName>
    <definedName name="decCh2ValDriv5">Dec!$E$46:$E$46</definedName>
    <definedName name="decCh2ValDrivCond">Dec!$E$47:$E$47</definedName>
    <definedName name="decCh2VT">Dec!$E$67:$E$67</definedName>
    <definedName name="decCh3MarkPlan">Dec!$E$30:$E$30</definedName>
    <definedName name="decCh3Prod1Forecast">Dec!$E$84:$E$84</definedName>
    <definedName name="decCh3Prod1Slot1Active">Dec!$E$131:$E$131</definedName>
    <definedName name="decCh3Prod1Slot1CustPrice">Dec!$E$318:$E$318</definedName>
    <definedName name="decCh3Prod1Slot1Forecast">Dec!$E$532:$E$532</definedName>
    <definedName name="decCh3Prod1Slot1Pack">Dec!$E$247:$E$247</definedName>
    <definedName name="decCh3Prod1Slot1Promo1">Dec!$E$390:$E$390</definedName>
    <definedName name="decCh3Prod1Slot1Promo1ShareFrc">Dec!$E$603:$E$603</definedName>
    <definedName name="decCh3Prod1Slot1Promo1Weeks">Dec!$E$461:$E$461</definedName>
    <definedName name="decCh3Prod1Slot2Active">Dec!$E$132:$E$132</definedName>
    <definedName name="decCh3Prod1Slot2CustPrice">Dec!$E$319:$E$319</definedName>
    <definedName name="decCh3Prod1Slot2Forecast">Dec!$E$533:$E$533</definedName>
    <definedName name="decCh3Prod1Slot2Pack">Dec!$E$248:$E$248</definedName>
    <definedName name="decCh3Prod1Slot2Promo1">Dec!$E$391:$E$391</definedName>
    <definedName name="decCh3Prod1Slot2Promo1ShareFrc">Dec!$E$604:$E$604</definedName>
    <definedName name="decCh3Prod1Slot2Promo1Weeks">Dec!$E$462:$E$462</definedName>
    <definedName name="decCh3Prod1Slot3Active">Dec!$E$133:$E$133</definedName>
    <definedName name="decCh3Prod1Slot3CustPrice">Dec!$E$320:$E$320</definedName>
    <definedName name="decCh3Prod1Slot3Forecast">Dec!$E$534:$E$534</definedName>
    <definedName name="decCh3Prod1Slot3Pack">Dec!$E$249:$E$249</definedName>
    <definedName name="decCh3Prod1Slot3Promo1">Dec!$E$392:$E$392</definedName>
    <definedName name="decCh3Prod1Slot3Promo1ShareFrc">Dec!$E$605:$E$605</definedName>
    <definedName name="decCh3Prod1Slot3Promo1Weeks">Dec!$E$463:$E$463</definedName>
    <definedName name="decCh3Prod2Forecast">Dec!$E$85:$E$85</definedName>
    <definedName name="decCh3Prod2Slot1Active">Dec!$E$135:$E$135</definedName>
    <definedName name="decCh3Prod2Slot1CustPrice">Dec!$E$322:$E$322</definedName>
    <definedName name="decCh3Prod2Slot1Forecast">Dec!$E$536:$E$536</definedName>
    <definedName name="decCh3Prod2Slot1Pack">Dec!$E$251:$E$251</definedName>
    <definedName name="decCh3Prod2Slot1Promo1">Dec!$E$394:$E$394</definedName>
    <definedName name="decCh3Prod2Slot1Promo1ShareFrc">Dec!$E$607:$E$607</definedName>
    <definedName name="decCh3Prod2Slot1Promo1Weeks">Dec!$E$465:$E$465</definedName>
    <definedName name="decCh3Prod2Slot2Active">Dec!$E$136:$E$136</definedName>
    <definedName name="decCh3Prod2Slot2CustPrice">Dec!$E$323:$E$323</definedName>
    <definedName name="decCh3Prod2Slot2Forecast">Dec!$E$537:$E$537</definedName>
    <definedName name="decCh3Prod2Slot2Pack">Dec!$E$252:$E$252</definedName>
    <definedName name="decCh3Prod2Slot2Promo1">Dec!$E$395:$E$395</definedName>
    <definedName name="decCh3Prod2Slot2Promo1ShareFrc">Dec!$E$608:$E$608</definedName>
    <definedName name="decCh3Prod2Slot2Promo1Weeks">Dec!$E$466:$E$466</definedName>
    <definedName name="decCh3Prod2Slot3Active">Dec!$E$137:$E$137</definedName>
    <definedName name="decCh3Prod2Slot3CustPrice">Dec!$E$324:$E$324</definedName>
    <definedName name="decCh3Prod2Slot3Forecast">Dec!$E$538:$E$538</definedName>
    <definedName name="decCh3Prod2Slot3Pack">Dec!$E$253:$E$253</definedName>
    <definedName name="decCh3Prod2Slot3Promo1">Dec!$E$396:$E$396</definedName>
    <definedName name="decCh3Prod2Slot3Promo1ShareFrc">Dec!$E$609:$E$609</definedName>
    <definedName name="decCh3Prod2Slot3Promo1Weeks">Dec!$E$467:$E$467</definedName>
    <definedName name="decCh3Prod3Forecast">Dec!$E$86:$E$86</definedName>
    <definedName name="decCh3Prod3Slot1Active">Dec!$E$139:$E$139</definedName>
    <definedName name="decCh3Prod3Slot1CustPrice">Dec!$E$326:$E$326</definedName>
    <definedName name="decCh3Prod3Slot1Forecast">Dec!$E$540:$E$540</definedName>
    <definedName name="decCh3Prod3Slot1Pack">Dec!$E$255:$E$255</definedName>
    <definedName name="decCh3Prod3Slot1Promo1">Dec!$E$398:$E$398</definedName>
    <definedName name="decCh3Prod3Slot1Promo1ShareFrc">Dec!$E$611:$E$611</definedName>
    <definedName name="decCh3Prod3Slot1Promo1Weeks">Dec!$E$469:$E$469</definedName>
    <definedName name="decCh3Prod3Slot2Active">Dec!$E$140:$E$140</definedName>
    <definedName name="decCh3Prod3Slot2CustPrice">Dec!$E$327:$E$327</definedName>
    <definedName name="decCh3Prod3Slot2Forecast">Dec!$E$541:$E$541</definedName>
    <definedName name="decCh3Prod3Slot2Pack">Dec!$E$256:$E$256</definedName>
    <definedName name="decCh3Prod3Slot2Promo1">Dec!$E$399:$E$399</definedName>
    <definedName name="decCh3Prod3Slot2Promo1ShareFrc">Dec!$E$612:$E$612</definedName>
    <definedName name="decCh3Prod3Slot2Promo1Weeks">Dec!$E$470:$E$470</definedName>
    <definedName name="decCh3Prod3Slot3Active">Dec!$E$141:$E$141</definedName>
    <definedName name="decCh3Prod3Slot3CustPrice">Dec!$E$328:$E$328</definedName>
    <definedName name="decCh3Prod3Slot3Forecast">Dec!$E$542:$E$542</definedName>
    <definedName name="decCh3Prod3Slot3Pack">Dec!$E$257:$E$257</definedName>
    <definedName name="decCh3Prod3Slot3Promo1">Dec!$E$400:$E$400</definedName>
    <definedName name="decCh3Prod3Slot3Promo1ShareFrc">Dec!$E$613:$E$613</definedName>
    <definedName name="decCh3Prod3Slot3Promo1Weeks">Dec!$E$471:$E$471</definedName>
    <definedName name="decCh3Prod4Forecast">Dec!$E$87:$E$87</definedName>
    <definedName name="decCh3Prod4Slot1Active">Dec!$E$143:$E$143</definedName>
    <definedName name="decCh3Prod4Slot1CustPrice">Dec!$E$330:$E$330</definedName>
    <definedName name="decCh3Prod4Slot1Forecast">Dec!$E$544:$E$544</definedName>
    <definedName name="decCh3Prod4Slot1Pack">Dec!$E$259:$E$259</definedName>
    <definedName name="decCh3Prod4Slot1Promo1">Dec!$E$402:$E$402</definedName>
    <definedName name="decCh3Prod4Slot1Promo1ShareFrc">Dec!$E$615:$E$615</definedName>
    <definedName name="decCh3Prod4Slot1Promo1Weeks">Dec!$E$473:$E$473</definedName>
    <definedName name="decCh3Prod4Slot2Active">Dec!$E$144:$E$144</definedName>
    <definedName name="decCh3Prod4Slot2CustPrice">Dec!$E$331:$E$331</definedName>
    <definedName name="decCh3Prod4Slot2Forecast">Dec!$E$545:$E$545</definedName>
    <definedName name="decCh3Prod4Slot2Pack">Dec!$E$260:$E$260</definedName>
    <definedName name="decCh3Prod4Slot2Promo1">Dec!$E$403:$E$403</definedName>
    <definedName name="decCh3Prod4Slot2Promo1ShareFrc">Dec!$E$616:$E$616</definedName>
    <definedName name="decCh3Prod4Slot2Promo1Weeks">Dec!$E$474:$E$474</definedName>
    <definedName name="decCh3Prod4Slot3Active">Dec!$E$145:$E$145</definedName>
    <definedName name="decCh3Prod4Slot3CustPrice">Dec!$E$332:$E$332</definedName>
    <definedName name="decCh3Prod4Slot3Forecast">Dec!$E$546:$E$546</definedName>
    <definedName name="decCh3Prod4Slot3Pack">Dec!$E$261:$E$261</definedName>
    <definedName name="decCh3Prod4Slot3Promo1">Dec!$E$404:$E$404</definedName>
    <definedName name="decCh3Prod4Slot3Promo1ShareFrc">Dec!$E$617:$E$617</definedName>
    <definedName name="decCh3Prod4Slot3Promo1Weeks">Dec!$E$475:$E$475</definedName>
    <definedName name="decCh3R1Report1">Dec!$E$189:$E$189</definedName>
    <definedName name="decCh3R1Report2">Dec!$E$190:$E$190</definedName>
    <definedName name="decCh3R2Report3">Dec!$E$192:$E$192</definedName>
    <definedName name="decCh3R2Report4">Dec!$E$193:$E$193</definedName>
    <definedName name="decCh3R3Report5">Dec!$E$195:$E$195</definedName>
    <definedName name="decCh3R3Report6">Dec!$E$196:$E$196</definedName>
    <definedName name="decCh3ValDriv1">Dec!$E$50:$E$50</definedName>
    <definedName name="decCh3ValDriv2">Dec!$E$51:$E$51</definedName>
    <definedName name="decCh3ValDriv3">Dec!$E$52:$E$52</definedName>
    <definedName name="decCh3ValDriv4">Dec!$E$53:$E$53</definedName>
    <definedName name="decCh3ValDriv5">Dec!$E$54:$E$54</definedName>
    <definedName name="decCh3ValDrivCond">Dec!$E$55:$E$55</definedName>
    <definedName name="decCh3VT">Dec!$E$68:$E$68</definedName>
    <definedName name="decCh4MarkPlan">Dec!$E$31:$E$31</definedName>
    <definedName name="decCh4Prod1Forecast">Dec!$E$89:$E$89</definedName>
    <definedName name="decCh4Prod1Slot1Active">Dec!$E$148:$E$148</definedName>
    <definedName name="decCh4Prod1Slot1CustPrice">Dec!$E$335:$E$335</definedName>
    <definedName name="decCh4Prod1Slot1Forecast">Dec!$E$549:$E$549</definedName>
    <definedName name="decCh4Prod1Slot1Pack">Dec!$E$264:$E$264</definedName>
    <definedName name="decCh4Prod1Slot1Promo1">Dec!$E$407:$E$407</definedName>
    <definedName name="decCh4Prod1Slot1Promo1ShareFrc">Dec!$E$620:$E$620</definedName>
    <definedName name="decCh4Prod1Slot1Promo1Weeks">Dec!$E$478:$E$478</definedName>
    <definedName name="decCh4Prod1Slot2Active">Dec!$E$149:$E$149</definedName>
    <definedName name="decCh4Prod1Slot2CustPrice">Dec!$E$336:$E$336</definedName>
    <definedName name="decCh4Prod1Slot2Forecast">Dec!$E$550:$E$550</definedName>
    <definedName name="decCh4Prod1Slot2Pack">Dec!$E$265:$E$265</definedName>
    <definedName name="decCh4Prod1Slot2Promo1">Dec!$E$408:$E$408</definedName>
    <definedName name="decCh4Prod1Slot2Promo1ShareFrc">Dec!$E$621:$E$621</definedName>
    <definedName name="decCh4Prod1Slot2Promo1Weeks">Dec!$E$479:$E$479</definedName>
    <definedName name="decCh4Prod1Slot3Active">Dec!$E$150:$E$150</definedName>
    <definedName name="decCh4Prod1Slot3CustPrice">Dec!$E$337:$E$337</definedName>
    <definedName name="decCh4Prod1Slot3Forecast">Dec!$E$551:$E$551</definedName>
    <definedName name="decCh4Prod1Slot3Pack">Dec!$E$266:$E$266</definedName>
    <definedName name="decCh4Prod1Slot3Promo1">Dec!$E$409:$E$409</definedName>
    <definedName name="decCh4Prod1Slot3Promo1ShareFrc">Dec!$E$622:$E$622</definedName>
    <definedName name="decCh4Prod1Slot3Promo1Weeks">Dec!$E$480:$E$480</definedName>
    <definedName name="decCh4Prod2Forecast">Dec!$E$90:$E$90</definedName>
    <definedName name="decCh4Prod2Slot1Active">Dec!$E$152:$E$152</definedName>
    <definedName name="decCh4Prod2Slot1CustPrice">Dec!$E$339:$E$339</definedName>
    <definedName name="decCh4Prod2Slot1Forecast">Dec!$E$553:$E$553</definedName>
    <definedName name="decCh4Prod2Slot1Pack">Dec!$E$268:$E$268</definedName>
    <definedName name="decCh4Prod2Slot1Promo1">Dec!$E$411:$E$411</definedName>
    <definedName name="decCh4Prod2Slot1Promo1ShareFrc">Dec!$E$624:$E$624</definedName>
    <definedName name="decCh4Prod2Slot1Promo1Weeks">Dec!$E$482:$E$482</definedName>
    <definedName name="decCh4Prod2Slot2Active">Dec!$E$153:$E$153</definedName>
    <definedName name="decCh4Prod2Slot2CustPrice">Dec!$E$340:$E$340</definedName>
    <definedName name="decCh4Prod2Slot2Forecast">Dec!$E$554:$E$554</definedName>
    <definedName name="decCh4Prod2Slot2Pack">Dec!$E$269:$E$269</definedName>
    <definedName name="decCh4Prod2Slot2Promo1">Dec!$E$412:$E$412</definedName>
    <definedName name="decCh4Prod2Slot2Promo1ShareFrc">Dec!$E$625:$E$625</definedName>
    <definedName name="decCh4Prod2Slot2Promo1Weeks">Dec!$E$483:$E$483</definedName>
    <definedName name="decCh4Prod2Slot3Active">Dec!$E$154:$E$154</definedName>
    <definedName name="decCh4Prod2Slot3CustPrice">Dec!$E$341:$E$341</definedName>
    <definedName name="decCh4Prod2Slot3Forecast">Dec!$E$555:$E$555</definedName>
    <definedName name="decCh4Prod2Slot3Pack">Dec!$E$270:$E$270</definedName>
    <definedName name="decCh4Prod2Slot3Promo1">Dec!$E$413:$E$413</definedName>
    <definedName name="decCh4Prod2Slot3Promo1ShareFrc">Dec!$E$626:$E$626</definedName>
    <definedName name="decCh4Prod2Slot3Promo1Weeks">Dec!$E$484:$E$484</definedName>
    <definedName name="decCh4Prod3Forecast">Dec!$E$91:$E$91</definedName>
    <definedName name="decCh4Prod3Slot1Active">Dec!$E$156:$E$156</definedName>
    <definedName name="decCh4Prod3Slot1CustPrice">Dec!$E$343:$E$343</definedName>
    <definedName name="decCh4Prod3Slot1Forecast">Dec!$E$557:$E$557</definedName>
    <definedName name="decCh4Prod3Slot1Pack">Dec!$E$272:$E$272</definedName>
    <definedName name="decCh4Prod3Slot1Promo1">Dec!$E$415:$E$415</definedName>
    <definedName name="decCh4Prod3Slot1Promo1ShareFrc">Dec!$E$628:$E$628</definedName>
    <definedName name="decCh4Prod3Slot1Promo1Weeks">Dec!$E$486:$E$486</definedName>
    <definedName name="decCh4Prod3Slot2Active">Dec!$E$157:$E$157</definedName>
    <definedName name="decCh4Prod3Slot2CustPrice">Dec!$E$344:$E$344</definedName>
    <definedName name="decCh4Prod3Slot2Forecast">Dec!$E$558:$E$558</definedName>
    <definedName name="decCh4Prod3Slot2Pack">Dec!$E$273:$E$273</definedName>
    <definedName name="decCh4Prod3Slot2Promo1">Dec!$E$416:$E$416</definedName>
    <definedName name="decCh4Prod3Slot2Promo1ShareFrc">Dec!$E$629:$E$629</definedName>
    <definedName name="decCh4Prod3Slot2Promo1Weeks">Dec!$E$487:$E$487</definedName>
    <definedName name="decCh4Prod3Slot3Active">Dec!$E$158:$E$158</definedName>
    <definedName name="decCh4Prod3Slot3CustPrice">Dec!$E$345:$E$345</definedName>
    <definedName name="decCh4Prod3Slot3Forecast">Dec!$E$559:$E$559</definedName>
    <definedName name="decCh4Prod3Slot3Pack">Dec!$E$274:$E$274</definedName>
    <definedName name="decCh4Prod3Slot3Promo1">Dec!$E$417:$E$417</definedName>
    <definedName name="decCh4Prod3Slot3Promo1ShareFrc">Dec!$E$630:$E$630</definedName>
    <definedName name="decCh4Prod3Slot3Promo1Weeks">Dec!$E$488:$E$488</definedName>
    <definedName name="decCh4Prod4Forecast">Dec!$E$92:$E$92</definedName>
    <definedName name="decCh4Prod4Slot1Active">Dec!$E$160:$E$160</definedName>
    <definedName name="decCh4Prod4Slot1CustPrice">Dec!$E$347:$E$347</definedName>
    <definedName name="decCh4Prod4Slot1Forecast">Dec!$E$561:$E$561</definedName>
    <definedName name="decCh4Prod4Slot1Pack">Dec!$E$276:$E$276</definedName>
    <definedName name="decCh4Prod4Slot1Promo1">Dec!$E$419:$E$419</definedName>
    <definedName name="decCh4Prod4Slot1Promo1ShareFrc">Dec!$E$632:$E$632</definedName>
    <definedName name="decCh4Prod4Slot1Promo1Weeks">Dec!$E$490:$E$490</definedName>
    <definedName name="decCh4Prod4Slot2Active">Dec!$E$161:$E$161</definedName>
    <definedName name="decCh4Prod4Slot2CustPrice">Dec!$E$348:$E$348</definedName>
    <definedName name="decCh4Prod4Slot2Forecast">Dec!$E$562:$E$562</definedName>
    <definedName name="decCh4Prod4Slot2Pack">Dec!$E$277:$E$277</definedName>
    <definedName name="decCh4Prod4Slot2Promo1">Dec!$E$420:$E$420</definedName>
    <definedName name="decCh4Prod4Slot2Promo1ShareFrc">Dec!$E$633:$E$633</definedName>
    <definedName name="decCh4Prod4Slot2Promo1Weeks">Dec!$E$491:$E$491</definedName>
    <definedName name="decCh4Prod4Slot3Active">Dec!$E$162:$E$162</definedName>
    <definedName name="decCh4Prod4Slot3CustPrice">Dec!$E$349:$E$349</definedName>
    <definedName name="decCh4Prod4Slot3Forecast">Dec!$E$563:$E$563</definedName>
    <definedName name="decCh4Prod4Slot3Pack">Dec!$E$278:$E$278</definedName>
    <definedName name="decCh4Prod4Slot3Promo1">Dec!$E$421:$E$421</definedName>
    <definedName name="decCh4Prod4Slot3Promo1ShareFrc">Dec!$E$634:$E$634</definedName>
    <definedName name="decCh4Prod4Slot3Promo1Weeks">Dec!$E$492:$E$492</definedName>
    <definedName name="decCh4R1Report1">Dec!$E$200:$E$200</definedName>
    <definedName name="decCh4R1Report2">Dec!$E$201:$E$201</definedName>
    <definedName name="decCh4R2Report3">Dec!$E$203:$E$203</definedName>
    <definedName name="decCh4R2Report4">Dec!$E$204:$E$204</definedName>
    <definedName name="decCh4R3Report5">Dec!$E$206:$E$206</definedName>
    <definedName name="decCh4R3Report6">Dec!$E$207:$E$207</definedName>
    <definedName name="decCh4ValDriv1">Dec!$E$58:$E$58</definedName>
    <definedName name="decCh4ValDriv2">Dec!$E$59:$E$59</definedName>
    <definedName name="decCh4ValDriv3">Dec!$E$60:$E$60</definedName>
    <definedName name="decCh4ValDriv4">Dec!$E$61:$E$61</definedName>
    <definedName name="decCh4ValDriv5">Dec!$E$62:$E$62</definedName>
    <definedName name="decCh4ValDrivCond">Dec!$E$63:$E$63</definedName>
    <definedName name="decCh4VT">Dec!$E$69:$E$69</definedName>
    <definedName name="decPackInnovation1">Dec!$E$24:$E$24</definedName>
    <definedName name="decPackInnovation2">Dec!$E$25:$E$25</definedName>
    <definedName name="decReport1">Dec!$E$9:$E$9</definedName>
    <definedName name="decReport2">Dec!$E$10:$E$10</definedName>
    <definedName name="decReport3">Dec!$E$11:$E$11</definedName>
    <definedName name="decReport4">Dec!$E$12:$E$12</definedName>
    <definedName name="decReport5">Dec!$E$13:$E$13</definedName>
    <definedName name="decReport6">Dec!$E$14:$E$14</definedName>
    <definedName name="decSI01">Dec!$E$17:$E$17</definedName>
    <definedName name="decSI1">Dec!$E$17:$E$17</definedName>
    <definedName name="decSI2">Dec!$E$18:$E$18</definedName>
    <definedName name="decSI3">Dec!$E$19:$E$19</definedName>
    <definedName name="decSI4">Dec!$E$20:$E$20</definedName>
    <definedName name="decSI5">Dec!$E$21:$E$21</definedName>
    <definedName name="decTeamName">Dec!$E$4:$E$4</definedName>
    <definedName name="decTeamNumber">Dec!$E$5:$E$5</definedName>
    <definedName name="decTeamRound">Dec!$E$6:$E$6</definedName>
    <definedName name="feedback_FeedbackFileName">Controls!$D$9</definedName>
    <definedName name="feedback_FeedbackSheetName">Controls!$D$33</definedName>
    <definedName name="feedback_TimeSeriesFeedbackSheetName">Controls!$D$35</definedName>
    <definedName name="finBSClose_Paste">FinBSClose!$E$3:$E$3</definedName>
    <definedName name="finBSCloseAP">FinBSClose!$E$34:$E$34</definedName>
    <definedName name="finBSCloseAssets">FinBSClose!$E$29:$E$29</definedName>
    <definedName name="finBSCloseCash">FinBSClose!$E$14:$E$14</definedName>
    <definedName name="finBSCloseCurrentAssets">FinBSClose!$E$20:$E$20</definedName>
    <definedName name="finBSCloseCurrentLiab">FinBSClose!$E$38:$E$38</definedName>
    <definedName name="finBSCloseEquity">FinBSClose!$E$51:$E$51</definedName>
    <definedName name="finBSCloseGoodwill">FinBSClose!$E$22:$E$22</definedName>
    <definedName name="finBSCloseLiab">FinBSClose!$E$42:$E$42</definedName>
    <definedName name="finBSCloseLongTermLiab">FinBSClose!$E$40:$E$40</definedName>
    <definedName name="finBSCloseNetEarnings">FinBSClose!$E$49:$E$49</definedName>
    <definedName name="finBSCloseOtherCurrLiab">FinBSClose!$E$36:$E$36</definedName>
    <definedName name="finBSClosePlantValue">FinBSClose!$E$27:$E$27</definedName>
    <definedName name="finBSClosePPEValue">FinBSClose!$E$25:$E$25</definedName>
    <definedName name="finBSCloseProd1AR">FinBSClose!$E$15:$E$15</definedName>
    <definedName name="finBSCloseProd1FG">FinBSClose!$E$18:$E$18</definedName>
    <definedName name="finBSCloseProd1Mat">FinBSClose!$E$16:$E$16</definedName>
    <definedName name="finBSCloseProd1WIP">FinBSClose!$E$17:$E$17</definedName>
    <definedName name="finBSCloseRetainedEarnings">FinBSClose!$E$48:$E$48</definedName>
    <definedName name="finBSCloseSpecialLoans">FinBSClose!$E$35:$E$35</definedName>
    <definedName name="finBSCloseStock">FinBSClose!$E$47:$E$47</definedName>
    <definedName name="FinBSOpen_End">FinBSOpen!$E$53</definedName>
    <definedName name="finBSOpen_Paste">FinBSOpen!$E$3:$E$3</definedName>
    <definedName name="finBSOpenAP">FinBSOpen!$E$34:$E$34</definedName>
    <definedName name="finBSOpenAssets">FinBSOpen!$E$29:$E$29</definedName>
    <definedName name="finBSOpenCash">FinBSOpen!$E$14:$E$14</definedName>
    <definedName name="finBSOpenCurrentAssets">FinBSOpen!$E$20:$E$20</definedName>
    <definedName name="finBSOpenCurrentLiab">FinBSOpen!$E$38:$E$38</definedName>
    <definedName name="finBSOpenEquity">FinBSOpen!$E$51:$E$51</definedName>
    <definedName name="finBSOpenGoodwill">FinBSOpen!$E$22:$E$22</definedName>
    <definedName name="finBSOpenLiab">FinBSOpen!$E$42:$E$42</definedName>
    <definedName name="finBSOpenLongTermLiab">FinBSOpen!$E$40:$E$40</definedName>
    <definedName name="finBSOpenNetEarnings">FinBSOpen!$E$49:$E$49</definedName>
    <definedName name="finBSOpenOtherCurrLiab">FinBSOpen!$E$36:$E$36</definedName>
    <definedName name="finBSOpenPlantValue">FinBSOpen!$E$27:$E$27</definedName>
    <definedName name="finBSOpenPPEValue">FinBSOpen!$E$25:$E$25</definedName>
    <definedName name="finBSOpenProd1AR">FinBSOpen!$E$15:$E$15</definedName>
    <definedName name="finBSOpenProd1FG">FinBSOpen!$E$18:$E$18</definedName>
    <definedName name="finBSOpenProd1Mat">FinBSOpen!$E$16:$E$16</definedName>
    <definedName name="finBSOpenProd1WIP">FinBSOpen!$E$17:$E$17</definedName>
    <definedName name="finBSOpenRetainedEarnings">FinBSOpen!$E$48:$E$48</definedName>
    <definedName name="finBSOpenSpecialLoans">FinBSOpen!$E$35:$E$35</definedName>
    <definedName name="finBSOpenStock">FinBSOpen!$E$47:$E$47</definedName>
    <definedName name="finCalcCh1Prod1Slot1COGSPUnit">FinCalc!$E$43:$E$43</definedName>
    <definedName name="finCalcCh1Prod1Slot1DepExp">FinCalc!$E$36:$E$36</definedName>
    <definedName name="finCalcCh1Prod1Slot1ForcastAcc">FinCalc!$E$10:$E$10</definedName>
    <definedName name="finCalcCh1Prod1Slot1LabourCostPerHour">FinCalc!$E$26:$E$26</definedName>
    <definedName name="finCalcCh1Prod1Slot1LabourExp">FinCalc!$E$28:$E$28</definedName>
    <definedName name="finCalcCh1Prod1Slot1LabourHrsReqPVolBase">FinCalc!$E$21:$E$21</definedName>
    <definedName name="finCalcCh1Prod1Slot1LabourHrsReqPVolFrcAdj">FinCalc!$E$22:$E$22</definedName>
    <definedName name="finCalcCh1Prod1Slot1LabourHrsReqPVolSIAdj">FinCalc!$E$23:$E$23</definedName>
    <definedName name="finCalcCh1Prod1Slot1LabourHrsReqPVolTot">FinCalc!$E$24:$E$24</definedName>
    <definedName name="finCalcCh1Prod1Slot1LogExpAdjPUnit">FinCalc!$E$49:$E$49</definedName>
    <definedName name="finCalcCh1Prod1Slot1LogExpFrcAdj">FinCalc!$E$47:$E$47</definedName>
    <definedName name="finCalcCh1Prod1Slot1LogExpPerUnit">FinCalc!$E$46:$E$46</definedName>
    <definedName name="finCalcCh1Prod1Slot1LogExpSIAdj">FinCalc!$E$48:$E$48</definedName>
    <definedName name="finCalcCh1Prod1Slot1LogisticsCost">FinCalc!$E$50:$E$50</definedName>
    <definedName name="finCalcCh1Prod1Slot1MachCost">FinCalc!$E$32:$E$32</definedName>
    <definedName name="finCalcCh1Prod1Slot1MatExp">FinCalc!$E$18:$E$18</definedName>
    <definedName name="finCalcCh1Prod1Slot1MatExpFrcAdj">FinCalc!$E$15:$E$15</definedName>
    <definedName name="finCalcCh1Prod1Slot1MatExpPerUnitBase">FinCalc!$E$14:$E$14</definedName>
    <definedName name="finCalcCh1Prod1Slot1MatExpPUnitTot">FinCalc!$E$17:$E$17</definedName>
    <definedName name="finCalcCh1Prod1Slot1MatExpSIAdj">FinCalc!$E$16:$E$16</definedName>
    <definedName name="finCalcCh1Prod1Slot1UnitSold">FinCalc!$E$9:$E$9</definedName>
    <definedName name="finCalcCh1Prod1Slot1VolSold">FinCalc!$E$8:$E$8</definedName>
    <definedName name="finCalcCh1Prod1Slot2COGSPUnit">FinCalc!$E$90:$E$90</definedName>
    <definedName name="finCalcCh1Prod1Slot2DepExp">FinCalc!$E$83:$E$83</definedName>
    <definedName name="finCalcCh1Prod1Slot2ForcastAcc">FinCalc!$E$57:$E$57</definedName>
    <definedName name="finCalcCh1Prod1Slot2LabourCostPerHour">FinCalc!$E$73:$E$73</definedName>
    <definedName name="finCalcCh1Prod1Slot2LabourExp">FinCalc!$E$75:$E$75</definedName>
    <definedName name="finCalcCh1Prod1Slot2LabourHrsReqPVolBase">FinCalc!$E$68:$E$68</definedName>
    <definedName name="finCalcCh1Prod1Slot2LabourHrsReqPVolFrcAdj">FinCalc!$E$69:$E$69</definedName>
    <definedName name="finCalcCh1Prod1Slot2LabourHrsReqPVolSIAdj">FinCalc!$E$70:$E$70</definedName>
    <definedName name="finCalcCh1Prod1Slot2LabourHrsReqPVolTot">FinCalc!$E$71:$E$71</definedName>
    <definedName name="finCalcCh1Prod1Slot2LogExpAdjPUnit">FinCalc!$E$96:$E$96</definedName>
    <definedName name="finCalcCh1Prod1Slot2LogExpFrcAdj">FinCalc!$E$94:$E$94</definedName>
    <definedName name="finCalcCh1Prod1Slot2LogExpPerUnit">FinCalc!$E$93:$E$93</definedName>
    <definedName name="finCalcCh1Prod1Slot2LogExpSIAdj">FinCalc!$E$95:$E$95</definedName>
    <definedName name="finCalcCh1Prod1Slot2LogisticsCost">FinCalc!$E$97:$E$97</definedName>
    <definedName name="finCalcCh1Prod1Slot2MachCost">FinCalc!$E$79:$E$79</definedName>
    <definedName name="finCalcCh1Prod1Slot2MatExp">FinCalc!$E$65:$E$65</definedName>
    <definedName name="finCalcCh1Prod1Slot2MatExpFrcAdj">FinCalc!$E$62:$E$62</definedName>
    <definedName name="finCalcCh1Prod1Slot2MatExpPerUnitBase">FinCalc!$E$61:$E$61</definedName>
    <definedName name="finCalcCh1Prod1Slot2MatExpPUnitTot">FinCalc!$E$64:$E$64</definedName>
    <definedName name="finCalcCh1Prod1Slot2MatExpSIAdj">FinCalc!$E$63:$E$63</definedName>
    <definedName name="finCalcCh1Prod1Slot2UnitSold">FinCalc!$E$56:$E$56</definedName>
    <definedName name="finCalcCh1Prod1Slot2VolSold">FinCalc!$E$55:$E$55</definedName>
    <definedName name="finCalcCh1Prod1Slot3COGSPUnit">FinCalc!$E$137:$E$137</definedName>
    <definedName name="finCalcCh1Prod1Slot3DepExp">FinCalc!$E$130:$E$130</definedName>
    <definedName name="finCalcCh1Prod1Slot3ForcastAcc">FinCalc!$E$104:$E$104</definedName>
    <definedName name="finCalcCh1Prod1Slot3LabourCostPerHour">FinCalc!$E$120:$E$120</definedName>
    <definedName name="finCalcCh1Prod1Slot3LabourExp">FinCalc!$E$122:$E$122</definedName>
    <definedName name="finCalcCh1Prod1Slot3LabourHrsReqPVolBase">FinCalc!$E$115:$E$115</definedName>
    <definedName name="finCalcCh1Prod1Slot3LabourHrsReqPVolFrcAdj">FinCalc!$E$116:$E$116</definedName>
    <definedName name="finCalcCh1Prod1Slot3LabourHrsReqPVolSIAdj">FinCalc!$E$117:$E$117</definedName>
    <definedName name="finCalcCh1Prod1Slot3LabourHrsReqPVolTot">FinCalc!$E$118:$E$118</definedName>
    <definedName name="finCalcCh1Prod1Slot3LogExpAdjPUnit">FinCalc!$E$143:$E$143</definedName>
    <definedName name="finCalcCh1Prod1Slot3LogExpFrcAdj">FinCalc!$E$141:$E$141</definedName>
    <definedName name="finCalcCh1Prod1Slot3LogExpPerUnit">FinCalc!$E$140:$E$140</definedName>
    <definedName name="finCalcCh1Prod1Slot3LogExpSIAdj">FinCalc!$E$142:$E$142</definedName>
    <definedName name="finCalcCh1Prod1Slot3LogisticsCost">FinCalc!$E$144:$E$144</definedName>
    <definedName name="finCalcCh1Prod1Slot3MachCost">FinCalc!$E$126:$E$126</definedName>
    <definedName name="finCalcCh1Prod1Slot3MatExp">FinCalc!$E$112:$E$112</definedName>
    <definedName name="finCalcCh1Prod1Slot3MatExpFrcAdj">FinCalc!$E$109:$E$109</definedName>
    <definedName name="finCalcCh1Prod1Slot3MatExpPerUnitBase">FinCalc!$E$108:$E$108</definedName>
    <definedName name="finCalcCh1Prod1Slot3MatExpPUnitTot">FinCalc!$E$111:$E$111</definedName>
    <definedName name="finCalcCh1Prod1Slot3MatExpSIAdj">FinCalc!$E$110:$E$110</definedName>
    <definedName name="finCalcCh1Prod1Slot3UnitSold">FinCalc!$E$103:$E$103</definedName>
    <definedName name="finCalcCh1Prod1Slot3VolSold">FinCalc!$E$102:$E$102</definedName>
    <definedName name="finCalcCh1Prod1VolSold">FinCalc!$E$2299</definedName>
    <definedName name="finCalcCh1Prod2Slot1COGSPUnit">FinCalc!$E$185:$E$185</definedName>
    <definedName name="finCalcCh1Prod2Slot1DepExp">FinCalc!$E$178:$E$178</definedName>
    <definedName name="finCalcCh1Prod2Slot1ForcastAcc">FinCalc!$E$152:$E$152</definedName>
    <definedName name="finCalcCh1Prod2Slot1LabourCostPerHour">FinCalc!$E$168:$E$168</definedName>
    <definedName name="finCalcCh1Prod2Slot1LabourExp">FinCalc!$E$170:$E$170</definedName>
    <definedName name="finCalcCh1Prod2Slot1LabourHrsReqPVolBase">FinCalc!$E$163:$E$163</definedName>
    <definedName name="finCalcCh1Prod2Slot1LabourHrsReqPVolFrcAdj">FinCalc!$E$164:$E$164</definedName>
    <definedName name="finCalcCh1Prod2Slot1LabourHrsReqPVolSIAdj">FinCalc!$E$165:$E$165</definedName>
    <definedName name="finCalcCh1Prod2Slot1LabourHrsReqPVolTot">FinCalc!$E$166:$E$166</definedName>
    <definedName name="finCalcCh1Prod2Slot1LogExpAdjPUnit">FinCalc!$E$191:$E$191</definedName>
    <definedName name="finCalcCh1Prod2Slot1LogExpFrcAdj">FinCalc!$E$189:$E$189</definedName>
    <definedName name="finCalcCh1Prod2Slot1LogExpPerUnit">FinCalc!$E$188:$E$188</definedName>
    <definedName name="finCalcCh1Prod2Slot1LogExpSIAdj">FinCalc!$E$190:$E$190</definedName>
    <definedName name="finCalcCh1Prod2Slot1LogisticsCost">FinCalc!$E$192:$E$192</definedName>
    <definedName name="finCalcCh1Prod2Slot1MachCost">FinCalc!$E$174:$E$174</definedName>
    <definedName name="finCalcCh1Prod2Slot1MatExp">FinCalc!$E$160:$E$160</definedName>
    <definedName name="finCalcCh1Prod2Slot1MatExpFrcAdj">FinCalc!$E$157:$E$157</definedName>
    <definedName name="finCalcCh1Prod2Slot1MatExpPerUnitBase">FinCalc!$E$156:$E$156</definedName>
    <definedName name="finCalcCh1Prod2Slot1MatExpPUnitTot">FinCalc!$E$159:$E$159</definedName>
    <definedName name="finCalcCh1Prod2Slot1MatExpSIAdj">FinCalc!$E$158:$E$158</definedName>
    <definedName name="finCalcCh1Prod2Slot1UnitSold">FinCalc!$E$151:$E$151</definedName>
    <definedName name="finCalcCh1Prod2Slot1VolSold">FinCalc!$E$150:$E$150</definedName>
    <definedName name="finCalcCh1Prod2Slot2COGSPUnit">FinCalc!$E$232:$E$232</definedName>
    <definedName name="finCalcCh1Prod2Slot2DepExp">FinCalc!$E$225:$E$225</definedName>
    <definedName name="finCalcCh1Prod2Slot2ForcastAcc">FinCalc!$E$199:$E$199</definedName>
    <definedName name="finCalcCh1Prod2Slot2LabourCostPerHour">FinCalc!$E$215:$E$215</definedName>
    <definedName name="finCalcCh1Prod2Slot2LabourExp">FinCalc!$E$217:$E$217</definedName>
    <definedName name="finCalcCh1Prod2Slot2LabourHrsReqPVolBase">FinCalc!$E$210:$E$210</definedName>
    <definedName name="finCalcCh1Prod2Slot2LabourHrsReqPVolFrcAdj">FinCalc!$E$211:$E$211</definedName>
    <definedName name="finCalcCh1Prod2Slot2LabourHrsReqPVolSIAdj">FinCalc!$E$212:$E$212</definedName>
    <definedName name="finCalcCh1Prod2Slot2LabourHrsReqPVolTot">FinCalc!$E$213:$E$213</definedName>
    <definedName name="finCalcCh1Prod2Slot2LogExpAdjPUnit">FinCalc!$E$238:$E$238</definedName>
    <definedName name="finCalcCh1Prod2Slot2LogExpFrcAdj">FinCalc!$E$236:$E$236</definedName>
    <definedName name="finCalcCh1Prod2Slot2LogExpPerUnit">FinCalc!$E$235:$E$235</definedName>
    <definedName name="finCalcCh1Prod2Slot2LogExpSIAdj">FinCalc!$E$237:$E$237</definedName>
    <definedName name="finCalcCh1Prod2Slot2LogisticsCost">FinCalc!$E$239:$E$239</definedName>
    <definedName name="finCalcCh1Prod2Slot2MachCost">FinCalc!$E$221:$E$221</definedName>
    <definedName name="finCalcCh1Prod2Slot2MatExp">FinCalc!$E$207:$E$207</definedName>
    <definedName name="finCalcCh1Prod2Slot2MatExpFrcAdj">FinCalc!$E$204:$E$204</definedName>
    <definedName name="finCalcCh1Prod2Slot2MatExpPerUnitBase">FinCalc!$E$203:$E$203</definedName>
    <definedName name="finCalcCh1Prod2Slot2MatExpPUnitTot">FinCalc!$E$206:$E$206</definedName>
    <definedName name="finCalcCh1Prod2Slot2MatExpSIAdj">FinCalc!$E$205:$E$205</definedName>
    <definedName name="finCalcCh1Prod2Slot2UnitSold">FinCalc!$E$198:$E$198</definedName>
    <definedName name="finCalcCh1Prod2Slot2VolSold">FinCalc!$E$197:$E$197</definedName>
    <definedName name="finCalcCh1Prod2Slot3COGSPUnit">FinCalc!$E$279:$E$279</definedName>
    <definedName name="finCalcCh1Prod2Slot3DepExp">FinCalc!$E$272:$E$272</definedName>
    <definedName name="finCalcCh1Prod2Slot3ForcastAcc">FinCalc!$E$246:$E$246</definedName>
    <definedName name="finCalcCh1Prod2Slot3LabourCostPerHour">FinCalc!$E$262:$E$262</definedName>
    <definedName name="finCalcCh1Prod2Slot3LabourExp">FinCalc!$E$264:$E$264</definedName>
    <definedName name="finCalcCh1Prod2Slot3LabourHrsReqPVolBase">FinCalc!$E$257:$E$257</definedName>
    <definedName name="finCalcCh1Prod2Slot3LabourHrsReqPVolFrcAdj">FinCalc!$E$258:$E$258</definedName>
    <definedName name="finCalcCh1Prod2Slot3LabourHrsReqPVolSIAdj">FinCalc!$E$259:$E$259</definedName>
    <definedName name="finCalcCh1Prod2Slot3LabourHrsReqPVolTot">FinCalc!$E$260:$E$260</definedName>
    <definedName name="finCalcCh1Prod2Slot3LogExpAdjPUnit">FinCalc!$E$285:$E$285</definedName>
    <definedName name="finCalcCh1Prod2Slot3LogExpFrcAdj">FinCalc!$E$283:$E$283</definedName>
    <definedName name="finCalcCh1Prod2Slot3LogExpPerUnit">FinCalc!$E$282:$E$282</definedName>
    <definedName name="finCalcCh1Prod2Slot3LogExpSIAdj">FinCalc!$E$284:$E$284</definedName>
    <definedName name="finCalcCh1Prod2Slot3LogisticsCost">FinCalc!$E$286:$E$286</definedName>
    <definedName name="finCalcCh1Prod2Slot3MachCost">FinCalc!$E$268:$E$268</definedName>
    <definedName name="finCalcCh1Prod2Slot3MatExp">FinCalc!$E$254:$E$254</definedName>
    <definedName name="finCalcCh1Prod2Slot3MatExpFrcAdj">FinCalc!$E$251:$E$251</definedName>
    <definedName name="finCalcCh1Prod2Slot3MatExpPerUnitBase">FinCalc!$E$250:$E$250</definedName>
    <definedName name="finCalcCh1Prod2Slot3MatExpPUnitTot">FinCalc!$E$253:$E$253</definedName>
    <definedName name="finCalcCh1Prod2Slot3MatExpSIAdj">FinCalc!$E$252:$E$252</definedName>
    <definedName name="finCalcCh1Prod2Slot3UnitSold">FinCalc!$E$245:$E$245</definedName>
    <definedName name="finCalcCh1Prod2Slot3VolSold">FinCalc!$E$244:$E$244</definedName>
    <definedName name="finCalcCh1Prod2VolSold">FinCalc!$E$2300</definedName>
    <definedName name="finCalcCh1Prod3Slot1COGSPUnit">FinCalc!$E$327:$E$327</definedName>
    <definedName name="finCalcCh1Prod3Slot1DepExp">FinCalc!$E$320:$E$320</definedName>
    <definedName name="finCalcCh1Prod3Slot1ForcastAcc">FinCalc!$E$294:$E$294</definedName>
    <definedName name="finCalcCh1Prod3Slot1LabourCostPerHour">FinCalc!$E$310:$E$310</definedName>
    <definedName name="finCalcCh1Prod3Slot1LabourExp">FinCalc!$E$312:$E$312</definedName>
    <definedName name="finCalcCh1Prod3Slot1LabourHrsReqPVolBase">FinCalc!$E$305:$E$305</definedName>
    <definedName name="finCalcCh1Prod3Slot1LabourHrsReqPVolFrcAdj">FinCalc!$E$306:$E$306</definedName>
    <definedName name="finCalcCh1Prod3Slot1LabourHrsReqPVolSIAdj">FinCalc!$E$307:$E$307</definedName>
    <definedName name="finCalcCh1Prod3Slot1LabourHrsReqPVolTot">FinCalc!$E$308:$E$308</definedName>
    <definedName name="finCalcCh1Prod3Slot1LogExpAdjPUnit">FinCalc!$E$333:$E$333</definedName>
    <definedName name="finCalcCh1Prod3Slot1LogExpFrcAdj">FinCalc!$E$331:$E$331</definedName>
    <definedName name="finCalcCh1Prod3Slot1LogExpPerUnit">FinCalc!$E$330:$E$330</definedName>
    <definedName name="finCalcCh1Prod3Slot1LogExpSIAdj">FinCalc!$E$332:$E$332</definedName>
    <definedName name="finCalcCh1Prod3Slot1LogisticsCost">FinCalc!$E$334:$E$334</definedName>
    <definedName name="finCalcCh1Prod3Slot1MachCost">FinCalc!$E$316:$E$316</definedName>
    <definedName name="finCalcCh1Prod3Slot1MatExp">FinCalc!$E$302:$E$302</definedName>
    <definedName name="finCalcCh1Prod3Slot1MatExpFrcAdj">FinCalc!$E$299:$E$299</definedName>
    <definedName name="finCalcCh1Prod3Slot1MatExpPerUnitBase">FinCalc!$E$298:$E$298</definedName>
    <definedName name="finCalcCh1Prod3Slot1MatExpPUnitTot">FinCalc!$E$301:$E$301</definedName>
    <definedName name="finCalcCh1Prod3Slot1MatExpSIAdj">FinCalc!$E$300:$E$300</definedName>
    <definedName name="finCalcCh1Prod3Slot1UnitSold">FinCalc!$E$293:$E$293</definedName>
    <definedName name="finCalcCh1Prod3Slot1VolSold">FinCalc!$E$292:$E$292</definedName>
    <definedName name="finCalcCh1Prod3Slot2COGSPUnit">FinCalc!$E$374:$E$374</definedName>
    <definedName name="finCalcCh1Prod3Slot2DepExp">FinCalc!$E$367:$E$367</definedName>
    <definedName name="finCalcCh1Prod3Slot2ForcastAcc">FinCalc!$E$341:$E$341</definedName>
    <definedName name="finCalcCh1Prod3Slot2LabourCostPerHour">FinCalc!$E$357:$E$357</definedName>
    <definedName name="finCalcCh1Prod3Slot2LabourExp">FinCalc!$E$359:$E$359</definedName>
    <definedName name="finCalcCh1Prod3Slot2LabourHrsReqPVolBase">FinCalc!$E$352:$E$352</definedName>
    <definedName name="finCalcCh1Prod3Slot2LabourHrsReqPVolFrcAdj">FinCalc!$E$353:$E$353</definedName>
    <definedName name="finCalcCh1Prod3Slot2LabourHrsReqPVolSIAdj">FinCalc!$E$354:$E$354</definedName>
    <definedName name="finCalcCh1Prod3Slot2LabourHrsReqPVolTot">FinCalc!$E$355:$E$355</definedName>
    <definedName name="finCalcCh1Prod3Slot2LogExpAdjPUnit">FinCalc!$E$380:$E$380</definedName>
    <definedName name="finCalcCh1Prod3Slot2LogExpFrcAdj">FinCalc!$E$378:$E$378</definedName>
    <definedName name="finCalcCh1Prod3Slot2LogExpPerUnit">FinCalc!$E$377:$E$377</definedName>
    <definedName name="finCalcCh1Prod3Slot2LogExpSIAdj">FinCalc!$E$379:$E$379</definedName>
    <definedName name="finCalcCh1Prod3Slot2LogisticsCost">FinCalc!$E$381:$E$381</definedName>
    <definedName name="finCalcCh1Prod3Slot2MachCost">FinCalc!$E$363:$E$363</definedName>
    <definedName name="finCalcCh1Prod3Slot2MatExp">FinCalc!$E$349:$E$349</definedName>
    <definedName name="finCalcCh1Prod3Slot2MatExpFrcAdj">FinCalc!$E$346:$E$346</definedName>
    <definedName name="finCalcCh1Prod3Slot2MatExpPerUnitBase">FinCalc!$E$345:$E$345</definedName>
    <definedName name="finCalcCh1Prod3Slot2MatExpPUnitTot">FinCalc!$E$348:$E$348</definedName>
    <definedName name="finCalcCh1Prod3Slot2MatExpSIAdj">FinCalc!$E$347:$E$347</definedName>
    <definedName name="finCalcCh1Prod3Slot2UnitSold">FinCalc!$E$340:$E$340</definedName>
    <definedName name="finCalcCh1Prod3Slot2VolSold">FinCalc!$E$339:$E$339</definedName>
    <definedName name="finCalcCh1Prod3Slot3COGSPUnit">FinCalc!$E$421:$E$421</definedName>
    <definedName name="finCalcCh1Prod3Slot3DepExp">FinCalc!$E$414:$E$414</definedName>
    <definedName name="finCalcCh1Prod3Slot3ForcastAcc">FinCalc!$E$388:$E$388</definedName>
    <definedName name="finCalcCh1Prod3Slot3LabourCostPerHour">FinCalc!$E$404:$E$404</definedName>
    <definedName name="finCalcCh1Prod3Slot3LabourExp">FinCalc!$E$406:$E$406</definedName>
    <definedName name="finCalcCh1Prod3Slot3LabourHrsReqPVolBase">FinCalc!$E$399:$E$399</definedName>
    <definedName name="finCalcCh1Prod3Slot3LabourHrsReqPVolFrcAdj">FinCalc!$E$400:$E$400</definedName>
    <definedName name="finCalcCh1Prod3Slot3LabourHrsReqPVolSIAdj">FinCalc!$E$401:$E$401</definedName>
    <definedName name="finCalcCh1Prod3Slot3LabourHrsReqPVolTot">FinCalc!$E$402:$E$402</definedName>
    <definedName name="finCalcCh1Prod3Slot3LogExpAdjPUnit">FinCalc!$E$427:$E$427</definedName>
    <definedName name="finCalcCh1Prod3Slot3LogExpFrcAdj">FinCalc!$E$425:$E$425</definedName>
    <definedName name="finCalcCh1Prod3Slot3LogExpPerUnit">FinCalc!$E$424:$E$424</definedName>
    <definedName name="finCalcCh1Prod3Slot3LogExpSIAdj">FinCalc!$E$426:$E$426</definedName>
    <definedName name="finCalcCh1Prod3Slot3LogisticsCost">FinCalc!$E$428:$E$428</definedName>
    <definedName name="finCalcCh1Prod3Slot3MachCost">FinCalc!$E$410:$E$410</definedName>
    <definedName name="finCalcCh1Prod3Slot3MatExp">FinCalc!$E$396:$E$396</definedName>
    <definedName name="finCalcCh1Prod3Slot3MatExpFrcAdj">FinCalc!$E$393:$E$393</definedName>
    <definedName name="finCalcCh1Prod3Slot3MatExpPerUnitBase">FinCalc!$E$392:$E$392</definedName>
    <definedName name="finCalcCh1Prod3Slot3MatExpPUnitTot">FinCalc!$E$395:$E$395</definedName>
    <definedName name="finCalcCh1Prod3Slot3MatExpSIAdj">FinCalc!$E$394:$E$394</definedName>
    <definedName name="finCalcCh1Prod3Slot3UnitSold">FinCalc!$E$387:$E$387</definedName>
    <definedName name="finCalcCh1Prod3Slot3VolSold">FinCalc!$E$386:$E$386</definedName>
    <definedName name="finCalcCh1Prod3VolSold">FinCalc!$E$2301</definedName>
    <definedName name="finCalcCh1Prod4Slot1COGSPUnit">FinCalc!$E$469:$E$469</definedName>
    <definedName name="finCalcCh1Prod4Slot1DepExp">FinCalc!$E$462:$E$462</definedName>
    <definedName name="finCalcCh1Prod4Slot1ForcastAcc">FinCalc!$E$436:$E$436</definedName>
    <definedName name="finCalcCh1Prod4Slot1LabourCostPerHour">FinCalc!$E$452:$E$452</definedName>
    <definedName name="finCalcCh1Prod4Slot1LabourExp">FinCalc!$E$454:$E$454</definedName>
    <definedName name="finCalcCh1Prod4Slot1LabourHrsReqPVolBase">FinCalc!$E$447:$E$447</definedName>
    <definedName name="finCalcCh1Prod4Slot1LabourHrsReqPVolFrcAdj">FinCalc!$E$448:$E$448</definedName>
    <definedName name="finCalcCh1Prod4Slot1LabourHrsReqPVolSIAdj">FinCalc!$E$449:$E$449</definedName>
    <definedName name="finCalcCh1Prod4Slot1LabourHrsReqPVolTot">FinCalc!$E$450:$E$450</definedName>
    <definedName name="finCalcCh1Prod4Slot1LogExpAdjPUnit">FinCalc!$E$475:$E$475</definedName>
    <definedName name="finCalcCh1Prod4Slot1LogExpFrcAdj">FinCalc!$E$473:$E$473</definedName>
    <definedName name="finCalcCh1Prod4Slot1LogExpPerUnit">FinCalc!$E$472:$E$472</definedName>
    <definedName name="finCalcCh1Prod4Slot1LogExpSIAdj">FinCalc!$E$474:$E$474</definedName>
    <definedName name="finCalcCh1Prod4Slot1LogisticsCost">FinCalc!$E$476:$E$476</definedName>
    <definedName name="finCalcCh1Prod4Slot1MachCost">FinCalc!$E$458:$E$458</definedName>
    <definedName name="finCalcCh1Prod4Slot1MatExp">FinCalc!$E$444:$E$444</definedName>
    <definedName name="finCalcCh1Prod4Slot1MatExpFrcAdj">FinCalc!$E$441:$E$441</definedName>
    <definedName name="finCalcCh1Prod4Slot1MatExpPerUnitBase">FinCalc!$E$440:$E$440</definedName>
    <definedName name="finCalcCh1Prod4Slot1MatExpPUnitTot">FinCalc!$E$443:$E$443</definedName>
    <definedName name="finCalcCh1Prod4Slot1MatExpSIAdj">FinCalc!$E$442:$E$442</definedName>
    <definedName name="finCalcCh1Prod4Slot1UnitSold">FinCalc!$E$435:$E$435</definedName>
    <definedName name="finCalcCh1Prod4Slot1VolSold">FinCalc!$E$434:$E$434</definedName>
    <definedName name="finCalcCh1Prod4Slot2COGSPUnit">FinCalc!$E$516:$E$516</definedName>
    <definedName name="finCalcCh1Prod4Slot2DepExp">FinCalc!$E$509:$E$509</definedName>
    <definedName name="finCalcCh1Prod4Slot2ForcastAcc">FinCalc!$E$483:$E$483</definedName>
    <definedName name="finCalcCh1Prod4Slot2LabourCostPerHour">FinCalc!$E$499:$E$499</definedName>
    <definedName name="finCalcCh1Prod4Slot2LabourExp">FinCalc!$E$501:$E$501</definedName>
    <definedName name="finCalcCh1Prod4Slot2LabourHrsReqPVolBase">FinCalc!$E$494:$E$494</definedName>
    <definedName name="finCalcCh1Prod4Slot2LabourHrsReqPVolFrcAdj">FinCalc!$E$495:$E$495</definedName>
    <definedName name="finCalcCh1Prod4Slot2LabourHrsReqPVolSIAdj">FinCalc!$E$496:$E$496</definedName>
    <definedName name="finCalcCh1Prod4Slot2LabourHrsReqPVolTot">FinCalc!$E$497:$E$497</definedName>
    <definedName name="finCalcCh1Prod4Slot2LogExpAdjPUnit">FinCalc!$E$522:$E$522</definedName>
    <definedName name="finCalcCh1Prod4Slot2LogExpFrcAdj">FinCalc!$E$520:$E$520</definedName>
    <definedName name="finCalcCh1Prod4Slot2LogExpPerUnit">FinCalc!$E$519:$E$519</definedName>
    <definedName name="finCalcCh1Prod4Slot2LogExpSIAdj">FinCalc!$E$521:$E$521</definedName>
    <definedName name="finCalcCh1Prod4Slot2LogisticsCost">FinCalc!$E$523:$E$523</definedName>
    <definedName name="finCalcCh1Prod4Slot2MachCost">FinCalc!$E$505:$E$505</definedName>
    <definedName name="finCalcCh1Prod4Slot2MatExp">FinCalc!$E$491:$E$491</definedName>
    <definedName name="finCalcCh1Prod4Slot2MatExpFrcAdj">FinCalc!$E$488:$E$488</definedName>
    <definedName name="finCalcCh1Prod4Slot2MatExpPerUnitBase">FinCalc!$E$487:$E$487</definedName>
    <definedName name="finCalcCh1Prod4Slot2MatExpPUnitTot">FinCalc!$E$490:$E$490</definedName>
    <definedName name="finCalcCh1Prod4Slot2MatExpSIAdj">FinCalc!$E$489:$E$489</definedName>
    <definedName name="finCalcCh1Prod4Slot2UnitSold">FinCalc!$E$482:$E$482</definedName>
    <definedName name="finCalcCh1Prod4Slot2VolSold">FinCalc!$E$481:$E$481</definedName>
    <definedName name="finCalcCh1Prod4Slot3COGSPUnit">FinCalc!$E$563:$E$563</definedName>
    <definedName name="finCalcCh1Prod4Slot3DepExp">FinCalc!$E$556:$E$556</definedName>
    <definedName name="finCalcCh1Prod4Slot3ForcastAcc">FinCalc!$E$530:$E$530</definedName>
    <definedName name="finCalcCh1Prod4Slot3LabourCostPerHour">FinCalc!$E$546:$E$546</definedName>
    <definedName name="finCalcCh1Prod4Slot3LabourExp">FinCalc!$E$548:$E$548</definedName>
    <definedName name="finCalcCh1Prod4Slot3LabourHrsReqPVolBase">FinCalc!$E$541:$E$541</definedName>
    <definedName name="finCalcCh1Prod4Slot3LabourHrsReqPVolFrcAdj">FinCalc!$E$542:$E$542</definedName>
    <definedName name="finCalcCh1Prod4Slot3LabourHrsReqPVolSIAdj">FinCalc!$E$543:$E$543</definedName>
    <definedName name="finCalcCh1Prod4Slot3LabourHrsReqPVolTot">FinCalc!$E$544:$E$544</definedName>
    <definedName name="finCalcCh1Prod4Slot3LogExpAdjPUnit">FinCalc!$E$569:$E$569</definedName>
    <definedName name="finCalcCh1Prod4Slot3LogExpFrcAdj">FinCalc!$E$567:$E$567</definedName>
    <definedName name="finCalcCh1Prod4Slot3LogExpPerUnit">FinCalc!$E$566:$E$566</definedName>
    <definedName name="finCalcCh1Prod4Slot3LogExpSIAdj">FinCalc!$E$568:$E$568</definedName>
    <definedName name="finCalcCh1Prod4Slot3LogisticsCost">FinCalc!$E$570:$E$570</definedName>
    <definedName name="finCalcCh1Prod4Slot3MachCost">FinCalc!$E$552:$E$552</definedName>
    <definedName name="finCalcCh1Prod4Slot3MatExp">FinCalc!$E$538:$E$538</definedName>
    <definedName name="finCalcCh1Prod4Slot3MatExpFrcAdj">FinCalc!$E$535:$E$535</definedName>
    <definedName name="finCalcCh1Prod4Slot3MatExpPerUnitBase">FinCalc!$E$534:$E$534</definedName>
    <definedName name="finCalcCh1Prod4Slot3MatExpPUnitTot">FinCalc!$E$537:$E$537</definedName>
    <definedName name="finCalcCh1Prod4Slot3MatExpSIAdj">FinCalc!$E$536:$E$536</definedName>
    <definedName name="finCalcCh1Prod4Slot3UnitSold">FinCalc!$E$529:$E$529</definedName>
    <definedName name="finCalcCh1Prod4Slot3VolSold">FinCalc!$E$528:$E$528</definedName>
    <definedName name="finCalcCh1Prod4VolSold">FinCalc!$E$2302</definedName>
    <definedName name="finCalcCh1VolSold">FinCalc!$E$2287</definedName>
    <definedName name="finCalcCh2Prod1Slot1COGSPUnit">FinCalc!$E$612:$E$612</definedName>
    <definedName name="finCalcCh2Prod1Slot1DepExp">FinCalc!$E$605:$E$605</definedName>
    <definedName name="finCalcCh2Prod1Slot1ForcastAcc">FinCalc!$E$579:$E$579</definedName>
    <definedName name="finCalcCh2Prod1Slot1LabourCostPerHour">FinCalc!$E$595:$E$595</definedName>
    <definedName name="finCalcCh2Prod1Slot1LabourExp">FinCalc!$E$597:$E$597</definedName>
    <definedName name="finCalcCh2Prod1Slot1LabourHrsReqPVolBase">FinCalc!$E$590:$E$590</definedName>
    <definedName name="finCalcCh2Prod1Slot1LabourHrsReqPVolFrcAdj">FinCalc!$E$591:$E$591</definedName>
    <definedName name="finCalcCh2Prod1Slot1LabourHrsReqPVolSIAdj">FinCalc!$E$592:$E$592</definedName>
    <definedName name="finCalcCh2Prod1Slot1LabourHrsReqPVolTot">FinCalc!$E$593:$E$593</definedName>
    <definedName name="finCalcCh2Prod1Slot1LogExpAdjPUnit">FinCalc!$E$618:$E$618</definedName>
    <definedName name="finCalcCh2Prod1Slot1LogExpFrcAdj">FinCalc!$E$616:$E$616</definedName>
    <definedName name="finCalcCh2Prod1Slot1LogExpPerUnit">FinCalc!$E$615:$E$615</definedName>
    <definedName name="finCalcCh2Prod1Slot1LogExpSIAdj">FinCalc!$E$617:$E$617</definedName>
    <definedName name="finCalcCh2Prod1Slot1LogisticsCost">FinCalc!$E$619:$E$619</definedName>
    <definedName name="finCalcCh2Prod1Slot1MachCost">FinCalc!$E$601:$E$601</definedName>
    <definedName name="finCalcCh2Prod1Slot1MatExp">FinCalc!$E$587:$E$587</definedName>
    <definedName name="finCalcCh2Prod1Slot1MatExpFrcAdj">FinCalc!$E$584:$E$584</definedName>
    <definedName name="finCalcCh2Prod1Slot1MatExpPerUnitBase">FinCalc!$E$583:$E$583</definedName>
    <definedName name="finCalcCh2Prod1Slot1MatExpPUnitTot">FinCalc!$E$586:$E$586</definedName>
    <definedName name="finCalcCh2Prod1Slot1MatExpSIAdj">FinCalc!$E$585:$E$585</definedName>
    <definedName name="finCalcCh2Prod1Slot1UnitSold">FinCalc!$E$578:$E$578</definedName>
    <definedName name="finCalcCh2Prod1Slot1VolSold">FinCalc!$E$577:$E$577</definedName>
    <definedName name="finCalcCh2Prod1Slot2COGSPUnit">FinCalc!$E$659:$E$659</definedName>
    <definedName name="finCalcCh2Prod1Slot2DepExp">FinCalc!$E$652:$E$652</definedName>
    <definedName name="finCalcCh2Prod1Slot2ForcastAcc">FinCalc!$E$626:$E$626</definedName>
    <definedName name="finCalcCh2Prod1Slot2LabourCostPerHour">FinCalc!$E$642:$E$642</definedName>
    <definedName name="finCalcCh2Prod1Slot2LabourExp">FinCalc!$E$644:$E$644</definedName>
    <definedName name="finCalcCh2Prod1Slot2LabourHrsReqPVolBase">FinCalc!$E$637:$E$637</definedName>
    <definedName name="finCalcCh2Prod1Slot2LabourHrsReqPVolFrcAdj">FinCalc!$E$638:$E$638</definedName>
    <definedName name="finCalcCh2Prod1Slot2LabourHrsReqPVolSIAdj">FinCalc!$E$639:$E$639</definedName>
    <definedName name="finCalcCh2Prod1Slot2LabourHrsReqPVolTot">FinCalc!$E$640:$E$640</definedName>
    <definedName name="finCalcCh2Prod1Slot2LogExpAdjPUnit">FinCalc!$E$665:$E$665</definedName>
    <definedName name="finCalcCh2Prod1Slot2LogExpFrcAdj">FinCalc!$E$663:$E$663</definedName>
    <definedName name="finCalcCh2Prod1Slot2LogExpPerUnit">FinCalc!$E$662:$E$662</definedName>
    <definedName name="finCalcCh2Prod1Slot2LogExpSIAdj">FinCalc!$E$664:$E$664</definedName>
    <definedName name="finCalcCh2Prod1Slot2LogisticsCost">FinCalc!$E$666:$E$666</definedName>
    <definedName name="finCalcCh2Prod1Slot2MachCost">FinCalc!$E$648:$E$648</definedName>
    <definedName name="finCalcCh2Prod1Slot2MatExp">FinCalc!$E$634:$E$634</definedName>
    <definedName name="finCalcCh2Prod1Slot2MatExpFrcAdj">FinCalc!$E$631:$E$631</definedName>
    <definedName name="finCalcCh2Prod1Slot2MatExpPerUnitBase">FinCalc!$E$630:$E$630</definedName>
    <definedName name="finCalcCh2Prod1Slot2MatExpPUnitTot">FinCalc!$E$633:$E$633</definedName>
    <definedName name="finCalcCh2Prod1Slot2MatExpSIAdj">FinCalc!$E$632:$E$632</definedName>
    <definedName name="finCalcCh2Prod1Slot2UnitSold">FinCalc!$E$625:$E$625</definedName>
    <definedName name="finCalcCh2Prod1Slot2VolSold">FinCalc!$E$624:$E$624</definedName>
    <definedName name="finCalcCh2Prod1Slot3COGSPUnit">FinCalc!$E$706:$E$706</definedName>
    <definedName name="finCalcCh2Prod1Slot3DepExp">FinCalc!$E$699:$E$699</definedName>
    <definedName name="finCalcCh2Prod1Slot3ForcastAcc">FinCalc!$E$673:$E$673</definedName>
    <definedName name="finCalcCh2Prod1Slot3LabourCostPerHour">FinCalc!$E$689:$E$689</definedName>
    <definedName name="finCalcCh2Prod1Slot3LabourExp">FinCalc!$E$691:$E$691</definedName>
    <definedName name="finCalcCh2Prod1Slot3LabourHrsReqPVolBase">FinCalc!$E$684:$E$684</definedName>
    <definedName name="finCalcCh2Prod1Slot3LabourHrsReqPVolFrcAdj">FinCalc!$E$685:$E$685</definedName>
    <definedName name="finCalcCh2Prod1Slot3LabourHrsReqPVolSIAdj">FinCalc!$E$686:$E$686</definedName>
    <definedName name="finCalcCh2Prod1Slot3LabourHrsReqPVolTot">FinCalc!$E$687:$E$687</definedName>
    <definedName name="finCalcCh2Prod1Slot3LogExpAdjPUnit">FinCalc!$E$712:$E$712</definedName>
    <definedName name="finCalcCh2Prod1Slot3LogExpFrcAdj">FinCalc!$E$710:$E$710</definedName>
    <definedName name="finCalcCh2Prod1Slot3LogExpPerUnit">FinCalc!$E$709:$E$709</definedName>
    <definedName name="finCalcCh2Prod1Slot3LogExpSIAdj">FinCalc!$E$711:$E$711</definedName>
    <definedName name="finCalcCh2Prod1Slot3LogisticsCost">FinCalc!$E$713:$E$713</definedName>
    <definedName name="finCalcCh2Prod1Slot3MachCost">FinCalc!$E$695:$E$695</definedName>
    <definedName name="finCalcCh2Prod1Slot3MatExp">FinCalc!$E$681:$E$681</definedName>
    <definedName name="finCalcCh2Prod1Slot3MatExpFrcAdj">FinCalc!$E$678:$E$678</definedName>
    <definedName name="finCalcCh2Prod1Slot3MatExpPerUnitBase">FinCalc!$E$677:$E$677</definedName>
    <definedName name="finCalcCh2Prod1Slot3MatExpPUnitTot">FinCalc!$E$680:$E$680</definedName>
    <definedName name="finCalcCh2Prod1Slot3MatExpSIAdj">FinCalc!$E$679:$E$679</definedName>
    <definedName name="finCalcCh2Prod1Slot3UnitSold">FinCalc!$E$672:$E$672</definedName>
    <definedName name="finCalcCh2Prod1Slot3VolSold">FinCalc!$E$671:$E$671</definedName>
    <definedName name="finCalcCh2Prod1VolSold">FinCalc!$E$2304</definedName>
    <definedName name="finCalcCh2Prod2Slot1COGSPUnit">FinCalc!$E$754:$E$754</definedName>
    <definedName name="finCalcCh2Prod2Slot1DepExp">FinCalc!$E$747:$E$747</definedName>
    <definedName name="finCalcCh2Prod2Slot1ForcastAcc">FinCalc!$E$721:$E$721</definedName>
    <definedName name="finCalcCh2Prod2Slot1LabourCostPerHour">FinCalc!$E$737:$E$737</definedName>
    <definedName name="finCalcCh2Prod2Slot1LabourExp">FinCalc!$E$739:$E$739</definedName>
    <definedName name="finCalcCh2Prod2Slot1LabourHrsReqPVolBase">FinCalc!$E$732:$E$732</definedName>
    <definedName name="finCalcCh2Prod2Slot1LabourHrsReqPVolFrcAdj">FinCalc!$E$733:$E$733</definedName>
    <definedName name="finCalcCh2Prod2Slot1LabourHrsReqPVolSIAdj">FinCalc!$E$734:$E$734</definedName>
    <definedName name="finCalcCh2Prod2Slot1LabourHrsReqPVolTot">FinCalc!$E$735:$E$735</definedName>
    <definedName name="finCalcCh2Prod2Slot1LogExpAdjPUnit">FinCalc!$E$760:$E$760</definedName>
    <definedName name="finCalcCh2Prod2Slot1LogExpFrcAdj">FinCalc!$E$758:$E$758</definedName>
    <definedName name="finCalcCh2Prod2Slot1LogExpPerUnit">FinCalc!$E$757:$E$757</definedName>
    <definedName name="finCalcCh2Prod2Slot1LogExpSIAdj">FinCalc!$E$759:$E$759</definedName>
    <definedName name="finCalcCh2Prod2Slot1LogisticsCost">FinCalc!$E$761:$E$761</definedName>
    <definedName name="finCalcCh2Prod2Slot1MachCost">FinCalc!$E$743:$E$743</definedName>
    <definedName name="finCalcCh2Prod2Slot1MatExp">FinCalc!$E$729:$E$729</definedName>
    <definedName name="finCalcCh2Prod2Slot1MatExpFrcAdj">FinCalc!$E$726:$E$726</definedName>
    <definedName name="finCalcCh2Prod2Slot1MatExpPerUnitBase">FinCalc!$E$725:$E$725</definedName>
    <definedName name="finCalcCh2Prod2Slot1MatExpPUnitTot">FinCalc!$E$728:$E$728</definedName>
    <definedName name="finCalcCh2Prod2Slot1MatExpSIAdj">FinCalc!$E$727:$E$727</definedName>
    <definedName name="finCalcCh2Prod2Slot1UnitSold">FinCalc!$E$720:$E$720</definedName>
    <definedName name="finCalcCh2Prod2Slot1VolSold">FinCalc!$E$719:$E$719</definedName>
    <definedName name="finCalcCh2Prod2Slot2COGSPUnit">FinCalc!$E$801:$E$801</definedName>
    <definedName name="finCalcCh2Prod2Slot2DepExp">FinCalc!$E$794:$E$794</definedName>
    <definedName name="finCalcCh2Prod2Slot2ForcastAcc">FinCalc!$E$768:$E$768</definedName>
    <definedName name="finCalcCh2Prod2Slot2LabourCostPerHour">FinCalc!$E$784:$E$784</definedName>
    <definedName name="finCalcCh2Prod2Slot2LabourExp">FinCalc!$E$786:$E$786</definedName>
    <definedName name="finCalcCh2Prod2Slot2LabourHrsReqPVolBase">FinCalc!$E$779:$E$779</definedName>
    <definedName name="finCalcCh2Prod2Slot2LabourHrsReqPVolFrcAdj">FinCalc!$E$780:$E$780</definedName>
    <definedName name="finCalcCh2Prod2Slot2LabourHrsReqPVolSIAdj">FinCalc!$E$781:$E$781</definedName>
    <definedName name="finCalcCh2Prod2Slot2LabourHrsReqPVolTot">FinCalc!$E$782:$E$782</definedName>
    <definedName name="finCalcCh2Prod2Slot2LogExpAdjPUnit">FinCalc!$E$807:$E$807</definedName>
    <definedName name="finCalcCh2Prod2Slot2LogExpFrcAdj">FinCalc!$E$805:$E$805</definedName>
    <definedName name="finCalcCh2Prod2Slot2LogExpPerUnit">FinCalc!$E$804:$E$804</definedName>
    <definedName name="finCalcCh2Prod2Slot2LogExpSIAdj">FinCalc!$E$806:$E$806</definedName>
    <definedName name="finCalcCh2Prod2Slot2LogisticsCost">FinCalc!$E$808:$E$808</definedName>
    <definedName name="finCalcCh2Prod2Slot2MachCost">FinCalc!$E$790:$E$790</definedName>
    <definedName name="finCalcCh2Prod2Slot2MatExp">FinCalc!$E$776:$E$776</definedName>
    <definedName name="finCalcCh2Prod2Slot2MatExpFrcAdj">FinCalc!$E$773:$E$773</definedName>
    <definedName name="finCalcCh2Prod2Slot2MatExpPerUnitBase">FinCalc!$E$772:$E$772</definedName>
    <definedName name="finCalcCh2Prod2Slot2MatExpPUnitTot">FinCalc!$E$775:$E$775</definedName>
    <definedName name="finCalcCh2Prod2Slot2MatExpSIAdj">FinCalc!$E$774:$E$774</definedName>
    <definedName name="finCalcCh2Prod2Slot2UnitSold">FinCalc!$E$767:$E$767</definedName>
    <definedName name="finCalcCh2Prod2Slot2VolSold">FinCalc!$E$766:$E$766</definedName>
    <definedName name="finCalcCh2Prod2Slot3COGSPUnit">FinCalc!$E$848:$E$848</definedName>
    <definedName name="finCalcCh2Prod2Slot3DepExp">FinCalc!$E$841:$E$841</definedName>
    <definedName name="finCalcCh2Prod2Slot3ForcastAcc">FinCalc!$E$815:$E$815</definedName>
    <definedName name="finCalcCh2Prod2Slot3LabourCostPerHour">FinCalc!$E$831:$E$831</definedName>
    <definedName name="finCalcCh2Prod2Slot3LabourExp">FinCalc!$E$833:$E$833</definedName>
    <definedName name="finCalcCh2Prod2Slot3LabourHrsReqPVolBase">FinCalc!$E$826:$E$826</definedName>
    <definedName name="finCalcCh2Prod2Slot3LabourHrsReqPVolFrcAdj">FinCalc!$E$827:$E$827</definedName>
    <definedName name="finCalcCh2Prod2Slot3LabourHrsReqPVolSIAdj">FinCalc!$E$828:$E$828</definedName>
    <definedName name="finCalcCh2Prod2Slot3LabourHrsReqPVolTot">FinCalc!$E$829:$E$829</definedName>
    <definedName name="finCalcCh2Prod2Slot3LogExpAdjPUnit">FinCalc!$E$854:$E$854</definedName>
    <definedName name="finCalcCh2Prod2Slot3LogExpFrcAdj">FinCalc!$E$852:$E$852</definedName>
    <definedName name="finCalcCh2Prod2Slot3LogExpPerUnit">FinCalc!$E$851:$E$851</definedName>
    <definedName name="finCalcCh2Prod2Slot3LogExpSIAdj">FinCalc!$E$853:$E$853</definedName>
    <definedName name="finCalcCh2Prod2Slot3LogisticsCost">FinCalc!$E$855:$E$855</definedName>
    <definedName name="finCalcCh2Prod2Slot3MachCost">FinCalc!$E$837:$E$837</definedName>
    <definedName name="finCalcCh2Prod2Slot3MatExp">FinCalc!$E$823:$E$823</definedName>
    <definedName name="finCalcCh2Prod2Slot3MatExpFrcAdj">FinCalc!$E$820:$E$820</definedName>
    <definedName name="finCalcCh2Prod2Slot3MatExpPerUnitBase">FinCalc!$E$819:$E$819</definedName>
    <definedName name="finCalcCh2Prod2Slot3MatExpPUnitTot">FinCalc!$E$822:$E$822</definedName>
    <definedName name="finCalcCh2Prod2Slot3MatExpSIAdj">FinCalc!$E$821:$E$821</definedName>
    <definedName name="finCalcCh2Prod2Slot3UnitSold">FinCalc!$E$814:$E$814</definedName>
    <definedName name="finCalcCh2Prod2Slot3VolSold">FinCalc!$E$813:$E$813</definedName>
    <definedName name="finCalcCh2Prod2VolSold">FinCalc!$E$2305</definedName>
    <definedName name="finCalcCh2Prod3Slot1COGSPUnit">FinCalc!$E$896:$E$896</definedName>
    <definedName name="finCalcCh2Prod3Slot1DepExp">FinCalc!$E$889:$E$889</definedName>
    <definedName name="finCalcCh2Prod3Slot1ForcastAcc">FinCalc!$E$863:$E$863</definedName>
    <definedName name="finCalcCh2Prod3Slot1LabourCostPerHour">FinCalc!$E$879:$E$879</definedName>
    <definedName name="finCalcCh2Prod3Slot1LabourExp">FinCalc!$E$881:$E$881</definedName>
    <definedName name="finCalcCh2Prod3Slot1LabourHrsReqPVolBase">FinCalc!$E$874:$E$874</definedName>
    <definedName name="finCalcCh2Prod3Slot1LabourHrsReqPVolFrcAdj">FinCalc!$E$875:$E$875</definedName>
    <definedName name="finCalcCh2Prod3Slot1LabourHrsReqPVolSIAdj">FinCalc!$E$876:$E$876</definedName>
    <definedName name="finCalcCh2Prod3Slot1LabourHrsReqPVolTot">FinCalc!$E$877:$E$877</definedName>
    <definedName name="finCalcCh2Prod3Slot1LogExpAdjPUnit">FinCalc!$E$902:$E$902</definedName>
    <definedName name="finCalcCh2Prod3Slot1LogExpFrcAdj">FinCalc!$E$900:$E$900</definedName>
    <definedName name="finCalcCh2Prod3Slot1LogExpPerUnit">FinCalc!$E$899:$E$899</definedName>
    <definedName name="finCalcCh2Prod3Slot1LogExpSIAdj">FinCalc!$E$901:$E$901</definedName>
    <definedName name="finCalcCh2Prod3Slot1LogisticsCost">FinCalc!$E$903:$E$903</definedName>
    <definedName name="finCalcCh2Prod3Slot1MachCost">FinCalc!$E$885:$E$885</definedName>
    <definedName name="finCalcCh2Prod3Slot1MatExp">FinCalc!$E$871:$E$871</definedName>
    <definedName name="finCalcCh2Prod3Slot1MatExpFrcAdj">FinCalc!$E$868:$E$868</definedName>
    <definedName name="finCalcCh2Prod3Slot1MatExpPerUnitBase">FinCalc!$E$867:$E$867</definedName>
    <definedName name="finCalcCh2Prod3Slot1MatExpPUnitTot">FinCalc!$E$870:$E$870</definedName>
    <definedName name="finCalcCh2Prod3Slot1MatExpSIAdj">FinCalc!$E$869:$E$869</definedName>
    <definedName name="finCalcCh2Prod3Slot1UnitSold">FinCalc!$E$862:$E$862</definedName>
    <definedName name="finCalcCh2Prod3Slot1VolSold">FinCalc!$E$861:$E$861</definedName>
    <definedName name="finCalcCh2Prod3Slot2COGSPUnit">FinCalc!$E$943:$E$943</definedName>
    <definedName name="finCalcCh2Prod3Slot2DepExp">FinCalc!$E$936:$E$936</definedName>
    <definedName name="finCalcCh2Prod3Slot2ForcastAcc">FinCalc!$E$910:$E$910</definedName>
    <definedName name="finCalcCh2Prod3Slot2LabourCostPerHour">FinCalc!$E$926:$E$926</definedName>
    <definedName name="finCalcCh2Prod3Slot2LabourExp">FinCalc!$E$928:$E$928</definedName>
    <definedName name="finCalcCh2Prod3Slot2LabourHrsReqPVolBase">FinCalc!$E$921:$E$921</definedName>
    <definedName name="finCalcCh2Prod3Slot2LabourHrsReqPVolFrcAdj">FinCalc!$E$922:$E$922</definedName>
    <definedName name="finCalcCh2Prod3Slot2LabourHrsReqPVolSIAdj">FinCalc!$E$923:$E$923</definedName>
    <definedName name="finCalcCh2Prod3Slot2LabourHrsReqPVolTot">FinCalc!$E$924:$E$924</definedName>
    <definedName name="finCalcCh2Prod3Slot2LogExpAdjPUnit">FinCalc!$E$949:$E$949</definedName>
    <definedName name="finCalcCh2Prod3Slot2LogExpFrcAdj">FinCalc!$E$947:$E$947</definedName>
    <definedName name="finCalcCh2Prod3Slot2LogExpPerUnit">FinCalc!$E$946:$E$946</definedName>
    <definedName name="finCalcCh2Prod3Slot2LogExpSIAdj">FinCalc!$E$948:$E$948</definedName>
    <definedName name="finCalcCh2Prod3Slot2LogisticsCost">FinCalc!$E$950:$E$950</definedName>
    <definedName name="finCalcCh2Prod3Slot2MachCost">FinCalc!$E$932:$E$932</definedName>
    <definedName name="finCalcCh2Prod3Slot2MatExp">FinCalc!$E$918:$E$918</definedName>
    <definedName name="finCalcCh2Prod3Slot2MatExpFrcAdj">FinCalc!$E$915:$E$915</definedName>
    <definedName name="finCalcCh2Prod3Slot2MatExpPerUnitBase">FinCalc!$E$914:$E$914</definedName>
    <definedName name="finCalcCh2Prod3Slot2MatExpPUnitTot">FinCalc!$E$917:$E$917</definedName>
    <definedName name="finCalcCh2Prod3Slot2MatExpSIAdj">FinCalc!$E$916:$E$916</definedName>
    <definedName name="finCalcCh2Prod3Slot2UnitSold">FinCalc!$E$909:$E$909</definedName>
    <definedName name="finCalcCh2Prod3Slot2VolSold">FinCalc!$E$908:$E$908</definedName>
    <definedName name="finCalcCh2Prod3Slot3COGSPUnit">FinCalc!$E$990:$E$990</definedName>
    <definedName name="finCalcCh2Prod3Slot3DepExp">FinCalc!$E$983:$E$983</definedName>
    <definedName name="finCalcCh2Prod3Slot3ForcastAcc">FinCalc!$E$957:$E$957</definedName>
    <definedName name="finCalcCh2Prod3Slot3LabourCostPerHour">FinCalc!$E$973:$E$973</definedName>
    <definedName name="finCalcCh2Prod3Slot3LabourExp">FinCalc!$E$975:$E$975</definedName>
    <definedName name="finCalcCh2Prod3Slot3LabourHrsReqPVolBase">FinCalc!$E$968:$E$968</definedName>
    <definedName name="finCalcCh2Prod3Slot3LabourHrsReqPVolFrcAdj">FinCalc!$E$969:$E$969</definedName>
    <definedName name="finCalcCh2Prod3Slot3LabourHrsReqPVolSIAdj">FinCalc!$E$970:$E$970</definedName>
    <definedName name="finCalcCh2Prod3Slot3LabourHrsReqPVolTot">FinCalc!$E$971:$E$971</definedName>
    <definedName name="finCalcCh2Prod3Slot3LogExpAdjPUnit">FinCalc!$E$996:$E$996</definedName>
    <definedName name="finCalcCh2Prod3Slot3LogExpFrcAdj">FinCalc!$E$994:$E$994</definedName>
    <definedName name="finCalcCh2Prod3Slot3LogExpPerUnit">FinCalc!$E$993:$E$993</definedName>
    <definedName name="finCalcCh2Prod3Slot3LogExpSIAdj">FinCalc!$E$995:$E$995</definedName>
    <definedName name="finCalcCh2Prod3Slot3LogisticsCost">FinCalc!$E$997:$E$997</definedName>
    <definedName name="finCalcCh2Prod3Slot3MachCost">FinCalc!$E$979:$E$979</definedName>
    <definedName name="finCalcCh2Prod3Slot3MatExp">FinCalc!$E$965:$E$965</definedName>
    <definedName name="finCalcCh2Prod3Slot3MatExpFrcAdj">FinCalc!$E$962:$E$962</definedName>
    <definedName name="finCalcCh2Prod3Slot3MatExpPerUnitBase">FinCalc!$E$961:$E$961</definedName>
    <definedName name="finCalcCh2Prod3Slot3MatExpPUnitTot">FinCalc!$E$964:$E$964</definedName>
    <definedName name="finCalcCh2Prod3Slot3MatExpSIAdj">FinCalc!$E$963:$E$963</definedName>
    <definedName name="finCalcCh2Prod3Slot3UnitSold">FinCalc!$E$956:$E$956</definedName>
    <definedName name="finCalcCh2Prod3Slot3VolSold">FinCalc!$E$955:$E$955</definedName>
    <definedName name="finCalcCh2Prod3VolSold">FinCalc!$E$2306</definedName>
    <definedName name="finCalcCh2Prod4Slot1COGSPUnit">FinCalc!$E$1038:$E$1038</definedName>
    <definedName name="finCalcCh2Prod4Slot1DepExp">FinCalc!$E$1031:$E$1031</definedName>
    <definedName name="finCalcCh2Prod4Slot1ForcastAcc">FinCalc!$E$1005:$E$1005</definedName>
    <definedName name="finCalcCh2Prod4Slot1LabourCostPerHour">FinCalc!$E$1021:$E$1021</definedName>
    <definedName name="finCalcCh2Prod4Slot1LabourExp">FinCalc!$E$1023:$E$1023</definedName>
    <definedName name="finCalcCh2Prod4Slot1LabourHrsReqPVolBase">FinCalc!$E$1016:$E$1016</definedName>
    <definedName name="finCalcCh2Prod4Slot1LabourHrsReqPVolFrcAdj">FinCalc!$E$1017:$E$1017</definedName>
    <definedName name="finCalcCh2Prod4Slot1LabourHrsReqPVolSIAdj">FinCalc!$E$1018:$E$1018</definedName>
    <definedName name="finCalcCh2Prod4Slot1LabourHrsReqPVolTot">FinCalc!$E$1019:$E$1019</definedName>
    <definedName name="finCalcCh2Prod4Slot1LogExpAdjPUnit">FinCalc!$E$1044:$E$1044</definedName>
    <definedName name="finCalcCh2Prod4Slot1LogExpFrcAdj">FinCalc!$E$1042:$E$1042</definedName>
    <definedName name="finCalcCh2Prod4Slot1LogExpPerUnit">FinCalc!$E$1041:$E$1041</definedName>
    <definedName name="finCalcCh2Prod4Slot1LogExpSIAdj">FinCalc!$E$1043:$E$1043</definedName>
    <definedName name="finCalcCh2Prod4Slot1LogisticsCost">FinCalc!$E$1045:$E$1045</definedName>
    <definedName name="finCalcCh2Prod4Slot1MachCost">FinCalc!$E$1027:$E$1027</definedName>
    <definedName name="finCalcCh2Prod4Slot1MatExp">FinCalc!$E$1013:$E$1013</definedName>
    <definedName name="finCalcCh2Prod4Slot1MatExpFrcAdj">FinCalc!$E$1010:$E$1010</definedName>
    <definedName name="finCalcCh2Prod4Slot1MatExpPerUnitBase">FinCalc!$E$1009:$E$1009</definedName>
    <definedName name="finCalcCh2Prod4Slot1MatExpPUnitTot">FinCalc!$E$1012:$E$1012</definedName>
    <definedName name="finCalcCh2Prod4Slot1MatExpSIAdj">FinCalc!$E$1011:$E$1011</definedName>
    <definedName name="finCalcCh2Prod4Slot1UnitSold">FinCalc!$E$1004:$E$1004</definedName>
    <definedName name="finCalcCh2Prod4Slot1VolSold">FinCalc!$E$1003:$E$1003</definedName>
    <definedName name="finCalcCh2Prod4Slot2COGSPUnit">FinCalc!$E$1085:$E$1085</definedName>
    <definedName name="finCalcCh2Prod4Slot2DepExp">FinCalc!$E$1078:$E$1078</definedName>
    <definedName name="finCalcCh2Prod4Slot2ForcastAcc">FinCalc!$E$1052:$E$1052</definedName>
    <definedName name="finCalcCh2Prod4Slot2LabourCostPerHour">FinCalc!$E$1068:$E$1068</definedName>
    <definedName name="finCalcCh2Prod4Slot2LabourExp">FinCalc!$E$1070:$E$1070</definedName>
    <definedName name="finCalcCh2Prod4Slot2LabourHrsReqPVolBase">FinCalc!$E$1063:$E$1063</definedName>
    <definedName name="finCalcCh2Prod4Slot2LabourHrsReqPVolFrcAdj">FinCalc!$E$1064:$E$1064</definedName>
    <definedName name="finCalcCh2Prod4Slot2LabourHrsReqPVolSIAdj">FinCalc!$E$1065:$E$1065</definedName>
    <definedName name="finCalcCh2Prod4Slot2LabourHrsReqPVolTot">FinCalc!$E$1066:$E$1066</definedName>
    <definedName name="finCalcCh2Prod4Slot2LogExpAdjPUnit">FinCalc!$E$1091:$E$1091</definedName>
    <definedName name="finCalcCh2Prod4Slot2LogExpFrcAdj">FinCalc!$E$1089:$E$1089</definedName>
    <definedName name="finCalcCh2Prod4Slot2LogExpPerUnit">FinCalc!$E$1088:$E$1088</definedName>
    <definedName name="finCalcCh2Prod4Slot2LogExpSIAdj">FinCalc!$E$1090:$E$1090</definedName>
    <definedName name="finCalcCh2Prod4Slot2LogisticsCost">FinCalc!$E$1092:$E$1092</definedName>
    <definedName name="finCalcCh2Prod4Slot2MachCost">FinCalc!$E$1074:$E$1074</definedName>
    <definedName name="finCalcCh2Prod4Slot2MatExp">FinCalc!$E$1060:$E$1060</definedName>
    <definedName name="finCalcCh2Prod4Slot2MatExpFrcAdj">FinCalc!$E$1057:$E$1057</definedName>
    <definedName name="finCalcCh2Prod4Slot2MatExpPerUnitBase">FinCalc!$E$1056:$E$1056</definedName>
    <definedName name="finCalcCh2Prod4Slot2MatExpPUnitTot">FinCalc!$E$1059:$E$1059</definedName>
    <definedName name="finCalcCh2Prod4Slot2MatExpSIAdj">FinCalc!$E$1058:$E$1058</definedName>
    <definedName name="finCalcCh2Prod4Slot2UnitSold">FinCalc!$E$1051:$E$1051</definedName>
    <definedName name="finCalcCh2Prod4Slot2VolSold">FinCalc!$E$1050:$E$1050</definedName>
    <definedName name="finCalcCh2Prod4Slot3COGSPUnit">FinCalc!$E$1132:$E$1132</definedName>
    <definedName name="finCalcCh2Prod4Slot3DepExp">FinCalc!$E$1125:$E$1125</definedName>
    <definedName name="finCalcCh2Prod4Slot3ForcastAcc">FinCalc!$E$1099:$E$1099</definedName>
    <definedName name="finCalcCh2Prod4Slot3LabourCostPerHour">FinCalc!$E$1115:$E$1115</definedName>
    <definedName name="finCalcCh2Prod4Slot3LabourExp">FinCalc!$E$1117:$E$1117</definedName>
    <definedName name="finCalcCh2Prod4Slot3LabourHrsReqPVolBase">FinCalc!$E$1110:$E$1110</definedName>
    <definedName name="finCalcCh2Prod4Slot3LabourHrsReqPVolFrcAdj">FinCalc!$E$1111:$E$1111</definedName>
    <definedName name="finCalcCh2Prod4Slot3LabourHrsReqPVolSIAdj">FinCalc!$E$1112:$E$1112</definedName>
    <definedName name="finCalcCh2Prod4Slot3LabourHrsReqPVolTot">FinCalc!$E$1113:$E$1113</definedName>
    <definedName name="finCalcCh2Prod4Slot3LogExpAdjPUnit">FinCalc!$E$1138:$E$1138</definedName>
    <definedName name="finCalcCh2Prod4Slot3LogExpFrcAdj">FinCalc!$E$1136:$E$1136</definedName>
    <definedName name="finCalcCh2Prod4Slot3LogExpPerUnit">FinCalc!$E$1135:$E$1135</definedName>
    <definedName name="finCalcCh2Prod4Slot3LogExpSIAdj">FinCalc!$E$1137:$E$1137</definedName>
    <definedName name="finCalcCh2Prod4Slot3LogisticsCost">FinCalc!$E$1139:$E$1139</definedName>
    <definedName name="finCalcCh2Prod4Slot3MachCost">FinCalc!$E$1121:$E$1121</definedName>
    <definedName name="finCalcCh2Prod4Slot3MatExp">FinCalc!$E$1107:$E$1107</definedName>
    <definedName name="finCalcCh2Prod4Slot3MatExpFrcAdj">FinCalc!$E$1104:$E$1104</definedName>
    <definedName name="finCalcCh2Prod4Slot3MatExpPerUnitBase">FinCalc!$E$1103:$E$1103</definedName>
    <definedName name="finCalcCh2Prod4Slot3MatExpPUnitTot">FinCalc!$E$1106:$E$1106</definedName>
    <definedName name="finCalcCh2Prod4Slot3MatExpSIAdj">FinCalc!$E$1105:$E$1105</definedName>
    <definedName name="finCalcCh2Prod4Slot3UnitSold">FinCalc!$E$1098:$E$1098</definedName>
    <definedName name="finCalcCh2Prod4Slot3VolSold">FinCalc!$E$1097:$E$1097</definedName>
    <definedName name="finCalcCh2Prod4VolSold">FinCalc!$E$2307</definedName>
    <definedName name="finCalcCh2VolSold">FinCalc!$E$2288</definedName>
    <definedName name="finCalcCh3Prod1Slot1COGSPUnit">FinCalc!$E$1181:$E$1181</definedName>
    <definedName name="finCalcCh3Prod1Slot1DepExp">FinCalc!$E$1174:$E$1174</definedName>
    <definedName name="finCalcCh3Prod1Slot1ForcastAcc">FinCalc!$E$1148:$E$1148</definedName>
    <definedName name="finCalcCh3Prod1Slot1LabourCostPerHour">FinCalc!$E$1164:$E$1164</definedName>
    <definedName name="finCalcCh3Prod1Slot1LabourExp">FinCalc!$E$1166:$E$1166</definedName>
    <definedName name="finCalcCh3Prod1Slot1LabourHrsReqPVolBase">FinCalc!$E$1159:$E$1159</definedName>
    <definedName name="finCalcCh3Prod1Slot1LabourHrsReqPVolFrcAdj">FinCalc!$E$1160:$E$1160</definedName>
    <definedName name="finCalcCh3Prod1Slot1LabourHrsReqPVolSIAdj">FinCalc!$E$1161:$E$1161</definedName>
    <definedName name="finCalcCh3Prod1Slot1LabourHrsReqPVolTot">FinCalc!$E$1162:$E$1162</definedName>
    <definedName name="finCalcCh3Prod1Slot1LogExpAdjPUnit">FinCalc!$E$1187:$E$1187</definedName>
    <definedName name="finCalcCh3Prod1Slot1LogExpFrcAdj">FinCalc!$E$1185:$E$1185</definedName>
    <definedName name="finCalcCh3Prod1Slot1LogExpPerUnit">FinCalc!$E$1184:$E$1184</definedName>
    <definedName name="finCalcCh3Prod1Slot1LogExpSIAdj">FinCalc!$E$1186:$E$1186</definedName>
    <definedName name="finCalcCh3Prod1Slot1LogisticsCost">FinCalc!$E$1188:$E$1188</definedName>
    <definedName name="finCalcCh3Prod1Slot1MachCost">FinCalc!$E$1170:$E$1170</definedName>
    <definedName name="finCalcCh3Prod1Slot1MatExp">FinCalc!$E$1156:$E$1156</definedName>
    <definedName name="finCalcCh3Prod1Slot1MatExpFrcAdj">FinCalc!$E$1153:$E$1153</definedName>
    <definedName name="finCalcCh3Prod1Slot1MatExpPerUnitBase">FinCalc!$E$1152:$E$1152</definedName>
    <definedName name="finCalcCh3Prod1Slot1MatExpPUnitTot">FinCalc!$E$1155:$E$1155</definedName>
    <definedName name="finCalcCh3Prod1Slot1MatExpSIAdj">FinCalc!$E$1154:$E$1154</definedName>
    <definedName name="finCalcCh3Prod1Slot1UnitSold">FinCalc!$E$1147:$E$1147</definedName>
    <definedName name="finCalcCh3Prod1Slot1VolSold">FinCalc!$E$1146:$E$1146</definedName>
    <definedName name="finCalcCh3Prod1Slot2COGSPUnit">FinCalc!$E$1228:$E$1228</definedName>
    <definedName name="finCalcCh3Prod1Slot2DepExp">FinCalc!$E$1221:$E$1221</definedName>
    <definedName name="finCalcCh3Prod1Slot2ForcastAcc">FinCalc!$E$1195:$E$1195</definedName>
    <definedName name="finCalcCh3Prod1Slot2LabourCostPerHour">FinCalc!$E$1211:$E$1211</definedName>
    <definedName name="finCalcCh3Prod1Slot2LabourExp">FinCalc!$E$1213:$E$1213</definedName>
    <definedName name="finCalcCh3Prod1Slot2LabourHrsReqPVolBase">FinCalc!$E$1206:$E$1206</definedName>
    <definedName name="finCalcCh3Prod1Slot2LabourHrsReqPVolFrcAdj">FinCalc!$E$1207:$E$1207</definedName>
    <definedName name="finCalcCh3Prod1Slot2LabourHrsReqPVolSIAdj">FinCalc!$E$1208:$E$1208</definedName>
    <definedName name="finCalcCh3Prod1Slot2LabourHrsReqPVolTot">FinCalc!$E$1209:$E$1209</definedName>
    <definedName name="finCalcCh3Prod1Slot2LogExpAdjPUnit">FinCalc!$E$1234:$E$1234</definedName>
    <definedName name="finCalcCh3Prod1Slot2LogExpFrcAdj">FinCalc!$E$1232:$E$1232</definedName>
    <definedName name="finCalcCh3Prod1Slot2LogExpPerUnit">FinCalc!$E$1231:$E$1231</definedName>
    <definedName name="finCalcCh3Prod1Slot2LogExpSIAdj">FinCalc!$E$1233:$E$1233</definedName>
    <definedName name="finCalcCh3Prod1Slot2LogisticsCost">FinCalc!$E$1235:$E$1235</definedName>
    <definedName name="finCalcCh3Prod1Slot2MachCost">FinCalc!$E$1217:$E$1217</definedName>
    <definedName name="finCalcCh3Prod1Slot2MatExp">FinCalc!$E$1203:$E$1203</definedName>
    <definedName name="finCalcCh3Prod1Slot2MatExpFrcAdj">FinCalc!$E$1200:$E$1200</definedName>
    <definedName name="finCalcCh3Prod1Slot2MatExpPerUnitBase">FinCalc!$E$1199:$E$1199</definedName>
    <definedName name="finCalcCh3Prod1Slot2MatExpPUnitTot">FinCalc!$E$1202:$E$1202</definedName>
    <definedName name="finCalcCh3Prod1Slot2MatExpSIAdj">FinCalc!$E$1201:$E$1201</definedName>
    <definedName name="finCalcCh3Prod1Slot2UnitSold">FinCalc!$E$1194:$E$1194</definedName>
    <definedName name="finCalcCh3Prod1Slot2VolSold">FinCalc!$E$1193:$E$1193</definedName>
    <definedName name="finCalcCh3Prod1Slot3COGSPUnit">FinCalc!$E$1275:$E$1275</definedName>
    <definedName name="finCalcCh3Prod1Slot3DepExp">FinCalc!$E$1268:$E$1268</definedName>
    <definedName name="finCalcCh3Prod1Slot3ForcastAcc">FinCalc!$E$1242:$E$1242</definedName>
    <definedName name="finCalcCh3Prod1Slot3LabourCostPerHour">FinCalc!$E$1258:$E$1258</definedName>
    <definedName name="finCalcCh3Prod1Slot3LabourExp">FinCalc!$E$1260:$E$1260</definedName>
    <definedName name="finCalcCh3Prod1Slot3LabourHrsReqPVolBase">FinCalc!$E$1253:$E$1253</definedName>
    <definedName name="finCalcCh3Prod1Slot3LabourHrsReqPVolFrcAdj">FinCalc!$E$1254:$E$1254</definedName>
    <definedName name="finCalcCh3Prod1Slot3LabourHrsReqPVolSIAdj">FinCalc!$E$1255:$E$1255</definedName>
    <definedName name="finCalcCh3Prod1Slot3LabourHrsReqPVolTot">FinCalc!$E$1256:$E$1256</definedName>
    <definedName name="finCalcCh3Prod1Slot3LogExpAdjPUnit">FinCalc!$E$1281:$E$1281</definedName>
    <definedName name="finCalcCh3Prod1Slot3LogExpFrcAdj">FinCalc!$E$1279:$E$1279</definedName>
    <definedName name="finCalcCh3Prod1Slot3LogExpPerUnit">FinCalc!$E$1278:$E$1278</definedName>
    <definedName name="finCalcCh3Prod1Slot3LogExpSIAdj">FinCalc!$E$1280:$E$1280</definedName>
    <definedName name="finCalcCh3Prod1Slot3LogisticsCost">FinCalc!$E$1282:$E$1282</definedName>
    <definedName name="finCalcCh3Prod1Slot3MachCost">FinCalc!$E$1264:$E$1264</definedName>
    <definedName name="finCalcCh3Prod1Slot3MatExp">FinCalc!$E$1250:$E$1250</definedName>
    <definedName name="finCalcCh3Prod1Slot3MatExpFrcAdj">FinCalc!$E$1247:$E$1247</definedName>
    <definedName name="finCalcCh3Prod1Slot3MatExpPerUnitBase">FinCalc!$E$1246:$E$1246</definedName>
    <definedName name="finCalcCh3Prod1Slot3MatExpPUnitTot">FinCalc!$E$1249:$E$1249</definedName>
    <definedName name="finCalcCh3Prod1Slot3MatExpSIAdj">FinCalc!$E$1248:$E$1248</definedName>
    <definedName name="finCalcCh3Prod1Slot3UnitSold">FinCalc!$E$1241:$E$1241</definedName>
    <definedName name="finCalcCh3Prod1Slot3VolSold">FinCalc!$E$1240:$E$1240</definedName>
    <definedName name="finCalcCh3Prod1VolSold">FinCalc!$E$2309</definedName>
    <definedName name="finCalcCh3Prod2Slot1COGSPUnit">FinCalc!$E$1323:$E$1323</definedName>
    <definedName name="finCalcCh3Prod2Slot1DepExp">FinCalc!$E$1316:$E$1316</definedName>
    <definedName name="finCalcCh3Prod2Slot1ForcastAcc">FinCalc!$E$1290:$E$1290</definedName>
    <definedName name="finCalcCh3Prod2Slot1LabourCostPerHour">FinCalc!$E$1306:$E$1306</definedName>
    <definedName name="finCalcCh3Prod2Slot1LabourExp">FinCalc!$E$1308:$E$1308</definedName>
    <definedName name="finCalcCh3Prod2Slot1LabourHrsReqPVolBase">FinCalc!$E$1301:$E$1301</definedName>
    <definedName name="finCalcCh3Prod2Slot1LabourHrsReqPVolFrcAdj">FinCalc!$E$1302:$E$1302</definedName>
    <definedName name="finCalcCh3Prod2Slot1LabourHrsReqPVolSIAdj">FinCalc!$E$1303:$E$1303</definedName>
    <definedName name="finCalcCh3Prod2Slot1LabourHrsReqPVolTot">FinCalc!$E$1304:$E$1304</definedName>
    <definedName name="finCalcCh3Prod2Slot1LogExpAdjPUnit">FinCalc!$E$1329:$E$1329</definedName>
    <definedName name="finCalcCh3Prod2Slot1LogExpFrcAdj">FinCalc!$E$1327:$E$1327</definedName>
    <definedName name="finCalcCh3Prod2Slot1LogExpPerUnit">FinCalc!$E$1326:$E$1326</definedName>
    <definedName name="finCalcCh3Prod2Slot1LogExpSIAdj">FinCalc!$E$1328:$E$1328</definedName>
    <definedName name="finCalcCh3Prod2Slot1LogisticsCost">FinCalc!$E$1330:$E$1330</definedName>
    <definedName name="finCalcCh3Prod2Slot1MachCost">FinCalc!$E$1312:$E$1312</definedName>
    <definedName name="finCalcCh3Prod2Slot1MatExp">FinCalc!$E$1298:$E$1298</definedName>
    <definedName name="finCalcCh3Prod2Slot1MatExpFrcAdj">FinCalc!$E$1295:$E$1295</definedName>
    <definedName name="finCalcCh3Prod2Slot1MatExpPerUnitBase">FinCalc!$E$1294:$E$1294</definedName>
    <definedName name="finCalcCh3Prod2Slot1MatExpPUnitTot">FinCalc!$E$1297:$E$1297</definedName>
    <definedName name="finCalcCh3Prod2Slot1MatExpSIAdj">FinCalc!$E$1296:$E$1296</definedName>
    <definedName name="finCalcCh3Prod2Slot1UnitSold">FinCalc!$E$1289:$E$1289</definedName>
    <definedName name="finCalcCh3Prod2Slot1VolSold">FinCalc!$E$1288:$E$1288</definedName>
    <definedName name="finCalcCh3Prod2Slot2COGSPUnit">FinCalc!$E$1370:$E$1370</definedName>
    <definedName name="finCalcCh3Prod2Slot2DepExp">FinCalc!$E$1363:$E$1363</definedName>
    <definedName name="finCalcCh3Prod2Slot2ForcastAcc">FinCalc!$E$1337:$E$1337</definedName>
    <definedName name="finCalcCh3Prod2Slot2LabourCostPerHour">FinCalc!$E$1353:$E$1353</definedName>
    <definedName name="finCalcCh3Prod2Slot2LabourExp">FinCalc!$E$1355:$E$1355</definedName>
    <definedName name="finCalcCh3Prod2Slot2LabourHrsReqPVolBase">FinCalc!$E$1348:$E$1348</definedName>
    <definedName name="finCalcCh3Prod2Slot2LabourHrsReqPVolFrcAdj">FinCalc!$E$1349:$E$1349</definedName>
    <definedName name="finCalcCh3Prod2Slot2LabourHrsReqPVolSIAdj">FinCalc!$E$1350:$E$1350</definedName>
    <definedName name="finCalcCh3Prod2Slot2LabourHrsReqPVolTot">FinCalc!$E$1351:$E$1351</definedName>
    <definedName name="finCalcCh3Prod2Slot2LogExpAdjPUnit">FinCalc!$E$1376:$E$1376</definedName>
    <definedName name="finCalcCh3Prod2Slot2LogExpFrcAdj">FinCalc!$E$1374:$E$1374</definedName>
    <definedName name="finCalcCh3Prod2Slot2LogExpPerUnit">FinCalc!$E$1373:$E$1373</definedName>
    <definedName name="finCalcCh3Prod2Slot2LogExpSIAdj">FinCalc!$E$1375:$E$1375</definedName>
    <definedName name="finCalcCh3Prod2Slot2LogisticsCost">FinCalc!$E$1377:$E$1377</definedName>
    <definedName name="finCalcCh3Prod2Slot2MachCost">FinCalc!$E$1359:$E$1359</definedName>
    <definedName name="finCalcCh3Prod2Slot2MatExp">FinCalc!$E$1345:$E$1345</definedName>
    <definedName name="finCalcCh3Prod2Slot2MatExpFrcAdj">FinCalc!$E$1342:$E$1342</definedName>
    <definedName name="finCalcCh3Prod2Slot2MatExpPerUnitBase">FinCalc!$E$1341:$E$1341</definedName>
    <definedName name="finCalcCh3Prod2Slot2MatExpPUnitTot">FinCalc!$E$1344:$E$1344</definedName>
    <definedName name="finCalcCh3Prod2Slot2MatExpSIAdj">FinCalc!$E$1343:$E$1343</definedName>
    <definedName name="finCalcCh3Prod2Slot2UnitSold">FinCalc!$E$1336:$E$1336</definedName>
    <definedName name="finCalcCh3Prod2Slot2VolSold">FinCalc!$E$1335:$E$1335</definedName>
    <definedName name="finCalcCh3Prod2Slot3COGSPUnit">FinCalc!$E$1417:$E$1417</definedName>
    <definedName name="finCalcCh3Prod2Slot3DepExp">FinCalc!$E$1410:$E$1410</definedName>
    <definedName name="finCalcCh3Prod2Slot3ForcastAcc">FinCalc!$E$1384:$E$1384</definedName>
    <definedName name="finCalcCh3Prod2Slot3LabourCostPerHour">FinCalc!$E$1400:$E$1400</definedName>
    <definedName name="finCalcCh3Prod2Slot3LabourExp">FinCalc!$E$1402:$E$1402</definedName>
    <definedName name="finCalcCh3Prod2Slot3LabourHrsReqPVolBase">FinCalc!$E$1395:$E$1395</definedName>
    <definedName name="finCalcCh3Prod2Slot3LabourHrsReqPVolFrcAdj">FinCalc!$E$1396:$E$1396</definedName>
    <definedName name="finCalcCh3Prod2Slot3LabourHrsReqPVolSIAdj">FinCalc!$E$1397:$E$1397</definedName>
    <definedName name="finCalcCh3Prod2Slot3LabourHrsReqPVolTot">FinCalc!$E$1398:$E$1398</definedName>
    <definedName name="finCalcCh3Prod2Slot3LogExpAdjPUnit">FinCalc!$E$1423:$E$1423</definedName>
    <definedName name="finCalcCh3Prod2Slot3LogExpFrcAdj">FinCalc!$E$1421:$E$1421</definedName>
    <definedName name="finCalcCh3Prod2Slot3LogExpPerUnit">FinCalc!$E$1420:$E$1420</definedName>
    <definedName name="finCalcCh3Prod2Slot3LogExpSIAdj">FinCalc!$E$1422:$E$1422</definedName>
    <definedName name="finCalcCh3Prod2Slot3LogisticsCost">FinCalc!$E$1424:$E$1424</definedName>
    <definedName name="finCalcCh3Prod2Slot3MachCost">FinCalc!$E$1406:$E$1406</definedName>
    <definedName name="finCalcCh3Prod2Slot3MatExp">FinCalc!$E$1392:$E$1392</definedName>
    <definedName name="finCalcCh3Prod2Slot3MatExpFrcAdj">FinCalc!$E$1389:$E$1389</definedName>
    <definedName name="finCalcCh3Prod2Slot3MatExpPerUnitBase">FinCalc!$E$1388:$E$1388</definedName>
    <definedName name="finCalcCh3Prod2Slot3MatExpPUnitTot">FinCalc!$E$1391:$E$1391</definedName>
    <definedName name="finCalcCh3Prod2Slot3MatExpSIAdj">FinCalc!$E$1390:$E$1390</definedName>
    <definedName name="finCalcCh3Prod2Slot3UnitSold">FinCalc!$E$1383:$E$1383</definedName>
    <definedName name="finCalcCh3Prod2Slot3VolSold">FinCalc!$E$1382:$E$1382</definedName>
    <definedName name="finCalcCh3Prod2VolSold">FinCalc!$E$2310</definedName>
    <definedName name="finCalcCh3Prod3Slot1COGSPUnit">FinCalc!$E$1465:$E$1465</definedName>
    <definedName name="finCalcCh3Prod3Slot1DepExp">FinCalc!$E$1458:$E$1458</definedName>
    <definedName name="finCalcCh3Prod3Slot1ForcastAcc">FinCalc!$E$1432:$E$1432</definedName>
    <definedName name="finCalcCh3Prod3Slot1LabourCostPerHour">FinCalc!$E$1448:$E$1448</definedName>
    <definedName name="finCalcCh3Prod3Slot1LabourExp">FinCalc!$E$1450:$E$1450</definedName>
    <definedName name="finCalcCh3Prod3Slot1LabourHrsReqPVolBase">FinCalc!$E$1443:$E$1443</definedName>
    <definedName name="finCalcCh3Prod3Slot1LabourHrsReqPVolFrcAdj">FinCalc!$E$1444:$E$1444</definedName>
    <definedName name="finCalcCh3Prod3Slot1LabourHrsReqPVolSIAdj">FinCalc!$E$1445:$E$1445</definedName>
    <definedName name="finCalcCh3Prod3Slot1LabourHrsReqPVolTot">FinCalc!$E$1446:$E$1446</definedName>
    <definedName name="finCalcCh3Prod3Slot1LogExpAdjPUnit">FinCalc!$E$1471:$E$1471</definedName>
    <definedName name="finCalcCh3Prod3Slot1LogExpFrcAdj">FinCalc!$E$1469:$E$1469</definedName>
    <definedName name="finCalcCh3Prod3Slot1LogExpPerUnit">FinCalc!$E$1468:$E$1468</definedName>
    <definedName name="finCalcCh3Prod3Slot1LogExpSIAdj">FinCalc!$E$1470:$E$1470</definedName>
    <definedName name="finCalcCh3Prod3Slot1LogisticsCost">FinCalc!$E$1472:$E$1472</definedName>
    <definedName name="finCalcCh3Prod3Slot1MachCost">FinCalc!$E$1454:$E$1454</definedName>
    <definedName name="finCalcCh3Prod3Slot1MatExp">FinCalc!$E$1440:$E$1440</definedName>
    <definedName name="finCalcCh3Prod3Slot1MatExpFrcAdj">FinCalc!$E$1437:$E$1437</definedName>
    <definedName name="finCalcCh3Prod3Slot1MatExpPerUnitBase">FinCalc!$E$1436:$E$1436</definedName>
    <definedName name="finCalcCh3Prod3Slot1MatExpPUnitTot">FinCalc!$E$1439:$E$1439</definedName>
    <definedName name="finCalcCh3Prod3Slot1MatExpSIAdj">FinCalc!$E$1438:$E$1438</definedName>
    <definedName name="finCalcCh3Prod3Slot1UnitSold">FinCalc!$E$1431:$E$1431</definedName>
    <definedName name="finCalcCh3Prod3Slot1VolSold">FinCalc!$E$1430:$E$1430</definedName>
    <definedName name="finCalcCh3Prod3Slot2COGSPUnit">FinCalc!$E$1512:$E$1512</definedName>
    <definedName name="finCalcCh3Prod3Slot2DepExp">FinCalc!$E$1505:$E$1505</definedName>
    <definedName name="finCalcCh3Prod3Slot2ForcastAcc">FinCalc!$E$1479:$E$1479</definedName>
    <definedName name="finCalcCh3Prod3Slot2LabourCostPerHour">FinCalc!$E$1495:$E$1495</definedName>
    <definedName name="finCalcCh3Prod3Slot2LabourExp">FinCalc!$E$1497:$E$1497</definedName>
    <definedName name="finCalcCh3Prod3Slot2LabourHrsReqPVolBase">FinCalc!$E$1490:$E$1490</definedName>
    <definedName name="finCalcCh3Prod3Slot2LabourHrsReqPVolFrcAdj">FinCalc!$E$1491:$E$1491</definedName>
    <definedName name="finCalcCh3Prod3Slot2LabourHrsReqPVolSIAdj">FinCalc!$E$1492:$E$1492</definedName>
    <definedName name="finCalcCh3Prod3Slot2LabourHrsReqPVolTot">FinCalc!$E$1493:$E$1493</definedName>
    <definedName name="finCalcCh3Prod3Slot2LogExpAdjPUnit">FinCalc!$E$1518:$E$1518</definedName>
    <definedName name="finCalcCh3Prod3Slot2LogExpFrcAdj">FinCalc!$E$1516:$E$1516</definedName>
    <definedName name="finCalcCh3Prod3Slot2LogExpPerUnit">FinCalc!$E$1515:$E$1515</definedName>
    <definedName name="finCalcCh3Prod3Slot2LogExpSIAdj">FinCalc!$E$1517:$E$1517</definedName>
    <definedName name="finCalcCh3Prod3Slot2LogisticsCost">FinCalc!$E$1519:$E$1519</definedName>
    <definedName name="finCalcCh3Prod3Slot2MachCost">FinCalc!$E$1501:$E$1501</definedName>
    <definedName name="finCalcCh3Prod3Slot2MatExp">FinCalc!$E$1487:$E$1487</definedName>
    <definedName name="finCalcCh3Prod3Slot2MatExpFrcAdj">FinCalc!$E$1484:$E$1484</definedName>
    <definedName name="finCalcCh3Prod3Slot2MatExpPerUnitBase">FinCalc!$E$1483:$E$1483</definedName>
    <definedName name="finCalcCh3Prod3Slot2MatExpPUnitTot">FinCalc!$E$1486:$E$1486</definedName>
    <definedName name="finCalcCh3Prod3Slot2MatExpSIAdj">FinCalc!$E$1485:$E$1485</definedName>
    <definedName name="finCalcCh3Prod3Slot2UnitSold">FinCalc!$E$1478:$E$1478</definedName>
    <definedName name="finCalcCh3Prod3Slot2VolSold">FinCalc!$E$1477:$E$1477</definedName>
    <definedName name="finCalcCh3Prod3Slot3COGSPUnit">FinCalc!$E$1559:$E$1559</definedName>
    <definedName name="finCalcCh3Prod3Slot3DepExp">FinCalc!$E$1552:$E$1552</definedName>
    <definedName name="finCalcCh3Prod3Slot3ForcastAcc">FinCalc!$E$1526:$E$1526</definedName>
    <definedName name="finCalcCh3Prod3Slot3LabourCostPerHour">FinCalc!$E$1542:$E$1542</definedName>
    <definedName name="finCalcCh3Prod3Slot3LabourExp">FinCalc!$E$1544:$E$1544</definedName>
    <definedName name="finCalcCh3Prod3Slot3LabourHrsReqPVolBase">FinCalc!$E$1537:$E$1537</definedName>
    <definedName name="finCalcCh3Prod3Slot3LabourHrsReqPVolFrcAdj">FinCalc!$E$1538:$E$1538</definedName>
    <definedName name="finCalcCh3Prod3Slot3LabourHrsReqPVolSIAdj">FinCalc!$E$1539:$E$1539</definedName>
    <definedName name="finCalcCh3Prod3Slot3LabourHrsReqPVolTot">FinCalc!$E$1540:$E$1540</definedName>
    <definedName name="finCalcCh3Prod3Slot3LogExpAdjPUnit">FinCalc!$E$1565:$E$1565</definedName>
    <definedName name="finCalcCh3Prod3Slot3LogExpFrcAdj">FinCalc!$E$1563:$E$1563</definedName>
    <definedName name="finCalcCh3Prod3Slot3LogExpPerUnit">FinCalc!$E$1562:$E$1562</definedName>
    <definedName name="finCalcCh3Prod3Slot3LogExpSIAdj">FinCalc!$E$1564:$E$1564</definedName>
    <definedName name="finCalcCh3Prod3Slot3LogisticsCost">FinCalc!$E$1566:$E$1566</definedName>
    <definedName name="finCalcCh3Prod3Slot3MachCost">FinCalc!$E$1548:$E$1548</definedName>
    <definedName name="finCalcCh3Prod3Slot3MatExp">FinCalc!$E$1534:$E$1534</definedName>
    <definedName name="finCalcCh3Prod3Slot3MatExpFrcAdj">FinCalc!$E$1531:$E$1531</definedName>
    <definedName name="finCalcCh3Prod3Slot3MatExpPerUnitBase">FinCalc!$E$1530:$E$1530</definedName>
    <definedName name="finCalcCh3Prod3Slot3MatExpPUnitTot">FinCalc!$E$1533:$E$1533</definedName>
    <definedName name="finCalcCh3Prod3Slot3MatExpSIAdj">FinCalc!$E$1532:$E$1532</definedName>
    <definedName name="finCalcCh3Prod3Slot3UnitSold">FinCalc!$E$1525:$E$1525</definedName>
    <definedName name="finCalcCh3Prod3Slot3VolSold">FinCalc!$E$1524:$E$1524</definedName>
    <definedName name="finCalcCh3Prod3VolSold">FinCalc!$E$2311</definedName>
    <definedName name="finCalcCh3Prod4Slot1COGSPUnit">FinCalc!$E$1607:$E$1607</definedName>
    <definedName name="finCalcCh3Prod4Slot1DepExp">FinCalc!$E$1600:$E$1600</definedName>
    <definedName name="finCalcCh3Prod4Slot1ForcastAcc">FinCalc!$E$1574:$E$1574</definedName>
    <definedName name="finCalcCh3Prod4Slot1LabourCostPerHour">FinCalc!$E$1590:$E$1590</definedName>
    <definedName name="finCalcCh3Prod4Slot1LabourExp">FinCalc!$E$1592:$E$1592</definedName>
    <definedName name="finCalcCh3Prod4Slot1LabourHrsReqPVolBase">FinCalc!$E$1585:$E$1585</definedName>
    <definedName name="finCalcCh3Prod4Slot1LabourHrsReqPVolFrcAdj">FinCalc!$E$1586:$E$1586</definedName>
    <definedName name="finCalcCh3Prod4Slot1LabourHrsReqPVolSIAdj">FinCalc!$E$1587:$E$1587</definedName>
    <definedName name="finCalcCh3Prod4Slot1LabourHrsReqPVolTot">FinCalc!$E$1588:$E$1588</definedName>
    <definedName name="finCalcCh3Prod4Slot1LogExpAdjPUnit">FinCalc!$E$1613:$E$1613</definedName>
    <definedName name="finCalcCh3Prod4Slot1LogExpFrcAdj">FinCalc!$E$1611:$E$1611</definedName>
    <definedName name="finCalcCh3Prod4Slot1LogExpPerUnit">FinCalc!$E$1610:$E$1610</definedName>
    <definedName name="finCalcCh3Prod4Slot1LogExpSIAdj">FinCalc!$E$1612:$E$1612</definedName>
    <definedName name="finCalcCh3Prod4Slot1LogisticsCost">FinCalc!$E$1614:$E$1614</definedName>
    <definedName name="finCalcCh3Prod4Slot1MachCost">FinCalc!$E$1596:$E$1596</definedName>
    <definedName name="finCalcCh3Prod4Slot1MatExp">FinCalc!$E$1582:$E$1582</definedName>
    <definedName name="finCalcCh3Prod4Slot1MatExpFrcAdj">FinCalc!$E$1579:$E$1579</definedName>
    <definedName name="finCalcCh3Prod4Slot1MatExpPerUnitBase">FinCalc!$E$1578:$E$1578</definedName>
    <definedName name="finCalcCh3Prod4Slot1MatExpPUnitTot">FinCalc!$E$1581:$E$1581</definedName>
    <definedName name="finCalcCh3Prod4Slot1MatExpSIAdj">FinCalc!$E$1580:$E$1580</definedName>
    <definedName name="finCalcCh3Prod4Slot1UnitSold">FinCalc!$E$1573:$E$1573</definedName>
    <definedName name="finCalcCh3Prod4Slot1VolSold">FinCalc!$E$1572:$E$1572</definedName>
    <definedName name="finCalcCh3Prod4Slot2COGSPUnit">FinCalc!$E$1654:$E$1654</definedName>
    <definedName name="finCalcCh3Prod4Slot2DepExp">FinCalc!$E$1647:$E$1647</definedName>
    <definedName name="finCalcCh3Prod4Slot2ForcastAcc">FinCalc!$E$1621:$E$1621</definedName>
    <definedName name="finCalcCh3Prod4Slot2LabourCostPerHour">FinCalc!$E$1637:$E$1637</definedName>
    <definedName name="finCalcCh3Prod4Slot2LabourExp">FinCalc!$E$1639:$E$1639</definedName>
    <definedName name="finCalcCh3Prod4Slot2LabourHrsReqPVolBase">FinCalc!$E$1632:$E$1632</definedName>
    <definedName name="finCalcCh3Prod4Slot2LabourHrsReqPVolFrcAdj">FinCalc!$E$1633:$E$1633</definedName>
    <definedName name="finCalcCh3Prod4Slot2LabourHrsReqPVolSIAdj">FinCalc!$E$1634:$E$1634</definedName>
    <definedName name="finCalcCh3Prod4Slot2LabourHrsReqPVolTot">FinCalc!$E$1635:$E$1635</definedName>
    <definedName name="finCalcCh3Prod4Slot2LogExpAdjPUnit">FinCalc!$E$1660:$E$1660</definedName>
    <definedName name="finCalcCh3Prod4Slot2LogExpFrcAdj">FinCalc!$E$1658:$E$1658</definedName>
    <definedName name="finCalcCh3Prod4Slot2LogExpPerUnit">FinCalc!$E$1657:$E$1657</definedName>
    <definedName name="finCalcCh3Prod4Slot2LogExpSIAdj">FinCalc!$E$1659:$E$1659</definedName>
    <definedName name="finCalcCh3Prod4Slot2LogisticsCost">FinCalc!$E$1661:$E$1661</definedName>
    <definedName name="finCalcCh3Prod4Slot2MachCost">FinCalc!$E$1643:$E$1643</definedName>
    <definedName name="finCalcCh3Prod4Slot2MatExp">FinCalc!$E$1629:$E$1629</definedName>
    <definedName name="finCalcCh3Prod4Slot2MatExpFrcAdj">FinCalc!$E$1626:$E$1626</definedName>
    <definedName name="finCalcCh3Prod4Slot2MatExpPerUnitBase">FinCalc!$E$1625:$E$1625</definedName>
    <definedName name="finCalcCh3Prod4Slot2MatExpPUnitTot">FinCalc!$E$1628:$E$1628</definedName>
    <definedName name="finCalcCh3Prod4Slot2MatExpSIAdj">FinCalc!$E$1627:$E$1627</definedName>
    <definedName name="finCalcCh3Prod4Slot2UnitSold">FinCalc!$E$1620:$E$1620</definedName>
    <definedName name="finCalcCh3Prod4Slot2VolSold">FinCalc!$E$1619:$E$1619</definedName>
    <definedName name="finCalcCh3Prod4Slot3COGSPUnit">FinCalc!$E$1701:$E$1701</definedName>
    <definedName name="finCalcCh3Prod4Slot3DepExp">FinCalc!$E$1694:$E$1694</definedName>
    <definedName name="finCalcCh3Prod4Slot3ForcastAcc">FinCalc!$E$1668:$E$1668</definedName>
    <definedName name="finCalcCh3Prod4Slot3LabourCostPerHour">FinCalc!$E$1684:$E$1684</definedName>
    <definedName name="finCalcCh3Prod4Slot3LabourExp">FinCalc!$E$1686:$E$1686</definedName>
    <definedName name="finCalcCh3Prod4Slot3LabourHrsReqPVolBase">FinCalc!$E$1679:$E$1679</definedName>
    <definedName name="finCalcCh3Prod4Slot3LabourHrsReqPVolFrcAdj">FinCalc!$E$1680:$E$1680</definedName>
    <definedName name="finCalcCh3Prod4Slot3LabourHrsReqPVolSIAdj">FinCalc!$E$1681:$E$1681</definedName>
    <definedName name="finCalcCh3Prod4Slot3LabourHrsReqPVolTot">FinCalc!$E$1682:$E$1682</definedName>
    <definedName name="finCalcCh3Prod4Slot3LogExpAdjPUnit">FinCalc!$E$1707:$E$1707</definedName>
    <definedName name="finCalcCh3Prod4Slot3LogExpFrcAdj">FinCalc!$E$1705:$E$1705</definedName>
    <definedName name="finCalcCh3Prod4Slot3LogExpPerUnit">FinCalc!$E$1704:$E$1704</definedName>
    <definedName name="finCalcCh3Prod4Slot3LogExpSIAdj">FinCalc!$E$1706:$E$1706</definedName>
    <definedName name="finCalcCh3Prod4Slot3LogisticsCost">FinCalc!$E$1708:$E$1708</definedName>
    <definedName name="finCalcCh3Prod4Slot3MachCost">FinCalc!$E$1690:$E$1690</definedName>
    <definedName name="finCalcCh3Prod4Slot3MatExp">FinCalc!$E$1676:$E$1676</definedName>
    <definedName name="finCalcCh3Prod4Slot3MatExpFrcAdj">FinCalc!$E$1673:$E$1673</definedName>
    <definedName name="finCalcCh3Prod4Slot3MatExpPerUnitBase">FinCalc!$E$1672:$E$1672</definedName>
    <definedName name="finCalcCh3Prod4Slot3MatExpPUnitTot">FinCalc!$E$1675:$E$1675</definedName>
    <definedName name="finCalcCh3Prod4Slot3MatExpSIAdj">FinCalc!$E$1674:$E$1674</definedName>
    <definedName name="finCalcCh3Prod4Slot3UnitSold">FinCalc!$E$1667:$E$1667</definedName>
    <definedName name="finCalcCh3Prod4Slot3VolSold">FinCalc!$E$1666:$E$1666</definedName>
    <definedName name="finCalcCh3Prod4VolSold">FinCalc!$E$2312</definedName>
    <definedName name="finCalcCh3VolSold">FinCalc!$E$2289</definedName>
    <definedName name="finCalcCh4Prod1Slot1COGSPUnit">FinCalc!$E$1750:$E$1750</definedName>
    <definedName name="finCalcCh4Prod1Slot1DepExp">FinCalc!$E$1743:$E$1743</definedName>
    <definedName name="finCalcCh4Prod1Slot1ForcastAcc">FinCalc!$E$1717:$E$1717</definedName>
    <definedName name="finCalcCh4Prod1Slot1LabourCostPerHour">FinCalc!$E$1733:$E$1733</definedName>
    <definedName name="finCalcCh4Prod1Slot1LabourExp">FinCalc!$E$1735:$E$1735</definedName>
    <definedName name="finCalcCh4Prod1Slot1LabourHrsReqPVolBase">FinCalc!$E$1728:$E$1728</definedName>
    <definedName name="finCalcCh4Prod1Slot1LabourHrsReqPVolFrcAdj">FinCalc!$E$1729:$E$1729</definedName>
    <definedName name="finCalcCh4Prod1Slot1LabourHrsReqPVolSIAdj">FinCalc!$E$1730:$E$1730</definedName>
    <definedName name="finCalcCh4Prod1Slot1LabourHrsReqPVolTot">FinCalc!$E$1731:$E$1731</definedName>
    <definedName name="finCalcCh4Prod1Slot1LogExpAdjPUnit">FinCalc!$E$1756:$E$1756</definedName>
    <definedName name="finCalcCh4Prod1Slot1LogExpFrcAdj">FinCalc!$E$1754:$E$1754</definedName>
    <definedName name="finCalcCh4Prod1Slot1LogExpPerUnit">FinCalc!$E$1753:$E$1753</definedName>
    <definedName name="finCalcCh4Prod1Slot1LogExpSIAdj">FinCalc!$E$1755:$E$1755</definedName>
    <definedName name="finCalcCh4Prod1Slot1LogisticsCost">FinCalc!$E$1757:$E$1757</definedName>
    <definedName name="finCalcCh4Prod1Slot1MachCost">FinCalc!$E$1739:$E$1739</definedName>
    <definedName name="finCalcCh4Prod1Slot1MatExp">FinCalc!$E$1725:$E$1725</definedName>
    <definedName name="finCalcCh4Prod1Slot1MatExpFrcAdj">FinCalc!$E$1722:$E$1722</definedName>
    <definedName name="finCalcCh4Prod1Slot1MatExpPerUnitBase">FinCalc!$E$1721:$E$1721</definedName>
    <definedName name="finCalcCh4Prod1Slot1MatExpPUnitTot">FinCalc!$E$1724:$E$1724</definedName>
    <definedName name="finCalcCh4Prod1Slot1MatExpSIAdj">FinCalc!$E$1723:$E$1723</definedName>
    <definedName name="finCalcCh4Prod1Slot1UnitSold">FinCalc!$E$1716:$E$1716</definedName>
    <definedName name="finCalcCh4Prod1Slot1VolSold">FinCalc!$E$1715:$E$1715</definedName>
    <definedName name="finCalcCh4Prod1Slot2COGSPUnit">FinCalc!$E$1797:$E$1797</definedName>
    <definedName name="finCalcCh4Prod1Slot2DepExp">FinCalc!$E$1790:$E$1790</definedName>
    <definedName name="finCalcCh4Prod1Slot2ForcastAcc">FinCalc!$E$1764:$E$1764</definedName>
    <definedName name="finCalcCh4Prod1Slot2LabourCostPerHour">FinCalc!$E$1780:$E$1780</definedName>
    <definedName name="finCalcCh4Prod1Slot2LabourExp">FinCalc!$E$1782:$E$1782</definedName>
    <definedName name="finCalcCh4Prod1Slot2LabourHrsReqPVolBase">FinCalc!$E$1775:$E$1775</definedName>
    <definedName name="finCalcCh4Prod1Slot2LabourHrsReqPVolFrcAdj">FinCalc!$E$1776:$E$1776</definedName>
    <definedName name="finCalcCh4Prod1Slot2LabourHrsReqPVolSIAdj">FinCalc!$E$1777:$E$1777</definedName>
    <definedName name="finCalcCh4Prod1Slot2LabourHrsReqPVolTot">FinCalc!$E$1778:$E$1778</definedName>
    <definedName name="finCalcCh4Prod1Slot2LogExpAdjPUnit">FinCalc!$E$1803:$E$1803</definedName>
    <definedName name="finCalcCh4Prod1Slot2LogExpFrcAdj">FinCalc!$E$1801:$E$1801</definedName>
    <definedName name="finCalcCh4Prod1Slot2LogExpPerUnit">FinCalc!$E$1800:$E$1800</definedName>
    <definedName name="finCalcCh4Prod1Slot2LogExpSIAdj">FinCalc!$E$1802:$E$1802</definedName>
    <definedName name="finCalcCh4Prod1Slot2LogisticsCost">FinCalc!$E$1804:$E$1804</definedName>
    <definedName name="finCalcCh4Prod1Slot2MachCost">FinCalc!$E$1786:$E$1786</definedName>
    <definedName name="finCalcCh4Prod1Slot2MatExp">FinCalc!$E$1772:$E$1772</definedName>
    <definedName name="finCalcCh4Prod1Slot2MatExpFrcAdj">FinCalc!$E$1769:$E$1769</definedName>
    <definedName name="finCalcCh4Prod1Slot2MatExpPerUnitBase">FinCalc!$E$1768:$E$1768</definedName>
    <definedName name="finCalcCh4Prod1Slot2MatExpPUnitTot">FinCalc!$E$1771:$E$1771</definedName>
    <definedName name="finCalcCh4Prod1Slot2MatExpSIAdj">FinCalc!$E$1770:$E$1770</definedName>
    <definedName name="finCalcCh4Prod1Slot2UnitSold">FinCalc!$E$1763:$E$1763</definedName>
    <definedName name="finCalcCh4Prod1Slot2VolSold">FinCalc!$E$1762:$E$1762</definedName>
    <definedName name="finCalcCh4Prod1Slot3COGSPUnit">FinCalc!$E$1844:$E$1844</definedName>
    <definedName name="finCalcCh4Prod1Slot3DepExp">FinCalc!$E$1837:$E$1837</definedName>
    <definedName name="finCalcCh4Prod1Slot3ForcastAcc">FinCalc!$E$1811:$E$1811</definedName>
    <definedName name="finCalcCh4Prod1Slot3LabourCostPerHour">FinCalc!$E$1827:$E$1827</definedName>
    <definedName name="finCalcCh4Prod1Slot3LabourExp">FinCalc!$E$1829:$E$1829</definedName>
    <definedName name="finCalcCh4Prod1Slot3LabourHrsReqPVolBase">FinCalc!$E$1822:$E$1822</definedName>
    <definedName name="finCalcCh4Prod1Slot3LabourHrsReqPVolFrcAdj">FinCalc!$E$1823:$E$1823</definedName>
    <definedName name="finCalcCh4Prod1Slot3LabourHrsReqPVolSIAdj">FinCalc!$E$1824:$E$1824</definedName>
    <definedName name="finCalcCh4Prod1Slot3LabourHrsReqPVolTot">FinCalc!$E$1825:$E$1825</definedName>
    <definedName name="finCalcCh4Prod1Slot3LogExpAdjPUnit">FinCalc!$E$1850:$E$1850</definedName>
    <definedName name="finCalcCh4Prod1Slot3LogExpFrcAdj">FinCalc!$E$1848:$E$1848</definedName>
    <definedName name="finCalcCh4Prod1Slot3LogExpPerUnit">FinCalc!$E$1847:$E$1847</definedName>
    <definedName name="finCalcCh4Prod1Slot3LogExpSIAdj">FinCalc!$E$1849:$E$1849</definedName>
    <definedName name="finCalcCh4Prod1Slot3LogisticsCost">FinCalc!$E$1851:$E$1851</definedName>
    <definedName name="finCalcCh4Prod1Slot3MachCost">FinCalc!$E$1833:$E$1833</definedName>
    <definedName name="finCalcCh4Prod1Slot3MatExp">FinCalc!$E$1819:$E$1819</definedName>
    <definedName name="finCalcCh4Prod1Slot3MatExpFrcAdj">FinCalc!$E$1816:$E$1816</definedName>
    <definedName name="finCalcCh4Prod1Slot3MatExpPerUnitBase">FinCalc!$E$1815:$E$1815</definedName>
    <definedName name="finCalcCh4Prod1Slot3MatExpPUnitTot">FinCalc!$E$1818:$E$1818</definedName>
    <definedName name="finCalcCh4Prod1Slot3MatExpSIAdj">FinCalc!$E$1817:$E$1817</definedName>
    <definedName name="finCalcCh4Prod1Slot3UnitSold">FinCalc!$E$1810:$E$1810</definedName>
    <definedName name="finCalcCh4Prod1Slot3VolSold">FinCalc!$E$1809:$E$1809</definedName>
    <definedName name="finCalcCh4Prod1VolSold">FinCalc!$E$2314</definedName>
    <definedName name="finCalcCh4Prod2Slot1COGSPUnit">FinCalc!$E$1892:$E$1892</definedName>
    <definedName name="finCalcCh4Prod2Slot1DepExp">FinCalc!$E$1885:$E$1885</definedName>
    <definedName name="finCalcCh4Prod2Slot1ForcastAcc">FinCalc!$E$1859:$E$1859</definedName>
    <definedName name="finCalcCh4Prod2Slot1LabourCostPerHour">FinCalc!$E$1875:$E$1875</definedName>
    <definedName name="finCalcCh4Prod2Slot1LabourExp">FinCalc!$E$1877:$E$1877</definedName>
    <definedName name="finCalcCh4Prod2Slot1LabourHrsReqPVolBase">FinCalc!$E$1870:$E$1870</definedName>
    <definedName name="finCalcCh4Prod2Slot1LabourHrsReqPVolFrcAdj">FinCalc!$E$1871:$E$1871</definedName>
    <definedName name="finCalcCh4Prod2Slot1LabourHrsReqPVolSIAdj">FinCalc!$E$1872:$E$1872</definedName>
    <definedName name="finCalcCh4Prod2Slot1LabourHrsReqPVolTot">FinCalc!$E$1873:$E$1873</definedName>
    <definedName name="finCalcCh4Prod2Slot1LogExpAdjPUnit">FinCalc!$E$1898:$E$1898</definedName>
    <definedName name="finCalcCh4Prod2Slot1LogExpFrcAdj">FinCalc!$E$1896:$E$1896</definedName>
    <definedName name="finCalcCh4Prod2Slot1LogExpPerUnit">FinCalc!$E$1895:$E$1895</definedName>
    <definedName name="finCalcCh4Prod2Slot1LogExpSIAdj">FinCalc!$E$1897:$E$1897</definedName>
    <definedName name="finCalcCh4Prod2Slot1LogisticsCost">FinCalc!$E$1899:$E$1899</definedName>
    <definedName name="finCalcCh4Prod2Slot1MachCost">FinCalc!$E$1881:$E$1881</definedName>
    <definedName name="finCalcCh4Prod2Slot1MatExp">FinCalc!$E$1867:$E$1867</definedName>
    <definedName name="finCalcCh4Prod2Slot1MatExpFrcAdj">FinCalc!$E$1864:$E$1864</definedName>
    <definedName name="finCalcCh4Prod2Slot1MatExpPerUnitBase">FinCalc!$E$1863:$E$1863</definedName>
    <definedName name="finCalcCh4Prod2Slot1MatExpPUnitTot">FinCalc!$E$1866:$E$1866</definedName>
    <definedName name="finCalcCh4Prod2Slot1MatExpSIAdj">FinCalc!$E$1865:$E$1865</definedName>
    <definedName name="finCalcCh4Prod2Slot1UnitSold">FinCalc!$E$1858:$E$1858</definedName>
    <definedName name="finCalcCh4Prod2Slot1VolSold">FinCalc!$E$1857:$E$1857</definedName>
    <definedName name="finCalcCh4Prod2Slot2COGSPUnit">FinCalc!$E$1939:$E$1939</definedName>
    <definedName name="finCalcCh4Prod2Slot2DepExp">FinCalc!$E$1932:$E$1932</definedName>
    <definedName name="finCalcCh4Prod2Slot2ForcastAcc">FinCalc!$E$1906:$E$1906</definedName>
    <definedName name="finCalcCh4Prod2Slot2LabourCostPerHour">FinCalc!$E$1922:$E$1922</definedName>
    <definedName name="finCalcCh4Prod2Slot2LabourExp">FinCalc!$E$1924:$E$1924</definedName>
    <definedName name="finCalcCh4Prod2Slot2LabourHrsReqPVolBase">FinCalc!$E$1917:$E$1917</definedName>
    <definedName name="finCalcCh4Prod2Slot2LabourHrsReqPVolFrcAdj">FinCalc!$E$1918:$E$1918</definedName>
    <definedName name="finCalcCh4Prod2Slot2LabourHrsReqPVolSIAdj">FinCalc!$E$1919:$E$1919</definedName>
    <definedName name="finCalcCh4Prod2Slot2LabourHrsReqPVolTot">FinCalc!$E$1920:$E$1920</definedName>
    <definedName name="finCalcCh4Prod2Slot2LogExpAdjPUnit">FinCalc!$E$1945:$E$1945</definedName>
    <definedName name="finCalcCh4Prod2Slot2LogExpFrcAdj">FinCalc!$E$1943:$E$1943</definedName>
    <definedName name="finCalcCh4Prod2Slot2LogExpPerUnit">FinCalc!$E$1942:$E$1942</definedName>
    <definedName name="finCalcCh4Prod2Slot2LogExpSIAdj">FinCalc!$E$1944:$E$1944</definedName>
    <definedName name="finCalcCh4Prod2Slot2LogisticsCost">FinCalc!$E$1946:$E$1946</definedName>
    <definedName name="finCalcCh4Prod2Slot2MachCost">FinCalc!$E$1928:$E$1928</definedName>
    <definedName name="finCalcCh4Prod2Slot2MatExp">FinCalc!$E$1914:$E$1914</definedName>
    <definedName name="finCalcCh4Prod2Slot2MatExpFrcAdj">FinCalc!$E$1911:$E$1911</definedName>
    <definedName name="finCalcCh4Prod2Slot2MatExpPerUnitBase">FinCalc!$E$1910:$E$1910</definedName>
    <definedName name="finCalcCh4Prod2Slot2MatExpPUnitTot">FinCalc!$E$1913:$E$1913</definedName>
    <definedName name="finCalcCh4Prod2Slot2MatExpSIAdj">FinCalc!$E$1912:$E$1912</definedName>
    <definedName name="finCalcCh4Prod2Slot2UnitSold">FinCalc!$E$1905:$E$1905</definedName>
    <definedName name="finCalcCh4Prod2Slot2VolSold">FinCalc!$E$1904:$E$1904</definedName>
    <definedName name="finCalcCh4Prod2Slot3COGSPUnit">FinCalc!$E$1986:$E$1986</definedName>
    <definedName name="finCalcCh4Prod2Slot3DepExp">FinCalc!$E$1979:$E$1979</definedName>
    <definedName name="finCalcCh4Prod2Slot3ForcastAcc">FinCalc!$E$1953:$E$1953</definedName>
    <definedName name="finCalcCh4Prod2Slot3LabourCostPerHour">FinCalc!$E$1969:$E$1969</definedName>
    <definedName name="finCalcCh4Prod2Slot3LabourExp">FinCalc!$E$1971:$E$1971</definedName>
    <definedName name="finCalcCh4Prod2Slot3LabourHrsReqPVolBase">FinCalc!$E$1964:$E$1964</definedName>
    <definedName name="finCalcCh4Prod2Slot3LabourHrsReqPVolFrcAdj">FinCalc!$E$1965:$E$1965</definedName>
    <definedName name="finCalcCh4Prod2Slot3LabourHrsReqPVolSIAdj">FinCalc!$E$1966:$E$1966</definedName>
    <definedName name="finCalcCh4Prod2Slot3LabourHrsReqPVolTot">FinCalc!$E$1967:$E$1967</definedName>
    <definedName name="finCalcCh4Prod2Slot3LogExpAdjPUnit">FinCalc!$E$1992:$E$1992</definedName>
    <definedName name="finCalcCh4Prod2Slot3LogExpFrcAdj">FinCalc!$E$1990:$E$1990</definedName>
    <definedName name="finCalcCh4Prod2Slot3LogExpPerUnit">FinCalc!$E$1989:$E$1989</definedName>
    <definedName name="finCalcCh4Prod2Slot3LogExpSIAdj">FinCalc!$E$1991:$E$1991</definedName>
    <definedName name="finCalcCh4Prod2Slot3LogisticsCost">FinCalc!$E$1993:$E$1993</definedName>
    <definedName name="finCalcCh4Prod2Slot3MachCost">FinCalc!$E$1975:$E$1975</definedName>
    <definedName name="finCalcCh4Prod2Slot3MatExp">FinCalc!$E$1961:$E$1961</definedName>
    <definedName name="finCalcCh4Prod2Slot3MatExpFrcAdj">FinCalc!$E$1958:$E$1958</definedName>
    <definedName name="finCalcCh4Prod2Slot3MatExpPerUnitBase">FinCalc!$E$1957:$E$1957</definedName>
    <definedName name="finCalcCh4Prod2Slot3MatExpPUnitTot">FinCalc!$E$1960:$E$1960</definedName>
    <definedName name="finCalcCh4Prod2Slot3MatExpSIAdj">FinCalc!$E$1959:$E$1959</definedName>
    <definedName name="finCalcCh4Prod2Slot3UnitSold">FinCalc!$E$1952:$E$1952</definedName>
    <definedName name="finCalcCh4Prod2Slot3VolSold">FinCalc!$E$1951:$E$1951</definedName>
    <definedName name="finCalcCh4Prod2VolSold">FinCalc!$E$2315</definedName>
    <definedName name="finCalcCh4Prod3Slot1COGSPUnit">FinCalc!$E$2034:$E$2034</definedName>
    <definedName name="finCalcCh4Prod3Slot1DepExp">FinCalc!$E$2027:$E$2027</definedName>
    <definedName name="finCalcCh4Prod3Slot1ForcastAcc">FinCalc!$E$2001:$E$2001</definedName>
    <definedName name="finCalcCh4Prod3Slot1LabourCostPerHour">FinCalc!$E$2017:$E$2017</definedName>
    <definedName name="finCalcCh4Prod3Slot1LabourExp">FinCalc!$E$2019:$E$2019</definedName>
    <definedName name="finCalcCh4Prod3Slot1LabourHrsReqPVolBase">FinCalc!$E$2012:$E$2012</definedName>
    <definedName name="finCalcCh4Prod3Slot1LabourHrsReqPVolFrcAdj">FinCalc!$E$2013:$E$2013</definedName>
    <definedName name="finCalcCh4Prod3Slot1LabourHrsReqPVolSIAdj">FinCalc!$E$2014:$E$2014</definedName>
    <definedName name="finCalcCh4Prod3Slot1LabourHrsReqPVolTot">FinCalc!$E$2015:$E$2015</definedName>
    <definedName name="finCalcCh4Prod3Slot1LogExpAdjPUnit">FinCalc!$E$2040:$E$2040</definedName>
    <definedName name="finCalcCh4Prod3Slot1LogExpFrcAdj">FinCalc!$E$2038:$E$2038</definedName>
    <definedName name="finCalcCh4Prod3Slot1LogExpPerUnit">FinCalc!$E$2037:$E$2037</definedName>
    <definedName name="finCalcCh4Prod3Slot1LogExpSIAdj">FinCalc!$E$2039:$E$2039</definedName>
    <definedName name="finCalcCh4Prod3Slot1LogisticsCost">FinCalc!$E$2041:$E$2041</definedName>
    <definedName name="finCalcCh4Prod3Slot1MachCost">FinCalc!$E$2023:$E$2023</definedName>
    <definedName name="finCalcCh4Prod3Slot1MatExp">FinCalc!$E$2009:$E$2009</definedName>
    <definedName name="finCalcCh4Prod3Slot1MatExpFrcAdj">FinCalc!$E$2006:$E$2006</definedName>
    <definedName name="finCalcCh4Prod3Slot1MatExpPerUnitBase">FinCalc!$E$2005:$E$2005</definedName>
    <definedName name="finCalcCh4Prod3Slot1MatExpPUnitTot">FinCalc!$E$2008:$E$2008</definedName>
    <definedName name="finCalcCh4Prod3Slot1MatExpSIAdj">FinCalc!$E$2007:$E$2007</definedName>
    <definedName name="finCalcCh4Prod3Slot1UnitSold">FinCalc!$E$2000:$E$2000</definedName>
    <definedName name="finCalcCh4Prod3Slot1VolSold">FinCalc!$E$1999:$E$1999</definedName>
    <definedName name="finCalcCh4Prod3Slot2COGSPUnit">FinCalc!$E$2081:$E$2081</definedName>
    <definedName name="finCalcCh4Prod3Slot2DepExp">FinCalc!$E$2074:$E$2074</definedName>
    <definedName name="finCalcCh4Prod3Slot2ForcastAcc">FinCalc!$E$2048:$E$2048</definedName>
    <definedName name="finCalcCh4Prod3Slot2LabourCostPerHour">FinCalc!$E$2064:$E$2064</definedName>
    <definedName name="finCalcCh4Prod3Slot2LabourExp">FinCalc!$E$2066:$E$2066</definedName>
    <definedName name="finCalcCh4Prod3Slot2LabourHrsReqPVolBase">FinCalc!$E$2059:$E$2059</definedName>
    <definedName name="finCalcCh4Prod3Slot2LabourHrsReqPVolFrcAdj">FinCalc!$E$2060:$E$2060</definedName>
    <definedName name="finCalcCh4Prod3Slot2LabourHrsReqPVolSIAdj">FinCalc!$E$2061:$E$2061</definedName>
    <definedName name="finCalcCh4Prod3Slot2LabourHrsReqPVolTot">FinCalc!$E$2062:$E$2062</definedName>
    <definedName name="finCalcCh4Prod3Slot2LogExpAdjPUnit">FinCalc!$E$2087:$E$2087</definedName>
    <definedName name="finCalcCh4Prod3Slot2LogExpFrcAdj">FinCalc!$E$2085:$E$2085</definedName>
    <definedName name="finCalcCh4Prod3Slot2LogExpPerUnit">FinCalc!$E$2084:$E$2084</definedName>
    <definedName name="finCalcCh4Prod3Slot2LogExpSIAdj">FinCalc!$E$2086:$E$2086</definedName>
    <definedName name="finCalcCh4Prod3Slot2LogisticsCost">FinCalc!$E$2088:$E$2088</definedName>
    <definedName name="finCalcCh4Prod3Slot2MachCost">FinCalc!$E$2070:$E$2070</definedName>
    <definedName name="finCalcCh4Prod3Slot2MatExp">FinCalc!$E$2056:$E$2056</definedName>
    <definedName name="finCalcCh4Prod3Slot2MatExpFrcAdj">FinCalc!$E$2053:$E$2053</definedName>
    <definedName name="finCalcCh4Prod3Slot2MatExpPerUnitBase">FinCalc!$E$2052:$E$2052</definedName>
    <definedName name="finCalcCh4Prod3Slot2MatExpPUnitTot">FinCalc!$E$2055:$E$2055</definedName>
    <definedName name="finCalcCh4Prod3Slot2MatExpSIAdj">FinCalc!$E$2054:$E$2054</definedName>
    <definedName name="finCalcCh4Prod3Slot2UnitSold">FinCalc!$E$2047:$E$2047</definedName>
    <definedName name="finCalcCh4Prod3Slot2VolSold">FinCalc!$E$2046:$E$2046</definedName>
    <definedName name="finCalcCh4Prod3Slot3COGSPUnit">FinCalc!$E$2128:$E$2128</definedName>
    <definedName name="finCalcCh4Prod3Slot3DepExp">FinCalc!$E$2121:$E$2121</definedName>
    <definedName name="finCalcCh4Prod3Slot3ForcastAcc">FinCalc!$E$2095:$E$2095</definedName>
    <definedName name="finCalcCh4Prod3Slot3LabourCostPerHour">FinCalc!$E$2111:$E$2111</definedName>
    <definedName name="finCalcCh4Prod3Slot3LabourExp">FinCalc!$E$2113:$E$2113</definedName>
    <definedName name="finCalcCh4Prod3Slot3LabourHrsReqPVolBase">FinCalc!$E$2106:$E$2106</definedName>
    <definedName name="finCalcCh4Prod3Slot3LabourHrsReqPVolFrcAdj">FinCalc!$E$2107:$E$2107</definedName>
    <definedName name="finCalcCh4Prod3Slot3LabourHrsReqPVolSIAdj">FinCalc!$E$2108:$E$2108</definedName>
    <definedName name="finCalcCh4Prod3Slot3LabourHrsReqPVolTot">FinCalc!$E$2109:$E$2109</definedName>
    <definedName name="finCalcCh4Prod3Slot3LogExpAdjPUnit">FinCalc!$E$2134:$E$2134</definedName>
    <definedName name="finCalcCh4Prod3Slot3LogExpFrcAdj">FinCalc!$E$2132:$E$2132</definedName>
    <definedName name="finCalcCh4Prod3Slot3LogExpPerUnit">FinCalc!$E$2131:$E$2131</definedName>
    <definedName name="finCalcCh4Prod3Slot3LogExpSIAdj">FinCalc!$E$2133:$E$2133</definedName>
    <definedName name="finCalcCh4Prod3Slot3LogisticsCost">FinCalc!$E$2135:$E$2135</definedName>
    <definedName name="finCalcCh4Prod3Slot3MachCost">FinCalc!$E$2117:$E$2117</definedName>
    <definedName name="finCalcCh4Prod3Slot3MatExp">FinCalc!$E$2103:$E$2103</definedName>
    <definedName name="finCalcCh4Prod3Slot3MatExpFrcAdj">FinCalc!$E$2100:$E$2100</definedName>
    <definedName name="finCalcCh4Prod3Slot3MatExpPerUnitBase">FinCalc!$E$2099:$E$2099</definedName>
    <definedName name="finCalcCh4Prod3Slot3MatExpPUnitTot">FinCalc!$E$2102:$E$2102</definedName>
    <definedName name="finCalcCh4Prod3Slot3MatExpSIAdj">FinCalc!$E$2101:$E$2101</definedName>
    <definedName name="finCalcCh4Prod3Slot3UnitSold">FinCalc!$E$2094:$E$2094</definedName>
    <definedName name="finCalcCh4Prod3Slot3VolSold">FinCalc!$E$2093:$E$2093</definedName>
    <definedName name="finCalcCh4Prod3VolSold">FinCalc!$E$2316</definedName>
    <definedName name="finCalcCh4Prod4Slot1COGSPUnit">FinCalc!$E$2176:$E$2176</definedName>
    <definedName name="finCalcCh4Prod4Slot1DepExp">FinCalc!$E$2169:$E$2169</definedName>
    <definedName name="finCalcCh4Prod4Slot1ForcastAcc">FinCalc!$E$2143:$E$2143</definedName>
    <definedName name="finCalcCh4Prod4Slot1LabourCostPerHour">FinCalc!$E$2159:$E$2159</definedName>
    <definedName name="finCalcCh4Prod4Slot1LabourExp">FinCalc!$E$2161:$E$2161</definedName>
    <definedName name="finCalcCh4Prod4Slot1LabourHrsReqPVolBase">FinCalc!$E$2154:$E$2154</definedName>
    <definedName name="finCalcCh4Prod4Slot1LabourHrsReqPVolFrcAdj">FinCalc!$E$2155:$E$2155</definedName>
    <definedName name="finCalcCh4Prod4Slot1LabourHrsReqPVolSIAdj">FinCalc!$E$2156:$E$2156</definedName>
    <definedName name="finCalcCh4Prod4Slot1LabourHrsReqPVolTot">FinCalc!$E$2157:$E$2157</definedName>
    <definedName name="finCalcCh4Prod4Slot1LogExpAdjPUnit">FinCalc!$E$2182:$E$2182</definedName>
    <definedName name="finCalcCh4Prod4Slot1LogExpFrcAdj">FinCalc!$E$2180:$E$2180</definedName>
    <definedName name="finCalcCh4Prod4Slot1LogExpPerUnit">FinCalc!$E$2179:$E$2179</definedName>
    <definedName name="finCalcCh4Prod4Slot1LogExpSIAdj">FinCalc!$E$2181:$E$2181</definedName>
    <definedName name="finCalcCh4Prod4Slot1LogisticsCost">FinCalc!$E$2183:$E$2183</definedName>
    <definedName name="finCalcCh4Prod4Slot1MachCost">FinCalc!$E$2165:$E$2165</definedName>
    <definedName name="finCalcCh4Prod4Slot1MatExp">FinCalc!$E$2151:$E$2151</definedName>
    <definedName name="finCalcCh4Prod4Slot1MatExpFrcAdj">FinCalc!$E$2148:$E$2148</definedName>
    <definedName name="finCalcCh4Prod4Slot1MatExpPerUnitBase">FinCalc!$E$2147:$E$2147</definedName>
    <definedName name="finCalcCh4Prod4Slot1MatExpPUnitTot">FinCalc!$E$2150:$E$2150</definedName>
    <definedName name="finCalcCh4Prod4Slot1MatExpSIAdj">FinCalc!$E$2149:$E$2149</definedName>
    <definedName name="finCalcCh4Prod4Slot1UnitSold">FinCalc!$E$2142:$E$2142</definedName>
    <definedName name="finCalcCh4Prod4Slot1VolSold">FinCalc!$E$2141:$E$2141</definedName>
    <definedName name="finCalcCh4Prod4Slot2COGSPUnit">FinCalc!$E$2223:$E$2223</definedName>
    <definedName name="finCalcCh4Prod4Slot2DepExp">FinCalc!$E$2216:$E$2216</definedName>
    <definedName name="finCalcCh4Prod4Slot2ForcastAcc">FinCalc!$E$2190:$E$2190</definedName>
    <definedName name="finCalcCh4Prod4Slot2LabourCostPerHour">FinCalc!$E$2206:$E$2206</definedName>
    <definedName name="finCalcCh4Prod4Slot2LabourExp">FinCalc!$E$2208:$E$2208</definedName>
    <definedName name="finCalcCh4Prod4Slot2LabourHrsReqPVolBase">FinCalc!$E$2201:$E$2201</definedName>
    <definedName name="finCalcCh4Prod4Slot2LabourHrsReqPVolFrcAdj">FinCalc!$E$2202:$E$2202</definedName>
    <definedName name="finCalcCh4Prod4Slot2LabourHrsReqPVolSIAdj">FinCalc!$E$2203:$E$2203</definedName>
    <definedName name="finCalcCh4Prod4Slot2LabourHrsReqPVolTot">FinCalc!$E$2204:$E$2204</definedName>
    <definedName name="finCalcCh4Prod4Slot2LogExpAdjPUnit">FinCalc!$E$2229:$E$2229</definedName>
    <definedName name="finCalcCh4Prod4Slot2LogExpFrcAdj">FinCalc!$E$2227:$E$2227</definedName>
    <definedName name="finCalcCh4Prod4Slot2LogExpPerUnit">FinCalc!$E$2226:$E$2226</definedName>
    <definedName name="finCalcCh4Prod4Slot2LogExpSIAdj">FinCalc!$E$2228:$E$2228</definedName>
    <definedName name="finCalcCh4Prod4Slot2LogisticsCost">FinCalc!$E$2230:$E$2230</definedName>
    <definedName name="finCalcCh4Prod4Slot2MachCost">FinCalc!$E$2212:$E$2212</definedName>
    <definedName name="finCalcCh4Prod4Slot2MatExp">FinCalc!$E$2198:$E$2198</definedName>
    <definedName name="finCalcCh4Prod4Slot2MatExpFrcAdj">FinCalc!$E$2195:$E$2195</definedName>
    <definedName name="finCalcCh4Prod4Slot2MatExpPerUnitBase">FinCalc!$E$2194:$E$2194</definedName>
    <definedName name="finCalcCh4Prod4Slot2MatExpPUnitTot">FinCalc!$E$2197:$E$2197</definedName>
    <definedName name="finCalcCh4Prod4Slot2MatExpSIAdj">FinCalc!$E$2196:$E$2196</definedName>
    <definedName name="finCalcCh4Prod4Slot2UnitSold">FinCalc!$E$2189:$E$2189</definedName>
    <definedName name="finCalcCh4Prod4Slot2VolSold">FinCalc!$E$2188:$E$2188</definedName>
    <definedName name="finCalcCh4Prod4Slot3COGSPUnit">FinCalc!$E$2270:$E$2270</definedName>
    <definedName name="finCalcCh4Prod4Slot3DepExp">FinCalc!$E$2263:$E$2263</definedName>
    <definedName name="finCalcCh4Prod4Slot3ForcastAcc">FinCalc!$E$2237:$E$2237</definedName>
    <definedName name="finCalcCh4Prod4Slot3LabourCostPerHour">FinCalc!$E$2253:$E$2253</definedName>
    <definedName name="finCalcCh4Prod4Slot3LabourExp">FinCalc!$E$2255:$E$2255</definedName>
    <definedName name="finCalcCh4Prod4Slot3LabourHrsReqPVolBase">FinCalc!$E$2248:$E$2248</definedName>
    <definedName name="finCalcCh4Prod4Slot3LabourHrsReqPVolFrcAdj">FinCalc!$E$2249:$E$2249</definedName>
    <definedName name="finCalcCh4Prod4Slot3LabourHrsReqPVolSIAdj">FinCalc!$E$2250:$E$2250</definedName>
    <definedName name="finCalcCh4Prod4Slot3LabourHrsReqPVolTot">FinCalc!$E$2251:$E$2251</definedName>
    <definedName name="finCalcCh4Prod4Slot3LogExpAdjPUnit">FinCalc!$E$2276:$E$2276</definedName>
    <definedName name="finCalcCh4Prod4Slot3LogExpFrcAdj">FinCalc!$E$2274:$E$2274</definedName>
    <definedName name="finCalcCh4Prod4Slot3LogExpPerUnit">FinCalc!$E$2273:$E$2273</definedName>
    <definedName name="finCalcCh4Prod4Slot3LogExpSIAdj">FinCalc!$E$2275:$E$2275</definedName>
    <definedName name="finCalcCh4Prod4Slot3LogisticsCost">FinCalc!$E$2277:$E$2277</definedName>
    <definedName name="finCalcCh4Prod4Slot3MachCost">FinCalc!$E$2259:$E$2259</definedName>
    <definedName name="finCalcCh4Prod4Slot3MatExp">FinCalc!$E$2245:$E$2245</definedName>
    <definedName name="finCalcCh4Prod4Slot3MatExpFrcAdj">FinCalc!$E$2242:$E$2242</definedName>
    <definedName name="finCalcCh4Prod4Slot3MatExpPerUnitBase">FinCalc!$E$2241:$E$2241</definedName>
    <definedName name="finCalcCh4Prod4Slot3MatExpPUnitTot">FinCalc!$E$2244:$E$2244</definedName>
    <definedName name="finCalcCh4Prod4Slot3MatExpSIAdj">FinCalc!$E$2243:$E$2243</definedName>
    <definedName name="finCalcCh4Prod4Slot3UnitSold">FinCalc!$E$2236:$E$2236</definedName>
    <definedName name="finCalcCh4Prod4Slot3VolSold">FinCalc!$E$2235:$E$2235</definedName>
    <definedName name="finCalcCh4Prod4VolSold">FinCalc!$E$2317</definedName>
    <definedName name="finCalcCh4VolSold">FinCalc!$E$2290</definedName>
    <definedName name="finCalcProd1VolSold">FinCalc!$E$2293</definedName>
    <definedName name="finCalcProd2VolSold">FinCalc!$E$2294</definedName>
    <definedName name="finCalcProd3VolSold">FinCalc!$E$2295</definedName>
    <definedName name="finCalcProd4VolSold">FinCalc!$E$2296</definedName>
    <definedName name="finCalcVolSold">FinCalc!$E$2284</definedName>
    <definedName name="finCFCashOperatingActivities">FinCF!$E$11:$E$11</definedName>
    <definedName name="finCFChangeAP">FinCF!$E$17:$E$17</definedName>
    <definedName name="finCFChangeAR">FinCF!$E$13:$E$13</definedName>
    <definedName name="finCFChangeFG">FinCF!$E$15:$E$15</definedName>
    <definedName name="finCFChangeMat">FinCF!$E$14:$E$14</definedName>
    <definedName name="finCFChangeWIP">FinCF!$E$16:$E$16</definedName>
    <definedName name="finCFClosing">FinCF!$E$39:$E$39</definedName>
    <definedName name="finCFDepreciation">FinCF!$E$9:$E$9</definedName>
    <definedName name="finCFFCF">FinCF!$E$36:$E$36</definedName>
    <definedName name="finCFFinancing">FinCF!$E$33:$E$33</definedName>
    <definedName name="finCFInvesting">FinCF!$E$27:$E$27</definedName>
    <definedName name="finCFLongTermDebt">FinCF!$E$30:$E$30</definedName>
    <definedName name="finCFNetCF">FinCF!$E$37:$E$37</definedName>
    <definedName name="finCFNetIncome">FinCF!$E$8:$E$8</definedName>
    <definedName name="finCFOpening">FinCF!$E$5:$E$5</definedName>
    <definedName name="finCFOperating">FinCF!$E$22:$E$22</definedName>
    <definedName name="finCFOtherCL">FinCF!$E$18:$E$18</definedName>
    <definedName name="finCFppeInvest">FinCF!$E$25:$E$25</definedName>
    <definedName name="finCFSpecialLoans">FinCF!$E$31:$E$31</definedName>
    <definedName name="finCFWorkingCap">FinCF!$E$20:$E$20</definedName>
    <definedName name="finPNLBMktExpTot">FinPNL!$E$1410:$E$1410</definedName>
    <definedName name="finPNLCh1BOverheadTot">FinPNL!$E$1629:$E$1629</definedName>
    <definedName name="finPNLCh1CostRev">FinPNL!$E$1611:$E$1611</definedName>
    <definedName name="finPNLCh1DepExp">FinPNL!$E$1609:$E$1609</definedName>
    <definedName name="finPNLCh1Discounts">FinPNL!$E$1601:$E$1601</definedName>
    <definedName name="finPNLCh1Excise">FinPNL!$E$1599:$E$1599</definedName>
    <definedName name="finPNLCh1GCC">FinPNL!$E$1631:$E$1631</definedName>
    <definedName name="finPNLCh1GCCMargin">FinPNL!$E$1632:$E$1632</definedName>
    <definedName name="finPNLCh1GM">FinPNL!$E$1615:$E$1615</definedName>
    <definedName name="finPNLCh1GPaL">FinPNL!$E$1622:$E$1622</definedName>
    <definedName name="finPNLCh1GPaLMargin">FinPNL!$E$1623:$E$1623</definedName>
    <definedName name="finPNLCh1GroProfit">FinPNL!$E$1614:$E$1614</definedName>
    <definedName name="finPNLCh1GrossSales">FinPNL!$E$1600:$E$1600</definedName>
    <definedName name="finPNLCh1LabExp">FinPNL!$E$1607:$E$1607</definedName>
    <definedName name="finPNLCh1LogExp">FinPNL!$E$1618:$E$1618</definedName>
    <definedName name="finPNLCh1LogExpPct">FinPNL!$E$1619:$E$1619</definedName>
    <definedName name="finPNLCh1MachExp">FinPNL!$E$1608:$E$1608</definedName>
    <definedName name="finPNLCh1MatExp">FinPNL!$E$1606:$E$1606</definedName>
    <definedName name="finPNLCh1NetRev">FinPNL!$E$1603:$E$1603</definedName>
    <definedName name="finPNLCh1Prod1Slot1DeprExp">FinPNL!$E$18:$E$18</definedName>
    <definedName name="finPNLCh1Prod1Slot1Discounts">FinPNL!$E$10:$E$10</definedName>
    <definedName name="finPNLCh1Prod1Slot1Excise">FinPNL!$E$8:$E$8</definedName>
    <definedName name="finPNLCh1Prod1Slot1GM">FinPNL!$E$24:$E$24</definedName>
    <definedName name="finPNLCh1Prod1Slot1GP">FinPNL!$E$23:$E$23</definedName>
    <definedName name="finPNLCh1Prod1Slot1GPaL">FinPNL!$E$30:$E$30</definedName>
    <definedName name="finPNLCh1Prod1Slot1GPaLMargin">FinPNL!$E$31:$E$31</definedName>
    <definedName name="finPNLCh1Prod1Slot1GrossSales">FinPNL!$E$9:$E$9</definedName>
    <definedName name="finPNLCh1Prod1Slot1LabourExp">FinPNL!$E$16:$E$16</definedName>
    <definedName name="finPNLCh1Prod1Slot1LogExp">FinPNL!$E$27:$E$27</definedName>
    <definedName name="finPNLCh1Prod1Slot1MachExp">FinPNL!$E$17:$E$17</definedName>
    <definedName name="finPNLCh1Prod1Slot1MatExp">FinPNL!$E$15:$E$15</definedName>
    <definedName name="finPNLCh1Prod1Slot1TotalCOGs">FinPNL!$E$20:$E$20</definedName>
    <definedName name="finPNLCh1Prod1Slot1TotalRev">FinPNL!$E$12:$E$12</definedName>
    <definedName name="finPNLCh1Prod1Slot1Turn">FinPNL!$E$7:$E$7</definedName>
    <definedName name="finPNLCh1Prod1Slot2DeprExp">FinPNL!$E$46:$E$46</definedName>
    <definedName name="finPNLCh1Prod1Slot2Discounts">FinPNL!$E$38:$E$38</definedName>
    <definedName name="finPNLCh1Prod1Slot2Excise">FinPNL!$E$36:$E$36</definedName>
    <definedName name="finPNLCh1Prod1Slot2GM">FinPNL!$E$52:$E$52</definedName>
    <definedName name="finPNLCh1Prod1Slot2GP">FinPNL!$E$51:$E$51</definedName>
    <definedName name="finPNLCh1Prod1Slot2GPaL">FinPNL!$E$58:$E$58</definedName>
    <definedName name="finPNLCh1Prod1Slot2GPaLMargin">FinPNL!$E$59:$E$59</definedName>
    <definedName name="finPNLCh1Prod1Slot2GrossSales">FinPNL!$E$37:$E$37</definedName>
    <definedName name="finPNLCh1Prod1Slot2LabourExp">FinPNL!$E$44:$E$44</definedName>
    <definedName name="finPNLCh1Prod1Slot2LogExp">FinPNL!$E$55:$E$55</definedName>
    <definedName name="finPNLCh1Prod1Slot2MachExp">FinPNL!$E$45:$E$45</definedName>
    <definedName name="finPNLCh1Prod1Slot2MatExp">FinPNL!$E$43:$E$43</definedName>
    <definedName name="finPNLCh1Prod1Slot2TotalCOGs">FinPNL!$E$48:$E$48</definedName>
    <definedName name="finPNLCh1Prod1Slot2TotalRev">FinPNL!$E$40:$E$40</definedName>
    <definedName name="finPNLCh1Prod1Slot2Turn">FinPNL!$E$35:$E$35</definedName>
    <definedName name="finPNLCh1Prod1Slot3DeprExp">FinPNL!$E$74:$E$74</definedName>
    <definedName name="finPNLCh1Prod1Slot3Discounts">FinPNL!$E$66:$E$66</definedName>
    <definedName name="finPNLCh1Prod1Slot3Excise">FinPNL!$E$64:$E$64</definedName>
    <definedName name="finPNLCh1Prod1Slot3GM">FinPNL!$E$80:$E$80</definedName>
    <definedName name="finPNLCh1Prod1Slot3GP">FinPNL!$E$79:$E$79</definedName>
    <definedName name="finPNLCh1Prod1Slot3GPaL">FinPNL!$E$86:$E$86</definedName>
    <definedName name="finPNLCh1Prod1Slot3GPaLMargin">FinPNL!$E$87:$E$87</definedName>
    <definedName name="finPNLCh1Prod1Slot3GrossSales">FinPNL!$E$65:$E$65</definedName>
    <definedName name="finPNLCh1Prod1Slot3LabourExp">FinPNL!$E$72:$E$72</definedName>
    <definedName name="finPNLCh1Prod1Slot3LogExp">FinPNL!$E$83:$E$83</definedName>
    <definedName name="finPNLCh1Prod1Slot3MachExp">FinPNL!$E$73:$E$73</definedName>
    <definedName name="finPNLCh1Prod1Slot3MatExp">FinPNL!$E$71:$E$71</definedName>
    <definedName name="finPNLCh1Prod1Slot3TotalCOGs">FinPNL!$E$76:$E$76</definedName>
    <definedName name="finPNLCh1Prod1Slot3TotalRev">FinPNL!$E$68:$E$68</definedName>
    <definedName name="finPNLCh1Prod1Slot3Turn">FinPNL!$E$63:$E$63</definedName>
    <definedName name="finPNLCh1Prod2Slot1DeprExp">FinPNL!$E$103:$E$103</definedName>
    <definedName name="finPNLCh1Prod2Slot1Discounts">FinPNL!$E$95:$E$95</definedName>
    <definedName name="finPNLCh1Prod2Slot1Excise">FinPNL!$E$93:$E$93</definedName>
    <definedName name="finPNLCh1Prod2Slot1GM">FinPNL!$E$109:$E$109</definedName>
    <definedName name="finPNLCh1Prod2Slot1GP">FinPNL!$E$108:$E$108</definedName>
    <definedName name="finPNLCh1Prod2Slot1GPaL">FinPNL!$E$115:$E$115</definedName>
    <definedName name="finPNLCh1Prod2Slot1GPaLMargin">FinPNL!$E$116:$E$116</definedName>
    <definedName name="finPNLCh1Prod2Slot1GrossSales">FinPNL!$E$94:$E$94</definedName>
    <definedName name="finPNLCh1Prod2Slot1LabourExp">FinPNL!$E$101:$E$101</definedName>
    <definedName name="finPNLCh1Prod2Slot1LogExp">FinPNL!$E$112:$E$112</definedName>
    <definedName name="finPNLCh1Prod2Slot1MachExp">FinPNL!$E$102:$E$102</definedName>
    <definedName name="finPNLCh1Prod2Slot1MatExp">FinPNL!$E$100:$E$100</definedName>
    <definedName name="finPNLCh1Prod2Slot1TotalCOGs">FinPNL!$E$105:$E$105</definedName>
    <definedName name="finPNLCh1Prod2Slot1TotalRev">FinPNL!$E$97:$E$97</definedName>
    <definedName name="finPNLCh1Prod2Slot1Turn">FinPNL!$E$92:$E$92</definedName>
    <definedName name="finPNLCh1Prod2Slot2DeprExp">FinPNL!$E$131:$E$131</definedName>
    <definedName name="finPNLCh1Prod2Slot2Discounts">FinPNL!$E$123:$E$123</definedName>
    <definedName name="finPNLCh1Prod2Slot2Excise">FinPNL!$E$121:$E$121</definedName>
    <definedName name="finPNLCh1Prod2Slot2GM">FinPNL!$E$137:$E$137</definedName>
    <definedName name="finPNLCh1Prod2Slot2GP">FinPNL!$E$136:$E$136</definedName>
    <definedName name="finPNLCh1Prod2Slot2GPaL">FinPNL!$E$143:$E$143</definedName>
    <definedName name="finPNLCh1Prod2Slot2GPaLMargin">FinPNL!$E$144:$E$144</definedName>
    <definedName name="finPNLCh1Prod2Slot2GrossSales">FinPNL!$E$122:$E$122</definedName>
    <definedName name="finPNLCh1Prod2Slot2LabourExp">FinPNL!$E$129:$E$129</definedName>
    <definedName name="finPNLCh1Prod2Slot2LogExp">FinPNL!$E$140:$E$140</definedName>
    <definedName name="finPNLCh1Prod2Slot2MachExp">FinPNL!$E$130:$E$130</definedName>
    <definedName name="finPNLCh1Prod2Slot2MatExp">FinPNL!$E$128:$E$128</definedName>
    <definedName name="finPNLCh1Prod2Slot2TotalCOGs">FinPNL!$E$133:$E$133</definedName>
    <definedName name="finPNLCh1Prod2Slot2TotalRev">FinPNL!$E$125:$E$125</definedName>
    <definedName name="finPNLCh1Prod2Slot2Turn">FinPNL!$E$120:$E$120</definedName>
    <definedName name="finPNLCh1Prod2Slot3DeprExp">FinPNL!$E$159:$E$159</definedName>
    <definedName name="finPNLCh1Prod2Slot3Discounts">FinPNL!$E$151:$E$151</definedName>
    <definedName name="finPNLCh1Prod2Slot3Excise">FinPNL!$E$149:$E$149</definedName>
    <definedName name="finPNLCh1Prod2Slot3GM">FinPNL!$E$165:$E$165</definedName>
    <definedName name="finPNLCh1Prod2Slot3GP">FinPNL!$E$164:$E$164</definedName>
    <definedName name="finPNLCh1Prod2Slot3GPaL">FinPNL!$E$171:$E$171</definedName>
    <definedName name="finPNLCh1Prod2Slot3GPaLMargin">FinPNL!$E$172:$E$172</definedName>
    <definedName name="finPNLCh1Prod2Slot3GrossSales">FinPNL!$E$150:$E$150</definedName>
    <definedName name="finPNLCh1Prod2Slot3LabourExp">FinPNL!$E$157:$E$157</definedName>
    <definedName name="finPNLCh1Prod2Slot3LogExp">FinPNL!$E$168:$E$168</definedName>
    <definedName name="finPNLCh1Prod2Slot3MachExp">FinPNL!$E$158:$E$158</definedName>
    <definedName name="finPNLCh1Prod2Slot3MatExp">FinPNL!$E$156:$E$156</definedName>
    <definedName name="finPNLCh1Prod2Slot3TotalCOGs">FinPNL!$E$161:$E$161</definedName>
    <definedName name="finPNLCh1Prod2Slot3TotalRev">FinPNL!$E$153:$E$153</definedName>
    <definedName name="finPNLCh1Prod2Slot3Turn">FinPNL!$E$148:$E$148</definedName>
    <definedName name="finPNLCh1Prod3Slot1DeprExp">FinPNL!$E$188:$E$188</definedName>
    <definedName name="finPNLCh1Prod3Slot1Discounts">FinPNL!$E$180:$E$180</definedName>
    <definedName name="finPNLCh1Prod3Slot1Excise">FinPNL!$E$178:$E$178</definedName>
    <definedName name="finPNLCh1Prod3Slot1GM">FinPNL!$E$194:$E$194</definedName>
    <definedName name="finPNLCh1Prod3Slot1GP">FinPNL!$E$193:$E$193</definedName>
    <definedName name="finPNLCh1Prod3Slot1GPaL">FinPNL!$E$200:$E$200</definedName>
    <definedName name="finPNLCh1Prod3Slot1GPaLMargin">FinPNL!$E$201:$E$201</definedName>
    <definedName name="finPNLCh1Prod3Slot1GrossSales">FinPNL!$E$179:$E$179</definedName>
    <definedName name="finPNLCh1Prod3Slot1LabourExp">FinPNL!$E$186:$E$186</definedName>
    <definedName name="finPNLCh1Prod3Slot1LogExp">FinPNL!$E$197:$E$197</definedName>
    <definedName name="finPNLCh1Prod3Slot1MachExp">FinPNL!$E$187:$E$187</definedName>
    <definedName name="finPNLCh1Prod3Slot1MatExp">FinPNL!$E$185:$E$185</definedName>
    <definedName name="finPNLCh1Prod3Slot1TotalCOGs">FinPNL!$E$190:$E$190</definedName>
    <definedName name="finPNLCh1Prod3Slot1TotalRev">FinPNL!$E$182:$E$182</definedName>
    <definedName name="finPNLCh1Prod3Slot1Turn">FinPNL!$E$177:$E$177</definedName>
    <definedName name="finPNLCh1Prod3Slot2DeprExp">FinPNL!$E$216:$E$216</definedName>
    <definedName name="finPNLCh1Prod3Slot2Discounts">FinPNL!$E$208:$E$208</definedName>
    <definedName name="finPNLCh1Prod3Slot2Excise">FinPNL!$E$206:$E$206</definedName>
    <definedName name="finPNLCh1Prod3Slot2GM">FinPNL!$E$222:$E$222</definedName>
    <definedName name="finPNLCh1Prod3Slot2GP">FinPNL!$E$221:$E$221</definedName>
    <definedName name="finPNLCh1Prod3Slot2GPaL">FinPNL!$E$228:$E$228</definedName>
    <definedName name="finPNLCh1Prod3Slot2GPaLMargin">FinPNL!$E$229:$E$229</definedName>
    <definedName name="finPNLCh1Prod3Slot2GrossSales">FinPNL!$E$207:$E$207</definedName>
    <definedName name="finPNLCh1Prod3Slot2LabourExp">FinPNL!$E$214:$E$214</definedName>
    <definedName name="finPNLCh1Prod3Slot2LogExp">FinPNL!$E$225:$E$225</definedName>
    <definedName name="finPNLCh1Prod3Slot2MachExp">FinPNL!$E$215:$E$215</definedName>
    <definedName name="finPNLCh1Prod3Slot2MatExp">FinPNL!$E$213:$E$213</definedName>
    <definedName name="finPNLCh1Prod3Slot2TotalCOGs">FinPNL!$E$218:$E$218</definedName>
    <definedName name="finPNLCh1Prod3Slot2TotalRev">FinPNL!$E$210:$E$210</definedName>
    <definedName name="finPNLCh1Prod3Slot2Turn">FinPNL!$E$205:$E$205</definedName>
    <definedName name="finPNLCh1Prod3Slot3DeprExp">FinPNL!$E$244:$E$244</definedName>
    <definedName name="finPNLCh1Prod3Slot3Discounts">FinPNL!$E$236:$E$236</definedName>
    <definedName name="finPNLCh1Prod3Slot3Excise">FinPNL!$E$234:$E$234</definedName>
    <definedName name="finPNLCh1Prod3Slot3GM">FinPNL!$E$250:$E$250</definedName>
    <definedName name="finPNLCh1Prod3Slot3GP">FinPNL!$E$249:$E$249</definedName>
    <definedName name="finPNLCh1Prod3Slot3GPaL">FinPNL!$E$256:$E$256</definedName>
    <definedName name="finPNLCh1Prod3Slot3GPaLMargin">FinPNL!$E$257:$E$257</definedName>
    <definedName name="finPNLCh1Prod3Slot3GrossSales">FinPNL!$E$235:$E$235</definedName>
    <definedName name="finPNLCh1Prod3Slot3LabourExp">FinPNL!$E$242:$E$242</definedName>
    <definedName name="finPNLCh1Prod3Slot3LogExp">FinPNL!$E$253:$E$253</definedName>
    <definedName name="finPNLCh1Prod3Slot3MachExp">FinPNL!$E$243:$E$243</definedName>
    <definedName name="finPNLCh1Prod3Slot3MatExp">FinPNL!$E$241:$E$241</definedName>
    <definedName name="finPNLCh1Prod3Slot3TotalCOGs">FinPNL!$E$246:$E$246</definedName>
    <definedName name="finPNLCh1Prod3Slot3TotalRev">FinPNL!$E$238:$E$238</definedName>
    <definedName name="finPNLCh1Prod3Slot3Turn">FinPNL!$E$233:$E$233</definedName>
    <definedName name="finPNLCh1Prod4Slot1DeprExp">FinPNL!$E$273:$E$273</definedName>
    <definedName name="finPNLCh1Prod4Slot1Discounts">FinPNL!$E$265:$E$265</definedName>
    <definedName name="finPNLCh1Prod4Slot1Excise">FinPNL!$E$263:$E$263</definedName>
    <definedName name="finPNLCh1Prod4Slot1GM">FinPNL!$E$279:$E$279</definedName>
    <definedName name="finPNLCh1Prod4Slot1GP">FinPNL!$E$278:$E$278</definedName>
    <definedName name="finPNLCh1Prod4Slot1GPaL">FinPNL!$E$285:$E$285</definedName>
    <definedName name="finPNLCh1Prod4Slot1GPaLMargin">FinPNL!$E$286:$E$286</definedName>
    <definedName name="finPNLCh1Prod4Slot1GrossSales">FinPNL!$E$264:$E$264</definedName>
    <definedName name="finPNLCh1Prod4Slot1LabourExp">FinPNL!$E$271:$E$271</definedName>
    <definedName name="finPNLCh1Prod4Slot1LogExp">FinPNL!$E$282:$E$282</definedName>
    <definedName name="finPNLCh1Prod4Slot1MachExp">FinPNL!$E$272:$E$272</definedName>
    <definedName name="finPNLCh1Prod4Slot1MatExp">FinPNL!$E$270:$E$270</definedName>
    <definedName name="finPNLCh1Prod4Slot1TotalCOGs">FinPNL!$E$275:$E$275</definedName>
    <definedName name="finPNLCh1Prod4Slot1TotalRev">FinPNL!$E$267:$E$267</definedName>
    <definedName name="finPNLCh1Prod4Slot1Turn">FinPNL!$E$262:$E$262</definedName>
    <definedName name="finPNLCh1Prod4Slot2DeprExp">FinPNL!$E$301:$E$301</definedName>
    <definedName name="finPNLCh1Prod4Slot2Discounts">FinPNL!$E$293:$E$293</definedName>
    <definedName name="finPNLCh1Prod4Slot2Excise">FinPNL!$E$291:$E$291</definedName>
    <definedName name="finPNLCh1Prod4Slot2GM">FinPNL!$E$307:$E$307</definedName>
    <definedName name="finPNLCh1Prod4Slot2GP">FinPNL!$E$306:$E$306</definedName>
    <definedName name="finPNLCh1Prod4Slot2GPaL">FinPNL!$E$313:$E$313</definedName>
    <definedName name="finPNLCh1Prod4Slot2GPaLMargin">FinPNL!$E$314:$E$314</definedName>
    <definedName name="finPNLCh1Prod4Slot2GrossSales">FinPNL!$E$292:$E$292</definedName>
    <definedName name="finPNLCh1Prod4Slot2LabourExp">FinPNL!$E$299:$E$299</definedName>
    <definedName name="finPNLCh1Prod4Slot2LogExp">FinPNL!$E$310:$E$310</definedName>
    <definedName name="finPNLCh1Prod4Slot2MachExp">FinPNL!$E$300:$E$300</definedName>
    <definedName name="finPNLCh1Prod4Slot2MatExp">FinPNL!$E$298:$E$298</definedName>
    <definedName name="finPNLCh1Prod4Slot2TotalCOGs">FinPNL!$E$303:$E$303</definedName>
    <definedName name="finPNLCh1Prod4Slot2TotalRev">FinPNL!$E$295:$E$295</definedName>
    <definedName name="finPNLCh1Prod4Slot2Turn">FinPNL!$E$290:$E$290</definedName>
    <definedName name="finPNLCh1Prod4Slot3DeprExp">FinPNL!$E$329:$E$329</definedName>
    <definedName name="finPNLCh1Prod4Slot3Discounts">FinPNL!$E$321:$E$321</definedName>
    <definedName name="finPNLCh1Prod4Slot3Excise">FinPNL!$E$319:$E$319</definedName>
    <definedName name="finPNLCh1Prod4Slot3GM">FinPNL!$E$335:$E$335</definedName>
    <definedName name="finPNLCh1Prod4Slot3GP">FinPNL!$E$334:$E$334</definedName>
    <definedName name="finPNLCh1Prod4Slot3GPaL">FinPNL!$E$341:$E$341</definedName>
    <definedName name="finPNLCh1Prod4Slot3GPaLMargin">FinPNL!$E$342:$E$342</definedName>
    <definedName name="finPNLCh1Prod4Slot3GrossSales">FinPNL!$E$320:$E$320</definedName>
    <definedName name="finPNLCh1Prod4Slot3LabourExp">FinPNL!$E$327:$E$327</definedName>
    <definedName name="finPNLCh1Prod4Slot3LogExp">FinPNL!$E$338:$E$338</definedName>
    <definedName name="finPNLCh1Prod4Slot3MachExp">FinPNL!$E$328:$E$328</definedName>
    <definedName name="finPNLCh1Prod4Slot3MatExp">FinPNL!$E$326:$E$326</definedName>
    <definedName name="finPNLCh1Prod4Slot3TotalCOGs">FinPNL!$E$331:$E$331</definedName>
    <definedName name="finPNLCh1Prod4Slot3TotalRev">FinPNL!$E$323:$E$323</definedName>
    <definedName name="finPNLCh1Prod4Slot3Turn">FinPNL!$E$318:$E$318</definedName>
    <definedName name="finPNLCh1Sales">FinPNL!$E$1626:$E$1626</definedName>
    <definedName name="finPNLCh1TMkt">FinPNL!$E$1627:$E$1627</definedName>
    <definedName name="finPNLCh1Turn">FinPNL!$E$1598:$E$1598</definedName>
    <definedName name="finPNLCh2BOverheadTot">FinPNL!$E$1666:$E$1666</definedName>
    <definedName name="finPNLCh2CostRev">FinPNL!$E$1648:$E$1648</definedName>
    <definedName name="finPNLCh2DepExp">FinPNL!$E$1646:$E$1646</definedName>
    <definedName name="finPNLCh2Discounts">FinPNL!$E$1638:$E$1638</definedName>
    <definedName name="finPNLCh2Excise">FinPNL!$E$1636:$E$1636</definedName>
    <definedName name="finPNLCh2GCC">FinPNL!$E$1668:$E$1668</definedName>
    <definedName name="finPNLCh2GCCMargin">FinPNL!$E$1669:$E$1669</definedName>
    <definedName name="finPNLCh2GM">FinPNL!$E$1652:$E$1652</definedName>
    <definedName name="finPNLCh2GPaL">FinPNL!$E$1659:$E$1659</definedName>
    <definedName name="finPNLCh2GPaLMargin">FinPNL!$E$1660:$E$1660</definedName>
    <definedName name="finPNLCh2GroProfit">FinPNL!$E$1651:$E$1651</definedName>
    <definedName name="finPNLCh2GrossSales">FinPNL!$E$1637:$E$1637</definedName>
    <definedName name="finPNLCh2LabExp">FinPNL!$E$1644:$E$1644</definedName>
    <definedName name="finPNLCh2LogExp">FinPNL!$E$1655:$E$1655</definedName>
    <definedName name="finPNLCh2LogExpPct">FinPNL!$E$1656:$E$1656</definedName>
    <definedName name="finPNLCh2MachExp">FinPNL!$E$1645:$E$1645</definedName>
    <definedName name="finPNLCh2MatExp">FinPNL!$E$1643:$E$1643</definedName>
    <definedName name="finPNLCh2NetRev">FinPNL!$E$1640:$E$1640</definedName>
    <definedName name="finPNLCh2Prod1Slot1DeprExp">FinPNL!$E$358:$E$358</definedName>
    <definedName name="finPNLCh2Prod1Slot1Discounts">FinPNL!$E$350:$E$350</definedName>
    <definedName name="finPNLCh2Prod1Slot1Excise">FinPNL!$E$348:$E$348</definedName>
    <definedName name="finPNLCh2Prod1Slot1GM">FinPNL!$E$364:$E$364</definedName>
    <definedName name="finPNLCh2Prod1Slot1GP">FinPNL!$E$363:$E$363</definedName>
    <definedName name="finPNLCh2Prod1Slot1GPaL">FinPNL!$E$370:$E$370</definedName>
    <definedName name="finPNLCh2Prod1Slot1GPaLMargin">FinPNL!$E$371:$E$371</definedName>
    <definedName name="finPNLCh2Prod1Slot1GrossSales">FinPNL!$E$349:$E$349</definedName>
    <definedName name="finPNLCh2Prod1Slot1LabourExp">FinPNL!$E$356:$E$356</definedName>
    <definedName name="finPNLCh2Prod1Slot1LogExp">FinPNL!$E$367:$E$367</definedName>
    <definedName name="finPNLCh2Prod1Slot1MachExp">FinPNL!$E$357:$E$357</definedName>
    <definedName name="finPNLCh2Prod1Slot1MatExp">FinPNL!$E$355:$E$355</definedName>
    <definedName name="finPNLCh2Prod1Slot1TotalCOGs">FinPNL!$E$360:$E$360</definedName>
    <definedName name="finPNLCh2Prod1Slot1TotalRev">FinPNL!$E$352:$E$352</definedName>
    <definedName name="finPNLCh2Prod1Slot1Turn">FinPNL!$E$347:$E$347</definedName>
    <definedName name="finPNLCh2Prod1Slot2DeprExp">FinPNL!$E$386:$E$386</definedName>
    <definedName name="finPNLCh2Prod1Slot2Discounts">FinPNL!$E$378:$E$378</definedName>
    <definedName name="finPNLCh2Prod1Slot2Excise">FinPNL!$E$376:$E$376</definedName>
    <definedName name="finPNLCh2Prod1Slot2GM">FinPNL!$E$392:$E$392</definedName>
    <definedName name="finPNLCh2Prod1Slot2GP">FinPNL!$E$391:$E$391</definedName>
    <definedName name="finPNLCh2Prod1Slot2GPaL">FinPNL!$E$398:$E$398</definedName>
    <definedName name="finPNLCh2Prod1Slot2GPaLMargin">FinPNL!$E$399:$E$399</definedName>
    <definedName name="finPNLCh2Prod1Slot2GrossSales">FinPNL!$E$377:$E$377</definedName>
    <definedName name="finPNLCh2Prod1Slot2LabourExp">FinPNL!$E$384:$E$384</definedName>
    <definedName name="finPNLCh2Prod1Slot2LogExp">FinPNL!$E$395:$E$395</definedName>
    <definedName name="finPNLCh2Prod1Slot2MachExp">FinPNL!$E$385:$E$385</definedName>
    <definedName name="finPNLCh2Prod1Slot2MatExp">FinPNL!$E$383:$E$383</definedName>
    <definedName name="finPNLCh2Prod1Slot2TotalCOGs">FinPNL!$E$388:$E$388</definedName>
    <definedName name="finPNLCh2Prod1Slot2TotalRev">FinPNL!$E$380:$E$380</definedName>
    <definedName name="finPNLCh2Prod1Slot2Turn">FinPNL!$E$375:$E$375</definedName>
    <definedName name="finPNLCh2Prod1Slot3DeprExp">FinPNL!$E$414:$E$414</definedName>
    <definedName name="finPNLCh2Prod1Slot3Discounts">FinPNL!$E$406:$E$406</definedName>
    <definedName name="finPNLCh2Prod1Slot3Excise">FinPNL!$E$404:$E$404</definedName>
    <definedName name="finPNLCh2Prod1Slot3GM">FinPNL!$E$420:$E$420</definedName>
    <definedName name="finPNLCh2Prod1Slot3GP">FinPNL!$E$419:$E$419</definedName>
    <definedName name="finPNLCh2Prod1Slot3GPaL">FinPNL!$E$426:$E$426</definedName>
    <definedName name="finPNLCh2Prod1Slot3GPaLMargin">FinPNL!$E$427:$E$427</definedName>
    <definedName name="finPNLCh2Prod1Slot3GrossSales">FinPNL!$E$405:$E$405</definedName>
    <definedName name="finPNLCh2Prod1Slot3LabourExp">FinPNL!$E$412:$E$412</definedName>
    <definedName name="finPNLCh2Prod1Slot3LogExp">FinPNL!$E$423:$E$423</definedName>
    <definedName name="finPNLCh2Prod1Slot3MachExp">FinPNL!$E$413:$E$413</definedName>
    <definedName name="finPNLCh2Prod1Slot3MatExp">FinPNL!$E$411:$E$411</definedName>
    <definedName name="finPNLCh2Prod1Slot3TotalCOGs">FinPNL!$E$416:$E$416</definedName>
    <definedName name="finPNLCh2Prod1Slot3TotalRev">FinPNL!$E$408:$E$408</definedName>
    <definedName name="finPNLCh2Prod1Slot3Turn">FinPNL!$E$403:$E$403</definedName>
    <definedName name="finPNLCh2Prod2Slot1DeprExp">FinPNL!$E$443:$E$443</definedName>
    <definedName name="finPNLCh2Prod2Slot1Discounts">FinPNL!$E$435:$E$435</definedName>
    <definedName name="finPNLCh2Prod2Slot1Excise">FinPNL!$E$433:$E$433</definedName>
    <definedName name="finPNLCh2Prod2Slot1GM">FinPNL!$E$449:$E$449</definedName>
    <definedName name="finPNLCh2Prod2Slot1GP">FinPNL!$E$448:$E$448</definedName>
    <definedName name="finPNLCh2Prod2Slot1GPaL">FinPNL!$E$455:$E$455</definedName>
    <definedName name="finPNLCh2Prod2Slot1GPaLMargin">FinPNL!$E$456:$E$456</definedName>
    <definedName name="finPNLCh2Prod2Slot1GrossSales">FinPNL!$E$434:$E$434</definedName>
    <definedName name="finPNLCh2Prod2Slot1LabourExp">FinPNL!$E$441:$E$441</definedName>
    <definedName name="finPNLCh2Prod2Slot1LogExp">FinPNL!$E$452:$E$452</definedName>
    <definedName name="finPNLCh2Prod2Slot1MachExp">FinPNL!$E$442:$E$442</definedName>
    <definedName name="finPNLCh2Prod2Slot1MatExp">FinPNL!$E$440:$E$440</definedName>
    <definedName name="finPNLCh2Prod2Slot1TotalCOGs">FinPNL!$E$445:$E$445</definedName>
    <definedName name="finPNLCh2Prod2Slot1TotalRev">FinPNL!$E$437:$E$437</definedName>
    <definedName name="finPNLCh2Prod2Slot1Turn">FinPNL!$E$432:$E$432</definedName>
    <definedName name="finPNLCh2Prod2Slot2DeprExp">FinPNL!$E$471:$E$471</definedName>
    <definedName name="finPNLCh2Prod2Slot2Discounts">FinPNL!$E$463:$E$463</definedName>
    <definedName name="finPNLCh2Prod2Slot2Excise">FinPNL!$E$461:$E$461</definedName>
    <definedName name="finPNLCh2Prod2Slot2GM">FinPNL!$E$477:$E$477</definedName>
    <definedName name="finPNLCh2Prod2Slot2GP">FinPNL!$E$476:$E$476</definedName>
    <definedName name="finPNLCh2Prod2Slot2GPaL">FinPNL!$E$483:$E$483</definedName>
    <definedName name="finPNLCh2Prod2Slot2GPaLMargin">FinPNL!$E$484:$E$484</definedName>
    <definedName name="finPNLCh2Prod2Slot2GrossSales">FinPNL!$E$462:$E$462</definedName>
    <definedName name="finPNLCh2Prod2Slot2LabourExp">FinPNL!$E$469:$E$469</definedName>
    <definedName name="finPNLCh2Prod2Slot2LogExp">FinPNL!$E$480:$E$480</definedName>
    <definedName name="finPNLCh2Prod2Slot2MachExp">FinPNL!$E$470:$E$470</definedName>
    <definedName name="finPNLCh2Prod2Slot2MatExp">FinPNL!$E$468:$E$468</definedName>
    <definedName name="finPNLCh2Prod2Slot2TotalCOGs">FinPNL!$E$473:$E$473</definedName>
    <definedName name="finPNLCh2Prod2Slot2TotalRev">FinPNL!$E$465:$E$465</definedName>
    <definedName name="finPNLCh2Prod2Slot2Turn">FinPNL!$E$460:$E$460</definedName>
    <definedName name="finPNLCh2Prod2Slot3DeprExp">FinPNL!$E$499:$E$499</definedName>
    <definedName name="finPNLCh2Prod2Slot3Discounts">FinPNL!$E$491:$E$491</definedName>
    <definedName name="finPNLCh2Prod2Slot3Excise">FinPNL!$E$489:$E$489</definedName>
    <definedName name="finPNLCh2Prod2Slot3GM">FinPNL!$E$505:$E$505</definedName>
    <definedName name="finPNLCh2Prod2Slot3GP">FinPNL!$E$504:$E$504</definedName>
    <definedName name="finPNLCh2Prod2Slot3GPaL">FinPNL!$E$511:$E$511</definedName>
    <definedName name="finPNLCh2Prod2Slot3GPaLMargin">FinPNL!$E$512:$E$512</definedName>
    <definedName name="finPNLCh2Prod2Slot3GrossSales">FinPNL!$E$490:$E$490</definedName>
    <definedName name="finPNLCh2Prod2Slot3LabourExp">FinPNL!$E$497:$E$497</definedName>
    <definedName name="finPNLCh2Prod2Slot3LogExp">FinPNL!$E$508:$E$508</definedName>
    <definedName name="finPNLCh2Prod2Slot3MachExp">FinPNL!$E$498:$E$498</definedName>
    <definedName name="finPNLCh2Prod2Slot3MatExp">FinPNL!$E$496:$E$496</definedName>
    <definedName name="finPNLCh2Prod2Slot3TotalCOGs">FinPNL!$E$501:$E$501</definedName>
    <definedName name="finPNLCh2Prod2Slot3TotalRev">FinPNL!$E$493:$E$493</definedName>
    <definedName name="finPNLCh2Prod2Slot3Turn">FinPNL!$E$488:$E$488</definedName>
    <definedName name="finPNLCh2Prod3Slot1DeprExp">FinPNL!$E$528:$E$528</definedName>
    <definedName name="finPNLCh2Prod3Slot1Discounts">FinPNL!$E$520:$E$520</definedName>
    <definedName name="finPNLCh2Prod3Slot1Excise">FinPNL!$E$518:$E$518</definedName>
    <definedName name="finPNLCh2Prod3Slot1GM">FinPNL!$E$534:$E$534</definedName>
    <definedName name="finPNLCh2Prod3Slot1GP">FinPNL!$E$533:$E$533</definedName>
    <definedName name="finPNLCh2Prod3Slot1GPaL">FinPNL!$E$540:$E$540</definedName>
    <definedName name="finPNLCh2Prod3Slot1GPaLMargin">FinPNL!$E$541:$E$541</definedName>
    <definedName name="finPNLCh2Prod3Slot1GrossSales">FinPNL!$E$519:$E$519</definedName>
    <definedName name="finPNLCh2Prod3Slot1LabourExp">FinPNL!$E$526:$E$526</definedName>
    <definedName name="finPNLCh2Prod3Slot1LogExp">FinPNL!$E$537:$E$537</definedName>
    <definedName name="finPNLCh2Prod3Slot1MachExp">FinPNL!$E$527:$E$527</definedName>
    <definedName name="finPNLCh2Prod3Slot1MatExp">FinPNL!$E$525:$E$525</definedName>
    <definedName name="finPNLCh2Prod3Slot1TotalCOGs">FinPNL!$E$530:$E$530</definedName>
    <definedName name="finPNLCh2Prod3Slot1TotalRev">FinPNL!$E$522:$E$522</definedName>
    <definedName name="finPNLCh2Prod3Slot1Turn">FinPNL!$E$517:$E$517</definedName>
    <definedName name="finPNLCh2Prod3Slot2DeprExp">FinPNL!$E$556:$E$556</definedName>
    <definedName name="finPNLCh2Prod3Slot2Discounts">FinPNL!$E$548:$E$548</definedName>
    <definedName name="finPNLCh2Prod3Slot2Excise">FinPNL!$E$546:$E$546</definedName>
    <definedName name="finPNLCh2Prod3Slot2GM">FinPNL!$E$562:$E$562</definedName>
    <definedName name="finPNLCh2Prod3Slot2GP">FinPNL!$E$561:$E$561</definedName>
    <definedName name="finPNLCh2Prod3Slot2GPaL">FinPNL!$E$568:$E$568</definedName>
    <definedName name="finPNLCh2Prod3Slot2GPaLMargin">FinPNL!$E$569:$E$569</definedName>
    <definedName name="finPNLCh2Prod3Slot2GrossSales">FinPNL!$E$547:$E$547</definedName>
    <definedName name="finPNLCh2Prod3Slot2LabourExp">FinPNL!$E$554:$E$554</definedName>
    <definedName name="finPNLCh2Prod3Slot2LogExp">FinPNL!$E$565:$E$565</definedName>
    <definedName name="finPNLCh2Prod3Slot2MachExp">FinPNL!$E$555:$E$555</definedName>
    <definedName name="finPNLCh2Prod3Slot2MatExp">FinPNL!$E$553:$E$553</definedName>
    <definedName name="finPNLCh2Prod3Slot2TotalCOGs">FinPNL!$E$558:$E$558</definedName>
    <definedName name="finPNLCh2Prod3Slot2TotalRev">FinPNL!$E$550:$E$550</definedName>
    <definedName name="finPNLCh2Prod3Slot2Turn">FinPNL!$E$545:$E$545</definedName>
    <definedName name="finPNLCh2Prod3Slot3DeprExp">FinPNL!$E$584:$E$584</definedName>
    <definedName name="finPNLCh2Prod3Slot3Discounts">FinPNL!$E$576:$E$576</definedName>
    <definedName name="finPNLCh2Prod3Slot3Excise">FinPNL!$E$574:$E$574</definedName>
    <definedName name="finPNLCh2Prod3Slot3GM">FinPNL!$E$590:$E$590</definedName>
    <definedName name="finPNLCh2Prod3Slot3GP">FinPNL!$E$589:$E$589</definedName>
    <definedName name="finPNLCh2Prod3Slot3GPaL">FinPNL!$E$596:$E$596</definedName>
    <definedName name="finPNLCh2Prod3Slot3GPaLMargin">FinPNL!$E$597:$E$597</definedName>
    <definedName name="finPNLCh2Prod3Slot3GrossSales">FinPNL!$E$575:$E$575</definedName>
    <definedName name="finPNLCh2Prod3Slot3LabourExp">FinPNL!$E$582:$E$582</definedName>
    <definedName name="finPNLCh2Prod3Slot3LogExp">FinPNL!$E$593:$E$593</definedName>
    <definedName name="finPNLCh2Prod3Slot3MachExp">FinPNL!$E$583:$E$583</definedName>
    <definedName name="finPNLCh2Prod3Slot3MatExp">FinPNL!$E$581:$E$581</definedName>
    <definedName name="finPNLCh2Prod3Slot3TotalCOGs">FinPNL!$E$586:$E$586</definedName>
    <definedName name="finPNLCh2Prod3Slot3TotalRev">FinPNL!$E$578:$E$578</definedName>
    <definedName name="finPNLCh2Prod3Slot3Turn">FinPNL!$E$573:$E$573</definedName>
    <definedName name="finPNLCh2Prod4Slot1DeprExp">FinPNL!$E$613:$E$613</definedName>
    <definedName name="finPNLCh2Prod4Slot1Discounts">FinPNL!$E$605:$E$605</definedName>
    <definedName name="finPNLCh2Prod4Slot1Excise">FinPNL!$E$603:$E$603</definedName>
    <definedName name="finPNLCh2Prod4Slot1GM">FinPNL!$E$619:$E$619</definedName>
    <definedName name="finPNLCh2Prod4Slot1GP">FinPNL!$E$618:$E$618</definedName>
    <definedName name="finPNLCh2Prod4Slot1GPaL">FinPNL!$E$625:$E$625</definedName>
    <definedName name="finPNLCh2Prod4Slot1GPaLMargin">FinPNL!$E$626:$E$626</definedName>
    <definedName name="finPNLCh2Prod4Slot1GrossSales">FinPNL!$E$604:$E$604</definedName>
    <definedName name="finPNLCh2Prod4Slot1LabourExp">FinPNL!$E$611:$E$611</definedName>
    <definedName name="finPNLCh2Prod4Slot1LogExp">FinPNL!$E$622:$E$622</definedName>
    <definedName name="finPNLCh2Prod4Slot1MachExp">FinPNL!$E$612:$E$612</definedName>
    <definedName name="finPNLCh2Prod4Slot1MatExp">FinPNL!$E$610:$E$610</definedName>
    <definedName name="finPNLCh2Prod4Slot1TotalCOGs">FinPNL!$E$615:$E$615</definedName>
    <definedName name="finPNLCh2Prod4Slot1TotalRev">FinPNL!$E$607:$E$607</definedName>
    <definedName name="finPNLCh2Prod4Slot1Turn">FinPNL!$E$602:$E$602</definedName>
    <definedName name="finPNLCh2Prod4Slot2DeprExp">FinPNL!$E$641:$E$641</definedName>
    <definedName name="finPNLCh2Prod4Slot2Discounts">FinPNL!$E$633:$E$633</definedName>
    <definedName name="finPNLCh2Prod4Slot2Excise">FinPNL!$E$631:$E$631</definedName>
    <definedName name="finPNLCh2Prod4Slot2GM">FinPNL!$E$647:$E$647</definedName>
    <definedName name="finPNLCh2Prod4Slot2GP">FinPNL!$E$646:$E$646</definedName>
    <definedName name="finPNLCh2Prod4Slot2GPaL">FinPNL!$E$653:$E$653</definedName>
    <definedName name="finPNLCh2Prod4Slot2GPaLMargin">FinPNL!$E$654:$E$654</definedName>
    <definedName name="finPNLCh2Prod4Slot2GrossSales">FinPNL!$E$632:$E$632</definedName>
    <definedName name="finPNLCh2Prod4Slot2LabourExp">FinPNL!$E$639:$E$639</definedName>
    <definedName name="finPNLCh2Prod4Slot2LogExp">FinPNL!$E$650:$E$650</definedName>
    <definedName name="finPNLCh2Prod4Slot2MachExp">FinPNL!$E$640:$E$640</definedName>
    <definedName name="finPNLCh2Prod4Slot2MatExp">FinPNL!$E$638:$E$638</definedName>
    <definedName name="finPNLCh2Prod4Slot2TotalCOGs">FinPNL!$E$643:$E$643</definedName>
    <definedName name="finPNLCh2Prod4Slot2TotalRev">FinPNL!$E$635:$E$635</definedName>
    <definedName name="finPNLCh2Prod4Slot2Turn">FinPNL!$E$630:$E$630</definedName>
    <definedName name="finPNLCh2Prod4Slot3DeprExp">FinPNL!$E$669:$E$669</definedName>
    <definedName name="finPNLCh2Prod4Slot3Discounts">FinPNL!$E$661:$E$661</definedName>
    <definedName name="finPNLCh2Prod4Slot3Excise">FinPNL!$E$659:$E$659</definedName>
    <definedName name="finPNLCh2Prod4Slot3GM">FinPNL!$E$675:$E$675</definedName>
    <definedName name="finPNLCh2Prod4Slot3GP">FinPNL!$E$674:$E$674</definedName>
    <definedName name="finPNLCh2Prod4Slot3GPaL">FinPNL!$E$681:$E$681</definedName>
    <definedName name="finPNLCh2Prod4Slot3GPaLMargin">FinPNL!$E$682:$E$682</definedName>
    <definedName name="finPNLCh2Prod4Slot3GrossSales">FinPNL!$E$660:$E$660</definedName>
    <definedName name="finPNLCh2Prod4Slot3LabourExp">FinPNL!$E$667:$E$667</definedName>
    <definedName name="finPNLCh2Prod4Slot3LogExp">FinPNL!$E$678:$E$678</definedName>
    <definedName name="finPNLCh2Prod4Slot3MachExp">FinPNL!$E$668:$E$668</definedName>
    <definedName name="finPNLCh2Prod4Slot3MatExp">FinPNL!$E$666:$E$666</definedName>
    <definedName name="finPNLCh2Prod4Slot3TotalCOGs">FinPNL!$E$671:$E$671</definedName>
    <definedName name="finPNLCh2Prod4Slot3TotalRev">FinPNL!$E$663:$E$663</definedName>
    <definedName name="finPNLCh2Prod4Slot3Turn">FinPNL!$E$658:$E$658</definedName>
    <definedName name="finPNLCh2Sales">FinPNL!$E$1663:$E$1663</definedName>
    <definedName name="finPNLCh2TMkt">FinPNL!$E$1664:$E$1664</definedName>
    <definedName name="finPNLCh2Turn">FinPNL!$E$1635:$E$1635</definedName>
    <definedName name="finPNLCh3BOverheadTot">FinPNL!$E$1703:$E$1703</definedName>
    <definedName name="finPNLCh3CostRev">FinPNL!$E$1685:$E$1685</definedName>
    <definedName name="finPNLCh3DepExp">FinPNL!$E$1683:$E$1683</definedName>
    <definedName name="finPNLCh3Discounts">FinPNL!$E$1675:$E$1675</definedName>
    <definedName name="finPNLCh3Excise">FinPNL!$E$1673:$E$1673</definedName>
    <definedName name="finPNLCh3GCC">FinPNL!$E$1705:$E$1705</definedName>
    <definedName name="finPNLCh3GCCMargin">FinPNL!$E$1706:$E$1706</definedName>
    <definedName name="finPNLCh3GM">FinPNL!$E$1689:$E$1689</definedName>
    <definedName name="finPNLCh3GPaL">FinPNL!$E$1696:$E$1696</definedName>
    <definedName name="finPNLCh3GPaLMargin">FinPNL!$E$1697:$E$1697</definedName>
    <definedName name="finPNLCh3GroProfit">FinPNL!$E$1688:$E$1688</definedName>
    <definedName name="finPNLCh3GrossSales">FinPNL!$E$1674:$E$1674</definedName>
    <definedName name="finPNLCh3LabExp">FinPNL!$E$1681:$E$1681</definedName>
    <definedName name="finPNLCh3LogExp">FinPNL!$E$1692:$E$1692</definedName>
    <definedName name="finPNLCh3LogExpPct">FinPNL!$E$1693:$E$1693</definedName>
    <definedName name="finPNLCh3MachExp">FinPNL!$E$1682:$E$1682</definedName>
    <definedName name="finPNLCh3MatExp">FinPNL!$E$1680:$E$1680</definedName>
    <definedName name="finPNLCh3NetRev">FinPNL!$E$1677:$E$1677</definedName>
    <definedName name="finPNLCh3Prod1Slot1DeprExp">FinPNL!$E$698:$E$698</definedName>
    <definedName name="finPNLCh3Prod1Slot1Discounts">FinPNL!$E$690:$E$690</definedName>
    <definedName name="finPNLCh3Prod1Slot1Excise">FinPNL!$E$688:$E$688</definedName>
    <definedName name="finPNLCh3Prod1Slot1GM">FinPNL!$E$704:$E$704</definedName>
    <definedName name="finPNLCh3Prod1Slot1GP">FinPNL!$E$703:$E$703</definedName>
    <definedName name="finPNLCh3Prod1Slot1GPaL">FinPNL!$E$710:$E$710</definedName>
    <definedName name="finPNLCh3Prod1Slot1GPaLMargin">FinPNL!$E$711:$E$711</definedName>
    <definedName name="finPNLCh3Prod1Slot1GrossSales">FinPNL!$E$689:$E$689</definedName>
    <definedName name="finPNLCh3Prod1Slot1LabourExp">FinPNL!$E$696:$E$696</definedName>
    <definedName name="finPNLCh3Prod1Slot1LogExp">FinPNL!$E$707:$E$707</definedName>
    <definedName name="finPNLCh3Prod1Slot1MachExp">FinPNL!$E$697:$E$697</definedName>
    <definedName name="finPNLCh3Prod1Slot1MatExp">FinPNL!$E$695:$E$695</definedName>
    <definedName name="finPNLCh3Prod1Slot1TotalCOGs">FinPNL!$E$700:$E$700</definedName>
    <definedName name="finPNLCh3Prod1Slot1TotalRev">FinPNL!$E$692:$E$692</definedName>
    <definedName name="finPNLCh3Prod1Slot1Turn">FinPNL!$E$687:$E$687</definedName>
    <definedName name="finPNLCh3Prod1Slot2DeprExp">FinPNL!$E$726:$E$726</definedName>
    <definedName name="finPNLCh3Prod1Slot2Discounts">FinPNL!$E$718:$E$718</definedName>
    <definedName name="finPNLCh3Prod1Slot2Excise">FinPNL!$E$716:$E$716</definedName>
    <definedName name="finPNLCh3Prod1Slot2GM">FinPNL!$E$732:$E$732</definedName>
    <definedName name="finPNLCh3Prod1Slot2GP">FinPNL!$E$731:$E$731</definedName>
    <definedName name="finPNLCh3Prod1Slot2GPaL">FinPNL!$E$738:$E$738</definedName>
    <definedName name="finPNLCh3Prod1Slot2GPaLMargin">FinPNL!$E$739:$E$739</definedName>
    <definedName name="finPNLCh3Prod1Slot2GrossSales">FinPNL!$E$717:$E$717</definedName>
    <definedName name="finPNLCh3Prod1Slot2LabourExp">FinPNL!$E$724:$E$724</definedName>
    <definedName name="finPNLCh3Prod1Slot2LogExp">FinPNL!$E$735:$E$735</definedName>
    <definedName name="finPNLCh3Prod1Slot2MachExp">FinPNL!$E$725:$E$725</definedName>
    <definedName name="finPNLCh3Prod1Slot2MatExp">FinPNL!$E$723:$E$723</definedName>
    <definedName name="finPNLCh3Prod1Slot2TotalCOGs">FinPNL!$E$728:$E$728</definedName>
    <definedName name="finPNLCh3Prod1Slot2TotalRev">FinPNL!$E$720:$E$720</definedName>
    <definedName name="finPNLCh3Prod1Slot2Turn">FinPNL!$E$715:$E$715</definedName>
    <definedName name="finPNLCh3Prod1Slot3DeprExp">FinPNL!$E$754:$E$754</definedName>
    <definedName name="finPNLCh3Prod1Slot3Discounts">FinPNL!$E$746:$E$746</definedName>
    <definedName name="finPNLCh3Prod1Slot3Excise">FinPNL!$E$744:$E$744</definedName>
    <definedName name="finPNLCh3Prod1Slot3GM">FinPNL!$E$760:$E$760</definedName>
    <definedName name="finPNLCh3Prod1Slot3GP">FinPNL!$E$759:$E$759</definedName>
    <definedName name="finPNLCh3Prod1Slot3GPaL">FinPNL!$E$766:$E$766</definedName>
    <definedName name="finPNLCh3Prod1Slot3GPaLMargin">FinPNL!$E$767:$E$767</definedName>
    <definedName name="finPNLCh3Prod1Slot3GrossSales">FinPNL!$E$745:$E$745</definedName>
    <definedName name="finPNLCh3Prod1Slot3LabourExp">FinPNL!$E$752:$E$752</definedName>
    <definedName name="finPNLCh3Prod1Slot3LogExp">FinPNL!$E$763:$E$763</definedName>
    <definedName name="finPNLCh3Prod1Slot3MachExp">FinPNL!$E$753:$E$753</definedName>
    <definedName name="finPNLCh3Prod1Slot3MatExp">FinPNL!$E$751:$E$751</definedName>
    <definedName name="finPNLCh3Prod1Slot3TotalCOGs">FinPNL!$E$756:$E$756</definedName>
    <definedName name="finPNLCh3Prod1Slot3TotalRev">FinPNL!$E$748:$E$748</definedName>
    <definedName name="finPNLCh3Prod1Slot3Turn">FinPNL!$E$743:$E$743</definedName>
    <definedName name="finPNLCh3Prod2Slot1DeprExp">FinPNL!$E$783:$E$783</definedName>
    <definedName name="finPNLCh3Prod2Slot1Discounts">FinPNL!$E$775:$E$775</definedName>
    <definedName name="finPNLCh3Prod2Slot1Excise">FinPNL!$E$773:$E$773</definedName>
    <definedName name="finPNLCh3Prod2Slot1GM">FinPNL!$E$789:$E$789</definedName>
    <definedName name="finPNLCh3Prod2Slot1GP">FinPNL!$E$788:$E$788</definedName>
    <definedName name="finPNLCh3Prod2Slot1GPaL">FinPNL!$E$795:$E$795</definedName>
    <definedName name="finPNLCh3Prod2Slot1GPaLMargin">FinPNL!$E$796:$E$796</definedName>
    <definedName name="finPNLCh3Prod2Slot1GrossSales">FinPNL!$E$774:$E$774</definedName>
    <definedName name="finPNLCh3Prod2Slot1LabourExp">FinPNL!$E$781:$E$781</definedName>
    <definedName name="finPNLCh3Prod2Slot1LogExp">FinPNL!$E$792:$E$792</definedName>
    <definedName name="finPNLCh3Prod2Slot1MachExp">FinPNL!$E$782:$E$782</definedName>
    <definedName name="finPNLCh3Prod2Slot1MatExp">FinPNL!$E$780:$E$780</definedName>
    <definedName name="finPNLCh3Prod2Slot1TotalCOGs">FinPNL!$E$785:$E$785</definedName>
    <definedName name="finPNLCh3Prod2Slot1TotalRev">FinPNL!$E$777:$E$777</definedName>
    <definedName name="finPNLCh3Prod2Slot1Turn">FinPNL!$E$772:$E$772</definedName>
    <definedName name="finPNLCh3Prod2Slot2DeprExp">FinPNL!$E$811:$E$811</definedName>
    <definedName name="finPNLCh3Prod2Slot2Discounts">FinPNL!$E$803:$E$803</definedName>
    <definedName name="finPNLCh3Prod2Slot2Excise">FinPNL!$E$801:$E$801</definedName>
    <definedName name="finPNLCh3Prod2Slot2GM">FinPNL!$E$817:$E$817</definedName>
    <definedName name="finPNLCh3Prod2Slot2GP">FinPNL!$E$816:$E$816</definedName>
    <definedName name="finPNLCh3Prod2Slot2GPaL">FinPNL!$E$823:$E$823</definedName>
    <definedName name="finPNLCh3Prod2Slot2GPaLMargin">FinPNL!$E$824:$E$824</definedName>
    <definedName name="finPNLCh3Prod2Slot2GrossSales">FinPNL!$E$802:$E$802</definedName>
    <definedName name="finPNLCh3Prod2Slot2LabourExp">FinPNL!$E$809:$E$809</definedName>
    <definedName name="finPNLCh3Prod2Slot2LogExp">FinPNL!$E$820:$E$820</definedName>
    <definedName name="finPNLCh3Prod2Slot2MachExp">FinPNL!$E$810:$E$810</definedName>
    <definedName name="finPNLCh3Prod2Slot2MatExp">FinPNL!$E$808:$E$808</definedName>
    <definedName name="finPNLCh3Prod2Slot2TotalCOGs">FinPNL!$E$813:$E$813</definedName>
    <definedName name="finPNLCh3Prod2Slot2TotalRev">FinPNL!$E$805:$E$805</definedName>
    <definedName name="finPNLCh3Prod2Slot2Turn">FinPNL!$E$800:$E$800</definedName>
    <definedName name="finPNLCh3Prod2Slot3DeprExp">FinPNL!$E$839:$E$839</definedName>
    <definedName name="finPNLCh3Prod2Slot3Discounts">FinPNL!$E$831:$E$831</definedName>
    <definedName name="finPNLCh3Prod2Slot3Excise">FinPNL!$E$829:$E$829</definedName>
    <definedName name="finPNLCh3Prod2Slot3GM">FinPNL!$E$845:$E$845</definedName>
    <definedName name="finPNLCh3Prod2Slot3GP">FinPNL!$E$844:$E$844</definedName>
    <definedName name="finPNLCh3Prod2Slot3GPaL">FinPNL!$E$851:$E$851</definedName>
    <definedName name="finPNLCh3Prod2Slot3GPaLMargin">FinPNL!$E$852:$E$852</definedName>
    <definedName name="finPNLCh3Prod2Slot3GrossSales">FinPNL!$E$830:$E$830</definedName>
    <definedName name="finPNLCh3Prod2Slot3LabourExp">FinPNL!$E$837:$E$837</definedName>
    <definedName name="finPNLCh3Prod2Slot3LogExp">FinPNL!$E$848:$E$848</definedName>
    <definedName name="finPNLCh3Prod2Slot3MachExp">FinPNL!$E$838:$E$838</definedName>
    <definedName name="finPNLCh3Prod2Slot3MatExp">FinPNL!$E$836:$E$836</definedName>
    <definedName name="finPNLCh3Prod2Slot3TotalCOGs">FinPNL!$E$841:$E$841</definedName>
    <definedName name="finPNLCh3Prod2Slot3TotalRev">FinPNL!$E$833:$E$833</definedName>
    <definedName name="finPNLCh3Prod2Slot3Turn">FinPNL!$E$828:$E$828</definedName>
    <definedName name="finPNLCh3Prod3Slot1DeprExp">FinPNL!$E$868:$E$868</definedName>
    <definedName name="finPNLCh3Prod3Slot1Discounts">FinPNL!$E$860:$E$860</definedName>
    <definedName name="finPNLCh3Prod3Slot1Excise">FinPNL!$E$858:$E$858</definedName>
    <definedName name="finPNLCh3Prod3Slot1GM">FinPNL!$E$874:$E$874</definedName>
    <definedName name="finPNLCh3Prod3Slot1GP">FinPNL!$E$873:$E$873</definedName>
    <definedName name="finPNLCh3Prod3Slot1GPaL">FinPNL!$E$880:$E$880</definedName>
    <definedName name="finPNLCh3Prod3Slot1GPaLMargin">FinPNL!$E$881:$E$881</definedName>
    <definedName name="finPNLCh3Prod3Slot1GrossSales">FinPNL!$E$859:$E$859</definedName>
    <definedName name="finPNLCh3Prod3Slot1LabourExp">FinPNL!$E$866:$E$866</definedName>
    <definedName name="finPNLCh3Prod3Slot1LogExp">FinPNL!$E$877:$E$877</definedName>
    <definedName name="finPNLCh3Prod3Slot1MachExp">FinPNL!$E$867:$E$867</definedName>
    <definedName name="finPNLCh3Prod3Slot1MatExp">FinPNL!$E$865:$E$865</definedName>
    <definedName name="finPNLCh3Prod3Slot1TotalCOGs">FinPNL!$E$870:$E$870</definedName>
    <definedName name="finPNLCh3Prod3Slot1TotalRev">FinPNL!$E$862:$E$862</definedName>
    <definedName name="finPNLCh3Prod3Slot1Turn">FinPNL!$E$857:$E$857</definedName>
    <definedName name="finPNLCh3Prod3Slot2DeprExp">FinPNL!$E$896:$E$896</definedName>
    <definedName name="finPNLCh3Prod3Slot2Discounts">FinPNL!$E$888:$E$888</definedName>
    <definedName name="finPNLCh3Prod3Slot2Excise">FinPNL!$E$886:$E$886</definedName>
    <definedName name="finPNLCh3Prod3Slot2GM">FinPNL!$E$902:$E$902</definedName>
    <definedName name="finPNLCh3Prod3Slot2GP">FinPNL!$E$901:$E$901</definedName>
    <definedName name="finPNLCh3Prod3Slot2GPaL">FinPNL!$E$908:$E$908</definedName>
    <definedName name="finPNLCh3Prod3Slot2GPaLMargin">FinPNL!$E$909:$E$909</definedName>
    <definedName name="finPNLCh3Prod3Slot2GrossSales">FinPNL!$E$887:$E$887</definedName>
    <definedName name="finPNLCh3Prod3Slot2LabourExp">FinPNL!$E$894:$E$894</definedName>
    <definedName name="finPNLCh3Prod3Slot2LogExp">FinPNL!$E$905:$E$905</definedName>
    <definedName name="finPNLCh3Prod3Slot2MachExp">FinPNL!$E$895:$E$895</definedName>
    <definedName name="finPNLCh3Prod3Slot2MatExp">FinPNL!$E$893:$E$893</definedName>
    <definedName name="finPNLCh3Prod3Slot2TotalCOGs">FinPNL!$E$898:$E$898</definedName>
    <definedName name="finPNLCh3Prod3Slot2TotalRev">FinPNL!$E$890:$E$890</definedName>
    <definedName name="finPNLCh3Prod3Slot2Turn">FinPNL!$E$885:$E$885</definedName>
    <definedName name="finPNLCh3Prod3Slot3DeprExp">FinPNL!$E$924:$E$924</definedName>
    <definedName name="finPNLCh3Prod3Slot3Discounts">FinPNL!$E$916:$E$916</definedName>
    <definedName name="finPNLCh3Prod3Slot3Excise">FinPNL!$E$914:$E$914</definedName>
    <definedName name="finPNLCh3Prod3Slot3GM">FinPNL!$E$930:$E$930</definedName>
    <definedName name="finPNLCh3Prod3Slot3GP">FinPNL!$E$929:$E$929</definedName>
    <definedName name="finPNLCh3Prod3Slot3GPaL">FinPNL!$E$936:$E$936</definedName>
    <definedName name="finPNLCh3Prod3Slot3GPaLMargin">FinPNL!$E$937:$E$937</definedName>
    <definedName name="finPNLCh3Prod3Slot3GrossSales">FinPNL!$E$915:$E$915</definedName>
    <definedName name="finPNLCh3Prod3Slot3LabourExp">FinPNL!$E$922:$E$922</definedName>
    <definedName name="finPNLCh3Prod3Slot3LogExp">FinPNL!$E$933:$E$933</definedName>
    <definedName name="finPNLCh3Prod3Slot3MachExp">FinPNL!$E$923:$E$923</definedName>
    <definedName name="finPNLCh3Prod3Slot3MatExp">FinPNL!$E$921:$E$921</definedName>
    <definedName name="finPNLCh3Prod3Slot3TotalCOGs">FinPNL!$E$926:$E$926</definedName>
    <definedName name="finPNLCh3Prod3Slot3TotalRev">FinPNL!$E$918:$E$918</definedName>
    <definedName name="finPNLCh3Prod3Slot3Turn">FinPNL!$E$913:$E$913</definedName>
    <definedName name="finPNLCh3Prod4Slot1DeprExp">FinPNL!$E$953:$E$953</definedName>
    <definedName name="finPNLCh3Prod4Slot1Discounts">FinPNL!$E$945:$E$945</definedName>
    <definedName name="finPNLCh3Prod4Slot1Excise">FinPNL!$E$943:$E$943</definedName>
    <definedName name="finPNLCh3Prod4Slot1GM">FinPNL!$E$959:$E$959</definedName>
    <definedName name="finPNLCh3Prod4Slot1GP">FinPNL!$E$958:$E$958</definedName>
    <definedName name="finPNLCh3Prod4Slot1GPaL">FinPNL!$E$965:$E$965</definedName>
    <definedName name="finPNLCh3Prod4Slot1GPaLMargin">FinPNL!$E$966:$E$966</definedName>
    <definedName name="finPNLCh3Prod4Slot1GrossSales">FinPNL!$E$944:$E$944</definedName>
    <definedName name="finPNLCh3Prod4Slot1LabourExp">FinPNL!$E$951:$E$951</definedName>
    <definedName name="finPNLCh3Prod4Slot1LogExp">FinPNL!$E$962:$E$962</definedName>
    <definedName name="finPNLCh3Prod4Slot1MachExp">FinPNL!$E$952:$E$952</definedName>
    <definedName name="finPNLCh3Prod4Slot1MatExp">FinPNL!$E$950:$E$950</definedName>
    <definedName name="finPNLCh3Prod4Slot1TotalCOGs">FinPNL!$E$955:$E$955</definedName>
    <definedName name="finPNLCh3Prod4Slot1TotalRev">FinPNL!$E$947:$E$947</definedName>
    <definedName name="finPNLCh3Prod4Slot1Turn">FinPNL!$E$942:$E$942</definedName>
    <definedName name="finPNLCh3Prod4Slot2DeprExp">FinPNL!$E$981:$E$981</definedName>
    <definedName name="finPNLCh3Prod4Slot2Discounts">FinPNL!$E$973:$E$973</definedName>
    <definedName name="finPNLCh3Prod4Slot2Excise">FinPNL!$E$971:$E$971</definedName>
    <definedName name="finPNLCh3Prod4Slot2GM">FinPNL!$E$987:$E$987</definedName>
    <definedName name="finPNLCh3Prod4Slot2GP">FinPNL!$E$986:$E$986</definedName>
    <definedName name="finPNLCh3Prod4Slot2GPaL">FinPNL!$E$993:$E$993</definedName>
    <definedName name="finPNLCh3Prod4Slot2GPaLMargin">FinPNL!$E$994:$E$994</definedName>
    <definedName name="finPNLCh3Prod4Slot2GrossSales">FinPNL!$E$972:$E$972</definedName>
    <definedName name="finPNLCh3Prod4Slot2LabourExp">FinPNL!$E$979:$E$979</definedName>
    <definedName name="finPNLCh3Prod4Slot2LogExp">FinPNL!$E$990:$E$990</definedName>
    <definedName name="finPNLCh3Prod4Slot2MachExp">FinPNL!$E$980:$E$980</definedName>
    <definedName name="finPNLCh3Prod4Slot2MatExp">FinPNL!$E$978:$E$978</definedName>
    <definedName name="finPNLCh3Prod4Slot2TotalCOGs">FinPNL!$E$983:$E$983</definedName>
    <definedName name="finPNLCh3Prod4Slot2TotalRev">FinPNL!$E$975:$E$975</definedName>
    <definedName name="finPNLCh3Prod4Slot2Turn">FinPNL!$E$970:$E$970</definedName>
    <definedName name="finPNLCh3Prod4Slot3DeprExp">FinPNL!$E$1009:$E$1009</definedName>
    <definedName name="finPNLCh3Prod4Slot3Discounts">FinPNL!$E$1001:$E$1001</definedName>
    <definedName name="finPNLCh3Prod4Slot3Excise">FinPNL!$E$999:$E$999</definedName>
    <definedName name="finPNLCh3Prod4Slot3GM">FinPNL!$E$1015:$E$1015</definedName>
    <definedName name="finPNLCh3Prod4Slot3GP">FinPNL!$E$1014:$E$1014</definedName>
    <definedName name="finPNLCh3Prod4Slot3GPaL">FinPNL!$E$1021:$E$1021</definedName>
    <definedName name="finPNLCh3Prod4Slot3GPaLMargin">FinPNL!$E$1022:$E$1022</definedName>
    <definedName name="finPNLCh3Prod4Slot3GrossSales">FinPNL!$E$1000:$E$1000</definedName>
    <definedName name="finPNLCh3Prod4Slot3LabourExp">FinPNL!$E$1007:$E$1007</definedName>
    <definedName name="finPNLCh3Prod4Slot3LogExp">FinPNL!$E$1018:$E$1018</definedName>
    <definedName name="finPNLCh3Prod4Slot3MachExp">FinPNL!$E$1008:$E$1008</definedName>
    <definedName name="finPNLCh3Prod4Slot3MatExp">FinPNL!$E$1006:$E$1006</definedName>
    <definedName name="finPNLCh3Prod4Slot3TotalCOGs">FinPNL!$E$1011:$E$1011</definedName>
    <definedName name="finPNLCh3Prod4Slot3TotalRev">FinPNL!$E$1003:$E$1003</definedName>
    <definedName name="finPNLCh3Prod4Slot3Turn">FinPNL!$E$998:$E$998</definedName>
    <definedName name="finPNLCh3Sales">FinPNL!$E$1700:$E$1700</definedName>
    <definedName name="finPNLCh3TMkt">FinPNL!$E$1701:$E$1701</definedName>
    <definedName name="finPNLCh3Turn">FinPNL!$E$1672:$E$1672</definedName>
    <definedName name="finPNLCh4BOverheadTot">FinPNL!$E$1739:$E$1739</definedName>
    <definedName name="finPNLCh4CostRev">FinPNL!$E$1722:$E$1722</definedName>
    <definedName name="finPNLCh4DepExp">FinPNL!$E$1720:$E$1720</definedName>
    <definedName name="finPNLCh4Discounts">FinPNL!$E$1712:$E$1712</definedName>
    <definedName name="finPNLCh4Excise">FinPNL!$E$1710:$E$1710</definedName>
    <definedName name="finPNLCh4GCC">FinPNL!$E$1741:$E$1741</definedName>
    <definedName name="finPNLCh4GCCMargin">FinPNL!$E$1742:$E$1742</definedName>
    <definedName name="finPNLCh4GM">FinPNL!$E$1726:$E$1726</definedName>
    <definedName name="finPNLCh4GPaL">FinPNL!$E$1733:$E$1733</definedName>
    <definedName name="finPNLCh4GPaLMargin">FinPNL!$E$1734:$E$1734</definedName>
    <definedName name="finPNLCh4GroProfit">FinPNL!$E$1725:$E$1725</definedName>
    <definedName name="finPNLCh4GrossSales">FinPNL!$E$1711:$E$1711</definedName>
    <definedName name="finPNLCh4LabExp">FinPNL!$E$1718:$E$1718</definedName>
    <definedName name="finPNLCh4LogExp">FinPNL!$E$1729:$E$1729</definedName>
    <definedName name="finPNLCh4LogExpPct">FinPNL!$E$1730:$E$1730</definedName>
    <definedName name="finPNLCh4MachExp">FinPNL!$E$1719:$E$1719</definedName>
    <definedName name="finPNLCh4MatExp">FinPNL!$E$1717:$E$1717</definedName>
    <definedName name="finPNLCh4NetRev">FinPNL!$E$1714:$E$1714</definedName>
    <definedName name="finPNLCh4Prod1Slot1DeprExp">FinPNL!$E$1038:$E$1038</definedName>
    <definedName name="finPNLCh4Prod1Slot1Discounts">FinPNL!$E$1030:$E$1030</definedName>
    <definedName name="finPNLCh4Prod1Slot1Excise">FinPNL!$E$1028:$E$1028</definedName>
    <definedName name="finPNLCh4Prod1Slot1GM">FinPNL!$E$1044:$E$1044</definedName>
    <definedName name="finPNLCh4Prod1Slot1GP">FinPNL!$E$1043:$E$1043</definedName>
    <definedName name="finPNLCh4Prod1Slot1GPaL">FinPNL!$E$1050:$E$1050</definedName>
    <definedName name="finPNLCh4Prod1Slot1GPaLMargin">FinPNL!$E$1051:$E$1051</definedName>
    <definedName name="finPNLCh4Prod1Slot1GrossSales">FinPNL!$E$1029:$E$1029</definedName>
    <definedName name="finPNLCh4Prod1Slot1LabourExp">FinPNL!$E$1036:$E$1036</definedName>
    <definedName name="finPNLCh4Prod1Slot1LogExp">FinPNL!$E$1047:$E$1047</definedName>
    <definedName name="finPNLCh4Prod1Slot1MachExp">FinPNL!$E$1037:$E$1037</definedName>
    <definedName name="finPNLCh4Prod1Slot1MatExp">FinPNL!$E$1035:$E$1035</definedName>
    <definedName name="finPNLCh4Prod1Slot1TotalCOGs">FinPNL!$E$1040:$E$1040</definedName>
    <definedName name="finPNLCh4Prod1Slot1TotalRev">FinPNL!$E$1032:$E$1032</definedName>
    <definedName name="finPNLCh4Prod1Slot1Turn">FinPNL!$E$1027:$E$1027</definedName>
    <definedName name="finPNLCh4Prod1Slot2DeprExp">FinPNL!$E$1066:$E$1066</definedName>
    <definedName name="finPNLCh4Prod1Slot2Discounts">FinPNL!$E$1058:$E$1058</definedName>
    <definedName name="finPNLCh4Prod1Slot2Excise">FinPNL!$E$1056:$E$1056</definedName>
    <definedName name="finPNLCh4Prod1Slot2GM">FinPNL!$E$1072:$E$1072</definedName>
    <definedName name="finPNLCh4Prod1Slot2GP">FinPNL!$E$1071:$E$1071</definedName>
    <definedName name="finPNLCh4Prod1Slot2GPaL">FinPNL!$E$1078:$E$1078</definedName>
    <definedName name="finPNLCh4Prod1Slot2GPaLMargin">FinPNL!$E$1079:$E$1079</definedName>
    <definedName name="finPNLCh4Prod1Slot2GrossSales">FinPNL!$E$1057:$E$1057</definedName>
    <definedName name="finPNLCh4Prod1Slot2LabourExp">FinPNL!$E$1064:$E$1064</definedName>
    <definedName name="finPNLCh4Prod1Slot2LogExp">FinPNL!$E$1075:$E$1075</definedName>
    <definedName name="finPNLCh4Prod1Slot2MachExp">FinPNL!$E$1065:$E$1065</definedName>
    <definedName name="finPNLCh4Prod1Slot2MatExp">FinPNL!$E$1063:$E$1063</definedName>
    <definedName name="finPNLCh4Prod1Slot2TotalCOGs">FinPNL!$E$1068:$E$1068</definedName>
    <definedName name="finPNLCh4Prod1Slot2TotalRev">FinPNL!$E$1060:$E$1060</definedName>
    <definedName name="finPNLCh4Prod1Slot2Turn">FinPNL!$E$1055:$E$1055</definedName>
    <definedName name="finPNLCh4Prod1Slot3DeprExp">FinPNL!$E$1094:$E$1094</definedName>
    <definedName name="finPNLCh4Prod1Slot3Discounts">FinPNL!$E$1086:$E$1086</definedName>
    <definedName name="finPNLCh4Prod1Slot3Excise">FinPNL!$E$1084:$E$1084</definedName>
    <definedName name="finPNLCh4Prod1Slot3GM">FinPNL!$E$1100:$E$1100</definedName>
    <definedName name="finPNLCh4Prod1Slot3GP">FinPNL!$E$1099:$E$1099</definedName>
    <definedName name="finPNLCh4Prod1Slot3GPaL">FinPNL!$E$1106:$E$1106</definedName>
    <definedName name="finPNLCh4Prod1Slot3GPaLMargin">FinPNL!$E$1107:$E$1107</definedName>
    <definedName name="finPNLCh4Prod1Slot3GrossSales">FinPNL!$E$1085:$E$1085</definedName>
    <definedName name="finPNLCh4Prod1Slot3LabourExp">FinPNL!$E$1092:$E$1092</definedName>
    <definedName name="finPNLCh4Prod1Slot3LogExp">FinPNL!$E$1103:$E$1103</definedName>
    <definedName name="finPNLCh4Prod1Slot3MachExp">FinPNL!$E$1093:$E$1093</definedName>
    <definedName name="finPNLCh4Prod1Slot3MatExp">FinPNL!$E$1091:$E$1091</definedName>
    <definedName name="finPNLCh4Prod1Slot3TotalCOGs">FinPNL!$E$1096:$E$1096</definedName>
    <definedName name="finPNLCh4Prod1Slot3TotalRev">FinPNL!$E$1088:$E$1088</definedName>
    <definedName name="finPNLCh4Prod1Slot3Turn">FinPNL!$E$1083:$E$1083</definedName>
    <definedName name="finPNLCh4Prod2Slot1DeprExp">FinPNL!$E$1123:$E$1123</definedName>
    <definedName name="finPNLCh4Prod2Slot1Discounts">FinPNL!$E$1115:$E$1115</definedName>
    <definedName name="finPNLCh4Prod2Slot1Excise">FinPNL!$E$1113:$E$1113</definedName>
    <definedName name="finPNLCh4Prod2Slot1GM">FinPNL!$E$1129:$E$1129</definedName>
    <definedName name="finPNLCh4Prod2Slot1GP">FinPNL!$E$1128:$E$1128</definedName>
    <definedName name="finPNLCh4Prod2Slot1GPaL">FinPNL!$E$1135:$E$1135</definedName>
    <definedName name="finPNLCh4Prod2Slot1GPaLMargin">FinPNL!$E$1136:$E$1136</definedName>
    <definedName name="finPNLCh4Prod2Slot1GrossSales">FinPNL!$E$1114:$E$1114</definedName>
    <definedName name="finPNLCh4Prod2Slot1LabourExp">FinPNL!$E$1121:$E$1121</definedName>
    <definedName name="finPNLCh4Prod2Slot1LogExp">FinPNL!$E$1132:$E$1132</definedName>
    <definedName name="finPNLCh4Prod2Slot1MachExp">FinPNL!$E$1122:$E$1122</definedName>
    <definedName name="finPNLCh4Prod2Slot1MatExp">FinPNL!$E$1120:$E$1120</definedName>
    <definedName name="finPNLCh4Prod2Slot1TotalCOGs">FinPNL!$E$1125:$E$1125</definedName>
    <definedName name="finPNLCh4Prod2Slot1TotalRev">FinPNL!$E$1117:$E$1117</definedName>
    <definedName name="finPNLCh4Prod2Slot1Turn">FinPNL!$E$1112:$E$1112</definedName>
    <definedName name="finPNLCh4Prod2Slot2DeprExp">FinPNL!$E$1151:$E$1151</definedName>
    <definedName name="finPNLCh4Prod2Slot2Discounts">FinPNL!$E$1143:$E$1143</definedName>
    <definedName name="finPNLCh4Prod2Slot2Excise">FinPNL!$E$1141:$E$1141</definedName>
    <definedName name="finPNLCh4Prod2Slot2GM">FinPNL!$E$1157:$E$1157</definedName>
    <definedName name="finPNLCh4Prod2Slot2GP">FinPNL!$E$1156:$E$1156</definedName>
    <definedName name="finPNLCh4Prod2Slot2GPaL">FinPNL!$E$1163:$E$1163</definedName>
    <definedName name="finPNLCh4Prod2Slot2GPaLMargin">FinPNL!$E$1164:$E$1164</definedName>
    <definedName name="finPNLCh4Prod2Slot2GrossSales">FinPNL!$E$1142:$E$1142</definedName>
    <definedName name="finPNLCh4Prod2Slot2LabourExp">FinPNL!$E$1149:$E$1149</definedName>
    <definedName name="finPNLCh4Prod2Slot2LogExp">FinPNL!$E$1160:$E$1160</definedName>
    <definedName name="finPNLCh4Prod2Slot2MachExp">FinPNL!$E$1150:$E$1150</definedName>
    <definedName name="finPNLCh4Prod2Slot2MatExp">FinPNL!$E$1148:$E$1148</definedName>
    <definedName name="finPNLCh4Prod2Slot2TotalCOGs">FinPNL!$E$1153:$E$1153</definedName>
    <definedName name="finPNLCh4Prod2Slot2TotalRev">FinPNL!$E$1145:$E$1145</definedName>
    <definedName name="finPNLCh4Prod2Slot2Turn">FinPNL!$E$1140:$E$1140</definedName>
    <definedName name="finPNLCh4Prod2Slot3DeprExp">FinPNL!$E$1179:$E$1179</definedName>
    <definedName name="finPNLCh4Prod2Slot3Discounts">FinPNL!$E$1171:$E$1171</definedName>
    <definedName name="finPNLCh4Prod2Slot3Excise">FinPNL!$E$1169:$E$1169</definedName>
    <definedName name="finPNLCh4Prod2Slot3GM">FinPNL!$E$1185:$E$1185</definedName>
    <definedName name="finPNLCh4Prod2Slot3GP">FinPNL!$E$1184:$E$1184</definedName>
    <definedName name="finPNLCh4Prod2Slot3GPaL">FinPNL!$E$1191:$E$1191</definedName>
    <definedName name="finPNLCh4Prod2Slot3GPaLMargin">FinPNL!$E$1192:$E$1192</definedName>
    <definedName name="finPNLCh4Prod2Slot3GrossSales">FinPNL!$E$1170:$E$1170</definedName>
    <definedName name="finPNLCh4Prod2Slot3LabourExp">FinPNL!$E$1177:$E$1177</definedName>
    <definedName name="finPNLCh4Prod2Slot3LogExp">FinPNL!$E$1188:$E$1188</definedName>
    <definedName name="finPNLCh4Prod2Slot3MachExp">FinPNL!$E$1178:$E$1178</definedName>
    <definedName name="finPNLCh4Prod2Slot3MatExp">FinPNL!$E$1176:$E$1176</definedName>
    <definedName name="finPNLCh4Prod2Slot3TotalCOGs">FinPNL!$E$1181:$E$1181</definedName>
    <definedName name="finPNLCh4Prod2Slot3TotalRev">FinPNL!$E$1173:$E$1173</definedName>
    <definedName name="finPNLCh4Prod2Slot3Turn">FinPNL!$E$1168:$E$1168</definedName>
    <definedName name="finPNLCh4Prod3Slot1DeprExp">FinPNL!$E$1208:$E$1208</definedName>
    <definedName name="finPNLCh4Prod3Slot1Discounts">FinPNL!$E$1200:$E$1200</definedName>
    <definedName name="finPNLCh4Prod3Slot1Excise">FinPNL!$E$1198:$E$1198</definedName>
    <definedName name="finPNLCh4Prod3Slot1GM">FinPNL!$E$1214:$E$1214</definedName>
    <definedName name="finPNLCh4Prod3Slot1GP">FinPNL!$E$1213:$E$1213</definedName>
    <definedName name="finPNLCh4Prod3Slot1GPaL">FinPNL!$E$1220:$E$1220</definedName>
    <definedName name="finPNLCh4Prod3Slot1GPaLMargin">FinPNL!$E$1221:$E$1221</definedName>
    <definedName name="finPNLCh4Prod3Slot1GrossSales">FinPNL!$E$1199:$E$1199</definedName>
    <definedName name="finPNLCh4Prod3Slot1LabourExp">FinPNL!$E$1206:$E$1206</definedName>
    <definedName name="finPNLCh4Prod3Slot1LogExp">FinPNL!$E$1217:$E$1217</definedName>
    <definedName name="finPNLCh4Prod3Slot1MachExp">FinPNL!$E$1207:$E$1207</definedName>
    <definedName name="finPNLCh4Prod3Slot1MatExp">FinPNL!$E$1205:$E$1205</definedName>
    <definedName name="finPNLCh4Prod3Slot1TotalCOGs">FinPNL!$E$1210:$E$1210</definedName>
    <definedName name="finPNLCh4Prod3Slot1TotalRev">FinPNL!$E$1202:$E$1202</definedName>
    <definedName name="finPNLCh4Prod3Slot1Turn">FinPNL!$E$1197:$E$1197</definedName>
    <definedName name="finPNLCh4Prod3Slot2DeprExp">FinPNL!$E$1236:$E$1236</definedName>
    <definedName name="finPNLCh4Prod3Slot2Discounts">FinPNL!$E$1228:$E$1228</definedName>
    <definedName name="finPNLCh4Prod3Slot2Excise">FinPNL!$E$1226:$E$1226</definedName>
    <definedName name="finPNLCh4Prod3Slot2GM">FinPNL!$E$1242:$E$1242</definedName>
    <definedName name="finPNLCh4Prod3Slot2GP">FinPNL!$E$1241:$E$1241</definedName>
    <definedName name="finPNLCh4Prod3Slot2GPaL">FinPNL!$E$1248:$E$1248</definedName>
    <definedName name="finPNLCh4Prod3Slot2GPaLMargin">FinPNL!$E$1249:$E$1249</definedName>
    <definedName name="finPNLCh4Prod3Slot2GrossSales">FinPNL!$E$1227:$E$1227</definedName>
    <definedName name="finPNLCh4Prod3Slot2LabourExp">FinPNL!$E$1234:$E$1234</definedName>
    <definedName name="finPNLCh4Prod3Slot2LogExp">FinPNL!$E$1245:$E$1245</definedName>
    <definedName name="finPNLCh4Prod3Slot2MachExp">FinPNL!$E$1235:$E$1235</definedName>
    <definedName name="finPNLCh4Prod3Slot2MatExp">FinPNL!$E$1233:$E$1233</definedName>
    <definedName name="finPNLCh4Prod3Slot2TotalCOGs">FinPNL!$E$1238:$E$1238</definedName>
    <definedName name="finPNLCh4Prod3Slot2TotalRev">FinPNL!$E$1230:$E$1230</definedName>
    <definedName name="finPNLCh4Prod3Slot2Turn">FinPNL!$E$1225:$E$1225</definedName>
    <definedName name="finPNLCh4Prod3Slot3DeprExp">FinPNL!$E$1264:$E$1264</definedName>
    <definedName name="finPNLCh4Prod3Slot3Discounts">FinPNL!$E$1256:$E$1256</definedName>
    <definedName name="finPNLCh4Prod3Slot3Excise">FinPNL!$E$1254:$E$1254</definedName>
    <definedName name="finPNLCh4Prod3Slot3GM">FinPNL!$E$1270:$E$1270</definedName>
    <definedName name="finPNLCh4Prod3Slot3GP">FinPNL!$E$1269:$E$1269</definedName>
    <definedName name="finPNLCh4Prod3Slot3GPaL">FinPNL!$E$1276:$E$1276</definedName>
    <definedName name="finPNLCh4Prod3Slot3GPaLMargin">FinPNL!$E$1277:$E$1277</definedName>
    <definedName name="finPNLCh4Prod3Slot3GrossSales">FinPNL!$E$1255:$E$1255</definedName>
    <definedName name="finPNLCh4Prod3Slot3LabourExp">FinPNL!$E$1262:$E$1262</definedName>
    <definedName name="finPNLCh4Prod3Slot3LogExp">FinPNL!$E$1273:$E$1273</definedName>
    <definedName name="finPNLCh4Prod3Slot3MachExp">FinPNL!$E$1263:$E$1263</definedName>
    <definedName name="finPNLCh4Prod3Slot3MatExp">FinPNL!$E$1261:$E$1261</definedName>
    <definedName name="finPNLCh4Prod3Slot3TotalCOGs">FinPNL!$E$1266:$E$1266</definedName>
    <definedName name="finPNLCh4Prod3Slot3TotalRev">FinPNL!$E$1258:$E$1258</definedName>
    <definedName name="finPNLCh4Prod3Slot3Turn">FinPNL!$E$1253:$E$1253</definedName>
    <definedName name="finPNLCh4Prod4Slot1DeprExp">FinPNL!$E$1293:$E$1293</definedName>
    <definedName name="finPNLCh4Prod4Slot1Discounts">FinPNL!$E$1285:$E$1285</definedName>
    <definedName name="finPNLCh4Prod4Slot1Excise">FinPNL!$E$1283:$E$1283</definedName>
    <definedName name="finPNLCh4Prod4Slot1GM">FinPNL!$E$1299:$E$1299</definedName>
    <definedName name="finPNLCh4Prod4Slot1GP">FinPNL!$E$1298:$E$1298</definedName>
    <definedName name="finPNLCh4Prod4Slot1GPaL">FinPNL!$E$1305:$E$1305</definedName>
    <definedName name="finPNLCh4Prod4Slot1GPaLMargin">FinPNL!$E$1306:$E$1306</definedName>
    <definedName name="finPNLCh4Prod4Slot1GrossSales">FinPNL!$E$1284:$E$1284</definedName>
    <definedName name="finPNLCh4Prod4Slot1LabourExp">FinPNL!$E$1291:$E$1291</definedName>
    <definedName name="finPNLCh4Prod4Slot1LogExp">FinPNL!$E$1302:$E$1302</definedName>
    <definedName name="finPNLCh4Prod4Slot1MachExp">FinPNL!$E$1292:$E$1292</definedName>
    <definedName name="finPNLCh4Prod4Slot1MatExp">FinPNL!$E$1290:$E$1290</definedName>
    <definedName name="finPNLCh4Prod4Slot1TotalCOGs">FinPNL!$E$1295:$E$1295</definedName>
    <definedName name="finPNLCh4Prod4Slot1TotalRev">FinPNL!$E$1287:$E$1287</definedName>
    <definedName name="finPNLCh4Prod4Slot1Turn">FinPNL!$E$1282:$E$1282</definedName>
    <definedName name="finPNLCh4Prod4Slot2DeprExp">FinPNL!$E$1321:$E$1321</definedName>
    <definedName name="finPNLCh4Prod4Slot2Discounts">FinPNL!$E$1313:$E$1313</definedName>
    <definedName name="finPNLCh4Prod4Slot2Excise">FinPNL!$E$1311:$E$1311</definedName>
    <definedName name="finPNLCh4Prod4Slot2GM">FinPNL!$E$1327:$E$1327</definedName>
    <definedName name="finPNLCh4Prod4Slot2GP">FinPNL!$E$1326:$E$1326</definedName>
    <definedName name="finPNLCh4Prod4Slot2GPaL">FinPNL!$E$1333:$E$1333</definedName>
    <definedName name="finPNLCh4Prod4Slot2GPaLMargin">FinPNL!$E$1334:$E$1334</definedName>
    <definedName name="finPNLCh4Prod4Slot2GrossSales">FinPNL!$E$1312:$E$1312</definedName>
    <definedName name="finPNLCh4Prod4Slot2LabourExp">FinPNL!$E$1319:$E$1319</definedName>
    <definedName name="finPNLCh4Prod4Slot2LogExp">FinPNL!$E$1330:$E$1330</definedName>
    <definedName name="finPNLCh4Prod4Slot2MachExp">FinPNL!$E$1320:$E$1320</definedName>
    <definedName name="finPNLCh4Prod4Slot2MatExp">FinPNL!$E$1318:$E$1318</definedName>
    <definedName name="finPNLCh4Prod4Slot2TotalCOGs">FinPNL!$E$1323:$E$1323</definedName>
    <definedName name="finPNLCh4Prod4Slot2TotalRev">FinPNL!$E$1315:$E$1315</definedName>
    <definedName name="finPNLCh4Prod4Slot2Turn">FinPNL!$E$1310:$E$1310</definedName>
    <definedName name="finPNLCh4Prod4Slot3DeprExp">FinPNL!$E$1349:$E$1349</definedName>
    <definedName name="finPNLCh4Prod4Slot3Discounts">FinPNL!$E$1341:$E$1341</definedName>
    <definedName name="finPNLCh4Prod4Slot3Excise">FinPNL!$E$1339:$E$1339</definedName>
    <definedName name="finPNLCh4Prod4Slot3GM">FinPNL!$E$1355:$E$1355</definedName>
    <definedName name="finPNLCh4Prod4Slot3GP">FinPNL!$E$1354:$E$1354</definedName>
    <definedName name="finPNLCh4Prod4Slot3GPaL">FinPNL!$E$1361:$E$1361</definedName>
    <definedName name="finPNLCh4Prod4Slot3GPaLMargin">FinPNL!$E$1362:$E$1362</definedName>
    <definedName name="finPNLCh4Prod4Slot3GrossSales">FinPNL!$E$1340:$E$1340</definedName>
    <definedName name="finPNLCh4Prod4Slot3LabourExp">FinPNL!$E$1347:$E$1347</definedName>
    <definedName name="finPNLCh4Prod4Slot3LogExp">FinPNL!$E$1358:$E$1358</definedName>
    <definedName name="finPNLCh4Prod4Slot3MachExp">FinPNL!$E$1348:$E$1348</definedName>
    <definedName name="finPNLCh4Prod4Slot3MatExp">FinPNL!$E$1346:$E$1346</definedName>
    <definedName name="finPNLCh4Prod4Slot3TotalCOGs">FinPNL!$E$1351:$E$1351</definedName>
    <definedName name="finPNLCh4Prod4Slot3TotalRev">FinPNL!$E$1343:$E$1343</definedName>
    <definedName name="finPNLCh4Prod4Slot3Turn">FinPNL!$E$1338:$E$1338</definedName>
    <definedName name="finPNLCh4Sales">FinPNL!$E$1736:$E$1736</definedName>
    <definedName name="finPNLCh4TMkt">FinPNL!$E$1737:$E$1737</definedName>
    <definedName name="finPNLCh4Turn">FinPNL!$E$1709:$E$1709</definedName>
    <definedName name="finPNLCostRevTot">FinPNL!$E$1380:$E$1380</definedName>
    <definedName name="finPNLCTaxTot">FinPNL!$E$1438:$E$1438</definedName>
    <definedName name="finPNLDepExpTot">FinPNL!$E$1378:$E$1378</definedName>
    <definedName name="finPNLDiscountsTot">FinPNL!$E$1370:$E$1370</definedName>
    <definedName name="finPNLEbitMarginTot">FinPNL!$E$1426:$E$1426</definedName>
    <definedName name="finPNLEbitTot">FinPNL!$E$1425:$E$1425</definedName>
    <definedName name="finPNLEbtTot">FinPNL!$E$1435:$E$1435</definedName>
    <definedName name="finPNLExciseTot">FinPNL!$E$1368:$E$1368</definedName>
    <definedName name="finPNLFinNetTot">FinPNL!$E$1432:$E$1432</definedName>
    <definedName name="finPNLFixBMktExp">FinPNL!$E$1407:$E$1407</definedName>
    <definedName name="finPNLFixRnDExp">FinPNL!$E$1413:$E$1413</definedName>
    <definedName name="finPNLFixSalesExp">FinPNL!$E$1395:$E$1395</definedName>
    <definedName name="finPNLFixTMktExp">FinPNL!$E$1401:$E$1401</definedName>
    <definedName name="finPNLGnAdminExp">FinPNL!$E$1420:$E$1420</definedName>
    <definedName name="finPNLGPaLMarginTot">FinPNL!$E$1391:$E$1391</definedName>
    <definedName name="finPNLGPaLTot">FinPNL!$E$1390:$E$1390</definedName>
    <definedName name="finPNLGroProfitTot">FinPNL!$E$1383:$E$1383</definedName>
    <definedName name="finPNLGrossSalesTot">FinPNL!$E$1369:$E$1369</definedName>
    <definedName name="finPNLLabExpTot">FinPNL!$E$1376:$E$1376</definedName>
    <definedName name="finPNLLogExpTot">FinPNL!$E$1387:$E$1387</definedName>
    <definedName name="finPNLMachExpTot">FinPNL!$E$1377:$E$1377</definedName>
    <definedName name="finPNLMatExpTot">FinPNL!$E$1375:$E$1375</definedName>
    <definedName name="finPNLNetIncTot">FinPNL!$E$1441:$E$1441</definedName>
    <definedName name="finPNLNetRevTot">FinPNL!$E$1372:$E$1372</definedName>
    <definedName name="finPNLOverheadExpTot">FinPNL!$E$1422:$E$1422</definedName>
    <definedName name="finPNLProd1BMkt">FinPNL!$E$1476:$E$1476</definedName>
    <definedName name="finPNLProd1CostRev">FinPNL!$E$1460:$E$1460</definedName>
    <definedName name="finPNLProd1DepExp">FinPNL!$E$1458:$E$1458</definedName>
    <definedName name="finPNLProd1Discounts">FinPNL!$E$1450:$E$1450</definedName>
    <definedName name="finPNLProd1Excise">FinPNL!$E$1448:$E$1448</definedName>
    <definedName name="finPNLProd1GBC">FinPNL!$E$1480:$E$1480</definedName>
    <definedName name="finPNLProd1GBCMargin">FinPNL!$E$1481:$E$1481</definedName>
    <definedName name="finPNLProd1GM">FinPNL!$E$1464:$E$1464</definedName>
    <definedName name="finPNLProd1GPaL">FinPNL!$E$1471:$E$1471</definedName>
    <definedName name="finPNLProd1GPaLMargin">FinPNL!$E$1472:$E$1472</definedName>
    <definedName name="finPNLProd1GroProfit">FinPNL!$E$1463:$E$1463</definedName>
    <definedName name="finPNLProd1GrossSales">FinPNL!$E$1449:$E$1449</definedName>
    <definedName name="finPNLProd1LabExp">FinPNL!$E$1456:$E$1456</definedName>
    <definedName name="finPNLProd1LogExp">FinPNL!$E$1467:$E$1467</definedName>
    <definedName name="finPNLProd1LogExpPct">FinPNL!$E$1468:$E$1468</definedName>
    <definedName name="finPNLProd1MachExp">FinPNL!$E$1457:$E$1457</definedName>
    <definedName name="finPNLProd1MatExp">FinPNL!$E$1455:$E$1455</definedName>
    <definedName name="finPNLProd1NetRev">FinPNL!$E$1452:$E$1452</definedName>
    <definedName name="finPNLProd1OverheadTot">FinPNL!$E$1478:$E$1478</definedName>
    <definedName name="finPNLProd1TMkt">FinPNL!$E$1475:$E$1475</definedName>
    <definedName name="finPNLProd1Turn">FinPNL!$E$1447:$E$1447</definedName>
    <definedName name="finPNLProd2BMkt">FinPNL!$E$1513:$E$1513</definedName>
    <definedName name="finPNLProd2CostRev">FinPNL!$E$1497:$E$1497</definedName>
    <definedName name="finPNLProd2DepExp">FinPNL!$E$1495:$E$1495</definedName>
    <definedName name="finPNLProd2Discounts">FinPNL!$E$1487:$E$1487</definedName>
    <definedName name="finPNLProd2Excise">FinPNL!$E$1485:$E$1485</definedName>
    <definedName name="finPNLProd2GBC">FinPNL!$E$1517:$E$1517</definedName>
    <definedName name="finPNLProd2GBCMargin">FinPNL!$E$1518:$E$1518</definedName>
    <definedName name="finPNLProd2GM">FinPNL!$E$1501:$E$1501</definedName>
    <definedName name="finPNLProd2GPaL">FinPNL!$E$1508:$E$1508</definedName>
    <definedName name="finPNLProd2GPaLMargin">FinPNL!$E$1509:$E$1509</definedName>
    <definedName name="finPNLProd2GroProfit">FinPNL!$E$1500:$E$1500</definedName>
    <definedName name="finPNLProd2GrossSales">FinPNL!$E$1486:$E$1486</definedName>
    <definedName name="finPNLProd2LabExp">FinPNL!$E$1493:$E$1493</definedName>
    <definedName name="finPNLProd2LogExp">FinPNL!$E$1504:$E$1504</definedName>
    <definedName name="finPNLProd2LogExpPct">FinPNL!$E$1505:$E$1505</definedName>
    <definedName name="finPNLProd2MachExp">FinPNL!$E$1494:$E$1494</definedName>
    <definedName name="finPNLProd2MatExp">FinPNL!$E$1492:$E$1492</definedName>
    <definedName name="finPNLProd2NetRev">FinPNL!$E$1489:$E$1489</definedName>
    <definedName name="finPNLProd2OverheadTot">FinPNL!$E$1515:$E$1515</definedName>
    <definedName name="finPNLProd2TMkt">FinPNL!$E$1512:$E$1512</definedName>
    <definedName name="finPNLProd2Turn">FinPNL!$E$1484:$E$1484</definedName>
    <definedName name="finPNLProd3BMkt">FinPNL!$E$1550:$E$1550</definedName>
    <definedName name="finPNLProd3CostRev">FinPNL!$E$1534:$E$1534</definedName>
    <definedName name="finPNLProd3DepExp">FinPNL!$E$1532:$E$1532</definedName>
    <definedName name="finPNLProd3Discounts">FinPNL!$E$1524:$E$1524</definedName>
    <definedName name="finPNLProd3Excise">FinPNL!$E$1522:$E$1522</definedName>
    <definedName name="finPNLProd3GBC">FinPNL!$E$1554:$E$1554</definedName>
    <definedName name="finPNLProd3GBCMargin">FinPNL!$E$1555:$E$1555</definedName>
    <definedName name="finPNLProd3GM">FinPNL!$E$1538:$E$1538</definedName>
    <definedName name="finPNLProd3GPaL">FinPNL!$E$1545:$E$1545</definedName>
    <definedName name="finPNLProd3GPaLMargin">FinPNL!$E$1546:$E$1546</definedName>
    <definedName name="finPNLProd3GroProfit">FinPNL!$E$1537:$E$1537</definedName>
    <definedName name="finPNLProd3GrossSales">FinPNL!$E$1523:$E$1523</definedName>
    <definedName name="finPNLProd3LabExp">FinPNL!$E$1530:$E$1530</definedName>
    <definedName name="finPNLProd3LogExp">FinPNL!$E$1541:$E$1541</definedName>
    <definedName name="finPNLProd3LogExpPct">FinPNL!$E$1542:$E$1542</definedName>
    <definedName name="finPNLProd3MachExp">FinPNL!$E$1531:$E$1531</definedName>
    <definedName name="finPNLProd3MatExp">FinPNL!$E$1529:$E$1529</definedName>
    <definedName name="finPNLProd3NetRev">FinPNL!$E$1526:$E$1526</definedName>
    <definedName name="finPNLProd3OverheadTot">FinPNL!$E$1552:$E$1552</definedName>
    <definedName name="finPNLProd3TMkt">FinPNL!$E$1549:$E$1549</definedName>
    <definedName name="finPNLProd3Turn">FinPNL!$E$1521:$E$1521</definedName>
    <definedName name="finPNLProd4BMkt">FinPNL!$E$1587:$E$1587</definedName>
    <definedName name="finPNLProd4CostRev">FinPNL!$E$1571:$E$1571</definedName>
    <definedName name="finPNLProd4DepExp">FinPNL!$E$1569:$E$1569</definedName>
    <definedName name="finPNLProd4Discounts">FinPNL!$E$1561:$E$1561</definedName>
    <definedName name="finPNLProd4Excise">FinPNL!$E$1559:$E$1559</definedName>
    <definedName name="finPNLProd4GBC">FinPNL!$E$1591:$E$1591</definedName>
    <definedName name="finPNLProd4GBCMargin">FinPNL!$E$1592:$E$1592</definedName>
    <definedName name="finPNLProd4GM">FinPNL!$E$1575:$E$1575</definedName>
    <definedName name="finPNLProd4GPaL">FinPNL!$E$1582:$E$1582</definedName>
    <definedName name="finPNLProd4GPaLMargin">FinPNL!$E$1583:$E$1583</definedName>
    <definedName name="finPNLProd4GroProfit">FinPNL!$E$1574:$E$1574</definedName>
    <definedName name="finPNLProd4GrossSales">FinPNL!$E$1560:$E$1560</definedName>
    <definedName name="finPNLProd4LabExp">FinPNL!$E$1567:$E$1567</definedName>
    <definedName name="finPNLProd4LogExp">FinPNL!$E$1578:$E$1578</definedName>
    <definedName name="finPNLProd4LogExpPct">FinPNL!$E$1579:$E$1579</definedName>
    <definedName name="finPNLProd4MachExp">FinPNL!$E$1568:$E$1568</definedName>
    <definedName name="finPNLProd4MatExp">FinPNL!$E$1566:$E$1566</definedName>
    <definedName name="finPNLProd4NetRev">FinPNL!$E$1563:$E$1563</definedName>
    <definedName name="finPNLProd4OverheadTot">FinPNL!$E$1589:$E$1589</definedName>
    <definedName name="finPNLProd4TMkt">FinPNL!$E$1586:$E$1586</definedName>
    <definedName name="finPNLProd4Turn">FinPNL!$E$1558:$E$1558</definedName>
    <definedName name="finPNLRnDExpTot">FinPNL!$E$1416:$E$1416</definedName>
    <definedName name="finPNLSalesExpTot">FinPNL!$E$1398:$E$1398</definedName>
    <definedName name="finPNLTMktExpTot">FinPNL!$E$1404:$E$1404</definedName>
    <definedName name="finPNLTurnTot">FinPNL!$E$1367:$E$1367</definedName>
    <definedName name="finPNLVarBMktExp">FinPNL!$E$1408:$E$1408</definedName>
    <definedName name="finPNLVarRnDExp">FinPNL!$E$1414:$E$1414</definedName>
    <definedName name="finPNLVarSalesExp">FinPNL!$E$1396:$E$1396</definedName>
    <definedName name="finPNLVarTMktExp">FinPNL!$E$1402:$E$1402</definedName>
    <definedName name="glossary_Language">Controls!$D$13</definedName>
    <definedName name="HideRows">tlIntro!$T$13:$T$17</definedName>
    <definedName name="hood_OnHoodCloseGoTo">Controls!$D$31</definedName>
    <definedName name="hood_ToolPrefix">Controls!$D$49</definedName>
    <definedName name="Image">INDIRECT(dataRevealImageSource)</definedName>
    <definedName name="nmCh1">Glossary!$D$34</definedName>
    <definedName name="nmCh2">Glossary!$D$35</definedName>
    <definedName name="nmCh3">Glossary!$D$36</definedName>
    <definedName name="nmCh4">Glossary!$D$37</definedName>
    <definedName name="nmCOGS">Glossary!$D$47</definedName>
    <definedName name="nmEmp1">Glossary!$D$27</definedName>
    <definedName name="nmForecast">Glossary!$D$39</definedName>
    <definedName name="nmGrossMargin">Glossary!$D$49</definedName>
    <definedName name="nmGrossProfit">Glossary!$D$48</definedName>
    <definedName name="nmInitiatives">Glossary!$D$43</definedName>
    <definedName name="nmMarketing">Glossary!$D$41</definedName>
    <definedName name="nmMillion">Glossary!$D$17</definedName>
    <definedName name="nmPack1">Glossary!$D$51</definedName>
    <definedName name="nmPack10">Glossary!$D$60</definedName>
    <definedName name="nmPack11">Glossary!$D$61</definedName>
    <definedName name="nmPack12">Glossary!$D$62</definedName>
    <definedName name="nmPack13">Glossary!$D$63</definedName>
    <definedName name="nmPack14">Glossary!$D$64</definedName>
    <definedName name="nmPack15">Glossary!$D$65</definedName>
    <definedName name="nmPack16">Glossary!$D$66</definedName>
    <definedName name="nmPack17">Glossary!$D$67</definedName>
    <definedName name="nmPack18">Glossary!$D$68</definedName>
    <definedName name="nmPack19">Glossary!$D$69</definedName>
    <definedName name="nmPack2">Glossary!$D$52</definedName>
    <definedName name="nmPack20">Glossary!$D$70</definedName>
    <definedName name="nmPack21">Glossary!$D$71</definedName>
    <definedName name="nmPack22">Glossary!$D$72</definedName>
    <definedName name="nmPack23">Glossary!$D$73</definedName>
    <definedName name="nmPack24">Glossary!$D$74</definedName>
    <definedName name="nmPack25">Glossary!$D$75</definedName>
    <definedName name="nmPack26">Glossary!$D$76</definedName>
    <definedName name="nmPack27">Glossary!$D$77</definedName>
    <definedName name="nmPack28">Glossary!$D$78</definedName>
    <definedName name="nmPack29">Glossary!$D$79</definedName>
    <definedName name="nmPack3">Glossary!$D$53</definedName>
    <definedName name="nmPack30">Glossary!$D$80</definedName>
    <definedName name="nmPack4">Glossary!$D$54</definedName>
    <definedName name="nmPack5">Glossary!$D$55</definedName>
    <definedName name="nmPack6">Glossary!$D$56</definedName>
    <definedName name="nmPack7">Glossary!$D$57</definedName>
    <definedName name="nmPack8">Glossary!$D$58</definedName>
    <definedName name="nmPack9">Glossary!$D$59</definedName>
    <definedName name="nmPlant1">Glossary!$D$25</definedName>
    <definedName name="nmPrice">Glossary!$D$40</definedName>
    <definedName name="nmProd1">Glossary!$D$19</definedName>
    <definedName name="nmProd2">Glossary!$D$20</definedName>
    <definedName name="nmProd23">Glossary!$D$23</definedName>
    <definedName name="nmProd3">Glossary!$D$21</definedName>
    <definedName name="nmProd4">Glossary!$D$22</definedName>
    <definedName name="nmProgramSubtitle">Glossary!$D$11</definedName>
    <definedName name="nmProgramTitle">Glossary!$D$10</definedName>
    <definedName name="nmRevenue">Glossary!$D$46</definedName>
    <definedName name="nmRound">Glossary!$D$14</definedName>
    <definedName name="nmSeg1">Glossary!$D$29</definedName>
    <definedName name="nmSeg2">Glossary!$D$30</definedName>
    <definedName name="nmSeg3">Glossary!$D$31</definedName>
    <definedName name="nmSeg4">Glossary!$D$32</definedName>
    <definedName name="nmSi">Glossary!$D$15</definedName>
    <definedName name="nmTeamName">Glossary!$D$12</definedName>
    <definedName name="nmTeamNumber">Glossary!$D$13</definedName>
    <definedName name="nmValDriv1">Glossary!$D$82</definedName>
    <definedName name="nmValDriv2">Glossary!$D$83</definedName>
    <definedName name="nmValDriv3">Glossary!$D$84</definedName>
    <definedName name="nmValDriv4">Glossary!$D$85</definedName>
    <definedName name="nmValDriv5">Glossary!$D$86</definedName>
    <definedName name="nmValDrivCond">Glossary!$D$87</definedName>
    <definedName name="obal_End">Obal!$E$1306</definedName>
    <definedName name="obal_paste" localSheetId="28">Obal!$E$3:$E$3</definedName>
    <definedName name="obal_Paste">FinBSOpen!$E$3</definedName>
    <definedName name="obalAP">FinBSOpen!$E$34</definedName>
    <definedName name="obalAssets">FinBSOpen!$E$29</definedName>
    <definedName name="obalCash">FinBSOpen!$E$14</definedName>
    <definedName name="obalCh1CustomerProfitTot">Obal!$E$321:$E$321</definedName>
    <definedName name="obalCh1GCCTot">Obal!$E$314:$E$314</definedName>
    <definedName name="obalCh1GPaLTot">Obal!$E$307:$E$307</definedName>
    <definedName name="obalCh1Prod1Slot1Active">Obal!$E$110:$E$110</definedName>
    <definedName name="obalCh1Prod1Slot1AvgPrice">Obal!$E$339:$E$339</definedName>
    <definedName name="obalCh1Prod1Slot1AvgPromoPrice">Obal!$E$340:$E$340</definedName>
    <definedName name="obalCh1Prod1Slot1COGS">Obal!$E$353:$E$353</definedName>
    <definedName name="obalCh1Prod1Slot1COGSpL">Obal!$E$354:$E$354</definedName>
    <definedName name="obalCh1Prod1Slot1CustPrice">Obal!$E$336:$E$336</definedName>
    <definedName name="obalCh1Prod1Slot1GPaL">Obal!$E$332:$E$332</definedName>
    <definedName name="obalCh1Prod1Slot1GPaLPerLitre">Obal!$E$335:$E$335</definedName>
    <definedName name="obalCh1Prod1Slot1NetRev">Obal!$E$331:$E$331</definedName>
    <definedName name="obalCh1Prod1Slot1NetRevPerLtr">Obal!$E$334:$E$334</definedName>
    <definedName name="obalCh1Prod1Slot1Pack">Obal!$E$341:$E$341</definedName>
    <definedName name="obalCh1Prod1Slot1Promo1">Obal!$E$241:$E$241</definedName>
    <definedName name="obalCh1Prod1Slot1Promo1CustUplift">Obal!$E$351:$E$351</definedName>
    <definedName name="obalCh1Prod1Slot1Promo1GPaLUplift">Obal!$E$347:$E$347</definedName>
    <definedName name="obalCh1Prod1Slot1Promo1Price">Obal!$E$337:$E$337</definedName>
    <definedName name="obalCh1Prod1Slot1Promo1ROI">Obal!$E$344:$E$344</definedName>
    <definedName name="obalCh1Prod1Slot1Promo1Share">Obal!$E$342:$E$342</definedName>
    <definedName name="obalCh1Prod1Slot1Promo1VolUplift">Obal!$E$349:$E$349</definedName>
    <definedName name="obalCh1Prod1Slot1Promo1Weeks">Obal!$E$1243:$E$1243</definedName>
    <definedName name="obalCh1Prod1Slot1Promo2">Obal!$E$242:$E$242</definedName>
    <definedName name="obalCh1Prod1Slot1Promo2CustUplift">Obal!$E$352:$E$352</definedName>
    <definedName name="obalCh1Prod1Slot1Promo2GPaLUplift">Obal!$E$348:$E$348</definedName>
    <definedName name="obalCh1Prod1Slot1Promo2Price">Obal!$E$338:$E$338</definedName>
    <definedName name="obalCh1Prod1Slot1Promo2ROI">Obal!$E$345:$E$345</definedName>
    <definedName name="obalCh1Prod1Slot1Promo2Share">Obal!$E$343:$E$343</definedName>
    <definedName name="obalCh1Prod1Slot1Promo2VolUplift">Obal!$E$350:$E$350</definedName>
    <definedName name="obalCh1Prod1Slot1Promo2Weeks">Obal!$E$1244:$E$1244</definedName>
    <definedName name="obalCh1Prod1Slot1SoldVol">Obal!$E$333:$E$333</definedName>
    <definedName name="obalCh1Prod1Slot1WD">Obal!$E$346:$E$346</definedName>
    <definedName name="obalCh1Prod1Slot2Active">Obal!$E$111:$E$111</definedName>
    <definedName name="obalCh1Prod1Slot2AvgPrice">Obal!$E$364:$E$364</definedName>
    <definedName name="obalCh1Prod1Slot2AvgPromoPrice">Obal!$E$365:$E$365</definedName>
    <definedName name="obalCh1Prod1Slot2COGS">Obal!$E$378:$E$378</definedName>
    <definedName name="obalCh1Prod1Slot2COGSpL">Obal!$E$379:$E$379</definedName>
    <definedName name="obalCh1Prod1Slot2CustPrice">Obal!$E$361:$E$361</definedName>
    <definedName name="obalCh1Prod1Slot2GPaL">Obal!$E$357:$E$357</definedName>
    <definedName name="obalCh1Prod1Slot2GPaLPerLitre">Obal!$E$360:$E$360</definedName>
    <definedName name="obalCh1Prod1Slot2NetRev">Obal!$E$356:$E$356</definedName>
    <definedName name="obalCh1Prod1Slot2NetRevPerLtr">Obal!$E$359:$E$359</definedName>
    <definedName name="obalCh1Prod1Slot2Pack">Obal!$E$366:$E$366</definedName>
    <definedName name="obalCh1Prod1Slot2Promo1">Obal!$E$243:$E$243</definedName>
    <definedName name="obalCh1Prod1Slot2Promo1CustUplift">Obal!$E$376:$E$376</definedName>
    <definedName name="obalCh1Prod1Slot2Promo1GPaLUplift">Obal!$E$372:$E$372</definedName>
    <definedName name="obalCh1Prod1Slot2Promo1Price">Obal!$E$362:$E$362</definedName>
    <definedName name="obalCh1Prod1Slot2Promo1ROI">Obal!$E$369:$E$369</definedName>
    <definedName name="obalCh1Prod1Slot2Promo1Share">Obal!$E$367:$E$367</definedName>
    <definedName name="obalCh1Prod1Slot2Promo1VolUplift">Obal!$E$374:$E$374</definedName>
    <definedName name="obalCh1Prod1Slot2Promo1Weeks">Obal!$E$1245:$E$1245</definedName>
    <definedName name="obalCh1Prod1Slot2Promo2">Obal!$E$244:$E$244</definedName>
    <definedName name="obalCh1Prod1Slot2Promo2CustUplift">Obal!$E$377:$E$377</definedName>
    <definedName name="obalCh1Prod1Slot2Promo2GPaLUplift">Obal!$E$373:$E$373</definedName>
    <definedName name="obalCh1Prod1Slot2Promo2Price">Obal!$E$363:$E$363</definedName>
    <definedName name="obalCh1Prod1Slot2Promo2ROI">Obal!$E$370:$E$370</definedName>
    <definedName name="obalCh1Prod1Slot2Promo2Share">Obal!$E$368:$E$368</definedName>
    <definedName name="obalCh1Prod1Slot2Promo2VolUplift">Obal!$E$375:$E$375</definedName>
    <definedName name="obalCh1Prod1Slot2Promo2Weeks">Obal!$E$1246:$E$1246</definedName>
    <definedName name="obalCh1Prod1Slot2SoldVol">Obal!$E$358:$E$358</definedName>
    <definedName name="obalCh1Prod1Slot2WD">Obal!$E$371:$E$371</definedName>
    <definedName name="obalCh1Prod1Slot3Active">Obal!$E$112:$E$112</definedName>
    <definedName name="obalCh1Prod1Slot3AvgPrice">Obal!$E$389:$E$389</definedName>
    <definedName name="obalCh1Prod1Slot3AvgPromoPrice">Obal!$E$390:$E$390</definedName>
    <definedName name="obalCh1Prod1Slot3COGS">Obal!$E$403:$E$403</definedName>
    <definedName name="obalCh1Prod1Slot3COGSpL">Obal!$E$404:$E$404</definedName>
    <definedName name="obalCh1Prod1Slot3CustPrice">Obal!$E$386:$E$386</definedName>
    <definedName name="obalCh1Prod1Slot3GPaL">Obal!$E$382:$E$382</definedName>
    <definedName name="obalCh1Prod1Slot3GPaLPerLitre">Obal!$E$385:$E$385</definedName>
    <definedName name="obalCh1Prod1Slot3NetRev">Obal!$E$381:$E$381</definedName>
    <definedName name="obalCh1Prod1Slot3NetRevPerLtr">Obal!$E$384:$E$384</definedName>
    <definedName name="obalCh1Prod1Slot3Pack">Obal!$E$391:$E$391</definedName>
    <definedName name="obalCh1Prod1Slot3Promo1">Obal!$E$245:$E$245</definedName>
    <definedName name="obalCh1Prod1Slot3Promo1CustUplift">Obal!$E$401:$E$401</definedName>
    <definedName name="obalCh1Prod1Slot3Promo1GPaLUplift">Obal!$E$397:$E$397</definedName>
    <definedName name="obalCh1Prod1Slot3Promo1Price">Obal!$E$387:$E$387</definedName>
    <definedName name="obalCh1Prod1Slot3Promo1ROI">Obal!$E$394:$E$394</definedName>
    <definedName name="obalCh1Prod1Slot3Promo1Share">Obal!$E$392:$E$392</definedName>
    <definedName name="obalCh1Prod1Slot3Promo1VolUplift">Obal!$E$399:$E$399</definedName>
    <definedName name="obalCh1Prod1Slot3Promo1Weeks">Obal!$E$1247:$E$1247</definedName>
    <definedName name="obalCh1Prod1Slot3Promo2">Obal!$E$246:$E$246</definedName>
    <definedName name="obalCh1Prod1Slot3Promo2CustUplift">Obal!$E$402:$E$402</definedName>
    <definedName name="obalCh1Prod1Slot3Promo2GPaLUplift">Obal!$E$398:$E$398</definedName>
    <definedName name="obalCh1Prod1Slot3Promo2Price">Obal!$E$388:$E$388</definedName>
    <definedName name="obalCh1Prod1Slot3Promo2ROI">Obal!$E$395:$E$395</definedName>
    <definedName name="obalCh1Prod1Slot3Promo2Share">Obal!$E$393:$E$393</definedName>
    <definedName name="obalCh1Prod1Slot3Promo2VolUplift">Obal!$E$400:$E$400</definedName>
    <definedName name="obalCh1Prod1Slot3Promo2Weeks">Obal!$E$1248:$E$1248</definedName>
    <definedName name="obalCh1Prod1Slot3SoldVol">Obal!$E$383:$E$383</definedName>
    <definedName name="obalCh1Prod1Slot3WD">Obal!$E$396:$E$396</definedName>
    <definedName name="obalCh1Prod1SlotTotActive">Obal!$E$114:$E$114</definedName>
    <definedName name="obalCh1Prod2Slot1Active">Obal!$E$117:$E$117</definedName>
    <definedName name="obalCh1Prod2Slot1AvgPrice">Obal!$E$416:$E$416</definedName>
    <definedName name="obalCh1Prod2Slot1AvgPromoPrice">Obal!$E$417:$E$417</definedName>
    <definedName name="obalCh1Prod2Slot1COGS">Obal!$E$430:$E$430</definedName>
    <definedName name="obalCh1Prod2Slot1COGSpL">Obal!$E$431:$E$431</definedName>
    <definedName name="obalCh1Prod2Slot1CustPrice">Obal!$E$413:$E$413</definedName>
    <definedName name="obalCh1Prod2Slot1GPaL">Obal!$E$409:$E$409</definedName>
    <definedName name="obalCh1Prod2Slot1GPaLPerLitre">Obal!$E$412:$E$412</definedName>
    <definedName name="obalCh1Prod2Slot1NetRev">Obal!$E$408:$E$408</definedName>
    <definedName name="obalCh1Prod2Slot1NetRevPerLtr">Obal!$E$411:$E$411</definedName>
    <definedName name="obalCh1Prod2Slot1Pack">Obal!$E$418:$E$418</definedName>
    <definedName name="obalCh1Prod2Slot1Promo1">Obal!$E$247:$E$247</definedName>
    <definedName name="obalCh1Prod2Slot1Promo1CustUplift">Obal!$E$428:$E$428</definedName>
    <definedName name="obalCh1Prod2Slot1Promo1GPaLUplift">Obal!$E$424:$E$424</definedName>
    <definedName name="obalCh1Prod2Slot1Promo1Price">Obal!$E$414:$E$414</definedName>
    <definedName name="obalCh1Prod2Slot1Promo1ROI">Obal!$E$421:$E$421</definedName>
    <definedName name="obalCh1Prod2Slot1Promo1Share">Obal!$E$419:$E$419</definedName>
    <definedName name="obalCh1Prod2Slot1Promo1VolUplift">Obal!$E$426:$E$426</definedName>
    <definedName name="obalCh1Prod2Slot1Promo1Weeks">Obal!$E$1250:$E$1250</definedName>
    <definedName name="obalCh1Prod2Slot1Promo2">Obal!$E$248:$E$248</definedName>
    <definedName name="obalCh1Prod2Slot1Promo2CustUplift">Obal!$E$429:$E$429</definedName>
    <definedName name="obalCh1Prod2Slot1Promo2GPaLUplift">Obal!$E$425:$E$425</definedName>
    <definedName name="obalCh1Prod2Slot1Promo2Price">Obal!$E$415:$E$415</definedName>
    <definedName name="obalCh1Prod2Slot1Promo2ROI">Obal!$E$422:$E$422</definedName>
    <definedName name="obalCh1Prod2Slot1Promo2Share">Obal!$E$420:$E$420</definedName>
    <definedName name="obalCh1Prod2Slot1Promo2VolUplift">Obal!$E$427:$E$427</definedName>
    <definedName name="obalCh1Prod2Slot1Promo2Weeks">Obal!$E$1251:$E$1251</definedName>
    <definedName name="obalCh1Prod2Slot1SoldVol">Obal!$E$410:$E$410</definedName>
    <definedName name="obalCh1Prod2Slot1WD">Obal!$E$423:$E$423</definedName>
    <definedName name="obalCh1Prod2Slot2Active">Obal!$E$118:$E$118</definedName>
    <definedName name="obalCh1Prod2Slot2AvgPrice">Obal!$E$441:$E$441</definedName>
    <definedName name="obalCh1Prod2Slot2AvgPromoPrice">Obal!$E$442:$E$442</definedName>
    <definedName name="obalCh1Prod2Slot2COGS">Obal!$E$455:$E$455</definedName>
    <definedName name="obalCh1Prod2Slot2COGSpL">Obal!$E$456:$E$456</definedName>
    <definedName name="obalCh1Prod2Slot2CustPrice">Obal!$E$438:$E$438</definedName>
    <definedName name="obalCh1Prod2Slot2GPaL">Obal!$E$434:$E$434</definedName>
    <definedName name="obalCh1Prod2Slot2GPaLPerLitre">Obal!$E$437:$E$437</definedName>
    <definedName name="obalCh1Prod2Slot2NetRev">Obal!$E$433:$E$433</definedName>
    <definedName name="obalCh1Prod2Slot2NetRevPerLtr">Obal!$E$436:$E$436</definedName>
    <definedName name="obalCh1Prod2Slot2Pack">Obal!$E$443:$E$443</definedName>
    <definedName name="obalCh1Prod2Slot2Promo1">Obal!$E$249:$E$249</definedName>
    <definedName name="obalCh1Prod2Slot2Promo1CustUplift">Obal!$E$453:$E$453</definedName>
    <definedName name="obalCh1Prod2Slot2Promo1GPaLUplift">Obal!$E$449:$E$449</definedName>
    <definedName name="obalCh1Prod2Slot2Promo1Price">Obal!$E$439:$E$439</definedName>
    <definedName name="obalCh1Prod2Slot2Promo1ROI">Obal!$E$446:$E$446</definedName>
    <definedName name="obalCh1Prod2Slot2Promo1Share">Obal!$E$444:$E$444</definedName>
    <definedName name="obalCh1Prod2Slot2Promo1VolUplift">Obal!$E$451:$E$451</definedName>
    <definedName name="obalCh1Prod2Slot2Promo1Weeks">Obal!$E$1252:$E$1252</definedName>
    <definedName name="obalCh1Prod2Slot2Promo2">Obal!$E$250:$E$250</definedName>
    <definedName name="obalCh1Prod2Slot2Promo2CustUplift">Obal!$E$454:$E$454</definedName>
    <definedName name="obalCh1Prod2Slot2Promo2GPaLUplift">Obal!$E$450:$E$450</definedName>
    <definedName name="obalCh1Prod2Slot2Promo2Price">Obal!$E$440:$E$440</definedName>
    <definedName name="obalCh1Prod2Slot2Promo2ROI">Obal!$E$447:$E$447</definedName>
    <definedName name="obalCh1Prod2Slot2Promo2Share">Obal!$E$445:$E$445</definedName>
    <definedName name="obalCh1Prod2Slot2Promo2VolUplift">Obal!$E$452:$E$452</definedName>
    <definedName name="obalCh1Prod2Slot2Promo2Weeks">Obal!$E$1253:$E$1253</definedName>
    <definedName name="obalCh1Prod2Slot2SoldVol">Obal!$E$435:$E$435</definedName>
    <definedName name="obalCh1Prod2Slot2WD">Obal!$E$448:$E$448</definedName>
    <definedName name="obalCh1Prod2Slot3Active">Obal!$E$119:$E$119</definedName>
    <definedName name="obalCh1Prod2Slot3AvgPrice">Obal!$E$466:$E$466</definedName>
    <definedName name="obalCh1Prod2Slot3AvgPromoPrice">Obal!$E$467:$E$467</definedName>
    <definedName name="obalCh1Prod2Slot3COGS">Obal!$E$480:$E$480</definedName>
    <definedName name="obalCh1Prod2Slot3COGSpL">Obal!$E$481:$E$481</definedName>
    <definedName name="obalCh1Prod2Slot3CustPrice">Obal!$E$463:$E$463</definedName>
    <definedName name="obalCh1Prod2Slot3GPaL">Obal!$E$459:$E$459</definedName>
    <definedName name="obalCh1Prod2Slot3GPaLPerLitre">Obal!$E$462:$E$462</definedName>
    <definedName name="obalCh1Prod2Slot3NetRev">Obal!$E$458:$E$458</definedName>
    <definedName name="obalCh1Prod2Slot3NetRevPerLtr">Obal!$E$461:$E$461</definedName>
    <definedName name="obalCh1Prod2Slot3Pack">Obal!$E$468:$E$468</definedName>
    <definedName name="obalCh1Prod2Slot3Promo1">Obal!$E$251:$E$251</definedName>
    <definedName name="obalCh1Prod2Slot3Promo1CustUplift">Obal!$E$478:$E$478</definedName>
    <definedName name="obalCh1Prod2Slot3Promo1GPaLUplift">Obal!$E$474:$E$474</definedName>
    <definedName name="obalCh1Prod2Slot3Promo1Price">Obal!$E$464:$E$464</definedName>
    <definedName name="obalCh1Prod2Slot3Promo1ROI">Obal!$E$471:$E$471</definedName>
    <definedName name="obalCh1Prod2Slot3Promo1Share">Obal!$E$469:$E$469</definedName>
    <definedName name="obalCh1Prod2Slot3Promo1VolUplift">Obal!$E$476:$E$476</definedName>
    <definedName name="obalCh1Prod2Slot3Promo1Weeks">Obal!$E$1254:$E$1254</definedName>
    <definedName name="obalCh1Prod2Slot3Promo2">Obal!$E$252:$E$252</definedName>
    <definedName name="obalCh1Prod2Slot3Promo2CustUplift">Obal!$E$479:$E$479</definedName>
    <definedName name="obalCh1Prod2Slot3Promo2GPaLUplift">Obal!$E$475:$E$475</definedName>
    <definedName name="obalCh1Prod2Slot3Promo2Price">Obal!$E$465:$E$465</definedName>
    <definedName name="obalCh1Prod2Slot3Promo2ROI">Obal!$E$472:$E$472</definedName>
    <definedName name="obalCh1Prod2Slot3Promo2Share">Obal!$E$470:$E$470</definedName>
    <definedName name="obalCh1Prod2Slot3Promo2VolUplift">Obal!$E$477:$E$477</definedName>
    <definedName name="obalCh1Prod2Slot3Promo2Weeks">Obal!$E$1255:$E$1255</definedName>
    <definedName name="obalCh1Prod2Slot3SoldVol">Obal!$E$460:$E$460</definedName>
    <definedName name="obalCh1Prod2Slot3WD">Obal!$E$473:$E$473</definedName>
    <definedName name="obalCh1Prod2SlotTotActive">Obal!$E$121:$E$121</definedName>
    <definedName name="obalCh1Prod3Slot1Active">Obal!$E$124:$E$124</definedName>
    <definedName name="obalCh1Prod3Slot1AvgPrice">Obal!$E$493:$E$493</definedName>
    <definedName name="obalCh1Prod3Slot1AvgPromoPrice">Obal!$E$494:$E$494</definedName>
    <definedName name="obalCh1Prod3Slot1COGS">Obal!$E$507:$E$507</definedName>
    <definedName name="obalCh1Prod3Slot1COGSpL">Obal!$E$508:$E$508</definedName>
    <definedName name="obalCh1Prod3Slot1CustPrice">Obal!$E$490:$E$490</definedName>
    <definedName name="obalCh1Prod3Slot1GPaL">Obal!$E$486:$E$486</definedName>
    <definedName name="obalCh1Prod3Slot1GPaLPerLitre">Obal!$E$489:$E$489</definedName>
    <definedName name="obalCh1Prod3Slot1NetRev">Obal!$E$485:$E$485</definedName>
    <definedName name="obalCh1Prod3Slot1NetRevPerLtr">Obal!$E$488:$E$488</definedName>
    <definedName name="obalCh1Prod3Slot1Pack">Obal!$E$495:$E$495</definedName>
    <definedName name="obalCh1Prod3Slot1Promo1">Obal!$E$253:$E$253</definedName>
    <definedName name="obalCh1Prod3Slot1Promo1CustUplift">Obal!$E$505:$E$505</definedName>
    <definedName name="obalCh1Prod3Slot1Promo1GPaLUplift">Obal!$E$501:$E$501</definedName>
    <definedName name="obalCh1Prod3Slot1Promo1Price">Obal!$E$491:$E$491</definedName>
    <definedName name="obalCh1Prod3Slot1Promo1ROI">Obal!$E$498:$E$498</definedName>
    <definedName name="obalCh1Prod3Slot1Promo1Share">Obal!$E$496:$E$496</definedName>
    <definedName name="obalCh1Prod3Slot1Promo1VolUplift">Obal!$E$503:$E$503</definedName>
    <definedName name="obalCh1Prod3Slot1Promo1Weeks">Obal!$E$1257:$E$1257</definedName>
    <definedName name="obalCh1Prod3Slot1Promo2">Obal!$E$254:$E$254</definedName>
    <definedName name="obalCh1Prod3Slot1Promo2CustUplift">Obal!$E$506:$E$506</definedName>
    <definedName name="obalCh1Prod3Slot1Promo2GPaLUplift">Obal!$E$502:$E$502</definedName>
    <definedName name="obalCh1Prod3Slot1Promo2Price">Obal!$E$492:$E$492</definedName>
    <definedName name="obalCh1Prod3Slot1Promo2ROI">Obal!$E$499:$E$499</definedName>
    <definedName name="obalCh1Prod3Slot1Promo2Share">Obal!$E$497:$E$497</definedName>
    <definedName name="obalCh1Prod3Slot1Promo2VolUplift">Obal!$E$504:$E$504</definedName>
    <definedName name="obalCh1Prod3Slot1Promo2Weeks">Obal!$E$1258:$E$1258</definedName>
    <definedName name="obalCh1Prod3Slot1SoldVol">Obal!$E$487:$E$487</definedName>
    <definedName name="obalCh1Prod3Slot1WD">Obal!$E$500:$E$500</definedName>
    <definedName name="obalCh1Prod3Slot2Active">Obal!$E$125:$E$125</definedName>
    <definedName name="obalCh1Prod3Slot2AvgPrice">Obal!$E$518:$E$518</definedName>
    <definedName name="obalCh1Prod3Slot2AvgPromoPrice">Obal!$E$519:$E$519</definedName>
    <definedName name="obalCh1Prod3Slot2COGS">Obal!$E$532:$E$532</definedName>
    <definedName name="obalCh1Prod3Slot2COGSpL">Obal!$E$533:$E$533</definedName>
    <definedName name="obalCh1Prod3Slot2CustPrice">Obal!$E$515:$E$515</definedName>
    <definedName name="obalCh1Prod3Slot2GPaL">Obal!$E$511:$E$511</definedName>
    <definedName name="obalCh1Prod3Slot2GPaLPerLitre">Obal!$E$514:$E$514</definedName>
    <definedName name="obalCh1Prod3Slot2NetRev">Obal!$E$510:$E$510</definedName>
    <definedName name="obalCh1Prod3Slot2NetRevPerLtr">Obal!$E$513:$E$513</definedName>
    <definedName name="obalCh1Prod3Slot2Pack">Obal!$E$520:$E$520</definedName>
    <definedName name="obalCh1Prod3Slot2Promo1">Obal!$E$255:$E$255</definedName>
    <definedName name="obalCh1Prod3Slot2Promo1CustUplift">Obal!$E$530:$E$530</definedName>
    <definedName name="obalCh1Prod3Slot2Promo1GPaLUplift">Obal!$E$526:$E$526</definedName>
    <definedName name="obalCh1Prod3Slot2Promo1Price">Obal!$E$516:$E$516</definedName>
    <definedName name="obalCh1Prod3Slot2Promo1ROI">Obal!$E$523:$E$523</definedName>
    <definedName name="obalCh1Prod3Slot2Promo1Share">Obal!$E$521:$E$521</definedName>
    <definedName name="obalCh1Prod3Slot2Promo1VolUplift">Obal!$E$528:$E$528</definedName>
    <definedName name="obalCh1Prod3Slot2Promo1Weeks">Obal!$E$1259:$E$1259</definedName>
    <definedName name="obalCh1Prod3Slot2Promo2">Obal!$E$256:$E$256</definedName>
    <definedName name="obalCh1Prod3Slot2Promo2CustUplift">Obal!$E$531:$E$531</definedName>
    <definedName name="obalCh1Prod3Slot2Promo2GPaLUplift">Obal!$E$527:$E$527</definedName>
    <definedName name="obalCh1Prod3Slot2Promo2Price">Obal!$E$517:$E$517</definedName>
    <definedName name="obalCh1Prod3Slot2Promo2ROI">Obal!$E$524:$E$524</definedName>
    <definedName name="obalCh1Prod3Slot2Promo2Share">Obal!$E$522:$E$522</definedName>
    <definedName name="obalCh1Prod3Slot2Promo2VolUplift">Obal!$E$529:$E$529</definedName>
    <definedName name="obalCh1Prod3Slot2Promo2Weeks">Obal!$E$1260:$E$1260</definedName>
    <definedName name="obalCh1Prod3Slot2SoldVol">Obal!$E$512:$E$512</definedName>
    <definedName name="obalCh1Prod3Slot2WD">Obal!$E$525:$E$525</definedName>
    <definedName name="obalCh1Prod3Slot3Active">Obal!$E$126:$E$126</definedName>
    <definedName name="obalCh1Prod3Slot3AvgPrice">Obal!$E$543:$E$543</definedName>
    <definedName name="obalCh1Prod3Slot3AvgPromoPrice">Obal!$E$544:$E$544</definedName>
    <definedName name="obalCh1Prod3Slot3COGS">Obal!$E$557:$E$557</definedName>
    <definedName name="obalCh1Prod3Slot3COGSpL">Obal!$E$558:$E$558</definedName>
    <definedName name="obalCh1Prod3Slot3CustPrice">Obal!$E$540:$E$540</definedName>
    <definedName name="obalCh1Prod3Slot3GPaL">Obal!$E$536:$E$536</definedName>
    <definedName name="obalCh1Prod3Slot3GPaLPerLitre">Obal!$E$539:$E$539</definedName>
    <definedName name="obalCh1Prod3Slot3NetRev">Obal!$E$535:$E$535</definedName>
    <definedName name="obalCh1Prod3Slot3NetRevPerLtr">Obal!$E$538:$E$538</definedName>
    <definedName name="obalCh1Prod3Slot3Pack">Obal!$E$545:$E$545</definedName>
    <definedName name="obalCh1Prod3Slot3Promo1">Obal!$E$257:$E$257</definedName>
    <definedName name="obalCh1Prod3Slot3Promo1CustUplift">Obal!$E$555:$E$555</definedName>
    <definedName name="obalCh1Prod3Slot3Promo1GPaLUplift">Obal!$E$551:$E$551</definedName>
    <definedName name="obalCh1Prod3Slot3Promo1Price">Obal!$E$541:$E$541</definedName>
    <definedName name="obalCh1Prod3Slot3Promo1ROI">Obal!$E$548:$E$548</definedName>
    <definedName name="obalCh1Prod3Slot3Promo1Share">Obal!$E$546:$E$546</definedName>
    <definedName name="obalCh1Prod3Slot3Promo1VolUplift">Obal!$E$553:$E$553</definedName>
    <definedName name="obalCh1Prod3Slot3Promo1Weeks">Obal!$E$1261:$E$1261</definedName>
    <definedName name="obalCh1Prod3Slot3Promo2">Obal!$E$258:$E$258</definedName>
    <definedName name="obalCh1Prod3Slot3Promo2CustUplift">Obal!$E$556:$E$556</definedName>
    <definedName name="obalCh1Prod3Slot3Promo2GPaLUplift">Obal!$E$552:$E$552</definedName>
    <definedName name="obalCh1Prod3Slot3Promo2Price">Obal!$E$542:$E$542</definedName>
    <definedName name="obalCh1Prod3Slot3Promo2ROI">Obal!$E$549:$E$549</definedName>
    <definedName name="obalCh1Prod3Slot3Promo2Share">Obal!$E$547:$E$547</definedName>
    <definedName name="obalCh1Prod3Slot3Promo2VolUplift">Obal!$E$554:$E$554</definedName>
    <definedName name="obalCh1Prod3Slot3Promo2Weeks">Obal!$E$1262:$E$1262</definedName>
    <definedName name="obalCh1Prod3Slot3SoldVol">Obal!$E$537:$E$537</definedName>
    <definedName name="obalCh1Prod3Slot3WD">Obal!$E$550:$E$550</definedName>
    <definedName name="obalCh1Prod3SlotTotActive">Obal!$E$128:$E$128</definedName>
    <definedName name="obalCh1Prod4Slot1Active">Obal!$E$131:$E$131</definedName>
    <definedName name="obalCh1Prod4Slot1AvgPrice">Obal!$E$570:$E$570</definedName>
    <definedName name="obalCh1Prod4Slot1AvgPromoPrice">Obal!$E$571:$E$571</definedName>
    <definedName name="obalCh1Prod4Slot1COGS">Obal!$E$584:$E$584</definedName>
    <definedName name="obalCh1Prod4Slot1COGSpL">Obal!$E$585:$E$585</definedName>
    <definedName name="obalCh1Prod4Slot1CustPrice">Obal!$E$567:$E$567</definedName>
    <definedName name="obalCh1Prod4Slot1GPaL">Obal!$E$563:$E$563</definedName>
    <definedName name="obalCh1Prod4Slot1GPaLPerLitre">Obal!$E$566:$E$566</definedName>
    <definedName name="obalCh1Prod4Slot1NetRev">Obal!$E$562:$E$562</definedName>
    <definedName name="obalCh1Prod4Slot1NetRevPerLtr">Obal!$E$565:$E$565</definedName>
    <definedName name="obalCh1Prod4Slot1Pack">Obal!$E$572:$E$572</definedName>
    <definedName name="obalCh1Prod4Slot1Promo1">Obal!$E$259:$E$259</definedName>
    <definedName name="obalCh1Prod4Slot1Promo1CustUplift">Obal!$E$582:$E$582</definedName>
    <definedName name="obalCh1Prod4Slot1Promo1GPaLUplift">Obal!$E$578:$E$578</definedName>
    <definedName name="obalCh1Prod4Slot1Promo1Price">Obal!$E$568:$E$568</definedName>
    <definedName name="obalCh1Prod4Slot1Promo1ROI">Obal!$E$575:$E$575</definedName>
    <definedName name="obalCh1Prod4Slot1Promo1Share">Obal!$E$573:$E$573</definedName>
    <definedName name="obalCh1Prod4Slot1Promo1VolUplift">Obal!$E$580:$E$580</definedName>
    <definedName name="obalCh1Prod4Slot1Promo1Weeks">Obal!$E$1264:$E$1264</definedName>
    <definedName name="obalCh1Prod4Slot1Promo2">Obal!$E$260:$E$260</definedName>
    <definedName name="obalCh1Prod4Slot1Promo2CustUplift">Obal!$E$583:$E$583</definedName>
    <definedName name="obalCh1Prod4Slot1Promo2GPaLUplift">Obal!$E$579:$E$579</definedName>
    <definedName name="obalCh1Prod4Slot1Promo2Price">Obal!$E$569:$E$569</definedName>
    <definedName name="obalCh1Prod4Slot1Promo2ROI">Obal!$E$576:$E$576</definedName>
    <definedName name="obalCh1Prod4Slot1Promo2Share">Obal!$E$574:$E$574</definedName>
    <definedName name="obalCh1Prod4Slot1Promo2VolUplift">Obal!$E$581:$E$581</definedName>
    <definedName name="obalCh1Prod4Slot1Promo2Weeks">Obal!$E$1265:$E$1265</definedName>
    <definedName name="obalCh1Prod4Slot1SoldVol">Obal!$E$564:$E$564</definedName>
    <definedName name="obalCh1Prod4Slot1WD">Obal!$E$577:$E$577</definedName>
    <definedName name="obalCh1Prod4Slot2Active">Obal!$E$132:$E$132</definedName>
    <definedName name="obalCh1Prod4Slot2AvgPrice">Obal!$E$595:$E$595</definedName>
    <definedName name="obalCh1Prod4Slot2AvgPromoPrice">Obal!$E$596:$E$596</definedName>
    <definedName name="obalCh1Prod4Slot2COGS">Obal!$E$609:$E$609</definedName>
    <definedName name="obalCh1Prod4Slot2COGSpL">Obal!$E$610:$E$610</definedName>
    <definedName name="obalCh1Prod4Slot2CustPrice">Obal!$E$592:$E$592</definedName>
    <definedName name="obalCh1Prod4Slot2GPaL">Obal!$E$588:$E$588</definedName>
    <definedName name="obalCh1Prod4Slot2GPaLPerLitre">Obal!$E$591:$E$591</definedName>
    <definedName name="obalCh1Prod4Slot2NetRev">Obal!$E$587:$E$587</definedName>
    <definedName name="obalCh1Prod4Slot2NetRevPerLtr">Obal!$E$590:$E$590</definedName>
    <definedName name="obalCh1Prod4Slot2Pack">Obal!$E$597:$E$597</definedName>
    <definedName name="obalCh1Prod4Slot2Promo1">Obal!$E$261:$E$261</definedName>
    <definedName name="obalCh1Prod4Slot2Promo1CustUplift">Obal!$E$607:$E$607</definedName>
    <definedName name="obalCh1Prod4Slot2Promo1GPaLUplift">Obal!$E$603:$E$603</definedName>
    <definedName name="obalCh1Prod4Slot2Promo1Price">Obal!$E$593:$E$593</definedName>
    <definedName name="obalCh1Prod4Slot2Promo1ROI">Obal!$E$600:$E$600</definedName>
    <definedName name="obalCh1Prod4Slot2Promo1Share">Obal!$E$598:$E$598</definedName>
    <definedName name="obalCh1Prod4Slot2Promo1VolUplift">Obal!$E$605:$E$605</definedName>
    <definedName name="obalCh1Prod4Slot2Promo1Weeks">Obal!$E$1266:$E$1266</definedName>
    <definedName name="obalCh1Prod4Slot2Promo2">Obal!$E$262:$E$262</definedName>
    <definedName name="obalCh1Prod4Slot2Promo2CustUplift">Obal!$E$608:$E$608</definedName>
    <definedName name="obalCh1Prod4Slot2Promo2GPaLUplift">Obal!$E$604:$E$604</definedName>
    <definedName name="obalCh1Prod4Slot2Promo2Price">Obal!$E$594:$E$594</definedName>
    <definedName name="obalCh1Prod4Slot2Promo2ROI">Obal!$E$601:$E$601</definedName>
    <definedName name="obalCh1Prod4Slot2Promo2Share">Obal!$E$599:$E$599</definedName>
    <definedName name="obalCh1Prod4Slot2Promo2VolUplift">Obal!$E$606:$E$606</definedName>
    <definedName name="obalCh1Prod4Slot2Promo2Weeks">Obal!$E$1267:$E$1267</definedName>
    <definedName name="obalCh1Prod4Slot2SoldVol">Obal!$E$589:$E$589</definedName>
    <definedName name="obalCh1Prod4Slot2WD">Obal!$E$602:$E$602</definedName>
    <definedName name="obalCh1Prod4Slot3Active">Obal!$E$133:$E$133</definedName>
    <definedName name="obalCh1Prod4Slot3AvgPrice">Obal!$E$620:$E$620</definedName>
    <definedName name="obalCh1Prod4Slot3AvgPromoPrice">Obal!$E$621:$E$621</definedName>
    <definedName name="obalCh1Prod4Slot3COGS">Obal!$E$634:$E$634</definedName>
    <definedName name="obalCh1Prod4Slot3COGSpL">Obal!$E$635:$E$635</definedName>
    <definedName name="obalCh1Prod4Slot3CustPrice">Obal!$E$617:$E$617</definedName>
    <definedName name="obalCh1Prod4Slot3GPaL">Obal!$E$613:$E$613</definedName>
    <definedName name="obalCh1Prod4Slot3GPaLPerLitre">Obal!$E$616:$E$616</definedName>
    <definedName name="obalCh1Prod4Slot3NetRev">Obal!$E$612:$E$612</definedName>
    <definedName name="obalCh1Prod4Slot3NetRevPerLtr">Obal!$E$615:$E$615</definedName>
    <definedName name="obalCh1Prod4Slot3Pack">Obal!$E$622:$E$622</definedName>
    <definedName name="obalCh1Prod4Slot3Promo1">Obal!$E$263:$E$263</definedName>
    <definedName name="obalCh1Prod4Slot3Promo1CustUplift">Obal!$E$632:$E$632</definedName>
    <definedName name="obalCh1Prod4Slot3Promo1GPaLUplift">Obal!$E$628:$E$628</definedName>
    <definedName name="obalCh1Prod4Slot3Promo1Price">Obal!$E$618:$E$618</definedName>
    <definedName name="obalCh1Prod4Slot3Promo1ROI">Obal!$E$625:$E$625</definedName>
    <definedName name="obalCh1Prod4Slot3Promo1Share">Obal!$E$623:$E$623</definedName>
    <definedName name="obalCh1Prod4Slot3Promo1VolUplift">Obal!$E$630:$E$630</definedName>
    <definedName name="obalCh1Prod4Slot3Promo1Weeks">Obal!$E$1268:$E$1268</definedName>
    <definedName name="obalCh1Prod4Slot3Promo2">Obal!$E$264:$E$264</definedName>
    <definedName name="obalCh1Prod4Slot3Promo2CustUplift">Obal!$E$633:$E$633</definedName>
    <definedName name="obalCh1Prod4Slot3Promo2GPaLUplift">Obal!$E$629:$E$629</definedName>
    <definedName name="obalCh1Prod4Slot3Promo2Price">Obal!$E$619:$E$619</definedName>
    <definedName name="obalCh1Prod4Slot3Promo2ROI">Obal!$E$626:$E$626</definedName>
    <definedName name="obalCh1Prod4Slot3Promo2Share">Obal!$E$624:$E$624</definedName>
    <definedName name="obalCh1Prod4Slot3Promo2VolUplift">Obal!$E$631:$E$631</definedName>
    <definedName name="obalCh1Prod4Slot3Promo2Weeks">Obal!$E$1269:$E$1269</definedName>
    <definedName name="obalCh1Prod4Slot3SoldVol">Obal!$E$614:$E$614</definedName>
    <definedName name="obalCh1Prod4Slot3WD">Obal!$E$627:$E$627</definedName>
    <definedName name="obalCh1Prod4SlotTotActive">Obal!$E$135:$E$135</definedName>
    <definedName name="obalCh1RevenueTot">Obal!$E$300:$E$300</definedName>
    <definedName name="obalCh1Slots">Obal!$E$88:$E$88</definedName>
    <definedName name="obalCh1SlotTotActive">Obal!$E$137:$E$137</definedName>
    <definedName name="obalCh1ValDriv1">Obal!$E$58:$E$58</definedName>
    <definedName name="obalCh1ValDriv2">Obal!$E$63:$E$63</definedName>
    <definedName name="obalCh1ValDriv3">Obal!$E$68:$E$68</definedName>
    <definedName name="obalCh1ValDriv4">Obal!$E$73:$E$73</definedName>
    <definedName name="obalCh1ValDriv5">Obal!$E$78:$E$78</definedName>
    <definedName name="obalCh1ValDrivCond">Obal!$E$83:$E$83</definedName>
    <definedName name="obalCh2CustomerProfitTot">Obal!$E$322:$E$322</definedName>
    <definedName name="obalCh2GCCTot">Obal!$E$315:$E$315</definedName>
    <definedName name="obalCh2GPaLTot">Obal!$E$308:$E$308</definedName>
    <definedName name="obalCh2Prod1Slot1Active">Obal!$E$141:$E$141</definedName>
    <definedName name="obalCh2Prod1Slot1AvgPrice">Obal!$E$646:$E$646</definedName>
    <definedName name="obalCh2Prod1Slot1COGS">Obal!$E$649:$E$649</definedName>
    <definedName name="obalCh2Prod1Slot1COGSpL">Obal!$E$650:$E$650</definedName>
    <definedName name="obalCh2Prod1Slot1CustPrice">Obal!$E$645:$E$645</definedName>
    <definedName name="obalCh2Prod1Slot1GPaL">Obal!$E$641:$E$641</definedName>
    <definedName name="obalCh2Prod1Slot1GPaLPerLitre">Obal!$E$644:$E$644</definedName>
    <definedName name="obalCh2Prod1Slot1NetRev">Obal!$E$640:$E$640</definedName>
    <definedName name="obalCh2Prod1Slot1NetRevPerLtr">Obal!$E$643:$E$643</definedName>
    <definedName name="obalCh2Prod1Slot1Pack">Obal!$E$647:$E$647</definedName>
    <definedName name="obalCh2Prod1Slot1SoldVol">Obal!$E$642:$E$642</definedName>
    <definedName name="obalCh2Prod1Slot1WD">Obal!$E$648:$E$648</definedName>
    <definedName name="obalCh2Prod1Slot2Active">Obal!$E$142:$E$142</definedName>
    <definedName name="obalCh2Prod1Slot2AvgPrice">Obal!$E$658:$E$658</definedName>
    <definedName name="obalCh2Prod1Slot2COGS">Obal!$E$661:$E$661</definedName>
    <definedName name="obalCh2Prod1Slot2COGSpL">Obal!$E$662:$E$662</definedName>
    <definedName name="obalCh2Prod1Slot2CustPrice">Obal!$E$657:$E$657</definedName>
    <definedName name="obalCh2Prod1Slot2GPaL">Obal!$E$653:$E$653</definedName>
    <definedName name="obalCh2Prod1Slot2GPaLPerLitre">Obal!$E$656:$E$656</definedName>
    <definedName name="obalCh2Prod1Slot2NetRev">Obal!$E$652:$E$652</definedName>
    <definedName name="obalCh2Prod1Slot2NetRevPerLtr">Obal!$E$655:$E$655</definedName>
    <definedName name="obalCh2Prod1Slot2Pack">Obal!$E$659:$E$659</definedName>
    <definedName name="obalCh2Prod1Slot2SoldVol">Obal!$E$654:$E$654</definedName>
    <definedName name="obalCh2Prod1Slot2WD">Obal!$E$660:$E$660</definedName>
    <definedName name="obalCh2Prod1Slot3Active">Obal!$E$143:$E$143</definedName>
    <definedName name="obalCh2Prod1Slot3AvgPrice">Obal!$E$670:$E$670</definedName>
    <definedName name="obalCh2Prod1Slot3COGS">Obal!$E$673:$E$673</definedName>
    <definedName name="obalCh2Prod1Slot3COGSpL">Obal!$E$674:$E$674</definedName>
    <definedName name="obalCh2Prod1Slot3CustPrice">Obal!$E$669:$E$669</definedName>
    <definedName name="obalCh2Prod1Slot3GPaL">Obal!$E$665:$E$665</definedName>
    <definedName name="obalCh2Prod1Slot3GPaLPerLitre">Obal!$E$668:$E$668</definedName>
    <definedName name="obalCh2Prod1Slot3NetRev">Obal!$E$664:$E$664</definedName>
    <definedName name="obalCh2Prod1Slot3NetRevPerLtr">Obal!$E$667:$E$667</definedName>
    <definedName name="obalCh2Prod1Slot3Pack">Obal!$E$671:$E$671</definedName>
    <definedName name="obalCh2Prod1Slot3SoldVol">Obal!$E$666:$E$666</definedName>
    <definedName name="obalCh2Prod1Slot3WD">Obal!$E$672:$E$672</definedName>
    <definedName name="obalCh2Prod1SlotTotActive">Obal!$E$145:$E$145</definedName>
    <definedName name="obalCh2Prod2Slot1Active">Obal!$E$148:$E$148</definedName>
    <definedName name="obalCh2Prod2Slot1AvgPrice">Obal!$E$684:$E$684</definedName>
    <definedName name="obalCh2Prod2Slot1COGS">Obal!$E$687:$E$687</definedName>
    <definedName name="obalCh2Prod2Slot1COGSpL">Obal!$E$688:$E$688</definedName>
    <definedName name="obalCh2Prod2Slot1CustPrice">Obal!$E$683:$E$683</definedName>
    <definedName name="obalCh2Prod2Slot1GPaL">Obal!$E$679:$E$679</definedName>
    <definedName name="obalCh2Prod2Slot1GPaLPerLitre">Obal!$E$682:$E$682</definedName>
    <definedName name="obalCh2Prod2Slot1NetRev">Obal!$E$678:$E$678</definedName>
    <definedName name="obalCh2Prod2Slot1NetRevPerLtr">Obal!$E$681:$E$681</definedName>
    <definedName name="obalCh2Prod2Slot1Pack">Obal!$E$685:$E$685</definedName>
    <definedName name="obalCh2Prod2Slot1SoldVol">Obal!$E$680:$E$680</definedName>
    <definedName name="obalCh2Prod2Slot1WD">Obal!$E$686:$E$686</definedName>
    <definedName name="obalCh2Prod2Slot2Active">Obal!$E$149:$E$149</definedName>
    <definedName name="obalCh2Prod2Slot2AvgPrice">Obal!$E$696:$E$696</definedName>
    <definedName name="obalCh2Prod2Slot2COGS">Obal!$E$699:$E$699</definedName>
    <definedName name="obalCh2Prod2Slot2COGSpL">Obal!$E$700:$E$700</definedName>
    <definedName name="obalCh2Prod2Slot2CustPrice">Obal!$E$695:$E$695</definedName>
    <definedName name="obalCh2Prod2Slot2GPaL">Obal!$E$691:$E$691</definedName>
    <definedName name="obalCh2Prod2Slot2GPaLPerLitre">Obal!$E$694:$E$694</definedName>
    <definedName name="obalCh2Prod2Slot2NetRev">Obal!$E$690:$E$690</definedName>
    <definedName name="obalCh2Prod2Slot2NetRevPerLtr">Obal!$E$693:$E$693</definedName>
    <definedName name="obalCh2Prod2Slot2Pack">Obal!$E$697:$E$697</definedName>
    <definedName name="obalCh2Prod2Slot2SoldVol">Obal!$E$692:$E$692</definedName>
    <definedName name="obalCh2Prod2Slot2WD">Obal!$E$698:$E$698</definedName>
    <definedName name="obalCh2Prod2Slot3Active">Obal!$E$150:$E$150</definedName>
    <definedName name="obalCh2Prod2Slot3AvgPrice">Obal!$E$708:$E$708</definedName>
    <definedName name="obalCh2Prod2Slot3COGS">Obal!$E$711:$E$711</definedName>
    <definedName name="obalCh2Prod2Slot3COGSpL">Obal!$E$712:$E$712</definedName>
    <definedName name="obalCh2Prod2Slot3CustPrice">Obal!$E$707:$E$707</definedName>
    <definedName name="obalCh2Prod2Slot3GPaL">Obal!$E$703:$E$703</definedName>
    <definedName name="obalCh2Prod2Slot3GPaLPerLitre">Obal!$E$706:$E$706</definedName>
    <definedName name="obalCh2Prod2Slot3NetRev">Obal!$E$702:$E$702</definedName>
    <definedName name="obalCh2Prod2Slot3NetRevPerLtr">Obal!$E$705:$E$705</definedName>
    <definedName name="obalCh2Prod2Slot3Pack">Obal!$E$709:$E$709</definedName>
    <definedName name="obalCh2Prod2Slot3SoldVol">Obal!$E$704:$E$704</definedName>
    <definedName name="obalCh2Prod2Slot3WD">Obal!$E$710:$E$710</definedName>
    <definedName name="obalCh2Prod2SlotTotActive">Obal!$E$152:$E$152</definedName>
    <definedName name="obalCh2Prod3Slot1Active">Obal!$E$155:$E$155</definedName>
    <definedName name="obalCh2Prod3Slot1AvgPrice">Obal!$E$722:$E$722</definedName>
    <definedName name="obalCh2Prod3Slot1COGS">Obal!$E$725:$E$725</definedName>
    <definedName name="obalCh2Prod3Slot1COGSpL">Obal!$E$726:$E$726</definedName>
    <definedName name="obalCh2Prod3Slot1CustPrice">Obal!$E$721:$E$721</definedName>
    <definedName name="obalCh2Prod3Slot1GPaL">Obal!$E$717:$E$717</definedName>
    <definedName name="obalCh2Prod3Slot1GPaLPerLitre">Obal!$E$720:$E$720</definedName>
    <definedName name="obalCh2Prod3Slot1NetRev">Obal!$E$716:$E$716</definedName>
    <definedName name="obalCh2Prod3Slot1NetRevPerLtr">Obal!$E$719:$E$719</definedName>
    <definedName name="obalCh2Prod3Slot1Pack">Obal!$E$723:$E$723</definedName>
    <definedName name="obalCh2Prod3Slot1SoldVol">Obal!$E$718:$E$718</definedName>
    <definedName name="obalCh2Prod3Slot1WD">Obal!$E$724:$E$724</definedName>
    <definedName name="obalCh2Prod3Slot2Active">Obal!$E$156:$E$156</definedName>
    <definedName name="obalCh2Prod3Slot2AvgPrice">Obal!$E$734:$E$734</definedName>
    <definedName name="obalCh2Prod3Slot2COGS">Obal!$E$737:$E$737</definedName>
    <definedName name="obalCh2Prod3Slot2COGSpL">Obal!$E$738:$E$738</definedName>
    <definedName name="obalCh2Prod3Slot2CustPrice">Obal!$E$733:$E$733</definedName>
    <definedName name="obalCh2Prod3Slot2GPaL">Obal!$E$729:$E$729</definedName>
    <definedName name="obalCh2Prod3Slot2GPaLPerLitre">Obal!$E$732:$E$732</definedName>
    <definedName name="obalCh2Prod3Slot2NetRev">Obal!$E$728:$E$728</definedName>
    <definedName name="obalCh2Prod3Slot2NetRevPerLtr">Obal!$E$731:$E$731</definedName>
    <definedName name="obalCh2Prod3Slot2Pack">Obal!$E$735:$E$735</definedName>
    <definedName name="obalCh2Prod3Slot2SoldVol">Obal!$E$730:$E$730</definedName>
    <definedName name="obalCh2Prod3Slot2WD">Obal!$E$736:$E$736</definedName>
    <definedName name="obalCh2Prod3Slot3Active">Obal!$E$157:$E$157</definedName>
    <definedName name="obalCh2Prod3Slot3AvgPrice">Obal!$E$746:$E$746</definedName>
    <definedName name="obalCh2Prod3Slot3COGS">Obal!$E$749:$E$749</definedName>
    <definedName name="obalCh2Prod3Slot3COGSpL">Obal!$E$750:$E$750</definedName>
    <definedName name="obalCh2Prod3Slot3CustPrice">Obal!$E$745:$E$745</definedName>
    <definedName name="obalCh2Prod3Slot3GPaL">Obal!$E$741:$E$741</definedName>
    <definedName name="obalCh2Prod3Slot3GPaLPerLitre">Obal!$E$744:$E$744</definedName>
    <definedName name="obalCh2Prod3Slot3NetRev">Obal!$E$740:$E$740</definedName>
    <definedName name="obalCh2Prod3Slot3NetRevPerLtr">Obal!$E$743:$E$743</definedName>
    <definedName name="obalCh2Prod3Slot3Pack">Obal!$E$747:$E$747</definedName>
    <definedName name="obalCh2Prod3Slot3SoldVol">Obal!$E$742:$E$742</definedName>
    <definedName name="obalCh2Prod3Slot3WD">Obal!$E$748:$E$748</definedName>
    <definedName name="obalCh2Prod3SlotTotActive">Obal!$E$159:$E$159</definedName>
    <definedName name="obalCh2Prod4Slot1Active">Obal!$E$162:$E$162</definedName>
    <definedName name="obalCh2Prod4Slot1AvgPrice">Obal!$E$760:$E$760</definedName>
    <definedName name="obalCh2Prod4Slot1COGS">Obal!$E$763:$E$763</definedName>
    <definedName name="obalCh2Prod4Slot1COGSpL">Obal!$E$764:$E$764</definedName>
    <definedName name="obalCh2Prod4Slot1CustPrice">Obal!$E$759:$E$759</definedName>
    <definedName name="obalCh2Prod4Slot1GPaL">Obal!$E$755:$E$755</definedName>
    <definedName name="obalCh2Prod4Slot1GPaLPerLitre">Obal!$E$758:$E$758</definedName>
    <definedName name="obalCh2Prod4Slot1NetRev">Obal!$E$754:$E$754</definedName>
    <definedName name="obalCh2Prod4Slot1NetRevPerLtr">Obal!$E$757:$E$757</definedName>
    <definedName name="obalCh2Prod4Slot1Pack">Obal!$E$761:$E$761</definedName>
    <definedName name="obalCh2Prod4Slot1SoldVol">Obal!$E$756:$E$756</definedName>
    <definedName name="obalCh2Prod4Slot1WD">Obal!$E$762:$E$762</definedName>
    <definedName name="obalCh2Prod4Slot2Active">Obal!$E$163:$E$163</definedName>
    <definedName name="obalCh2Prod4Slot2AvgPrice">Obal!$E$772:$E$772</definedName>
    <definedName name="obalCh2Prod4Slot2COGS">Obal!$E$775:$E$775</definedName>
    <definedName name="obalCh2Prod4Slot2COGSpL">Obal!$E$776:$E$776</definedName>
    <definedName name="obalCh2Prod4Slot2CustPrice">Obal!$E$771:$E$771</definedName>
    <definedName name="obalCh2Prod4Slot2GPaL">Obal!$E$767:$E$767</definedName>
    <definedName name="obalCh2Prod4Slot2GPaLPerLitre">Obal!$E$770:$E$770</definedName>
    <definedName name="obalCh2Prod4Slot2NetRev">Obal!$E$766:$E$766</definedName>
    <definedName name="obalCh2Prod4Slot2NetRevPerLtr">Obal!$E$769:$E$769</definedName>
    <definedName name="obalCh2Prod4Slot2Pack">Obal!$E$773:$E$773</definedName>
    <definedName name="obalCh2Prod4Slot2SoldVol">Obal!$E$768:$E$768</definedName>
    <definedName name="obalCh2Prod4Slot2WD">Obal!$E$774:$E$774</definedName>
    <definedName name="obalCh2Prod4Slot3Active">Obal!$E$164:$E$164</definedName>
    <definedName name="obalCh2Prod4Slot3AvgPrice">Obal!$E$784:$E$784</definedName>
    <definedName name="obalCh2Prod4Slot3COGS">Obal!$E$787:$E$787</definedName>
    <definedName name="obalCh2Prod4Slot3COGSpL">Obal!$E$788:$E$788</definedName>
    <definedName name="obalCh2Prod4Slot3CustPrice">Obal!$E$783:$E$783</definedName>
    <definedName name="obalCh2Prod4Slot3GPaL">Obal!$E$779:$E$779</definedName>
    <definedName name="obalCh2Prod4Slot3GPaLPerLitre">Obal!$E$782:$E$782</definedName>
    <definedName name="obalCh2Prod4Slot3NetRev">Obal!$E$778:$E$778</definedName>
    <definedName name="obalCh2Prod4Slot3NetRevPerLtr">Obal!$E$781:$E$781</definedName>
    <definedName name="obalCh2Prod4Slot3Pack">Obal!$E$785:$E$785</definedName>
    <definedName name="obalCh2Prod4Slot3SoldVol">Obal!$E$780:$E$780</definedName>
    <definedName name="obalCh2Prod4Slot3WD">Obal!$E$786:$E$786</definedName>
    <definedName name="obalCh2Prod4SlotTotActive">Obal!$E$166:$E$166</definedName>
    <definedName name="obalCh2RevenueTot">Obal!$E$301:$E$301</definedName>
    <definedName name="obalCh2Slots">Obal!$E$89:$E$89</definedName>
    <definedName name="obalCh2SlotTotActive">Obal!$E$168:$E$168</definedName>
    <definedName name="obalCh2ValDriv1">Obal!$E$59:$E$59</definedName>
    <definedName name="obalCh2ValDriv2">Obal!$E$64:$E$64</definedName>
    <definedName name="obalCh2ValDriv3">Obal!$E$69:$E$69</definedName>
    <definedName name="obalCh2ValDriv4">Obal!$E$74:$E$74</definedName>
    <definedName name="obalCh2ValDriv5">Obal!$E$79:$E$79</definedName>
    <definedName name="obalCh2ValDrivCond">Obal!$E$84:$E$84</definedName>
    <definedName name="obalCh3CustomerProfitTot">Obal!$E$323:$E$323</definedName>
    <definedName name="obalCh3GCCTot">Obal!$E$316:$E$316</definedName>
    <definedName name="obalCh3GPaLTot">Obal!$E$309:$E$309</definedName>
    <definedName name="obalCh3Prod1Slot1Active">Obal!$E$172:$E$172</definedName>
    <definedName name="obalCh3Prod1Slot1AvgPrice">Obal!$E$800:$E$800</definedName>
    <definedName name="obalCh3Prod1Slot1COGS">Obal!$E$808:$E$808</definedName>
    <definedName name="obalCh3Prod1Slot1COGSpL">Obal!$E$809:$E$809</definedName>
    <definedName name="obalCh3Prod1Slot1CustPrice">Obal!$E$798:$E$798</definedName>
    <definedName name="obalCh3Prod1Slot1GPaL">Obal!$E$794:$E$794</definedName>
    <definedName name="obalCh3Prod1Slot1GPaLPerLitre">Obal!$E$797:$E$797</definedName>
    <definedName name="obalCh3Prod1Slot1NetRev">Obal!$E$793:$E$793</definedName>
    <definedName name="obalCh3Prod1Slot1NetRevPerLtr">Obal!$E$796:$E$796</definedName>
    <definedName name="obalCh3Prod1Slot1Pack">Obal!$E$801:$E$801</definedName>
    <definedName name="obalCh3Prod1Slot1Promo1">Obal!$E$268:$E$268</definedName>
    <definedName name="obalCh3Prod1Slot1Promo1CustUplift">Obal!$E$807:$E$807</definedName>
    <definedName name="obalCh3Prod1Slot1Promo1GPaLUplift">Obal!$E$805:$E$805</definedName>
    <definedName name="obalCh3Prod1Slot1Promo1Price">Obal!$E$799:$E$799</definedName>
    <definedName name="obalCh3Prod1Slot1Promo1ROI">Obal!$E$803:$E$803</definedName>
    <definedName name="obalCh3Prod1Slot1Promo1Share">Obal!$E$802:$E$802</definedName>
    <definedName name="obalCh3Prod1Slot1Promo1VolUplift">Obal!$E$806:$E$806</definedName>
    <definedName name="obalCh3Prod1Slot1Promo1Weeks">Obal!$E$1272:$E$1272</definedName>
    <definedName name="obalCh3Prod1Slot1SoldVol">Obal!$E$795:$E$795</definedName>
    <definedName name="obalCh3Prod1Slot1WD">Obal!$E$804:$E$804</definedName>
    <definedName name="obalCh3Prod1Slot2Active">Obal!$E$173:$E$173</definedName>
    <definedName name="obalCh3Prod1Slot2AvgPrice">Obal!$E$818:$E$818</definedName>
    <definedName name="obalCh3Prod1Slot2COGS">Obal!$E$826:$E$826</definedName>
    <definedName name="obalCh3Prod1Slot2COGSpL">Obal!$E$827:$E$827</definedName>
    <definedName name="obalCh3Prod1Slot2CustPrice">Obal!$E$816:$E$816</definedName>
    <definedName name="obalCh3Prod1Slot2GPaL">Obal!$E$812:$E$812</definedName>
    <definedName name="obalCh3Prod1Slot2GPaLPerLitre">Obal!$E$815:$E$815</definedName>
    <definedName name="obalCh3Prod1Slot2NetRev">Obal!$E$811:$E$811</definedName>
    <definedName name="obalCh3Prod1Slot2NetRevPerLtr">Obal!$E$814:$E$814</definedName>
    <definedName name="obalCh3Prod1Slot2Pack">Obal!$E$819:$E$819</definedName>
    <definedName name="obalCh3Prod1Slot2Promo1">Obal!$E$269:$E$269</definedName>
    <definedName name="obalCh3Prod1Slot2Promo1CustUplift">Obal!$E$825:$E$825</definedName>
    <definedName name="obalCh3Prod1Slot2Promo1GPaLUplift">Obal!$E$823:$E$823</definedName>
    <definedName name="obalCh3Prod1Slot2Promo1Price">Obal!$E$817:$E$817</definedName>
    <definedName name="obalCh3Prod1Slot2Promo1ROI">Obal!$E$821:$E$821</definedName>
    <definedName name="obalCh3Prod1Slot2Promo1Share">Obal!$E$820:$E$820</definedName>
    <definedName name="obalCh3Prod1Slot2Promo1VolUplift">Obal!$E$824:$E$824</definedName>
    <definedName name="obalCh3Prod1Slot2Promo1Weeks">Obal!$E$1273:$E$1273</definedName>
    <definedName name="obalCh3Prod1Slot2SoldVol">Obal!$E$813:$E$813</definedName>
    <definedName name="obalCh3Prod1Slot2WD">Obal!$E$822:$E$822</definedName>
    <definedName name="obalCh3Prod1Slot3Active">Obal!$E$174:$E$174</definedName>
    <definedName name="obalCh3Prod1Slot3AvgPrice">Obal!$E$836:$E$836</definedName>
    <definedName name="obalCh3Prod1Slot3COGS">Obal!$E$844:$E$844</definedName>
    <definedName name="obalCh3Prod1Slot3COGSpL">Obal!$E$845:$E$845</definedName>
    <definedName name="obalCh3Prod1Slot3CustPrice">Obal!$E$834:$E$834</definedName>
    <definedName name="obalCh3Prod1Slot3GPaL">Obal!$E$830:$E$830</definedName>
    <definedName name="obalCh3Prod1Slot3GPaLPerLitre">Obal!$E$833:$E$833</definedName>
    <definedName name="obalCh3Prod1Slot3NetRev">Obal!$E$829:$E$829</definedName>
    <definedName name="obalCh3Prod1Slot3NetRevPerLtr">Obal!$E$832:$E$832</definedName>
    <definedName name="obalCh3Prod1Slot3Pack">Obal!$E$837:$E$837</definedName>
    <definedName name="obalCh3Prod1Slot3Promo1">Obal!$E$270:$E$270</definedName>
    <definedName name="obalCh3Prod1Slot3Promo1CustUplift">Obal!$E$843:$E$843</definedName>
    <definedName name="obalCh3Prod1Slot3Promo1GPaLUplift">Obal!$E$841:$E$841</definedName>
    <definedName name="obalCh3Prod1Slot3Promo1Price">Obal!$E$835:$E$835</definedName>
    <definedName name="obalCh3Prod1Slot3Promo1ROI">Obal!$E$839:$E$839</definedName>
    <definedName name="obalCh3Prod1Slot3Promo1Share">Obal!$E$838:$E$838</definedName>
    <definedName name="obalCh3Prod1Slot3Promo1VolUplift">Obal!$E$842:$E$842</definedName>
    <definedName name="obalCh3Prod1Slot3Promo1Weeks">Obal!$E$1274:$E$1274</definedName>
    <definedName name="obalCh3Prod1Slot3SoldVol">Obal!$E$831:$E$831</definedName>
    <definedName name="obalCh3Prod1Slot3WD">Obal!$E$840:$E$840</definedName>
    <definedName name="obalCh3Prod1SlotTotActive">Obal!$E$176:$E$176</definedName>
    <definedName name="obalCh3Prod2Slot1Active">Obal!$E$179:$E$179</definedName>
    <definedName name="obalCh3Prod2Slot1AvgPrice">Obal!$E$856:$E$856</definedName>
    <definedName name="obalCh3Prod2Slot1COGS">Obal!$E$864:$E$864</definedName>
    <definedName name="obalCh3Prod2Slot1COGSpL">Obal!$E$865:$E$865</definedName>
    <definedName name="obalCh3Prod2Slot1CustPrice">Obal!$E$854:$E$854</definedName>
    <definedName name="obalCh3Prod2Slot1GPaL">Obal!$E$850:$E$850</definedName>
    <definedName name="obalCh3Prod2Slot1GPaLPerLitre">Obal!$E$853:$E$853</definedName>
    <definedName name="obalCh3Prod2Slot1NetRev">Obal!$E$849:$E$849</definedName>
    <definedName name="obalCh3Prod2Slot1NetRevPerLtr">Obal!$E$852:$E$852</definedName>
    <definedName name="obalCh3Prod2Slot1Pack">Obal!$E$857:$E$857</definedName>
    <definedName name="obalCh3Prod2Slot1Promo1">Obal!$E$271:$E$271</definedName>
    <definedName name="obalCh3Prod2Slot1Promo1CustUplift">Obal!$E$863:$E$863</definedName>
    <definedName name="obalCh3Prod2Slot1Promo1GPaLUplift">Obal!$E$861:$E$861</definedName>
    <definedName name="obalCh3Prod2Slot1Promo1Price">Obal!$E$855:$E$855</definedName>
    <definedName name="obalCh3Prod2Slot1Promo1ROI">Obal!$E$859:$E$859</definedName>
    <definedName name="obalCh3Prod2Slot1Promo1Share">Obal!$E$858:$E$858</definedName>
    <definedName name="obalCh3Prod2Slot1Promo1VolUplift">Obal!$E$862:$E$862</definedName>
    <definedName name="obalCh3Prod2Slot1Promo1Weeks">Obal!$E$1276:$E$1276</definedName>
    <definedName name="obalCh3Prod2Slot1SoldVol">Obal!$E$851:$E$851</definedName>
    <definedName name="obalCh3Prod2Slot1WD">Obal!$E$860:$E$860</definedName>
    <definedName name="obalCh3Prod2Slot2Active">Obal!$E$180:$E$180</definedName>
    <definedName name="obalCh3Prod2Slot2AvgPrice">Obal!$E$874:$E$874</definedName>
    <definedName name="obalCh3Prod2Slot2COGS">Obal!$E$882:$E$882</definedName>
    <definedName name="obalCh3Prod2Slot2COGSpL">Obal!$E$883:$E$883</definedName>
    <definedName name="obalCh3Prod2Slot2CustPrice">Obal!$E$872:$E$872</definedName>
    <definedName name="obalCh3Prod2Slot2GPaL">Obal!$E$868:$E$868</definedName>
    <definedName name="obalCh3Prod2Slot2GPaLPerLitre">Obal!$E$871:$E$871</definedName>
    <definedName name="obalCh3Prod2Slot2NetRev">Obal!$E$867:$E$867</definedName>
    <definedName name="obalCh3Prod2Slot2NetRevPerLtr">Obal!$E$870:$E$870</definedName>
    <definedName name="obalCh3Prod2Slot2Pack">Obal!$E$875:$E$875</definedName>
    <definedName name="obalCh3Prod2Slot2Promo1">Obal!$E$272:$E$272</definedName>
    <definedName name="obalCh3Prod2Slot2Promo1CustUplift">Obal!$E$881:$E$881</definedName>
    <definedName name="obalCh3Prod2Slot2Promo1GPaLUplift">Obal!$E$879:$E$879</definedName>
    <definedName name="obalCh3Prod2Slot2Promo1Price">Obal!$E$873:$E$873</definedName>
    <definedName name="obalCh3Prod2Slot2Promo1ROI">Obal!$E$877:$E$877</definedName>
    <definedName name="obalCh3Prod2Slot2Promo1Share">Obal!$E$876:$E$876</definedName>
    <definedName name="obalCh3Prod2Slot2Promo1VolUplift">Obal!$E$880:$E$880</definedName>
    <definedName name="obalCh3Prod2Slot2Promo1Weeks">Obal!$E$1277:$E$1277</definedName>
    <definedName name="obalCh3Prod2Slot2SoldVol">Obal!$E$869:$E$869</definedName>
    <definedName name="obalCh3Prod2Slot2WD">Obal!$E$878:$E$878</definedName>
    <definedName name="obalCh3Prod2Slot3Active">Obal!$E$181:$E$181</definedName>
    <definedName name="obalCh3Prod2Slot3AvgPrice">Obal!$E$892:$E$892</definedName>
    <definedName name="obalCh3Prod2Slot3COGS">Obal!$E$900:$E$900</definedName>
    <definedName name="obalCh3Prod2Slot3COGSpL">Obal!$E$901:$E$901</definedName>
    <definedName name="obalCh3Prod2Slot3CustPrice">Obal!$E$890:$E$890</definedName>
    <definedName name="obalCh3Prod2Slot3GPaL">Obal!$E$886:$E$886</definedName>
    <definedName name="obalCh3Prod2Slot3GPaLPerLitre">Obal!$E$889:$E$889</definedName>
    <definedName name="obalCh3Prod2Slot3NetRev">Obal!$E$885:$E$885</definedName>
    <definedName name="obalCh3Prod2Slot3NetRevPerLtr">Obal!$E$888:$E$888</definedName>
    <definedName name="obalCh3Prod2Slot3Pack">Obal!$E$893:$E$893</definedName>
    <definedName name="obalCh3Prod2Slot3Promo1">Obal!$E$273:$E$273</definedName>
    <definedName name="obalCh3Prod2Slot3Promo1CustUplift">Obal!$E$899:$E$899</definedName>
    <definedName name="obalCh3Prod2Slot3Promo1GPaLUplift">Obal!$E$897:$E$897</definedName>
    <definedName name="obalCh3Prod2Slot3Promo1Price">Obal!$E$891:$E$891</definedName>
    <definedName name="obalCh3Prod2Slot3Promo1ROI">Obal!$E$895:$E$895</definedName>
    <definedName name="obalCh3Prod2Slot3Promo1Share">Obal!$E$894:$E$894</definedName>
    <definedName name="obalCh3Prod2Slot3Promo1VolUplift">Obal!$E$898:$E$898</definedName>
    <definedName name="obalCh3Prod2Slot3Promo1Weeks">Obal!$E$1278:$E$1278</definedName>
    <definedName name="obalCh3Prod2Slot3SoldVol">Obal!$E$887:$E$887</definedName>
    <definedName name="obalCh3Prod2Slot3WD">Obal!$E$896:$E$896</definedName>
    <definedName name="obalCh3Prod2SlotTotActive">Obal!$E$183:$E$183</definedName>
    <definedName name="obalCh3Prod3Slot1Active">Obal!$E$186:$E$186</definedName>
    <definedName name="obalCh3Prod3Slot1AvgPrice">Obal!$E$912:$E$912</definedName>
    <definedName name="obalCh3Prod3Slot1COGS">Obal!$E$920:$E$920</definedName>
    <definedName name="obalCh3Prod3Slot1COGSpL">Obal!$E$921:$E$921</definedName>
    <definedName name="obalCh3Prod3Slot1CustPrice">Obal!$E$910:$E$910</definedName>
    <definedName name="obalCh3Prod3Slot1GPaL">Obal!$E$906:$E$906</definedName>
    <definedName name="obalCh3Prod3Slot1GPaLPerLitre">Obal!$E$909:$E$909</definedName>
    <definedName name="obalCh3Prod3Slot1NetRev">Obal!$E$905:$E$905</definedName>
    <definedName name="obalCh3Prod3Slot1NetRevPerLtr">Obal!$E$908:$E$908</definedName>
    <definedName name="obalCh3Prod3Slot1Pack">Obal!$E$913:$E$913</definedName>
    <definedName name="obalCh3Prod3Slot1Promo1">Obal!$E$274:$E$274</definedName>
    <definedName name="obalCh3Prod3Slot1Promo1CustUplift">Obal!$E$919:$E$919</definedName>
    <definedName name="obalCh3Prod3Slot1Promo1GPaLUplift">Obal!$E$917:$E$917</definedName>
    <definedName name="obalCh3Prod3Slot1Promo1Price">Obal!$E$911:$E$911</definedName>
    <definedName name="obalCh3Prod3Slot1Promo1ROI">Obal!$E$915:$E$915</definedName>
    <definedName name="obalCh3Prod3Slot1Promo1Share">Obal!$E$914:$E$914</definedName>
    <definedName name="obalCh3Prod3Slot1Promo1VolUplift">Obal!$E$918:$E$918</definedName>
    <definedName name="obalCh3Prod3Slot1Promo1Weeks">Obal!$E$1280:$E$1280</definedName>
    <definedName name="obalCh3Prod3Slot1SoldVol">Obal!$E$907:$E$907</definedName>
    <definedName name="obalCh3Prod3Slot1WD">Obal!$E$916:$E$916</definedName>
    <definedName name="obalCh3Prod3Slot2Active">Obal!$E$187:$E$187</definedName>
    <definedName name="obalCh3Prod3Slot2AvgPrice">Obal!$E$930:$E$930</definedName>
    <definedName name="obalCh3Prod3Slot2COGS">Obal!$E$938:$E$938</definedName>
    <definedName name="obalCh3Prod3Slot2COGSpL">Obal!$E$939:$E$939</definedName>
    <definedName name="obalCh3Prod3Slot2CustPrice">Obal!$E$928:$E$928</definedName>
    <definedName name="obalCh3Prod3Slot2GPaL">Obal!$E$924:$E$924</definedName>
    <definedName name="obalCh3Prod3Slot2GPaLPerLitre">Obal!$E$927:$E$927</definedName>
    <definedName name="obalCh3Prod3Slot2NetRev">Obal!$E$923:$E$923</definedName>
    <definedName name="obalCh3Prod3Slot2NetRevPerLtr">Obal!$E$926:$E$926</definedName>
    <definedName name="obalCh3Prod3Slot2Pack">Obal!$E$931:$E$931</definedName>
    <definedName name="obalCh3Prod3Slot2Promo1">Obal!$E$275:$E$275</definedName>
    <definedName name="obalCh3Prod3Slot2Promo1CustUplift">Obal!$E$937:$E$937</definedName>
    <definedName name="obalCh3Prod3Slot2Promo1GPaLUplift">Obal!$E$935:$E$935</definedName>
    <definedName name="obalCh3Prod3Slot2Promo1Price">Obal!$E$929:$E$929</definedName>
    <definedName name="obalCh3Prod3Slot2Promo1ROI">Obal!$E$933:$E$933</definedName>
    <definedName name="obalCh3Prod3Slot2Promo1Share">Obal!$E$932:$E$932</definedName>
    <definedName name="obalCh3Prod3Slot2Promo1VolUplift">Obal!$E$936:$E$936</definedName>
    <definedName name="obalCh3Prod3Slot2Promo1Weeks">Obal!$E$1281:$E$1281</definedName>
    <definedName name="obalCh3Prod3Slot2SoldVol">Obal!$E$925:$E$925</definedName>
    <definedName name="obalCh3Prod3Slot2WD">Obal!$E$934:$E$934</definedName>
    <definedName name="obalCh3Prod3Slot3Active">Obal!$E$188:$E$188</definedName>
    <definedName name="obalCh3Prod3Slot3AvgPrice">Obal!$E$948:$E$948</definedName>
    <definedName name="obalCh3Prod3Slot3COGS">Obal!$E$956:$E$956</definedName>
    <definedName name="obalCh3Prod3Slot3COGSpL">Obal!$E$957:$E$957</definedName>
    <definedName name="obalCh3Prod3Slot3CustPrice">Obal!$E$946:$E$946</definedName>
    <definedName name="obalCh3Prod3Slot3GPaL">Obal!$E$942:$E$942</definedName>
    <definedName name="obalCh3Prod3Slot3GPaLPerLitre">Obal!$E$945:$E$945</definedName>
    <definedName name="obalCh3Prod3Slot3NetRev">Obal!$E$941:$E$941</definedName>
    <definedName name="obalCh3Prod3Slot3NetRevPerLtr">Obal!$E$944:$E$944</definedName>
    <definedName name="obalCh3Prod3Slot3Pack">Obal!$E$949:$E$949</definedName>
    <definedName name="obalCh3Prod3Slot3Promo1">Obal!$E$276:$E$276</definedName>
    <definedName name="obalCh3Prod3Slot3Promo1CustUplift">Obal!$E$955:$E$955</definedName>
    <definedName name="obalCh3Prod3Slot3Promo1GPaLUplift">Obal!$E$953:$E$953</definedName>
    <definedName name="obalCh3Prod3Slot3Promo1Price">Obal!$E$947:$E$947</definedName>
    <definedName name="obalCh3Prod3Slot3Promo1ROI">Obal!$E$951:$E$951</definedName>
    <definedName name="obalCh3Prod3Slot3Promo1Share">Obal!$E$950:$E$950</definedName>
    <definedName name="obalCh3Prod3Slot3Promo1VolUplift">Obal!$E$954:$E$954</definedName>
    <definedName name="obalCh3Prod3Slot3Promo1Weeks">Obal!$E$1282:$E$1282</definedName>
    <definedName name="obalCh3Prod3Slot3SoldVol">Obal!$E$943:$E$943</definedName>
    <definedName name="obalCh3Prod3Slot3WD">Obal!$E$952:$E$952</definedName>
    <definedName name="obalCh3Prod3SlotTotActive">Obal!$E$190:$E$190</definedName>
    <definedName name="obalCh3Prod4Slot1Active">Obal!$E$193:$E$193</definedName>
    <definedName name="obalCh3Prod4Slot1AvgPrice">Obal!$E$968:$E$968</definedName>
    <definedName name="obalCh3Prod4Slot1COGS">Obal!$E$976:$E$976</definedName>
    <definedName name="obalCh3Prod4Slot1COGSpL">Obal!$E$977:$E$977</definedName>
    <definedName name="obalCh3Prod4Slot1CustPrice">Obal!$E$966:$E$966</definedName>
    <definedName name="obalCh3Prod4Slot1GPaL">Obal!$E$962:$E$962</definedName>
    <definedName name="obalCh3Prod4Slot1GPaLPerLitre">Obal!$E$965:$E$965</definedName>
    <definedName name="obalCh3Prod4Slot1NetRev">Obal!$E$961:$E$961</definedName>
    <definedName name="obalCh3Prod4Slot1NetRevPerLtr">Obal!$E$964:$E$964</definedName>
    <definedName name="obalCh3Prod4Slot1Pack">Obal!$E$969:$E$969</definedName>
    <definedName name="obalCh3Prod4Slot1Promo1">Obal!$E$277:$E$277</definedName>
    <definedName name="obalCh3Prod4Slot1Promo1CustUplift">Obal!$E$975:$E$975</definedName>
    <definedName name="obalCh3Prod4Slot1Promo1GPaLUplift">Obal!$E$973:$E$973</definedName>
    <definedName name="obalCh3Prod4Slot1Promo1Price">Obal!$E$967:$E$967</definedName>
    <definedName name="obalCh3Prod4Slot1Promo1ROI">Obal!$E$971:$E$971</definedName>
    <definedName name="obalCh3Prod4Slot1Promo1Share">Obal!$E$970:$E$970</definedName>
    <definedName name="obalCh3Prod4Slot1Promo1VolUplift">Obal!$E$974:$E$974</definedName>
    <definedName name="obalCh3Prod4Slot1Promo1Weeks">Obal!$E$1284:$E$1284</definedName>
    <definedName name="obalCh3Prod4Slot1SoldVol">Obal!$E$963:$E$963</definedName>
    <definedName name="obalCh3Prod4Slot1WD">Obal!$E$972:$E$972</definedName>
    <definedName name="obalCh3Prod4Slot2Active">Obal!$E$194:$E$194</definedName>
    <definedName name="obalCh3Prod4Slot2AvgPrice">Obal!$E$986:$E$986</definedName>
    <definedName name="obalCh3Prod4Slot2COGS">Obal!$E$994:$E$994</definedName>
    <definedName name="obalCh3Prod4Slot2COGSpL">Obal!$E$995:$E$995</definedName>
    <definedName name="obalCh3Prod4Slot2CustPrice">Obal!$E$984:$E$984</definedName>
    <definedName name="obalCh3Prod4Slot2GPaL">Obal!$E$980:$E$980</definedName>
    <definedName name="obalCh3Prod4Slot2GPaLPerLitre">Obal!$E$983:$E$983</definedName>
    <definedName name="obalCh3Prod4Slot2NetRev">Obal!$E$979:$E$979</definedName>
    <definedName name="obalCh3Prod4Slot2NetRevPerLtr">Obal!$E$982:$E$982</definedName>
    <definedName name="obalCh3Prod4Slot2Pack">Obal!$E$987:$E$987</definedName>
    <definedName name="obalCh3Prod4Slot2Promo1">Obal!$E$278:$E$278</definedName>
    <definedName name="obalCh3Prod4Slot2Promo1CustUplift">Obal!$E$993:$E$993</definedName>
    <definedName name="obalCh3Prod4Slot2Promo1GPaLUplift">Obal!$E$991:$E$991</definedName>
    <definedName name="obalCh3Prod4Slot2Promo1Price">Obal!$E$985:$E$985</definedName>
    <definedName name="obalCh3Prod4Slot2Promo1ROI">Obal!$E$989:$E$989</definedName>
    <definedName name="obalCh3Prod4Slot2Promo1Share">Obal!$E$988:$E$988</definedName>
    <definedName name="obalCh3Prod4Slot2Promo1VolUplift">Obal!$E$992:$E$992</definedName>
    <definedName name="obalCh3Prod4Slot2Promo1Weeks">Obal!$E$1285:$E$1285</definedName>
    <definedName name="obalCh3Prod4Slot2SoldVol">Obal!$E$981:$E$981</definedName>
    <definedName name="obalCh3Prod4Slot2WD">Obal!$E$990:$E$990</definedName>
    <definedName name="obalCh3Prod4Slot3Active">Obal!$E$195:$E$195</definedName>
    <definedName name="obalCh3Prod4Slot3AvgPrice">Obal!$E$1004:$E$1004</definedName>
    <definedName name="obalCh3Prod4Slot3COGS">Obal!$E$1012:$E$1012</definedName>
    <definedName name="obalCh3Prod4Slot3COGSpL">Obal!$E$1013:$E$1013</definedName>
    <definedName name="obalCh3Prod4Slot3CustPrice">Obal!$E$1002:$E$1002</definedName>
    <definedName name="obalCh3Prod4Slot3GPaL">Obal!$E$998:$E$998</definedName>
    <definedName name="obalCh3Prod4Slot3GPaLPerLitre">Obal!$E$1001:$E$1001</definedName>
    <definedName name="obalCh3Prod4Slot3NetRev">Obal!$E$997:$E$997</definedName>
    <definedName name="obalCh3Prod4Slot3NetRevPerLtr">Obal!$E$1000:$E$1000</definedName>
    <definedName name="obalCh3Prod4Slot3Pack">Obal!$E$1005:$E$1005</definedName>
    <definedName name="obalCh3Prod4Slot3Promo1">Obal!$E$279:$E$279</definedName>
    <definedName name="obalCh3Prod4Slot3Promo1CustUplift">Obal!$E$1011:$E$1011</definedName>
    <definedName name="obalCh3Prod4Slot3Promo1GPaLUplift">Obal!$E$1009:$E$1009</definedName>
    <definedName name="obalCh3Prod4Slot3Promo1Price">Obal!$E$1003:$E$1003</definedName>
    <definedName name="obalCh3Prod4Slot3Promo1ROI">Obal!$E$1007:$E$1007</definedName>
    <definedName name="obalCh3Prod4Slot3Promo1Share">Obal!$E$1006:$E$1006</definedName>
    <definedName name="obalCh3Prod4Slot3Promo1VolUplift">Obal!$E$1010:$E$1010</definedName>
    <definedName name="obalCh3Prod4Slot3Promo1Weeks">Obal!$E$1286:$E$1286</definedName>
    <definedName name="obalCh3Prod4Slot3SoldVol">Obal!$E$999:$E$999</definedName>
    <definedName name="obalCh3Prod4Slot3WD">Obal!$E$1008:$E$1008</definedName>
    <definedName name="obalCh3Prod4SlotTotActive">Obal!$E$197:$E$197</definedName>
    <definedName name="obalCh3RevenueTot">Obal!$E$302:$E$302</definedName>
    <definedName name="obalCh3Slots">Obal!$E$90:$E$90</definedName>
    <definedName name="obalCh3SlotTotActive">Obal!$E$199:$E$199</definedName>
    <definedName name="obalCh3ValDriv1">Obal!$E$60:$E$60</definedName>
    <definedName name="obalCh3ValDriv2">Obal!$E$65:$E$65</definedName>
    <definedName name="obalCh3ValDriv3">Obal!$E$70:$E$70</definedName>
    <definedName name="obalCh3ValDriv4">Obal!$E$75:$E$75</definedName>
    <definedName name="obalCh3ValDriv5">Obal!$E$80:$E$80</definedName>
    <definedName name="obalCh3ValDrivCond">Obal!$E$85:$E$85</definedName>
    <definedName name="obalCh4CustomerProfitTot">Obal!$E$324:$E$324</definedName>
    <definedName name="obalCh4GCCTot">Obal!$E$317:$E$317</definedName>
    <definedName name="obalCh4GPaLTot">Obal!$E$310:$E$310</definedName>
    <definedName name="obalCh4Prod1Slot1Active">Obal!$E$203:$E$203</definedName>
    <definedName name="obalCh4Prod1Slot1AvgPrice">Obal!$E$1025:$E$1025</definedName>
    <definedName name="obalCh4Prod1Slot1COGS">Obal!$E$1033:$E$1033</definedName>
    <definedName name="obalCh4Prod1Slot1COGSpL">Obal!$E$1034:$E$1034</definedName>
    <definedName name="obalCh4Prod1Slot1CustPrice">Obal!$E$1023:$E$1023</definedName>
    <definedName name="obalCh4Prod1Slot1GPaL">Obal!$E$1019:$E$1019</definedName>
    <definedName name="obalCh4Prod1Slot1GPaLPerLitre">Obal!$E$1022:$E$1022</definedName>
    <definedName name="obalCh4Prod1Slot1NetRev">Obal!$E$1018:$E$1018</definedName>
    <definedName name="obalCh4Prod1Slot1NetRevPerLtr">Obal!$E$1021:$E$1021</definedName>
    <definedName name="obalCh4Prod1Slot1Pack">Obal!$E$1026:$E$1026</definedName>
    <definedName name="obalCh4Prod1Slot1Promo1">Obal!$E$283:$E$283</definedName>
    <definedName name="obalCh4Prod1Slot1Promo1CustUplift">Obal!$E$1032:$E$1032</definedName>
    <definedName name="obalCh4Prod1Slot1Promo1GPaLUplift">Obal!$E$1030:$E$1030</definedName>
    <definedName name="obalCh4Prod1Slot1Promo1Price">Obal!$E$1024:$E$1024</definedName>
    <definedName name="obalCh4Prod1Slot1Promo1ROI">Obal!$E$1028:$E$1028</definedName>
    <definedName name="obalCh4Prod1Slot1Promo1Share">Obal!$E$1027:$E$1027</definedName>
    <definedName name="obalCh4Prod1Slot1Promo1VolUplift">Obal!$E$1031:$E$1031</definedName>
    <definedName name="obalCh4Prod1Slot1Promo1Weeks">Obal!$E$1289:$E$1289</definedName>
    <definedName name="obalCh4Prod1Slot1SoldVol">Obal!$E$1020:$E$1020</definedName>
    <definedName name="obalCh4Prod1Slot1WD">Obal!$E$1029:$E$1029</definedName>
    <definedName name="obalCh4Prod1Slot2Active">Obal!$E$204:$E$204</definedName>
    <definedName name="obalCh4Prod1Slot2AvgPrice">Obal!$E$1043:$E$1043</definedName>
    <definedName name="obalCh4Prod1Slot2COGS">Obal!$E$1051:$E$1051</definedName>
    <definedName name="obalCh4Prod1Slot2COGSpL">Obal!$E$1052:$E$1052</definedName>
    <definedName name="obalCh4Prod1Slot2CustPrice">Obal!$E$1041:$E$1041</definedName>
    <definedName name="obalCh4Prod1Slot2GPaL">Obal!$E$1037:$E$1037</definedName>
    <definedName name="obalCh4Prod1Slot2GPaLPerLitre">Obal!$E$1040:$E$1040</definedName>
    <definedName name="obalCh4Prod1Slot2NetRev">Obal!$E$1036:$E$1036</definedName>
    <definedName name="obalCh4Prod1Slot2NetRevPerLtr">Obal!$E$1039:$E$1039</definedName>
    <definedName name="obalCh4Prod1Slot2Pack">Obal!$E$1044:$E$1044</definedName>
    <definedName name="obalCh4Prod1Slot2Promo1">Obal!$E$284:$E$284</definedName>
    <definedName name="obalCh4Prod1Slot2Promo1CustUplift">Obal!$E$1050:$E$1050</definedName>
    <definedName name="obalCh4Prod1Slot2Promo1GPaLUplift">Obal!$E$1048:$E$1048</definedName>
    <definedName name="obalCh4Prod1Slot2Promo1Price">Obal!$E$1042:$E$1042</definedName>
    <definedName name="obalCh4Prod1Slot2Promo1ROI">Obal!$E$1046:$E$1046</definedName>
    <definedName name="obalCh4Prod1Slot2Promo1Share">Obal!$E$1045:$E$1045</definedName>
    <definedName name="obalCh4Prod1Slot2Promo1VolUplift">Obal!$E$1049:$E$1049</definedName>
    <definedName name="obalCh4Prod1Slot2Promo1Weeks">Obal!$E$1290:$E$1290</definedName>
    <definedName name="obalCh4Prod1Slot2SoldVol">Obal!$E$1038:$E$1038</definedName>
    <definedName name="obalCh4Prod1Slot2WD">Obal!$E$1047:$E$1047</definedName>
    <definedName name="obalCh4Prod1Slot3Active">Obal!$E$205:$E$205</definedName>
    <definedName name="obalCh4Prod1Slot3AvgPrice">Obal!$E$1061:$E$1061</definedName>
    <definedName name="obalCh4Prod1Slot3COGS">Obal!$E$1069:$E$1069</definedName>
    <definedName name="obalCh4Prod1Slot3COGSpL">Obal!$E$1070:$E$1070</definedName>
    <definedName name="obalCh4Prod1Slot3CustPrice">Obal!$E$1059:$E$1059</definedName>
    <definedName name="obalCh4Prod1Slot3GPaL">Obal!$E$1055:$E$1055</definedName>
    <definedName name="obalCh4Prod1Slot3GPaLPerLitre">Obal!$E$1058:$E$1058</definedName>
    <definedName name="obalCh4Prod1Slot3NetRev">Obal!$E$1054:$E$1054</definedName>
    <definedName name="obalCh4Prod1Slot3NetRevPerLtr">Obal!$E$1057:$E$1057</definedName>
    <definedName name="obalCh4Prod1Slot3Pack">Obal!$E$1062:$E$1062</definedName>
    <definedName name="obalCh4Prod1Slot3Promo1">Obal!$E$285:$E$285</definedName>
    <definedName name="obalCh4Prod1Slot3Promo1CustUplift">Obal!$E$1068:$E$1068</definedName>
    <definedName name="obalCh4Prod1Slot3Promo1GPaLUplift">Obal!$E$1066:$E$1066</definedName>
    <definedName name="obalCh4Prod1Slot3Promo1Price">Obal!$E$1060:$E$1060</definedName>
    <definedName name="obalCh4Prod1Slot3Promo1ROI">Obal!$E$1064:$E$1064</definedName>
    <definedName name="obalCh4Prod1Slot3Promo1Share">Obal!$E$1063:$E$1063</definedName>
    <definedName name="obalCh4Prod1Slot3Promo1VolUplift">Obal!$E$1067:$E$1067</definedName>
    <definedName name="obalCh4Prod1Slot3Promo1Weeks">Obal!$E$1291:$E$1291</definedName>
    <definedName name="obalCh4Prod1Slot3SoldVol">Obal!$E$1056:$E$1056</definedName>
    <definedName name="obalCh4Prod1Slot3WD">Obal!$E$1065:$E$1065</definedName>
    <definedName name="obalCh4Prod1SlotTotActive">Obal!$E$207:$E$207</definedName>
    <definedName name="obalCh4Prod2Slot1Active">Obal!$E$210:$E$210</definedName>
    <definedName name="obalCh4Prod2Slot1AvgPrice">Obal!$E$1081:$E$1081</definedName>
    <definedName name="obalCh4Prod2Slot1COGS">Obal!$E$1089:$E$1089</definedName>
    <definedName name="obalCh4Prod2Slot1COGSpL">Obal!$E$1090:$E$1090</definedName>
    <definedName name="obalCh4Prod2Slot1CustPrice">Obal!$E$1079:$E$1079</definedName>
    <definedName name="obalCh4Prod2Slot1GPaL">Obal!$E$1075:$E$1075</definedName>
    <definedName name="obalCh4Prod2Slot1GPaLPerLitre">Obal!$E$1078:$E$1078</definedName>
    <definedName name="obalCh4Prod2Slot1NetRev">Obal!$E$1074:$E$1074</definedName>
    <definedName name="obalCh4Prod2Slot1NetRevPerLtr">Obal!$E$1077:$E$1077</definedName>
    <definedName name="obalCh4Prod2Slot1Pack">Obal!$E$1082:$E$1082</definedName>
    <definedName name="obalCh4Prod2Slot1Promo1">Obal!$E$286:$E$286</definedName>
    <definedName name="obalCh4Prod2Slot1Promo1CustUplift">Obal!$E$1088:$E$1088</definedName>
    <definedName name="obalCh4Prod2Slot1Promo1GPaLUplift">Obal!$E$1086:$E$1086</definedName>
    <definedName name="obalCh4Prod2Slot1Promo1Price">Obal!$E$1080:$E$1080</definedName>
    <definedName name="obalCh4Prod2Slot1Promo1ROI">Obal!$E$1084:$E$1084</definedName>
    <definedName name="obalCh4Prod2Slot1Promo1Share">Obal!$E$1083:$E$1083</definedName>
    <definedName name="obalCh4Prod2Slot1Promo1VolUplift">Obal!$E$1087:$E$1087</definedName>
    <definedName name="obalCh4Prod2Slot1Promo1Weeks">Obal!$E$1293:$E$1293</definedName>
    <definedName name="obalCh4Prod2Slot1SoldVol">Obal!$E$1076:$E$1076</definedName>
    <definedName name="obalCh4Prod2Slot1WD">Obal!$E$1085:$E$1085</definedName>
    <definedName name="obalCh4Prod2Slot2Active">Obal!$E$211:$E$211</definedName>
    <definedName name="obalCh4Prod2Slot2AvgPrice">Obal!$E$1099:$E$1099</definedName>
    <definedName name="obalCh4Prod2Slot2COGS">Obal!$E$1107:$E$1107</definedName>
    <definedName name="obalCh4Prod2Slot2COGSpL">Obal!$E$1108:$E$1108</definedName>
    <definedName name="obalCh4Prod2Slot2CustPrice">Obal!$E$1097:$E$1097</definedName>
    <definedName name="obalCh4Prod2Slot2GPaL">Obal!$E$1093:$E$1093</definedName>
    <definedName name="obalCh4Prod2Slot2GPaLPerLitre">Obal!$E$1096:$E$1096</definedName>
    <definedName name="obalCh4Prod2Slot2NetRev">Obal!$E$1092:$E$1092</definedName>
    <definedName name="obalCh4Prod2Slot2NetRevPerLtr">Obal!$E$1095:$E$1095</definedName>
    <definedName name="obalCh4Prod2Slot2Pack">Obal!$E$1100:$E$1100</definedName>
    <definedName name="obalCh4Prod2Slot2Promo1">Obal!$E$287:$E$287</definedName>
    <definedName name="obalCh4Prod2Slot2Promo1CustUplift">Obal!$E$1106:$E$1106</definedName>
    <definedName name="obalCh4Prod2Slot2Promo1GPaLUplift">Obal!$E$1104:$E$1104</definedName>
    <definedName name="obalCh4Prod2Slot2Promo1Price">Obal!$E$1098:$E$1098</definedName>
    <definedName name="obalCh4Prod2Slot2Promo1ROI">Obal!$E$1102:$E$1102</definedName>
    <definedName name="obalCh4Prod2Slot2Promo1Share">Obal!$E$1101:$E$1101</definedName>
    <definedName name="obalCh4Prod2Slot2Promo1VolUplift">Obal!$E$1105:$E$1105</definedName>
    <definedName name="obalCh4Prod2Slot2Promo1Weeks">Obal!$E$1294:$E$1294</definedName>
    <definedName name="obalCh4Prod2Slot2SoldVol">Obal!$E$1094:$E$1094</definedName>
    <definedName name="obalCh4Prod2Slot2WD">Obal!$E$1103:$E$1103</definedName>
    <definedName name="obalCh4Prod2Slot3Active">Obal!$E$212:$E$212</definedName>
    <definedName name="obalCh4Prod2Slot3AvgPrice">Obal!$E$1117:$E$1117</definedName>
    <definedName name="obalCh4Prod2Slot3COGS">Obal!$E$1125:$E$1125</definedName>
    <definedName name="obalCh4Prod2Slot3COGSpL">Obal!$E$1126:$E$1126</definedName>
    <definedName name="obalCh4Prod2Slot3CustPrice">Obal!$E$1115:$E$1115</definedName>
    <definedName name="obalCh4Prod2Slot3GPaL">Obal!$E$1111:$E$1111</definedName>
    <definedName name="obalCh4Prod2Slot3GPaLPerLitre">Obal!$E$1114:$E$1114</definedName>
    <definedName name="obalCh4Prod2Slot3NetRev">Obal!$E$1110:$E$1110</definedName>
    <definedName name="obalCh4Prod2Slot3NetRevPerLtr">Obal!$E$1113:$E$1113</definedName>
    <definedName name="obalCh4Prod2Slot3Pack">Obal!$E$1118:$E$1118</definedName>
    <definedName name="obalCh4Prod2Slot3Promo1">Obal!$E$288:$E$288</definedName>
    <definedName name="obalCh4Prod2Slot3Promo1CustUplift">Obal!$E$1124:$E$1124</definedName>
    <definedName name="obalCh4Prod2Slot3Promo1GPaLUplift">Obal!$E$1122:$E$1122</definedName>
    <definedName name="obalCh4Prod2Slot3Promo1Price">Obal!$E$1116:$E$1116</definedName>
    <definedName name="obalCh4Prod2Slot3Promo1ROI">Obal!$E$1120:$E$1120</definedName>
    <definedName name="obalCh4Prod2Slot3Promo1Share">Obal!$E$1119:$E$1119</definedName>
    <definedName name="obalCh4Prod2Slot3Promo1VolUplift">Obal!$E$1123:$E$1123</definedName>
    <definedName name="obalCh4Prod2Slot3Promo1Weeks">Obal!$E$1295:$E$1295</definedName>
    <definedName name="obalCh4Prod2Slot3SoldVol">Obal!$E$1112:$E$1112</definedName>
    <definedName name="obalCh4Prod2Slot3WD">Obal!$E$1121:$E$1121</definedName>
    <definedName name="obalCh4Prod2SlotTotActive">Obal!$E$214:$E$214</definedName>
    <definedName name="obalCh4Prod3Slot1Active">Obal!$E$217:$E$217</definedName>
    <definedName name="obalCh4Prod3Slot1AvgPrice">Obal!$E$1137:$E$1137</definedName>
    <definedName name="obalCh4Prod3Slot1COGS">Obal!$E$1145:$E$1145</definedName>
    <definedName name="obalCh4Prod3Slot1COGSpL">Obal!$E$1146:$E$1146</definedName>
    <definedName name="obalCh4Prod3Slot1CustPrice">Obal!$E$1135:$E$1135</definedName>
    <definedName name="obalCh4Prod3Slot1GPaL">Obal!$E$1131:$E$1131</definedName>
    <definedName name="obalCh4Prod3Slot1GPaLPerLitre">Obal!$E$1134:$E$1134</definedName>
    <definedName name="obalCh4Prod3Slot1NetRev">Obal!$E$1130:$E$1130</definedName>
    <definedName name="obalCh4Prod3Slot1NetRevPerLtr">Obal!$E$1133:$E$1133</definedName>
    <definedName name="obalCh4Prod3Slot1Pack">Obal!$E$1138:$E$1138</definedName>
    <definedName name="obalCh4Prod3Slot1Promo1">Obal!$E$289:$E$289</definedName>
    <definedName name="obalCh4Prod3Slot1Promo1CustUplift">Obal!$E$1144:$E$1144</definedName>
    <definedName name="obalCh4Prod3Slot1Promo1GPaLUplift">Obal!$E$1142:$E$1142</definedName>
    <definedName name="obalCh4Prod3Slot1Promo1Price">Obal!$E$1136:$E$1136</definedName>
    <definedName name="obalCh4Prod3Slot1Promo1ROI">Obal!$E$1140:$E$1140</definedName>
    <definedName name="obalCh4Prod3Slot1Promo1Share">Obal!$E$1139:$E$1139</definedName>
    <definedName name="obalCh4Prod3Slot1Promo1VolUplift">Obal!$E$1143:$E$1143</definedName>
    <definedName name="obalCh4Prod3Slot1Promo1Weeks">Obal!$E$1297:$E$1297</definedName>
    <definedName name="obalCh4Prod3Slot1SoldVol">Obal!$E$1132:$E$1132</definedName>
    <definedName name="obalCh4Prod3Slot1WD">Obal!$E$1141:$E$1141</definedName>
    <definedName name="obalCh4Prod3Slot2Active">Obal!$E$218:$E$218</definedName>
    <definedName name="obalCh4Prod3Slot2AvgPrice">Obal!$E$1155:$E$1155</definedName>
    <definedName name="obalCh4Prod3Slot2COGS">Obal!$E$1163:$E$1163</definedName>
    <definedName name="obalCh4Prod3Slot2COGSpL">Obal!$E$1164:$E$1164</definedName>
    <definedName name="obalCh4Prod3Slot2CustPrice">Obal!$E$1153:$E$1153</definedName>
    <definedName name="obalCh4Prod3Slot2GPaL">Obal!$E$1149:$E$1149</definedName>
    <definedName name="obalCh4Prod3Slot2GPaLPerLitre">Obal!$E$1152:$E$1152</definedName>
    <definedName name="obalCh4Prod3Slot2NetRev">Obal!$E$1148:$E$1148</definedName>
    <definedName name="obalCh4Prod3Slot2NetRevPerLtr">Obal!$E$1151:$E$1151</definedName>
    <definedName name="obalCh4Prod3Slot2Pack">Obal!$E$1156:$E$1156</definedName>
    <definedName name="obalCh4Prod3Slot2Promo1">Obal!$E$290:$E$290</definedName>
    <definedName name="obalCh4Prod3Slot2Promo1CustUplift">Obal!$E$1162:$E$1162</definedName>
    <definedName name="obalCh4Prod3Slot2Promo1GPaLUplift">Obal!$E$1160:$E$1160</definedName>
    <definedName name="obalCh4Prod3Slot2Promo1Price">Obal!$E$1154:$E$1154</definedName>
    <definedName name="obalCh4Prod3Slot2Promo1ROI">Obal!$E$1158:$E$1158</definedName>
    <definedName name="obalCh4Prod3Slot2Promo1Share">Obal!$E$1157:$E$1157</definedName>
    <definedName name="obalCh4Prod3Slot2Promo1VolUplift">Obal!$E$1161:$E$1161</definedName>
    <definedName name="obalCh4Prod3Slot2Promo1Weeks">Obal!$E$1298:$E$1298</definedName>
    <definedName name="obalCh4Prod3Slot2SoldVol">Obal!$E$1150:$E$1150</definedName>
    <definedName name="obalCh4Prod3Slot2WD">Obal!$E$1159:$E$1159</definedName>
    <definedName name="obalCh4Prod3Slot3Active">Obal!$E$219:$E$219</definedName>
    <definedName name="obalCh4Prod3Slot3AvgPrice">Obal!$E$1173:$E$1173</definedName>
    <definedName name="obalCh4Prod3Slot3COGS">Obal!$E$1181:$E$1181</definedName>
    <definedName name="obalCh4Prod3Slot3COGSpL">Obal!$E$1182:$E$1182</definedName>
    <definedName name="obalCh4Prod3Slot3CustPrice">Obal!$E$1171:$E$1171</definedName>
    <definedName name="obalCh4Prod3Slot3GPaL">Obal!$E$1167:$E$1167</definedName>
    <definedName name="obalCh4Prod3Slot3GPaLPerLitre">Obal!$E$1170:$E$1170</definedName>
    <definedName name="obalCh4Prod3Slot3NetRev">Obal!$E$1166:$E$1166</definedName>
    <definedName name="obalCh4Prod3Slot3NetRevPerLtr">Obal!$E$1169:$E$1169</definedName>
    <definedName name="obalCh4Prod3Slot3Pack">Obal!$E$1174:$E$1174</definedName>
    <definedName name="obalCh4Prod3Slot3Promo1">Obal!$E$291:$E$291</definedName>
    <definedName name="obalCh4Prod3Slot3Promo1CustUplift">Obal!$E$1180:$E$1180</definedName>
    <definedName name="obalCh4Prod3Slot3Promo1GPaLUplift">Obal!$E$1178:$E$1178</definedName>
    <definedName name="obalCh4Prod3Slot3Promo1Price">Obal!$E$1172:$E$1172</definedName>
    <definedName name="obalCh4Prod3Slot3Promo1ROI">Obal!$E$1176:$E$1176</definedName>
    <definedName name="obalCh4Prod3Slot3Promo1Share">Obal!$E$1175:$E$1175</definedName>
    <definedName name="obalCh4Prod3Slot3Promo1VolUplift">Obal!$E$1179:$E$1179</definedName>
    <definedName name="obalCh4Prod3Slot3Promo1Weeks">Obal!$E$1299:$E$1299</definedName>
    <definedName name="obalCh4Prod3Slot3SoldVol">Obal!$E$1168:$E$1168</definedName>
    <definedName name="obalCh4Prod3Slot3WD">Obal!$E$1177:$E$1177</definedName>
    <definedName name="obalCh4Prod3SlotTotActive">Obal!$E$221:$E$221</definedName>
    <definedName name="obalCh4Prod4Slot1Active">Obal!$E$224:$E$224</definedName>
    <definedName name="obalCh4Prod4Slot1AvgPrice">Obal!$E$1193:$E$1193</definedName>
    <definedName name="obalCh4Prod4Slot1COGS">Obal!$E$1201:$E$1201</definedName>
    <definedName name="obalCh4Prod4Slot1COGSpL">Obal!$E$1202:$E$1202</definedName>
    <definedName name="obalCh4Prod4Slot1CustPrice">Obal!$E$1191:$E$1191</definedName>
    <definedName name="obalCh4Prod4Slot1GPaL">Obal!$E$1187:$E$1187</definedName>
    <definedName name="obalCh4Prod4Slot1GPaLPerLitre">Obal!$E$1190:$E$1190</definedName>
    <definedName name="obalCh4Prod4Slot1NetRev">Obal!$E$1186:$E$1186</definedName>
    <definedName name="obalCh4Prod4Slot1NetRevPerLtr">Obal!$E$1189:$E$1189</definedName>
    <definedName name="obalCh4Prod4Slot1Pack">Obal!$E$1194:$E$1194</definedName>
    <definedName name="obalCh4Prod4Slot1Promo1">Obal!$E$292:$E$292</definedName>
    <definedName name="obalCh4Prod4Slot1Promo1CustUplift">Obal!$E$1200:$E$1200</definedName>
    <definedName name="obalCh4Prod4Slot1Promo1GPaLUplift">Obal!$E$1198:$E$1198</definedName>
    <definedName name="obalCh4Prod4Slot1Promo1Price">Obal!$E$1192:$E$1192</definedName>
    <definedName name="obalCh4Prod4Slot1Promo1ROI">Obal!$E$1196:$E$1196</definedName>
    <definedName name="obalCh4Prod4Slot1Promo1Share">Obal!$E$1195:$E$1195</definedName>
    <definedName name="obalCh4Prod4Slot1Promo1VolUplift">Obal!$E$1199:$E$1199</definedName>
    <definedName name="obalCh4Prod4Slot1Promo1Weeks">Obal!$E$1301:$E$1301</definedName>
    <definedName name="obalCh4Prod4Slot1SoldVol">Obal!$E$1188:$E$1188</definedName>
    <definedName name="obalCh4Prod4Slot1WD">Obal!$E$1197:$E$1197</definedName>
    <definedName name="obalCh4Prod4Slot2Active">Obal!$E$225:$E$225</definedName>
    <definedName name="obalCh4Prod4Slot2AvgPrice">Obal!$E$1211:$E$1211</definedName>
    <definedName name="obalCh4Prod4Slot2COGS">Obal!$E$1219:$E$1219</definedName>
    <definedName name="obalCh4Prod4Slot2COGSpL">Obal!$E$1220:$E$1220</definedName>
    <definedName name="obalCh4Prod4Slot2CustPrice">Obal!$E$1209:$E$1209</definedName>
    <definedName name="obalCh4Prod4Slot2GPaL">Obal!$E$1205:$E$1205</definedName>
    <definedName name="obalCh4Prod4Slot2GPaLPerLitre">Obal!$E$1208:$E$1208</definedName>
    <definedName name="obalCh4Prod4Slot2NetRev">Obal!$E$1204:$E$1204</definedName>
    <definedName name="obalCh4Prod4Slot2NetRevPerLtr">Obal!$E$1207:$E$1207</definedName>
    <definedName name="obalCh4Prod4Slot2Pack">Obal!$E$1212:$E$1212</definedName>
    <definedName name="obalCh4Prod4Slot2Promo1">Obal!$E$293:$E$293</definedName>
    <definedName name="obalCh4Prod4Slot2Promo1CustUplift">Obal!$E$1218:$E$1218</definedName>
    <definedName name="obalCh4Prod4Slot2Promo1GPaLUplift">Obal!$E$1216:$E$1216</definedName>
    <definedName name="obalCh4Prod4Slot2Promo1Price">Obal!$E$1210:$E$1210</definedName>
    <definedName name="obalCh4Prod4Slot2Promo1ROI">Obal!$E$1214:$E$1214</definedName>
    <definedName name="obalCh4Prod4Slot2Promo1Share">Obal!$E$1213:$E$1213</definedName>
    <definedName name="obalCh4Prod4Slot2Promo1VolUplift">Obal!$E$1217:$E$1217</definedName>
    <definedName name="obalCh4Prod4Slot2Promo1Weeks">Obal!$E$1302:$E$1302</definedName>
    <definedName name="obalCh4Prod4Slot2SoldVol">Obal!$E$1206:$E$1206</definedName>
    <definedName name="obalCh4Prod4Slot2WD">Obal!$E$1215:$E$1215</definedName>
    <definedName name="obalCh4Prod4Slot3Active">Obal!$E$226:$E$226</definedName>
    <definedName name="obalCh4Prod4Slot3AvgPrice">Obal!$E$1229:$E$1229</definedName>
    <definedName name="obalCh4Prod4Slot3COGS">Obal!$E$1237:$E$1237</definedName>
    <definedName name="obalCh4Prod4Slot3COGSpL">Obal!$E$1238:$E$1238</definedName>
    <definedName name="obalCh4Prod4Slot3CustPrice">Obal!$E$1227:$E$1227</definedName>
    <definedName name="obalCh4Prod4Slot3GPaL">Obal!$E$1223:$E$1223</definedName>
    <definedName name="obalCh4Prod4Slot3GPaLPerLitre">Obal!$E$1226:$E$1226</definedName>
    <definedName name="obalCh4Prod4Slot3NetRev">Obal!$E$1222:$E$1222</definedName>
    <definedName name="obalCh4Prod4Slot3NetRevPerLtr">Obal!$E$1225:$E$1225</definedName>
    <definedName name="obalCh4Prod4Slot3Pack">Obal!$E$1230:$E$1230</definedName>
    <definedName name="obalCh4Prod4Slot3Promo1">Obal!$E$294:$E$294</definedName>
    <definedName name="obalCh4Prod4Slot3Promo1CustUplift">Obal!$E$1236:$E$1236</definedName>
    <definedName name="obalCh4Prod4Slot3Promo1GPaLUplift">Obal!$E$1234:$E$1234</definedName>
    <definedName name="obalCh4Prod4Slot3Promo1Price">Obal!$E$1228:$E$1228</definedName>
    <definedName name="obalCh4Prod4Slot3Promo1ROI">Obal!$E$1232:$E$1232</definedName>
    <definedName name="obalCh4Prod4Slot3Promo1Share">Obal!$E$1231:$E$1231</definedName>
    <definedName name="obalCh4Prod4Slot3Promo1VolUplift">Obal!$E$1235:$E$1235</definedName>
    <definedName name="obalCh4Prod4Slot3Promo1Weeks">Obal!$E$1303:$E$1303</definedName>
    <definedName name="obalCh4Prod4Slot3SoldVol">Obal!$E$1224:$E$1224</definedName>
    <definedName name="obalCh4Prod4Slot3WD">Obal!$E$1233:$E$1233</definedName>
    <definedName name="obalCh4Prod4SlotTotActive">Obal!$E$228:$E$228</definedName>
    <definedName name="obalCh4RevenueTot">Obal!$E$303:$E$303</definedName>
    <definedName name="obalCh4Slots">Obal!$E$91:$E$91</definedName>
    <definedName name="obalCh4SlotTotActive">Obal!$E$230:$E$230</definedName>
    <definedName name="obalCh4ValDriv1">Obal!$E$61:$E$61</definedName>
    <definedName name="obalCh4ValDriv2">Obal!$E$66:$E$66</definedName>
    <definedName name="obalCh4ValDriv3">Obal!$E$71:$E$71</definedName>
    <definedName name="obalCh4ValDriv4">Obal!$E$76:$E$76</definedName>
    <definedName name="obalCh4ValDriv5">Obal!$E$81:$E$81</definedName>
    <definedName name="obalCh4ValDrivCond">Obal!$E$86:$E$86</definedName>
    <definedName name="obalCompanyCustomerProfitTot">Obal!$E$319:$E$319</definedName>
    <definedName name="obalCompanyEBIT">Obal!$E$312:$E$312</definedName>
    <definedName name="obalCompanyGPaLTot">Obal!$E$305:$E$305</definedName>
    <definedName name="obalCompanyRevenueTot">Obal!$E$298:$E$298</definedName>
    <definedName name="obalCompanyVolSold">Obal!$E$326:$E$326</definedName>
    <definedName name="obalCurrentAssets">FinBSOpen!$E$20</definedName>
    <definedName name="obalCurrentLiab">FinBSOpen!$E$38</definedName>
    <definedName name="obalEmp1">Obal!$E$104:$E$104</definedName>
    <definedName name="obalEquity">FinBSOpen!$E$51</definedName>
    <definedName name="obalGoodwill">FinBSOpen!$E$22</definedName>
    <definedName name="obalLiab">FinBSOpen!$E$42</definedName>
    <definedName name="obalLongTermLiab">FinBSOpen!$E$40</definedName>
    <definedName name="obalNetEarnings">FinBSOpen!$E$49</definedName>
    <definedName name="obalOtherCurrLiab">FinBSOpen!$E$36</definedName>
    <definedName name="obalPack10Avail">Obal!$E$35:$E$35</definedName>
    <definedName name="obalPack11Avail">Obal!$E$36:$E$36</definedName>
    <definedName name="obalPack12Avail">Obal!$E$37:$E$37</definedName>
    <definedName name="obalPack13Avail">Obal!$E$38:$E$38</definedName>
    <definedName name="obalPack14Avail">Obal!$E$39:$E$39</definedName>
    <definedName name="obalPack15Avail">Obal!$E$40:$E$40</definedName>
    <definedName name="obalPack16Avail">Obal!$E$41:$E$41</definedName>
    <definedName name="obalPack17Avail">Obal!$E$42:$E$42</definedName>
    <definedName name="obalPack18Avail">Obal!$E$43:$E$43</definedName>
    <definedName name="obalPack19Avail">Obal!$E$44:$E$44</definedName>
    <definedName name="obalPack1Avail">Obal!$E$26:$E$26</definedName>
    <definedName name="obalPack20Avail">Obal!$E$45:$E$45</definedName>
    <definedName name="obalPack21Avail">Obal!$E$46:$E$46</definedName>
    <definedName name="obalPack22Avail">Obal!$E$47:$E$47</definedName>
    <definedName name="obalPack23Avail">Obal!$E$48:$E$48</definedName>
    <definedName name="obalPack24Avail">Obal!$E$49:$E$49</definedName>
    <definedName name="obalPack25Avail">Obal!$E$50:$E$50</definedName>
    <definedName name="obalPack26Avail">Obal!$E$51:$E$51</definedName>
    <definedName name="obalPack27Avail">Obal!$E$52:$E$52</definedName>
    <definedName name="obalPack28Avail">Obal!$E$53:$E$53</definedName>
    <definedName name="obalPack29Avail">Obal!$E$54:$E$54</definedName>
    <definedName name="obalPack2Avail">Obal!$E$27:$E$27</definedName>
    <definedName name="obalPack30Avail">Obal!$E$55:$E$55</definedName>
    <definedName name="obalPack3Avail">Obal!$E$28:$E$28</definedName>
    <definedName name="obalPack4Avail">Obal!$E$29:$E$29</definedName>
    <definedName name="obalPack5Avail">Obal!$E$30:$E$30</definedName>
    <definedName name="obalPack6Avail">Obal!$E$31:$E$31</definedName>
    <definedName name="obalPack7Avail">Obal!$E$32:$E$32</definedName>
    <definedName name="obalPack8Avail">Obal!$E$33:$E$33</definedName>
    <definedName name="obalPack9Avail">Obal!$E$34:$E$34</definedName>
    <definedName name="obalPlant1Units">Obal!$E$93:$E$93</definedName>
    <definedName name="obalPlantValue">FinBSOpen!$E$27</definedName>
    <definedName name="obalPPEValue">FinBSOpen!$E$25</definedName>
    <definedName name="obalProd1AR">FinBSOpen!$E$15</definedName>
    <definedName name="obalProd1FG">FinBSOpen!$E$18</definedName>
    <definedName name="obalProd1Mat">FinBSOpen!$E$16</definedName>
    <definedName name="obalProd1SlotTotActive">Obal!$E$234:$E$234</definedName>
    <definedName name="obalProd1WIP">FinBSOpen!$E$17</definedName>
    <definedName name="obalProd2SlotTotActive">Obal!$E$235:$E$235</definedName>
    <definedName name="obalProd3SlotTotActive">Obal!$E$236:$E$236</definedName>
    <definedName name="obalProd4SlotTotActive">Obal!$E$237:$E$237</definedName>
    <definedName name="obalReport1">Obal!$E$96:$E$96</definedName>
    <definedName name="obalReport2">Obal!$E$97:$E$97</definedName>
    <definedName name="obalReport3">Obal!$E$98:$E$98</definedName>
    <definedName name="obalReport4">Obal!$E$99:$E$99</definedName>
    <definedName name="obalReport5">Obal!$E$100:$E$100</definedName>
    <definedName name="obalReport6">Obal!$E$101:$E$101</definedName>
    <definedName name="obalRetainedEarnings">FinBSOpen!$E$48</definedName>
    <definedName name="obalSI1CodeR1">Obal!$E$6:$E$6</definedName>
    <definedName name="obalSI1CodeR2">Obal!$E$12:$E$12</definedName>
    <definedName name="obalSI1CodeR3">Obal!$E$18:$E$18</definedName>
    <definedName name="obalSI2CodeR1">Obal!$E$7:$E$7</definedName>
    <definedName name="obalSI2CodeR2">Obal!$E$13:$E$13</definedName>
    <definedName name="obalSI2CodeR3">Obal!$E$19:$E$19</definedName>
    <definedName name="obalSI3CodeR1">Obal!$E$8:$E$8</definedName>
    <definedName name="obalSI3CodeR2">Obal!$E$14:$E$14</definedName>
    <definedName name="obalSI3CodeR3">Obal!$E$20:$E$20</definedName>
    <definedName name="obalSI4CodeR1">Obal!$E$9:$E$9</definedName>
    <definedName name="obalSI4CodeR2">Obal!$E$15:$E$15</definedName>
    <definedName name="obalSI4CodeR3">Obal!$E$21:$E$21</definedName>
    <definedName name="obalSI5CodeR1">Obal!$E$10:$E$10</definedName>
    <definedName name="obalSI5CodeR2">Obal!$E$16:$E$16</definedName>
    <definedName name="obalSI5CodeR3">Obal!$E$22:$E$22</definedName>
    <definedName name="obalSpecialLoans">FinBSOpen!$E$35</definedName>
    <definedName name="obalStock">FinBSOpen!$E$47</definedName>
    <definedName name="Pack_AvailableCount">Packs!$L$23:$L$63</definedName>
    <definedName name="Pack_AvailableProgramDropDown">Packs!$C$5</definedName>
    <definedName name="Pack_Code">Packs!$C$23:$C$63</definedName>
    <definedName name="Pack_currentRound">Packs!$C$16</definedName>
    <definedName name="Pack_DisplayedName">Packs!$F$23:$F$63</definedName>
    <definedName name="Pack_Index">Packs!$B$23:$B$63</definedName>
    <definedName name="Pack_Name">Packs!$D$23:$D$63</definedName>
    <definedName name="Pack_selectedSeparator">Packs!$C$19</definedName>
    <definedName name="Pack_TotalAvailable">Packs!$C$71</definedName>
    <definedName name="Pack_WorksheetName">Packs!$C$68</definedName>
    <definedName name="PackAvailable_AvailableCount">Packs!$L$96:$L$136</definedName>
    <definedName name="PackAvailable_AvailableProgramDropDown">Packs!$C$78</definedName>
    <definedName name="PackAvailable_Code">Packs!$C$96:$C$136</definedName>
    <definedName name="PackAvailable_currentRound">Packs!$C$89</definedName>
    <definedName name="PackAvailable_DisplayedName">Packs!$F$96:$F$136</definedName>
    <definedName name="PackAvailable_Index">Packs!$B$96:$B$136</definedName>
    <definedName name="PackAvailable_Name">Packs!$D$96:$D$136</definedName>
    <definedName name="PackAvailable_selectedSeparator">Packs!$C$92</definedName>
    <definedName name="PackAvailable_TotalAvailable">Packs!$C$144</definedName>
    <definedName name="PackAvailable_WorksheetName">Packs!$C$141</definedName>
    <definedName name="PackTestAvailable">Packs!$F$96:$F$121</definedName>
    <definedName name="PackTestInnovation">Packs!$F$23:$F$48</definedName>
    <definedName name="paramAPDays">param!$E$123:$E$123</definedName>
    <definedName name="paramBorrowIntRate">param!$E$117:$E$117</definedName>
    <definedName name="paramCh1CategoryGrowthSI">param!$E$9:$E$9</definedName>
    <definedName name="paramCh1MarkPlanSI">param!$E$99:$E$99</definedName>
    <definedName name="paramCh1ReportsEmp1Req">param!$E$128:$E$128</definedName>
    <definedName name="paramCh1ReportsExp">param!$E$132:$E$132</definedName>
    <definedName name="paramCh1ValDriv1SIFactor">param!$E$76:$E$76</definedName>
    <definedName name="paramCh1ValDriv1UnCondFactor">param!$E$52:$E$52</definedName>
    <definedName name="paramCh1ValDriv2SIFactor">param!$E$80:$E$80</definedName>
    <definedName name="paramCh1ValDriv2UnCondFactor">param!$E$56:$E$56</definedName>
    <definedName name="paramCh1ValDriv3SIFactor">param!$E$84:$E$84</definedName>
    <definedName name="paramCh1ValDriv3UnCondFactor">param!$E$60:$E$60</definedName>
    <definedName name="paramCh1ValDriv4SIFactor">param!$E$88:$E$88</definedName>
    <definedName name="paramCh1ValDriv4UnCondFactor">param!$E$64:$E$64</definedName>
    <definedName name="paramCh1ValDriv5SIFactor">param!$E$92:$E$92</definedName>
    <definedName name="paramCh1ValDriv5UnCondFactor">param!$E$68:$E$68</definedName>
    <definedName name="paramCh1ValDrivCondSI">param!$E$72:$E$72</definedName>
    <definedName name="paramCh2CategoryGrowthSI">param!$E$10:$E$10</definedName>
    <definedName name="paramCh2MarkPlanSI">param!$E$100:$E$100</definedName>
    <definedName name="paramCh2ReportsEmp1Req">param!$E$129:$E$129</definedName>
    <definedName name="paramCh2ReportsExp">param!$E$133:$E$133</definedName>
    <definedName name="paramCh2ValDriv1SIFactor">param!$E$77:$E$77</definedName>
    <definedName name="paramCh2ValDriv1UnCondFactor">param!$E$53:$E$53</definedName>
    <definedName name="paramCh2ValDriv2SIFactor">param!$E$81:$E$81</definedName>
    <definedName name="paramCh2ValDriv2UnCondFactor">param!$E$57:$E$57</definedName>
    <definedName name="paramCh2ValDriv3SIFactor">param!$E$85:$E$85</definedName>
    <definedName name="paramCh2ValDriv3UnCondFactor">param!$E$61:$E$61</definedName>
    <definedName name="paramCh2ValDriv4SIFactor">param!$E$89:$E$89</definedName>
    <definedName name="paramCh2ValDriv4UnCondFactor">param!$E$65:$E$65</definedName>
    <definedName name="paramCh2ValDriv5SIFactor">param!$E$93:$E$93</definedName>
    <definedName name="paramCh2ValDriv5UnCondFactor">param!$E$69:$E$69</definedName>
    <definedName name="paramCh2ValDrivCondSI">param!$E$73:$E$73</definedName>
    <definedName name="paramCh3CategoryGrowthSI">param!$E$11:$E$11</definedName>
    <definedName name="paramCh3MarkPlanSI">param!$E$101:$E$101</definedName>
    <definedName name="paramCh3ReportsEmp1Req">param!$E$130:$E$130</definedName>
    <definedName name="paramCh3ReportsExp">param!$E$134:$E$134</definedName>
    <definedName name="paramCh3ValDriv1SIFactor">param!$E$78:$E$78</definedName>
    <definedName name="paramCh3ValDriv1UnCondFactor">param!$E$54:$E$54</definedName>
    <definedName name="paramCh3ValDriv2SIFactor">param!$E$82:$E$82</definedName>
    <definedName name="paramCh3ValDriv2UnCondFactor">param!$E$58:$E$58</definedName>
    <definedName name="paramCh3ValDriv3SIFactor">param!$E$86:$E$86</definedName>
    <definedName name="paramCh3ValDriv3UnCondFactor">param!$E$62:$E$62</definedName>
    <definedName name="paramCh3ValDriv4SIFactor">param!$E$90:$E$90</definedName>
    <definedName name="paramCh3ValDriv4UnCondFactor">param!$E$66:$E$66</definedName>
    <definedName name="paramCh3ValDriv5SIFactor">param!$E$94:$E$94</definedName>
    <definedName name="paramCh3ValDriv5UnCondFactor">param!$E$70:$E$70</definedName>
    <definedName name="paramCh3ValDrivCondSI">param!$E$74:$E$74</definedName>
    <definedName name="paramCh4CategoryGrowthSI">param!$E$12:$E$12</definedName>
    <definedName name="paramCh4MarkPlanSI">param!$E$102:$E$102</definedName>
    <definedName name="paramCh4ReportsEmp1Req">param!$E$131:$E$131</definedName>
    <definedName name="paramCh4ReportsExp">param!$E$135:$E$135</definedName>
    <definedName name="paramCh4ValDriv1SIFactor">param!$E$79:$E$79</definedName>
    <definedName name="paramCh4ValDriv1UnCondFactor">param!$E$55:$E$55</definedName>
    <definedName name="paramCh4ValDriv2SIFactor">param!$E$83:$E$83</definedName>
    <definedName name="paramCh4ValDriv2UnCondFactor">param!$E$59:$E$59</definedName>
    <definedName name="paramCh4ValDriv3SIFactor">param!$E$87:$E$87</definedName>
    <definedName name="paramCh4ValDriv3UnCondFactor">param!$E$63:$E$63</definedName>
    <definedName name="paramCh4ValDriv4SIFactor">param!$E$91:$E$91</definedName>
    <definedName name="paramCh4ValDriv4UnCondFactor">param!$E$67:$E$67</definedName>
    <definedName name="paramCh4ValDriv5SIFactor">param!$E$95:$E$95</definedName>
    <definedName name="paramCh4ValDriv5UnCondFactor">param!$E$71:$E$71</definedName>
    <definedName name="paramCh4ValDrivCondSI">param!$E$75:$E$75</definedName>
    <definedName name="paramCorpTaxRate">param!$E$118:$E$118</definedName>
    <definedName name="paramCreditDays">param!$E$115:$E$115</definedName>
    <definedName name="paramemp1AdminCostPct">param!$E$18:$E$18</definedName>
    <definedName name="paramemp1AttRate">param!$E$14:$E$14</definedName>
    <definedName name="paramemp1Exp">param!$E$16:$E$16</definedName>
    <definedName name="paramemp1RecDismCost">param!$E$17:$E$17</definedName>
    <definedName name="paramemp1RecRate">param!$E$15:$E$15</definedName>
    <definedName name="paramExciseProd1">param!$E$119:$E$119</definedName>
    <definedName name="paramExciseProd2">param!$E$120:$E$120</definedName>
    <definedName name="paramExciseProd3">param!$E$121:$E$121</definedName>
    <definedName name="paramExciseProd4">param!$E$122:$E$122</definedName>
    <definedName name="paramFixedAdminExp">param!$E$112:$E$112</definedName>
    <definedName name="paramFixedBrandMktExp">param!$E$108:$E$108</definedName>
    <definedName name="paramFixedRnDExp">param!$E$110:$E$110</definedName>
    <definedName name="paramFixedSalesExp">param!$E$105:$E$105</definedName>
    <definedName name="paramFixedTradeMktExp">param!$E$107:$E$107</definedName>
    <definedName name="paramInnovationExpDisc">param!$E$125:$E$125</definedName>
    <definedName name="paramLabourCostPerHr">param!$E$49:$E$49</definedName>
    <definedName name="paramLendIntRate">param!$E$116:$E$116</definedName>
    <definedName name="paramNewSlotExp">param!$E$96:$E$96</definedName>
    <definedName name="paramPlant1DepRate">param!$E$39:$E$39</definedName>
    <definedName name="paramPlant1DivRevenue">param!$E$41:$E$41</definedName>
    <definedName name="paramPlant1Emp9Req">param!$E$36:$E$36</definedName>
    <definedName name="paramPlant1InvCost">param!$E$35:$E$35</definedName>
    <definedName name="paramPlant1LifecycleDays">param!$E$43:$E$43</definedName>
    <definedName name="paramPlant1MachCostPHr">param!$E$38:$E$38</definedName>
    <definedName name="paramPlant1MachHrsPUnit">param!$E$37:$E$37</definedName>
    <definedName name="paramPlant1MaxUtiliz">param!$E$42:$E$42</definedName>
    <definedName name="paramPlant1RampUpPct">param!$E$40:$E$40</definedName>
    <definedName name="paramPlant1ResetTime">param!$E$44:$E$44</definedName>
    <definedName name="paramPlant1toFG">param!$E$46:$E$46</definedName>
    <definedName name="paramPlant1WIPLevComp">param!$E$45:$E$45</definedName>
    <definedName name="paramProd1LabourExpSI">param!$E$25:$E$25</definedName>
    <definedName name="paramProd1LogExpSI">param!$E$29:$E$29</definedName>
    <definedName name="paramProd1MatExpSI">param!$E$21:$E$21</definedName>
    <definedName name="paramProd2LabourExpSI">param!$E$26:$E$26</definedName>
    <definedName name="paramProd2LogExpSI">param!$E$30:$E$30</definedName>
    <definedName name="paramProd2MatExpSI">param!$E$22:$E$22</definedName>
    <definedName name="paramProd3LabourExpSI">param!$E$27:$E$27</definedName>
    <definedName name="paramProd3LogExpSI">param!$E$31:$E$31</definedName>
    <definedName name="paramProd3MatExpSI">param!$E$23:$E$23</definedName>
    <definedName name="paramProd4LabourExpSI">param!$E$28:$E$28</definedName>
    <definedName name="paramProd4LogExpSI">param!$E$32:$E$32</definedName>
    <definedName name="paramProd4MatExpSI">param!$E$24:$E$24</definedName>
    <definedName name="paramRepEmp1">param!$E$8:$E$8</definedName>
    <definedName name="paramRepExp">param!$E$7:$E$7</definedName>
    <definedName name="paramSIEmp1">param!$E$6:$E$6</definedName>
    <definedName name="paramSIExp">param!$E$5:$E$5</definedName>
    <definedName name="paramTM">param!$E$124:$E$124</definedName>
    <definedName name="paramValDriv2VisibilityShare">param!$E$97:$E$97</definedName>
    <definedName name="paramValDriv3VisibilityShare">param!$E$98:$E$98</definedName>
    <definedName name="paramVariableBrandMktExp">param!$E$109:$E$109</definedName>
    <definedName name="paramVariableRnDExp">param!$E$111:$E$111</definedName>
    <definedName name="paramVariableSalesExp">param!$E$106:$E$106</definedName>
    <definedName name="SI_AvailableCount">SIs!$L$23:$L$63</definedName>
    <definedName name="SI_AvailableProgramDropDown">SIs!$C$5</definedName>
    <definedName name="SI_Code">SIs!$C$23:$C$63</definedName>
    <definedName name="SI_currentRound">SIs!$C$16</definedName>
    <definedName name="SI_DisplayedName">SIs!$F$23:$F$63</definedName>
    <definedName name="SI_Index">SIs!$B$23:$B$63</definedName>
    <definedName name="SI_Name">SIs!$D$23:$D$63</definedName>
    <definedName name="SI_selectedSeparator">SIs!$C$19</definedName>
    <definedName name="SI_TotalAvailable">SIs!$C$71</definedName>
    <definedName name="SI_WorksheetName">SIs!$C$68</definedName>
    <definedName name="sim_OnResetGoTo">Controls!$D$27</definedName>
    <definedName name="SiTest">SIs!$F$23:$F$41</definedName>
    <definedName name="tlInputCh1MarkPlan">tlCh1A!$AC$32</definedName>
    <definedName name="tlInputCh1Prod1Forecast">tlCh1A!$K$14</definedName>
    <definedName name="tlInputCh1Prod1Slot1Active">tlCh1B!$AY$112</definedName>
    <definedName name="tlinputCh1Prod1Slot1CustPrice">tlCh1B!$L$78</definedName>
    <definedName name="tlinputCh1Prod1Slot1Forecast">tlCh1B!$E$78</definedName>
    <definedName name="tlinputCh1Prod1Slot1Pack">tlCh1B!$H$78</definedName>
    <definedName name="tlinputCh1Prod1Slot1Promo1">tlCh1B!$P$78</definedName>
    <definedName name="tlinputCh1Prod1Slot1Promo1ShareFrc">tlCh1B!$V$78</definedName>
    <definedName name="tlinputCh1Prod1Slot1Promo1Weeks">tlCh1B!$S$78</definedName>
    <definedName name="tlinputCh1Prod1Slot1Promo2">tlCh1B!$Z$78</definedName>
    <definedName name="tlinputCh1Prod1Slot1Promo2ShareFrc">tlCh1B!$AF$78</definedName>
    <definedName name="tlinputCh1Prod1Slot1Promo2Weeks">tlCh1B!$AC$78</definedName>
    <definedName name="tlInputCh1Prod1Slot2Active">tlCh1B!$AY$113</definedName>
    <definedName name="tlinputCh1Prod1Slot2CustPrice">tlCh1B!$L$80</definedName>
    <definedName name="tlinputCh1Prod1Slot2Forecast">tlCh1B!$E$80</definedName>
    <definedName name="tlinputCh1Prod1Slot2Pack">tlCh1B!$H$80</definedName>
    <definedName name="tlinputCh1Prod1Slot2Promo1">tlCh1B!$P$80</definedName>
    <definedName name="tlinputCh1Prod1Slot2Promo1ShareFrc">tlCh1B!$V$80</definedName>
    <definedName name="tlinputCh1Prod1Slot2Promo1Weeks">tlCh1B!$S$80</definedName>
    <definedName name="tlinputCh1Prod1Slot2Promo2">tlCh1B!$Z$80</definedName>
    <definedName name="tlinputCh1Prod1Slot2Promo2ShareFrc">tlCh1B!$AF$80</definedName>
    <definedName name="tlinputCh1Prod1Slot2Promo2Weeks">tlCh1B!$AC$80</definedName>
    <definedName name="tlInputCh1Prod1Slot3Active">tlCh1B!$AY$114</definedName>
    <definedName name="tlinputCh1Prod1Slot3CustPrice">tlCh1B!$L$82</definedName>
    <definedName name="tlinputCh1Prod1Slot3Forecast">tlCh1B!$E$82</definedName>
    <definedName name="tlinputCh1Prod1Slot3Pack">tlCh1B!$H$82</definedName>
    <definedName name="tlinputCh1Prod1Slot3Promo1">tlCh1B!$P$82</definedName>
    <definedName name="tlinputCh1Prod1Slot3Promo1ShareFrc">tlCh1B!$V$82</definedName>
    <definedName name="tlinputCh1Prod1Slot3Promo1Weeks">tlCh1B!$S$82</definedName>
    <definedName name="tlinputCh1Prod1Slot3Promo2">tlCh1B!$Z$82</definedName>
    <definedName name="tlinputCh1Prod1Slot3Promo2ShareFrc">tlCh1B!$AF$82</definedName>
    <definedName name="tlinputCh1Prod1Slot3Promo2Weeks">tlCh1B!$AC$82</definedName>
    <definedName name="tlInputCh1Prod2Forecast">tlCh1A!$E$14</definedName>
    <definedName name="tlInputCh1Prod2Slot1Active">tlCh1B!$AY$115</definedName>
    <definedName name="tlinputCh1Prod2Slot1CustPrice">tlCh1B!$L$46</definedName>
    <definedName name="tlinputCh1Prod2Slot1Forecast">tlCh1B!$E$46</definedName>
    <definedName name="tlinputCh1Prod2Slot1Pack">tlCh1B!$H$46</definedName>
    <definedName name="tlinputCh1Prod2Slot1Promo1">tlCh1B!$P$46</definedName>
    <definedName name="tlinputCh1Prod2Slot1Promo1ShareFrc">tlCh1B!$V$46</definedName>
    <definedName name="tlinputCh1Prod2Slot1Promo1Weeks">tlCh1B!$S$46</definedName>
    <definedName name="tlinputCh1Prod2Slot1Promo2">tlCh1B!$Z$46</definedName>
    <definedName name="tlinputCh1Prod2Slot1Promo2ShareFrc">tlCh1B!$AF$46</definedName>
    <definedName name="tlinputCh1Prod2Slot1Promo2Weeks">tlCh1B!$AC$46</definedName>
    <definedName name="tlInputCh1Prod2Slot2Active">tlCh1B!$AY$116</definedName>
    <definedName name="tlinputCh1Prod2Slot2CustPrice">tlCh1B!$L$48</definedName>
    <definedName name="tlinputCh1Prod2Slot2Forecast">tlCh1B!$E$48</definedName>
    <definedName name="tlinputCh1Prod2Slot2Pack">tlCh1B!$H$48</definedName>
    <definedName name="tlinputCh1Prod2Slot2Promo1">tlCh1B!$P$48</definedName>
    <definedName name="tlinputCh1Prod2Slot2Promo1ShareFrc">tlCh1B!$V$48</definedName>
    <definedName name="tlinputCh1Prod2Slot2Promo1Weeks">tlCh1B!$S$48</definedName>
    <definedName name="tlinputCh1Prod2Slot2Promo2">tlCh1B!$Z$48</definedName>
    <definedName name="tlinputCh1Prod2Slot2Promo2ShareFrc">tlCh1B!$AF$48</definedName>
    <definedName name="tlinputCh1Prod2Slot2Promo2Weeks">tlCh1B!$AC$48</definedName>
    <definedName name="tlInputCh1Prod2Slot3Active">tlCh1B!$AY$117</definedName>
    <definedName name="tlinputCh1Prod2Slot3CustPrice">tlCh1B!$L$50</definedName>
    <definedName name="tlinputCh1Prod2Slot3Forecast">tlCh1B!$E$50</definedName>
    <definedName name="tlinputCh1Prod2Slot3Pack">tlCh1B!$H$50</definedName>
    <definedName name="tlinputCh1Prod2Slot3Promo1">tlCh1B!$P$50</definedName>
    <definedName name="tlinputCh1Prod2Slot3Promo1ShareFrc">tlCh1B!$V$50</definedName>
    <definedName name="tlinputCh1Prod2Slot3Promo1Weeks">tlCh1B!$S$50</definedName>
    <definedName name="tlinputCh1Prod2Slot3Promo2">tlCh1B!$Z$50</definedName>
    <definedName name="tlinputCh1Prod2Slot3Promo2ShareFrc">tlCh1B!$AF$50</definedName>
    <definedName name="tlinputCh1Prod2Slot3Promo2Weeks">tlCh1B!$AC$50</definedName>
    <definedName name="tlInputCh1Prod3Forecast">tlCh1A!$H$14</definedName>
    <definedName name="tlInputCh1Prod3Slot1Active">tlCh1B!$AY$118</definedName>
    <definedName name="tlinputCh1Prod3Slot1CustPrice">tlCh1B!$L$62</definedName>
    <definedName name="tlinputCh1Prod3Slot1Forecast">tlCh1B!$E$62</definedName>
    <definedName name="tlinputCh1Prod3Slot1Pack">tlCh1B!$H$62</definedName>
    <definedName name="tlinputCh1Prod3Slot1Promo1">tlCh1B!$P$62</definedName>
    <definedName name="tlinputCh1Prod3Slot1Promo1ShareFrc">tlCh1B!$V$62</definedName>
    <definedName name="tlinputCh1Prod3Slot1Promo1Weeks">tlCh1B!$S$62</definedName>
    <definedName name="tlinputCh1Prod3Slot1Promo2">tlCh1B!$Z$62</definedName>
    <definedName name="tlinputCh1Prod3Slot1Promo2ShareFrc">tlCh1B!$AF$62</definedName>
    <definedName name="tlinputCh1Prod3Slot1Promo2Weeks">tlCh1B!$AC$62</definedName>
    <definedName name="tlInputCh1Prod3Slot2Active">tlCh1B!$AY$119</definedName>
    <definedName name="tlinputCh1Prod3Slot2CustPrice">tlCh1B!$L$64</definedName>
    <definedName name="tlinputCh1Prod3Slot2Forecast">tlCh1B!$E$64</definedName>
    <definedName name="tlinputCh1Prod3Slot2Pack">tlCh1B!$H$64</definedName>
    <definedName name="tlinputCh1Prod3Slot2Promo1">tlCh1B!$P$64</definedName>
    <definedName name="tlinputCh1Prod3Slot2Promo1ShareFrc">tlCh1B!$V$64</definedName>
    <definedName name="tlinputCh1Prod3Slot2Promo1Weeks">tlCh1B!$S$64</definedName>
    <definedName name="tlinputCh1Prod3Slot2Promo2">tlCh1B!$Z$64</definedName>
    <definedName name="tlinputCh1Prod3Slot2Promo2ShareFrc">tlCh1B!$AF$64</definedName>
    <definedName name="tlinputCh1Prod3Slot2Promo2Weeks">tlCh1B!$AC$64</definedName>
    <definedName name="tlInputCh1Prod3Slot3Active">tlCh1B!$AY$120</definedName>
    <definedName name="tlinputCh1Prod3Slot3CustPrice">tlCh1B!$L$66</definedName>
    <definedName name="tlinputCh1Prod3Slot3Forecast">tlCh1B!$E$66</definedName>
    <definedName name="tlinputCh1Prod3Slot3Pack">tlCh1B!$H$66</definedName>
    <definedName name="tlinputCh1Prod3Slot3Promo1">tlCh1B!$P$66</definedName>
    <definedName name="tlinputCh1Prod3Slot3Promo1ShareFrc">tlCh1B!$V$66</definedName>
    <definedName name="tlinputCh1Prod3Slot3Promo1Weeks">tlCh1B!$S$66</definedName>
    <definedName name="tlinputCh1Prod3Slot3Promo2">tlCh1B!$Z$66</definedName>
    <definedName name="tlinputCh1Prod3Slot3Promo2ShareFrc">tlCh1B!$AF$66</definedName>
    <definedName name="tlinputCh1Prod3Slot3Promo2Weeks">tlCh1B!$AC$66</definedName>
    <definedName name="tlInputCh1Prod4Forecast">tlCh1A!$N$16</definedName>
    <definedName name="tlInputCh1Prod4Slot1Active">tlCh1B!$AY$121</definedName>
    <definedName name="tlinputCh1Prod4Slot1CustPrice">tlCh1B!$L$94</definedName>
    <definedName name="tlinputCh1Prod4Slot1Forecast">tlCh1B!$E$94</definedName>
    <definedName name="tlinputCh1Prod4Slot1Pack">tlCh1B!$H$94</definedName>
    <definedName name="tlinputCh1Prod4Slot1Promo1">tlCh1B!$P$94</definedName>
    <definedName name="tlinputCh1Prod4Slot1Promo1ShareFrc">tlCh1B!$V$94</definedName>
    <definedName name="tlinputCh1Prod4Slot1Promo1Weeks">tlCh1B!$S$94</definedName>
    <definedName name="tlinputCh1Prod4Slot1Promo2">tlCh1B!$Z$94</definedName>
    <definedName name="tlinputCh1Prod4Slot1Promo2ShareFrc">tlCh1B!$AF$94</definedName>
    <definedName name="tlinputCh1Prod4Slot1Promo2Weeks">tlCh1B!$AC$94</definedName>
    <definedName name="tlInputCh1Prod4Slot2Active">tlCh1B!$AY$122</definedName>
    <definedName name="tlinputCh1Prod4Slot2CustPrice">tlCh1B!$L$96</definedName>
    <definedName name="tlinputCh1Prod4Slot2Forecast">tlCh1B!$E$96</definedName>
    <definedName name="tlinputCh1Prod4Slot2Pack">tlCh1B!$H$96</definedName>
    <definedName name="tlinputCh1Prod4Slot2Promo1">tlCh1B!$P$96</definedName>
    <definedName name="tlinputCh1Prod4Slot2Promo1ShareFrc">tlCh1B!$V$96</definedName>
    <definedName name="tlinputCh1Prod4Slot2Promo1Weeks">tlCh1B!$S$96</definedName>
    <definedName name="tlinputCh1Prod4Slot2Promo2">tlCh1B!$Z$96</definedName>
    <definedName name="tlinputCh1Prod4Slot2Promo2ShareFrc">tlCh1B!$AF$96</definedName>
    <definedName name="tlinputCh1Prod4Slot2Promo2Weeks">tlCh1B!$AC$96</definedName>
    <definedName name="tlInputCh1Prod4Slot3Active">tlCh1B!$AY$123</definedName>
    <definedName name="tlinputCh1Prod4Slot3CustPrice">tlCh1B!$L$98</definedName>
    <definedName name="tlinputCh1Prod4Slot3Forecast">tlCh1B!$E$98</definedName>
    <definedName name="tlinputCh1Prod4Slot3Pack">tlCh1B!$H$98</definedName>
    <definedName name="tlinputCh1Prod4Slot3Promo1">tlCh1B!$P$98</definedName>
    <definedName name="tlinputCh1Prod4Slot3Promo1ShareFrc">tlCh1B!$V$98</definedName>
    <definedName name="tlinputCh1Prod4Slot3Promo1Weeks">tlCh1B!$S$98</definedName>
    <definedName name="tlinputCh1Prod4Slot3Promo2">tlCh1B!$Z$98</definedName>
    <definedName name="tlinputCh1Prod4Slot3Promo2ShareFrc">tlCh1B!$AF$98</definedName>
    <definedName name="tlinputCh1Prod4Slot3Promo2Weeks">tlCh1B!$AC$98</definedName>
    <definedName name="tlInputCh1R1Report1">tlCh1B!$AY$130</definedName>
    <definedName name="tlInputCh1R1Report2">tlCh1B!$AY$131</definedName>
    <definedName name="tlInputCh1R2Report3">tlCh1B!$AY$132</definedName>
    <definedName name="tlInputCh1R2Report4">tlCh1B!$AY$133</definedName>
    <definedName name="tlInputCh1R3Report5">tlCh1B!$AY$134</definedName>
    <definedName name="tlInputCh1R3Report6">tlCh1B!$AY$135</definedName>
    <definedName name="tlInputCh1ValDriv1">tlCh1A!$E$32</definedName>
    <definedName name="tlInputCh1ValDriv2">tlCh1A!$H$32</definedName>
    <definedName name="tlInputCh1ValDriv3">tlCh1A!$K$32</definedName>
    <definedName name="tlInputCh1ValDriv4">tlCh1A!$N$32</definedName>
    <definedName name="tlInputCh1ValDriv5">tlCh1A!$Q$32</definedName>
    <definedName name="tlInputCh1ValDrivCond">tlCh1A!$W$32</definedName>
    <definedName name="tlInputCh1VT">tlCh1B!$C$7</definedName>
    <definedName name="tlInputCh2MarkPlan">tlCh2A!$AC$32</definedName>
    <definedName name="tlInputCh2Prod1Forecast">tlCh2A!$K$14</definedName>
    <definedName name="tlInputCh2Prod1Slot1Active">tlCh2B!$AY$112</definedName>
    <definedName name="tlinputCh2Prod1Slot1CustPrice">tlCh2B!$L$78</definedName>
    <definedName name="tlinputCh2Prod1Slot1Forecast">tlCh2B!$E$78</definedName>
    <definedName name="tlinputCh2Prod1Slot1Pack">tlCh2B!$H$78</definedName>
    <definedName name="tlInputCh2Prod1Slot2Active">tlCh2B!$AY$113</definedName>
    <definedName name="tlinputCh2Prod1Slot2CustPrice">tlCh2B!$L$80</definedName>
    <definedName name="tlinputCh2Prod1Slot2Forecast">tlCh2B!$E$80</definedName>
    <definedName name="tlinputCh2Prod1Slot2Pack">tlCh2B!$H$80</definedName>
    <definedName name="tlInputCh2Prod1Slot3Active">tlCh2B!$AY$114</definedName>
    <definedName name="tlinputCh2Prod1Slot3CustPrice">tlCh2B!$L$82</definedName>
    <definedName name="tlinputCh2Prod1Slot3Forecast">tlCh2B!$E$82</definedName>
    <definedName name="tlinputCh2Prod1Slot3Pack">tlCh2B!$H$82</definedName>
    <definedName name="tlInputCh2Prod2Forecast">tlCh2A!$E$14</definedName>
    <definedName name="tlInputCh2Prod2Slot1Active">tlCh2B!$AY$115</definedName>
    <definedName name="tlinputCh2Prod2Slot1CustPrice">tlCh2B!$L$46</definedName>
    <definedName name="tlinputCh2Prod2Slot1Forecast">tlCh2B!$E$46</definedName>
    <definedName name="tlinputCh2Prod2Slot1Pack">tlCh2B!$H$46</definedName>
    <definedName name="tlInputCh2Prod2Slot2Active">tlCh2B!$AY$116</definedName>
    <definedName name="tlinputCh2Prod2Slot2CustPrice">tlCh2B!$L$48</definedName>
    <definedName name="tlinputCh2Prod2Slot2Forecast">tlCh2B!$E$48</definedName>
    <definedName name="tlinputCh2Prod2Slot2Pack">tlCh2B!$H$48</definedName>
    <definedName name="tlInputCh2Prod2Slot3Active">tlCh2B!$AY$117</definedName>
    <definedName name="tlinputCh2Prod2Slot3CustPrice">tlCh2B!$L$50</definedName>
    <definedName name="tlinputCh2Prod2Slot3Forecast">tlCh2B!$E$50</definedName>
    <definedName name="tlinputCh2Prod2Slot3Pack">tlCh2B!$H$50</definedName>
    <definedName name="tlInputCh2Prod3Forecast">tlCh2A!$H$14</definedName>
    <definedName name="tlInputCh2Prod3Slot1Active">tlCh2B!$AY$118</definedName>
    <definedName name="tlinputCh2Prod3Slot1CustPrice">tlCh2B!$L$62</definedName>
    <definedName name="tlinputCh2Prod3Slot1Forecast">tlCh2B!$E$62</definedName>
    <definedName name="tlinputCh2Prod3Slot1Pack">tlCh2B!$H$62</definedName>
    <definedName name="tlInputCh2Prod3Slot2Active">tlCh2B!$AY$119</definedName>
    <definedName name="tlinputCh2Prod3Slot2CustPrice">tlCh2B!$L$64</definedName>
    <definedName name="tlinputCh2Prod3Slot2Forecast">tlCh2B!$E$64</definedName>
    <definedName name="tlinputCh2Prod3Slot2Pack">tlCh2B!$H$64</definedName>
    <definedName name="tlInputCh2Prod3Slot3Active">tlCh2B!$AY$120</definedName>
    <definedName name="tlinputCh2Prod3Slot3CustPrice">tlCh2B!$L$66</definedName>
    <definedName name="tlinputCh2Prod3Slot3Forecast">tlCh2B!$E$66</definedName>
    <definedName name="tlinputCh2Prod3Slot3Pack">tlCh2B!$H$66</definedName>
    <definedName name="tlInputCh2Prod4Forecast">tlCh2A!$N$16</definedName>
    <definedName name="tlInputCh2Prod4Slot1Active">tlCh2B!$AY$121</definedName>
    <definedName name="tlinputCh2Prod4Slot1CustPrice">tlCh2B!$L$94</definedName>
    <definedName name="tlinputCh2Prod4Slot1Forecast">tlCh2B!$E$94</definedName>
    <definedName name="tlinputCh2Prod4Slot1Pack">tlCh2B!$H$94</definedName>
    <definedName name="tlInputCh2Prod4Slot2Active">tlCh2B!$AY$122</definedName>
    <definedName name="tlinputCh2Prod4Slot2CustPrice">tlCh2B!$L$96</definedName>
    <definedName name="tlinputCh2Prod4Slot2Forecast">tlCh2B!$E$96</definedName>
    <definedName name="tlinputCh2Prod4Slot2Pack">tlCh2B!$H$96</definedName>
    <definedName name="tlInputCh2Prod4Slot3Active">tlCh2B!$AY$123</definedName>
    <definedName name="tlinputCh2Prod4Slot3CustPrice">tlCh2B!$L$98</definedName>
    <definedName name="tlinputCh2Prod4Slot3Forecast">tlCh2B!$E$98</definedName>
    <definedName name="tlinputCh2Prod4Slot3Pack">tlCh2B!$H$98</definedName>
    <definedName name="tlInputCh2R1Report1">tlCh2B!$AY$130</definedName>
    <definedName name="tlInputCh2R1Report2">tlCh2B!$AY$131</definedName>
    <definedName name="tlInputCh2R2Report3">tlCh2B!$AY$132</definedName>
    <definedName name="tlInputCh2R2Report4">tlCh2B!$AY$133</definedName>
    <definedName name="tlInputCh2R3Report5">tlCh2B!$AY$134</definedName>
    <definedName name="tlInputCh2R3Report6">tlCh2B!$AY$135</definedName>
    <definedName name="tlInputCh2ValDriv1">tlCh2A!$E$32</definedName>
    <definedName name="tlInputCh2ValDriv2">tlCh2A!$H$32</definedName>
    <definedName name="tlInputCh2ValDriv3">tlCh2A!$K$32</definedName>
    <definedName name="tlInputCh2ValDriv4">tlCh2A!$N$32</definedName>
    <definedName name="tlInputCh2ValDriv5">tlCh2A!$Q$32</definedName>
    <definedName name="tlInputCh2ValDrivCond">tlCh2A!$W$32</definedName>
    <definedName name="tlInputCh2VT">tlCh2B!$C$7</definedName>
    <definedName name="tlInputCh3MarkPlan">tlCh3A!$AC$32</definedName>
    <definedName name="tlInputCh3Prod1Forecast">tlCh3A!$K$14</definedName>
    <definedName name="tlInputCh3Prod1Slot1Active">tlCh3B!$AV$112</definedName>
    <definedName name="tlinputCh3Prod1Slot1CustPrice">tlCh3B!$L$78</definedName>
    <definedName name="tlinputCh3Prod1Slot1Forecast">tlCh3B!$E$78</definedName>
    <definedName name="tlinputCh3Prod1Slot1Pack">tlCh3B!$H$78</definedName>
    <definedName name="tlinputCh3Prod1Slot1Promo1">tlCh3B!$Q$78</definedName>
    <definedName name="tlinputCh3Prod1Slot1Promo1ShareFrc">tlCh3B!$W$78</definedName>
    <definedName name="tlinputCh3Prod1Slot1Promo1Weeks">tlCh3B!$T$78</definedName>
    <definedName name="tlInputCh3Prod1Slot2Active">tlCh3B!$AV$113</definedName>
    <definedName name="tlinputCh3Prod1Slot2CustPrice">tlCh3B!$L$80</definedName>
    <definedName name="tlinputCh3Prod1Slot2Forecast">tlCh3B!$E$80</definedName>
    <definedName name="tlinputCh3Prod1Slot2Pack">tlCh3B!$H$80</definedName>
    <definedName name="tlinputCh3Prod1Slot2Promo1">tlCh3B!$Q$80</definedName>
    <definedName name="tlinputCh3Prod1Slot2Promo1ShareFrc">tlCh3B!$W$80</definedName>
    <definedName name="tlinputCh3Prod1Slot2Promo1Weeks">tlCh3B!$T$80</definedName>
    <definedName name="tlInputCh3Prod1Slot3Active">tlCh3B!$AV$114</definedName>
    <definedName name="tlinputCh3Prod1Slot3CustPrice">tlCh3B!$L$82</definedName>
    <definedName name="tlinputCh3Prod1Slot3Forecast">tlCh3B!$E$82</definedName>
    <definedName name="tlinputCh3Prod1Slot3Pack">tlCh3B!$H$82</definedName>
    <definedName name="tlinputCh3Prod1Slot3Promo1">tlCh3B!$Q$82</definedName>
    <definedName name="tlinputCh3Prod1Slot3Promo1ShareFrc">tlCh3B!$W$82</definedName>
    <definedName name="tlinputCh3Prod1Slot3Promo1Weeks">tlCh3B!$T$82</definedName>
    <definedName name="tlInputCh3Prod2Forecast">tlCh3A!$E$14</definedName>
    <definedName name="tlInputCh3Prod2Slot1Active">tlCh3B!$AV$115</definedName>
    <definedName name="tlinputCh3Prod2Slot1CustPrice">tlCh3B!$L$46</definedName>
    <definedName name="tlinputCh3Prod2Slot1Forecast">tlCh3B!$E$46</definedName>
    <definedName name="tlinputCh3Prod2Slot1Pack">tlCh3B!$H$46</definedName>
    <definedName name="tlinputCh3Prod2Slot1Promo1">tlCh3B!$Q$46</definedName>
    <definedName name="tlinputCh3Prod2Slot1Promo1ShareFrc">tlCh3B!$W$46</definedName>
    <definedName name="tlinputCh3Prod2Slot1Promo1Weeks">tlCh3B!$T$46</definedName>
    <definedName name="tlInputCh3Prod2Slot2Active">tlCh3B!$AV$116</definedName>
    <definedName name="tlinputCh3Prod2Slot2CustPrice">tlCh3B!$L$48</definedName>
    <definedName name="tlinputCh3Prod2Slot2Forecast">tlCh3B!$E$48</definedName>
    <definedName name="tlinputCh3Prod2Slot2Pack">tlCh3B!$H$48</definedName>
    <definedName name="tlinputCh3Prod2Slot2Promo1">tlCh3B!$Q$48</definedName>
    <definedName name="tlinputCh3Prod2Slot2Promo1ShareFrc">tlCh3B!$W$48</definedName>
    <definedName name="tlinputCh3Prod2Slot2Promo1Weeks">tlCh3B!$T$48</definedName>
    <definedName name="tlInputCh3Prod2Slot3Active">tlCh3B!$AV$117</definedName>
    <definedName name="tlinputCh3Prod2Slot3CustPrice">tlCh3B!$L$50</definedName>
    <definedName name="tlinputCh3Prod2Slot3Forecast">tlCh3B!$E$50</definedName>
    <definedName name="tlinputCh3Prod2Slot3Pack">tlCh3B!$H$50</definedName>
    <definedName name="tlinputCh3Prod2Slot3Promo1">tlCh3B!$Q$50</definedName>
    <definedName name="tlinputCh3Prod2Slot3Promo1ShareFrc">tlCh3B!$W$50</definedName>
    <definedName name="tlinputCh3Prod2Slot3Promo1Weeks">tlCh3B!$T$50</definedName>
    <definedName name="tlInputCh3Prod3Forecast">tlCh3A!$H$14</definedName>
    <definedName name="tlInputCh3Prod3Slot1Active">tlCh3B!$AV$118</definedName>
    <definedName name="tlinputCh3Prod3Slot1CustPrice">tlCh3B!$L$62</definedName>
    <definedName name="tlinputCh3Prod3Slot1Forecast">tlCh3B!$E$62</definedName>
    <definedName name="tlinputCh3Prod3Slot1Pack">tlCh3B!$H$62</definedName>
    <definedName name="tlinputCh3Prod3Slot1Promo1">tlCh3B!$Q$62</definedName>
    <definedName name="tlinputCh3Prod3Slot1Promo1ShareFrc">tlCh3B!$W$62</definedName>
    <definedName name="tlinputCh3Prod3Slot1Promo1Weeks">tlCh3B!$T$62</definedName>
    <definedName name="tlInputCh3Prod3Slot2Active">tlCh3B!$AV$119</definedName>
    <definedName name="tlinputCh3Prod3Slot2CustPrice">tlCh3B!$L$64</definedName>
    <definedName name="tlinputCh3Prod3Slot2Forecast">tlCh3B!$E$64</definedName>
    <definedName name="tlinputCh3Prod3Slot2Pack">tlCh3B!$H$64</definedName>
    <definedName name="tlinputCh3Prod3Slot2Promo1">tlCh3B!$Q$64</definedName>
    <definedName name="tlinputCh3Prod3Slot2Promo1ShareFrc">tlCh3B!$W$64</definedName>
    <definedName name="tlinputCh3Prod3Slot2Promo1Weeks">tlCh3B!$T$64</definedName>
    <definedName name="tlInputCh3Prod3Slot3Active">tlCh3B!$AV$120</definedName>
    <definedName name="tlinputCh3Prod3Slot3CustPrice">tlCh3B!$L$66</definedName>
    <definedName name="tlinputCh3Prod3Slot3Forecast">tlCh3B!$E$66</definedName>
    <definedName name="tlinputCh3Prod3Slot3Pack">tlCh3B!$H$66</definedName>
    <definedName name="tlinputCh3Prod3Slot3Promo1">tlCh3B!$Q$66</definedName>
    <definedName name="tlinputCh3Prod3Slot3Promo1ShareFrc">tlCh3B!$W$66</definedName>
    <definedName name="tlinputCh3Prod3Slot3Promo1Weeks">tlCh3B!$T$66</definedName>
    <definedName name="tlInputCh3Prod4Forecast">tlCh3A!$N$16</definedName>
    <definedName name="tlInputCh3Prod4Slot1Active">tlCh3B!$AV$121</definedName>
    <definedName name="tlinputCh3Prod4Slot1CustPrice">tlCh3B!$L$94</definedName>
    <definedName name="tlinputCh3Prod4Slot1Forecast">tlCh3B!$E$94</definedName>
    <definedName name="tlinputCh3Prod4Slot1Pack">tlCh3B!$H$94</definedName>
    <definedName name="tlinputCh3Prod4Slot1Promo1">tlCh3B!$Q$94</definedName>
    <definedName name="tlinputCh3Prod4Slot1Promo1ShareFrc">tlCh3B!$W$94</definedName>
    <definedName name="tlinputCh3Prod4Slot1Promo1Weeks">tlCh3B!$T$94</definedName>
    <definedName name="tlInputCh3Prod4Slot2Active">tlCh3B!$AV$122</definedName>
    <definedName name="tlinputCh3Prod4Slot2CustPrice">tlCh3B!$L$96</definedName>
    <definedName name="tlinputCh3Prod4Slot2Forecast">tlCh3B!$E$96</definedName>
    <definedName name="tlinputCh3Prod4Slot2Pack">tlCh3B!$H$96</definedName>
    <definedName name="tlinputCh3Prod4Slot2Promo1">tlCh3B!$Q$96</definedName>
    <definedName name="tlinputCh3Prod4Slot2Promo1ShareFrc">tlCh3B!$W$96</definedName>
    <definedName name="tlinputCh3Prod4Slot2Promo1Weeks">tlCh3B!$T$96</definedName>
    <definedName name="tlInputCh3Prod4Slot3Active">tlCh3B!$AV$123</definedName>
    <definedName name="tlinputCh3Prod4Slot3CustPrice">tlCh3B!$L$98</definedName>
    <definedName name="tlinputCh3Prod4Slot3Forecast">tlCh3B!$E$98</definedName>
    <definedName name="tlinputCh3Prod4Slot3Pack">tlCh3B!$H$98</definedName>
    <definedName name="tlinputCh3Prod4Slot3Promo1">tlCh3B!$Q$98</definedName>
    <definedName name="tlinputCh3Prod4Slot3Promo1ShareFrc">tlCh3B!$W$98</definedName>
    <definedName name="tlinputCh3Prod4Slot3Promo1Weeks">tlCh3B!$T$98</definedName>
    <definedName name="tlInputCh3R1Report1">tlCh3B!$AV$130</definedName>
    <definedName name="tlInputCh3R1Report2">tlCh3B!$AV$131</definedName>
    <definedName name="tlInputCh3R2Report3">tlCh3B!$AV$132</definedName>
    <definedName name="tlInputCh3R2Report4">tlCh3B!$AV$133</definedName>
    <definedName name="tlInputCh3R3Report5">tlCh3B!$AV$134</definedName>
    <definedName name="tlInputCh3R3Report6">tlCh3B!$AV$135</definedName>
    <definedName name="tlInputCh3ValDriv1">tlCh3A!$E$32</definedName>
    <definedName name="tlInputCh3ValDriv2">tlCh3A!$H$32</definedName>
    <definedName name="tlInputCh3ValDriv3">tlCh3A!$K$32</definedName>
    <definedName name="tlInputCh3ValDriv4">tlCh3A!$N$32</definedName>
    <definedName name="tlInputCh3ValDriv5">tlCh3A!$Q$32</definedName>
    <definedName name="tlInputCh3ValDrivCond">tlCh3A!$W$32</definedName>
    <definedName name="tlInputCh3VT">tlCh3B!$C$7</definedName>
    <definedName name="tlInputCh4MarkPlan">tlCh4A!$AC$32</definedName>
    <definedName name="tlInputCh4Prod1Forecast">tlCh4A!$K$14</definedName>
    <definedName name="tlInputCh4Prod1Slot1Active">tlCh4B!$AY$112</definedName>
    <definedName name="tlinputCh4Prod1Slot1CustPrice">tlCh4B!$L$78</definedName>
    <definedName name="tlinputCh4Prod1Slot1Forecast">tlCh4B!$E$78</definedName>
    <definedName name="tlinputCh4Prod1Slot1Pack">tlCh4B!$H$78</definedName>
    <definedName name="tlinputCh4Prod1Slot1Promo1">tlCh4B!$P$78</definedName>
    <definedName name="tlinputCh4Prod1Slot1Promo1ShareFrc">tlCh4B!$V$78</definedName>
    <definedName name="tlinputCh4Prod1Slot1Promo1Weeks">tlCh4B!$S$78</definedName>
    <definedName name="tlinputCh4Prod1Slot1Promo2ShareFrc">tlCh4B!$AF$78</definedName>
    <definedName name="tlInputCh4Prod1Slot2Active">tlCh4B!$AY$113</definedName>
    <definedName name="tlinputCh4Prod1Slot2CustPrice">tlCh4B!$L$80</definedName>
    <definedName name="tlinputCh4Prod1Slot2Forecast">tlCh4B!$E$80</definedName>
    <definedName name="tlinputCh4Prod1Slot2Pack">tlCh4B!$H$80</definedName>
    <definedName name="tlinputCh4Prod1Slot2Promo1">tlCh4B!$P$80</definedName>
    <definedName name="tlinputCh4Prod1Slot2Promo1ShareFrc">tlCh4B!$V$80</definedName>
    <definedName name="tlinputCh4Prod1Slot2Promo1Weeks">tlCh4B!$S$80</definedName>
    <definedName name="tlinputCh4Prod1Slot2Promo2ShareFrc">tlCh4B!$AF$80</definedName>
    <definedName name="tlInputCh4Prod1Slot3Active">tlCh4B!$AY$114</definedName>
    <definedName name="tlinputCh4Prod1Slot3CustPrice">tlCh4B!$L$82</definedName>
    <definedName name="tlinputCh4Prod1Slot3Forecast">tlCh4B!$E$82</definedName>
    <definedName name="tlinputCh4Prod1Slot3Pack">tlCh4B!$H$82</definedName>
    <definedName name="tlinputCh4Prod1Slot3Promo1">tlCh4B!$P$82</definedName>
    <definedName name="tlinputCh4Prod1Slot3Promo1ShareFrc">tlCh4B!$V$82</definedName>
    <definedName name="tlinputCh4Prod1Slot3Promo1Weeks">tlCh4B!$S$82</definedName>
    <definedName name="tlinputCh4Prod1Slot3Promo2ShareFrc">tlCh4B!$AF$82</definedName>
    <definedName name="tlInputCh4Prod2Forecast">tlCh4A!$E$14</definedName>
    <definedName name="tlInputCh4Prod2Slot1Active">tlCh4B!$AY$115</definedName>
    <definedName name="tlinputCh4Prod2Slot1CustPrice">tlCh4B!$L$46</definedName>
    <definedName name="tlinputCh4Prod2Slot1Forecast">tlCh4B!$E$46</definedName>
    <definedName name="tlinputCh4Prod2Slot1Pack">tlCh4B!$H$46</definedName>
    <definedName name="tlinputCh4Prod2Slot1Promo1">tlCh4B!$P$46</definedName>
    <definedName name="tlinputCh4Prod2Slot1Promo1ShareFrc">tlCh4B!$V$46</definedName>
    <definedName name="tlinputCh4Prod2Slot1Promo1Weeks">tlCh4B!$S$46</definedName>
    <definedName name="tlinputCh4Prod2Slot1Promo2ShareFrc">tlCh4B!$AF$46</definedName>
    <definedName name="tlInputCh4Prod2Slot2Active">tlCh4B!$AY$116</definedName>
    <definedName name="tlinputCh4Prod2Slot2CustPrice">tlCh4B!$L$48</definedName>
    <definedName name="tlinputCh4Prod2Slot2Forecast">tlCh4B!$E$48</definedName>
    <definedName name="tlinputCh4Prod2Slot2Pack">tlCh4B!$H$48</definedName>
    <definedName name="tlinputCh4Prod2Slot2Promo1">tlCh4B!$P$48</definedName>
    <definedName name="tlinputCh4Prod2Slot2Promo1ShareFrc">tlCh4B!$V$48</definedName>
    <definedName name="tlinputCh4Prod2Slot2Promo1Weeks">tlCh4B!$S$48</definedName>
    <definedName name="tlinputCh4Prod2Slot2Promo2ShareFrc">tlCh4B!$AF$48</definedName>
    <definedName name="tlInputCh4Prod2Slot3Active">tlCh4B!$AY$117</definedName>
    <definedName name="tlinputCh4Prod2Slot3CustPrice">tlCh4B!$L$50</definedName>
    <definedName name="tlinputCh4Prod2Slot3Forecast">tlCh4B!$E$50</definedName>
    <definedName name="tlinputCh4Prod2Slot3Pack">tlCh4B!$H$50</definedName>
    <definedName name="tlinputCh4Prod2Slot3Promo1">tlCh4B!$P$50</definedName>
    <definedName name="tlinputCh4Prod2Slot3Promo1ShareFrc">tlCh4B!$V$50</definedName>
    <definedName name="tlinputCh4Prod2Slot3Promo1Weeks">tlCh4B!$S$50</definedName>
    <definedName name="tlinputCh4Prod2Slot3Promo2ShareFrc">tlCh4B!$AF$50</definedName>
    <definedName name="tlInputCh4Prod3Forecast">tlCh4A!$H$14</definedName>
    <definedName name="tlInputCh4Prod3Slot1Active">tlCh4B!$AY$118</definedName>
    <definedName name="tlinputCh4Prod3Slot1CustPrice">tlCh4B!$L$62</definedName>
    <definedName name="tlinputCh4Prod3Slot1Forecast">tlCh4B!$E$62</definedName>
    <definedName name="tlinputCh4Prod3Slot1Pack">tlCh4B!$H$62</definedName>
    <definedName name="tlinputCh4Prod3Slot1Promo1">tlCh4B!$P$62</definedName>
    <definedName name="tlinputCh4Prod3Slot1Promo1ShareFrc">tlCh4B!$V$62</definedName>
    <definedName name="tlinputCh4Prod3Slot1Promo1Weeks">tlCh4B!$S$62</definedName>
    <definedName name="tlinputCh4Prod3Slot1Promo2ShareFrc">tlCh4B!$AF$62</definedName>
    <definedName name="tlInputCh4Prod3Slot2Active">tlCh4B!$AY$119</definedName>
    <definedName name="tlinputCh4Prod3Slot2CustPrice">tlCh4B!$L$64</definedName>
    <definedName name="tlinputCh4Prod3Slot2Forecast">tlCh4B!$E$64</definedName>
    <definedName name="tlinputCh4Prod3Slot2Pack">tlCh4B!$H$64</definedName>
    <definedName name="tlinputCh4Prod3Slot2Promo1">tlCh4B!$P$64</definedName>
    <definedName name="tlinputCh4Prod3Slot2Promo1ShareFrc">tlCh4B!$V$64</definedName>
    <definedName name="tlinputCh4Prod3Slot2Promo1Weeks">tlCh4B!$S$64</definedName>
    <definedName name="tlinputCh4Prod3Slot2Promo2ShareFrc">tlCh4B!$AF$64</definedName>
    <definedName name="tlInputCh4Prod3Slot3Active">tlCh4B!$AY$120</definedName>
    <definedName name="tlinputCh4Prod3Slot3CustPrice">tlCh4B!$L$66</definedName>
    <definedName name="tlinputCh4Prod3Slot3Forecast">tlCh4B!$E$66</definedName>
    <definedName name="tlinputCh4Prod3Slot3Pack">tlCh4B!$H$66</definedName>
    <definedName name="tlinputCh4Prod3Slot3Promo1">tlCh4B!$P$66</definedName>
    <definedName name="tlinputCh4Prod3Slot3Promo1ShareFrc">tlCh4B!$V$66</definedName>
    <definedName name="tlinputCh4Prod3Slot3Promo1Weeks">tlCh4B!$S$66</definedName>
    <definedName name="tlinputCh4Prod3Slot3Promo2ShareFrc">tlCh4B!$AF$66</definedName>
    <definedName name="tlInputCh4Prod4Forecast">tlCh4A!$N$14</definedName>
    <definedName name="tlInputCh4Prod4Slot1Active">tlCh4B!$AY$121</definedName>
    <definedName name="tlinputCh4Prod4Slot1CustPrice">tlCh4B!$L$94</definedName>
    <definedName name="tlinputCh4Prod4Slot1Forecast">tlCh4B!$E$94</definedName>
    <definedName name="tlinputCh4Prod4Slot1Pack">tlCh4B!$H$94</definedName>
    <definedName name="tlinputCh4Prod4Slot1Promo1">tlCh4B!$P$94</definedName>
    <definedName name="tlinputCh4Prod4Slot1Promo1ShareFrc">tlCh4B!$V$94</definedName>
    <definedName name="tlinputCh4Prod4Slot1Promo1Weeks">tlCh4B!$S$94</definedName>
    <definedName name="tlinputCh4Prod4Slot1Promo2ShareFrc">tlCh4B!$AF$94</definedName>
    <definedName name="tlInputCh4Prod4Slot2Active">tlCh4B!$AY$122</definedName>
    <definedName name="tlinputCh4Prod4Slot2CustPrice">tlCh4B!$L$96</definedName>
    <definedName name="tlinputCh4Prod4Slot2Forecast">tlCh4B!$E$96</definedName>
    <definedName name="tlinputCh4Prod4Slot2Pack">tlCh4B!$H$96</definedName>
    <definedName name="tlinputCh4Prod4Slot2Promo1">tlCh4B!$P$96</definedName>
    <definedName name="tlinputCh4Prod4Slot2Promo1ShareFrc">tlCh4B!$V$96</definedName>
    <definedName name="tlinputCh4Prod4Slot2Promo1Weeks">tlCh4B!$S$96</definedName>
    <definedName name="tlinputCh4Prod4Slot2Promo2ShareFrc">tlCh4B!$AF$96</definedName>
    <definedName name="tlInputCh4Prod4Slot3Active">tlCh4B!$AY$123</definedName>
    <definedName name="tlinputCh4Prod4Slot3CustPrice">tlCh4B!$L$98</definedName>
    <definedName name="tlinputCh4Prod4Slot3Forecast">tlCh4B!$E$98</definedName>
    <definedName name="tlinputCh4Prod4Slot3Pack">tlCh4B!$H$98</definedName>
    <definedName name="tlinputCh4Prod4Slot3Promo1">tlCh4B!$P$98</definedName>
    <definedName name="tlinputCh4Prod4Slot3Promo1ShareFrc">tlCh4B!$V$98</definedName>
    <definedName name="tlinputCh4Prod4Slot3Promo1Weeks">tlCh4B!$S$98</definedName>
    <definedName name="tlinputCh4Prod4Slot3Promo2ShareFrc">tlCh4B!$AF$98</definedName>
    <definedName name="tlInputCh4R1Report1">tlCh4B!$AY$130</definedName>
    <definedName name="tlInputCh4R1Report2">tlCh4B!$AY$131</definedName>
    <definedName name="tlInputCh4R2Report3">tlCh4B!$AY$132</definedName>
    <definedName name="tlInputCh4R2Report4">tlCh4B!$AY$133</definedName>
    <definedName name="tlInputCh4R3Report5">tlCh4B!$AY$134</definedName>
    <definedName name="tlInputCh4R3Report6">tlCh4B!$AY$135</definedName>
    <definedName name="tlInputCh4ValDriv1">tlCh4A!$E$32</definedName>
    <definedName name="tlInputCh4ValDriv2">tlCh4A!$H$32</definedName>
    <definedName name="tlInputCh4ValDriv3">tlCh4A!$K$32</definedName>
    <definedName name="tlInputCh4ValDriv4">tlCh4A!$N$32</definedName>
    <definedName name="tlInputCh4ValDriv5">tlCh4A!$Q$32</definedName>
    <definedName name="tlInputCh4ValDrivCond">tlCh4A!$W$32</definedName>
    <definedName name="tlInputCh4VT">tlCh4B!$C$7</definedName>
    <definedName name="tlInputPackInnovation1">Company!$C$8</definedName>
    <definedName name="tlInputPackInnovation2">Company!$C$10</definedName>
    <definedName name="tlInputReport1">Company!$V$45</definedName>
    <definedName name="tlInputReport2">Company!$V$46</definedName>
    <definedName name="tlInputReport3">Company!$V$47</definedName>
    <definedName name="tlInputReport4">Company!$V$48</definedName>
    <definedName name="tlInputReport5">Company!$V$49</definedName>
    <definedName name="tlInputReport6">Company!$V$50</definedName>
    <definedName name="tlInputSi1">Company!$M$8</definedName>
    <definedName name="tlInputSi2">Company!$M$10</definedName>
    <definedName name="tlInputSi3">Company!$M$12</definedName>
    <definedName name="tlInputTeamName">tlIntro!$C$15</definedName>
    <definedName name="tlInputTeamNumber">tlIntro!$C$12</definedName>
    <definedName name="tlobal_Paste">FinBSOpen!$E$3</definedName>
    <definedName name="tlobalAP">FinBSOpen!$E$34</definedName>
    <definedName name="tlobalAssets">FinBSOpen!$E$29</definedName>
    <definedName name="tlobalCash">FinBSOpen!$E$14</definedName>
    <definedName name="tlobalCh1CustomerProfitTot">Obal!$E$321</definedName>
    <definedName name="tlobalCh1GCCTot">Obal!$E$314</definedName>
    <definedName name="tlobalCh1GPaLTot">Obal!$E$307</definedName>
    <definedName name="tlobalCh1Prod1Slot1Active">Obal!$E$110</definedName>
    <definedName name="tlobalCh1Prod1Slot1AvgPrice">Obal!$E$339</definedName>
    <definedName name="tlobalCh1Prod1Slot1COGS">Obal!$E$353</definedName>
    <definedName name="tlobalCh1Prod1Slot1COGSpL">Obal!$E$354</definedName>
    <definedName name="tlobalCh1Prod1Slot1CustPrice">Obal!$E$336</definedName>
    <definedName name="tlobalCh1Prod1Slot1CustUplift">Obal!$E$351</definedName>
    <definedName name="tlobalCh1Prod1Slot1GPaL">Obal!$E$332</definedName>
    <definedName name="tlobalCh1Prod1Slot1GPaLPerLitre">Obal!$E$335</definedName>
    <definedName name="tlobalCh1Prod1Slot1GPaLUplift">Obal!$E$347</definedName>
    <definedName name="tlobalCh1Prod1Slot1NetRev">Obal!$E$331</definedName>
    <definedName name="tlobalCh1Prod1Slot1NetRevPerLtr">Obal!$E$334</definedName>
    <definedName name="tlobalCh1Prod1Slot1Pack">Obal!$E$341</definedName>
    <definedName name="tlobalCh1Prod1Slot1PromoPrice">Obal!$E$337</definedName>
    <definedName name="tlobalCh1Prod1Slot1PromoROI">Obal!$E$344</definedName>
    <definedName name="tlobalCh1Prod1Slot1PromoShare">Obal!$E$342</definedName>
    <definedName name="tlobalCh1Prod1Slot1SoldVol">Obal!$E$333</definedName>
    <definedName name="tlobalCh1Prod1Slot1WD">Obal!$E$346</definedName>
    <definedName name="tlobalCh1Prod1Slot2Active">Obal!$E$111</definedName>
    <definedName name="tlobalCh1Prod1Slot2AvgPrice">Obal!$E$363</definedName>
    <definedName name="tlobalCh1Prod1Slot2COGS">Obal!$E$371</definedName>
    <definedName name="tlobalCh1Prod1Slot2COGSpL">Obal!$E$372</definedName>
    <definedName name="tlobalCh1Prod1Slot2CustPrice">Obal!$E$361</definedName>
    <definedName name="tlobalCh1Prod1Slot2CustUplift">Obal!$E$370</definedName>
    <definedName name="tlobalCh1Prod1Slot2GPaL">Obal!$E$357</definedName>
    <definedName name="tlobalCh1Prod1Slot2GPaLPerLitre">Obal!$E$360</definedName>
    <definedName name="tlobalCh1Prod1Slot2GPaLUplift">Obal!$E$369</definedName>
    <definedName name="tlobalCh1Prod1Slot2NetRev">Obal!$E$356</definedName>
    <definedName name="tlobalCh1Prod1Slot2NetRevPerLtr">Obal!$E$359</definedName>
    <definedName name="tlobalCh1Prod1Slot2Pack">Obal!$E$364</definedName>
    <definedName name="tlobalCh1Prod1Slot2PromoPrice">Obal!$E$362</definedName>
    <definedName name="tlobalCh1Prod1Slot2PromoROI">Obal!$E$367</definedName>
    <definedName name="tlobalCh1Prod1Slot2PromoShare">Obal!$E$366</definedName>
    <definedName name="tlobalCh1Prod1Slot2SoldVol">Obal!$E$358</definedName>
    <definedName name="tlobalCh1Prod1Slot2WD">Obal!$E$368</definedName>
    <definedName name="tlobalCh1Prod1Slot3Active">Obal!$E$112</definedName>
    <definedName name="tlobalCh1Prod1Slot3AvgPrice">Obal!$E$383</definedName>
    <definedName name="tlobalCh1Prod1Slot3COGS">Obal!$E$391</definedName>
    <definedName name="tlobalCh1Prod1Slot3COGSpL">Obal!$E$392</definedName>
    <definedName name="tlobalCh1Prod1Slot3CustPrice">Obal!$E$381</definedName>
    <definedName name="tlobalCh1Prod1Slot3CustUplift">Obal!$E$389</definedName>
    <definedName name="tlobalCh1Prod1Slot3GPaL">Obal!$E$377</definedName>
    <definedName name="tlobalCh1Prod1Slot3GPaLPerLitre">Obal!$E$380</definedName>
    <definedName name="tlobalCh1Prod1Slot3GPaLUplift">Obal!$E$388</definedName>
    <definedName name="tlobalCh1Prod1Slot3NetRev">Obal!$E$376</definedName>
    <definedName name="tlobalCh1Prod1Slot3NetRevPerLtr">Obal!$E$379</definedName>
    <definedName name="tlobalCh1Prod1Slot3Pack">Obal!$E$384</definedName>
    <definedName name="tlobalCh1Prod1Slot3PromoPrice">Obal!$E$382</definedName>
    <definedName name="tlobalCh1Prod1Slot3PromoROI">Obal!$E$386</definedName>
    <definedName name="tlobalCh1Prod1Slot3PromoShare">Obal!$E$385</definedName>
    <definedName name="tlobalCh1Prod1Slot3SoldVol">Obal!$E$378</definedName>
    <definedName name="tlobalCh1Prod1Slot3WD">Obal!$E$387</definedName>
    <definedName name="tlobalCh1Prod1SlotTotActive">Obal!$E$114</definedName>
    <definedName name="tlobalCh1Prod2Slot1Active">Obal!$E$117</definedName>
    <definedName name="tlobalCh1Prod2Slot1AvgPrice">Obal!$E$405</definedName>
    <definedName name="tlobalCh1Prod2Slot1COGS">Obal!$E$412</definedName>
    <definedName name="tlobalCh1Prod2Slot1COGSpL">Obal!$E$413</definedName>
    <definedName name="tlobalCh1Prod2Slot1CustPrice">Obal!$E$403</definedName>
    <definedName name="tlobalCh1Prod2Slot1CustUplift">Obal!$E$411</definedName>
    <definedName name="tlobalCh1Prod2Slot1GPaL">Obal!$E$397</definedName>
    <definedName name="tlobalCh1Prod2Slot1GPaLPerLitre">Obal!$E$402</definedName>
    <definedName name="tlobalCh1Prod2Slot1GPaLUplift">Obal!$E$410</definedName>
    <definedName name="tlobalCh1Prod2Slot1NetRev">Obal!$E$396</definedName>
    <definedName name="tlobalCh1Prod2Slot1NetRevPerLtr">Obal!$E$401</definedName>
    <definedName name="tlobalCh1Prod2Slot1Pack">Obal!$E$406</definedName>
    <definedName name="tlobalCh1Prod2Slot1PromoPrice">Obal!$E$404</definedName>
    <definedName name="tlobalCh1Prod2Slot1PromoROI">Obal!$E$408</definedName>
    <definedName name="tlobalCh1Prod2Slot1PromoShare">Obal!$E$407</definedName>
    <definedName name="tlobalCh1Prod2Slot1SoldVol">Obal!$E$399</definedName>
    <definedName name="tlobalCh1Prod2Slot1WD">Obal!$E$409</definedName>
    <definedName name="tlobalCh1Prod2Slot2Active">Obal!$E$118</definedName>
    <definedName name="tlobalCh1Prod2Slot2AvgPrice">Obal!$E$423</definedName>
    <definedName name="tlobalCh1Prod2Slot2COGS">Obal!$E$432</definedName>
    <definedName name="tlobalCh1Prod2Slot2COGSpL">Obal!$E$433</definedName>
    <definedName name="tlobalCh1Prod2Slot2CustPrice">Obal!$E$421</definedName>
    <definedName name="tlobalCh1Prod2Slot2CustUplift">Obal!$E$431</definedName>
    <definedName name="tlobalCh1Prod2Slot2GPaL">Obal!$E$416</definedName>
    <definedName name="tlobalCh1Prod2Slot2GPaLPerLitre">Obal!$E$420</definedName>
    <definedName name="tlobalCh1Prod2Slot2GPaLUplift">Obal!$E$430</definedName>
    <definedName name="tlobalCh1Prod2Slot2NetRev">Obal!$E$415</definedName>
    <definedName name="tlobalCh1Prod2Slot2NetRevPerLtr">Obal!$E$419</definedName>
    <definedName name="tlobalCh1Prod2Slot2Pack">Obal!$E$424</definedName>
    <definedName name="tlobalCh1Prod2Slot2PromoPrice">Obal!$E$422</definedName>
    <definedName name="tlobalCh1Prod2Slot2PromoROI">Obal!$E$428</definedName>
    <definedName name="tlobalCh1Prod2Slot2PromoShare">Obal!$E$426</definedName>
    <definedName name="tlobalCh1Prod2Slot2SoldVol">Obal!$E$418</definedName>
    <definedName name="tlobalCh1Prod2Slot2WD">Obal!$E$429</definedName>
    <definedName name="tlobalCh1Prod2Slot3Active">Obal!$E$119</definedName>
    <definedName name="tlobalCh1Prod2Slot3AvgPrice">Obal!$E$443</definedName>
    <definedName name="tlobalCh1Prod2Slot3COGS">Obal!$E$451</definedName>
    <definedName name="tlobalCh1Prod2Slot3COGSpL">Obal!$E$453</definedName>
    <definedName name="tlobalCh1Prod2Slot3CustPrice">Obal!$E$440</definedName>
    <definedName name="tlobalCh1Prod2Slot3CustUplift">Obal!$E$449</definedName>
    <definedName name="tlobalCh1Prod2Slot3GPaL">Obal!$E$436</definedName>
    <definedName name="tlobalCh1Prod2Slot3GPaLPerLitre">Obal!$E$439</definedName>
    <definedName name="tlobalCh1Prod2Slot3GPaLUplift">Obal!$E$448</definedName>
    <definedName name="tlobalCh1Prod2Slot3NetRev">Obal!$E$435</definedName>
    <definedName name="tlobalCh1Prod2Slot3NetRevPerLtr">Obal!$E$438</definedName>
    <definedName name="tlobalCh1Prod2Slot3Pack">Obal!$E$444</definedName>
    <definedName name="tlobalCh1Prod2Slot3PromoPrice">Obal!$E$441</definedName>
    <definedName name="tlobalCh1Prod2Slot3PromoROI">Obal!$E$446</definedName>
    <definedName name="tlobalCh1Prod2Slot3PromoShare">Obal!$E$445</definedName>
    <definedName name="tlobalCh1Prod2Slot3SoldVol">Obal!$E$437</definedName>
    <definedName name="tlobalCh1Prod2Slot3WD">Obal!$E$447</definedName>
    <definedName name="tlobalCh1Prod2SlotTotActive">Obal!$E$121</definedName>
    <definedName name="tlobalCh1Prod3Slot1Active">Obal!$E$124</definedName>
    <definedName name="tlobalCh1Prod3Slot1AvgPrice">Obal!$E$463</definedName>
    <definedName name="tlobalCh1Prod3Slot1COGS">Obal!$E$471</definedName>
    <definedName name="tlobalCh1Prod3Slot1COGSpL">Obal!$E$472</definedName>
    <definedName name="tlobalCh1Prod3Slot1CustPrice">Obal!$E$461</definedName>
    <definedName name="tlobalCh1Prod3Slot1CustUplift">Obal!$E$470</definedName>
    <definedName name="tlobalCh1Prod3Slot1GPaL">Obal!$E$457</definedName>
    <definedName name="tlobalCh1Prod3Slot1GPaLPerLitre">Obal!$E$460</definedName>
    <definedName name="tlobalCh1Prod3Slot1GPaLUplift">Obal!$E$469</definedName>
    <definedName name="tlobalCh1Prod3Slot1NetRev">Obal!$E$456</definedName>
    <definedName name="tlobalCh1Prod3Slot1NetRevPerLtr">Obal!$E$459</definedName>
    <definedName name="tlobalCh1Prod3Slot1Pack">Obal!$E$464</definedName>
    <definedName name="tlobalCh1Prod3Slot1PromoPrice">Obal!$E$462</definedName>
    <definedName name="tlobalCh1Prod3Slot1PromoROI">Obal!$E$466</definedName>
    <definedName name="tlobalCh1Prod3Slot1PromoShare">Obal!$E$465</definedName>
    <definedName name="tlobalCh1Prod3Slot1SoldVol">Obal!$E$458</definedName>
    <definedName name="tlobalCh1Prod3Slot1WD">Obal!$E$468</definedName>
    <definedName name="tlobalCh1Prod3Slot2Active">Obal!$E$125</definedName>
    <definedName name="tlobalCh1Prod3Slot2AvgPrice">Obal!$E$559</definedName>
    <definedName name="tlobalCh1Prod3Slot2COGS">Obal!$E$566</definedName>
    <definedName name="tlobalCh1Prod3Slot2COGSpL">Obal!$E$567</definedName>
    <definedName name="tlobalCh1Prod3Slot2CustPrice">Obal!$E$481</definedName>
    <definedName name="tlobalCh1Prod3Slot2CustUplift">Obal!$E$565</definedName>
    <definedName name="tlobalCh1Prod3Slot2GPaL">Obal!$E$476</definedName>
    <definedName name="tlobalCh1Prod3Slot2GPaLPerLitre">Obal!$E$480</definedName>
    <definedName name="tlobalCh1Prod3Slot2GPaLUplift">Obal!$E$564</definedName>
    <definedName name="tlobalCh1Prod3Slot2NetRev">Obal!$E$474</definedName>
    <definedName name="tlobalCh1Prod3Slot2NetRevPerLtr">Obal!$E$479</definedName>
    <definedName name="tlobalCh1Prod3Slot2Pack">Obal!$E$560</definedName>
    <definedName name="tlobalCh1Prod3Slot2PromoPrice">Obal!$E$482</definedName>
    <definedName name="tlobalCh1Prod3Slot2PromoROI">Obal!$E$562</definedName>
    <definedName name="tlobalCh1Prod3Slot2PromoShare">Obal!$E$561</definedName>
    <definedName name="tlobalCh1Prod3Slot2SoldVol">Obal!$E$478</definedName>
    <definedName name="tlobalCh1Prod3Slot2WD">Obal!$E$563</definedName>
    <definedName name="tlobalCh1Prod3Slot3Active">Obal!$E$126</definedName>
    <definedName name="tlobalCh1Prod3Slot3AvgPrice">Obal!$E$577</definedName>
    <definedName name="tlobalCh1Prod3Slot3COGS">Obal!$E$586</definedName>
    <definedName name="tlobalCh1Prod3Slot3COGSpL">Obal!$E$587</definedName>
    <definedName name="tlobalCh1Prod3Slot3CustPrice">Obal!$E$575</definedName>
    <definedName name="tlobalCh1Prod3Slot3CustUplift">Obal!$E$585</definedName>
    <definedName name="tlobalCh1Prod3Slot3GPaL">Obal!$E$570</definedName>
    <definedName name="tlobalCh1Prod3Slot3GPaLPerLitre">Obal!$E$574</definedName>
    <definedName name="tlobalCh1Prod3Slot3GPaLUplift">Obal!$E$584</definedName>
    <definedName name="tlobalCh1Prod3Slot3NetRev">Obal!$E$569</definedName>
    <definedName name="tlobalCh1Prod3Slot3NetRevPerLtr">Obal!$E$573</definedName>
    <definedName name="tlobalCh1Prod3Slot3Pack">Obal!$E$578</definedName>
    <definedName name="tlobalCh1Prod3Slot3PromoPrice">Obal!$E$576</definedName>
    <definedName name="tlobalCh1Prod3Slot3PromoROI">Obal!$E$582</definedName>
    <definedName name="tlobalCh1Prod3Slot3PromoShare">Obal!$E$580</definedName>
    <definedName name="tlobalCh1Prod3Slot3SoldVol">Obal!$E$572</definedName>
    <definedName name="tlobalCh1Prod3Slot3WD">Obal!$E$583</definedName>
    <definedName name="tlobalCh1Prod3SlotTotActive">Obal!$E$128</definedName>
    <definedName name="tlobalCh1Prod4Slot1Active">Obal!$E$131</definedName>
    <definedName name="tlobalCh1Prod4Slot1AvgPrice">Obal!$E$598</definedName>
    <definedName name="tlobalCh1Prod4Slot1COGS">Obal!$E$607</definedName>
    <definedName name="tlobalCh1Prod4Slot1COGSpL">Obal!$E$608</definedName>
    <definedName name="tlobalCh1Prod4Slot1CustPrice">Obal!$E$595</definedName>
    <definedName name="tlobalCh1Prod4Slot1CustUplift">Obal!$E$605</definedName>
    <definedName name="tlobalCh1Prod4Slot1GPaL">Obal!$E$591</definedName>
    <definedName name="tlobalCh1Prod4Slot1GPaLPerLitre">Obal!$E$594</definedName>
    <definedName name="tlobalCh1Prod4Slot1GPaLUplift">Obal!$E$603</definedName>
    <definedName name="tlobalCh1Prod4Slot1NetRev">Obal!$E$590</definedName>
    <definedName name="tlobalCh1Prod4Slot1NetRevPerLtr">Obal!$E$593</definedName>
    <definedName name="tlobalCh1Prod4Slot1Pack">Obal!$E$599</definedName>
    <definedName name="tlobalCh1Prod4Slot1PromoPrice">Obal!$E$597</definedName>
    <definedName name="tlobalCh1Prod4Slot1PromoROI">Obal!$E$601</definedName>
    <definedName name="tlobalCh1Prod4Slot1PromoShare">Obal!$E$600</definedName>
    <definedName name="tlobalCh1Prod4Slot1SoldVol">Obal!$E$592</definedName>
    <definedName name="tlobalCh1Prod4Slot1WD">Obal!$E$602</definedName>
    <definedName name="tlobalCh1Prod4Slot2Active">Obal!$E$132</definedName>
    <definedName name="tlobalCh1Prod4Slot2AvgPrice">Obal!$E$617</definedName>
    <definedName name="tlobalCh1Prod4Slot2COGS">Obal!$E$625</definedName>
    <definedName name="tlobalCh1Prod4Slot2COGSpL">Obal!$E$626</definedName>
    <definedName name="tlobalCh1Prod4Slot2CustPrice">Obal!$E$615</definedName>
    <definedName name="tlobalCh1Prod4Slot2CustUplift">Obal!$E$624</definedName>
    <definedName name="tlobalCh1Prod4Slot2GPaL">Obal!$E$611</definedName>
    <definedName name="tlobalCh1Prod4Slot2GPaLPerLitre">Obal!$E$614</definedName>
    <definedName name="tlobalCh1Prod4Slot2GPaLUplift">Obal!$E$623</definedName>
    <definedName name="tlobalCh1Prod4Slot2NetRev">Obal!$E$610</definedName>
    <definedName name="tlobalCh1Prod4Slot2NetRevPerLtr">Obal!$E$613</definedName>
    <definedName name="tlobalCh1Prod4Slot2Pack">Obal!$E$618</definedName>
    <definedName name="tlobalCh1Prod4Slot2PromoPrice">Obal!$E$616</definedName>
    <definedName name="tlobalCh1Prod4Slot2PromoROI">Obal!$E$620</definedName>
    <definedName name="tlobalCh1Prod4Slot2PromoShare">Obal!$E$619</definedName>
    <definedName name="tlobalCh1Prod4Slot2SoldVol">Obal!$E$612</definedName>
    <definedName name="tlobalCh1Prod4Slot2WD">Obal!$E$622</definedName>
    <definedName name="tlobalCh1Prod4Slot3Active">Obal!$E$133</definedName>
    <definedName name="tlobalCh1Prod4Slot3CustPrice">Obal!$E$635</definedName>
    <definedName name="tlobalCh1Prod4Slot3GPaL">Obal!$E$630</definedName>
    <definedName name="tlobalCh1Prod4Slot3GPaLPerLitre">Obal!$E$634</definedName>
    <definedName name="tlobalCh1Prod4Slot3NetRev">Obal!$E$628</definedName>
    <definedName name="tlobalCh1Prod4Slot3NetRevPerLtr">Obal!$E$633</definedName>
    <definedName name="tlobalCh1Prod4Slot3PromoPrice">Obal!$E$636</definedName>
    <definedName name="tlobalCh1Prod4Slot3SoldVol">Obal!$E$632</definedName>
    <definedName name="tlobalCh1Prod4SlotTotActive">Obal!$E$135</definedName>
    <definedName name="tlobalCh1RevenueTot">Obal!$E$300</definedName>
    <definedName name="tlobalCh1SlotTotActive">Obal!$E$137</definedName>
    <definedName name="tlobalCh1ValDriv1">Obal!$E$58</definedName>
    <definedName name="tlobalCh1ValDriv2">Obal!$E$63</definedName>
    <definedName name="tlobalCh1ValDriv3">Obal!$E$68</definedName>
    <definedName name="tlobalCh1ValDriv4">Obal!$E$73</definedName>
    <definedName name="tlobalCh1ValDriv5">Obal!$E$78</definedName>
    <definedName name="tlobalCh1ValDrivCond">Obal!$E$83</definedName>
    <definedName name="tlobalCh2CustomerProfitTot">Obal!$E$322</definedName>
    <definedName name="tlobalCh2GCCTot">Obal!$E$315</definedName>
    <definedName name="tlobalCh2GPaLTot">Obal!$E$308</definedName>
    <definedName name="tlobalCh2Prod1Slot1Active">Obal!$E$141</definedName>
    <definedName name="tlobalCh2Prod1Slot2Active">Obal!$E$142</definedName>
    <definedName name="tlobalCh2Prod1Slot3Active">Obal!$E$143</definedName>
    <definedName name="tlobalCh2Prod1SlotTotActive">Obal!$E$145</definedName>
    <definedName name="tlobalCh2Prod2Slot1Active">Obal!$E$148</definedName>
    <definedName name="tlobalCh2Prod2Slot2Active">Obal!$E$149</definedName>
    <definedName name="tlobalCh2Prod2Slot3Active">Obal!$E$150</definedName>
    <definedName name="tlobalCh2Prod2SlotTotActive">Obal!$E$152</definedName>
    <definedName name="tlobalCh2Prod3Slot1Active">Obal!$E$155</definedName>
    <definedName name="tlobalCh2Prod3Slot2Active">Obal!$E$156</definedName>
    <definedName name="tlobalCh2Prod3Slot3Active">Obal!$E$157</definedName>
    <definedName name="tlobalCh2Prod3SlotTotActive">Obal!$E$159</definedName>
    <definedName name="tlobalCh2Prod4Slot1Active">Obal!$E$162</definedName>
    <definedName name="tlobalCh2Prod4Slot2Active">Obal!$E$163</definedName>
    <definedName name="tlobalCh2Prod4Slot3Active">Obal!$E$164</definedName>
    <definedName name="tlobalCh2Prod4SlotTotActive">Obal!$E$166</definedName>
    <definedName name="tlobalCh2RevenueTot">Obal!$E$301</definedName>
    <definedName name="tlobalCh2SlotTotActive">Obal!$E$168</definedName>
    <definedName name="tlobalCh2ValDriv1">Obal!$E$59</definedName>
    <definedName name="tlobalCh2ValDriv2">Obal!$E$64</definedName>
    <definedName name="tlobalCh2ValDriv3">Obal!$E$69</definedName>
    <definedName name="tlobalCh2ValDriv4">Obal!$E$74</definedName>
    <definedName name="tlobalCh2ValDriv5">Obal!$E$79</definedName>
    <definedName name="tlobalCh2ValDrivCond">Obal!$E$84</definedName>
    <definedName name="tlobalCh3CustomerProfitTot">Obal!$E$323</definedName>
    <definedName name="tlobalCh3GCCTot">Obal!$E$316</definedName>
    <definedName name="tlobalCh3GPaLTot">Obal!$E$309</definedName>
    <definedName name="tlobalCh3Prod1Slot1Active">Obal!$E$172</definedName>
    <definedName name="tlobalCh3Prod1Slot2Active">Obal!$E$173</definedName>
    <definedName name="tlobalCh3Prod1Slot3Active">Obal!$E$174</definedName>
    <definedName name="tlobalCh3Prod1SlotTotActive">Obal!$E$176</definedName>
    <definedName name="tlobalCh3Prod2Slot1Active">Obal!$E$179</definedName>
    <definedName name="tlobalCh3Prod2Slot2Active">Obal!$E$180</definedName>
    <definedName name="tlobalCh3Prod2Slot3Active">Obal!$E$181</definedName>
    <definedName name="tlobalCh3Prod2SlotTotActive">Obal!$E$183</definedName>
    <definedName name="tlobalCh3Prod3Slot1Active">Obal!$E$186</definedName>
    <definedName name="tlobalCh3Prod3Slot2Active">Obal!$E$187</definedName>
    <definedName name="tlobalCh3Prod3Slot3Active">Obal!$E$188</definedName>
    <definedName name="tlobalCh3Prod3SlotTotActive">Obal!$E$190</definedName>
    <definedName name="tlobalCh3Prod4Slot1Active">Obal!$E$193</definedName>
    <definedName name="tlobalCh3Prod4Slot2Active">Obal!$E$194</definedName>
    <definedName name="tlobalCh3Prod4Slot3Active">Obal!$E$195</definedName>
    <definedName name="tlobalCh3Prod4SlotTotActive">Obal!$E$197</definedName>
    <definedName name="tlobalCh3RevenueTot">Obal!$E$302</definedName>
    <definedName name="tlobalCh3SlotTotActive">Obal!$E$199</definedName>
    <definedName name="tlobalCh3ValDriv1">Obal!$E$60</definedName>
    <definedName name="tlobalCh3ValDriv2">Obal!$E$65</definedName>
    <definedName name="tlobalCh3ValDriv3">Obal!$E$70</definedName>
    <definedName name="tlobalCh3ValDriv4">Obal!$E$75</definedName>
    <definedName name="tlobalCh3ValDriv5">Obal!$E$80</definedName>
    <definedName name="tlobalCh3ValDrivCond">Obal!$E$85</definedName>
    <definedName name="tlobalCh4CustomerProfitTot">Obal!$E$324</definedName>
    <definedName name="tlobalCh4GCCTot">Obal!$E$317</definedName>
    <definedName name="tlobalCh4GPaLTot">Obal!$E$310</definedName>
    <definedName name="tlobalCh4Prod1Slot1Active">Obal!$E$203</definedName>
    <definedName name="tlobalCh4Prod1Slot2Active">Obal!$E$204</definedName>
    <definedName name="tlobalCh4Prod1Slot3Active">Obal!$E$205</definedName>
    <definedName name="tlobalCh4Prod1SlotTotActive">Obal!$E$207</definedName>
    <definedName name="tlobalCh4Prod2Slot1Active">Obal!$E$210</definedName>
    <definedName name="tlobalCh4Prod2Slot2Active">Obal!$E$211</definedName>
    <definedName name="tlobalCh4Prod2Slot3Active">Obal!$E$212</definedName>
    <definedName name="tlobalCh4Prod2SlotTotActive">Obal!$E$214</definedName>
    <definedName name="tlobalCh4Prod3Slot1Active">Obal!$E$217</definedName>
    <definedName name="tlobalCh4Prod3Slot2Active">Obal!$E$218</definedName>
    <definedName name="tlobalCh4Prod3Slot3Active">Obal!$E$219</definedName>
    <definedName name="tlobalCh4Prod3SlotTotActive">Obal!$E$221</definedName>
    <definedName name="tlobalCh4Prod4Slot1Active">Obal!$E$224</definedName>
    <definedName name="tlobalCh4Prod4Slot2Active">Obal!$E$225</definedName>
    <definedName name="tlobalCh4Prod4Slot3Active">Obal!$E$226</definedName>
    <definedName name="tlobalCh4Prod4SlotTotActive">Obal!$E$228</definedName>
    <definedName name="tlobalCh4RevenueTot">Obal!$E$303</definedName>
    <definedName name="tlobalCh4SlotTotActive">Obal!$E$230</definedName>
    <definedName name="tlobalCh4ValDriv1">Obal!$E$61</definedName>
    <definedName name="tlobalCh4ValDriv2">Obal!$E$66</definedName>
    <definedName name="tlobalCh4ValDriv3">Obal!$E$71</definedName>
    <definedName name="tlobalCh4ValDriv4">Obal!$E$76</definedName>
    <definedName name="tlobalCh4ValDriv5">Obal!$E$81</definedName>
    <definedName name="tlobalCh4ValDrivCond">Obal!$E$86</definedName>
    <definedName name="tlobalCompanyCustomerProfitTot">Obal!$E$319</definedName>
    <definedName name="tlobalCompanyEBIT">Obal!$E$312</definedName>
    <definedName name="tlobalCompanyGPaLTot">Obal!$E$305</definedName>
    <definedName name="tlobalCompanyRevenueTot">Obal!$E$298</definedName>
    <definedName name="tlobalCurrentAssets">FinBSOpen!$E$20</definedName>
    <definedName name="tlobalCurrentLiab">FinBSOpen!$E$38</definedName>
    <definedName name="tlobalEmp1">Obal!$E$104</definedName>
    <definedName name="tlobalEquity">FinBSOpen!$E$51</definedName>
    <definedName name="tlobalGoodwill">FinBSOpen!$E$22</definedName>
    <definedName name="tlobalLiab">FinBSOpen!$E$42</definedName>
    <definedName name="tlobalLongTermLiab">FinBSOpen!$E$40</definedName>
    <definedName name="tlobalNetEarnings">FinBSOpen!$E$49</definedName>
    <definedName name="tlobalOtherCurrLiab">FinBSOpen!$E$36</definedName>
    <definedName name="tlobalPack10Avail">Obal!$E$35</definedName>
    <definedName name="tlobalPack11Avail">Obal!$E$36</definedName>
    <definedName name="tlobalPack12Avail">Obal!$E$37</definedName>
    <definedName name="tlobalPack13Avail">Obal!$E$38</definedName>
    <definedName name="tlobalPack14Avail">Obal!$E$39</definedName>
    <definedName name="tlobalPack15Avail">Obal!$E$40</definedName>
    <definedName name="tlobalPack16Avail">Obal!$E$41</definedName>
    <definedName name="tlobalPack17Avail">Obal!$E$42</definedName>
    <definedName name="tlobalPack18Avail">Obal!$E$43</definedName>
    <definedName name="tlobalPack19Avail">Obal!$E$44</definedName>
    <definedName name="tlobalPack1Avail">Obal!$E$26</definedName>
    <definedName name="tlobalPack20Avail">Obal!$E$45</definedName>
    <definedName name="tlobalPack21Avail">Obal!$E$46</definedName>
    <definedName name="tlobalPack22Avail">Obal!$E$47</definedName>
    <definedName name="tlobalPack23Avail">Obal!$E$48</definedName>
    <definedName name="tlobalPack24Avail">Obal!$E$49</definedName>
    <definedName name="tlobalPack25Avail">Obal!$E$50</definedName>
    <definedName name="tlobalPack26Avail">Obal!$E$51</definedName>
    <definedName name="tlobalPack27Avail">Obal!$E$52</definedName>
    <definedName name="tlobalPack28Avail">Obal!$E$53</definedName>
    <definedName name="tlobalPack29Avail">Obal!$E$54</definedName>
    <definedName name="tlobalPack2Avail">Obal!$E$27</definedName>
    <definedName name="tlobalPack30Avail">Obal!$E$55</definedName>
    <definedName name="tlobalPack3Avail">Obal!$E$28</definedName>
    <definedName name="tlobalPack4Avail">Obal!$E$29</definedName>
    <definedName name="tlobalPack5Avail">Obal!$E$30</definedName>
    <definedName name="tlobalPack6Avail">Obal!$E$31</definedName>
    <definedName name="tlobalPack7Avail">Obal!$E$32</definedName>
    <definedName name="tlobalPack8Avail">Obal!$E$33</definedName>
    <definedName name="tlobalPack9Avail">Obal!$E$34</definedName>
    <definedName name="tlobalPlant1Units">Obal!$E$93</definedName>
    <definedName name="tlobalPlantValue">FinBSOpen!$E$27</definedName>
    <definedName name="tlobalPPEValue">FinBSOpen!$E$25</definedName>
    <definedName name="tlobalProd1AR">FinBSOpen!$E$15</definedName>
    <definedName name="tlobalProd1FG">FinBSOpen!$E$18</definedName>
    <definedName name="tlobalProd1Mat">FinBSOpen!$E$16</definedName>
    <definedName name="tlobalProd1SlotTotActive">Obal!$E$234</definedName>
    <definedName name="tlobalProd1WIP">FinBSOpen!$E$17</definedName>
    <definedName name="tlobalProd2SlotTotActive">Obal!$E$235</definedName>
    <definedName name="tlobalProd3SlotTotActive">Obal!$E$236</definedName>
    <definedName name="tlobalProd4SlotTotActive">Obal!$E$237</definedName>
    <definedName name="tlobalRetainedEarnings">FinBSOpen!$E$48</definedName>
    <definedName name="tlobalSI1CodeR1">Obal!$E$6</definedName>
    <definedName name="tlobalSI1CodeR2">Obal!$E$12</definedName>
    <definedName name="tlobalSI1CodeR3">Obal!$E$18</definedName>
    <definedName name="tlobalSI2CodeR1">Obal!$E$7</definedName>
    <definedName name="tlobalSI2CodeR2">Obal!$E$13</definedName>
    <definedName name="tlobalSI2CodeR3">Obal!$E$19</definedName>
    <definedName name="tlobalSI3CodeR1">Obal!$E$8</definedName>
    <definedName name="tlobalSI3CodeR2">Obal!$E$14</definedName>
    <definedName name="tlobalSI3CodeR3">Obal!$E$20</definedName>
    <definedName name="tlobalSI4CodeR1">Obal!$E$9</definedName>
    <definedName name="tlobalSI4CodeR2">Obal!$E$15</definedName>
    <definedName name="tlobalSI4CodeR3">Obal!$E$21</definedName>
    <definedName name="tlobalSI5CodeR1">Obal!$E$10</definedName>
    <definedName name="tlobalSI5CodeR2">Obal!$E$16</definedName>
    <definedName name="tlobalSI5CodeR3">Obal!$E$22</definedName>
    <definedName name="tlobalSpecialLoans">FinBSOpen!$E$35</definedName>
    <definedName name="tlobalStock">FinBSOpen!$E$47</definedName>
    <definedName name="tlOutputCh1">OutComp!$E$182</definedName>
    <definedName name="tlOutputCh1Analytic1Chart1BubbleSize1">OutCh1!$AG$201</definedName>
    <definedName name="tlOutputCh1Analytic1Chart1BubbleSize10">OutCh1!$AG$210</definedName>
    <definedName name="tlOutputCh1Analytic1Chart1BubbleSize11">OutCh1!$AG$211</definedName>
    <definedName name="tlOutputCh1Analytic1Chart1BubbleSize12">OutCh1!$AG$212</definedName>
    <definedName name="tlOutputCh1Analytic1Chart1BubbleSize2">OutCh1!$AG$202</definedName>
    <definedName name="tlOutputCh1Analytic1Chart1BubbleSize3">OutCh1!$AG$203</definedName>
    <definedName name="tlOutputCh1Analytic1Chart1BubbleSize4">OutCh1!$AG$204</definedName>
    <definedName name="tlOutputCh1Analytic1Chart1BubbleSize5">OutCh1!$AG$205</definedName>
    <definedName name="tlOutputCh1Analytic1Chart1BubbleSize6">OutCh1!$AG$206</definedName>
    <definedName name="tlOutputCh1Analytic1Chart1BubbleSize7">OutCh1!$AG$207</definedName>
    <definedName name="tlOutputCh1Analytic1Chart1BubbleSize8">OutCh1!$AG$208</definedName>
    <definedName name="tlOutputCh1Analytic1Chart1BubbleSize9">OutCh1!$AG$209</definedName>
    <definedName name="tlOutputCh1Analytic1Chart1Heading">OutCh1!$AG$150</definedName>
    <definedName name="tlOutputCh1Analytic1Chart1Label1">OutCh1!$AG$157</definedName>
    <definedName name="tlOutputCh1Analytic1Chart1Label10">OutCh1!$AG$166</definedName>
    <definedName name="tlOutputCh1Analytic1Chart1Label11">OutCh1!$AG$167</definedName>
    <definedName name="tlOutputCh1Analytic1Chart1Label12">OutCh1!$AG$168</definedName>
    <definedName name="tlOutputCh1Analytic1Chart1Label2">OutCh1!$AG$158</definedName>
    <definedName name="tlOutputCh1Analytic1Chart1Label3">OutCh1!$AG$159</definedName>
    <definedName name="tlOutputCh1Analytic1Chart1Label4">OutCh1!$AG$160</definedName>
    <definedName name="tlOutputCh1Analytic1Chart1Label5">OutCh1!$AG$161</definedName>
    <definedName name="tlOutputCh1Analytic1Chart1Label6">OutCh1!$AG$162</definedName>
    <definedName name="tlOutputCh1Analytic1Chart1Label7">OutCh1!$AG$163</definedName>
    <definedName name="tlOutputCh1Analytic1Chart1Label8">OutCh1!$AG$164</definedName>
    <definedName name="tlOutputCh1Analytic1Chart1Label9">OutCh1!$AG$165</definedName>
    <definedName name="tlOutputCh1Analytic1Chart1Type1">OutCh1!$AG$152</definedName>
    <definedName name="tlOutputCh1Analytic1Chart1Type2">OutCh1!$AG$153</definedName>
    <definedName name="tlOutputCh1Analytic1Chart1Type3">OutCh1!$AG$154</definedName>
    <definedName name="tlOutputCh1Analytic1Chart1Type4">OutCh1!$AG$155</definedName>
    <definedName name="tlOutputCh1Analytic1Chart1XaxisTitle">OutCh1!$AG$171</definedName>
    <definedName name="tlOutputCh1Analytic1Chart1XValue1">OutCh1!$AG$172</definedName>
    <definedName name="tlOutputCh1Analytic1Chart1XValue10">OutCh1!$AG$181</definedName>
    <definedName name="tlOutputCh1Analytic1Chart1XValue11">OutCh1!$AG$182</definedName>
    <definedName name="tlOutputCh1Analytic1Chart1XValue12">OutCh1!$AG$183</definedName>
    <definedName name="tlOutputCh1Analytic1Chart1XValue2">OutCh1!$AG$173</definedName>
    <definedName name="tlOutputCh1Analytic1Chart1XValue3">OutCh1!$AG$174</definedName>
    <definedName name="tlOutputCh1Analytic1Chart1XValue4">OutCh1!$AG$175</definedName>
    <definedName name="tlOutputCh1Analytic1Chart1XValue5">OutCh1!$AG$176</definedName>
    <definedName name="tlOutputCh1Analytic1Chart1XValue6">OutCh1!$AG$177</definedName>
    <definedName name="tlOutputCh1Analytic1Chart1XValue7">OutCh1!$AG$178</definedName>
    <definedName name="tlOutputCh1Analytic1Chart1XValue8">OutCh1!$AG$179</definedName>
    <definedName name="tlOutputCh1Analytic1Chart1XValue9">OutCh1!$AG$180</definedName>
    <definedName name="tlOutputCh1Analytic1Chart1YaxisTitle">OutCh1!$AG$186</definedName>
    <definedName name="tlOutputCh1Analytic1Chart1YValue1">OutCh1!$AG$187</definedName>
    <definedName name="tlOutputCh1Analytic1Chart1YValue10">OutCh1!$AG$196</definedName>
    <definedName name="tlOutputCh1Analytic1Chart1YValue11">OutCh1!$AG$197</definedName>
    <definedName name="tlOutputCh1Analytic1Chart1YValue12">OutCh1!$AG$198</definedName>
    <definedName name="tlOutputCh1Analytic1Chart1YValue2">OutCh1!$AG$188</definedName>
    <definedName name="tlOutputCh1Analytic1Chart1YValue3">OutCh1!$AG$189</definedName>
    <definedName name="tlOutputCh1Analytic1Chart1YValue4">OutCh1!$AG$190</definedName>
    <definedName name="tlOutputCh1Analytic1Chart1YValue5">OutCh1!$AG$191</definedName>
    <definedName name="tlOutputCh1Analytic1Chart1YValue6">OutCh1!$AG$192</definedName>
    <definedName name="tlOutputCh1Analytic1Chart1YValue7">OutCh1!$AG$193</definedName>
    <definedName name="tlOutputCh1Analytic1Chart1YValue8">OutCh1!$AG$194</definedName>
    <definedName name="tlOutputCh1Analytic1Chart1YValue9">OutCh1!$AG$195</definedName>
    <definedName name="tlOutputCh1Analytic1Chart2BubbleSize1">OutCh1!$AK$201</definedName>
    <definedName name="tlOutputCh1Analytic1Chart2BubbleSize10">OutCh1!$AK$210</definedName>
    <definedName name="tlOutputCh1Analytic1Chart2BubbleSize11">OutCh1!$AK$211</definedName>
    <definedName name="tlOutputCh1Analytic1Chart2BubbleSize12">OutCh1!$AK$212</definedName>
    <definedName name="tlOutputCh1Analytic1Chart2BubbleSize2">OutCh1!$AK$202</definedName>
    <definedName name="tlOutputCh1Analytic1Chart2BubbleSize3">OutCh1!$AK$203</definedName>
    <definedName name="tlOutputCh1Analytic1Chart2BubbleSize4">OutCh1!$AK$204</definedName>
    <definedName name="tlOutputCh1Analytic1Chart2BubbleSize5">OutCh1!$AK$205</definedName>
    <definedName name="tlOutputCh1Analytic1Chart2BubbleSize6">OutCh1!$AK$206</definedName>
    <definedName name="tlOutputCh1Analytic1Chart2BubbleSize7">OutCh1!$AK$207</definedName>
    <definedName name="tlOutputCh1Analytic1Chart2BubbleSize8">OutCh1!$AK$208</definedName>
    <definedName name="tlOutputCh1Analytic1Chart2BubbleSize9">OutCh1!$AK$209</definedName>
    <definedName name="tlOutputCh1Analytic1Chart2Heading">OutCh1!$AK$150</definedName>
    <definedName name="tlOutputCh1Analytic1Chart2Label1">OutCh1!$AK$157</definedName>
    <definedName name="tlOutputCh1Analytic1Chart2Label10">OutCh1!$AK$166</definedName>
    <definedName name="tlOutputCh1Analytic1Chart2Label11">OutCh1!$AK$167</definedName>
    <definedName name="tlOutputCh1Analytic1Chart2Label12">OutCh1!$AK$168</definedName>
    <definedName name="tlOutputCh1Analytic1Chart2Label2">OutCh1!$AK$158</definedName>
    <definedName name="tlOutputCh1Analytic1Chart2Label3">OutCh1!$AK$159</definedName>
    <definedName name="tlOutputCh1Analytic1Chart2Label4">OutCh1!$AK$160</definedName>
    <definedName name="tlOutputCh1Analytic1Chart2Label5">OutCh1!$AK$161</definedName>
    <definedName name="tlOutputCh1Analytic1Chart2Label6">OutCh1!$AK$162</definedName>
    <definedName name="tlOutputCh1Analytic1Chart2Label7">OutCh1!$AK$163</definedName>
    <definedName name="tlOutputCh1Analytic1Chart2Label8">OutCh1!$AK$164</definedName>
    <definedName name="tlOutputCh1Analytic1Chart2Label9">OutCh1!$AK$165</definedName>
    <definedName name="tlOutputCh1Analytic1Chart2Type1">OutCh1!$AK$152</definedName>
    <definedName name="tlOutputCh1Analytic1Chart2Type2">OutCh1!$AK$153</definedName>
    <definedName name="tlOutputCh1Analytic1Chart2Type3">OutCh1!$AK$154</definedName>
    <definedName name="tlOutputCh1Analytic1Chart2Type4">OutCh1!$AK$155</definedName>
    <definedName name="tlOutputCh1Analytic1Chart2XaxisTitle">OutCh1!$AK$171</definedName>
    <definedName name="tlOutputCh1Analytic1Chart2XValue1">OutCh1!$AK$172</definedName>
    <definedName name="tlOutputCh1Analytic1Chart2XValue10">OutCh1!$AK$181</definedName>
    <definedName name="tlOutputCh1Analytic1Chart2XValue11">OutCh1!$AK$182</definedName>
    <definedName name="tlOutputCh1Analytic1Chart2XValue12">OutCh1!$AK$183</definedName>
    <definedName name="tlOutputCh1Analytic1Chart2XValue2">OutCh1!$AK$173</definedName>
    <definedName name="tlOutputCh1Analytic1Chart2XValue3">OutCh1!$AK$174</definedName>
    <definedName name="tlOutputCh1Analytic1Chart2XValue4">OutCh1!$AK$175</definedName>
    <definedName name="tlOutputCh1Analytic1Chart2XValue5">OutCh1!$AK$176</definedName>
    <definedName name="tlOutputCh1Analytic1Chart2XValue6">OutCh1!$AK$177</definedName>
    <definedName name="tlOutputCh1Analytic1Chart2XValue7">OutCh1!$AK$178</definedName>
    <definedName name="tlOutputCh1Analytic1Chart2XValue8">OutCh1!$AK$179</definedName>
    <definedName name="tlOutputCh1Analytic1Chart2XValue9">OutCh1!$AK$180</definedName>
    <definedName name="tlOutputCh1Analytic1Chart2YaxisTitle">OutCh1!$AK$186</definedName>
    <definedName name="tlOutputCh1Analytic1Chart2YValue1">OutCh1!$AK$187</definedName>
    <definedName name="tlOutputCh1Analytic1Chart2YValue10">OutCh1!$AK$196</definedName>
    <definedName name="tlOutputCh1Analytic1Chart2YValue11">OutCh1!$AK$197</definedName>
    <definedName name="tlOutputCh1Analytic1Chart2YValue12">OutCh1!$AK$198</definedName>
    <definedName name="tlOutputCh1Analytic1Chart2YValue2">OutCh1!$AK$188</definedName>
    <definedName name="tlOutputCh1Analytic1Chart2YValue3">OutCh1!$AK$189</definedName>
    <definedName name="tlOutputCh1Analytic1Chart2YValue4">OutCh1!$AK$190</definedName>
    <definedName name="tlOutputCh1Analytic1Chart2YValue5">OutCh1!$AK$191</definedName>
    <definedName name="tlOutputCh1Analytic1Chart2YValue6">OutCh1!$AK$192</definedName>
    <definedName name="tlOutputCh1Analytic1Chart2YValue7">OutCh1!$AK$193</definedName>
    <definedName name="tlOutputCh1Analytic1Chart2YValue8">OutCh1!$AK$194</definedName>
    <definedName name="tlOutputCh1Analytic1Chart2YValue9">OutCh1!$AK$195</definedName>
    <definedName name="tlOutputCh1Analytic1Table1Col1Row1">OutCh1!$AS$153</definedName>
    <definedName name="tlOutputCh1Analytic1Table1Col1Row2">OutCh1!$AS$154</definedName>
    <definedName name="tlOutputCh1Analytic1Table1Col1Row3">OutCh1!$AS$155</definedName>
    <definedName name="tlOutputCh1Analytic1Table1Col1Row4">OutCh1!$AS$156</definedName>
    <definedName name="tlOutputCh1Analytic1Table1Col1Row5">OutCh1!$AS$157</definedName>
    <definedName name="tlOutputCh1Analytic1Table1Col1Row6">OutCh1!$AS$158</definedName>
    <definedName name="tlOutputCh1Analytic1Table1Col1Row7">OutCh1!$AS$159</definedName>
    <definedName name="tlOutputCh1Analytic1Table1Col1Row8">OutCh1!$AS$160</definedName>
    <definedName name="tlOutputCh1Analytic1Table1Col2Row1">OutCh1!$AS$163</definedName>
    <definedName name="tlOutputCh1Analytic1Table1Col2Row2">OutCh1!$AS$164</definedName>
    <definedName name="tlOutputCh1Analytic1Table1Col2Row3">OutCh1!$AS$165</definedName>
    <definedName name="tlOutputCh1Analytic1Table1Col2Row4">OutCh1!$AS$166</definedName>
    <definedName name="tlOutputCh1Analytic1Table1Col2Row5">OutCh1!$AS$167</definedName>
    <definedName name="tlOutputCh1Analytic1Table1Col2Row6">OutCh1!$AS$168</definedName>
    <definedName name="tlOutputCh1Analytic1Table1Col2Row7">OutCh1!$AS$169</definedName>
    <definedName name="tlOutputCh1Analytic1Table1Col2Row8">OutCh1!$AS$170</definedName>
    <definedName name="tlOutputCh1Analytic1Table1Col3Row1">OutCh1!$AS$173</definedName>
    <definedName name="tlOutputCh1Analytic1Table1Col3Row2">OutCh1!$AS$174</definedName>
    <definedName name="tlOutputCh1Analytic1Table1Col3Row3">OutCh1!$AS$175</definedName>
    <definedName name="tlOutputCh1Analytic1Table1Col3Row4">OutCh1!$AS$176</definedName>
    <definedName name="tlOutputCh1Analytic1Table1Col3Row5">OutCh1!$AS$177</definedName>
    <definedName name="tlOutputCh1Analytic1Table1Col3Row6">OutCh1!$AS$178</definedName>
    <definedName name="tlOutputCh1Analytic1Table1Col3Row7">OutCh1!$AS$179</definedName>
    <definedName name="tlOutputCh1Analytic1Table1Col3Row8">OutCh1!$AS$180</definedName>
    <definedName name="tlOutputCh1Analytic1Table1Col4Row1">OutCh1!$AS$183</definedName>
    <definedName name="tlOutputCh1Analytic1Table1Col4Row2">OutCh1!$AS$184</definedName>
    <definedName name="tlOutputCh1Analytic1Table1Col4Row3">OutCh1!$AS$185</definedName>
    <definedName name="tlOutputCh1Analytic1Table1Col4Row4">OutCh1!$AS$186</definedName>
    <definedName name="tlOutputCh1Analytic1Table1Col4Row5">OutCh1!$AS$187</definedName>
    <definedName name="tlOutputCh1Analytic1Table1Col4Row6">OutCh1!$AS$188</definedName>
    <definedName name="tlOutputCh1Analytic1Table1Col4Row7">OutCh1!$AS$189</definedName>
    <definedName name="tlOutputCh1Analytic1Table1Col4Row8">OutCh1!$AS$190</definedName>
    <definedName name="tlOutputCh1Analytic1Table1Col5Row1">OutCh1!$AS$193</definedName>
    <definedName name="tlOutputCh1Analytic1Table1Col5Row2">OutCh1!$AS$194</definedName>
    <definedName name="tlOutputCh1Analytic1Table1Col5Row3">OutCh1!$AS$195</definedName>
    <definedName name="tlOutputCh1Analytic1Table1Col5Row4">OutCh1!$AS$196</definedName>
    <definedName name="tlOutputCh1Analytic1Table1Col5Row5">OutCh1!$AS$197</definedName>
    <definedName name="tlOutputCh1Analytic1Table1Col5Row6">OutCh1!$AS$198</definedName>
    <definedName name="tlOutputCh1Analytic1Table1Col5Row7">OutCh1!$AS$199</definedName>
    <definedName name="tlOutputCh1Analytic1Table1Col5Row8">OutCh1!$AS$200</definedName>
    <definedName name="tlOutputCh1Analytic1Table1Col6Row1">OutCh1!$AS$203</definedName>
    <definedName name="tlOutputCh1Analytic1Table1Col6Row2">OutCh1!$AS$204</definedName>
    <definedName name="tlOutputCh1Analytic1Table1Col6Row3">OutCh1!$AS$205</definedName>
    <definedName name="tlOutputCh1Analytic1Table1Col6Row4">OutCh1!$AS$206</definedName>
    <definedName name="tlOutputCh1Analytic1Table1Col6Row5">OutCh1!$AS$207</definedName>
    <definedName name="tlOutputCh1Analytic1Table1Col6Row6">OutCh1!$AS$208</definedName>
    <definedName name="tlOutputCh1Analytic1Table1Col6Row7">OutCh1!$AS$209</definedName>
    <definedName name="tlOutputCh1Analytic1Table1Col6Row8">OutCh1!$AS$210</definedName>
    <definedName name="tlOutputCh1Analytic1Table1Col7Row1">OutCh1!$AS$213</definedName>
    <definedName name="tlOutputCh1Analytic1Table1Col7Row2">OutCh1!$AS$214</definedName>
    <definedName name="tlOutputCh1Analytic1Table1Col7Row3">OutCh1!$AS$215</definedName>
    <definedName name="tlOutputCh1Analytic1Table1Col7Row4">OutCh1!$AS$216</definedName>
    <definedName name="tlOutputCh1Analytic1Table1Col7Row5">OutCh1!$AS$217</definedName>
    <definedName name="tlOutputCh1Analytic1Table1Col7Row6">OutCh1!$AS$218</definedName>
    <definedName name="tlOutputCh1Analytic1Table1Col7Row7">OutCh1!$AS$219</definedName>
    <definedName name="tlOutputCh1Analytic1Table1Col7Row8">OutCh1!$AS$220</definedName>
    <definedName name="tlOutputCh1Analytic1Table1Col8Row1">OutCh1!$AS$223</definedName>
    <definedName name="tlOutputCh1Analytic1Table1Col8Row2">OutCh1!$AS$224</definedName>
    <definedName name="tlOutputCh1Analytic1Table1Col8Row3">OutCh1!$AS$225</definedName>
    <definedName name="tlOutputCh1Analytic1Table1Col8Row4">OutCh1!$AS$226</definedName>
    <definedName name="tlOutputCh1Analytic1Table1Col8Row5">OutCh1!$AS$227</definedName>
    <definedName name="tlOutputCh1Analytic1Table1Col8Row6">OutCh1!$AS$228</definedName>
    <definedName name="tlOutputCh1Analytic1Table1Col8Row7">OutCh1!$AS$229</definedName>
    <definedName name="tlOutputCh1Analytic1Table1Col8Row8">OutCh1!$AS$230</definedName>
    <definedName name="tlOutputCh1Analytic2Chart1Heading">OutCh1!$AO$150</definedName>
    <definedName name="tlOutputCh1Analytic2Chart1Serie10Label1">OutCh1!$AO$188</definedName>
    <definedName name="tlOutputCh1Analytic2Chart1Serie10Point1">OutCh1!$AO$189</definedName>
    <definedName name="tlOutputCh1Analytic2Chart1Serie10Point2">OutCh1!$AO$190</definedName>
    <definedName name="tlOutputCh1Analytic2Chart1Serie10Point3">OutCh1!$AO$191</definedName>
    <definedName name="tlOutputCh1Analytic2Chart1Serie11Label1">OutCh1!$AO$192</definedName>
    <definedName name="tlOutputCh1Analytic2Chart1Serie11Point1">OutCh1!$AO$193</definedName>
    <definedName name="tlOutputCh1Analytic2Chart1Serie11Point2">OutCh1!$AO$194</definedName>
    <definedName name="tlOutputCh1Analytic2Chart1Serie11Point3">OutCh1!$AO$195</definedName>
    <definedName name="tlOutputCh1Analytic2Chart1Serie12Label1">OutCh1!$AO$196</definedName>
    <definedName name="tlOutputCh1Analytic2Chart1Serie12Point1">OutCh1!$AO$197</definedName>
    <definedName name="tlOutputCh1Analytic2Chart1Serie12Point2">OutCh1!$AO$198</definedName>
    <definedName name="tlOutputCh1Analytic2Chart1Serie12Point3">OutCh1!$AO$199</definedName>
    <definedName name="tlOutputCh1Analytic2Chart1Serie1Label1">OutCh1!$AO$152</definedName>
    <definedName name="tlOutputCh1Analytic2Chart1Serie1Point1">OutCh1!$AO$153</definedName>
    <definedName name="tlOutputCh1Analytic2Chart1Serie1Point2">OutCh1!$AO$154</definedName>
    <definedName name="tlOutputCh1Analytic2Chart1Serie1Point3">OutCh1!$AO$155</definedName>
    <definedName name="tlOutputCh1Analytic2Chart1Serie2Label1">OutCh1!$AO$156</definedName>
    <definedName name="tlOutputCh1Analytic2Chart1Serie2Point1">OutCh1!$AO$157</definedName>
    <definedName name="tlOutputCh1Analytic2Chart1Serie2Point2">OutCh1!$AO$158</definedName>
    <definedName name="tlOutputCh1Analytic2Chart1Serie2Point3">OutCh1!$AO$159</definedName>
    <definedName name="tlOutputCh1Analytic2Chart1Serie3Label1">OutCh1!$AO$160</definedName>
    <definedName name="tlOutputCh1Analytic2Chart1Serie3Point1">OutCh1!$AO$161</definedName>
    <definedName name="tlOutputCh1Analytic2Chart1Serie3Point2">OutCh1!$AO$162</definedName>
    <definedName name="tlOutputCh1Analytic2Chart1Serie3Point3">OutCh1!$AO$163</definedName>
    <definedName name="tlOutputCh1Analytic2Chart1Serie4Label1">OutCh1!$AO$164</definedName>
    <definedName name="tlOutputCh1Analytic2Chart1Serie4Point1">OutCh1!$AO$165</definedName>
    <definedName name="tlOutputCh1Analytic2Chart1Serie4Point2">OutCh1!$AO$166</definedName>
    <definedName name="tlOutputCh1Analytic2Chart1Serie4Point3">OutCh1!$AO$167</definedName>
    <definedName name="tlOutputCh1Analytic2Chart1Serie5Label1">OutCh1!$AO$168</definedName>
    <definedName name="tlOutputCh1Analytic2Chart1Serie5Point1">OutCh1!$AO$169</definedName>
    <definedName name="tlOutputCh1Analytic2Chart1Serie5Point2">OutCh1!$AO$170</definedName>
    <definedName name="tlOutputCh1Analytic2Chart1Serie5Point3">OutCh1!$AO$171</definedName>
    <definedName name="tlOutputCh1Analytic2Chart1Serie6Label1">OutCh1!$AO$172</definedName>
    <definedName name="tlOutputCh1Analytic2Chart1Serie6Point1">OutCh1!$AO$173</definedName>
    <definedName name="tlOutputCh1Analytic2Chart1Serie6Point2">OutCh1!$AO$174</definedName>
    <definedName name="tlOutputCh1Analytic2Chart1Serie6Point3">OutCh1!$AO$175</definedName>
    <definedName name="tlOutputCh1Analytic2Chart1Serie7Label1">OutCh1!$AO$176</definedName>
    <definedName name="tlOutputCh1Analytic2Chart1Serie7Point1">OutCh1!$AO$177</definedName>
    <definedName name="tlOutputCh1Analytic2Chart1Serie7Point2">OutCh1!$AO$178</definedName>
    <definedName name="tlOutputCh1Analytic2Chart1Serie7Point3">OutCh1!$AO$179</definedName>
    <definedName name="tlOutputCh1Analytic2Chart1Serie8Label1">OutCh1!$AO$180</definedName>
    <definedName name="tlOutputCh1Analytic2Chart1Serie8Point1">OutCh1!$AO$181</definedName>
    <definedName name="tlOutputCh1Analytic2Chart1Serie8Point2">OutCh1!$AO$182</definedName>
    <definedName name="tlOutputCh1Analytic2Chart1Serie8Point3">OutCh1!$AO$183</definedName>
    <definedName name="tlOutputCh1Analytic2Chart1Serie9Label1">OutCh1!$AO$184</definedName>
    <definedName name="tlOutputCh1Analytic2Chart1Serie9Point1">OutCh1!$AO$185</definedName>
    <definedName name="tlOutputCh1Analytic2Chart1Serie9Point2">OutCh1!$AO$186</definedName>
    <definedName name="tlOutputCh1Analytic2Chart1Serie9Point3">OutCh1!$AO$187</definedName>
    <definedName name="tlOutputCh1Analytic2Chart2Heading">OutCh1!$AG$252</definedName>
    <definedName name="tlOutputCh1Analytic2Chart2Label1">OutCh1!$AG$257</definedName>
    <definedName name="tlOutputCh1Analytic2Chart2Label10">OutCh1!$AG$266</definedName>
    <definedName name="tlOutputCh1Analytic2Chart2Label11">OutCh1!$AG$267</definedName>
    <definedName name="tlOutputCh1Analytic2Chart2Label12">OutCh1!$AG$268</definedName>
    <definedName name="tlOutputCh1Analytic2Chart2Label2">OutCh1!$AG$258</definedName>
    <definedName name="tlOutputCh1Analytic2Chart2Label3">OutCh1!$AG$259</definedName>
    <definedName name="tlOutputCh1Analytic2Chart2Label4">OutCh1!$AG$260</definedName>
    <definedName name="tlOutputCh1Analytic2Chart2Label5">OutCh1!$AG$261</definedName>
    <definedName name="tlOutputCh1Analytic2Chart2Label6">OutCh1!$AG$262</definedName>
    <definedName name="tlOutputCh1Analytic2Chart2Label7">OutCh1!$AG$263</definedName>
    <definedName name="tlOutputCh1Analytic2Chart2Label8">OutCh1!$AG$264</definedName>
    <definedName name="tlOutputCh1Analytic2Chart2Label9">OutCh1!$AG$265</definedName>
    <definedName name="tlOutputCh1Analytic2Chart2Serie1Item1">OutCh1!$AG$270</definedName>
    <definedName name="tlOutputCh1Analytic2Chart2Serie1Item10">OutCh1!$AG$279</definedName>
    <definedName name="tlOutputCh1Analytic2Chart2Serie1Item11">OutCh1!$AG$280</definedName>
    <definedName name="tlOutputCh1Analytic2Chart2Serie1Item12">OutCh1!$AG$281</definedName>
    <definedName name="tlOutputCh1Analytic2Chart2Serie1Item2">OutCh1!$AG$271</definedName>
    <definedName name="tlOutputCh1Analytic2Chart2Serie1Item3">OutCh1!$AG$272</definedName>
    <definedName name="tlOutputCh1Analytic2Chart2Serie1Item4">OutCh1!$AG$273</definedName>
    <definedName name="tlOutputCh1Analytic2Chart2Serie1Item5">OutCh1!$AG$274</definedName>
    <definedName name="tlOutputCh1Analytic2Chart2Serie1Item6">OutCh1!$AG$275</definedName>
    <definedName name="tlOutputCh1Analytic2Chart2Serie1Item7">OutCh1!$AG$276</definedName>
    <definedName name="tlOutputCh1Analytic2Chart2Serie1Item8">OutCh1!$AG$277</definedName>
    <definedName name="tlOutputCh1Analytic2Chart2Serie1Item9">OutCh1!$AG$278</definedName>
    <definedName name="tlOutputCh1Analytic2Chart2Serie1Title">OutCh1!$AG$254</definedName>
    <definedName name="tlOutputCh1Analytic2Chart2Serie2Item1">OutCh1!$AG$283</definedName>
    <definedName name="tlOutputCh1Analytic2Chart2Serie2Item10">OutCh1!$AG$292</definedName>
    <definedName name="tlOutputCh1Analytic2Chart2Serie2Item11">OutCh1!$AG$293</definedName>
    <definedName name="tlOutputCh1Analytic2Chart2Serie2Item12">OutCh1!$AG$294</definedName>
    <definedName name="tlOutputCh1Analytic2Chart2Serie2Item2">OutCh1!$AG$284</definedName>
    <definedName name="tlOutputCh1Analytic2Chart2Serie2Item3">OutCh1!$AG$285</definedName>
    <definedName name="tlOutputCh1Analytic2Chart2Serie2Item4">OutCh1!$AG$286</definedName>
    <definedName name="tlOutputCh1Analytic2Chart2Serie2Item5">OutCh1!$AG$287</definedName>
    <definedName name="tlOutputCh1Analytic2Chart2Serie2Item6">OutCh1!$AG$288</definedName>
    <definedName name="tlOutputCh1Analytic2Chart2Serie2Item7">OutCh1!$AG$289</definedName>
    <definedName name="tlOutputCh1Analytic2Chart2Serie2Item8">OutCh1!$AG$290</definedName>
    <definedName name="tlOutputCh1Analytic2Chart2Serie2Item9">OutCh1!$AG$291</definedName>
    <definedName name="tlOutputCh1Analytic2Chart2Serie2Title">OutCh1!$AG$255</definedName>
    <definedName name="tlOutputCh1Analytic2Chart3BubbleSize1">OutCh1!$AO$339</definedName>
    <definedName name="tlOutputCh1Analytic2Chart3BubbleSize10">OutCh1!$AO$348</definedName>
    <definedName name="tlOutputCh1Analytic2Chart3BubbleSize11">OutCh1!$AO$349</definedName>
    <definedName name="tlOutputCh1Analytic2Chart3BubbleSize12">OutCh1!$AO$350</definedName>
    <definedName name="tlOutputCh1Analytic2Chart3BubbleSize13">OutCh1!$AO$351</definedName>
    <definedName name="tlOutputCh1Analytic2Chart3BubbleSize14">OutCh1!$AO$352</definedName>
    <definedName name="tlOutputCh1Analytic2Chart3BubbleSize15">OutCh1!$AO$353</definedName>
    <definedName name="tlOutputCh1Analytic2Chart3BubbleSize16">OutCh1!$AO$354</definedName>
    <definedName name="tlOutputCh1Analytic2Chart3BubbleSize17">OutCh1!$AO$355</definedName>
    <definedName name="tlOutputCh1Analytic2Chart3BubbleSize18">OutCh1!$AO$356</definedName>
    <definedName name="tlOutputCh1Analytic2Chart3BubbleSize19">OutCh1!$AO$357</definedName>
    <definedName name="tlOutputCh1Analytic2Chart3BubbleSize2">OutCh1!$AO$340</definedName>
    <definedName name="tlOutputCh1Analytic2Chart3BubbleSize20">OutCh1!$AO$358</definedName>
    <definedName name="tlOutputCh1Analytic2Chart3BubbleSize21">OutCh1!$AO$359</definedName>
    <definedName name="tlOutputCh1Analytic2Chart3BubbleSize22">OutCh1!$AO$360</definedName>
    <definedName name="tlOutputCh1Analytic2Chart3BubbleSize23">OutCh1!$AO$361</definedName>
    <definedName name="tlOutputCh1Analytic2Chart3BubbleSize24">OutCh1!$AO$362</definedName>
    <definedName name="tlOutputCh1Analytic2Chart3BubbleSize3">OutCh1!$AO$341</definedName>
    <definedName name="tlOutputCh1Analytic2Chart3BubbleSize4">OutCh1!$AO$342</definedName>
    <definedName name="tlOutputCh1Analytic2Chart3BubbleSize5">OutCh1!$AO$343</definedName>
    <definedName name="tlOutputCh1Analytic2Chart3BubbleSize6">OutCh1!$AO$344</definedName>
    <definedName name="tlOutputCh1Analytic2Chart3BubbleSize7">OutCh1!$AO$345</definedName>
    <definedName name="tlOutputCh1Analytic2Chart3BubbleSize8">OutCh1!$AO$346</definedName>
    <definedName name="tlOutputCh1Analytic2Chart3BubbleSize9">OutCh1!$AO$347</definedName>
    <definedName name="tlOutputCh1Analytic2Chart3Heading">OutCh1!$AO$252</definedName>
    <definedName name="tlOutputCh1Analytic2Chart3Label1">OutCh1!$AO$259</definedName>
    <definedName name="tlOutputCh1Analytic2Chart3Label10">OutCh1!$AO$268</definedName>
    <definedName name="tlOutputCh1Analytic2Chart3Label11">OutCh1!$AO$269</definedName>
    <definedName name="tlOutputCh1Analytic2Chart3Label12">OutCh1!$AO$270</definedName>
    <definedName name="tlOutputCh1Analytic2Chart3Label13">OutCh1!$AO$271</definedName>
    <definedName name="tlOutputCh1Analytic2Chart3Label14">OutCh1!$AO$272</definedName>
    <definedName name="tlOutputCh1Analytic2Chart3Label15">OutCh1!$AO$273</definedName>
    <definedName name="tlOutputCh1Analytic2Chart3Label16">OutCh1!$AO$274</definedName>
    <definedName name="tlOutputCh1Analytic2Chart3Label17">OutCh1!$AO$275</definedName>
    <definedName name="tlOutputCh1Analytic2Chart3Label18">OutCh1!$AO$276</definedName>
    <definedName name="tlOutputCh1Analytic2Chart3Label19">OutCh1!$AO$277</definedName>
    <definedName name="tlOutputCh1Analytic2Chart3Label2">OutCh1!$AO$260</definedName>
    <definedName name="tlOutputCh1Analytic2Chart3Label20">OutCh1!$AO$278</definedName>
    <definedName name="tlOutputCh1Analytic2Chart3Label21">OutCh1!$AO$279</definedName>
    <definedName name="tlOutputCh1Analytic2Chart3Label22">OutCh1!$AO$280</definedName>
    <definedName name="tlOutputCh1Analytic2Chart3Label23">OutCh1!$AO$281</definedName>
    <definedName name="tlOutputCh1Analytic2Chart3Label24">OutCh1!$AO$282</definedName>
    <definedName name="tlOutputCh1Analytic2Chart3Label3">OutCh1!$AO$261</definedName>
    <definedName name="tlOutputCh1Analytic2Chart3Label4">OutCh1!$AO$262</definedName>
    <definedName name="tlOutputCh1Analytic2Chart3Label5">OutCh1!$AO$263</definedName>
    <definedName name="tlOutputCh1Analytic2Chart3Label6">OutCh1!$AO$264</definedName>
    <definedName name="tlOutputCh1Analytic2Chart3Label7">OutCh1!$AO$265</definedName>
    <definedName name="tlOutputCh1Analytic2Chart3Label8">OutCh1!$AO$266</definedName>
    <definedName name="tlOutputCh1Analytic2Chart3Label9">OutCh1!$AO$267</definedName>
    <definedName name="tlOutputCh1Analytic2Chart3Type1">OutCh1!$AO$254</definedName>
    <definedName name="tlOutputCh1Analytic2Chart3Type2">OutCh1!$AO$255</definedName>
    <definedName name="tlOutputCh1Analytic2Chart3Type3">OutCh1!$AO$256</definedName>
    <definedName name="tlOutputCh1Analytic2Chart3Type4">OutCh1!$AO$257</definedName>
    <definedName name="tlOutputCh1Analytic2Chart3XaxisTitle">OutCh1!$AO$285</definedName>
    <definedName name="tlOutputCh1Analytic2Chart3XValue1">OutCh1!$AO$286</definedName>
    <definedName name="tlOutputCh1Analytic2Chart3XValue10">OutCh1!$AO$295</definedName>
    <definedName name="tlOutputCh1Analytic2Chart3XValue11">OutCh1!$AO$296</definedName>
    <definedName name="tlOutputCh1Analytic2Chart3XValue12">OutCh1!$AO$297</definedName>
    <definedName name="tlOutputCh1Analytic2Chart3XValue13">OutCh1!$AO$298</definedName>
    <definedName name="tlOutputCh1Analytic2Chart3XValue14">OutCh1!$AO$299</definedName>
    <definedName name="tlOutputCh1Analytic2Chart3XValue15">OutCh1!$AO$300</definedName>
    <definedName name="tlOutputCh1Analytic2Chart3XValue16">OutCh1!$AO$301</definedName>
    <definedName name="tlOutputCh1Analytic2Chart3XValue17">OutCh1!$AO$302</definedName>
    <definedName name="tlOutputCh1Analytic2Chart3XValue18">OutCh1!$AO$303</definedName>
    <definedName name="tlOutputCh1Analytic2Chart3XValue19">OutCh1!$AO$304</definedName>
    <definedName name="tlOutputCh1Analytic2Chart3XValue2">OutCh1!$AO$287</definedName>
    <definedName name="tlOutputCh1Analytic2Chart3XValue20">OutCh1!$AO$305</definedName>
    <definedName name="tlOutputCh1Analytic2Chart3XValue21">OutCh1!$AO$306</definedName>
    <definedName name="tlOutputCh1Analytic2Chart3XValue22">OutCh1!$AO$307</definedName>
    <definedName name="tlOutputCh1Analytic2Chart3XValue23">OutCh1!$AO$308</definedName>
    <definedName name="tlOutputCh1Analytic2Chart3XValue24">OutCh1!$AO$309</definedName>
    <definedName name="tlOutputCh1Analytic2Chart3XValue3">OutCh1!$AO$288</definedName>
    <definedName name="tlOutputCh1Analytic2Chart3XValue4">OutCh1!$AO$289</definedName>
    <definedName name="tlOutputCh1Analytic2Chart3XValue5">OutCh1!$AO$290</definedName>
    <definedName name="tlOutputCh1Analytic2Chart3XValue6">OutCh1!$AO$291</definedName>
    <definedName name="tlOutputCh1Analytic2Chart3XValue7">OutCh1!$AO$292</definedName>
    <definedName name="tlOutputCh1Analytic2Chart3XValue8">OutCh1!$AO$293</definedName>
    <definedName name="tlOutputCh1Analytic2Chart3XValue9">OutCh1!$AO$294</definedName>
    <definedName name="tlOutputCh1Analytic2Chart3YaxisTitle">OutCh1!$AO$312</definedName>
    <definedName name="tlOutputCh1Analytic2Chart3YValue1">OutCh1!$AO$313</definedName>
    <definedName name="tlOutputCh1Analytic2Chart3YValue10">OutCh1!$AO$322</definedName>
    <definedName name="tlOutputCh1Analytic2Chart3YValue11">OutCh1!$AO$323</definedName>
    <definedName name="tlOutputCh1Analytic2Chart3YValue12">OutCh1!$AO$324</definedName>
    <definedName name="tlOutputCh1Analytic2Chart3YValue13">OutCh1!$AO$325</definedName>
    <definedName name="tlOutputCh1Analytic2Chart3YValue14">OutCh1!$AO$326</definedName>
    <definedName name="tlOutputCh1Analytic2Chart3YValue15">OutCh1!$AO$327</definedName>
    <definedName name="tlOutputCh1Analytic2Chart3YValue16">OutCh1!$AO$328</definedName>
    <definedName name="tlOutputCh1Analytic2Chart3YValue17">OutCh1!$AO$329</definedName>
    <definedName name="tlOutputCh1Analytic2Chart3YValue18">OutCh1!$AO$330</definedName>
    <definedName name="tlOutputCh1Analytic2Chart3YValue19">OutCh1!$AO$331</definedName>
    <definedName name="tlOutputCh1Analytic2Chart3YValue2">OutCh1!$AO$314</definedName>
    <definedName name="tlOutputCh1Analytic2Chart3YValue20">OutCh1!$AO$332</definedName>
    <definedName name="tlOutputCh1Analytic2Chart3YValue21">OutCh1!$AO$333</definedName>
    <definedName name="tlOutputCh1Analytic2Chart3YValue22">OutCh1!$AO$334</definedName>
    <definedName name="tlOutputCh1Analytic2Chart3YValue23">OutCh1!$AO$335</definedName>
    <definedName name="tlOutputCh1Analytic2Chart3YValue24">OutCh1!$AO$336</definedName>
    <definedName name="tlOutputCh1Analytic2Chart3YValue3">OutCh1!$AO$315</definedName>
    <definedName name="tlOutputCh1Analytic2Chart3YValue4">OutCh1!$AO$316</definedName>
    <definedName name="tlOutputCh1Analytic2Chart3YValue5">OutCh1!$AO$317</definedName>
    <definedName name="tlOutputCh1Analytic2Chart3YValue6">OutCh1!$AO$318</definedName>
    <definedName name="tlOutputCh1Analytic2Chart3YValue7">OutCh1!$AO$319</definedName>
    <definedName name="tlOutputCh1Analytic2Chart3YValue8">OutCh1!$AO$320</definedName>
    <definedName name="tlOutputCh1Analytic2Chart3YValue9">OutCh1!$AO$321</definedName>
    <definedName name="tlOutputCh1Analytic2Chart4BubbleSize1">OutCh1!$AK$339</definedName>
    <definedName name="tlOutputCh1Analytic2Chart4BubbleSize10">OutCh1!$AK$348</definedName>
    <definedName name="tlOutputCh1Analytic2Chart4BubbleSize11">OutCh1!$AK$349</definedName>
    <definedName name="tlOutputCh1Analytic2Chart4BubbleSize12">OutCh1!$AK$350</definedName>
    <definedName name="tlOutputCh1Analytic2Chart4BubbleSize13">OutCh1!$AK$351</definedName>
    <definedName name="tlOutputCh1Analytic2Chart4BubbleSize14">OutCh1!$AK$352</definedName>
    <definedName name="tlOutputCh1Analytic2Chart4BubbleSize15">OutCh1!$AK$353</definedName>
    <definedName name="tlOutputCh1Analytic2Chart4BubbleSize16">OutCh1!$AK$354</definedName>
    <definedName name="tlOutputCh1Analytic2Chart4BubbleSize17">OutCh1!$AK$355</definedName>
    <definedName name="tlOutputCh1Analytic2Chart4BubbleSize18">OutCh1!$AK$356</definedName>
    <definedName name="tlOutputCh1Analytic2Chart4BubbleSize19">OutCh1!$AK$357</definedName>
    <definedName name="tlOutputCh1Analytic2Chart4BubbleSize2">OutCh1!$AK$340</definedName>
    <definedName name="tlOutputCh1Analytic2Chart4BubbleSize20">OutCh1!$AK$358</definedName>
    <definedName name="tlOutputCh1Analytic2Chart4BubbleSize21">OutCh1!$AK$359</definedName>
    <definedName name="tlOutputCh1Analytic2Chart4BubbleSize22">OutCh1!$AK$360</definedName>
    <definedName name="tlOutputCh1Analytic2Chart4BubbleSize23">OutCh1!$AK$361</definedName>
    <definedName name="tlOutputCh1Analytic2Chart4BubbleSize24">OutCh1!$AK$362</definedName>
    <definedName name="tlOutputCh1Analytic2Chart4BubbleSize3">OutCh1!$AK$341</definedName>
    <definedName name="tlOutputCh1Analytic2Chart4BubbleSize4">OutCh1!$AK$342</definedName>
    <definedName name="tlOutputCh1Analytic2Chart4BubbleSize5">OutCh1!$AK$343</definedName>
    <definedName name="tlOutputCh1Analytic2Chart4BubbleSize6">OutCh1!$AK$344</definedName>
    <definedName name="tlOutputCh1Analytic2Chart4BubbleSize7">OutCh1!$AK$345</definedName>
    <definedName name="tlOutputCh1Analytic2Chart4BubbleSize8">OutCh1!$AK$346</definedName>
    <definedName name="tlOutputCh1Analytic2Chart4BubbleSize9">OutCh1!$AK$347</definedName>
    <definedName name="tlOutputCh1Analytic2Chart4Heading">OutCh1!$AK$252</definedName>
    <definedName name="tlOutputCh1Analytic2Chart4Label1">OutCh1!$AK$259</definedName>
    <definedName name="tlOutputCh1Analytic2Chart4Label10">OutCh1!$AK$268</definedName>
    <definedName name="tlOutputCh1Analytic2Chart4Label11">OutCh1!$AK$269</definedName>
    <definedName name="tlOutputCh1Analytic2Chart4Label12">OutCh1!$AK$270</definedName>
    <definedName name="tlOutputCh1Analytic2Chart4Label13">OutCh1!$AK$271</definedName>
    <definedName name="tlOutputCh1Analytic2Chart4Label14">OutCh1!$AK$272</definedName>
    <definedName name="tlOutputCh1Analytic2Chart4Label15">OutCh1!$AK$273</definedName>
    <definedName name="tlOutputCh1Analytic2Chart4Label16">OutCh1!$AK$274</definedName>
    <definedName name="tlOutputCh1Analytic2Chart4Label17">OutCh1!$AK$275</definedName>
    <definedName name="tlOutputCh1Analytic2Chart4Label18">OutCh1!$AK$276</definedName>
    <definedName name="tlOutputCh1Analytic2Chart4Label19">OutCh1!$AK$277</definedName>
    <definedName name="tlOutputCh1Analytic2Chart4Label2">OutCh1!$AK$260</definedName>
    <definedName name="tlOutputCh1Analytic2Chart4Label20">OutCh1!$AK$278</definedName>
    <definedName name="tlOutputCh1Analytic2Chart4Label21">OutCh1!$AK$279</definedName>
    <definedName name="tlOutputCh1Analytic2Chart4Label22">OutCh1!$AK$280</definedName>
    <definedName name="tlOutputCh1Analytic2Chart4Label23">OutCh1!$AK$281</definedName>
    <definedName name="tlOutputCh1Analytic2Chart4Label24">OutCh1!$AK$282</definedName>
    <definedName name="tlOutputCh1Analytic2Chart4Label3">OutCh1!$AK$261</definedName>
    <definedName name="tlOutputCh1Analytic2Chart4Label4">OutCh1!$AK$262</definedName>
    <definedName name="tlOutputCh1Analytic2Chart4Label5">OutCh1!$AK$263</definedName>
    <definedName name="tlOutputCh1Analytic2Chart4Label6">OutCh1!$AK$264</definedName>
    <definedName name="tlOutputCh1Analytic2Chart4Label7">OutCh1!$AK$265</definedName>
    <definedName name="tlOutputCh1Analytic2Chart4Label8">OutCh1!$AK$266</definedName>
    <definedName name="tlOutputCh1Analytic2Chart4Label9">OutCh1!$AK$267</definedName>
    <definedName name="tlOutputCh1Analytic2Chart4Type1">OutCh1!$AK$254</definedName>
    <definedName name="tlOutputCh1Analytic2Chart4Type2">OutCh1!$AK$255</definedName>
    <definedName name="tlOutputCh1Analytic2Chart4Type3">OutCh1!$AK$256</definedName>
    <definedName name="tlOutputCh1Analytic2Chart4Type4">OutCh1!$AK$257</definedName>
    <definedName name="tlOutputCh1Analytic2Chart4XaxisTitle">OutCh1!$AK$285</definedName>
    <definedName name="tlOutputCh1Analytic2Chart4XValue1">OutCh1!$AK$286</definedName>
    <definedName name="tlOutputCh1Analytic2Chart4XValue10">OutCh1!$AK$295</definedName>
    <definedName name="tlOutputCh1Analytic2Chart4XValue11">OutCh1!$AK$296</definedName>
    <definedName name="tlOutputCh1Analytic2Chart4XValue12">OutCh1!$AK$297</definedName>
    <definedName name="tlOutputCh1Analytic2Chart4XValue13">OutCh1!$AK$298</definedName>
    <definedName name="tlOutputCh1Analytic2Chart4XValue14">OutCh1!$AK$299</definedName>
    <definedName name="tlOutputCh1Analytic2Chart4XValue15">OutCh1!$AK$300</definedName>
    <definedName name="tlOutputCh1Analytic2Chart4XValue16">OutCh1!$AK$301</definedName>
    <definedName name="tlOutputCh1Analytic2Chart4XValue17">OutCh1!$AK$302</definedName>
    <definedName name="tlOutputCh1Analytic2Chart4XValue18">OutCh1!$AK$303</definedName>
    <definedName name="tlOutputCh1Analytic2Chart4XValue19">OutCh1!$AK$304</definedName>
    <definedName name="tlOutputCh1Analytic2Chart4XValue2">OutCh1!$AK$287</definedName>
    <definedName name="tlOutputCh1Analytic2Chart4XValue20">OutCh1!$AK$305</definedName>
    <definedName name="tlOutputCh1Analytic2Chart4XValue21">OutCh1!$AK$306</definedName>
    <definedName name="tlOutputCh1Analytic2Chart4XValue22">OutCh1!$AK$307</definedName>
    <definedName name="tlOutputCh1Analytic2Chart4XValue23">OutCh1!$AK$308</definedName>
    <definedName name="tlOutputCh1Analytic2Chart4XValue24">OutCh1!$AK$309</definedName>
    <definedName name="tlOutputCh1Analytic2Chart4XValue3">OutCh1!$AK$288</definedName>
    <definedName name="tlOutputCh1Analytic2Chart4XValue4">OutCh1!$AK$289</definedName>
    <definedName name="tlOutputCh1Analytic2Chart4XValue5">OutCh1!$AK$290</definedName>
    <definedName name="tlOutputCh1Analytic2Chart4XValue6">OutCh1!$AK$291</definedName>
    <definedName name="tlOutputCh1Analytic2Chart4XValue7">OutCh1!$AK$292</definedName>
    <definedName name="tlOutputCh1Analytic2Chart4XValue8">OutCh1!$AK$293</definedName>
    <definedName name="tlOutputCh1Analytic2Chart4XValue9">OutCh1!$AK$294</definedName>
    <definedName name="tlOutputCh1Analytic2Chart4YaxisTitle">OutCh1!$AK$312</definedName>
    <definedName name="tlOutputCh1Analytic2Chart4YValue1">OutCh1!$AK$313</definedName>
    <definedName name="tlOutputCh1Analytic2Chart4YValue10">OutCh1!$AK$322</definedName>
    <definedName name="tlOutputCh1Analytic2Chart4YValue11">OutCh1!$AK$323</definedName>
    <definedName name="tlOutputCh1Analytic2Chart4YValue12">OutCh1!$AK$324</definedName>
    <definedName name="tlOutputCh1Analytic2Chart4YValue13">OutCh1!$AK$325</definedName>
    <definedName name="tlOutputCh1Analytic2Chart4YValue14">OutCh1!$AK$326</definedName>
    <definedName name="tlOutputCh1Analytic2Chart4YValue15">OutCh1!$AK$327</definedName>
    <definedName name="tlOutputCh1Analytic2Chart4YValue16">OutCh1!$AK$328</definedName>
    <definedName name="tlOutputCh1Analytic2Chart4YValue17">OutCh1!$AK$329</definedName>
    <definedName name="tlOutputCh1Analytic2Chart4YValue18">OutCh1!$AK$330</definedName>
    <definedName name="tlOutputCh1Analytic2Chart4YValue19">OutCh1!$AK$331</definedName>
    <definedName name="tlOutputCh1Analytic2Chart4YValue2">OutCh1!$AK$314</definedName>
    <definedName name="tlOutputCh1Analytic2Chart4YValue20">OutCh1!$AK$332</definedName>
    <definedName name="tlOutputCh1Analytic2Chart4YValue21">OutCh1!$AK$333</definedName>
    <definedName name="tlOutputCh1Analytic2Chart4YValue22">OutCh1!$AK$334</definedName>
    <definedName name="tlOutputCh1Analytic2Chart4YValue23">OutCh1!$AK$335</definedName>
    <definedName name="tlOutputCh1Analytic2Chart4YValue24">OutCh1!$AK$336</definedName>
    <definedName name="tlOutputCh1Analytic2Chart4YValue3">OutCh1!$AK$315</definedName>
    <definedName name="tlOutputCh1Analytic2Chart4YValue4">OutCh1!$AK$316</definedName>
    <definedName name="tlOutputCh1Analytic2Chart4YValue5">OutCh1!$AK$317</definedName>
    <definedName name="tlOutputCh1Analytic2Chart4YValue6">OutCh1!$AK$318</definedName>
    <definedName name="tlOutputCh1Analytic2Chart4YValue7">OutCh1!$AK$319</definedName>
    <definedName name="tlOutputCh1Analytic2Chart4YValue8">OutCh1!$AK$320</definedName>
    <definedName name="tlOutputCh1Analytic2Chart4YValue9">OutCh1!$AK$321</definedName>
    <definedName name="tlOutputCh1Analytic2Chart5BubbleSize1">OutCh1!$AS$339</definedName>
    <definedName name="tlOutputCh1Analytic2Chart5BubbleSize10">OutCh1!$AS$348</definedName>
    <definedName name="tlOutputCh1Analytic2Chart5BubbleSize11">OutCh1!$AS$349</definedName>
    <definedName name="tlOutputCh1Analytic2Chart5BubbleSize12">OutCh1!$AS$350</definedName>
    <definedName name="tlOutputCh1Analytic2Chart5BubbleSize13">OutCh1!$AS$351</definedName>
    <definedName name="tlOutputCh1Analytic2Chart5BubbleSize14">OutCh1!$AS$352</definedName>
    <definedName name="tlOutputCh1Analytic2Chart5BubbleSize15">OutCh1!$AS$353</definedName>
    <definedName name="tlOutputCh1Analytic2Chart5BubbleSize16">OutCh1!$AS$354</definedName>
    <definedName name="tlOutputCh1Analytic2Chart5BubbleSize17">OutCh1!$AS$355</definedName>
    <definedName name="tlOutputCh1Analytic2Chart5BubbleSize18">OutCh1!$AS$356</definedName>
    <definedName name="tlOutputCh1Analytic2Chart5BubbleSize19">OutCh1!$AS$357</definedName>
    <definedName name="tlOutputCh1Analytic2Chart5BubbleSize2">OutCh1!$AS$340</definedName>
    <definedName name="tlOutputCh1Analytic2Chart5BubbleSize20">OutCh1!$AS$358</definedName>
    <definedName name="tlOutputCh1Analytic2Chart5BubbleSize21">OutCh1!$AS$359</definedName>
    <definedName name="tlOutputCh1Analytic2Chart5BubbleSize22">OutCh1!$AS$360</definedName>
    <definedName name="tlOutputCh1Analytic2Chart5BubbleSize23">OutCh1!$AS$361</definedName>
    <definedName name="tlOutputCh1Analytic2Chart5BubbleSize24">OutCh1!$AS$362</definedName>
    <definedName name="tlOutputCh1Analytic2Chart5BubbleSize3">OutCh1!$AS$341</definedName>
    <definedName name="tlOutputCh1Analytic2Chart5BubbleSize4">OutCh1!$AS$342</definedName>
    <definedName name="tlOutputCh1Analytic2Chart5BubbleSize5">OutCh1!$AS$343</definedName>
    <definedName name="tlOutputCh1Analytic2Chart5BubbleSize6">OutCh1!$AS$344</definedName>
    <definedName name="tlOutputCh1Analytic2Chart5BubbleSize7">OutCh1!$AS$345</definedName>
    <definedName name="tlOutputCh1Analytic2Chart5BubbleSize8">OutCh1!$AS$346</definedName>
    <definedName name="tlOutputCh1Analytic2Chart5BubbleSize9">OutCh1!$AS$347</definedName>
    <definedName name="tlOutputCh1Analytic2Chart5Heading">OutCh1!$AS$252</definedName>
    <definedName name="tlOutputCh1Analytic2Chart5Label1">OutCh1!$AS$259</definedName>
    <definedName name="tlOutputCh1Analytic2Chart5Label10">OutCh1!$AS$268</definedName>
    <definedName name="tlOutputCh1Analytic2Chart5Label11">OutCh1!$AS$269</definedName>
    <definedName name="tlOutputCh1Analytic2Chart5Label12">OutCh1!$AS$270</definedName>
    <definedName name="tlOutputCh1Analytic2Chart5Label13">OutCh1!$AS$271</definedName>
    <definedName name="tlOutputCh1Analytic2Chart5Label14">OutCh1!$AS$272</definedName>
    <definedName name="tlOutputCh1Analytic2Chart5Label15">OutCh1!$AS$273</definedName>
    <definedName name="tlOutputCh1Analytic2Chart5Label16">OutCh1!$AS$274</definedName>
    <definedName name="tlOutputCh1Analytic2Chart5Label17">OutCh1!$AS$275</definedName>
    <definedName name="tlOutputCh1Analytic2Chart5Label18">OutCh1!$AS$276</definedName>
    <definedName name="tlOutputCh1Analytic2Chart5Label19">OutCh1!$AS$277</definedName>
    <definedName name="tlOutputCh1Analytic2Chart5Label2">OutCh1!$AS$260</definedName>
    <definedName name="tlOutputCh1Analytic2Chart5Label20">OutCh1!$AS$278</definedName>
    <definedName name="tlOutputCh1Analytic2Chart5Label21">OutCh1!$AS$279</definedName>
    <definedName name="tlOutputCh1Analytic2Chart5Label22">OutCh1!$AS$280</definedName>
    <definedName name="tlOutputCh1Analytic2Chart5Label23">OutCh1!$AS$281</definedName>
    <definedName name="tlOutputCh1Analytic2Chart5Label24">OutCh1!$AS$282</definedName>
    <definedName name="tlOutputCh1Analytic2Chart5Label3">OutCh1!$AS$261</definedName>
    <definedName name="tlOutputCh1Analytic2Chart5Label4">OutCh1!$AS$262</definedName>
    <definedName name="tlOutputCh1Analytic2Chart5Label5">OutCh1!$AS$263</definedName>
    <definedName name="tlOutputCh1Analytic2Chart5Label6">OutCh1!$AS$264</definedName>
    <definedName name="tlOutputCh1Analytic2Chart5Label7">OutCh1!$AS$265</definedName>
    <definedName name="tlOutputCh1Analytic2Chart5Label8">OutCh1!$AS$266</definedName>
    <definedName name="tlOutputCh1Analytic2Chart5Label9">OutCh1!$AS$267</definedName>
    <definedName name="tlOutputCh1Analytic2Chart5Type1">OutCh1!$AS$254</definedName>
    <definedName name="tlOutputCh1Analytic2Chart5Type2">OutCh1!$AS$255</definedName>
    <definedName name="tlOutputCh1Analytic2Chart5Type3">OutCh1!$AS$256</definedName>
    <definedName name="tlOutputCh1Analytic2Chart5Type4">OutCh1!$AS$257</definedName>
    <definedName name="tlOutputCh1Analytic2Chart5XaxisTitle">OutCh1!$AS$285</definedName>
    <definedName name="tlOutputCh1Analytic2Chart5XValue1">OutCh1!$AS$286</definedName>
    <definedName name="tlOutputCh1Analytic2Chart5XValue10">OutCh1!$AS$295</definedName>
    <definedName name="tlOutputCh1Analytic2Chart5XValue11">OutCh1!$AS$296</definedName>
    <definedName name="tlOutputCh1Analytic2Chart5XValue12">OutCh1!$AS$297</definedName>
    <definedName name="tlOutputCh1Analytic2Chart5XValue13">OutCh1!$AS$298</definedName>
    <definedName name="tlOutputCh1Analytic2Chart5XValue14">OutCh1!$AS$299</definedName>
    <definedName name="tlOutputCh1Analytic2Chart5XValue15">OutCh1!$AS$300</definedName>
    <definedName name="tlOutputCh1Analytic2Chart5XValue16">OutCh1!$AS$301</definedName>
    <definedName name="tlOutputCh1Analytic2Chart5XValue17">OutCh1!$AS$302</definedName>
    <definedName name="tlOutputCh1Analytic2Chart5XValue18">OutCh1!$AS$303</definedName>
    <definedName name="tlOutputCh1Analytic2Chart5XValue19">OutCh1!$AS$304</definedName>
    <definedName name="tlOutputCh1Analytic2Chart5XValue2">OutCh1!$AS$287</definedName>
    <definedName name="tlOutputCh1Analytic2Chart5XValue20">OutCh1!$AS$305</definedName>
    <definedName name="tlOutputCh1Analytic2Chart5XValue21">OutCh1!$AS$306</definedName>
    <definedName name="tlOutputCh1Analytic2Chart5XValue22">OutCh1!$AS$307</definedName>
    <definedName name="tlOutputCh1Analytic2Chart5XValue23">OutCh1!$AS$308</definedName>
    <definedName name="tlOutputCh1Analytic2Chart5XValue24">OutCh1!$AS$309</definedName>
    <definedName name="tlOutputCh1Analytic2Chart5XValue3">OutCh1!$AS$288</definedName>
    <definedName name="tlOutputCh1Analytic2Chart5XValue4">OutCh1!$AS$289</definedName>
    <definedName name="tlOutputCh1Analytic2Chart5XValue5">OutCh1!$AS$290</definedName>
    <definedName name="tlOutputCh1Analytic2Chart5XValue6">OutCh1!$AS$291</definedName>
    <definedName name="tlOutputCh1Analytic2Chart5XValue7">OutCh1!$AS$292</definedName>
    <definedName name="tlOutputCh1Analytic2Chart5XValue8">OutCh1!$AS$293</definedName>
    <definedName name="tlOutputCh1Analytic2Chart5XValue9">OutCh1!$AS$294</definedName>
    <definedName name="tlOutputCh1Analytic2Chart5YaxisTitle">OutCh1!$AS$312</definedName>
    <definedName name="tlOutputCh1Analytic2Chart5YValue1">OutCh1!$AS$313</definedName>
    <definedName name="tlOutputCh1Analytic2Chart5YValue10">OutCh1!$AS$322</definedName>
    <definedName name="tlOutputCh1Analytic2Chart5YValue11">OutCh1!$AS$323</definedName>
    <definedName name="tlOutputCh1Analytic2Chart5YValue12">OutCh1!$AS$324</definedName>
    <definedName name="tlOutputCh1Analytic2Chart5YValue13">OutCh1!$AS$325</definedName>
    <definedName name="tlOutputCh1Analytic2Chart5YValue14">OutCh1!$AS$326</definedName>
    <definedName name="tlOutputCh1Analytic2Chart5YValue15">OutCh1!$AS$327</definedName>
    <definedName name="tlOutputCh1Analytic2Chart5YValue16">OutCh1!$AS$328</definedName>
    <definedName name="tlOutputCh1Analytic2Chart5YValue17">OutCh1!$AS$329</definedName>
    <definedName name="tlOutputCh1Analytic2Chart5YValue18">OutCh1!$AS$330</definedName>
    <definedName name="tlOutputCh1Analytic2Chart5YValue19">OutCh1!$AS$331</definedName>
    <definedName name="tlOutputCh1Analytic2Chart5YValue2">OutCh1!$AS$314</definedName>
    <definedName name="tlOutputCh1Analytic2Chart5YValue20">OutCh1!$AS$332</definedName>
    <definedName name="tlOutputCh1Analytic2Chart5YValue21">OutCh1!$AS$333</definedName>
    <definedName name="tlOutputCh1Analytic2Chart5YValue22">OutCh1!$AS$334</definedName>
    <definedName name="tlOutputCh1Analytic2Chart5YValue23">OutCh1!$AS$335</definedName>
    <definedName name="tlOutputCh1Analytic2Chart5YValue24">OutCh1!$AS$336</definedName>
    <definedName name="tlOutputCh1Analytic2Chart5YValue3">OutCh1!$AS$315</definedName>
    <definedName name="tlOutputCh1Analytic2Chart5YValue4">OutCh1!$AS$316</definedName>
    <definedName name="tlOutputCh1Analytic2Chart5YValue5">OutCh1!$AS$317</definedName>
    <definedName name="tlOutputCh1Analytic2Chart5YValue6">OutCh1!$AS$318</definedName>
    <definedName name="tlOutputCh1Analytic2Chart5YValue7">OutCh1!$AS$319</definedName>
    <definedName name="tlOutputCh1Analytic2Chart5YValue8">OutCh1!$AS$320</definedName>
    <definedName name="tlOutputCh1Analytic2Chart5YValue9">OutCh1!$AS$321</definedName>
    <definedName name="tlOutputCh1AnalyticsEmp1Req">OutCh1!$AG$54</definedName>
    <definedName name="tlOutputCh1AnalyticsExp">OutCh1!$AG$55</definedName>
    <definedName name="tlOutputCh1CustProfitTot">OutCh1!$AS$16</definedName>
    <definedName name="tlOutputCh1Emp1GaugeMax">OutCh1!$AG$7</definedName>
    <definedName name="tlOutputCh1Emp1GaugeMin">OutCh1!$AG$6</definedName>
    <definedName name="tlOutputCh1Emp1GaugeValue">OutCh1!$AG$5</definedName>
    <definedName name="tlOutputCh1GPaLTot">OutCh1!$AS$15</definedName>
    <definedName name="tlOutputCh1MarketDemandTot">OutCh1!$AS$12</definedName>
    <definedName name="tlOutputCh1MarkPlanEmp1Req">OutCh1!$AG$40</definedName>
    <definedName name="tlOutputCh1MarkPlanExp">OutCh1!$AG$41</definedName>
    <definedName name="tlOutputCh1NetSalesTot">OutCh1!$AS$14</definedName>
    <definedName name="tlOutputCh1NewSlotAvailGaugeMax">OutCh1!$AK$7</definedName>
    <definedName name="tlOutputCh1NewSlotAvailGaugeMin">OutCh1!$AK$6</definedName>
    <definedName name="tlOutputCh1NewSlotAvailGaugeValue">OutCh1!$AK$5</definedName>
    <definedName name="tlOutputCh1Prod1Close">OutCh1!$AK$45</definedName>
    <definedName name="tlOutputCh1Prod1CustProfit">OutCh1!$AK$16</definedName>
    <definedName name="tlOutputCh1Prod1CustProfitTot">OutComp!$E$124</definedName>
    <definedName name="tlOutputCh1Prod1GPaL">OutCh1!$AK$15</definedName>
    <definedName name="tlOutputCh1Prod1GPaLpBrandCogs">OutCh1!$AQ$103</definedName>
    <definedName name="tlOutputCh1Prod1GPaLpGPaL">OutCh1!$AQ$107</definedName>
    <definedName name="tlOutputCh1Prod1GPaLpGPaLmar">OutCh1!$AQ$109</definedName>
    <definedName name="tlOutputCh1Prod1GPaLpLog">OutCh1!$AQ$105</definedName>
    <definedName name="tlOutputCh1Prod1MktSize">OutCh1!$AK$12</definedName>
    <definedName name="tlOutputCh1Prod1NetSales">OutCh1!$AK$14</definedName>
    <definedName name="tlOutputCh1Prod1NewSlotEmp1">OutCh1!$AG$44</definedName>
    <definedName name="tlOutputCh1Prod1NewSlotExp">OutCh1!$AG$48</definedName>
    <definedName name="tlOutputCh1Prod1Open">OutCh1!$AK$44</definedName>
    <definedName name="tlOutputCh1Prod1PromoEmp1">OutCh1!$AG$86</definedName>
    <definedName name="tlOutputCh1Prod1PromoExp">OutCh1!$AG$90</definedName>
    <definedName name="tloutputCh1Prod1Slot1AvgPromoDis">OutCh1!$E$86</definedName>
    <definedName name="tloutputCh1Prod1Slot1AvgPromoPrice">OutCh1!$AO$68</definedName>
    <definedName name="tloutputCh1Prod1Slot1AvgSellPrice">OutCh1!$AS$68</definedName>
    <definedName name="tloutputCh1Prod1Slot1CM">OutCh1!$AK$68</definedName>
    <definedName name="tlOutputCh1Prod1Slot1CustProfitTot">OutComp!$E$121</definedName>
    <definedName name="tloutputCh1Prod1Slot1RSPHigh">OutCh1!$BA$68</definedName>
    <definedName name="tloutputCh1Prod1Slot1RSPLow">OutCh1!$AW$68</definedName>
    <definedName name="tlOutputCh1Prod1Slot1SP">OutCh1!$AG$68</definedName>
    <definedName name="tloutputCh1Prod1Slot2AvgPromoDis">OutCh1!$E$87</definedName>
    <definedName name="tloutputCh1Prod1Slot2AvgPromoPrice">OutCh1!$AO$69</definedName>
    <definedName name="tloutputCh1Prod1Slot2AvgSellPrice">OutCh1!$AS$69</definedName>
    <definedName name="tloutputCh1Prod1Slot2CM">OutCh1!$AK$69</definedName>
    <definedName name="tlOutputCh1Prod1Slot2CustProfitTot">OutComp!$E$122</definedName>
    <definedName name="tloutputCh1Prod1Slot2RSPHigh">OutCh1!$BA$69</definedName>
    <definedName name="tloutputCh1Prod1Slot2RSPLow">OutCh1!$AW$69</definedName>
    <definedName name="tlOutputCh1Prod1Slot2SP">OutCh1!$AG$69</definedName>
    <definedName name="tloutputCh1Prod1Slot3AvgPromoDis">OutCh1!$E$88</definedName>
    <definedName name="tloutputCh1Prod1Slot3AvgPromoPrice">OutCh1!$AO$70</definedName>
    <definedName name="tloutputCh1Prod1Slot3AvgSellPrice">OutCh1!$AS$70</definedName>
    <definedName name="tloutputCh1Prod1Slot3CM">OutCh1!$AK$70</definedName>
    <definedName name="tlOutputCh1Prod1Slot3CustProfitTot">OutComp!$E$123</definedName>
    <definedName name="tloutputCh1Prod1Slot3RSPHigh">OutCh1!$BA$70</definedName>
    <definedName name="tloutputCh1Prod1Slot3RSPLow">OutCh1!$AW$70</definedName>
    <definedName name="tlOutputCh1Prod1Slot3SP">OutCh1!$AG$70</definedName>
    <definedName name="tlOutputCh1Prod1VolForcast">OutCh1!$AK$13</definedName>
    <definedName name="tlOutputCh1Prod2Close">OutCh1!$AK$47</definedName>
    <definedName name="tlOutputCh1Prod2CustProfit">OutCh1!$AG$16</definedName>
    <definedName name="tlOutputCh1Prod2CustProfitTot">OutComp!$E$112</definedName>
    <definedName name="tlOutputCh1Prod2GPaL">OutCh1!$AG$15</definedName>
    <definedName name="tlOutputCh1Prod2GPaLpBrandCogs">OutCh1!$AO$103</definedName>
    <definedName name="tlOutputCh1Prod2GPaLpGPaL">OutCh1!$AO$107</definedName>
    <definedName name="tlOutputCh1Prod2GPaLpGPaLmar">OutCh1!$AO$109</definedName>
    <definedName name="tlOutputCh1Prod2GPaLpLog">OutCh1!$AO$105</definedName>
    <definedName name="tlOutputCh1Prod2n3MktSize">OutCh1!$AG$12</definedName>
    <definedName name="tlOutputCh1Prod2NetSales">OutCh1!$AG$14</definedName>
    <definedName name="tlOutputCh1Prod2NewSlotEmp1">OutCh1!$AG$45</definedName>
    <definedName name="tlOutputCh1Prod2NewSlotExp">OutCh1!$AG$49</definedName>
    <definedName name="tlOutputCh1Prod2Open">OutCh1!$AK$46</definedName>
    <definedName name="tlOutputCh1Prod2PromoEmp1">OutCh1!$AG$87</definedName>
    <definedName name="tlOutputCh1Prod2PromoExp">OutCh1!$AG$91</definedName>
    <definedName name="tloutputCh1Prod2Slot1AvgPromoDis">OutCh1!$E$89</definedName>
    <definedName name="tloutputCh1Prod2Slot1AvgPromoPrice">OutCh1!$AO$72</definedName>
    <definedName name="tloutputCh1Prod2Slot1AvgSellPrice">OutCh1!$AS$72</definedName>
    <definedName name="tloutputCh1Prod2Slot1CM">OutCh1!$AK$72</definedName>
    <definedName name="tlOutputCh1Prod2Slot1CustProfitTot">OutComp!$E$109</definedName>
    <definedName name="tloutputCh1Prod2Slot1RSPHigh">OutCh1!$BA$71</definedName>
    <definedName name="tloutputCh1Prod2Slot1RSPLow">OutCh1!$AW$71</definedName>
    <definedName name="tlOutputCh1Prod2Slot1SP">OutCh1!$AG$72</definedName>
    <definedName name="tloutputCh1Prod2Slot2AvgPromoDis">OutCh1!$E$90</definedName>
    <definedName name="tloutputCh1Prod2Slot2AvgPromoPrice">OutCh1!$AO$73</definedName>
    <definedName name="tloutputCh1Prod2Slot2AvgSellPrice">OutCh1!$AS$73</definedName>
    <definedName name="tloutputCh1Prod2Slot2CM">OutCh1!$AK$73</definedName>
    <definedName name="tlOutputCh1Prod2Slot2CustProfitTot">OutComp!$E$110</definedName>
    <definedName name="tloutputCh1Prod2Slot2RSPHigh">OutCh1!$BA$72</definedName>
    <definedName name="tloutputCh1Prod2Slot2RSPLow">OutCh1!$AW$72</definedName>
    <definedName name="tlOutputCh1Prod2Slot2SP">OutCh1!$AG$73</definedName>
    <definedName name="tloutputCh1Prod2Slot3AvgPromoDis">OutCh1!$E$91</definedName>
    <definedName name="tloutputCh1Prod2Slot3AvgPromoPrice">OutCh1!$AO$74</definedName>
    <definedName name="tloutputCh1Prod2Slot3AvgSellPrice">OutCh1!$AS$74</definedName>
    <definedName name="tloutputCh1Prod2Slot3CM">OutCh1!$AK$74</definedName>
    <definedName name="tlOutputCh1Prod2Slot3CustProfitTot">OutComp!$E$111</definedName>
    <definedName name="tloutputCh1Prod2Slot3RSPHigh">OutCh1!$BA$73</definedName>
    <definedName name="tloutputCh1Prod2Slot3RSPLow">OutCh1!$AW$73</definedName>
    <definedName name="tlOutputCh1Prod2Slot3SP">OutCh1!$AG$74</definedName>
    <definedName name="tlOutputCh1Prod2VolForcast">OutCh1!$AG$13</definedName>
    <definedName name="tlOutputCh1Prod3Close">OutCh1!$AK$49</definedName>
    <definedName name="tlOutputCh1Prod3CustProfit">OutCh1!$AG$21</definedName>
    <definedName name="tlOutputCh1Prod3CustProfitTot">OutComp!$E$118</definedName>
    <definedName name="tlOutputCh1Prod3GPaL">OutCh1!$AG$20</definedName>
    <definedName name="tlOutputCh1Prod3GPaLpBrandCogs">OutCh1!$AP$103</definedName>
    <definedName name="tlOutputCh1Prod3GPaLpGPaL">OutCh1!$AP$107</definedName>
    <definedName name="tlOutputCh1Prod3GPaLpGPaLmar">OutCh1!$AP$109</definedName>
    <definedName name="tlOutputCh1Prod3GPaLpLog">OutCh1!$AP$105</definedName>
    <definedName name="tlOutputCh1Prod3NetSales">OutCh1!$AG$19</definedName>
    <definedName name="tlOutputCh1Prod3NewSlotEmp1">OutCh1!$AG$46</definedName>
    <definedName name="tlOutputCh1Prod3NewSlotExp">OutCh1!$AG$50</definedName>
    <definedName name="tlOutputCh1Prod3Open">OutCh1!$AK$48</definedName>
    <definedName name="tlOutputCh1Prod3PromoEmp1">OutCh1!$AG$88</definedName>
    <definedName name="tlOutputCh1Prod3PromoExp">OutCh1!$AG$92</definedName>
    <definedName name="tloutputCh1Prod3Slot1AvgPromoDis">OutCh1!$E$92</definedName>
    <definedName name="tloutputCh1Prod3Slot1AvgPromoPrice">OutCh1!$AO$76</definedName>
    <definedName name="tloutputCh1Prod3Slot1AvgSellPrice">OutCh1!$AS$76</definedName>
    <definedName name="tloutputCh1Prod3Slot1CM">OutCh1!$AK$76</definedName>
    <definedName name="tlOutputCh1Prod3Slot1CustProfitTot">OutComp!$E$115</definedName>
    <definedName name="tloutputCh1Prod3Slot1RSPHigh">OutCh1!$BA$74</definedName>
    <definedName name="tloutputCh1Prod3Slot1RSPLow">OutCh1!$AW$74</definedName>
    <definedName name="tlOutputCh1Prod3Slot1SP">OutCh1!$AG$76</definedName>
    <definedName name="tloutputCh1Prod3Slot2AvgPromoDis">OutCh1!$E$93</definedName>
    <definedName name="tloutputCh1Prod3Slot2AvgPromoPrice">OutCh1!$AO$77</definedName>
    <definedName name="tloutputCh1Prod3Slot2AvgSellPrice">OutCh1!$AS$77</definedName>
    <definedName name="tloutputCh1Prod3Slot2CM">OutCh1!$AK$77</definedName>
    <definedName name="tlOutputCh1Prod3Slot2CustProfitTot">OutComp!$E$116</definedName>
    <definedName name="tloutputCh1Prod3Slot2RSPHigh">OutCh1!$BA$75</definedName>
    <definedName name="tloutputCh1Prod3Slot2RSPLow">OutCh1!$AW$75</definedName>
    <definedName name="tlOutputCh1Prod3Slot2SP">OutCh1!$AG$77</definedName>
    <definedName name="tloutputCh1Prod3Slot3AvgPromoDis">OutCh1!$E$94</definedName>
    <definedName name="tloutputCh1Prod3Slot3AvgPromoPrice">OutCh1!$AO$78</definedName>
    <definedName name="tloutputCh1Prod3Slot3AvgSellPrice">OutCh1!$AS$78</definedName>
    <definedName name="tloutputCh1Prod3Slot3CM">OutCh1!$AK$78</definedName>
    <definedName name="tlOutputCh1Prod3Slot3CustProfitTot">OutComp!$E$117</definedName>
    <definedName name="tloutputCh1Prod3Slot3RSPHigh">OutCh1!$BA$76</definedName>
    <definedName name="tloutputCh1Prod3Slot3RSPLow">OutCh1!$AW$76</definedName>
    <definedName name="tlOutputCh1Prod3Slot3SP">OutCh1!$AG$78</definedName>
    <definedName name="tlOutputCh1Prod3VolForcast">OutCh1!$AG$18</definedName>
    <definedName name="tlOutputCh1Prod4Close">OutCh1!$AK$51</definedName>
    <definedName name="tlOutputCh1Prod4CustProfit">OutCh1!$AO$16</definedName>
    <definedName name="tlOutputCh1Prod4CustProfitTot">OutComp!$E$130</definedName>
    <definedName name="tlOutputCh1Prod4GPaL">OutCh1!$AO$15</definedName>
    <definedName name="tlOutputCh1Prod4GPaLpBrandCogs">OutCh1!$AR$103</definedName>
    <definedName name="tlOutputCh1Prod4GPaLpGPaL">OutCh1!$AR$107</definedName>
    <definedName name="tlOutputCh1Prod4GPaLpGPaLmar">OutCh1!$AR$109</definedName>
    <definedName name="tlOutputCh1Prod4GPaLpLog">OutCh1!$AR$105</definedName>
    <definedName name="tlOutputCh1Prod4MktSize">OutCh1!$AO$12</definedName>
    <definedName name="tlOutputCh1Prod4NetSales">OutCh1!$AO$14</definedName>
    <definedName name="tlOutputCh1Prod4NewSlotEmp1">OutCh1!$AG$47</definedName>
    <definedName name="tlOutputCh1Prod4NewSlotExp">OutCh1!$AG$51</definedName>
    <definedName name="tlOutputCh1Prod4Open">OutCh1!$AK$50</definedName>
    <definedName name="tlOutputCh1Prod4PromoEmp1">OutCh1!$AG$89</definedName>
    <definedName name="tlOutputCh1Prod4PromoExp">OutCh1!$AG$93</definedName>
    <definedName name="tloutputCh1Prod4Slot1AvgPromoDis">OutCh1!$E$95</definedName>
    <definedName name="tloutputCh1Prod4Slot1AvgPromoPrice">OutCh1!$AO$80</definedName>
    <definedName name="tloutputCh1Prod4Slot1AvgSellPrice">OutCh1!$AS$80</definedName>
    <definedName name="tloutputCh1Prod4Slot1CM">OutCh1!$AK$80</definedName>
    <definedName name="tlOutputCh1Prod4Slot1CustProfitTot">OutComp!$E$127</definedName>
    <definedName name="tloutputCh1Prod4Slot1RSPHigh">OutCh1!$BA$77</definedName>
    <definedName name="tloutputCh1Prod4Slot1RSPLow">OutCh1!$AW$77</definedName>
    <definedName name="tlOutputCh1Prod4Slot1SP">OutCh1!$AG$80</definedName>
    <definedName name="tloutputCh1Prod4Slot2AvgPromoDis">OutCh1!$E$96</definedName>
    <definedName name="tloutputCh1Prod4Slot2AvgPromoPrice">OutCh1!$AO$81</definedName>
    <definedName name="tloutputCh1Prod4Slot2AvgSellPrice">OutCh1!$AS$81</definedName>
    <definedName name="tloutputCh1Prod4Slot2CM">OutCh1!$AK$81</definedName>
    <definedName name="tlOutputCh1Prod4Slot2CustProfitTot">OutComp!$E$128</definedName>
    <definedName name="tloutputCh1Prod4Slot2RSPHigh">OutCh1!$BA$78</definedName>
    <definedName name="tloutputCh1Prod4Slot2RSPLow">OutCh1!$AW$78</definedName>
    <definedName name="tlOutputCh1Prod4Slot2SP">OutCh1!$AG$81</definedName>
    <definedName name="tloutputCh1Prod4Slot3AvgPromoDis">OutCh1!$E$97</definedName>
    <definedName name="tloutputCh1Prod4Slot3AvgPromoPrice">OutCh1!$AO$82</definedName>
    <definedName name="tloutputCh1Prod4Slot3AvgSellPrice">OutCh1!$AS$82</definedName>
    <definedName name="tloutputCh1Prod4Slot3CM">OutCh1!$AK$82</definedName>
    <definedName name="tlOutputCh1Prod4Slot3CustProfitTot">OutComp!$E$129</definedName>
    <definedName name="tloutputCh1Prod4Slot3RSPHigh">OutCh1!$BA$79</definedName>
    <definedName name="tloutputCh1Prod4Slot3RSPLow">OutCh1!$AW$79</definedName>
    <definedName name="tlOutputCh1Prod4Slot3SP">OutCh1!$AG$82</definedName>
    <definedName name="tlOutputCh1Prod4VolForcast">OutCh1!$AO$13</definedName>
    <definedName name="tlOutputCh1PromoWeeksAvailGaugeMax">OutCh1!$AO$7</definedName>
    <definedName name="tlOutputCh1PromoWeeksAvailGaugeMin">OutCh1!$AO$6</definedName>
    <definedName name="tlOutputCh1PromoWeeksAvailGaugeValue">OutCh1!$AO$5</definedName>
    <definedName name="tlOutputCh1TTCondition">OutCh1!$AK$100</definedName>
    <definedName name="tlOutputCh1TTHeading">OutCh1!$AK$99</definedName>
    <definedName name="tlOutputCh1TTUnCondition">OutCh1!$AK$101</definedName>
    <definedName name="tlOutputCh1ValDriv1Emp1">OutCh1!$AG$24</definedName>
    <definedName name="tlOutputCh1ValDriv1Exp">OutCh1!$AG$25</definedName>
    <definedName name="tlOutputCh1ValDriv2Emp1">OutCh1!$AG$26</definedName>
    <definedName name="tlOutputCh1ValDriv2Exp">OutCh1!$AG$27</definedName>
    <definedName name="tlOutputCh1ValDriv3Emp1">OutCh1!$AG$28</definedName>
    <definedName name="tlOutputCh1ValDriv3Exp">OutCh1!$AG$29</definedName>
    <definedName name="tlOutputCh1ValDriv4Emp1">OutCh1!$AG$30</definedName>
    <definedName name="tlOutputCh1ValDriv4Exp">OutCh1!$AG$31</definedName>
    <definedName name="tlOutputCh1ValDriv5Emp1">OutCh1!$AG$32</definedName>
    <definedName name="tlOutputCh1ValDriv5Exp">OutCh1!$AG$33</definedName>
    <definedName name="tlOutputCh1ValDrivCondEmp1">OutCh1!$AG$36</definedName>
    <definedName name="tlOutputCh1ValDrivCondExp">OutCh1!$AG$37</definedName>
    <definedName name="tlOutputCh1ValDrivEmp1Tot">OutCh1!$AG$34</definedName>
    <definedName name="tlOutputCh1ValDrivExpTot">OutCh1!$AG$35</definedName>
    <definedName name="tlOutputCh1VolForecastTot">OutCh1!$AS$13</definedName>
    <definedName name="tlOutputCh1VtCp">OutCh1!$E$59</definedName>
    <definedName name="tlOutputCh1VtDeprExp">OutCh1!$E$13</definedName>
    <definedName name="tlOutputCh1VtDeprExpPct">OutCh1!$E$26</definedName>
    <definedName name="tlOutputCh1VtDeprExpPctPVol">OutCh1!$E$52</definedName>
    <definedName name="tlOutputCh1VtDeprExpPVol">OutCh1!$E$39</definedName>
    <definedName name="tlOutputCh1VtDiscounts">OutCh1!$E$8</definedName>
    <definedName name="tlOutputCh1VtDiscountsPct">OutCh1!$E$21</definedName>
    <definedName name="tlOutputCh1VtDiscountsPctPVol">OutCh1!$E$47</definedName>
    <definedName name="tlOutputCh1VtDiscountsPVol">OutCh1!$E$34</definedName>
    <definedName name="tlOutputCh1VtExcise">OutCh1!$E$6</definedName>
    <definedName name="tlOutputCh1VtExcisePct">OutCh1!$E$19</definedName>
    <definedName name="tlOutputCh1VtExcisePctPVol">OutCh1!$E$45</definedName>
    <definedName name="tlOutputCh1VtExcisePVol">OutCh1!$E$32</definedName>
    <definedName name="tlOutputCh1VtGP">OutCh1!$E$15</definedName>
    <definedName name="tlOutputCh1VtGPaL">OutCh1!$E$17</definedName>
    <definedName name="tlOutputCh1VtGPaLPct">OutCh1!$E$30</definedName>
    <definedName name="tlOutputCh1VtGPaLPctPVol">OutCh1!$E$56</definedName>
    <definedName name="tlOutputCh1VtGPaLPVol">OutCh1!$E$43</definedName>
    <definedName name="tlOutputCh1VtGPPct">OutCh1!$E$28</definedName>
    <definedName name="tlOutputCh1VtGPPctPVol">OutCh1!$E$54</definedName>
    <definedName name="tlOutputCh1VtGPPVol">OutCh1!$E$41</definedName>
    <definedName name="tlOutputCh1VtGrossSales">OutCh1!$E$7</definedName>
    <definedName name="tlOutputCh1VtGrossSalesPct">OutCh1!$E$20</definedName>
    <definedName name="tlOutputCh1VtGrossSalesPctPVol">OutCh1!$E$46</definedName>
    <definedName name="tlOutputCh1VtGrossSalesPVol">OutCh1!$E$33</definedName>
    <definedName name="tlOutputCh1VtLabourExp">OutCh1!$E$11</definedName>
    <definedName name="tlOutputCh1VtLabourExpPct">OutCh1!$E$24</definedName>
    <definedName name="tlOutputCh1VtLabourExpPctPVol">OutCh1!$E$50</definedName>
    <definedName name="tlOutputCh1VtLabourExpPVol">OutCh1!$E$37</definedName>
    <definedName name="tlOutputCh1VtLogExp">OutCh1!$E$16</definedName>
    <definedName name="tlOutputCh1VtLogExpPct">OutCh1!$E$29</definedName>
    <definedName name="tlOutputCh1VtLogExpPctPVol">OutCh1!$E$55</definedName>
    <definedName name="tlOutputCh1VtLogExpPVol">OutCh1!$E$42</definedName>
    <definedName name="tlOutputCh1VtMachExp">OutCh1!$E$12</definedName>
    <definedName name="tlOutputCh1VtMachExpPct">OutCh1!$E$25</definedName>
    <definedName name="tlOutputCh1VtMachExpPctPVol">OutCh1!$E$51</definedName>
    <definedName name="tlOutputCh1VtMachExpPVol">OutCh1!$E$38</definedName>
    <definedName name="tlOutputCh1VtMatExp">OutCh1!$E$10</definedName>
    <definedName name="tlOutputCh1VtMatExpPct">OutCh1!$E$23</definedName>
    <definedName name="tlOutputCh1VtMatExpPctPVol">OutCh1!$E$49</definedName>
    <definedName name="tlOutputCh1VtMatExpPVol">OutCh1!$E$36</definedName>
    <definedName name="tlOutputCh1Vtstaple1">OutCh1!$E$66</definedName>
    <definedName name="tlOutputCh1Vtstaple2">OutCh1!$E$67</definedName>
    <definedName name="tlOutputCh1Vtstaple3">OutCh1!$E$68</definedName>
    <definedName name="tlOutputCh1Vtstaple4">OutCh1!$E$69</definedName>
    <definedName name="tlOutputCh1VtstapleEnd">OutCh1!$E$70</definedName>
    <definedName name="tlOutputCh1VtStapleStart">OutCh1!$E$65</definedName>
    <definedName name="tlOutputCh1VtTotalCOGs">OutCh1!$E$14</definedName>
    <definedName name="tlOutputCh1VtTotalCOGsPct">OutCh1!$E$27</definedName>
    <definedName name="tlOutputCh1VtTotalCOGsPctPVol">OutCh1!$E$53</definedName>
    <definedName name="tlOutputCh1VtTotalCOGsPVol">OutCh1!$E$40</definedName>
    <definedName name="tlOutputCh1VtTotalRev">OutCh1!$E$9</definedName>
    <definedName name="tlOutputCh1VtTotalRevPct">OutCh1!$E$22</definedName>
    <definedName name="tlOutputCh1VtTotalRevPctPVol">OutCh1!$E$48</definedName>
    <definedName name="tlOutputCh1VtTotalRevPVol">OutCh1!$E$35</definedName>
    <definedName name="tlOutputCh1VtTurn">OutCh1!$E$5</definedName>
    <definedName name="tlOutputCh1VtTurnPct">OutCh1!$E$18</definedName>
    <definedName name="tlOutputCh1VtTurnPctPVol">OutCh1!$E$44</definedName>
    <definedName name="tlOutputCh1VtTurnPVol">OutCh1!$E$31</definedName>
    <definedName name="tlOutputCh1VtUnitsSold">OutCh1!$E$58</definedName>
    <definedName name="tlOutputCh1VtVolSold">OutCh1!$E$57</definedName>
    <definedName name="tlOutputCh1VtWd">OutCh1!$E$60</definedName>
    <definedName name="tlOutputCh1WaterfallDelta1">OutCh1!$AK$118</definedName>
    <definedName name="tlOutputCh1WaterfallDelta2">OutCh1!$AK$119</definedName>
    <definedName name="tlOutputCh1WaterfallDelta3">OutCh1!$AK$120</definedName>
    <definedName name="tlOutputCh1WaterfallDelta4">OutCh1!$AK$121</definedName>
    <definedName name="tlOutputCh1WaterfallEnd">OutCh1!$AK$122</definedName>
    <definedName name="tlOutputCh1WaterfallInvisible1">OutCh1!$AG$108</definedName>
    <definedName name="tlOutputCh1WaterfallInvisible2">OutCh1!$AG$109</definedName>
    <definedName name="tlOutputCh1WaterfallInvisible3">OutCh1!$AG$110</definedName>
    <definedName name="tlOutputCh1WaterfallInvisible4">OutCh1!$AG$111</definedName>
    <definedName name="tlOutputCh1WaterfallInvisible5">OutCh1!$AG$112</definedName>
    <definedName name="tlOutputCh1WaterfallInvisible6">OutCh1!$AG$113</definedName>
    <definedName name="tlOutputCh1WaterfallInvisible7">OutCh1!$AG$114</definedName>
    <definedName name="tlOutputCh1WaterfallStart">OutCh1!$AK$117</definedName>
    <definedName name="tlOutputCh1WaterfallVisible1">OutCh1!$AG$117</definedName>
    <definedName name="tlOutputCh1WaterfallVisible2">OutCh1!$AG$118</definedName>
    <definedName name="tlOutputCh1WaterfallVisible3">OutCh1!$AG$119</definedName>
    <definedName name="tlOutputCh1WaterfallVisible4">OutCh1!$AG$120</definedName>
    <definedName name="tlOutputCh1WaterfallVisible5">OutCh1!$AG$121</definedName>
    <definedName name="tlOutputCh1WaterfallVisible6">OutCh1!$AG$122</definedName>
    <definedName name="tlOutputCh1WaterfallVisible7">OutCh1!$AG$123</definedName>
    <definedName name="tlOutputCh1WaterfallxLabel1">OutCh1!$AG$100</definedName>
    <definedName name="tlOutputCh1WaterfallxLabel2">OutCh1!$AG$101</definedName>
    <definedName name="tlOutputCh1WaterfallxLabel3">OutCh1!$AG$102</definedName>
    <definedName name="tlOutputCh1WaterfallxLabel4">OutCh1!$AG$103</definedName>
    <definedName name="tlOutputCh1WaterfallxLabel5">OutCh1!$AG$104</definedName>
    <definedName name="tlOutputCh1WaterfallxLabel6">OutCh1!$AG$105</definedName>
    <definedName name="tlOutputCh2">OutComp!$E$183</definedName>
    <definedName name="tlOutputCh2Analytic1Chart1BubbleSize1">OutCh2!$AG$197</definedName>
    <definedName name="tlOutputCh2Analytic1Chart1BubbleSize10">OutCh2!$AG$206</definedName>
    <definedName name="tlOutputCh2Analytic1Chart1BubbleSize11">OutCh2!$AG$207</definedName>
    <definedName name="tlOutputCh2Analytic1Chart1BubbleSize12">OutCh2!$AG$208</definedName>
    <definedName name="tlOutputCh2Analytic1Chart1BubbleSize2">OutCh2!$AG$198</definedName>
    <definedName name="tlOutputCh2Analytic1Chart1BubbleSize3">OutCh2!$AG$199</definedName>
    <definedName name="tlOutputCh2Analytic1Chart1BubbleSize4">OutCh2!$AG$200</definedName>
    <definedName name="tlOutputCh2Analytic1Chart1BubbleSize5">OutCh2!$AG$201</definedName>
    <definedName name="tlOutputCh2Analytic1Chart1BubbleSize6">OutCh2!$AG$202</definedName>
    <definedName name="tlOutputCh2Analytic1Chart1BubbleSize7">OutCh2!$AG$203</definedName>
    <definedName name="tlOutputCh2Analytic1Chart1BubbleSize8">OutCh2!$AG$204</definedName>
    <definedName name="tlOutputCh2Analytic1Chart1BubbleSize9">OutCh2!$AG$205</definedName>
    <definedName name="tlOutputCh2Analytic1Chart1Heading">OutCh2!$AG$146</definedName>
    <definedName name="tlOutputCh2Analytic1Chart1Label1">OutCh2!$AG$153</definedName>
    <definedName name="tlOutputCh2Analytic1Chart1Label10">OutCh2!$AG$162</definedName>
    <definedName name="tlOutputCh2Analytic1Chart1Label11">OutCh2!$AG$163</definedName>
    <definedName name="tlOutputCh2Analytic1Chart1Label12">OutCh2!$AG$164</definedName>
    <definedName name="tlOutputCh2Analytic1Chart1Label2">OutCh2!$AG$154</definedName>
    <definedName name="tlOutputCh2Analytic1Chart1Label3">OutCh2!$AG$155</definedName>
    <definedName name="tlOutputCh2Analytic1Chart1Label4">OutCh2!$AG$156</definedName>
    <definedName name="tlOutputCh2Analytic1Chart1Label5">OutCh2!$AG$157</definedName>
    <definedName name="tlOutputCh2Analytic1Chart1Label6">OutCh2!$AG$158</definedName>
    <definedName name="tlOutputCh2Analytic1Chart1Label7">OutCh2!$AG$159</definedName>
    <definedName name="tlOutputCh2Analytic1Chart1Label8">OutCh2!$AG$160</definedName>
    <definedName name="tlOutputCh2Analytic1Chart1Label9">OutCh2!$AG$161</definedName>
    <definedName name="tlOutputCh2Analytic1Chart1Type1">OutCh2!$AG$148</definedName>
    <definedName name="tlOutputCh2Analytic1Chart1Type2">OutCh2!$AG$149</definedName>
    <definedName name="tlOutputCh2Analytic1Chart1Type3">OutCh2!$AG$150</definedName>
    <definedName name="tlOutputCh2Analytic1Chart1Type4">OutCh2!$AG$151</definedName>
    <definedName name="tlOutputCh2Analytic1Chart1XaxisTitle">OutCh2!$AG$167</definedName>
    <definedName name="tlOutputCh2Analytic1Chart1XValue1">OutCh2!$AG$168</definedName>
    <definedName name="tlOutputCh2Analytic1Chart1XValue10">OutCh2!$AG$177</definedName>
    <definedName name="tlOutputCh2Analytic1Chart1XValue11">OutCh2!$AG$178</definedName>
    <definedName name="tlOutputCh2Analytic1Chart1XValue12">OutCh2!$AG$179</definedName>
    <definedName name="tlOutputCh2Analytic1Chart1XValue2">OutCh2!$AG$169</definedName>
    <definedName name="tlOutputCh2Analytic1Chart1XValue3">OutCh2!$AG$170</definedName>
    <definedName name="tlOutputCh2Analytic1Chart1XValue4">OutCh2!$AG$171</definedName>
    <definedName name="tlOutputCh2Analytic1Chart1XValue5">OutCh2!$AG$172</definedName>
    <definedName name="tlOutputCh2Analytic1Chart1XValue6">OutCh2!$AG$173</definedName>
    <definedName name="tlOutputCh2Analytic1Chart1XValue7">OutCh2!$AG$174</definedName>
    <definedName name="tlOutputCh2Analytic1Chart1XValue8">OutCh2!$AG$175</definedName>
    <definedName name="tlOutputCh2Analytic1Chart1XValue9">OutCh2!$AG$176</definedName>
    <definedName name="tlOutputCh2Analytic1Chart1YaxisTitle">OutCh2!$AG$182</definedName>
    <definedName name="tlOutputCh2Analytic1Chart1YValue1">OutCh2!$AG$183</definedName>
    <definedName name="tlOutputCh2Analytic1Chart1YValue10">OutCh2!$AG$192</definedName>
    <definedName name="tlOutputCh2Analytic1Chart1YValue11">OutCh2!$AG$193</definedName>
    <definedName name="tlOutputCh2Analytic1Chart1YValue12">OutCh2!$AG$194</definedName>
    <definedName name="tlOutputCh2Analytic1Chart1YValue2">OutCh2!$AG$184</definedName>
    <definedName name="tlOutputCh2Analytic1Chart1YValue3">OutCh2!$AG$185</definedName>
    <definedName name="tlOutputCh2Analytic1Chart1YValue4">OutCh2!$AG$186</definedName>
    <definedName name="tlOutputCh2Analytic1Chart1YValue5">OutCh2!$AG$187</definedName>
    <definedName name="tlOutputCh2Analytic1Chart1YValue6">OutCh2!$AG$188</definedName>
    <definedName name="tlOutputCh2Analytic1Chart1YValue7">OutCh2!$AG$189</definedName>
    <definedName name="tlOutputCh2Analytic1Chart1YValue8">OutCh2!$AG$190</definedName>
    <definedName name="tlOutputCh2Analytic1Chart1YValue9">OutCh2!$AG$191</definedName>
    <definedName name="tlOutputCh2Analytic1Chart2BubbleSize1">OutCh2!$AK$197</definedName>
    <definedName name="tlOutputCh2Analytic1Chart2BubbleSize10">OutCh2!$AK$206</definedName>
    <definedName name="tlOutputCh2Analytic1Chart2BubbleSize11">OutCh2!$AK$207</definedName>
    <definedName name="tlOutputCh2Analytic1Chart2BubbleSize12">OutCh2!$AK$208</definedName>
    <definedName name="tlOutputCh2Analytic1Chart2BubbleSize2">OutCh2!$AK$198</definedName>
    <definedName name="tlOutputCh2Analytic1Chart2BubbleSize3">OutCh2!$AK$199</definedName>
    <definedName name="tlOutputCh2Analytic1Chart2BubbleSize4">OutCh2!$AK$200</definedName>
    <definedName name="tlOutputCh2Analytic1Chart2BubbleSize5">OutCh2!$AK$201</definedName>
    <definedName name="tlOutputCh2Analytic1Chart2BubbleSize6">OutCh2!$AK$202</definedName>
    <definedName name="tlOutputCh2Analytic1Chart2BubbleSize7">OutCh2!$AK$203</definedName>
    <definedName name="tlOutputCh2Analytic1Chart2BubbleSize8">OutCh2!$AK$204</definedName>
    <definedName name="tlOutputCh2Analytic1Chart2BubbleSize9">OutCh2!$AK$205</definedName>
    <definedName name="tlOutputCh2Analytic1Chart2Heading">OutCh2!$AK$146</definedName>
    <definedName name="tlOutputCh2Analytic1Chart2Label1">OutCh2!$AK$153</definedName>
    <definedName name="tlOutputCh2Analytic1Chart2Label10">OutCh2!$AK$162</definedName>
    <definedName name="tlOutputCh2Analytic1Chart2Label11">OutCh2!$AK$163</definedName>
    <definedName name="tlOutputCh2Analytic1Chart2Label12">OutCh2!$AK$164</definedName>
    <definedName name="tlOutputCh2Analytic1Chart2Label2">OutCh2!$AK$154</definedName>
    <definedName name="tlOutputCh2Analytic1Chart2Label3">OutCh2!$AK$155</definedName>
    <definedName name="tlOutputCh2Analytic1Chart2Label4">OutCh2!$AK$156</definedName>
    <definedName name="tlOutputCh2Analytic1Chart2Label5">OutCh2!$AK$157</definedName>
    <definedName name="tlOutputCh2Analytic1Chart2Label6">OutCh2!$AK$158</definedName>
    <definedName name="tlOutputCh2Analytic1Chart2Label7">OutCh2!$AK$159</definedName>
    <definedName name="tlOutputCh2Analytic1Chart2Label8">OutCh2!$AK$160</definedName>
    <definedName name="tlOutputCh2Analytic1Chart2Label9">OutCh2!$AK$161</definedName>
    <definedName name="tlOutputCh2Analytic1Chart2Type1">OutCh2!$AK$148</definedName>
    <definedName name="tlOutputCh2Analytic1Chart2Type2">OutCh2!$AK$149</definedName>
    <definedName name="tlOutputCh2Analytic1Chart2Type3">OutCh2!$AK$150</definedName>
    <definedName name="tlOutputCh2Analytic1Chart2Type4">OutCh2!$AK$151</definedName>
    <definedName name="tlOutputCh2Analytic1Chart2XaxisTitle">OutCh2!$AK$167</definedName>
    <definedName name="tlOutputCh2Analytic1Chart2XValue1">OutCh2!$AK$168</definedName>
    <definedName name="tlOutputCh2Analytic1Chart2XValue10">OutCh2!$AK$177</definedName>
    <definedName name="tlOutputCh2Analytic1Chart2XValue11">OutCh2!$AK$178</definedName>
    <definedName name="tlOutputCh2Analytic1Chart2XValue12">OutCh2!$AK$179</definedName>
    <definedName name="tlOutputCh2Analytic1Chart2XValue2">OutCh2!$AK$169</definedName>
    <definedName name="tlOutputCh2Analytic1Chart2XValue3">OutCh2!$AK$170</definedName>
    <definedName name="tlOutputCh2Analytic1Chart2XValue4">OutCh2!$AK$171</definedName>
    <definedName name="tlOutputCh2Analytic1Chart2XValue5">OutCh2!$AK$172</definedName>
    <definedName name="tlOutputCh2Analytic1Chart2XValue6">OutCh2!$AK$173</definedName>
    <definedName name="tlOutputCh2Analytic1Chart2XValue7">OutCh2!$AK$174</definedName>
    <definedName name="tlOutputCh2Analytic1Chart2XValue8">OutCh2!$AK$175</definedName>
    <definedName name="tlOutputCh2Analytic1Chart2XValue9">OutCh2!$AK$176</definedName>
    <definedName name="tlOutputCh2Analytic1Chart2YaxisTitle">OutCh2!$AK$182</definedName>
    <definedName name="tlOutputCh2Analytic1Chart2YValue1">OutCh2!$AK$183</definedName>
    <definedName name="tlOutputCh2Analytic1Chart2YValue10">OutCh2!$AK$192</definedName>
    <definedName name="tlOutputCh2Analytic1Chart2YValue11">OutCh2!$AK$193</definedName>
    <definedName name="tlOutputCh2Analytic1Chart2YValue12">OutCh2!$AK$194</definedName>
    <definedName name="tlOutputCh2Analytic1Chart2YValue2">OutCh2!$AK$184</definedName>
    <definedName name="tlOutputCh2Analytic1Chart2YValue3">OutCh2!$AK$185</definedName>
    <definedName name="tlOutputCh2Analytic1Chart2YValue4">OutCh2!$AK$186</definedName>
    <definedName name="tlOutputCh2Analytic1Chart2YValue5">OutCh2!$AK$187</definedName>
    <definedName name="tlOutputCh2Analytic1Chart2YValue6">OutCh2!$AK$188</definedName>
    <definedName name="tlOutputCh2Analytic1Chart2YValue7">OutCh2!$AK$189</definedName>
    <definedName name="tlOutputCh2Analytic1Chart2YValue8">OutCh2!$AK$190</definedName>
    <definedName name="tlOutputCh2Analytic1Chart2YValue9">OutCh2!$AK$191</definedName>
    <definedName name="tlOutputCh2Analytic1Table1Col1Row1">OutCh2!$AS$149</definedName>
    <definedName name="tlOutputCh2Analytic1Table1Col1Row2">OutCh2!$AS$150</definedName>
    <definedName name="tlOutputCh2Analytic1Table1Col1Row3">OutCh2!$AS$151</definedName>
    <definedName name="tlOutputCh2Analytic1Table1Col1Row4">OutCh2!$AS$152</definedName>
    <definedName name="tlOutputCh2Analytic1Table1Col1Row5">OutCh2!$AS$153</definedName>
    <definedName name="tlOutputCh2Analytic1Table1Col1Row6">OutCh2!$AS$154</definedName>
    <definedName name="tlOutputCh2Analytic1Table1Col1Row7">OutCh2!$AS$155</definedName>
    <definedName name="tlOutputCh2Analytic1Table1Col1Row8">OutCh2!$AS$156</definedName>
    <definedName name="tlOutputCh2Analytic1Table1Col2Row1">OutCh2!$AS$159</definedName>
    <definedName name="tlOutputCh2Analytic1Table1Col2Row2">OutCh2!$AS$160</definedName>
    <definedName name="tlOutputCh2Analytic1Table1Col2Row3">OutCh2!$AS$161</definedName>
    <definedName name="tlOutputCh2Analytic1Table1Col2Row4">OutCh2!$AS$162</definedName>
    <definedName name="tlOutputCh2Analytic1Table1Col2Row5">OutCh2!$AS$163</definedName>
    <definedName name="tlOutputCh2Analytic1Table1Col2Row6">OutCh2!$AS$164</definedName>
    <definedName name="tlOutputCh2Analytic1Table1Col2Row7">OutCh2!$AS$165</definedName>
    <definedName name="tlOutputCh2Analytic1Table1Col2Row8">OutCh2!$AS$166</definedName>
    <definedName name="tlOutputCh2Analytic1Table1Col3Row1">OutCh2!$AS$169</definedName>
    <definedName name="tlOutputCh2Analytic1Table1Col3Row2">OutCh2!$AS$170</definedName>
    <definedName name="tlOutputCh2Analytic1Table1Col3Row3">OutCh2!$AS$171</definedName>
    <definedName name="tlOutputCh2Analytic1Table1Col3Row4">OutCh2!$AS$172</definedName>
    <definedName name="tlOutputCh2Analytic1Table1Col3Row5">OutCh2!$AS$173</definedName>
    <definedName name="tlOutputCh2Analytic1Table1Col3Row6">OutCh2!$AS$174</definedName>
    <definedName name="tlOutputCh2Analytic1Table1Col3Row7">OutCh2!$AS$175</definedName>
    <definedName name="tlOutputCh2Analytic1Table1Col3Row8">OutCh2!$AS$176</definedName>
    <definedName name="tlOutputCh2Analytic1Table1Col4Row1">OutCh2!$AS$179</definedName>
    <definedName name="tlOutputCh2Analytic1Table1Col4Row2">OutCh2!$AS$180</definedName>
    <definedName name="tlOutputCh2Analytic1Table1Col4Row3">OutCh2!$AS$181</definedName>
    <definedName name="tlOutputCh2Analytic1Table1Col4Row4">OutCh2!$AS$182</definedName>
    <definedName name="tlOutputCh2Analytic1Table1Col4Row5">OutCh2!$AS$183</definedName>
    <definedName name="tlOutputCh2Analytic1Table1Col4Row6">OutCh2!$AS$184</definedName>
    <definedName name="tlOutputCh2Analytic1Table1Col4Row7">OutCh2!$AS$185</definedName>
    <definedName name="tlOutputCh2Analytic1Table1Col4Row8">OutCh2!$AS$186</definedName>
    <definedName name="tlOutputCh2Analytic1Table1Col5Row1">OutCh2!$AS$189</definedName>
    <definedName name="tlOutputCh2Analytic1Table1Col5Row2">OutCh2!$AS$190</definedName>
    <definedName name="tlOutputCh2Analytic1Table1Col5Row3">OutCh2!$AS$191</definedName>
    <definedName name="tlOutputCh2Analytic1Table1Col5Row4">OutCh2!$AS$192</definedName>
    <definedName name="tlOutputCh2Analytic1Table1Col5Row5">OutCh2!$AS$193</definedName>
    <definedName name="tlOutputCh2Analytic1Table1Col5Row6">OutCh2!$AS$194</definedName>
    <definedName name="tlOutputCh2Analytic1Table1Col5Row7">OutCh2!$AS$195</definedName>
    <definedName name="tlOutputCh2Analytic1Table1Col5Row8">OutCh2!$AS$196</definedName>
    <definedName name="tlOutputCh2Analytic1Table1Col6Row1">OutCh2!$AS$199</definedName>
    <definedName name="tlOutputCh2Analytic1Table1Col6Row2">OutCh2!$AS$200</definedName>
    <definedName name="tlOutputCh2Analytic1Table1Col6Row3">OutCh2!$AS$201</definedName>
    <definedName name="tlOutputCh2Analytic1Table1Col6Row4">OutCh2!$AS$202</definedName>
    <definedName name="tlOutputCh2Analytic1Table1Col6Row5">OutCh2!$AS$203</definedName>
    <definedName name="tlOutputCh2Analytic1Table1Col6Row6">OutCh2!$AS$204</definedName>
    <definedName name="tlOutputCh2Analytic1Table1Col6Row7">OutCh2!$AS$205</definedName>
    <definedName name="tlOutputCh2Analytic1Table1Col6Row8">OutCh2!$AS$206</definedName>
    <definedName name="tlOutputCh2Analytic1Table1Col7Row1">OutCh2!$AS$209</definedName>
    <definedName name="tlOutputCh2Analytic1Table1Col7Row2">OutCh2!$AS$210</definedName>
    <definedName name="tlOutputCh2Analytic1Table1Col7Row3">OutCh2!$AS$211</definedName>
    <definedName name="tlOutputCh2Analytic1Table1Col7Row4">OutCh2!$AS$212</definedName>
    <definedName name="tlOutputCh2Analytic1Table1Col7Row5">OutCh2!$AS$213</definedName>
    <definedName name="tlOutputCh2Analytic1Table1Col7Row6">OutCh2!$AS$214</definedName>
    <definedName name="tlOutputCh2Analytic1Table1Col7Row7">OutCh2!$AS$215</definedName>
    <definedName name="tlOutputCh2Analytic1Table1Col7Row8">OutCh2!$AS$216</definedName>
    <definedName name="tlOutputCh2Analytic1Table1Col8Row1">OutCh2!$AS$219</definedName>
    <definedName name="tlOutputCh2Analytic1Table1Col8Row2">OutCh2!$AS$220</definedName>
    <definedName name="tlOutputCh2Analytic1Table1Col8Row3">OutCh2!$AS$221</definedName>
    <definedName name="tlOutputCh2Analytic1Table1Col8Row4">OutCh2!$AS$222</definedName>
    <definedName name="tlOutputCh2Analytic1Table1Col8Row5">OutCh2!$AS$223</definedName>
    <definedName name="tlOutputCh2Analytic1Table1Col8Row6">OutCh2!$AS$224</definedName>
    <definedName name="tlOutputCh2Analytic1Table1Col8Row7">OutCh2!$AS$225</definedName>
    <definedName name="tlOutputCh2Analytic1Table1Col8Row8">OutCh2!$AS$226</definedName>
    <definedName name="tlOutputCh2Analytic2Chart3Heading">OutCh2!$AO$146</definedName>
    <definedName name="tlOutputCh2Analytic2Chart3Serie10Label1">OutCh2!$AO$184</definedName>
    <definedName name="tlOutputCh2Analytic2Chart3Serie10Point1">OutCh2!$AO$185</definedName>
    <definedName name="tlOutputCh2Analytic2Chart3Serie10Point2">OutCh2!$AO$186</definedName>
    <definedName name="tlOutputCh2Analytic2Chart3Serie10Point3">OutCh2!$AO$187</definedName>
    <definedName name="tlOutputCh2Analytic2Chart3Serie11Label1">OutCh2!$AO$188</definedName>
    <definedName name="tlOutputCh2Analytic2Chart3Serie11Point1">OutCh2!$AO$189</definedName>
    <definedName name="tlOutputCh2Analytic2Chart3Serie11Point2">OutCh2!$AO$190</definedName>
    <definedName name="tlOutputCh2Analytic2Chart3Serie11Point3">OutCh2!$AO$191</definedName>
    <definedName name="tlOutputCh2Analytic2Chart3Serie12Label1">OutCh2!$AO$192</definedName>
    <definedName name="tlOutputCh2Analytic2Chart3Serie12Point1">OutCh2!$AO$193</definedName>
    <definedName name="tlOutputCh2Analytic2Chart3Serie12Point2">OutCh2!$AO$194</definedName>
    <definedName name="tlOutputCh2Analytic2Chart3Serie12Point3">OutCh2!$AO$195</definedName>
    <definedName name="tlOutputCh2Analytic2Chart3Serie1Label1">OutCh2!$AO$148</definedName>
    <definedName name="tlOutputCh2Analytic2Chart3Serie1Point1">OutCh2!$AO$149</definedName>
    <definedName name="tlOutputCh2Analytic2Chart3Serie1Point2">OutCh2!$AO$150</definedName>
    <definedName name="tlOutputCh2Analytic2Chart3Serie1Point3">OutCh2!$AO$151</definedName>
    <definedName name="tlOutputCh2Analytic2Chart3Serie2Label1">OutCh2!$AO$152</definedName>
    <definedName name="tlOutputCh2Analytic2Chart3Serie2Point1">OutCh2!$AO$153</definedName>
    <definedName name="tlOutputCh2Analytic2Chart3Serie2Point2">OutCh2!$AO$154</definedName>
    <definedName name="tlOutputCh2Analytic2Chart3Serie2Point3">OutCh2!$AO$155</definedName>
    <definedName name="tlOutputCh2Analytic2Chart3Serie3Label1">OutCh2!$AO$156</definedName>
    <definedName name="tlOutputCh2Analytic2Chart3Serie3Point1">OutCh2!$AO$157</definedName>
    <definedName name="tlOutputCh2Analytic2Chart3Serie3Point2">OutCh2!$AO$158</definedName>
    <definedName name="tlOutputCh2Analytic2Chart3Serie3Point3">OutCh2!$AO$159</definedName>
    <definedName name="tlOutputCh2Analytic2Chart3Serie4Label1">OutCh2!$AO$160</definedName>
    <definedName name="tlOutputCh2Analytic2Chart3Serie4Point1">OutCh2!$AO$161</definedName>
    <definedName name="tlOutputCh2Analytic2Chart3Serie4Point2">OutCh2!$AO$162</definedName>
    <definedName name="tlOutputCh2Analytic2Chart3Serie4Point3">OutCh2!$AO$163</definedName>
    <definedName name="tlOutputCh2Analytic2Chart3Serie5Label1">OutCh2!$AO$164</definedName>
    <definedName name="tlOutputCh2Analytic2Chart3Serie5Point1">OutCh2!$AO$165</definedName>
    <definedName name="tlOutputCh2Analytic2Chart3Serie5Point2">OutCh2!$AO$166</definedName>
    <definedName name="tlOutputCh2Analytic2Chart3Serie5Point3">OutCh2!$AO$167</definedName>
    <definedName name="tlOutputCh2Analytic2Chart3Serie6Label1">OutCh2!$AO$168</definedName>
    <definedName name="tlOutputCh2Analytic2Chart3Serie6Point1">OutCh2!$AO$169</definedName>
    <definedName name="tlOutputCh2Analytic2Chart3Serie6Point2">OutCh2!$AO$170</definedName>
    <definedName name="tlOutputCh2Analytic2Chart3Serie6Point3">OutCh2!$AO$171</definedName>
    <definedName name="tlOutputCh2Analytic2Chart3Serie7Label1">OutCh2!$AO$172</definedName>
    <definedName name="tlOutputCh2Analytic2Chart3Serie7Point1">OutCh2!$AO$173</definedName>
    <definedName name="tlOutputCh2Analytic2Chart3Serie7Point2">OutCh2!$AO$174</definedName>
    <definedName name="tlOutputCh2Analytic2Chart3Serie7Point3">OutCh2!$AO$175</definedName>
    <definedName name="tlOutputCh2Analytic2Chart3Serie8Label1">OutCh2!$AO$176</definedName>
    <definedName name="tlOutputCh2Analytic2Chart3Serie8Point1">OutCh2!$AO$177</definedName>
    <definedName name="tlOutputCh2Analytic2Chart3Serie8Point2">OutCh2!$AO$178</definedName>
    <definedName name="tlOutputCh2Analytic2Chart3Serie8Point3">OutCh2!$AO$179</definedName>
    <definedName name="tlOutputCh2Analytic2Chart3Serie9Label1">OutCh2!$AO$180</definedName>
    <definedName name="tlOutputCh2Analytic2Chart3Serie9Point1">OutCh2!$AO$181</definedName>
    <definedName name="tlOutputCh2Analytic2Chart3Serie9Point2">OutCh2!$AO$182</definedName>
    <definedName name="tlOutputCh2Analytic2Chart3Serie9Point3">OutCh2!$AO$183</definedName>
    <definedName name="tlOutputCh2AnalyticsEmp1Req">OutCh2!$AG$54</definedName>
    <definedName name="tlOutputCh2AnalyticsExp">OutCh2!$AG$55</definedName>
    <definedName name="tlOutputCh2CustProfitTot">OutCh2!$AS$16</definedName>
    <definedName name="tlOutputCh2Emp1GaugeMax">OutCh2!$AG$7</definedName>
    <definedName name="tlOutputCh2Emp1GaugeMin">OutCh2!$AG$6</definedName>
    <definedName name="tlOutputCh2Emp1GaugeValue">OutCh2!$AG$5</definedName>
    <definedName name="tlOutputCh2GPaLTot">OutCh2!$AS$15</definedName>
    <definedName name="tlOutputCh2MarketDemandTot">OutCh2!$AS$12</definedName>
    <definedName name="tlOutputCh2MarkPlanEmp1Req">OutCh2!$AG$40</definedName>
    <definedName name="tlOutputCh2MarkPlanExp">OutCh2!$AG$41</definedName>
    <definedName name="tlOutputCh2NetSalesTot">OutCh2!$AS$14</definedName>
    <definedName name="tlOutputCh2NewSlotAvailGaugeMax">OutCh2!$AK$7</definedName>
    <definedName name="tlOutputCh2NewSlotAvailGaugeMin">OutCh2!$AK$6</definedName>
    <definedName name="tlOutputCh2NewSlotAvailGaugeValue">OutCh2!$AK$5</definedName>
    <definedName name="tlOutputCh2Prod1Close">OutCh2!$AK$45</definedName>
    <definedName name="tlOutputCh2Prod1CustProfit">OutCh2!$AK$16</definedName>
    <definedName name="tlOutputCh2Prod1CustProfitTot">OutComp!$I$124</definedName>
    <definedName name="tlOutputCh2Prod1GPaL">OutCh2!$AK$15</definedName>
    <definedName name="tlOutputCh2Prod1GPaLpBrandCogs">OutCh2!$AQ$101</definedName>
    <definedName name="tlOutputCh2Prod1GPaLpGPaL">OutCh2!$AQ$105</definedName>
    <definedName name="tlOutputCh2Prod1GPaLpGPaLmar">OutCh2!$AQ$107</definedName>
    <definedName name="tlOutputCh2Prod1GPaLpLog">OutCh2!$AQ$103</definedName>
    <definedName name="tlOutputCh2Prod1MktSize">OutCh2!$AK$12</definedName>
    <definedName name="tlOutputCh2Prod1NetSales">OutCh2!$AK$14</definedName>
    <definedName name="tlOutputCh2Prod1NewSlotEmp1">OutCh2!$AG$44</definedName>
    <definedName name="tlOutputCh2Prod1NewSlotExp">OutCh2!$AG$48</definedName>
    <definedName name="tlOutputCh2Prod1Open">OutCh2!$AK$44</definedName>
    <definedName name="tloutputCh2Prod1Slot1AvgPromoDis">OutCh2!$E$75</definedName>
    <definedName name="tloutputCh2Prod1Slot1AvgPromoPrice">OutCh2!$AO$67</definedName>
    <definedName name="tloutputCh2Prod1Slot1AvgSellPrice">OutCh2!$AS$67</definedName>
    <definedName name="tloutputCh2Prod1Slot1CM">OutCh2!$AK$67</definedName>
    <definedName name="tlOutputCh2Prod1Slot1CustProfitBase">OutComp!$I$121</definedName>
    <definedName name="tloutputCh2Prod1Slot1RSPHigh">OutCh2!$BA$67</definedName>
    <definedName name="tloutputCh2Prod1Slot1RSPLow">OutCh2!$AW$67</definedName>
    <definedName name="tlOutputCh2Prod1Slot1SP">OutCh2!$AG$67</definedName>
    <definedName name="tloutputCh2Prod1Slot2AvgPromoDis">OutCh2!$E$76</definedName>
    <definedName name="tloutputCh2Prod1Slot2AvgPromoPrice">OutCh2!$AO$68</definedName>
    <definedName name="tloutputCh2Prod1Slot2AvgSellPrice">OutCh2!$AS$68</definedName>
    <definedName name="tloutputCh2Prod1Slot2CM">OutCh2!$AK$68</definedName>
    <definedName name="tlOutputCh2Prod1Slot2CustProfitBase">OutComp!$I$122</definedName>
    <definedName name="tloutputCh2Prod1Slot2RSPHigh">OutCh2!$BA$68</definedName>
    <definedName name="tloutputCh2Prod1Slot2RSPLow">OutCh2!$AW$68</definedName>
    <definedName name="tlOutputCh2Prod1Slot2SP">OutCh2!$AG$68</definedName>
    <definedName name="tloutputCh2Prod1Slot3AvgPromoDis">OutCh2!$E$77</definedName>
    <definedName name="tloutputCh2Prod1Slot3AvgPromoPrice">OutCh2!$AO$69</definedName>
    <definedName name="tloutputCh2Prod1Slot3AvgSellPrice">OutCh2!$AS$69</definedName>
    <definedName name="tloutputCh2Prod1Slot3CM">OutCh2!$AK$69</definedName>
    <definedName name="tlOutputCh2Prod1Slot3CustProfitBase">OutComp!$I$123</definedName>
    <definedName name="tloutputCh2Prod1Slot3RSPHigh">OutCh2!$BA$69</definedName>
    <definedName name="tloutputCh2Prod1Slot3RSPLow">OutCh2!$AW$69</definedName>
    <definedName name="tlOutputCh2Prod1Slot3SP">OutCh2!$AG$69</definedName>
    <definedName name="tlOutputCh2Prod1VolForcast">OutCh2!$AK$13</definedName>
    <definedName name="tlOutputCh2Prod2Close">OutCh2!$AK$47</definedName>
    <definedName name="tlOutputCh2Prod2CustProfit">OutCh2!$AG$16</definedName>
    <definedName name="tlOutputCh2Prod2CustProfitTot">OutComp!$I$112</definedName>
    <definedName name="tlOutputCh2Prod2GPaL">OutCh2!$AG$15</definedName>
    <definedName name="tlOutputCh2Prod2GPaLpBrandCogs">OutCh2!$AO$101</definedName>
    <definedName name="tlOutputCh2Prod2GPaLpGPaL">OutCh2!$AO$105</definedName>
    <definedName name="tlOutputCh2Prod2GPaLpGPaLmar">OutCh2!$AO$107</definedName>
    <definedName name="tlOutputCh2Prod2GPaLpLog">OutCh2!$AO$103</definedName>
    <definedName name="tlOutputCh2Prod2n3MktSize">OutCh2!$AG$12</definedName>
    <definedName name="tlOutputCh2Prod2NetSales">OutCh2!$AG$14</definedName>
    <definedName name="tlOutputCh2Prod2NewSlotEmp1">OutCh2!$AG$45</definedName>
    <definedName name="tlOutputCh2Prod2NewSlotExp">OutCh2!$AG$49</definedName>
    <definedName name="tlOutputCh2Prod2Open">OutCh2!$AK$46</definedName>
    <definedName name="tloutputCh2Prod2Slot1AvgPromoDis">OutCh2!$E$78</definedName>
    <definedName name="tloutputCh2Prod2Slot1AvgPromoPrice">OutCh2!$AO$71</definedName>
    <definedName name="tloutputCh2Prod2Slot1AvgSellPrice">OutCh2!$AS$71</definedName>
    <definedName name="tloutputCh2Prod2Slot1CM">OutCh2!$AK$71</definedName>
    <definedName name="tlOutputCh2Prod2Slot1CustProfitBase">OutComp!$I$109</definedName>
    <definedName name="tloutputCh2Prod2Slot1RSPHigh">OutCh2!$BA$70</definedName>
    <definedName name="tloutputCh2Prod2Slot1RSPLow">OutCh2!$AW$70</definedName>
    <definedName name="tlOutputCh2Prod2Slot1SP">OutCh2!$AG$71</definedName>
    <definedName name="tloutputCh2Prod2Slot2AvgPromoDis">OutCh2!$E$79</definedName>
    <definedName name="tloutputCh2Prod2Slot2AvgPromoPrice">OutCh2!$AO$72</definedName>
    <definedName name="tloutputCh2Prod2Slot2AvgSellPrice">OutCh2!$AS$72</definedName>
    <definedName name="tloutputCh2Prod2Slot2CM">OutCh2!$AK$72</definedName>
    <definedName name="tlOutputCh2Prod2Slot2CustProfitBase">OutComp!$I$110</definedName>
    <definedName name="tloutputCh2Prod2Slot2RSPHigh">OutCh2!$BA$71</definedName>
    <definedName name="tloutputCh2Prod2Slot2RSPLow">OutCh2!$AW$71</definedName>
    <definedName name="tlOutputCh2Prod2Slot2SP">OutCh2!$AG$72</definedName>
    <definedName name="tloutputCh2Prod2Slot3AvgPromoDis">OutCh2!$E$80</definedName>
    <definedName name="tloutputCh2Prod2Slot3AvgPromoPrice">OutCh2!$AO$73</definedName>
    <definedName name="tloutputCh2Prod2Slot3AvgSellPrice">OutCh2!$AS$73</definedName>
    <definedName name="tloutputCh2Prod2Slot3CM">OutCh2!$AK$73</definedName>
    <definedName name="tlOutputCh2Prod2Slot3CustProfitBase">OutComp!$I$111</definedName>
    <definedName name="tloutputCh2Prod2Slot3RSPHigh">OutCh2!$BA$72</definedName>
    <definedName name="tloutputCh2Prod2Slot3RSPLow">OutCh2!$AW$72</definedName>
    <definedName name="tlOutputCh2Prod2Slot3SP">OutCh2!$AG$73</definedName>
    <definedName name="tlOutputCh2Prod2VolForcast">OutCh2!$AG$13</definedName>
    <definedName name="tlOutputCh2Prod3Close">OutCh2!$AK$49</definedName>
    <definedName name="tlOutputCh2Prod3CustProfit">OutCh2!$AG$21</definedName>
    <definedName name="tlOutputCh2Prod3CustProfitTot">OutComp!$I$118</definedName>
    <definedName name="tlOutputCh2Prod3GPaL">OutCh2!$AG$20</definedName>
    <definedName name="tlOutputCh2Prod3GPaLpBrandCogs">OutCh2!$AP$101</definedName>
    <definedName name="tlOutputCh2Prod3GPaLpGPaL">OutCh2!$AP$105</definedName>
    <definedName name="tlOutputCh2Prod3GPaLpGPaLmar">OutCh2!$AP$107</definedName>
    <definedName name="tlOutputCh2Prod3GPaLpLog">OutCh2!$AP$103</definedName>
    <definedName name="tlOutputCh2Prod3NetSales">OutCh2!$AG$19</definedName>
    <definedName name="tlOutputCh2Prod3NewSlotEmp1">OutCh2!$AG$46</definedName>
    <definedName name="tlOutputCh2Prod3NewSlotExp">OutCh2!$AG$50</definedName>
    <definedName name="tlOutputCh2Prod3Open">OutCh2!$AK$48</definedName>
    <definedName name="tloutputCh2Prod3Slot1AvgPromoDis">OutCh2!$E$81</definedName>
    <definedName name="tloutputCh2Prod3Slot1AvgPromoPrice">OutCh2!$AO$75</definedName>
    <definedName name="tloutputCh2Prod3Slot1AvgSellPrice">OutCh2!$AS$75</definedName>
    <definedName name="tloutputCh2Prod3Slot1CM">OutCh2!$AK$75</definedName>
    <definedName name="tlOutputCh2Prod3Slot1CustProfitBase">OutComp!$I$115</definedName>
    <definedName name="tloutputCh2Prod3Slot1RSPHigh">OutCh2!$BA$73</definedName>
    <definedName name="tloutputCh2Prod3Slot1RSPLow">OutCh2!$AW$73</definedName>
    <definedName name="tlOutputCh2Prod3Slot1SP">OutCh2!$AG$75</definedName>
    <definedName name="tloutputCh2Prod3Slot2AvgPromoDis">OutCh2!$E$82</definedName>
    <definedName name="tloutputCh2Prod3Slot2AvgPromoPrice">OutCh2!$AO$76</definedName>
    <definedName name="tloutputCh2Prod3Slot2AvgSellPrice">OutCh2!$AS$76</definedName>
    <definedName name="tloutputCh2Prod3Slot2CM">OutCh2!$AK$76</definedName>
    <definedName name="tlOutputCh2Prod3Slot2CustProfitBase">OutComp!$I$116</definedName>
    <definedName name="tloutputCh2Prod3Slot2RSPHigh">OutCh2!$BA$74</definedName>
    <definedName name="tloutputCh2Prod3Slot2RSPLow">OutCh2!$AW$74</definedName>
    <definedName name="tlOutputCh2Prod3Slot2SP">OutCh2!$AG$76</definedName>
    <definedName name="tloutputCh2Prod3Slot3AvgPromoDis">OutCh2!$E$83</definedName>
    <definedName name="tloutputCh2Prod3Slot3AvgPromoPrice">OutCh2!$AO$77</definedName>
    <definedName name="tloutputCh2Prod3Slot3AvgSellPrice">OutCh2!$AS$77</definedName>
    <definedName name="tloutputCh2Prod3Slot3CM">OutCh2!$AK$77</definedName>
    <definedName name="tlOutputCh2Prod3Slot3CustProfitBase">OutComp!$I$117</definedName>
    <definedName name="tloutputCh2Prod3Slot3RSPHigh">OutCh2!$BA$75</definedName>
    <definedName name="tloutputCh2Prod3Slot3RSPLow">OutCh2!$AW$75</definedName>
    <definedName name="tlOutputCh2Prod3Slot3SP">OutCh2!$AG$77</definedName>
    <definedName name="tlOutputCh2Prod3VolForcast">OutCh2!$AG$18</definedName>
    <definedName name="tlOutputCh2Prod4Close">OutCh2!$AK$51</definedName>
    <definedName name="tlOutputCh2Prod4CustProfit">OutCh2!$AO$16</definedName>
    <definedName name="tlOutputCh2Prod4CustProfitTot">OutComp!$I$130</definedName>
    <definedName name="tlOutputCh2Prod4GPaL">OutCh2!$AO$15</definedName>
    <definedName name="tlOutputCh2Prod4GPaLpBrandCogs">OutCh2!$AR$101</definedName>
    <definedName name="tlOutputCh2Prod4GPaLpGPaL">OutCh2!$AR$105</definedName>
    <definedName name="tlOutputCh2Prod4GPaLpGPaLmar">OutCh2!$AR$107</definedName>
    <definedName name="tlOutputCh2Prod4GPaLpLog">OutCh2!$AR$103</definedName>
    <definedName name="tlOutputCh2Prod4MktSize">OutCh2!$AO$12</definedName>
    <definedName name="tlOutputCh2Prod4NetSales">OutCh2!$AO$14</definedName>
    <definedName name="tlOutputCh2Prod4NewSlotEmp1">OutCh2!$AG$47</definedName>
    <definedName name="tlOutputCh2Prod4NewSlotExp">OutCh2!$AG$51</definedName>
    <definedName name="tlOutputCh2Prod4Open">OutCh2!$AK$50</definedName>
    <definedName name="tloutputCh2Prod4Slot1AvgPromoDis">OutCh2!$E$84</definedName>
    <definedName name="tloutputCh2Prod4Slot1AvgPromoPrice">OutCh2!$AO$79</definedName>
    <definedName name="tloutputCh2Prod4Slot1AvgSellPrice">OutCh2!$AS$79</definedName>
    <definedName name="tloutputCh2Prod4Slot1CM">OutCh2!$AK$79</definedName>
    <definedName name="tlOutputCh2Prod4Slot1CustProfitBase">OutComp!$I$127</definedName>
    <definedName name="tloutputCh2Prod4Slot1RSPHigh">OutCh2!$BA$76</definedName>
    <definedName name="tloutputCh2Prod4Slot1RSPLow">OutCh2!$AW$76</definedName>
    <definedName name="tlOutputCh2Prod4Slot1SP">OutCh2!$AG$79</definedName>
    <definedName name="tloutputCh2Prod4Slot2AvgPromoDis">OutCh2!$E$85</definedName>
    <definedName name="tloutputCh2Prod4Slot2AvgPromoPrice">OutCh2!$AO$80</definedName>
    <definedName name="tloutputCh2Prod4Slot2AvgSellPrice">OutCh2!$AS$80</definedName>
    <definedName name="tloutputCh2Prod4Slot2CM">OutCh2!$AK$80</definedName>
    <definedName name="tlOutputCh2Prod4Slot2CustProfitBase">OutComp!$I$128</definedName>
    <definedName name="tloutputCh2Prod4Slot2RSPHigh">OutCh2!$BA$77</definedName>
    <definedName name="tloutputCh2Prod4Slot2RSPLow">OutCh2!$AW$77</definedName>
    <definedName name="tlOutputCh2Prod4Slot2SP">OutCh2!$AG$80</definedName>
    <definedName name="tloutputCh2Prod4Slot3AvgPromoDis">OutCh2!$E$86</definedName>
    <definedName name="tloutputCh2Prod4Slot3AvgPromoPrice">OutCh2!$AO$81</definedName>
    <definedName name="tloutputCh2Prod4Slot3AvgSellPrice">OutCh2!$AS$81</definedName>
    <definedName name="tloutputCh2Prod4Slot3CM">OutCh2!$AK$81</definedName>
    <definedName name="tlOutputCh2Prod4Slot3CustProfitBase">OutComp!$I$129</definedName>
    <definedName name="tloutputCh2Prod4Slot3RSPHigh">OutCh2!$BA$78</definedName>
    <definedName name="tloutputCh2Prod4Slot3RSPLow">OutCh2!$AW$78</definedName>
    <definedName name="tlOutputCh2Prod4Slot3SP">OutCh2!$AG$81</definedName>
    <definedName name="tlOutputCh2Prod4VolForcast">OutCh2!$AO$13</definedName>
    <definedName name="tlOutputCh2TTCondition">OutCh2!$AK$98</definedName>
    <definedName name="tlOutputCh2TTHeading">OutCh2!$AK$97</definedName>
    <definedName name="tlOutputCh2TTUnCondition">OutCh2!$AK$99</definedName>
    <definedName name="tlOutputCh2ValDriv1Emp1">OutCh2!$AG$24</definedName>
    <definedName name="tlOutputCh2ValDriv1Exp">OutCh2!$AG$25</definedName>
    <definedName name="tlOutputCh2ValDriv2Emp1">OutCh2!$AG$26</definedName>
    <definedName name="tlOutputCh2ValDriv2Exp">OutCh2!$AG$27</definedName>
    <definedName name="tlOutputCh2ValDriv3Emp1">OutCh2!$AG$28</definedName>
    <definedName name="tlOutputCh2ValDriv3Exp">OutCh2!$AG$29</definedName>
    <definedName name="tlOutputCh2ValDriv4Emp1">OutCh2!$AG$30</definedName>
    <definedName name="tlOutputCh2ValDriv4Exp">OutCh2!$AG$31</definedName>
    <definedName name="tlOutputCh2ValDriv5Emp1">OutCh2!$AG$32</definedName>
    <definedName name="tlOutputCh2ValDriv5Exp">OutCh2!$AG$33</definedName>
    <definedName name="tlOutputCh2ValDrivCondEmp1">OutCh2!$AG$36</definedName>
    <definedName name="tlOutputCh2ValDrivCondExp">OutCh2!$AG$37</definedName>
    <definedName name="tlOutputCh2ValDrivEmp1Tot">OutCh2!$AG$34</definedName>
    <definedName name="tlOutputCh2ValDrivExpTot">OutCh2!$AG$35</definedName>
    <definedName name="tlOutputCh2VolForecastTot">OutCh2!$AS$13</definedName>
    <definedName name="tlOutputCh2VtCp">OutCh2!$E$59</definedName>
    <definedName name="tlOutputCh2VtDeprExp">OutCh2!$E$13</definedName>
    <definedName name="tlOutputCh2VtDeprExpPct">OutCh2!$E$26</definedName>
    <definedName name="tlOutputCh2VtDeprExpPctPVol">OutCh2!$E$52</definedName>
    <definedName name="tlOutputCh2VtDeprExpPVol">OutCh2!$E$39</definedName>
    <definedName name="tlOutputCh2VtDiscounts">OutCh2!$E$8</definedName>
    <definedName name="tlOutputCh2VtDiscountsPct">OutCh2!$E$21</definedName>
    <definedName name="tlOutputCh2VtDiscountsPctPVol">OutCh2!$E$47</definedName>
    <definedName name="tlOutputCh2VtDiscountsPVol">OutCh2!$E$34</definedName>
    <definedName name="tlOutputCh2VtExcise">OutCh2!$E$6</definedName>
    <definedName name="tlOutputCh2VtExcisePct">OutCh2!$E$19</definedName>
    <definedName name="tlOutputCh2VtExcisePctPVol">OutCh2!$E$45</definedName>
    <definedName name="tlOutputCh2VtExcisePVol">OutCh2!$E$32</definedName>
    <definedName name="tlOutputCh2VtGP">OutCh2!$E$15</definedName>
    <definedName name="tlOutputCh2VtGPaL">OutCh2!$E$17</definedName>
    <definedName name="tlOutputCh2VtGPaLPct">OutCh2!$E$30</definedName>
    <definedName name="tlOutputCh2VtGPaLPctPVol">OutCh2!$E$56</definedName>
    <definedName name="tlOutputCh2VtGPaLPVol">OutCh2!$E$43</definedName>
    <definedName name="tlOutputCh2VtGPPct">OutCh2!$E$28</definedName>
    <definedName name="tlOutputCh2VtGPPctPVol">OutCh2!$E$54</definedName>
    <definedName name="tlOutputCh2VtGPPVol">OutCh2!$E$41</definedName>
    <definedName name="tlOutputCh2VtGrossSales">OutCh2!$E$7</definedName>
    <definedName name="tlOutputCh2VtGrossSalesPct">OutCh2!$E$20</definedName>
    <definedName name="tlOutputCh2VtGrossSalesPctPVol">OutCh2!$E$46</definedName>
    <definedName name="tlOutputCh2VtGrossSalesPVol">OutCh2!$E$33</definedName>
    <definedName name="tlOutputCh2VtLabourExp">OutCh2!$E$11</definedName>
    <definedName name="tlOutputCh2VtLabourExpPct">OutCh2!$E$24</definedName>
    <definedName name="tlOutputCh2VtLabourExpPctPVol">OutCh2!$E$50</definedName>
    <definedName name="tlOutputCh2VtLabourExpPVol">OutCh2!$E$37</definedName>
    <definedName name="tlOutputCh2VtLogExp">OutCh2!$E$16</definedName>
    <definedName name="tlOutputCh2VtLogExpPct">OutCh2!$E$29</definedName>
    <definedName name="tlOutputCh2VtLogExpPctPVol">OutCh2!$E$55</definedName>
    <definedName name="tlOutputCh2VtLogExpPVol">OutCh2!$E$42</definedName>
    <definedName name="tlOutputCh2VtMachExp">OutCh2!$E$12</definedName>
    <definedName name="tlOutputCh2VtMachExpPct">OutCh2!$E$25</definedName>
    <definedName name="tlOutputCh2VtMachExpPctPVol">OutCh2!$E$51</definedName>
    <definedName name="tlOutputCh2VtMachExpPVol">OutCh2!$E$38</definedName>
    <definedName name="tlOutputCh2VtMatExp">OutCh2!$E$10</definedName>
    <definedName name="tlOutputCh2VtMatExpPct">OutCh2!$E$23</definedName>
    <definedName name="tlOutputCh2VtMatExpPctPVol">OutCh2!$E$49</definedName>
    <definedName name="tlOutputCh2VtMatExpPVol">OutCh2!$E$36</definedName>
    <definedName name="tlOutputCh2Vtstaple1">OutCh2!$E$65</definedName>
    <definedName name="tlOutputCh2Vtstaple2">OutCh2!$E$66</definedName>
    <definedName name="tlOutputCh2Vtstaple3">OutCh2!$E$67</definedName>
    <definedName name="tlOutputCh2Vtstaple4">OutCh2!$E$68</definedName>
    <definedName name="tlOutputCh2VtTotalCOGs">OutCh2!$E$14</definedName>
    <definedName name="tlOutputCh2VtTotalCOGsPct">OutCh2!$E$27</definedName>
    <definedName name="tlOutputCh2VtTotalCOGsPctPVol">OutCh2!$E$53</definedName>
    <definedName name="tlOutputCh2VtTotalCOGsPVol">OutCh2!$E$40</definedName>
    <definedName name="tlOutputCh2VtTotalRev">OutCh2!$E$9</definedName>
    <definedName name="tlOutputCh2VtTotalRevPct">OutCh2!$E$22</definedName>
    <definedName name="tlOutputCh2VtTotalRevPctPVol">OutCh2!$E$48</definedName>
    <definedName name="tlOutputCh2VtTotalRevPVol">OutCh2!$E$35</definedName>
    <definedName name="tlOutputCh2VtTurn">OutCh2!$E$5</definedName>
    <definedName name="tlOutputCh2VtTurnPct">OutCh2!$E$18</definedName>
    <definedName name="tlOutputCh2VtTurnPctPVol">OutCh2!$E$44</definedName>
    <definedName name="tlOutputCh2VtTurnPVol">OutCh2!$E$31</definedName>
    <definedName name="tlOutputCh2VtUnitsSold">OutCh2!$E$58</definedName>
    <definedName name="tlOutputCh2VtVolSold">OutCh2!$E$57</definedName>
    <definedName name="tlOutputCh2VtWd">OutCh2!$E$60</definedName>
    <definedName name="tlOutputCh2WaterfallDelta1">OutCh2!$AK$115</definedName>
    <definedName name="tlOutputCh2WaterfallDelta2">OutCh2!$AK$116</definedName>
    <definedName name="tlOutputCh2WaterfallDelta3">OutCh2!$AK$117</definedName>
    <definedName name="tlOutputCh2WaterfallDelta4">OutCh2!$AK$118</definedName>
    <definedName name="tlOutputCh2WaterfallEnd">OutCh2!$AK$119</definedName>
    <definedName name="tlOutputCh2WaterfallInvisible1">OutCh2!$AG$106</definedName>
    <definedName name="tlOutputCh2WaterfallInvisible2">OutCh2!$AG$107</definedName>
    <definedName name="tlOutputCh2WaterfallInvisible3">OutCh2!$AG$108</definedName>
    <definedName name="tlOutputCh2WaterfallInvisible4">OutCh2!$AG$109</definedName>
    <definedName name="tlOutputCh2WaterfallInvisible5">OutCh2!$AG$110</definedName>
    <definedName name="tlOutputCh2WaterfallInvisible6">OutCh2!$AG$111</definedName>
    <definedName name="tlOutputCh2WaterfallStart">OutCh2!$AK$114</definedName>
    <definedName name="tlOutputCh2WaterfallVisible1">OutCh2!$AG$114</definedName>
    <definedName name="tlOutputCh2WaterfallVisible2">OutCh2!$AG$115</definedName>
    <definedName name="tlOutputCh2WaterfallVisible3">OutCh2!$AG$116</definedName>
    <definedName name="tlOutputCh2WaterfallVisible4">OutCh2!$AG$117</definedName>
    <definedName name="tlOutputCh2WaterfallVisible5">OutCh2!$AG$118</definedName>
    <definedName name="tlOutputCh2WaterfallVisible6">OutCh2!$AG$119</definedName>
    <definedName name="tlOutputCh2WaterfallxLabel1">OutCh2!$AG$98</definedName>
    <definedName name="tlOutputCh2WaterfallxLabel2">OutCh2!$AG$99</definedName>
    <definedName name="tlOutputCh2WaterfallxLabel3">OutCh2!$AG$100</definedName>
    <definedName name="tlOutputCh2WaterfallxLabel4">OutCh2!$AG$101</definedName>
    <definedName name="tlOutputCh2WaterfallxLabel5">OutCh2!$AG$102</definedName>
    <definedName name="tlOutputCh2WaterfallxLabel6">OutCh2!$AG$103</definedName>
    <definedName name="tlOutputCh3">OutComp!$E$184</definedName>
    <definedName name="tlOutputCh3Analytic1Chart1BubbleSize1">OutCh3!$AG$198</definedName>
    <definedName name="tlOutputCh3Analytic1Chart1BubbleSize10">OutCh3!$AG$207</definedName>
    <definedName name="tlOutputCh3Analytic1Chart1BubbleSize11">OutCh3!$AG$208</definedName>
    <definedName name="tlOutputCh3Analytic1Chart1BubbleSize12">OutCh3!$AG$209</definedName>
    <definedName name="tlOutputCh3Analytic1Chart1BubbleSize2">OutCh3!$AG$199</definedName>
    <definedName name="tlOutputCh3Analytic1Chart1BubbleSize3">OutCh3!$AG$200</definedName>
    <definedName name="tlOutputCh3Analytic1Chart1BubbleSize4">OutCh3!$AG$201</definedName>
    <definedName name="tlOutputCh3Analytic1Chart1BubbleSize5">OutCh3!$AG$202</definedName>
    <definedName name="tlOutputCh3Analytic1Chart1BubbleSize6">OutCh3!$AG$203</definedName>
    <definedName name="tlOutputCh3Analytic1Chart1BubbleSize7">OutCh3!$AG$204</definedName>
    <definedName name="tlOutputCh3Analytic1Chart1BubbleSize8">OutCh3!$AG$205</definedName>
    <definedName name="tlOutputCh3Analytic1Chart1BubbleSize9">OutCh3!$AG$206</definedName>
    <definedName name="tlOutputCh3Analytic1Chart1Heading">OutCh3!$AG$147</definedName>
    <definedName name="tlOutputCh3Analytic1Chart1Label1">OutCh3!$AG$154</definedName>
    <definedName name="tlOutputCh3Analytic1Chart1Label10">OutCh3!$AG$163</definedName>
    <definedName name="tlOutputCh3Analytic1Chart1Label11">OutCh3!$AG$164</definedName>
    <definedName name="tlOutputCh3Analytic1Chart1Label12">OutCh3!$AG$165</definedName>
    <definedName name="tlOutputCh3Analytic1Chart1Label2">OutCh3!$AG$155</definedName>
    <definedName name="tlOutputCh3Analytic1Chart1Label3">OutCh3!$AG$156</definedName>
    <definedName name="tlOutputCh3Analytic1Chart1Label4">OutCh3!$AG$157</definedName>
    <definedName name="tlOutputCh3Analytic1Chart1Label5">OutCh3!$AG$158</definedName>
    <definedName name="tlOutputCh3Analytic1Chart1Label6">OutCh3!$AG$159</definedName>
    <definedName name="tlOutputCh3Analytic1Chart1Label7">OutCh3!$AG$160</definedName>
    <definedName name="tlOutputCh3Analytic1Chart1Label8">OutCh3!$AG$161</definedName>
    <definedName name="tlOutputCh3Analytic1Chart1Label9">OutCh3!$AG$162</definedName>
    <definedName name="tlOutputCh3Analytic1Chart1Type1">OutCh3!$AG$149</definedName>
    <definedName name="tlOutputCh3Analytic1Chart1Type2">OutCh3!$AG$150</definedName>
    <definedName name="tlOutputCh3Analytic1Chart1Type3">OutCh3!$AG$151</definedName>
    <definedName name="tlOutputCh3Analytic1Chart1Type4">OutCh3!$AG$152</definedName>
    <definedName name="tlOutputCh3Analytic1Chart1XaxisTitle">OutCh3!$AG$168</definedName>
    <definedName name="tlOutputCh3Analytic1Chart1XValue1">OutCh3!$AG$169</definedName>
    <definedName name="tlOutputCh3Analytic1Chart1XValue10">OutCh3!$AG$178</definedName>
    <definedName name="tlOutputCh3Analytic1Chart1XValue11">OutCh3!$AG$179</definedName>
    <definedName name="tlOutputCh3Analytic1Chart1XValue12">OutCh3!$AG$180</definedName>
    <definedName name="tlOutputCh3Analytic1Chart1XValue2">OutCh3!$AG$170</definedName>
    <definedName name="tlOutputCh3Analytic1Chart1XValue3">OutCh3!$AG$171</definedName>
    <definedName name="tlOutputCh3Analytic1Chart1XValue4">OutCh3!$AG$172</definedName>
    <definedName name="tlOutputCh3Analytic1Chart1XValue5">OutCh3!$AG$173</definedName>
    <definedName name="tlOutputCh3Analytic1Chart1XValue6">OutCh3!$AG$174</definedName>
    <definedName name="tlOutputCh3Analytic1Chart1XValue7">OutCh3!$AG$175</definedName>
    <definedName name="tlOutputCh3Analytic1Chart1XValue8">OutCh3!$AG$176</definedName>
    <definedName name="tlOutputCh3Analytic1Chart1XValue9">OutCh3!$AG$177</definedName>
    <definedName name="tlOutputCh3Analytic1Chart1YaxisTitle">OutCh3!$AG$183</definedName>
    <definedName name="tlOutputCh3Analytic1Chart1YValue1">OutCh3!$AG$184</definedName>
    <definedName name="tlOutputCh3Analytic1Chart1YValue10">OutCh3!$AG$193</definedName>
    <definedName name="tlOutputCh3Analytic1Chart1YValue11">OutCh3!$AG$194</definedName>
    <definedName name="tlOutputCh3Analytic1Chart1YValue12">OutCh3!$AG$195</definedName>
    <definedName name="tlOutputCh3Analytic1Chart1YValue2">OutCh3!$AG$185</definedName>
    <definedName name="tlOutputCh3Analytic1Chart1YValue3">OutCh3!$AG$186</definedName>
    <definedName name="tlOutputCh3Analytic1Chart1YValue4">OutCh3!$AG$187</definedName>
    <definedName name="tlOutputCh3Analytic1Chart1YValue5">OutCh3!$AG$188</definedName>
    <definedName name="tlOutputCh3Analytic1Chart1YValue6">OutCh3!$AG$189</definedName>
    <definedName name="tlOutputCh3Analytic1Chart1YValue7">OutCh3!$AG$190</definedName>
    <definedName name="tlOutputCh3Analytic1Chart1YValue8">OutCh3!$AG$191</definedName>
    <definedName name="tlOutputCh3Analytic1Chart1YValue9">OutCh3!$AG$192</definedName>
    <definedName name="tlOutputCh3Analytic1Chart2BubbleSize1">OutCh3!$AK$198</definedName>
    <definedName name="tlOutputCh3Analytic1Chart2BubbleSize10">OutCh3!$AK$207</definedName>
    <definedName name="tlOutputCh3Analytic1Chart2BubbleSize11">OutCh3!$AK$208</definedName>
    <definedName name="tlOutputCh3Analytic1Chart2BubbleSize12">OutCh3!$AK$209</definedName>
    <definedName name="tlOutputCh3Analytic1Chart2BubbleSize2">OutCh3!$AK$199</definedName>
    <definedName name="tlOutputCh3Analytic1Chart2BubbleSize3">OutCh3!$AK$200</definedName>
    <definedName name="tlOutputCh3Analytic1Chart2BubbleSize4">OutCh3!$AK$201</definedName>
    <definedName name="tlOutputCh3Analytic1Chart2BubbleSize5">OutCh3!$AK$202</definedName>
    <definedName name="tlOutputCh3Analytic1Chart2BubbleSize6">OutCh3!$AK$203</definedName>
    <definedName name="tlOutputCh3Analytic1Chart2BubbleSize7">OutCh3!$AK$204</definedName>
    <definedName name="tlOutputCh3Analytic1Chart2BubbleSize8">OutCh3!$AK$205</definedName>
    <definedName name="tlOutputCh3Analytic1Chart2BubbleSize9">OutCh3!$AK$206</definedName>
    <definedName name="tlOutputCh3Analytic1Chart2Heading">OutCh3!$AK$147</definedName>
    <definedName name="tlOutputCh3Analytic1Chart2Label1">OutCh3!$AK$154</definedName>
    <definedName name="tlOutputCh3Analytic1Chart2Label10">OutCh3!$AK$163</definedName>
    <definedName name="tlOutputCh3Analytic1Chart2Label11">OutCh3!$AK$164</definedName>
    <definedName name="tlOutputCh3Analytic1Chart2Label12">OutCh3!$AK$165</definedName>
    <definedName name="tlOutputCh3Analytic1Chart2Label2">OutCh3!$AK$155</definedName>
    <definedName name="tlOutputCh3Analytic1Chart2Label3">OutCh3!$AK$156</definedName>
    <definedName name="tlOutputCh3Analytic1Chart2Label4">OutCh3!$AK$157</definedName>
    <definedName name="tlOutputCh3Analytic1Chart2Label5">OutCh3!$AK$158</definedName>
    <definedName name="tlOutputCh3Analytic1Chart2Label6">OutCh3!$AK$159</definedName>
    <definedName name="tlOutputCh3Analytic1Chart2Label7">OutCh3!$AK$160</definedName>
    <definedName name="tlOutputCh3Analytic1Chart2Label8">OutCh3!$AK$161</definedName>
    <definedName name="tlOutputCh3Analytic1Chart2Label9">OutCh3!$AK$162</definedName>
    <definedName name="tlOutputCh3Analytic1Chart2Type1">OutCh3!$AK$149</definedName>
    <definedName name="tlOutputCh3Analytic1Chart2Type2">OutCh3!$AK$150</definedName>
    <definedName name="tlOutputCh3Analytic1Chart2Type3">OutCh3!$AK$151</definedName>
    <definedName name="tlOutputCh3Analytic1Chart2Type4">OutCh3!$AK$152</definedName>
    <definedName name="tlOutputCh3Analytic1Chart2XaxisTitle">OutCh3!$AK$168</definedName>
    <definedName name="tlOutputCh3Analytic1Chart2XValue1">OutCh3!$AK$169</definedName>
    <definedName name="tlOutputCh3Analytic1Chart2XValue10">OutCh3!$AK$178</definedName>
    <definedName name="tlOutputCh3Analytic1Chart2XValue11">OutCh3!$AK$179</definedName>
    <definedName name="tlOutputCh3Analytic1Chart2XValue12">OutCh3!$AK$180</definedName>
    <definedName name="tlOutputCh3Analytic1Chart2XValue2">OutCh3!$AK$170</definedName>
    <definedName name="tlOutputCh3Analytic1Chart2XValue3">OutCh3!$AK$171</definedName>
    <definedName name="tlOutputCh3Analytic1Chart2XValue4">OutCh3!$AK$172</definedName>
    <definedName name="tlOutputCh3Analytic1Chart2XValue5">OutCh3!$AK$173</definedName>
    <definedName name="tlOutputCh3Analytic1Chart2XValue6">OutCh3!$AK$174</definedName>
    <definedName name="tlOutputCh3Analytic1Chart2XValue7">OutCh3!$AK$175</definedName>
    <definedName name="tlOutputCh3Analytic1Chart2XValue8">OutCh3!$AK$176</definedName>
    <definedName name="tlOutputCh3Analytic1Chart2XValue9">OutCh3!$AK$177</definedName>
    <definedName name="tlOutputCh3Analytic1Chart2YaxisTitle">OutCh3!$AK$183</definedName>
    <definedName name="tlOutputCh3Analytic1Chart2YValue1">OutCh3!$AK$184</definedName>
    <definedName name="tlOutputCh3Analytic1Chart2YValue10">OutCh3!$AK$193</definedName>
    <definedName name="tlOutputCh3Analytic1Chart2YValue11">OutCh3!$AK$194</definedName>
    <definedName name="tlOutputCh3Analytic1Chart2YValue12">OutCh3!$AK$195</definedName>
    <definedName name="tlOutputCh3Analytic1Chart2YValue2">OutCh3!$AK$185</definedName>
    <definedName name="tlOutputCh3Analytic1Chart2YValue3">OutCh3!$AK$186</definedName>
    <definedName name="tlOutputCh3Analytic1Chart2YValue4">OutCh3!$AK$187</definedName>
    <definedName name="tlOutputCh3Analytic1Chart2YValue5">OutCh3!$AK$188</definedName>
    <definedName name="tlOutputCh3Analytic1Chart2YValue6">OutCh3!$AK$189</definedName>
    <definedName name="tlOutputCh3Analytic1Chart2YValue7">OutCh3!$AK$190</definedName>
    <definedName name="tlOutputCh3Analytic1Chart2YValue8">OutCh3!$AK$191</definedName>
    <definedName name="tlOutputCh3Analytic1Chart2YValue9">OutCh3!$AK$192</definedName>
    <definedName name="tlOutputCh3Analytic1Table1Col1Row1">OutCh3!$AO$150</definedName>
    <definedName name="tlOutputCh3Analytic1Table1Col1Row2">OutCh3!$AO$151</definedName>
    <definedName name="tlOutputCh3Analytic1Table1Col1Row3">OutCh3!$AO$152</definedName>
    <definedName name="tlOutputCh3Analytic1Table1Col1Row4">OutCh3!$AO$153</definedName>
    <definedName name="tlOutputCh3Analytic1Table1Col1Row5">OutCh3!$AO$154</definedName>
    <definedName name="tlOutputCh3Analytic1Table1Col1Row6">OutCh3!$AO$155</definedName>
    <definedName name="tlOutputCh3Analytic1Table1Col1Row7">OutCh3!$AO$156</definedName>
    <definedName name="tlOutputCh3Analytic1Table1Col1Row8">OutCh3!$AO$157</definedName>
    <definedName name="tlOutputCh3Analytic1Table1Col2Row1">OutCh3!$AO$160</definedName>
    <definedName name="tlOutputCh3Analytic1Table1Col2Row2">OutCh3!$AO$161</definedName>
    <definedName name="tlOutputCh3Analytic1Table1Col2Row3">OutCh3!$AO$162</definedName>
    <definedName name="tlOutputCh3Analytic1Table1Col2Row4">OutCh3!$AO$163</definedName>
    <definedName name="tlOutputCh3Analytic1Table1Col2Row5">OutCh3!$AO$164</definedName>
    <definedName name="tlOutputCh3Analytic1Table1Col2Row6">OutCh3!$AO$165</definedName>
    <definedName name="tlOutputCh3Analytic1Table1Col2Row7">OutCh3!$AO$166</definedName>
    <definedName name="tlOutputCh3Analytic1Table1Col2Row8">OutCh3!$AO$167</definedName>
    <definedName name="tlOutputCh3Analytic1Table1Col3Row1">OutCh3!$AO$170</definedName>
    <definedName name="tlOutputCh3Analytic1Table1Col3Row2">OutCh3!$AO$171</definedName>
    <definedName name="tlOutputCh3Analytic1Table1Col3Row3">OutCh3!$AO$172</definedName>
    <definedName name="tlOutputCh3Analytic1Table1Col3Row4">OutCh3!$AO$173</definedName>
    <definedName name="tlOutputCh3Analytic1Table1Col3Row5">OutCh3!$AO$174</definedName>
    <definedName name="tlOutputCh3Analytic1Table1Col3Row6">OutCh3!$AO$175</definedName>
    <definedName name="tlOutputCh3Analytic1Table1Col3Row7">OutCh3!$AO$176</definedName>
    <definedName name="tlOutputCh3Analytic1Table1Col3Row8">OutCh3!$AO$177</definedName>
    <definedName name="tlOutputCh3Analytic1Table1Col4Row1">OutCh3!$AO$180</definedName>
    <definedName name="tlOutputCh3Analytic1Table1Col4Row2">OutCh3!$AO$181</definedName>
    <definedName name="tlOutputCh3Analytic1Table1Col4Row3">OutCh3!$AO$182</definedName>
    <definedName name="tlOutputCh3Analytic1Table1Col4Row4">OutCh3!$AO$183</definedName>
    <definedName name="tlOutputCh3Analytic1Table1Col4Row5">OutCh3!$AO$184</definedName>
    <definedName name="tlOutputCh3Analytic1Table1Col4Row6">OutCh3!$AO$185</definedName>
    <definedName name="tlOutputCh3Analytic1Table1Col4Row7">OutCh3!$AO$186</definedName>
    <definedName name="tlOutputCh3Analytic1Table1Col4Row8">OutCh3!$AO$187</definedName>
    <definedName name="tlOutputCh3Analytic1Table1Col5Row1">OutCh3!$AO$190</definedName>
    <definedName name="tlOutputCh3Analytic1Table1Col5Row2">OutCh3!$AO$191</definedName>
    <definedName name="tlOutputCh3Analytic1Table1Col5Row3">OutCh3!$AO$192</definedName>
    <definedName name="tlOutputCh3Analytic1Table1Col5Row4">OutCh3!$AO$193</definedName>
    <definedName name="tlOutputCh3Analytic1Table1Col5Row5">OutCh3!$AO$194</definedName>
    <definedName name="tlOutputCh3Analytic1Table1Col5Row6">OutCh3!$AO$195</definedName>
    <definedName name="tlOutputCh3Analytic1Table1Col5Row7">OutCh3!$AO$196</definedName>
    <definedName name="tlOutputCh3Analytic1Table1Col5Row8">OutCh3!$AO$197</definedName>
    <definedName name="tlOutputCh3Analytic1Table1Col6Row1">OutCh3!$AO$200</definedName>
    <definedName name="tlOutputCh3Analytic1Table1Col6Row2">OutCh3!$AO$201</definedName>
    <definedName name="tlOutputCh3Analytic1Table1Col6Row3">OutCh3!$AO$202</definedName>
    <definedName name="tlOutputCh3Analytic1Table1Col6Row4">OutCh3!$AO$203</definedName>
    <definedName name="tlOutputCh3Analytic1Table1Col6Row5">OutCh3!$AO$204</definedName>
    <definedName name="tlOutputCh3Analytic1Table1Col6Row6">OutCh3!$AO$205</definedName>
    <definedName name="tlOutputCh3Analytic1Table1Col6Row7">OutCh3!$AO$206</definedName>
    <definedName name="tlOutputCh3Analytic1Table1Col6Row8">OutCh3!$AO$207</definedName>
    <definedName name="tlOutputCh3Analytic1Table1Col7Row1">OutCh3!$AO$210</definedName>
    <definedName name="tlOutputCh3Analytic1Table1Col7Row2">OutCh3!$AO$211</definedName>
    <definedName name="tlOutputCh3Analytic1Table1Col7Row3">OutCh3!$AO$212</definedName>
    <definedName name="tlOutputCh3Analytic1Table1Col7Row4">OutCh3!$AO$213</definedName>
    <definedName name="tlOutputCh3Analytic1Table1Col7Row5">OutCh3!$AO$214</definedName>
    <definedName name="tlOutputCh3Analytic1Table1Col7Row6">OutCh3!$AO$215</definedName>
    <definedName name="tlOutputCh3Analytic1Table1Col7Row7">OutCh3!$AO$216</definedName>
    <definedName name="tlOutputCh3Analytic1Table1Col7Row8">OutCh3!$AO$217</definedName>
    <definedName name="tlOutputCh3Analytic1Table1Col8Row1">OutCh3!$AO$220</definedName>
    <definedName name="tlOutputCh3Analytic1Table1Col8Row2">OutCh3!$AO$221</definedName>
    <definedName name="tlOutputCh3Analytic1Table1Col8Row3">OutCh3!$AO$222</definedName>
    <definedName name="tlOutputCh3Analytic1Table1Col8Row4">OutCh3!$AO$223</definedName>
    <definedName name="tlOutputCh3Analytic1Table1Col8Row5">OutCh3!$AO$224</definedName>
    <definedName name="tlOutputCh3Analytic1Table1Col8Row6">OutCh3!$AO$225</definedName>
    <definedName name="tlOutputCh3Analytic1Table1Col8Row7">OutCh3!$AO$226</definedName>
    <definedName name="tlOutputCh3Analytic1Table1Col8Row8">OutCh3!$AO$227</definedName>
    <definedName name="tlOutputCh3Analytic2Chart1Heading">OutCh3!$AS$147</definedName>
    <definedName name="tlOutputCh3Analytic2Chart1Serie10Label1">OutCh3!$AS$185</definedName>
    <definedName name="tlOutputCh3Analytic2Chart1Serie10Point1">OutCh3!$AS$186</definedName>
    <definedName name="tlOutputCh3Analytic2Chart1Serie10Point2">OutCh3!$AS$187</definedName>
    <definedName name="tlOutputCh3Analytic2Chart1Serie10Point3">OutCh3!$AS$188</definedName>
    <definedName name="tlOutputCh3Analytic2Chart1Serie11Label1">OutCh3!$AS$189</definedName>
    <definedName name="tlOutputCh3Analytic2Chart1Serie11Point1">OutCh3!$AS$190</definedName>
    <definedName name="tlOutputCh3Analytic2Chart1Serie11Point2">OutCh3!$AS$191</definedName>
    <definedName name="tlOutputCh3Analytic2Chart1Serie11Point3">OutCh3!$AS$192</definedName>
    <definedName name="tlOutputCh3Analytic2Chart1Serie12Label1">OutCh3!$AS$193</definedName>
    <definedName name="tlOutputCh3Analytic2Chart1Serie12Point1">OutCh3!$AS$194</definedName>
    <definedName name="tlOutputCh3Analytic2Chart1Serie12Point2">OutCh3!$AS$195</definedName>
    <definedName name="tlOutputCh3Analytic2Chart1Serie12Point3">OutCh3!$AS$196</definedName>
    <definedName name="tlOutputCh3Analytic2Chart1Serie1Label1">OutCh3!$AS$149</definedName>
    <definedName name="tlOutputCh3Analytic2Chart1Serie1Point1">OutCh3!$AS$150</definedName>
    <definedName name="tlOutputCh3Analytic2Chart1Serie1Point2">OutCh3!$AS$151</definedName>
    <definedName name="tlOutputCh3Analytic2Chart1Serie1Point3">OutCh3!$AS$152</definedName>
    <definedName name="tlOutputCh3Analytic2Chart1Serie2Label1">OutCh3!$AS$153</definedName>
    <definedName name="tlOutputCh3Analytic2Chart1Serie2Point1">OutCh3!$AS$154</definedName>
    <definedName name="tlOutputCh3Analytic2Chart1Serie2Point2">OutCh3!$AS$155</definedName>
    <definedName name="tlOutputCh3Analytic2Chart1Serie2Point3">OutCh3!$AS$156</definedName>
    <definedName name="tlOutputCh3Analytic2Chart1Serie3Label1">OutCh3!$AS$157</definedName>
    <definedName name="tlOutputCh3Analytic2Chart1Serie3Point1">OutCh3!$AS$158</definedName>
    <definedName name="tlOutputCh3Analytic2Chart1Serie3Point2">OutCh3!$AS$159</definedName>
    <definedName name="tlOutputCh3Analytic2Chart1Serie3Point3">OutCh3!$AS$160</definedName>
    <definedName name="tlOutputCh3Analytic2Chart1Serie4Label1">OutCh3!$AS$161</definedName>
    <definedName name="tlOutputCh3Analytic2Chart1Serie4Point1">OutCh3!$AS$162</definedName>
    <definedName name="tlOutputCh3Analytic2Chart1Serie4Point2">OutCh3!$AS$163</definedName>
    <definedName name="tlOutputCh3Analytic2Chart1Serie4Point3">OutCh3!$AS$164</definedName>
    <definedName name="tlOutputCh3Analytic2Chart1Serie5Label1">OutCh3!$AS$165</definedName>
    <definedName name="tlOutputCh3Analytic2Chart1Serie5Point1">OutCh3!$AS$166</definedName>
    <definedName name="tlOutputCh3Analytic2Chart1Serie5Point2">OutCh3!$AS$167</definedName>
    <definedName name="tlOutputCh3Analytic2Chart1Serie5Point3">OutCh3!$AS$168</definedName>
    <definedName name="tlOutputCh3Analytic2Chart1Serie6Label1">OutCh3!$AS$169</definedName>
    <definedName name="tlOutputCh3Analytic2Chart1Serie6Point1">OutCh3!$AS$170</definedName>
    <definedName name="tlOutputCh3Analytic2Chart1Serie6Point2">OutCh3!$AS$171</definedName>
    <definedName name="tlOutputCh3Analytic2Chart1Serie6Point3">OutCh3!$AS$172</definedName>
    <definedName name="tlOutputCh3Analytic2Chart1Serie7Label1">OutCh3!$AS$173</definedName>
    <definedName name="tlOutputCh3Analytic2Chart1Serie7Point1">OutCh3!$AS$174</definedName>
    <definedName name="tlOutputCh3Analytic2Chart1Serie7Point2">OutCh3!$AS$175</definedName>
    <definedName name="tlOutputCh3Analytic2Chart1Serie7Point3">OutCh3!$AS$176</definedName>
    <definedName name="tlOutputCh3Analytic2Chart1Serie8Label1">OutCh3!$AS$177</definedName>
    <definedName name="tlOutputCh3Analytic2Chart1Serie8Point1">OutCh3!$AS$178</definedName>
    <definedName name="tlOutputCh3Analytic2Chart1Serie8Point2">OutCh3!$AS$179</definedName>
    <definedName name="tlOutputCh3Analytic2Chart1Serie8Point3">OutCh3!$AS$180</definedName>
    <definedName name="tlOutputCh3Analytic2Chart1Serie9Label1">OutCh3!$AS$181</definedName>
    <definedName name="tlOutputCh3Analytic2Chart1Serie9Point1">OutCh3!$AS$182</definedName>
    <definedName name="tlOutputCh3Analytic2Chart1Serie9Point2">OutCh3!$AS$183</definedName>
    <definedName name="tlOutputCh3Analytic2Chart1Serie9Point3">OutCh3!$AS$184</definedName>
    <definedName name="tlOutputCh3Analytic2Chart2Heading">OutCh3!$AG$249</definedName>
    <definedName name="tlOutputCh3Analytic2Chart2Label1">OutCh3!$AG$254</definedName>
    <definedName name="tlOutputCh3Analytic2Chart2Label10">OutCh3!$AG$263</definedName>
    <definedName name="tlOutputCh3Analytic2Chart2Label11">OutCh3!$AG$264</definedName>
    <definedName name="tlOutputCh3Analytic2Chart2Label12">OutCh3!$AG$265</definedName>
    <definedName name="tlOutputCh3Analytic2Chart2Label2">OutCh3!$AG$255</definedName>
    <definedName name="tlOutputCh3Analytic2Chart2Label3">OutCh3!$AG$256</definedName>
    <definedName name="tlOutputCh3Analytic2Chart2Label4">OutCh3!$AG$257</definedName>
    <definedName name="tlOutputCh3Analytic2Chart2Label5">OutCh3!$AG$258</definedName>
    <definedName name="tlOutputCh3Analytic2Chart2Label6">OutCh3!$AG$259</definedName>
    <definedName name="tlOutputCh3Analytic2Chart2Label7">OutCh3!$AG$260</definedName>
    <definedName name="tlOutputCh3Analytic2Chart2Label8">OutCh3!$AG$261</definedName>
    <definedName name="tlOutputCh3Analytic2Chart2Label9">OutCh3!$AG$262</definedName>
    <definedName name="tlOutputCh3Analytic2Chart2Serie1Item1">OutCh3!$AG$267</definedName>
    <definedName name="tlOutputCh3Analytic2Chart2Serie1Item10">OutCh3!$AG$276</definedName>
    <definedName name="tlOutputCh3Analytic2Chart2Serie1Item11">OutCh3!$AG$277</definedName>
    <definedName name="tlOutputCh3Analytic2Chart2Serie1Item12">OutCh3!$AG$278</definedName>
    <definedName name="tlOutputCh3Analytic2Chart2Serie1Item2">OutCh3!$AG$268</definedName>
    <definedName name="tlOutputCh3Analytic2Chart2Serie1Item3">OutCh3!$AG$269</definedName>
    <definedName name="tlOutputCh3Analytic2Chart2Serie1Item4">OutCh3!$AG$270</definedName>
    <definedName name="tlOutputCh3Analytic2Chart2Serie1Item5">OutCh3!$AG$271</definedName>
    <definedName name="tlOutputCh3Analytic2Chart2Serie1Item6">OutCh3!$AG$272</definedName>
    <definedName name="tlOutputCh3Analytic2Chart2Serie1Item7">OutCh3!$AG$273</definedName>
    <definedName name="tlOutputCh3Analytic2Chart2Serie1Item8">OutCh3!$AG$274</definedName>
    <definedName name="tlOutputCh3Analytic2Chart2Serie1Item9">OutCh3!$AG$275</definedName>
    <definedName name="tlOutputCh3Analytic2Chart2Serie1Title">OutCh3!$AG$251</definedName>
    <definedName name="tlOutputCh3Analytic2Chart2Serie2Item1">OutCh3!$AG$280</definedName>
    <definedName name="tlOutputCh3Analytic2Chart2Serie2Item10">OutCh3!$AG$289</definedName>
    <definedName name="tlOutputCh3Analytic2Chart2Serie2Item11">OutCh3!$AG$290</definedName>
    <definedName name="tlOutputCh3Analytic2Chart2Serie2Item12">OutCh3!$AG$291</definedName>
    <definedName name="tlOutputCh3Analytic2Chart2Serie2Item2">OutCh3!$AG$281</definedName>
    <definedName name="tlOutputCh3Analytic2Chart2Serie2Item3">OutCh3!$AG$282</definedName>
    <definedName name="tlOutputCh3Analytic2Chart2Serie2Item4">OutCh3!$AG$283</definedName>
    <definedName name="tlOutputCh3Analytic2Chart2Serie2Item5">OutCh3!$AG$284</definedName>
    <definedName name="tlOutputCh3Analytic2Chart2Serie2Item6">OutCh3!$AG$285</definedName>
    <definedName name="tlOutputCh3Analytic2Chart2Serie2Item7">OutCh3!$AG$286</definedName>
    <definedName name="tlOutputCh3Analytic2Chart2Serie2Item8">OutCh3!$AG$287</definedName>
    <definedName name="tlOutputCh3Analytic2Chart2Serie2Item9">OutCh3!$AG$288</definedName>
    <definedName name="tlOutputCh3Analytic2Chart2Serie2Title">OutCh3!$AG$252</definedName>
    <definedName name="tlOutputCh3Analytic2Chart3BubbleSize1">OutCh3!$AO$300</definedName>
    <definedName name="tlOutputCh3Analytic2Chart3BubbleSize10">OutCh3!$AO$309</definedName>
    <definedName name="tlOutputCh3Analytic2Chart3BubbleSize11">OutCh3!$AO$310</definedName>
    <definedName name="tlOutputCh3Analytic2Chart3BubbleSize12">OutCh3!$AO$311</definedName>
    <definedName name="tlOutputCh3Analytic2Chart3BubbleSize2">OutCh3!$AO$301</definedName>
    <definedName name="tlOutputCh3Analytic2Chart3BubbleSize3">OutCh3!$AO$302</definedName>
    <definedName name="tlOutputCh3Analytic2Chart3BubbleSize4">OutCh3!$AO$303</definedName>
    <definedName name="tlOutputCh3Analytic2Chart3BubbleSize5">OutCh3!$AO$304</definedName>
    <definedName name="tlOutputCh3Analytic2Chart3BubbleSize6">OutCh3!$AO$305</definedName>
    <definedName name="tlOutputCh3Analytic2Chart3BubbleSize7">OutCh3!$AO$306</definedName>
    <definedName name="tlOutputCh3Analytic2Chart3BubbleSize8">OutCh3!$AO$307</definedName>
    <definedName name="tlOutputCh3Analytic2Chart3BubbleSize9">OutCh3!$AO$308</definedName>
    <definedName name="tlOutputCh3Analytic2Chart3Heading">OutCh3!$AO$249</definedName>
    <definedName name="tlOutputCh3Analytic2Chart3Label1">OutCh3!$AO$256</definedName>
    <definedName name="tlOutputCh3Analytic2Chart3Label10">OutCh3!$AO$265</definedName>
    <definedName name="tlOutputCh3Analytic2Chart3Label11">OutCh3!$AO$266</definedName>
    <definedName name="tlOutputCh3Analytic2Chart3Label12">OutCh3!$AO$267</definedName>
    <definedName name="tlOutputCh3Analytic2Chart3Label2">OutCh3!$AO$257</definedName>
    <definedName name="tlOutputCh3Analytic2Chart3Label3">OutCh3!$AO$258</definedName>
    <definedName name="tlOutputCh3Analytic2Chart3Label4">OutCh3!$AO$259</definedName>
    <definedName name="tlOutputCh3Analytic2Chart3Label5">OutCh3!$AO$260</definedName>
    <definedName name="tlOutputCh3Analytic2Chart3Label6">OutCh3!$AO$261</definedName>
    <definedName name="tlOutputCh3Analytic2Chart3Label7">OutCh3!$AO$262</definedName>
    <definedName name="tlOutputCh3Analytic2Chart3Label8">OutCh3!$AO$263</definedName>
    <definedName name="tlOutputCh3Analytic2Chart3Label9">OutCh3!$AO$264</definedName>
    <definedName name="tlOutputCh3Analytic2Chart3Type1">OutCh3!$AO$251</definedName>
    <definedName name="tlOutputCh3Analytic2Chart3Type2">OutCh3!$AO$252</definedName>
    <definedName name="tlOutputCh3Analytic2Chart3Type3">OutCh3!$AO$253</definedName>
    <definedName name="tlOutputCh3Analytic2Chart3Type4">OutCh3!$AO$254</definedName>
    <definedName name="tlOutputCh3Analytic2Chart3XaxisTitle">OutCh3!$AO$270</definedName>
    <definedName name="tlOutputCh3Analytic2Chart3XValue1">OutCh3!$AO$271</definedName>
    <definedName name="tlOutputCh3Analytic2Chart3XValue10">OutCh3!$AO$280</definedName>
    <definedName name="tlOutputCh3Analytic2Chart3XValue11">OutCh3!$AO$281</definedName>
    <definedName name="tlOutputCh3Analytic2Chart3XValue12">OutCh3!$AO$282</definedName>
    <definedName name="tlOutputCh3Analytic2Chart3XValue2">OutCh3!$AO$272</definedName>
    <definedName name="tlOutputCh3Analytic2Chart3XValue3">OutCh3!$AO$273</definedName>
    <definedName name="tlOutputCh3Analytic2Chart3XValue4">OutCh3!$AO$274</definedName>
    <definedName name="tlOutputCh3Analytic2Chart3XValue5">OutCh3!$AO$275</definedName>
    <definedName name="tlOutputCh3Analytic2Chart3XValue6">OutCh3!$AO$276</definedName>
    <definedName name="tlOutputCh3Analytic2Chart3XValue7">OutCh3!$AO$277</definedName>
    <definedName name="tlOutputCh3Analytic2Chart3XValue8">OutCh3!$AO$278</definedName>
    <definedName name="tlOutputCh3Analytic2Chart3XValue9">OutCh3!$AO$279</definedName>
    <definedName name="tlOutputCh3Analytic2Chart3YaxisTitle">OutCh3!$AO$285</definedName>
    <definedName name="tlOutputCh3Analytic2Chart3YValue1">OutCh3!$AO$286</definedName>
    <definedName name="tlOutputCh3Analytic2Chart3YValue10">OutCh3!$AO$295</definedName>
    <definedName name="tlOutputCh3Analytic2Chart3YValue11">OutCh3!$AO$296</definedName>
    <definedName name="tlOutputCh3Analytic2Chart3YValue12">OutCh3!$AO$297</definedName>
    <definedName name="tlOutputCh3Analytic2Chart3YValue2">OutCh3!$AO$287</definedName>
    <definedName name="tlOutputCh3Analytic2Chart3YValue3">OutCh3!$AO$288</definedName>
    <definedName name="tlOutputCh3Analytic2Chart3YValue4">OutCh3!$AO$289</definedName>
    <definedName name="tlOutputCh3Analytic2Chart3YValue5">OutCh3!$AO$290</definedName>
    <definedName name="tlOutputCh3Analytic2Chart3YValue6">OutCh3!$AO$291</definedName>
    <definedName name="tlOutputCh3Analytic2Chart3YValue7">OutCh3!$AO$292</definedName>
    <definedName name="tlOutputCh3Analytic2Chart3YValue8">OutCh3!$AO$293</definedName>
    <definedName name="tlOutputCh3Analytic2Chart3YValue9">OutCh3!$AO$294</definedName>
    <definedName name="tlOutputCh3Analytic2Chart4BubbleSize1">OutCh3!$AK$300</definedName>
    <definedName name="tlOutputCh3Analytic2Chart4BubbleSize10">OutCh3!$AK$309</definedName>
    <definedName name="tlOutputCh3Analytic2Chart4BubbleSize11">OutCh3!$AK$310</definedName>
    <definedName name="tlOutputCh3Analytic2Chart4BubbleSize12">OutCh3!$AK$311</definedName>
    <definedName name="tlOutputCh3Analytic2Chart4BubbleSize2">OutCh3!$AK$301</definedName>
    <definedName name="tlOutputCh3Analytic2Chart4BubbleSize3">OutCh3!$AK$302</definedName>
    <definedName name="tlOutputCh3Analytic2Chart4BubbleSize4">OutCh3!$AK$303</definedName>
    <definedName name="tlOutputCh3Analytic2Chart4BubbleSize5">OutCh3!$AK$304</definedName>
    <definedName name="tlOutputCh3Analytic2Chart4BubbleSize6">OutCh3!$AK$305</definedName>
    <definedName name="tlOutputCh3Analytic2Chart4BubbleSize7">OutCh3!$AK$306</definedName>
    <definedName name="tlOutputCh3Analytic2Chart4BubbleSize8">OutCh3!$AK$307</definedName>
    <definedName name="tlOutputCh3Analytic2Chart4BubbleSize9">OutCh3!$AK$308</definedName>
    <definedName name="tlOutputCh3Analytic2Chart4Heading">OutCh3!$AK$249</definedName>
    <definedName name="tlOutputCh3Analytic2Chart4Label1">OutCh3!$AK$256</definedName>
    <definedName name="tlOutputCh3Analytic2Chart4Label10">OutCh3!$AK$265</definedName>
    <definedName name="tlOutputCh3Analytic2Chart4Label11">OutCh3!$AK$266</definedName>
    <definedName name="tlOutputCh3Analytic2Chart4Label12">OutCh3!$AK$267</definedName>
    <definedName name="tlOutputCh3Analytic2Chart4Label2">OutCh3!$AK$257</definedName>
    <definedName name="tlOutputCh3Analytic2Chart4Label3">OutCh3!$AK$258</definedName>
    <definedName name="tlOutputCh3Analytic2Chart4Label4">OutCh3!$AK$259</definedName>
    <definedName name="tlOutputCh3Analytic2Chart4Label5">OutCh3!$AK$260</definedName>
    <definedName name="tlOutputCh3Analytic2Chart4Label6">OutCh3!$AK$261</definedName>
    <definedName name="tlOutputCh3Analytic2Chart4Label7">OutCh3!$AK$262</definedName>
    <definedName name="tlOutputCh3Analytic2Chart4Label8">OutCh3!$AK$263</definedName>
    <definedName name="tlOutputCh3Analytic2Chart4Label9">OutCh3!$AK$264</definedName>
    <definedName name="tlOutputCh3Analytic2Chart4Type1">OutCh3!$AK$251</definedName>
    <definedName name="tlOutputCh3Analytic2Chart4Type2">OutCh3!$AK$252</definedName>
    <definedName name="tlOutputCh3Analytic2Chart4Type3">OutCh3!$AK$253</definedName>
    <definedName name="tlOutputCh3Analytic2Chart4Type4">OutCh3!$AK$254</definedName>
    <definedName name="tlOutputCh3Analytic2Chart4XaxisTitle">OutCh3!$AK$270</definedName>
    <definedName name="tlOutputCh3Analytic2Chart4XValue1">OutCh3!$AK$271</definedName>
    <definedName name="tlOutputCh3Analytic2Chart4XValue10">OutCh3!$AK$280</definedName>
    <definedName name="tlOutputCh3Analytic2Chart4XValue11">OutCh3!$AK$281</definedName>
    <definedName name="tlOutputCh3Analytic2Chart4XValue12">OutCh3!$AK$282</definedName>
    <definedName name="tlOutputCh3Analytic2Chart4XValue2">OutCh3!$AK$272</definedName>
    <definedName name="tlOutputCh3Analytic2Chart4XValue3">OutCh3!$AK$273</definedName>
    <definedName name="tlOutputCh3Analytic2Chart4XValue4">OutCh3!$AK$274</definedName>
    <definedName name="tlOutputCh3Analytic2Chart4XValue5">OutCh3!$AK$275</definedName>
    <definedName name="tlOutputCh3Analytic2Chart4XValue6">OutCh3!$AK$276</definedName>
    <definedName name="tlOutputCh3Analytic2Chart4XValue7">OutCh3!$AK$277</definedName>
    <definedName name="tlOutputCh3Analytic2Chart4XValue8">OutCh3!$AK$278</definedName>
    <definedName name="tlOutputCh3Analytic2Chart4XValue9">OutCh3!$AK$279</definedName>
    <definedName name="tlOutputCh3Analytic2Chart4YaxisTitle">OutCh3!$AK$285</definedName>
    <definedName name="tlOutputCh3Analytic2Chart4YValue1">OutCh3!$AK$286</definedName>
    <definedName name="tlOutputCh3Analytic2Chart4YValue10">OutCh3!$AK$295</definedName>
    <definedName name="tlOutputCh3Analytic2Chart4YValue11">OutCh3!$AK$296</definedName>
    <definedName name="tlOutputCh3Analytic2Chart4YValue12">OutCh3!$AK$297</definedName>
    <definedName name="tlOutputCh3Analytic2Chart4YValue2">OutCh3!$AK$287</definedName>
    <definedName name="tlOutputCh3Analytic2Chart4YValue3">OutCh3!$AK$288</definedName>
    <definedName name="tlOutputCh3Analytic2Chart4YValue4">OutCh3!$AK$289</definedName>
    <definedName name="tlOutputCh3Analytic2Chart4YValue5">OutCh3!$AK$290</definedName>
    <definedName name="tlOutputCh3Analytic2Chart4YValue6">OutCh3!$AK$291</definedName>
    <definedName name="tlOutputCh3Analytic2Chart4YValue7">OutCh3!$AK$292</definedName>
    <definedName name="tlOutputCh3Analytic2Chart4YValue8">OutCh3!$AK$293</definedName>
    <definedName name="tlOutputCh3Analytic2Chart4YValue9">OutCh3!$AK$294</definedName>
    <definedName name="tlOutputCh3Analytic2Chart5BubbleSize1">OutCh3!$AS$300</definedName>
    <definedName name="tlOutputCh3Analytic2Chart5BubbleSize10">OutCh3!$AS$309</definedName>
    <definedName name="tlOutputCh3Analytic2Chart5BubbleSize11">OutCh3!$AS$310</definedName>
    <definedName name="tlOutputCh3Analytic2Chart5BubbleSize12">OutCh3!$AS$311</definedName>
    <definedName name="tlOutputCh3Analytic2Chart5BubbleSize2">OutCh3!$AS$301</definedName>
    <definedName name="tlOutputCh3Analytic2Chart5BubbleSize3">OutCh3!$AS$302</definedName>
    <definedName name="tlOutputCh3Analytic2Chart5BubbleSize4">OutCh3!$AS$303</definedName>
    <definedName name="tlOutputCh3Analytic2Chart5BubbleSize5">OutCh3!$AS$304</definedName>
    <definedName name="tlOutputCh3Analytic2Chart5BubbleSize6">OutCh3!$AS$305</definedName>
    <definedName name="tlOutputCh3Analytic2Chart5BubbleSize7">OutCh3!$AS$306</definedName>
    <definedName name="tlOutputCh3Analytic2Chart5BubbleSize8">OutCh3!$AS$307</definedName>
    <definedName name="tlOutputCh3Analytic2Chart5BubbleSize9">OutCh3!$AS$308</definedName>
    <definedName name="tlOutputCh3Analytic2Chart5Heading">OutCh3!$AS$249</definedName>
    <definedName name="tlOutputCh3Analytic2Chart5Label1">OutCh3!$AS$256</definedName>
    <definedName name="tlOutputCh3Analytic2Chart5Label10">OutCh3!$AS$265</definedName>
    <definedName name="tlOutputCh3Analytic2Chart5Label11">OutCh3!$AS$266</definedName>
    <definedName name="tlOutputCh3Analytic2Chart5Label12">OutCh3!$AS$267</definedName>
    <definedName name="tlOutputCh3Analytic2Chart5Label2">OutCh3!$AS$257</definedName>
    <definedName name="tlOutputCh3Analytic2Chart5Label3">OutCh3!$AS$258</definedName>
    <definedName name="tlOutputCh3Analytic2Chart5Label4">OutCh3!$AS$259</definedName>
    <definedName name="tlOutputCh3Analytic2Chart5Label5">OutCh3!$AS$260</definedName>
    <definedName name="tlOutputCh3Analytic2Chart5Label6">OutCh3!$AS$261</definedName>
    <definedName name="tlOutputCh3Analytic2Chart5Label7">OutCh3!$AS$262</definedName>
    <definedName name="tlOutputCh3Analytic2Chart5Label8">OutCh3!$AS$263</definedName>
    <definedName name="tlOutputCh3Analytic2Chart5Label9">OutCh3!$AS$264</definedName>
    <definedName name="tlOutputCh3Analytic2Chart5Type1">OutCh3!$AS$251</definedName>
    <definedName name="tlOutputCh3Analytic2Chart5Type2">OutCh3!$AS$252</definedName>
    <definedName name="tlOutputCh3Analytic2Chart5Type3">OutCh3!$AS$253</definedName>
    <definedName name="tlOutputCh3Analytic2Chart5Type4">OutCh3!$AS$254</definedName>
    <definedName name="tlOutputCh3Analytic2Chart5XaxisTitle">OutCh3!$AS$270</definedName>
    <definedName name="tlOutputCh3Analytic2Chart5XValue1">OutCh3!$AS$271</definedName>
    <definedName name="tlOutputCh3Analytic2Chart5XValue10">OutCh3!$AS$280</definedName>
    <definedName name="tlOutputCh3Analytic2Chart5XValue11">OutCh3!$AS$281</definedName>
    <definedName name="tlOutputCh3Analytic2Chart5XValue12">OutCh3!$AS$282</definedName>
    <definedName name="tlOutputCh3Analytic2Chart5XValue2">OutCh3!$AS$272</definedName>
    <definedName name="tlOutputCh3Analytic2Chart5XValue3">OutCh3!$AS$273</definedName>
    <definedName name="tlOutputCh3Analytic2Chart5XValue4">OutCh3!$AS$274</definedName>
    <definedName name="tlOutputCh3Analytic2Chart5XValue5">OutCh3!$AS$275</definedName>
    <definedName name="tlOutputCh3Analytic2Chart5XValue6">OutCh3!$AS$276</definedName>
    <definedName name="tlOutputCh3Analytic2Chart5XValue7">OutCh3!$AS$277</definedName>
    <definedName name="tlOutputCh3Analytic2Chart5XValue8">OutCh3!$AS$278</definedName>
    <definedName name="tlOutputCh3Analytic2Chart5XValue9">OutCh3!$AS$279</definedName>
    <definedName name="tlOutputCh3Analytic2Chart5YaxisTitle">OutCh3!$AS$285</definedName>
    <definedName name="tlOutputCh3Analytic2Chart5YValue1">OutCh3!$AS$286</definedName>
    <definedName name="tlOutputCh3Analytic2Chart5YValue10">OutCh3!$AS$295</definedName>
    <definedName name="tlOutputCh3Analytic2Chart5YValue11">OutCh3!$AS$296</definedName>
    <definedName name="tlOutputCh3Analytic2Chart5YValue12">OutCh3!$AS$297</definedName>
    <definedName name="tlOutputCh3Analytic2Chart5YValue2">OutCh3!$AS$287</definedName>
    <definedName name="tlOutputCh3Analytic2Chart5YValue3">OutCh3!$AS$288</definedName>
    <definedName name="tlOutputCh3Analytic2Chart5YValue4">OutCh3!$AS$289</definedName>
    <definedName name="tlOutputCh3Analytic2Chart5YValue5">OutCh3!$AS$290</definedName>
    <definedName name="tlOutputCh3Analytic2Chart5YValue6">OutCh3!$AS$291</definedName>
    <definedName name="tlOutputCh3Analytic2Chart5YValue7">OutCh3!$AS$292</definedName>
    <definedName name="tlOutputCh3Analytic2Chart5YValue8">OutCh3!$AS$293</definedName>
    <definedName name="tlOutputCh3Analytic2Chart5YValue9">OutCh3!$AS$294</definedName>
    <definedName name="tlOutputCh3AnalyticsEmp1Req">OutCh3!$AG$54</definedName>
    <definedName name="tlOutputCh3AnalyticsExp">OutCh3!$AG$55</definedName>
    <definedName name="tlOutputCh3CustProfitTot">OutCh3!$AS$16</definedName>
    <definedName name="tlOutputCh3Emp1GaugeMax">OutCh3!$AG$7</definedName>
    <definedName name="tlOutputCh3Emp1GaugeMin">OutCh3!$AG$6</definedName>
    <definedName name="tlOutputCh3Emp1GaugeValue">OutCh3!$AG$5</definedName>
    <definedName name="tlOutputCh3GPaLTot">OutCh3!$AS$15</definedName>
    <definedName name="tlOutputCh3MarketDemandTot">OutCh3!$AS$12</definedName>
    <definedName name="tlOutputCh3MarkPlanEmp1Req">OutCh3!$AG$40</definedName>
    <definedName name="tlOutputCh3MarkPlanExp">OutCh3!$AG$41</definedName>
    <definedName name="tlOutputCh3NetSalesTot">OutCh3!$AS$14</definedName>
    <definedName name="tlOutputCh3NewSlotAvailGaugeMax">OutCh3!$AK$7</definedName>
    <definedName name="tlOutputCh3NewSlotAvailGaugeMin">OutCh3!$AK$6</definedName>
    <definedName name="tlOutputCh3NewSlotAvailGaugeValue">OutCh3!$AK$5</definedName>
    <definedName name="tlOutputCh3Prod1Close">OutCh3!$AK$45</definedName>
    <definedName name="tlOutputCh3Prod1CustProfit">OutCh3!$AK$16</definedName>
    <definedName name="tlOutputCh3Prod1CustProfitTot">OutComp!$M$124</definedName>
    <definedName name="tlOutputCh3Prod1GPaL">OutCh3!$AK$15</definedName>
    <definedName name="tlOutputCh3Prod1GPaLpBrandCogs">OutCh3!$AQ$101</definedName>
    <definedName name="tlOutputCh3Prod1GPaLpGPaL">OutCh3!$AQ$105</definedName>
    <definedName name="tlOutputCh3Prod1GPaLpGPaLmar">OutCh3!$AQ$107</definedName>
    <definedName name="tlOutputCh3Prod1GPaLpLog">OutCh3!$AQ$103</definedName>
    <definedName name="tlOutputCh3Prod1MktSize">OutCh3!$AK$12</definedName>
    <definedName name="tlOutputCh3Prod1NetSales">OutCh3!$AK$14</definedName>
    <definedName name="tlOutputCh3Prod1NewSlotEmp1">OutCh3!$AG$44</definedName>
    <definedName name="tlOutputCh3Prod1NewSlotExp">OutCh3!$AG$48</definedName>
    <definedName name="tlOutputCh3Prod1Open">OutCh3!$AK$44</definedName>
    <definedName name="tlOutputCh3Prod1PromoEmp1">OutCh3!$AG$84</definedName>
    <definedName name="tlOutputCh3Prod1PromoExp">OutCh3!$AG$88</definedName>
    <definedName name="tloutputCh3Prod1Slot1AvgPromoDis">OutCh3!$E$74</definedName>
    <definedName name="tloutputCh3Prod1Slot1AvgPromoPrice">OutCh3!$AO$67</definedName>
    <definedName name="tloutputCh3Prod1Slot1AvgSellPrice">OutCh3!$AS$67</definedName>
    <definedName name="tloutputCh3Prod1Slot1CM">OutCh3!$AK$67</definedName>
    <definedName name="tlOutputCh3Prod1Slot1CustProfitTot">OutComp!$M$121</definedName>
    <definedName name="tloutputCh3Prod1Slot1RSPHigh">OutCh3!$BA$67</definedName>
    <definedName name="tloutputCh3Prod1Slot1RSPLow">OutCh3!$AW$67</definedName>
    <definedName name="tlOutputCh3Prod1Slot1SP">OutCh3!$AG$67</definedName>
    <definedName name="tloutputCh3Prod1Slot2AvgPromoDis">OutCh3!$E$75</definedName>
    <definedName name="tloutputCh3Prod1Slot2AvgPromoPrice">OutCh3!$AO$68</definedName>
    <definedName name="tloutputCh3Prod1Slot2AvgSellPrice">OutCh3!$AS$68</definedName>
    <definedName name="tloutputCh3Prod1Slot2CM">OutCh3!$AK$68</definedName>
    <definedName name="tlOutputCh3Prod1Slot2CustProfitTot">OutComp!$M$122</definedName>
    <definedName name="tloutputCh3Prod1Slot2RSPHigh">OutCh3!$BA$68</definedName>
    <definedName name="tloutputCh3Prod1Slot2RSPLow">OutCh3!$AW$68</definedName>
    <definedName name="tlOutputCh3Prod1Slot2SP">OutCh3!$AG$68</definedName>
    <definedName name="tloutputCh3Prod1Slot3AvgPromoDis">OutCh3!$E$76</definedName>
    <definedName name="tloutputCh3Prod1Slot3AvgPromoPrice">OutCh3!$AO$69</definedName>
    <definedName name="tloutputCh3Prod1Slot3AvgSellPrice">OutCh3!$AS$69</definedName>
    <definedName name="tloutputCh3Prod1Slot3CM">OutCh3!$AK$69</definedName>
    <definedName name="tlOutputCh3Prod1Slot3CustProfitTot">OutComp!$M$123</definedName>
    <definedName name="tloutputCh3Prod1Slot3RSPHigh">OutCh3!$BA$69</definedName>
    <definedName name="tloutputCh3Prod1Slot3RSPLow">OutCh3!$AW$69</definedName>
    <definedName name="tlOutputCh3Prod1Slot3SP">OutCh3!$AG$69</definedName>
    <definedName name="tlOutputCh3Prod1VolForcast">OutCh3!$AK$13</definedName>
    <definedName name="tlOutputCh3Prod2Close">OutCh3!$AK$47</definedName>
    <definedName name="tlOutputCh3Prod2CustProfit">OutCh3!$AG$16</definedName>
    <definedName name="tlOutputCh3Prod2CustProfitTot">OutComp!$M$112</definedName>
    <definedName name="tlOutputCh3Prod2GPaL">OutCh3!$AG$15</definedName>
    <definedName name="tlOutputCh3Prod2GPaLpBrandCogs">OutCh3!$AO$101</definedName>
    <definedName name="tlOutputCh3Prod2GPaLpGPaL">OutCh3!$AO$105</definedName>
    <definedName name="tlOutputCh3Prod2GPaLpGPaLmar">OutCh3!$AO$107</definedName>
    <definedName name="tlOutputCh3Prod2GPaLpLog">OutCh3!$AO$103</definedName>
    <definedName name="tlOutputCh3Prod2n3MktSize">OutCh3!$AG$12</definedName>
    <definedName name="tlOutputCh3Prod2NetSales">OutCh3!$AG$14</definedName>
    <definedName name="tlOutputCh3Prod2NewSlotEmp1">OutCh3!$AG$45</definedName>
    <definedName name="tlOutputCh3Prod2NewSlotExp">OutCh3!$AG$49</definedName>
    <definedName name="tlOutputCh3Prod2Open">OutCh3!$AK$46</definedName>
    <definedName name="tlOutputCh3Prod2PromoEmp1">OutCh3!$AG$85</definedName>
    <definedName name="tlOutputCh3Prod2PromoExp">OutCh3!$AG$89</definedName>
    <definedName name="tloutputCh3Prod2Slot1AvgPromoDis">OutCh3!$E$77</definedName>
    <definedName name="tloutputCh3Prod2Slot1AvgPromoPrice">OutCh3!$AO$71</definedName>
    <definedName name="tloutputCh3Prod2Slot1AvgSellPrice">OutCh3!$AS$71</definedName>
    <definedName name="tloutputCh3Prod2Slot1CM">OutCh3!$AK$71</definedName>
    <definedName name="tlOutputCh3Prod2Slot1CustProfitTot">OutComp!$M$109</definedName>
    <definedName name="tloutputCh3Prod2Slot1RSPHigh">OutCh3!$BA$70</definedName>
    <definedName name="tloutputCh3Prod2Slot1RSPLow">OutCh3!$AW$70</definedName>
    <definedName name="tlOutputCh3Prod2Slot1SP">OutCh3!$AG$71</definedName>
    <definedName name="tloutputCh3Prod2Slot2AvgPromoDis">OutCh3!$E$78</definedName>
    <definedName name="tloutputCh3Prod2Slot2AvgPromoPrice">OutCh3!$AO$72</definedName>
    <definedName name="tloutputCh3Prod2Slot2AvgSellPrice">OutCh3!$AS$72</definedName>
    <definedName name="tloutputCh3Prod2Slot2CM">OutCh3!$AK$72</definedName>
    <definedName name="tlOutputCh3Prod2Slot2CustProfitTot">OutComp!$M$110</definedName>
    <definedName name="tloutputCh3Prod2Slot2RSPHigh">OutCh3!$BA$71</definedName>
    <definedName name="tloutputCh3Prod2Slot2RSPLow">OutCh3!$AW$71</definedName>
    <definedName name="tlOutputCh3Prod2Slot2SP">OutCh3!$AG$72</definedName>
    <definedName name="tloutputCh3Prod2Slot3AvgPromoDis">OutCh3!$E$79</definedName>
    <definedName name="tloutputCh3Prod2Slot3AvgPromoPrice">OutCh3!$AO$73</definedName>
    <definedName name="tloutputCh3Prod2Slot3AvgSellPrice">OutCh3!$AS$73</definedName>
    <definedName name="tloutputCh3Prod2Slot3CM">OutCh3!$AK$73</definedName>
    <definedName name="tlOutputCh3Prod2Slot3CustProfitTot">OutComp!$M$111</definedName>
    <definedName name="tloutputCh3Prod2Slot3RSPHigh">OutCh3!$BA$72</definedName>
    <definedName name="tloutputCh3Prod2Slot3RSPLow">OutCh3!$AW$72</definedName>
    <definedName name="tlOutputCh3Prod2Slot3SP">OutCh3!$AG$73</definedName>
    <definedName name="tlOutputCh3Prod2VolForcast">OutCh3!$AG$13</definedName>
    <definedName name="tlOutputCh3Prod3Close">OutCh3!$AK$49</definedName>
    <definedName name="tlOutputCh3Prod3CustProfit">OutCh3!$AG$21</definedName>
    <definedName name="tlOutputCh3Prod3CustProfitTot">OutComp!$M$118</definedName>
    <definedName name="tlOutputCh3Prod3GPaL">OutCh3!$AG$20</definedName>
    <definedName name="tlOutputCh3Prod3GPaLpBrandCogs">OutCh3!$AP$101</definedName>
    <definedName name="tlOutputCh3Prod3GPaLpGPaL">OutCh3!$AP$105</definedName>
    <definedName name="tlOutputCh3Prod3GPaLpGPaLmar">OutCh3!$AP$107</definedName>
    <definedName name="tlOutputCh3Prod3GPaLpLog">OutCh3!$AP$103</definedName>
    <definedName name="tlOutputCh3Prod3NetSales">OutCh3!$AG$19</definedName>
    <definedName name="tlOutputCh3Prod3NewSlotEmp1">OutCh3!$AG$46</definedName>
    <definedName name="tlOutputCh3Prod3NewSlotExp">OutCh3!$AG$50</definedName>
    <definedName name="tlOutputCh3Prod3Open">OutCh3!$AK$48</definedName>
    <definedName name="tlOutputCh3Prod3PromoEmp1">OutCh3!$AG$86</definedName>
    <definedName name="tlOutputCh3Prod3PromoExp">OutCh3!$AG$90</definedName>
    <definedName name="tloutputCh3Prod3Slot1AvgPromoDis">OutCh3!$E$80</definedName>
    <definedName name="tloutputCh3Prod3Slot1AvgPromoPrice">OutCh3!$AO$75</definedName>
    <definedName name="tloutputCh3Prod3Slot1AvgSellPrice">OutCh3!$AS$75</definedName>
    <definedName name="tloutputCh3Prod3Slot1CM">OutCh3!$AK$75</definedName>
    <definedName name="tlOutputCh3Prod3Slot1CustProfitTot">OutComp!$M$115</definedName>
    <definedName name="tloutputCh3Prod3Slot1RSPHigh">OutCh3!$BA$73</definedName>
    <definedName name="tloutputCh3Prod3Slot1RSPLow">OutCh3!$AW$73</definedName>
    <definedName name="tlOutputCh3Prod3Slot1SP">OutCh3!$AG$75</definedName>
    <definedName name="tloutputCh3Prod3Slot2AvgPromoDis">OutCh3!$E$81</definedName>
    <definedName name="tloutputCh3Prod3Slot2AvgPromoPrice">OutCh3!$AO$76</definedName>
    <definedName name="tloutputCh3Prod3Slot2AvgSellPrice">OutCh3!$AS$76</definedName>
    <definedName name="tloutputCh3Prod3Slot2CM">OutCh3!$AK$76</definedName>
    <definedName name="tlOutputCh3Prod3Slot2CustProfitTot">OutComp!$M$116</definedName>
    <definedName name="tloutputCh3Prod3Slot2RSPHigh">OutCh3!$BA$74</definedName>
    <definedName name="tloutputCh3Prod3Slot2RSPLow">OutCh3!$AW$74</definedName>
    <definedName name="tlOutputCh3Prod3Slot2SP">OutCh3!$AG$76</definedName>
    <definedName name="tloutputCh3Prod3Slot3AvgPromoDis">OutCh3!$E$82</definedName>
    <definedName name="tloutputCh3Prod3Slot3AvgPromoPrice">OutCh3!$AO$77</definedName>
    <definedName name="tloutputCh3Prod3Slot3AvgSellPrice">OutCh3!$AS$77</definedName>
    <definedName name="tloutputCh3Prod3Slot3CM">OutCh3!$AK$77</definedName>
    <definedName name="tlOutputCh3Prod3Slot3CustProfitTot">OutComp!$M$117</definedName>
    <definedName name="tloutputCh3Prod3Slot3RSPHigh">OutCh3!$BA$75</definedName>
    <definedName name="tloutputCh3Prod3Slot3RSPLow">OutCh3!$AW$75</definedName>
    <definedName name="tlOutputCh3Prod3Slot3SP">OutCh3!$AG$77</definedName>
    <definedName name="tlOutputCh3Prod3VolForcast">OutCh3!$AG$18</definedName>
    <definedName name="tlOutputCh3Prod4Close">OutCh3!$AK$51</definedName>
    <definedName name="tlOutputCh3Prod4CustProfit">OutCh3!$AO$16</definedName>
    <definedName name="tlOutputCh3Prod4CustProfitTot">OutComp!$M$130</definedName>
    <definedName name="tlOutputCh3Prod4GPaL">OutCh3!$AO$15</definedName>
    <definedName name="tlOutputCh3Prod4GPaLpBrandCogs">OutCh3!$AR$101</definedName>
    <definedName name="tlOutputCh3Prod4GPaLpGPaL">OutCh3!$AR$105</definedName>
    <definedName name="tlOutputCh3Prod4GPaLpGPaLmar">OutCh3!$AR$107</definedName>
    <definedName name="tlOutputCh3Prod4GPaLpLog">OutCh3!$AR$103</definedName>
    <definedName name="tlOutputCh3Prod4MktSize">OutCh3!$AO$12</definedName>
    <definedName name="tlOutputCh3Prod4NetSales">OutCh3!$AO$14</definedName>
    <definedName name="tlOutputCh3Prod4NewSlotEmp1">OutCh3!$AG$47</definedName>
    <definedName name="tlOutputCh3Prod4NewSlotExp">OutCh3!$AG$51</definedName>
    <definedName name="tlOutputCh3Prod4Open">OutCh3!$AK$50</definedName>
    <definedName name="tlOutputCh3Prod4PromoEmp1">OutCh3!$AG$87</definedName>
    <definedName name="tlOutputCh3Prod4PromoExp">OutCh3!$AG$91</definedName>
    <definedName name="tloutputCh3Prod4Slot1AvgPromoDis">OutCh3!$E$83</definedName>
    <definedName name="tloutputCh3Prod4Slot1AvgPromoPrice">OutCh3!$AO$79</definedName>
    <definedName name="tloutputCh3Prod4Slot1AvgSellPrice">OutCh3!$AS$79</definedName>
    <definedName name="tloutputCh3Prod4Slot1CM">OutCh3!$AK$79</definedName>
    <definedName name="tlOutputCh3Prod4Slot1CustProfitTot">OutComp!$M$127</definedName>
    <definedName name="tloutputCh3Prod4Slot1RSPHigh">OutCh3!$BA$76</definedName>
    <definedName name="tloutputCh3Prod4Slot1RSPLow">OutCh3!$AW$76</definedName>
    <definedName name="tlOutputCh3Prod4Slot1SP">OutCh3!$AG$79</definedName>
    <definedName name="tloutputCh3Prod4Slot2AvgPromoDis">OutCh3!$E$84</definedName>
    <definedName name="tloutputCh3Prod4Slot2AvgPromoPrice">OutCh3!$AO$80</definedName>
    <definedName name="tloutputCh3Prod4Slot2AvgSellPrice">OutCh3!$AS$80</definedName>
    <definedName name="tloutputCh3Prod4Slot2CM">OutCh3!$AK$80</definedName>
    <definedName name="tlOutputCh3Prod4Slot2CustProfitTot">OutComp!$M$128</definedName>
    <definedName name="tloutputCh3Prod4Slot2RSPHigh">OutCh3!$BA$77</definedName>
    <definedName name="tloutputCh3Prod4Slot2RSPLow">OutCh3!$AW$77</definedName>
    <definedName name="tlOutputCh3Prod4Slot2SP">OutCh3!$AG$80</definedName>
    <definedName name="tloutputCh3Prod4Slot3AvgPromoDis">OutCh3!$E$85</definedName>
    <definedName name="tloutputCh3Prod4Slot3AvgPromoPrice">OutCh3!$AO$81</definedName>
    <definedName name="tloutputCh3Prod4Slot3AvgSellPrice">OutCh3!$AS$81</definedName>
    <definedName name="tloutputCh3Prod4Slot3CM">OutCh3!$AK$81</definedName>
    <definedName name="tlOutputCh3Prod4Slot3CustProfitTot">OutComp!$M$129</definedName>
    <definedName name="tloutputCh3Prod4Slot3RSPHigh">OutCh3!$BA$78</definedName>
    <definedName name="tloutputCh3Prod4Slot3RSPLow">OutCh3!$AW$78</definedName>
    <definedName name="tlOutputCh3Prod4Slot3SP">OutCh3!$AG$81</definedName>
    <definedName name="tlOutputCh3Prod4VolForcast">OutCh3!$AO$13</definedName>
    <definedName name="tlOutputCh3PromoWeeksAvailGaugeMax">OutCh3!$AO$7</definedName>
    <definedName name="tlOutputCh3PromoWeeksAvailGaugeMin">OutCh3!$AO$6</definedName>
    <definedName name="tlOutputCh3PromoWeeksAvailGaugeValue">OutCh3!$AO$5</definedName>
    <definedName name="tlOutputCh3TTCondition">OutCh3!$AK$98</definedName>
    <definedName name="tlOutputCh3TTHeading">OutCh3!$AK$97</definedName>
    <definedName name="tlOutputCh3TTUnCondition">OutCh3!$AK$99</definedName>
    <definedName name="tlOutputCh3ValDriv1Emp1">OutCh3!$AG$24</definedName>
    <definedName name="tlOutputCh3ValDriv1Exp">OutCh3!$AG$25</definedName>
    <definedName name="tlOutputCh3ValDriv2Emp1">OutCh3!$AG$26</definedName>
    <definedName name="tlOutputCh3ValDriv2Exp">OutCh3!$AG$27</definedName>
    <definedName name="tlOutputCh3ValDriv3Emp1">OutCh3!$AG$28</definedName>
    <definedName name="tlOutputCh3ValDriv3Exp">OutCh3!$AG$29</definedName>
    <definedName name="tlOutputCh3ValDriv4Emp1">OutCh3!$AG$30</definedName>
    <definedName name="tlOutputCh3ValDriv4Exp">OutCh3!$AG$31</definedName>
    <definedName name="tlOutputCh3ValDriv5Emp1">OutCh3!$AG$32</definedName>
    <definedName name="tlOutputCh3ValDriv5Exp">OutCh3!$AG$33</definedName>
    <definedName name="tlOutputCh3ValDrivCondEmp1">OutCh3!$AG$36</definedName>
    <definedName name="tlOutputCh3ValDrivCondExp">OutCh3!$AG$37</definedName>
    <definedName name="tlOutputCh3ValDrivEmp1Tot">OutCh3!$AG$34</definedName>
    <definedName name="tlOutputCh3ValDrivExpTot">OutCh3!$AG$35</definedName>
    <definedName name="tlOutputCh3VolForecastTot">OutCh3!$AS$13</definedName>
    <definedName name="tlOutputCh3VtCp">OutCh3!$E$59</definedName>
    <definedName name="tlOutputCh3VtDeprExp">OutCh3!$E$13</definedName>
    <definedName name="tlOutputCh3VtDeprExpPct">OutCh3!$E$26</definedName>
    <definedName name="tlOutputCh3VtDeprExpPctPVol">OutCh3!$E$52</definedName>
    <definedName name="tlOutputCh3VtDeprExpPVol">OutCh3!$E$39</definedName>
    <definedName name="tlOutputCh3VtDiscounts">OutCh3!$E$8</definedName>
    <definedName name="tlOutputCh3VtDiscountsPct">OutCh3!$E$21</definedName>
    <definedName name="tlOutputCh3VtDiscountsPctPVol">OutCh3!$E$47</definedName>
    <definedName name="tlOutputCh3VtDiscountsPVol">OutCh3!$E$34</definedName>
    <definedName name="tlOutputCh3VtExcise">OutCh3!$E$6</definedName>
    <definedName name="tlOutputCh3VtExcisePct">OutCh3!$E$19</definedName>
    <definedName name="tlOutputCh3VtExcisePctPVol">OutCh3!$E$45</definedName>
    <definedName name="tlOutputCh3VtExcisePVol">OutCh3!$E$32</definedName>
    <definedName name="tlOutputCh3VtGP">OutCh3!$E$15</definedName>
    <definedName name="tlOutputCh3VtGPaL">OutCh3!$E$17</definedName>
    <definedName name="tlOutputCh3VtGPaLPct">OutCh3!$E$30</definedName>
    <definedName name="tlOutputCh3VtGPaLPctPVol">OutCh3!$E$56</definedName>
    <definedName name="tlOutputCh3VtGPaLPVol">OutCh3!$E$43</definedName>
    <definedName name="tlOutputCh3VtGPPct">OutCh3!$E$28</definedName>
    <definedName name="tlOutputCh3VtGPPctPVol">OutCh3!$E$54</definedName>
    <definedName name="tlOutputCh3VtGPPVol">OutCh3!$E$41</definedName>
    <definedName name="tlOutputCh3VtGrossSales">OutCh3!$E$7</definedName>
    <definedName name="tlOutputCh3VtGrossSalesPct">OutCh3!$E$20</definedName>
    <definedName name="tlOutputCh3VtGrossSalesPctPVol">OutCh3!$E$46</definedName>
    <definedName name="tlOutputCh3VtGrossSalesPVol">OutCh3!$E$33</definedName>
    <definedName name="tlOutputCh3VtLabourExp">OutCh3!$E$11</definedName>
    <definedName name="tlOutputCh3VtLabourExpPct">OutCh3!$E$24</definedName>
    <definedName name="tlOutputCh3VtLabourExpPctPVol">OutCh3!$E$50</definedName>
    <definedName name="tlOutputCh3VtLabourExpPVol">OutCh3!$E$37</definedName>
    <definedName name="tlOutputCh3VtLogExp">OutCh3!$E$16</definedName>
    <definedName name="tlOutputCh3VtLogExpPct">OutCh3!$E$29</definedName>
    <definedName name="tlOutputCh3VtLogExpPctPVol">OutCh3!$E$55</definedName>
    <definedName name="tlOutputCh3VtLogExpPVol">OutCh3!$E$42</definedName>
    <definedName name="tlOutputCh3VtMachExp">OutCh3!$E$12</definedName>
    <definedName name="tlOutputCh3VtMachExpPct">OutCh3!$E$25</definedName>
    <definedName name="tlOutputCh3VtMachExpPctPVol">OutCh3!$E$51</definedName>
    <definedName name="tlOutputCh3VtMachExpPVol">OutCh3!$E$38</definedName>
    <definedName name="tlOutputCh3VtMatExp">OutCh3!$E$10</definedName>
    <definedName name="tlOutputCh3VtMatExpPct">OutCh3!$E$23</definedName>
    <definedName name="tlOutputCh3VtMatExpPctPVol">OutCh3!$E$49</definedName>
    <definedName name="tlOutputCh3VtMatExpPVol">OutCh3!$E$36</definedName>
    <definedName name="tlOutputCh3Vtstaple1">OutCh3!$E$65</definedName>
    <definedName name="tlOutputCh3Vtstaple2">OutCh3!$E$66</definedName>
    <definedName name="tlOutputCh3Vtstaple3">OutCh3!$E$67</definedName>
    <definedName name="tlOutputCh3Vtstaple4">OutCh3!$E$68</definedName>
    <definedName name="tlOutputCh3VtTotalCOGs">OutCh3!$E$14</definedName>
    <definedName name="tlOutputCh3VtTotalCOGsPct">OutCh3!$E$27</definedName>
    <definedName name="tlOutputCh3VtTotalCOGsPctPVol">OutCh3!$E$53</definedName>
    <definedName name="tlOutputCh3VtTotalCOGsPVol">OutCh3!$E$40</definedName>
    <definedName name="tlOutputCh3VtTotalRev">OutCh3!$E$9</definedName>
    <definedName name="tlOutputCh3VtTotalRevPct">OutCh3!$E$22</definedName>
    <definedName name="tlOutputCh3VtTotalRevPctPVol">OutCh3!$E$48</definedName>
    <definedName name="tlOutputCh3VtTotalRevPVol">OutCh3!$E$35</definedName>
    <definedName name="tlOutputCh3VtTurn">OutCh3!$E$5</definedName>
    <definedName name="tlOutputCh3VtTurnPct">OutCh3!$E$18</definedName>
    <definedName name="tlOutputCh3VtTurnPctPVol">OutCh3!$E$44</definedName>
    <definedName name="tlOutputCh3VtTurnPVol">OutCh3!$E$31</definedName>
    <definedName name="tlOutputCh3VtUnitsSold">OutCh3!$E$58</definedName>
    <definedName name="tlOutputCh3VtVolSold">OutCh3!$E$57</definedName>
    <definedName name="tlOutputCh3VtWd">OutCh3!$E$60</definedName>
    <definedName name="tlOutputCh3WaterfallDelta1">OutCh3!$AK$115</definedName>
    <definedName name="tlOutputCh3WaterfallDelta2">OutCh3!$AK$116</definedName>
    <definedName name="tlOutputCh3WaterfallDelta3">OutCh3!$AK$117</definedName>
    <definedName name="tlOutputCh3WaterfallDelta4">OutCh3!$AK$118</definedName>
    <definedName name="tlOutputCh3WaterfallEnd">OutCh3!$AK$119</definedName>
    <definedName name="tlOutputCh3WaterfallInvisible1">OutCh3!$AG$106</definedName>
    <definedName name="tlOutputCh3WaterfallInvisible2">OutCh3!$AG$107</definedName>
    <definedName name="tlOutputCh3WaterfallInvisible3">OutCh3!$AG$108</definedName>
    <definedName name="tlOutputCh3WaterfallInvisible4">OutCh3!$AG$109</definedName>
    <definedName name="tlOutputCh3WaterfallInvisible5">OutCh3!$AG$110</definedName>
    <definedName name="tlOutputCh3WaterfallInvisible6">OutCh3!$AG$111</definedName>
    <definedName name="tlOutputCh3WaterfallStart">OutCh3!$AK$114</definedName>
    <definedName name="tlOutputCh3WaterfallVisible1">OutCh3!$AG$114</definedName>
    <definedName name="tlOutputCh3WaterfallVisible2">OutCh3!$AG$115</definedName>
    <definedName name="tlOutputCh3WaterfallVisible3">OutCh3!$AG$116</definedName>
    <definedName name="tlOutputCh3WaterfallVisible4">OutCh3!$AG$117</definedName>
    <definedName name="tlOutputCh3WaterfallVisible5">OutCh3!$AG$118</definedName>
    <definedName name="tlOutputCh3WaterfallVisible6">OutCh3!$AG$119</definedName>
    <definedName name="tlOutputCh3WaterfallxLabel1">OutCh3!$AG$98</definedName>
    <definedName name="tlOutputCh3WaterfallxLabel2">OutCh3!$AG$99</definedName>
    <definedName name="tlOutputCh3WaterfallxLabel3">OutCh3!$AG$100</definedName>
    <definedName name="tlOutputCh3WaterfallxLabel4">OutCh3!$AG$101</definedName>
    <definedName name="tlOutputCh3WaterfallxLabel5">OutCh3!$AG$102</definedName>
    <definedName name="tlOutputCh3WaterfallxLabel6">OutCh3!$AG$103</definedName>
    <definedName name="tlOutputCh4">OutComp!$E$185</definedName>
    <definedName name="tlOutputCh4Analytic1Chart1BubbleSize1">OutCh4!$AG$198</definedName>
    <definedName name="tlOutputCh4Analytic1Chart1BubbleSize10">OutCh4!$AG$207</definedName>
    <definedName name="tlOutputCh4Analytic1Chart1BubbleSize11">OutCh4!$AG$208</definedName>
    <definedName name="tlOutputCh4Analytic1Chart1BubbleSize12">OutCh4!$AG$209</definedName>
    <definedName name="tlOutputCh4Analytic1Chart1BubbleSize2">OutCh4!$AG$199</definedName>
    <definedName name="tlOutputCh4Analytic1Chart1BubbleSize3">OutCh4!$AG$200</definedName>
    <definedName name="tlOutputCh4Analytic1Chart1BubbleSize4">OutCh4!$AG$201</definedName>
    <definedName name="tlOutputCh4Analytic1Chart1BubbleSize5">OutCh4!$AG$202</definedName>
    <definedName name="tlOutputCh4Analytic1Chart1BubbleSize6">OutCh4!$AG$203</definedName>
    <definedName name="tlOutputCh4Analytic1Chart1BubbleSize7">OutCh4!$AG$204</definedName>
    <definedName name="tlOutputCh4Analytic1Chart1BubbleSize8">OutCh4!$AG$205</definedName>
    <definedName name="tlOutputCh4Analytic1Chart1BubbleSize9">OutCh4!$AG$206</definedName>
    <definedName name="tlOutputCh4Analytic1Chart1Heading">OutCh4!$AG$147</definedName>
    <definedName name="tlOutputCh4Analytic1Chart1Label1">OutCh4!$AG$154</definedName>
    <definedName name="tlOutputCh4Analytic1Chart1Label10">OutCh4!$AG$163</definedName>
    <definedName name="tlOutputCh4Analytic1Chart1Label11">OutCh4!$AG$164</definedName>
    <definedName name="tlOutputCh4Analytic1Chart1Label12">OutCh4!$AG$165</definedName>
    <definedName name="tlOutputCh4Analytic1Chart1Label2">OutCh4!$AG$155</definedName>
    <definedName name="tlOutputCh4Analytic1Chart1Label3">OutCh4!$AG$156</definedName>
    <definedName name="tlOutputCh4Analytic1Chart1Label4">OutCh4!$AG$157</definedName>
    <definedName name="tlOutputCh4Analytic1Chart1Label5">OutCh4!$AG$158</definedName>
    <definedName name="tlOutputCh4Analytic1Chart1Label6">OutCh4!$AG$159</definedName>
    <definedName name="tlOutputCh4Analytic1Chart1Label7">OutCh4!$AG$160</definedName>
    <definedName name="tlOutputCh4Analytic1Chart1Label8">OutCh4!$AG$161</definedName>
    <definedName name="tlOutputCh4Analytic1Chart1Label9">OutCh4!$AG$162</definedName>
    <definedName name="tlOutputCh4Analytic1Chart1Type1">OutCh4!$AG$149</definedName>
    <definedName name="tlOutputCh4Analytic1Chart1Type2">OutCh4!$AG$150</definedName>
    <definedName name="tlOutputCh4Analytic1Chart1Type3">OutCh4!$AG$151</definedName>
    <definedName name="tlOutputCh4Analytic1Chart1Type4">OutCh4!$AG$152</definedName>
    <definedName name="tlOutputCh4Analytic1Chart1XaxisTitle">OutCh4!$AG$168</definedName>
    <definedName name="tlOutputCh4Analytic1Chart1XValue1">OutCh4!$AG$169</definedName>
    <definedName name="tlOutputCh4Analytic1Chart1XValue10">OutCh4!$AG$178</definedName>
    <definedName name="tlOutputCh4Analytic1Chart1XValue11">OutCh4!$AG$179</definedName>
    <definedName name="tlOutputCh4Analytic1Chart1XValue12">OutCh4!$AG$180</definedName>
    <definedName name="tlOutputCh4Analytic1Chart1XValue2">OutCh4!$AG$170</definedName>
    <definedName name="tlOutputCh4Analytic1Chart1XValue3">OutCh4!$AG$171</definedName>
    <definedName name="tlOutputCh4Analytic1Chart1XValue4">OutCh4!$AG$172</definedName>
    <definedName name="tlOutputCh4Analytic1Chart1XValue5">OutCh4!$AG$173</definedName>
    <definedName name="tlOutputCh4Analytic1Chart1XValue6">OutCh4!$AG$174</definedName>
    <definedName name="tlOutputCh4Analytic1Chart1XValue7">OutCh4!$AG$175</definedName>
    <definedName name="tlOutputCh4Analytic1Chart1XValue8">OutCh4!$AG$176</definedName>
    <definedName name="tlOutputCh4Analytic1Chart1XValue9">OutCh4!$AG$177</definedName>
    <definedName name="tlOutputCh4Analytic1Chart1YaxisTitle">OutCh4!$AG$183</definedName>
    <definedName name="tlOutputCh4Analytic1Chart1YValue1">OutCh4!$AG$184</definedName>
    <definedName name="tlOutputCh4Analytic1Chart1YValue10">OutCh4!$AG$193</definedName>
    <definedName name="tlOutputCh4Analytic1Chart1YValue11">OutCh4!$AG$194</definedName>
    <definedName name="tlOutputCh4Analytic1Chart1YValue12">OutCh4!$AG$195</definedName>
    <definedName name="tlOutputCh4Analytic1Chart1YValue2">OutCh4!$AG$185</definedName>
    <definedName name="tlOutputCh4Analytic1Chart1YValue3">OutCh4!$AG$186</definedName>
    <definedName name="tlOutputCh4Analytic1Chart1YValue4">OutCh4!$AG$187</definedName>
    <definedName name="tlOutputCh4Analytic1Chart1YValue5">OutCh4!$AG$188</definedName>
    <definedName name="tlOutputCh4Analytic1Chart1YValue6">OutCh4!$AG$189</definedName>
    <definedName name="tlOutputCh4Analytic1Chart1YValue7">OutCh4!$AG$190</definedName>
    <definedName name="tlOutputCh4Analytic1Chart1YValue8">OutCh4!$AG$191</definedName>
    <definedName name="tlOutputCh4Analytic1Chart1YValue9">OutCh4!$AG$192</definedName>
    <definedName name="tlOutputCh4Analytic1Chart2BubbleSize1">OutCh4!$AK$198</definedName>
    <definedName name="tlOutputCh4Analytic1Chart2BubbleSize10">OutCh4!$AK$207</definedName>
    <definedName name="tlOutputCh4Analytic1Chart2BubbleSize11">OutCh4!$AK$208</definedName>
    <definedName name="tlOutputCh4Analytic1Chart2BubbleSize12">OutCh4!$AK$209</definedName>
    <definedName name="tlOutputCh4Analytic1Chart2BubbleSize2">OutCh4!$AK$199</definedName>
    <definedName name="tlOutputCh4Analytic1Chart2BubbleSize3">OutCh4!$AK$200</definedName>
    <definedName name="tlOutputCh4Analytic1Chart2BubbleSize4">OutCh4!$AK$201</definedName>
    <definedName name="tlOutputCh4Analytic1Chart2BubbleSize5">OutCh4!$AK$202</definedName>
    <definedName name="tlOutputCh4Analytic1Chart2BubbleSize6">OutCh4!$AK$203</definedName>
    <definedName name="tlOutputCh4Analytic1Chart2BubbleSize7">OutCh4!$AK$204</definedName>
    <definedName name="tlOutputCh4Analytic1Chart2BubbleSize8">OutCh4!$AK$205</definedName>
    <definedName name="tlOutputCh4Analytic1Chart2BubbleSize9">OutCh4!$AK$206</definedName>
    <definedName name="tlOutputCh4Analytic1Chart2Heading">OutCh4!$AK$147</definedName>
    <definedName name="tlOutputCh4Analytic1Chart2Label1">OutCh4!$AK$154</definedName>
    <definedName name="tlOutputCh4Analytic1Chart2Label10">OutCh4!$AK$163</definedName>
    <definedName name="tlOutputCh4Analytic1Chart2Label11">OutCh4!$AK$164</definedName>
    <definedName name="tlOutputCh4Analytic1Chart2Label12">OutCh4!$AK$165</definedName>
    <definedName name="tlOutputCh4Analytic1Chart2Label2">OutCh4!$AK$155</definedName>
    <definedName name="tlOutputCh4Analytic1Chart2Label3">OutCh4!$AK$156</definedName>
    <definedName name="tlOutputCh4Analytic1Chart2Label4">OutCh4!$AK$157</definedName>
    <definedName name="tlOutputCh4Analytic1Chart2Label5">OutCh4!$AK$158</definedName>
    <definedName name="tlOutputCh4Analytic1Chart2Label6">OutCh4!$AK$159</definedName>
    <definedName name="tlOutputCh4Analytic1Chart2Label7">OutCh4!$AK$160</definedName>
    <definedName name="tlOutputCh4Analytic1Chart2Label8">OutCh4!$AK$161</definedName>
    <definedName name="tlOutputCh4Analytic1Chart2Label9">OutCh4!$AK$162</definedName>
    <definedName name="tlOutputCh4Analytic1Chart2Type1">OutCh4!$AK$149</definedName>
    <definedName name="tlOutputCh4Analytic1Chart2Type2">OutCh4!$AK$150</definedName>
    <definedName name="tlOutputCh4Analytic1Chart2Type3">OutCh4!$AK$151</definedName>
    <definedName name="tlOutputCh4Analytic1Chart2Type4">OutCh4!$AK$152</definedName>
    <definedName name="tlOutputCh4Analytic1Chart2XaxisTitle">OutCh4!$AK$168</definedName>
    <definedName name="tlOutputCh4Analytic1Chart2XValue1">OutCh4!$AK$169</definedName>
    <definedName name="tlOutputCh4Analytic1Chart2XValue10">OutCh4!$AK$178</definedName>
    <definedName name="tlOutputCh4Analytic1Chart2XValue11">OutCh4!$AK$179</definedName>
    <definedName name="tlOutputCh4Analytic1Chart2XValue12">OutCh4!$AK$180</definedName>
    <definedName name="tlOutputCh4Analytic1Chart2XValue2">OutCh4!$AK$170</definedName>
    <definedName name="tlOutputCh4Analytic1Chart2XValue3">OutCh4!$AK$171</definedName>
    <definedName name="tlOutputCh4Analytic1Chart2XValue4">OutCh4!$AK$172</definedName>
    <definedName name="tlOutputCh4Analytic1Chart2XValue5">OutCh4!$AK$173</definedName>
    <definedName name="tlOutputCh4Analytic1Chart2XValue6">OutCh4!$AK$174</definedName>
    <definedName name="tlOutputCh4Analytic1Chart2XValue7">OutCh4!$AK$175</definedName>
    <definedName name="tlOutputCh4Analytic1Chart2XValue8">OutCh4!$AK$176</definedName>
    <definedName name="tlOutputCh4Analytic1Chart2XValue9">OutCh4!$AK$177</definedName>
    <definedName name="tlOutputCh4Analytic1Chart2YaxisTitle">OutCh4!$AK$183</definedName>
    <definedName name="tlOutputCh4Analytic1Chart2YValue1">OutCh4!$AK$184</definedName>
    <definedName name="tlOutputCh4Analytic1Chart2YValue10">OutCh4!$AK$193</definedName>
    <definedName name="tlOutputCh4Analytic1Chart2YValue11">OutCh4!$AK$194</definedName>
    <definedName name="tlOutputCh4Analytic1Chart2YValue12">OutCh4!$AK$195</definedName>
    <definedName name="tlOutputCh4Analytic1Chart2YValue2">OutCh4!$AK$185</definedName>
    <definedName name="tlOutputCh4Analytic1Chart2YValue3">OutCh4!$AK$186</definedName>
    <definedName name="tlOutputCh4Analytic1Chart2YValue4">OutCh4!$AK$187</definedName>
    <definedName name="tlOutputCh4Analytic1Chart2YValue5">OutCh4!$AK$188</definedName>
    <definedName name="tlOutputCh4Analytic1Chart2YValue6">OutCh4!$AK$189</definedName>
    <definedName name="tlOutputCh4Analytic1Chart2YValue7">OutCh4!$AK$190</definedName>
    <definedName name="tlOutputCh4Analytic1Chart2YValue8">OutCh4!$AK$191</definedName>
    <definedName name="tlOutputCh4Analytic1Chart2YValue9">OutCh4!$AK$192</definedName>
    <definedName name="tlOutputCh4Analytic1Table1Col1Row1">OutCh4!$AO$150</definedName>
    <definedName name="tlOutputCh4Analytic1Table1Col1Row2">OutCh4!$AO$151</definedName>
    <definedName name="tlOutputCh4Analytic1Table1Col1Row3">OutCh4!$AO$152</definedName>
    <definedName name="tlOutputCh4Analytic1Table1Col1Row4">OutCh4!$AO$153</definedName>
    <definedName name="tlOutputCh4Analytic1Table1Col1Row5">OutCh4!$AO$154</definedName>
    <definedName name="tlOutputCh4Analytic1Table1Col1Row6">OutCh4!$AO$155</definedName>
    <definedName name="tlOutputCh4Analytic1Table1Col1Row7">OutCh4!$AO$156</definedName>
    <definedName name="tlOutputCh4Analytic1Table1Col1Row8">OutCh4!$AO$157</definedName>
    <definedName name="tlOutputCh4Analytic1Table1Col2Row1">OutCh4!$AO$160</definedName>
    <definedName name="tlOutputCh4Analytic1Table1Col2Row2">OutCh4!$AO$161</definedName>
    <definedName name="tlOutputCh4Analytic1Table1Col2Row3">OutCh4!$AO$162</definedName>
    <definedName name="tlOutputCh4Analytic1Table1Col2Row4">OutCh4!$AO$163</definedName>
    <definedName name="tlOutputCh4Analytic1Table1Col2Row5">OutCh4!$AO$164</definedName>
    <definedName name="tlOutputCh4Analytic1Table1Col2Row6">OutCh4!$AO$165</definedName>
    <definedName name="tlOutputCh4Analytic1Table1Col2Row7">OutCh4!$AO$166</definedName>
    <definedName name="tlOutputCh4Analytic1Table1Col2Row8">OutCh4!$AO$167</definedName>
    <definedName name="tlOutputCh4Analytic1Table1Col3Row1">OutCh4!$AO$170</definedName>
    <definedName name="tlOutputCh4Analytic1Table1Col3Row2">OutCh4!$AO$171</definedName>
    <definedName name="tlOutputCh4Analytic1Table1Col3Row3">OutCh4!$AO$172</definedName>
    <definedName name="tlOutputCh4Analytic1Table1Col3Row4">OutCh4!$AO$173</definedName>
    <definedName name="tlOutputCh4Analytic1Table1Col3Row5">OutCh4!$AO$174</definedName>
    <definedName name="tlOutputCh4Analytic1Table1Col3Row6">OutCh4!$AO$175</definedName>
    <definedName name="tlOutputCh4Analytic1Table1Col3Row7">OutCh4!$AO$176</definedName>
    <definedName name="tlOutputCh4Analytic1Table1Col3Row8">OutCh4!$AO$177</definedName>
    <definedName name="tlOutputCh4Analytic1Table1Col4Row1">OutCh4!$AO$180</definedName>
    <definedName name="tlOutputCh4Analytic1Table1Col4Row2">OutCh4!$AO$181</definedName>
    <definedName name="tlOutputCh4Analytic1Table1Col4Row3">OutCh4!$AO$182</definedName>
    <definedName name="tlOutputCh4Analytic1Table1Col4Row4">OutCh4!$AO$183</definedName>
    <definedName name="tlOutputCh4Analytic1Table1Col4Row5">OutCh4!$AO$184</definedName>
    <definedName name="tlOutputCh4Analytic1Table1Col4Row6">OutCh4!$AO$185</definedName>
    <definedName name="tlOutputCh4Analytic1Table1Col4Row7">OutCh4!$AO$186</definedName>
    <definedName name="tlOutputCh4Analytic1Table1Col4Row8">OutCh4!$AO$187</definedName>
    <definedName name="tlOutputCh4Analytic1Table1Col5Row1">OutCh4!$AO$190</definedName>
    <definedName name="tlOutputCh4Analytic1Table1Col5Row2">OutCh4!$AO$191</definedName>
    <definedName name="tlOutputCh4Analytic1Table1Col5Row3">OutCh4!$AO$192</definedName>
    <definedName name="tlOutputCh4Analytic1Table1Col5Row4">OutCh4!$AO$193</definedName>
    <definedName name="tlOutputCh4Analytic1Table1Col5Row5">OutCh4!$AO$194</definedName>
    <definedName name="tlOutputCh4Analytic1Table1Col5Row6">OutCh4!$AO$195</definedName>
    <definedName name="tlOutputCh4Analytic1Table1Col5Row7">OutCh4!$AO$196</definedName>
    <definedName name="tlOutputCh4Analytic1Table1Col5Row8">OutCh4!$AO$197</definedName>
    <definedName name="tlOutputCh4Analytic1Table1Col6Row1">OutCh4!$AO$200</definedName>
    <definedName name="tlOutputCh4Analytic1Table1Col6Row2">OutCh4!$AO$201</definedName>
    <definedName name="tlOutputCh4Analytic1Table1Col6Row3">OutCh4!$AO$202</definedName>
    <definedName name="tlOutputCh4Analytic1Table1Col6Row4">OutCh4!$AO$203</definedName>
    <definedName name="tlOutputCh4Analytic1Table1Col6Row5">OutCh4!$AO$204</definedName>
    <definedName name="tlOutputCh4Analytic1Table1Col6Row6">OutCh4!$AO$205</definedName>
    <definedName name="tlOutputCh4Analytic1Table1Col6Row7">OutCh4!$AO$206</definedName>
    <definedName name="tlOutputCh4Analytic1Table1Col6Row8">OutCh4!$AO$207</definedName>
    <definedName name="tlOutputCh4Analytic1Table1Col7Row1">OutCh4!$AO$210</definedName>
    <definedName name="tlOutputCh4Analytic1Table1Col7Row2">OutCh4!$AO$211</definedName>
    <definedName name="tlOutputCh4Analytic1Table1Col7Row3">OutCh4!$AO$212</definedName>
    <definedName name="tlOutputCh4Analytic1Table1Col7Row4">OutCh4!$AO$213</definedName>
    <definedName name="tlOutputCh4Analytic1Table1Col7Row5">OutCh4!$AO$214</definedName>
    <definedName name="tlOutputCh4Analytic1Table1Col7Row6">OutCh4!$AO$215</definedName>
    <definedName name="tlOutputCh4Analytic1Table1Col7Row7">OutCh4!$AO$216</definedName>
    <definedName name="tlOutputCh4Analytic1Table1Col7Row8">OutCh4!$AO$217</definedName>
    <definedName name="tlOutputCh4Analytic1Table1Col8Row1">OutCh4!$AO$220</definedName>
    <definedName name="tlOutputCh4Analytic1Table1Col8Row2">OutCh4!$AO$221</definedName>
    <definedName name="tlOutputCh4Analytic1Table1Col8Row3">OutCh4!$AO$222</definedName>
    <definedName name="tlOutputCh4Analytic1Table1Col8Row4">OutCh4!$AO$223</definedName>
    <definedName name="tlOutputCh4Analytic1Table1Col8Row5">OutCh4!$AO$224</definedName>
    <definedName name="tlOutputCh4Analytic1Table1Col8Row6">OutCh4!$AO$225</definedName>
    <definedName name="tlOutputCh4Analytic1Table1Col8Row7">OutCh4!$AO$226</definedName>
    <definedName name="tlOutputCh4Analytic1Table1Col8Row8">OutCh4!$AO$227</definedName>
    <definedName name="tlOutputCh4Analytic2Chart1Heading">OutCh4!$AS$147</definedName>
    <definedName name="tlOutputCh4Analytic2Chart1Serie10Label1">OutCh4!$AS$185</definedName>
    <definedName name="tlOutputCh4Analytic2Chart1Serie10Point1">OutCh4!$AS$186</definedName>
    <definedName name="tlOutputCh4Analytic2Chart1Serie10Point2">OutCh4!$AS$187</definedName>
    <definedName name="tlOutputCh4Analytic2Chart1Serie10Point3">OutCh4!$AS$188</definedName>
    <definedName name="tlOutputCh4Analytic2Chart1Serie11Label1">OutCh4!$AS$189</definedName>
    <definedName name="tlOutputCh4Analytic2Chart1Serie11Point1">OutCh4!$AS$190</definedName>
    <definedName name="tlOutputCh4Analytic2Chart1Serie11Point2">OutCh4!$AS$191</definedName>
    <definedName name="tlOutputCh4Analytic2Chart1Serie11Point3">OutCh4!$AS$192</definedName>
    <definedName name="tlOutputCh4Analytic2Chart1Serie12Label1">OutCh4!$AS$193</definedName>
    <definedName name="tlOutputCh4Analytic2Chart1Serie12Point1">OutCh4!$AS$194</definedName>
    <definedName name="tlOutputCh4Analytic2Chart1Serie12Point2">OutCh4!$AS$195</definedName>
    <definedName name="tlOutputCh4Analytic2Chart1Serie12Point3">OutCh4!$AS$196</definedName>
    <definedName name="tlOutputCh4Analytic2Chart1Serie1Label1">OutCh4!$AS$149</definedName>
    <definedName name="tlOutputCh4Analytic2Chart1Serie1Point1">OutCh4!$AS$150</definedName>
    <definedName name="tlOutputCh4Analytic2Chart1Serie1Point2">OutCh4!$AS$151</definedName>
    <definedName name="tlOutputCh4Analytic2Chart1Serie1Point3">OutCh4!$AS$152</definedName>
    <definedName name="tlOutputCh4Analytic2Chart1Serie2Label1">OutCh4!$AS$153</definedName>
    <definedName name="tlOutputCh4Analytic2Chart1Serie2Point1">OutCh4!$AS$154</definedName>
    <definedName name="tlOutputCh4Analytic2Chart1Serie2Point2">OutCh4!$AS$155</definedName>
    <definedName name="tlOutputCh4Analytic2Chart1Serie2Point3">OutCh4!$AS$156</definedName>
    <definedName name="tlOutputCh4Analytic2Chart1Serie3Label1">OutCh4!$AS$157</definedName>
    <definedName name="tlOutputCh4Analytic2Chart1Serie3Point1">OutCh4!$AS$158</definedName>
    <definedName name="tlOutputCh4Analytic2Chart1Serie3Point2">OutCh4!$AS$159</definedName>
    <definedName name="tlOutputCh4Analytic2Chart1Serie3Point3">OutCh4!$AS$160</definedName>
    <definedName name="tlOutputCh4Analytic2Chart1Serie4Label1">OutCh4!$AS$161</definedName>
    <definedName name="tlOutputCh4Analytic2Chart1Serie4Point1">OutCh4!$AS$162</definedName>
    <definedName name="tlOutputCh4Analytic2Chart1Serie4Point2">OutCh4!$AS$163</definedName>
    <definedName name="tlOutputCh4Analytic2Chart1Serie4Point3">OutCh4!$AS$164</definedName>
    <definedName name="tlOutputCh4Analytic2Chart1Serie5Label1">OutCh4!$AS$165</definedName>
    <definedName name="tlOutputCh4Analytic2Chart1Serie5Point1">OutCh4!$AS$166</definedName>
    <definedName name="tlOutputCh4Analytic2Chart1Serie5Point2">OutCh4!$AS$167</definedName>
    <definedName name="tlOutputCh4Analytic2Chart1Serie5Point3">OutCh4!$AS$168</definedName>
    <definedName name="tlOutputCh4Analytic2Chart1Serie6Label1">OutCh4!$AS$169</definedName>
    <definedName name="tlOutputCh4Analytic2Chart1Serie6Point1">OutCh4!$AS$170</definedName>
    <definedName name="tlOutputCh4Analytic2Chart1Serie6Point2">OutCh4!$AS$171</definedName>
    <definedName name="tlOutputCh4Analytic2Chart1Serie6Point3">OutCh4!$AS$172</definedName>
    <definedName name="tlOutputCh4Analytic2Chart1Serie7Label1">OutCh4!$AS$173</definedName>
    <definedName name="tlOutputCh4Analytic2Chart1Serie7Point1">OutCh4!$AS$174</definedName>
    <definedName name="tlOutputCh4Analytic2Chart1Serie7Point2">OutCh4!$AS$175</definedName>
    <definedName name="tlOutputCh4Analytic2Chart1Serie7Point3">OutCh4!$AS$176</definedName>
    <definedName name="tlOutputCh4Analytic2Chart1Serie8Label1">OutCh4!$AS$177</definedName>
    <definedName name="tlOutputCh4Analytic2Chart1Serie8Point1">OutCh4!$AS$178</definedName>
    <definedName name="tlOutputCh4Analytic2Chart1Serie8Point2">OutCh4!$AS$179</definedName>
    <definedName name="tlOutputCh4Analytic2Chart1Serie8Point3">OutCh4!$AS$180</definedName>
    <definedName name="tlOutputCh4Analytic2Chart1Serie9Label1">OutCh4!$AS$181</definedName>
    <definedName name="tlOutputCh4Analytic2Chart1Serie9Point1">OutCh4!$AS$182</definedName>
    <definedName name="tlOutputCh4Analytic2Chart1Serie9Point2">OutCh4!$AS$183</definedName>
    <definedName name="tlOutputCh4Analytic2Chart1Serie9Point3">OutCh4!$AS$184</definedName>
    <definedName name="tlOutputCh4Analytic2Chart2Heading">OutCh4!$AG$249</definedName>
    <definedName name="tlOutputCh4Analytic2Chart2Label1">OutCh4!$AG$254</definedName>
    <definedName name="tlOutputCh4Analytic2Chart2Label10">OutCh4!$AG$263</definedName>
    <definedName name="tlOutputCh4Analytic2Chart2Label11">OutCh4!$AG$264</definedName>
    <definedName name="tlOutputCh4Analytic2Chart2Label12">OutCh4!$AG$265</definedName>
    <definedName name="tlOutputCh4Analytic2Chart2Label2">OutCh4!$AG$255</definedName>
    <definedName name="tlOutputCh4Analytic2Chart2Label3">OutCh4!$AG$256</definedName>
    <definedName name="tlOutputCh4Analytic2Chart2Label4">OutCh4!$AG$257</definedName>
    <definedName name="tlOutputCh4Analytic2Chart2Label5">OutCh4!$AG$258</definedName>
    <definedName name="tlOutputCh4Analytic2Chart2Label6">OutCh4!$AG$259</definedName>
    <definedName name="tlOutputCh4Analytic2Chart2Label7">OutCh4!$AG$260</definedName>
    <definedName name="tlOutputCh4Analytic2Chart2Label8">OutCh4!$AG$261</definedName>
    <definedName name="tlOutputCh4Analytic2Chart2Label9">OutCh4!$AG$262</definedName>
    <definedName name="tlOutputCh4Analytic2Chart2Serie1Item1">OutCh4!$AG$267</definedName>
    <definedName name="tlOutputCh4Analytic2Chart2Serie1Item10">OutCh4!$AG$276</definedName>
    <definedName name="tlOutputCh4Analytic2Chart2Serie1Item11">OutCh4!$AG$277</definedName>
    <definedName name="tlOutputCh4Analytic2Chart2Serie1Item12">OutCh4!$AG$278</definedName>
    <definedName name="tlOutputCh4Analytic2Chart2Serie1Item2">OutCh4!$AG$268</definedName>
    <definedName name="tlOutputCh4Analytic2Chart2Serie1Item3">OutCh4!$AG$269</definedName>
    <definedName name="tlOutputCh4Analytic2Chart2Serie1Item4">OutCh4!$AG$270</definedName>
    <definedName name="tlOutputCh4Analytic2Chart2Serie1Item5">OutCh4!$AG$271</definedName>
    <definedName name="tlOutputCh4Analytic2Chart2Serie1Item6">OutCh4!$AG$272</definedName>
    <definedName name="tlOutputCh4Analytic2Chart2Serie1Item7">OutCh4!$AG$273</definedName>
    <definedName name="tlOutputCh4Analytic2Chart2Serie1Item8">OutCh4!$AG$274</definedName>
    <definedName name="tlOutputCh4Analytic2Chart2Serie1Item9">OutCh4!$AG$275</definedName>
    <definedName name="tlOutputCh4Analytic2Chart2Serie1Title">OutCh4!$AG$251</definedName>
    <definedName name="tlOutputCh4Analytic2Chart2Serie2Item1">OutCh4!$AG$280</definedName>
    <definedName name="tlOutputCh4Analytic2Chart2Serie2Item10">OutCh4!$AG$289</definedName>
    <definedName name="tlOutputCh4Analytic2Chart2Serie2Item11">OutCh4!$AG$290</definedName>
    <definedName name="tlOutputCh4Analytic2Chart2Serie2Item12">OutCh4!$AG$291</definedName>
    <definedName name="tlOutputCh4Analytic2Chart2Serie2Item2">OutCh4!$AG$281</definedName>
    <definedName name="tlOutputCh4Analytic2Chart2Serie2Item3">OutCh4!$AG$282</definedName>
    <definedName name="tlOutputCh4Analytic2Chart2Serie2Item4">OutCh4!$AG$283</definedName>
    <definedName name="tlOutputCh4Analytic2Chart2Serie2Item5">OutCh4!$AG$284</definedName>
    <definedName name="tlOutputCh4Analytic2Chart2Serie2Item6">OutCh4!$AG$285</definedName>
    <definedName name="tlOutputCh4Analytic2Chart2Serie2Item7">OutCh4!$AG$286</definedName>
    <definedName name="tlOutputCh4Analytic2Chart2Serie2Item8">OutCh4!$AG$287</definedName>
    <definedName name="tlOutputCh4Analytic2Chart2Serie2Item9">OutCh4!$AG$288</definedName>
    <definedName name="tlOutputCh4Analytic2Chart2Serie2Title">OutCh4!$AG$252</definedName>
    <definedName name="tlOutputCh4Analytic2Chart3BubbleSize1">OutCh4!$AO$300</definedName>
    <definedName name="tlOutputCh4Analytic2Chart3BubbleSize10">OutCh4!$AO$309</definedName>
    <definedName name="tlOutputCh4Analytic2Chart3BubbleSize11">OutCh4!$AO$310</definedName>
    <definedName name="tlOutputCh4Analytic2Chart3BubbleSize12">OutCh4!$AO$311</definedName>
    <definedName name="tlOutputCh4Analytic2Chart3BubbleSize2">OutCh4!$AO$301</definedName>
    <definedName name="tlOutputCh4Analytic2Chart3BubbleSize3">OutCh4!$AO$302</definedName>
    <definedName name="tlOutputCh4Analytic2Chart3BubbleSize4">OutCh4!$AO$303</definedName>
    <definedName name="tlOutputCh4Analytic2Chart3BubbleSize5">OutCh4!$AO$304</definedName>
    <definedName name="tlOutputCh4Analytic2Chart3BubbleSize6">OutCh4!$AO$305</definedName>
    <definedName name="tlOutputCh4Analytic2Chart3BubbleSize7">OutCh4!$AO$306</definedName>
    <definedName name="tlOutputCh4Analytic2Chart3BubbleSize8">OutCh4!$AO$307</definedName>
    <definedName name="tlOutputCh4Analytic2Chart3BubbleSize9">OutCh4!$AO$308</definedName>
    <definedName name="tlOutputCh4Analytic2Chart3Heading">OutCh4!$AO$249</definedName>
    <definedName name="tlOutputCh4Analytic2Chart3Label1">OutCh4!$AO$256</definedName>
    <definedName name="tlOutputCh4Analytic2Chart3Label10">OutCh4!$AO$265</definedName>
    <definedName name="tlOutputCh4Analytic2Chart3Label11">OutCh4!$AO$266</definedName>
    <definedName name="tlOutputCh4Analytic2Chart3Label12">OutCh4!$AO$267</definedName>
    <definedName name="tlOutputCh4Analytic2Chart3Label2">OutCh4!$AO$257</definedName>
    <definedName name="tlOutputCh4Analytic2Chart3Label3">OutCh4!$AO$258</definedName>
    <definedName name="tlOutputCh4Analytic2Chart3Label4">OutCh4!$AO$259</definedName>
    <definedName name="tlOutputCh4Analytic2Chart3Label5">OutCh4!$AO$260</definedName>
    <definedName name="tlOutputCh4Analytic2Chart3Label6">OutCh4!$AO$261</definedName>
    <definedName name="tlOutputCh4Analytic2Chart3Label7">OutCh4!$AO$262</definedName>
    <definedName name="tlOutputCh4Analytic2Chart3Label8">OutCh4!$AO$263</definedName>
    <definedName name="tlOutputCh4Analytic2Chart3Label9">OutCh4!$AO$264</definedName>
    <definedName name="tlOutputCh4Analytic2Chart3Type1">OutCh4!$AO$251</definedName>
    <definedName name="tlOutputCh4Analytic2Chart3Type2">OutCh4!$AO$252</definedName>
    <definedName name="tlOutputCh4Analytic2Chart3Type3">OutCh4!$AO$253</definedName>
    <definedName name="tlOutputCh4Analytic2Chart3Type4">OutCh4!$AO$254</definedName>
    <definedName name="tlOutputCh4Analytic2Chart3XaxisTitle">OutCh4!$AO$270</definedName>
    <definedName name="tlOutputCh4Analytic2Chart3XValue1">OutCh4!$AO$271</definedName>
    <definedName name="tlOutputCh4Analytic2Chart3XValue10">OutCh4!$AO$280</definedName>
    <definedName name="tlOutputCh4Analytic2Chart3XValue11">OutCh4!$AO$281</definedName>
    <definedName name="tlOutputCh4Analytic2Chart3XValue12">OutCh4!$AO$282</definedName>
    <definedName name="tlOutputCh4Analytic2Chart3XValue2">OutCh4!$AO$272</definedName>
    <definedName name="tlOutputCh4Analytic2Chart3XValue3">OutCh4!$AO$273</definedName>
    <definedName name="tlOutputCh4Analytic2Chart3XValue4">OutCh4!$AO$274</definedName>
    <definedName name="tlOutputCh4Analytic2Chart3XValue5">OutCh4!$AO$275</definedName>
    <definedName name="tlOutputCh4Analytic2Chart3XValue6">OutCh4!$AO$276</definedName>
    <definedName name="tlOutputCh4Analytic2Chart3XValue7">OutCh4!$AO$277</definedName>
    <definedName name="tlOutputCh4Analytic2Chart3XValue8">OutCh4!$AO$278</definedName>
    <definedName name="tlOutputCh4Analytic2Chart3XValue9">OutCh4!$AO$279</definedName>
    <definedName name="tlOutputCh4Analytic2Chart3YaxisTitle">OutCh4!$AO$285</definedName>
    <definedName name="tlOutputCh4Analytic2Chart3YValue1">OutCh4!$AO$286</definedName>
    <definedName name="tlOutputCh4Analytic2Chart3YValue10">OutCh4!$AO$295</definedName>
    <definedName name="tlOutputCh4Analytic2Chart3YValue11">OutCh4!$AO$296</definedName>
    <definedName name="tlOutputCh4Analytic2Chart3YValue12">OutCh4!$AO$297</definedName>
    <definedName name="tlOutputCh4Analytic2Chart3YValue2">OutCh4!$AO$287</definedName>
    <definedName name="tlOutputCh4Analytic2Chart3YValue3">OutCh4!$AO$288</definedName>
    <definedName name="tlOutputCh4Analytic2Chart3YValue4">OutCh4!$AO$289</definedName>
    <definedName name="tlOutputCh4Analytic2Chart3YValue5">OutCh4!$AO$290</definedName>
    <definedName name="tlOutputCh4Analytic2Chart3YValue6">OutCh4!$AO$291</definedName>
    <definedName name="tlOutputCh4Analytic2Chart3YValue7">OutCh4!$AO$292</definedName>
    <definedName name="tlOutputCh4Analytic2Chart3YValue8">OutCh4!$AO$293</definedName>
    <definedName name="tlOutputCh4Analytic2Chart3YValue9">OutCh4!$AO$294</definedName>
    <definedName name="tlOutputCh4Analytic2Chart4BubbleSize1">OutCh4!$AK$300</definedName>
    <definedName name="tlOutputCh4Analytic2Chart4BubbleSize10">OutCh4!$AK$309</definedName>
    <definedName name="tlOutputCh4Analytic2Chart4BubbleSize11">OutCh4!$AK$310</definedName>
    <definedName name="tlOutputCh4Analytic2Chart4BubbleSize12">OutCh4!$AK$311</definedName>
    <definedName name="tlOutputCh4Analytic2Chart4BubbleSize2">OutCh4!$AK$301</definedName>
    <definedName name="tlOutputCh4Analytic2Chart4BubbleSize3">OutCh4!$AK$302</definedName>
    <definedName name="tlOutputCh4Analytic2Chart4BubbleSize4">OutCh4!$AK$303</definedName>
    <definedName name="tlOutputCh4Analytic2Chart4BubbleSize5">OutCh4!$AK$304</definedName>
    <definedName name="tlOutputCh4Analytic2Chart4BubbleSize6">OutCh4!$AK$305</definedName>
    <definedName name="tlOutputCh4Analytic2Chart4BubbleSize7">OutCh4!$AK$306</definedName>
    <definedName name="tlOutputCh4Analytic2Chart4BubbleSize8">OutCh4!$AK$307</definedName>
    <definedName name="tlOutputCh4Analytic2Chart4BubbleSize9">OutCh4!$AK$308</definedName>
    <definedName name="tlOutputCh4Analytic2Chart4Heading">OutCh4!$AK$249</definedName>
    <definedName name="tlOutputCh4Analytic2Chart4Label1">OutCh4!$AK$256</definedName>
    <definedName name="tlOutputCh4Analytic2Chart4Label10">OutCh4!$AK$265</definedName>
    <definedName name="tlOutputCh4Analytic2Chart4Label11">OutCh4!$AK$266</definedName>
    <definedName name="tlOutputCh4Analytic2Chart4Label12">OutCh4!$AK$267</definedName>
    <definedName name="tlOutputCh4Analytic2Chart4Label2">OutCh4!$AK$257</definedName>
    <definedName name="tlOutputCh4Analytic2Chart4Label3">OutCh4!$AK$258</definedName>
    <definedName name="tlOutputCh4Analytic2Chart4Label4">OutCh4!$AK$259</definedName>
    <definedName name="tlOutputCh4Analytic2Chart4Label5">OutCh4!$AK$260</definedName>
    <definedName name="tlOutputCh4Analytic2Chart4Label6">OutCh4!$AK$261</definedName>
    <definedName name="tlOutputCh4Analytic2Chart4Label7">OutCh4!$AK$262</definedName>
    <definedName name="tlOutputCh4Analytic2Chart4Label8">OutCh4!$AK$263</definedName>
    <definedName name="tlOutputCh4Analytic2Chart4Label9">OutCh4!$AK$264</definedName>
    <definedName name="tlOutputCh4Analytic2Chart4Type1">OutCh4!$AK$251</definedName>
    <definedName name="tlOutputCh4Analytic2Chart4Type2">OutCh4!$AK$252</definedName>
    <definedName name="tlOutputCh4Analytic2Chart4Type3">OutCh4!$AK$253</definedName>
    <definedName name="tlOutputCh4Analytic2Chart4Type4">OutCh4!$AK$254</definedName>
    <definedName name="tlOutputCh4Analytic2Chart4XaxisTitle">OutCh4!$AK$270</definedName>
    <definedName name="tlOutputCh4Analytic2Chart4XValue1">OutCh4!$AK$271</definedName>
    <definedName name="tlOutputCh4Analytic2Chart4XValue10">OutCh4!$AK$280</definedName>
    <definedName name="tlOutputCh4Analytic2Chart4XValue11">OutCh4!$AK$281</definedName>
    <definedName name="tlOutputCh4Analytic2Chart4XValue12">OutCh4!$AK$282</definedName>
    <definedName name="tlOutputCh4Analytic2Chart4XValue2">OutCh4!$AK$272</definedName>
    <definedName name="tlOutputCh4Analytic2Chart4XValue3">OutCh4!$AK$273</definedName>
    <definedName name="tlOutputCh4Analytic2Chart4XValue4">OutCh4!$AK$274</definedName>
    <definedName name="tlOutputCh4Analytic2Chart4XValue5">OutCh4!$AK$275</definedName>
    <definedName name="tlOutputCh4Analytic2Chart4XValue6">OutCh4!$AK$276</definedName>
    <definedName name="tlOutputCh4Analytic2Chart4XValue7">OutCh4!$AK$277</definedName>
    <definedName name="tlOutputCh4Analytic2Chart4XValue8">OutCh4!$AK$278</definedName>
    <definedName name="tlOutputCh4Analytic2Chart4XValue9">OutCh4!$AK$279</definedName>
    <definedName name="tlOutputCh4Analytic2Chart4YaxisTitle">OutCh4!$AK$285</definedName>
    <definedName name="tlOutputCh4Analytic2Chart4YValue1">OutCh4!$AK$286</definedName>
    <definedName name="tlOutputCh4Analytic2Chart4YValue10">OutCh4!$AK$295</definedName>
    <definedName name="tlOutputCh4Analytic2Chart4YValue11">OutCh4!$AK$296</definedName>
    <definedName name="tlOutputCh4Analytic2Chart4YValue12">OutCh4!$AK$297</definedName>
    <definedName name="tlOutputCh4Analytic2Chart4YValue2">OutCh4!$AK$287</definedName>
    <definedName name="tlOutputCh4Analytic2Chart4YValue3">OutCh4!$AK$288</definedName>
    <definedName name="tlOutputCh4Analytic2Chart4YValue4">OutCh4!$AK$289</definedName>
    <definedName name="tlOutputCh4Analytic2Chart4YValue5">OutCh4!$AK$290</definedName>
    <definedName name="tlOutputCh4Analytic2Chart4YValue6">OutCh4!$AK$291</definedName>
    <definedName name="tlOutputCh4Analytic2Chart4YValue7">OutCh4!$AK$292</definedName>
    <definedName name="tlOutputCh4Analytic2Chart4YValue8">OutCh4!$AK$293</definedName>
    <definedName name="tlOutputCh4Analytic2Chart4YValue9">OutCh4!$AK$294</definedName>
    <definedName name="tlOutputCh4Analytic2Chart5BubbleSize1">OutCh4!$AS$300</definedName>
    <definedName name="tlOutputCh4Analytic2Chart5BubbleSize10">OutCh4!$AS$309</definedName>
    <definedName name="tlOutputCh4Analytic2Chart5BubbleSize11">OutCh4!$AS$310</definedName>
    <definedName name="tlOutputCh4Analytic2Chart5BubbleSize12">OutCh4!$AS$311</definedName>
    <definedName name="tlOutputCh4Analytic2Chart5BubbleSize2">OutCh4!$AS$301</definedName>
    <definedName name="tlOutputCh4Analytic2Chart5BubbleSize3">OutCh4!$AS$302</definedName>
    <definedName name="tlOutputCh4Analytic2Chart5BubbleSize4">OutCh4!$AS$303</definedName>
    <definedName name="tlOutputCh4Analytic2Chart5BubbleSize5">OutCh4!$AS$304</definedName>
    <definedName name="tlOutputCh4Analytic2Chart5BubbleSize6">OutCh4!$AS$305</definedName>
    <definedName name="tlOutputCh4Analytic2Chart5BubbleSize7">OutCh4!$AS$306</definedName>
    <definedName name="tlOutputCh4Analytic2Chart5BubbleSize8">OutCh4!$AS$307</definedName>
    <definedName name="tlOutputCh4Analytic2Chart5BubbleSize9">OutCh4!$AS$308</definedName>
    <definedName name="tlOutputCh4Analytic2Chart5Heading">OutCh4!$AS$249</definedName>
    <definedName name="tlOutputCh4Analytic2Chart5Label1">OutCh4!$AS$256</definedName>
    <definedName name="tlOutputCh4Analytic2Chart5Label10">OutCh4!$AS$265</definedName>
    <definedName name="tlOutputCh4Analytic2Chart5Label11">OutCh4!$AS$266</definedName>
    <definedName name="tlOutputCh4Analytic2Chart5Label12">OutCh4!$AS$267</definedName>
    <definedName name="tlOutputCh4Analytic2Chart5Label2">OutCh4!$AS$257</definedName>
    <definedName name="tlOutputCh4Analytic2Chart5Label3">OutCh4!$AS$258</definedName>
    <definedName name="tlOutputCh4Analytic2Chart5Label4">OutCh4!$AS$259</definedName>
    <definedName name="tlOutputCh4Analytic2Chart5Label5">OutCh4!$AS$260</definedName>
    <definedName name="tlOutputCh4Analytic2Chart5Label6">OutCh4!$AS$261</definedName>
    <definedName name="tlOutputCh4Analytic2Chart5Label7">OutCh4!$AS$262</definedName>
    <definedName name="tlOutputCh4Analytic2Chart5Label8">OutCh4!$AS$263</definedName>
    <definedName name="tlOutputCh4Analytic2Chart5Label9">OutCh4!$AS$264</definedName>
    <definedName name="tlOutputCh4Analytic2Chart5Type1">OutCh4!$AS$251</definedName>
    <definedName name="tlOutputCh4Analytic2Chart5Type2">OutCh4!$AS$252</definedName>
    <definedName name="tlOutputCh4Analytic2Chart5Type3">OutCh4!$AS$253</definedName>
    <definedName name="tlOutputCh4Analytic2Chart5Type4">OutCh4!$AS$254</definedName>
    <definedName name="tlOutputCh4Analytic2Chart5XaxisTitle">OutCh4!$AS$270</definedName>
    <definedName name="tlOutputCh4Analytic2Chart5XValue1">OutCh4!$AS$271</definedName>
    <definedName name="tlOutputCh4Analytic2Chart5XValue10">OutCh4!$AS$280</definedName>
    <definedName name="tlOutputCh4Analytic2Chart5XValue11">OutCh4!$AS$281</definedName>
    <definedName name="tlOutputCh4Analytic2Chart5XValue12">OutCh4!$AS$282</definedName>
    <definedName name="tlOutputCh4Analytic2Chart5XValue2">OutCh4!$AS$272</definedName>
    <definedName name="tlOutputCh4Analytic2Chart5XValue3">OutCh4!$AS$273</definedName>
    <definedName name="tlOutputCh4Analytic2Chart5XValue4">OutCh4!$AS$274</definedName>
    <definedName name="tlOutputCh4Analytic2Chart5XValue5">OutCh4!$AS$275</definedName>
    <definedName name="tlOutputCh4Analytic2Chart5XValue6">OutCh4!$AS$276</definedName>
    <definedName name="tlOutputCh4Analytic2Chart5XValue7">OutCh4!$AS$277</definedName>
    <definedName name="tlOutputCh4Analytic2Chart5XValue8">OutCh4!$AS$278</definedName>
    <definedName name="tlOutputCh4Analytic2Chart5XValue9">OutCh4!$AS$279</definedName>
    <definedName name="tlOutputCh4Analytic2Chart5YaxisTitle">OutCh4!$AS$285</definedName>
    <definedName name="tlOutputCh4Analytic2Chart5YValue1">OutCh4!$AS$286</definedName>
    <definedName name="tlOutputCh4Analytic2Chart5YValue10">OutCh4!$AS$295</definedName>
    <definedName name="tlOutputCh4Analytic2Chart5YValue11">OutCh4!$AS$296</definedName>
    <definedName name="tlOutputCh4Analytic2Chart5YValue12">OutCh4!$AS$297</definedName>
    <definedName name="tlOutputCh4Analytic2Chart5YValue2">OutCh4!$AS$287</definedName>
    <definedName name="tlOutputCh4Analytic2Chart5YValue3">OutCh4!$AS$288</definedName>
    <definedName name="tlOutputCh4Analytic2Chart5YValue4">OutCh4!$AS$289</definedName>
    <definedName name="tlOutputCh4Analytic2Chart5YValue5">OutCh4!$AS$290</definedName>
    <definedName name="tlOutputCh4Analytic2Chart5YValue6">OutCh4!$AS$291</definedName>
    <definedName name="tlOutputCh4Analytic2Chart5YValue7">OutCh4!$AS$292</definedName>
    <definedName name="tlOutputCh4Analytic2Chart5YValue8">OutCh4!$AS$293</definedName>
    <definedName name="tlOutputCh4Analytic2Chart5YValue9">OutCh4!$AS$294</definedName>
    <definedName name="tlOutputCh4AnalyticsEmp1Req">OutCh4!$AG$54</definedName>
    <definedName name="tlOutputCh4AnalyticsExp">OutCh4!$AG$55</definedName>
    <definedName name="tlOutputCh4CustProfitTot">OutCh4!$AS$16</definedName>
    <definedName name="tlOutputCh4Emp1GaugeMax">OutCh4!$AG$7</definedName>
    <definedName name="tlOutputCh4Emp1GaugeMin">OutCh4!$AG$6</definedName>
    <definedName name="tlOutputCh4Emp1GaugeValue">OutCh4!$AG$5</definedName>
    <definedName name="tlOutputCh4GPaLTot">OutCh4!$AS$15</definedName>
    <definedName name="tlOutputCh4MarketDemandTot">OutCh4!$AS$12</definedName>
    <definedName name="tlOutputCh4MarkPlanEmp1Req">OutCh4!$AG$40</definedName>
    <definedName name="tlOutputCh4MarkPlanExp">OutCh4!$AG$41</definedName>
    <definedName name="tlOutputCh4NetSalesTot">OutCh4!$AS$14</definedName>
    <definedName name="tlOutputCh4NewSlotAvailGaugeMax">OutCh4!$AK$7</definedName>
    <definedName name="tlOutputCh4NewSlotAvailGaugeMin">OutCh4!$AK$6</definedName>
    <definedName name="tlOutputCh4NewSlotAvailGaugeValue">OutCh4!$AK$5</definedName>
    <definedName name="tlOutputCh4Prod1Close">OutCh4!$AK$45</definedName>
    <definedName name="tlOutputCh4Prod1CustProfit">OutCh4!$AK$16</definedName>
    <definedName name="tlOutputCh4Prod1CustProfitTot">OutComp!$Q$124</definedName>
    <definedName name="tlOutputCh4Prod1GPaL">OutCh4!$AK$15</definedName>
    <definedName name="tlOutputCh4Prod1GPaLpBrandCogs">OutCh4!$AQ$101</definedName>
    <definedName name="tlOutputCh4Prod1GPaLpGPaL">OutCh4!$AQ$105</definedName>
    <definedName name="tlOutputCh4Prod1GPaLpGPaLmar">OutCh4!$AQ$107</definedName>
    <definedName name="tlOutputCh4Prod1GPaLpLog">OutCh4!$AQ$103</definedName>
    <definedName name="tlOutputCh4Prod1MktSize">OutCh4!$AK$12</definedName>
    <definedName name="tlOutputCh4Prod1NetSales">OutCh4!$AK$14</definedName>
    <definedName name="tlOutputCh4Prod1NewSlotEmp1">OutCh4!$AG$44</definedName>
    <definedName name="tlOutputCh4Prod1NewSlotExp">OutCh4!$AG$48</definedName>
    <definedName name="tlOutputCh4Prod1Open">OutCh4!$AK$44</definedName>
    <definedName name="tlOutputCh4Prod1PromoEmp1">OutCh4!$AG$84</definedName>
    <definedName name="tlOutputCh4Prod1PromoExp">OutCh4!$AG$88</definedName>
    <definedName name="tloutputCh4Prod1Slot1AvgPromoDis">OutCh4!$E$75</definedName>
    <definedName name="tloutputCh4Prod1Slot1AvgPromoPrice">OutCh4!$AO$67</definedName>
    <definedName name="tloutputCh4Prod1Slot1AvgSellPrice">OutCh4!$AS$67</definedName>
    <definedName name="tloutputCh4Prod1Slot1CM">OutCh4!$AK$67</definedName>
    <definedName name="tlOutputCh4Prod1Slot1CustProfitTot">OutComp!$Q$121</definedName>
    <definedName name="tloutputCh4Prod1Slot1RSPHigh">OutCh4!$BA$67</definedName>
    <definedName name="tloutputCh4Prod1Slot1RSPLow">OutCh4!$AW$67</definedName>
    <definedName name="tlOutputCh4Prod1Slot1SP">OutCh4!$AG$67</definedName>
    <definedName name="tloutputCh4Prod1Slot2AvgPromoDis">OutCh4!$E$76</definedName>
    <definedName name="tloutputCh4Prod1Slot2AvgPromoPrice">OutCh4!$AO$68</definedName>
    <definedName name="tloutputCh4Prod1Slot2AvgSellPrice">OutCh4!$AS$68</definedName>
    <definedName name="tloutputCh4Prod1Slot2CM">OutCh4!$AK$68</definedName>
    <definedName name="tlOutputCh4Prod1Slot2CustProfitTot">OutComp!$Q$122</definedName>
    <definedName name="tloutputCh4Prod1Slot2RSPHigh">OutCh4!$BA$68</definedName>
    <definedName name="tloutputCh4Prod1Slot2RSPLow">OutCh4!$AW$68</definedName>
    <definedName name="tlOutputCh4Prod1Slot2SP">OutCh4!$AG$68</definedName>
    <definedName name="tloutputCh4Prod1Slot3AvgPromoDis">OutCh4!$E$77</definedName>
    <definedName name="tloutputCh4Prod1Slot3AvgPromoPrice">OutCh4!$AO$69</definedName>
    <definedName name="tloutputCh4Prod1Slot3AvgSellPrice">OutCh4!$AS$69</definedName>
    <definedName name="tloutputCh4Prod1Slot3CM">OutCh4!$AK$69</definedName>
    <definedName name="tlOutputCh4Prod1Slot3CustProfitTot">OutComp!$Q$123</definedName>
    <definedName name="tloutputCh4Prod1Slot3RSPHigh">OutCh4!$BA$69</definedName>
    <definedName name="tloutputCh4Prod1Slot3RSPLow">OutCh4!$AW$69</definedName>
    <definedName name="tlOutputCh4Prod1Slot3SP">OutCh4!$AG$69</definedName>
    <definedName name="tlOutputCh4Prod1VolForcast">OutCh4!$AK$13</definedName>
    <definedName name="tlOutputCh4Prod2Close">OutCh4!$AK$47</definedName>
    <definedName name="tlOutputCh4Prod2CustProfit">OutCh4!$AG$16</definedName>
    <definedName name="tlOutputCh4Prod2CustProfitTot">OutComp!$Q$112</definedName>
    <definedName name="tlOutputCh4Prod2GPaL">OutCh4!$AG$15</definedName>
    <definedName name="tlOutputCh4Prod2GPaLpBrandCogs">OutCh4!$AO$101</definedName>
    <definedName name="tlOutputCh4Prod2GPaLpGPaL">OutCh4!$AO$105</definedName>
    <definedName name="tlOutputCh4Prod2GPaLpGPaLmar">OutCh4!$AO$107</definedName>
    <definedName name="tlOutputCh4Prod2GPaLpLog">OutCh4!$AO$103</definedName>
    <definedName name="tlOutputCh4Prod2n3MktSize">OutCh4!$AG$12</definedName>
    <definedName name="tlOutputCh4Prod2NetSales">OutCh4!$AG$14</definedName>
    <definedName name="tlOutputCh4Prod2NewSlotEmp1">OutCh4!$AG$45</definedName>
    <definedName name="tlOutputCh4Prod2NewSlotExp">OutCh4!$AG$49</definedName>
    <definedName name="tlOutputCh4Prod2Open">OutCh4!$AK$46</definedName>
    <definedName name="tlOutputCh4Prod2PromoEmp1">OutCh4!$AG$85</definedName>
    <definedName name="tlOutputCh4Prod2PromoExp">OutCh4!$AG$89</definedName>
    <definedName name="tloutputCh4Prod2Slot1AvgPromoDis">OutCh4!$E$78</definedName>
    <definedName name="tloutputCh4Prod2Slot1AvgPromoPrice">OutCh4!$AO$71</definedName>
    <definedName name="tloutputCh4Prod2Slot1AvgSellPrice">OutCh4!$AS$71</definedName>
    <definedName name="tloutputCh4Prod2Slot1CM">OutCh4!$AK$71</definedName>
    <definedName name="tlOutputCh4Prod2Slot1CustProfitTot">OutComp!$Q$109</definedName>
    <definedName name="tloutputCh4Prod2Slot1RSPHigh">OutCh4!$BA$70</definedName>
    <definedName name="tloutputCh4Prod2Slot1RSPLow">OutCh4!$AW$70</definedName>
    <definedName name="tlOutputCh4Prod2Slot1SP">OutCh4!$AG$71</definedName>
    <definedName name="tloutputCh4Prod2Slot2AvgPromoDis">OutCh4!$E$79</definedName>
    <definedName name="tloutputCh4Prod2Slot2AvgPromoPrice">OutCh4!$AO$72</definedName>
    <definedName name="tloutputCh4Prod2Slot2AvgSellPrice">OutCh4!$AS$72</definedName>
    <definedName name="tloutputCh4Prod2Slot2CM">OutCh4!$AK$72</definedName>
    <definedName name="tlOutputCh4Prod2Slot2CustProfitTot">OutComp!$Q$110</definedName>
    <definedName name="tloutputCh4Prod2Slot2RSPHigh">OutCh4!$BA$71</definedName>
    <definedName name="tloutputCh4Prod2Slot2RSPLow">OutCh4!$AW$71</definedName>
    <definedName name="tlOutputCh4Prod2Slot2SP">OutCh4!$AG$72</definedName>
    <definedName name="tloutputCh4Prod2Slot3AvgPromoDis">OutCh4!$E$80</definedName>
    <definedName name="tloutputCh4Prod2Slot3AvgPromoPrice">OutCh4!$AO$73</definedName>
    <definedName name="tloutputCh4Prod2Slot3AvgSellPrice">OutCh4!$AS$73</definedName>
    <definedName name="tloutputCh4Prod2Slot3CM">OutCh4!$AK$73</definedName>
    <definedName name="tlOutputCh4Prod2Slot3CustProfitTot">OutComp!$Q$111</definedName>
    <definedName name="tloutputCh4Prod2Slot3RSPHigh">OutCh4!$BA$72</definedName>
    <definedName name="tloutputCh4Prod2Slot3RSPLow">OutCh4!$AW$72</definedName>
    <definedName name="tlOutputCh4Prod2Slot3SP">OutCh4!$AG$73</definedName>
    <definedName name="tlOutputCh4Prod2VolForcast">OutCh4!$AG$13</definedName>
    <definedName name="tlOutputCh4Prod3Close">OutCh4!$AK$49</definedName>
    <definedName name="tlOutputCh4Prod3CustProfit">OutCh4!$AG$21</definedName>
    <definedName name="tlOutputCh4Prod3CustProfitTot">OutComp!$Q$118</definedName>
    <definedName name="tlOutputCh4Prod3GPaL">OutCh4!$AG$20</definedName>
    <definedName name="tlOutputCh4Prod3GPaLpBrandCogs">OutCh4!$AP$101</definedName>
    <definedName name="tlOutputCh4Prod3GPaLpGPaL">OutCh4!$AP$105</definedName>
    <definedName name="tlOutputCh4Prod3GPaLpGPaLmar">OutCh4!$AP$107</definedName>
    <definedName name="tlOutputCh4Prod3GPaLpLog">OutCh4!$AP$103</definedName>
    <definedName name="tlOutputCh4Prod3NetSales">OutCh4!$AG$19</definedName>
    <definedName name="tlOutputCh4Prod3NewSlotEmp1">OutCh4!$AG$46</definedName>
    <definedName name="tlOutputCh4Prod3NewSlotExp">OutCh4!$AG$50</definedName>
    <definedName name="tlOutputCh4Prod3Open">OutCh4!$AK$48</definedName>
    <definedName name="tlOutputCh4Prod3PromoEmp1">OutCh4!$AG$86</definedName>
    <definedName name="tlOutputCh4Prod3PromoExp">OutCh4!$AG$90</definedName>
    <definedName name="tloutputCh4Prod3Slot1AvgPromoDis">OutCh4!$E$81</definedName>
    <definedName name="tloutputCh4Prod3Slot1AvgPromoPrice">OutCh4!$AO$75</definedName>
    <definedName name="tloutputCh4Prod3Slot1AvgSellPrice">OutCh4!$AS$75</definedName>
    <definedName name="tloutputCh4Prod3Slot1CM">OutCh4!$AK$75</definedName>
    <definedName name="tlOutputCh4Prod3Slot1CustProfitTot">OutComp!$Q$115</definedName>
    <definedName name="tloutputCh4Prod3Slot1RSPHigh">OutCh4!$BA$73</definedName>
    <definedName name="tloutputCh4Prod3Slot1RSPLow">OutCh4!$AW$73</definedName>
    <definedName name="tlOutputCh4Prod3Slot1SP">OutCh4!$AG$75</definedName>
    <definedName name="tloutputCh4Prod3Slot2AvgPromoDis">OutCh4!$E$82</definedName>
    <definedName name="tloutputCh4Prod3Slot2AvgPromoPrice">OutCh4!$AO$76</definedName>
    <definedName name="tloutputCh4Prod3Slot2AvgSellPrice">OutCh4!$AS$76</definedName>
    <definedName name="tloutputCh4Prod3Slot2CM">OutCh4!$AK$76</definedName>
    <definedName name="tlOutputCh4Prod3Slot2CustProfitTot">OutComp!$Q$116</definedName>
    <definedName name="tloutputCh4Prod3Slot2RSPHigh">OutCh4!$BA$74</definedName>
    <definedName name="tloutputCh4Prod3Slot2RSPLow">OutCh4!$AW$74</definedName>
    <definedName name="tlOutputCh4Prod3Slot2SP">OutCh4!$AG$76</definedName>
    <definedName name="tloutputCh4Prod3Slot3AvgPromoDis">OutCh4!$E$83</definedName>
    <definedName name="tloutputCh4Prod3Slot3AvgPromoPrice">OutCh4!$AO$77</definedName>
    <definedName name="tloutputCh4Prod3Slot3AvgSellPrice">OutCh4!$AS$77</definedName>
    <definedName name="tloutputCh4Prod3Slot3CM">OutCh4!$AK$77</definedName>
    <definedName name="tlOutputCh4Prod3Slot3CustProfitTot">OutComp!$Q$117</definedName>
    <definedName name="tloutputCh4Prod3Slot3RSPHigh">OutCh4!$BA$75</definedName>
    <definedName name="tloutputCh4Prod3Slot3RSPLow">OutCh4!$AW$75</definedName>
    <definedName name="tlOutputCh4Prod3Slot3SP">OutCh4!$AG$77</definedName>
    <definedName name="tlOutputCh4Prod3VolForcast">OutCh4!$AG$18</definedName>
    <definedName name="tlOutputCh4Prod4Close">OutCh4!$AK$51</definedName>
    <definedName name="tlOutputCh4Prod4CustProfit">OutCh4!$AO$16</definedName>
    <definedName name="tlOutputCh4Prod4CustProfitTot">OutComp!$Q$130</definedName>
    <definedName name="tlOutputCh4Prod4GPaL">OutCh4!$AO$15</definedName>
    <definedName name="tlOutputCh4Prod4GPaLpBrandCogs">OutCh4!$AR$101</definedName>
    <definedName name="tlOutputCh4Prod4GPaLpGPaL">OutCh4!$AR$105</definedName>
    <definedName name="tlOutputCh4Prod4GPaLpGPaLmar">OutCh4!$AR$107</definedName>
    <definedName name="tlOutputCh4Prod4GPaLpLog">OutCh4!$AR$103</definedName>
    <definedName name="tlOutputCh4Prod4MktSize">OutCh4!$AO$12</definedName>
    <definedName name="tlOutputCh4Prod4NetSales">OutCh4!$AO$14</definedName>
    <definedName name="tlOutputCh4Prod4NewSlotEmp1">OutCh4!$AG$47</definedName>
    <definedName name="tlOutputCh4Prod4NewSlotExp">OutCh4!$AG$51</definedName>
    <definedName name="tlOutputCh4Prod4Open">OutCh4!$AK$50</definedName>
    <definedName name="tlOutputCh4Prod4PromoEmp1">OutCh4!$AG$87</definedName>
    <definedName name="tlOutputCh4Prod4PromoExp">OutCh4!$AG$91</definedName>
    <definedName name="tloutputCh4Prod4Slot1AvgPromoDis">OutCh4!$E$84</definedName>
    <definedName name="tloutputCh4Prod4Slot1AvgPromoPrice">OutCh4!$AO$79</definedName>
    <definedName name="tloutputCh4Prod4Slot1AvgSellPrice">OutCh4!$AS$79</definedName>
    <definedName name="tloutputCh4Prod4Slot1CM">OutCh4!$AK$79</definedName>
    <definedName name="tlOutputCh4Prod4Slot1CustProfitTot">OutComp!$Q$127</definedName>
    <definedName name="tloutputCh4Prod4Slot1RSPHigh">OutCh4!$BA$76</definedName>
    <definedName name="tloutputCh4Prod4Slot1RSPLow">OutCh4!$AW$76</definedName>
    <definedName name="tlOutputCh4Prod4Slot1SP">OutCh4!$AG$79</definedName>
    <definedName name="tloutputCh4Prod4Slot2AvgPromoDis">OutCh4!$E$85</definedName>
    <definedName name="tloutputCh4Prod4Slot2AvgPromoPrice">OutCh4!$AO$80</definedName>
    <definedName name="tloutputCh4Prod4Slot2AvgSellPrice">OutCh4!$AS$80</definedName>
    <definedName name="tloutputCh4Prod4Slot2CM">OutCh4!$AK$80</definedName>
    <definedName name="tlOutputCh4Prod4Slot2CustProfitTot">OutComp!$Q$128</definedName>
    <definedName name="tloutputCh4Prod4Slot2RSPHigh">OutCh4!$BA$77</definedName>
    <definedName name="tloutputCh4Prod4Slot2RSPLow">OutCh4!$AW$77</definedName>
    <definedName name="tlOutputCh4Prod4Slot2SP">OutCh4!$AG$80</definedName>
    <definedName name="tloutputCh4Prod4Slot3AvgPromoDis">OutCh4!$E$86</definedName>
    <definedName name="tloutputCh4Prod4Slot3AvgPromoPrice">OutCh4!$AO$81</definedName>
    <definedName name="tloutputCh4Prod4Slot3AvgSellPrice">OutCh4!$AS$81</definedName>
    <definedName name="tloutputCh4Prod4Slot3CM">OutCh4!$AK$81</definedName>
    <definedName name="tlOutputCh4Prod4Slot3CustProfitTot">OutComp!$Q$129</definedName>
    <definedName name="tloutputCh4Prod4Slot3RSPHigh">OutCh4!$BA$78</definedName>
    <definedName name="tloutputCh4Prod4Slot3RSPLow">OutCh4!$AW$78</definedName>
    <definedName name="tlOutputCh4Prod4Slot3SP">OutCh4!$AG$81</definedName>
    <definedName name="tlOutputCh4Prod4VolForcast">OutCh4!$AO$13</definedName>
    <definedName name="tlOutputCh4PromoWeeksAvailGaugeMax">OutCh4!$AO$7</definedName>
    <definedName name="tlOutputCh4PromoWeeksAvailGaugeMin">OutCh4!$AO$6</definedName>
    <definedName name="tlOutputCh4PromoWeeksAvailGaugeValue">OutCh4!$AO$5</definedName>
    <definedName name="tlOutputCh4TTCondition">OutCh4!$AK$98</definedName>
    <definedName name="tlOutputCh4TTHeading">OutCh4!$AK$97</definedName>
    <definedName name="tlOutputCh4TTUnCondition">OutCh4!$AK$99</definedName>
    <definedName name="tlOutputCh4ValDriv1Emp1">OutCh4!$AG$24</definedName>
    <definedName name="tlOutputCh4ValDriv1Exp">OutCh4!$AG$25</definedName>
    <definedName name="tlOutputCh4ValDriv2Emp1">OutCh4!$AG$26</definedName>
    <definedName name="tlOutputCh4ValDriv2Exp">OutCh4!$AG$27</definedName>
    <definedName name="tlOutputCh4ValDriv3Emp1">OutCh4!$AG$28</definedName>
    <definedName name="tlOutputCh4ValDriv3Exp">OutCh4!$AG$29</definedName>
    <definedName name="tlOutputCh4ValDriv4Emp1">OutCh4!$AG$30</definedName>
    <definedName name="tlOutputCh4ValDriv4Exp">OutCh4!$AG$31</definedName>
    <definedName name="tlOutputCh4ValDriv5Emp1">OutCh4!$AG$32</definedName>
    <definedName name="tlOutputCh4ValDriv5Exp">OutCh4!$AG$33</definedName>
    <definedName name="tlOutputCh4ValDrivCondEmp1">OutCh4!$AG$36</definedName>
    <definedName name="tlOutputCh4ValDrivCondExp">OutCh4!$AG$37</definedName>
    <definedName name="tlOutputCh4ValDrivEmp1Tot">OutCh4!$AG$34</definedName>
    <definedName name="tlOutputCh4ValDrivExpTot">OutCh4!$AG$35</definedName>
    <definedName name="tlOutputCh4VolForecastTot">OutCh4!$AS$13</definedName>
    <definedName name="tlOutputCh4VtCp">OutCh4!$E$59</definedName>
    <definedName name="tlOutputCh4VtDeprExp">OutCh4!$E$13</definedName>
    <definedName name="tlOutputCh4VtDeprExpPct">OutCh4!$E$26</definedName>
    <definedName name="tlOutputCh4VtDeprExpPctPVol">OutCh4!$E$52</definedName>
    <definedName name="tlOutputCh4VtDeprExpPVol">OutCh4!$E$39</definedName>
    <definedName name="tlOutputCh4VtDiscounts">OutCh4!$E$8</definedName>
    <definedName name="tlOutputCh4VtDiscountsPct">OutCh4!$E$21</definedName>
    <definedName name="tlOutputCh4VtDiscountsPctPVol">OutCh4!$E$47</definedName>
    <definedName name="tlOutputCh4VtDiscountsPVol">OutCh4!$E$34</definedName>
    <definedName name="tlOutputCh4VtExcise">OutCh4!$E$6</definedName>
    <definedName name="tlOutputCh4VtExcisePct">OutCh4!$E$19</definedName>
    <definedName name="tlOutputCh4VtExcisePctPVol">OutCh4!$E$45</definedName>
    <definedName name="tlOutputCh4VtExcisePVol">OutCh4!$E$32</definedName>
    <definedName name="tlOutputCh4VtGP">OutCh4!$E$15</definedName>
    <definedName name="tlOutputCh4VtGPaL">OutCh4!$E$17</definedName>
    <definedName name="tlOutputCh4VtGPaLPct">OutCh4!$E$30</definedName>
    <definedName name="tlOutputCh4VtGPaLPctPVol">OutCh4!$E$56</definedName>
    <definedName name="tlOutputCh4VtGPaLPVol">OutCh4!$E$43</definedName>
    <definedName name="tlOutputCh4VtGPPct">OutCh4!$E$28</definedName>
    <definedName name="tlOutputCh4VtGPPctPVol">OutCh4!$E$54</definedName>
    <definedName name="tlOutputCh4VtGPPVol">OutCh4!$E$41</definedName>
    <definedName name="tlOutputCh4VtGrossSales">OutCh4!$E$7</definedName>
    <definedName name="tlOutputCh4VtGrossSalesPct">OutCh4!$E$20</definedName>
    <definedName name="tlOutputCh4VtGrossSalesPctPVol">OutCh4!$E$46</definedName>
    <definedName name="tlOutputCh4VtGrossSalesPVol">OutCh4!$E$33</definedName>
    <definedName name="tlOutputCh4VtLabourExp">OutCh4!$E$11</definedName>
    <definedName name="tlOutputCh4VtLabourExpPct">OutCh4!$E$24</definedName>
    <definedName name="tlOutputCh4VtLabourExpPctPVol">OutCh4!$E$50</definedName>
    <definedName name="tlOutputCh4VtLabourExpPVol">OutCh4!$E$37</definedName>
    <definedName name="tlOutputCh4VtLogExp">OutCh4!$E$16</definedName>
    <definedName name="tlOutputCh4VtLogExpPct">OutCh4!$E$29</definedName>
    <definedName name="tlOutputCh4VtLogExpPctPVol">OutCh4!$E$55</definedName>
    <definedName name="tlOutputCh4VtLogExpPVol">OutCh4!$E$42</definedName>
    <definedName name="tlOutputCh4VtMachExp">OutCh4!$E$12</definedName>
    <definedName name="tlOutputCh4VtMachExpPct">OutCh4!$E$25</definedName>
    <definedName name="tlOutputCh4VtMachExpPctPVol">OutCh4!$E$51</definedName>
    <definedName name="tlOutputCh4VtMachExpPVol">OutCh4!$E$38</definedName>
    <definedName name="tlOutputCh4VtMatExp">OutCh4!$E$10</definedName>
    <definedName name="tlOutputCh4VtMatExpPct">OutCh4!$E$23</definedName>
    <definedName name="tlOutputCh4VtMatExpPctPVol">OutCh4!$E$49</definedName>
    <definedName name="tlOutputCh4VtMatExpPVol">OutCh4!$E$36</definedName>
    <definedName name="tlOutputCh4Vtstaple1">OutCh4!$E$65</definedName>
    <definedName name="tlOutputCh4Vtstaple2">OutCh4!$E$66</definedName>
    <definedName name="tlOutputCh4Vtstaple3">OutCh4!$E$67</definedName>
    <definedName name="tlOutputCh4Vtstaple4">OutCh4!$E$68</definedName>
    <definedName name="tlOutputCh4VtTotalCOGs">OutCh4!$E$14</definedName>
    <definedName name="tlOutputCh4VtTotalCOGsPct">OutCh4!$E$27</definedName>
    <definedName name="tlOutputCh4VtTotalCOGsPctPVol">OutCh4!$E$53</definedName>
    <definedName name="tlOutputCh4VtTotalCOGsPVol">OutCh4!$E$40</definedName>
    <definedName name="tlOutputCh4VtTotalRev">OutCh4!$E$9</definedName>
    <definedName name="tlOutputCh4VtTotalRevPct">OutCh4!$E$22</definedName>
    <definedName name="tlOutputCh4VtTotalRevPctPVol">OutCh4!$E$48</definedName>
    <definedName name="tlOutputCh4VtTotalRevPVol">OutCh4!$E$35</definedName>
    <definedName name="tlOutputCh4VtTurn">OutCh4!$E$5</definedName>
    <definedName name="tlOutputCh4VtTurnPct">OutCh4!$E$18</definedName>
    <definedName name="tlOutputCh4VtTurnPctPVol">OutCh4!$E$44</definedName>
    <definedName name="tlOutputCh4VtTurnPVol">OutCh4!$E$31</definedName>
    <definedName name="tlOutputCh4VtUnitsSold">OutCh4!$E$58</definedName>
    <definedName name="tlOutputCh4VtVolSold">OutCh4!$E$57</definedName>
    <definedName name="tlOutputCh4VtWd">OutCh4!$E$60</definedName>
    <definedName name="tlOutputCh4WaterfallDelta1">OutCh4!$AK$115</definedName>
    <definedName name="tlOutputCh4WaterfallDelta2">OutCh4!$AK$116</definedName>
    <definedName name="tlOutputCh4WaterfallDelta3">OutCh4!$AK$117</definedName>
    <definedName name="tlOutputCh4WaterfallDelta4">OutCh4!$AK$118</definedName>
    <definedName name="tlOutputCh4WaterfallEnd">OutCh4!$AK$119</definedName>
    <definedName name="tlOutputCh4WaterfallInvisible1">OutCh4!$AG$106</definedName>
    <definedName name="tlOutputCh4WaterfallInvisible2">OutCh4!$AG$107</definedName>
    <definedName name="tlOutputCh4WaterfallInvisible3">OutCh4!$AG$108</definedName>
    <definedName name="tlOutputCh4WaterfallInvisible4">OutCh4!$AG$109</definedName>
    <definedName name="tlOutputCh4WaterfallInvisible5">OutCh4!$AG$110</definedName>
    <definedName name="tlOutputCh4WaterfallInvisible6">OutCh4!$AG$111</definedName>
    <definedName name="tlOutputCh4WaterfallStart">OutCh4!$AK$114</definedName>
    <definedName name="tlOutputCh4WaterfallVisible1">OutCh4!$AG$114</definedName>
    <definedName name="tlOutputCh4WaterfallVisible2">OutCh4!$AG$115</definedName>
    <definedName name="tlOutputCh4WaterfallVisible3">OutCh4!$AG$116</definedName>
    <definedName name="tlOutputCh4WaterfallVisible4">OutCh4!$AG$117</definedName>
    <definedName name="tlOutputCh4WaterfallVisible5">OutCh4!$AG$118</definedName>
    <definedName name="tlOutputCh4WaterfallVisible6">OutCh4!$AG$119</definedName>
    <definedName name="tlOutputCh4WaterfallxLabel1">OutCh4!$AG$98</definedName>
    <definedName name="tlOutputCh4WaterfallxLabel2">OutCh4!$AG$99</definedName>
    <definedName name="tlOutputCh4WaterfallxLabel3">OutCh4!$AG$100</definedName>
    <definedName name="tlOutputCh4WaterfallxLabel4">OutCh4!$AG$101</definedName>
    <definedName name="tlOutputCh4WaterfallxLabel5">OutCh4!$AG$102</definedName>
    <definedName name="tlOutputCh4WaterfallxLabel6">OutCh4!$AG$103</definedName>
    <definedName name="tlOutputChartEmp1Heading">OutComp!$M$144</definedName>
    <definedName name="tlOutputChartEmp1Marketing">OutComp!$M$147</definedName>
    <definedName name="tlOutputChartEmp1NewSlots">OutComp!$M$150</definedName>
    <definedName name="tlOutputChartEmp1PackInnovation">OutComp!$M$145</definedName>
    <definedName name="tlOutputChartEmp1Promotions">OutComp!$M$146</definedName>
    <definedName name="tlOutputChartEmp1Reports">OutComp!$M$151</definedName>
    <definedName name="tlOutputChartEmp1SI">OutComp!$M$148</definedName>
    <definedName name="tlOutputChartEmp1Unassigned">OutComp!$M$152</definedName>
    <definedName name="tlOutputChartEmp1ValDriv">OutComp!$M$149</definedName>
    <definedName name="tlOutputDB1Item1">OutDashboard!$F$43</definedName>
    <definedName name="tlOutputDB1Item1Label">OutDashboard!$C$43</definedName>
    <definedName name="tlOutputDB1Item2">OutDashboard!$F$44</definedName>
    <definedName name="tlOutputDB1Item2Label">OutDashboard!$C$44</definedName>
    <definedName name="tlOutputDB1Item3">OutDashboard!$F$45</definedName>
    <definedName name="tlOutputDB1Item3Label">OutDashboard!$C$45</definedName>
    <definedName name="tlOutputDB1Item4">OutDashboard!$F$46</definedName>
    <definedName name="tlOutputDB1Item4Label">OutDashboard!$C$46</definedName>
    <definedName name="tlOutputDB1SubItem1">OutDashboard!$I$43</definedName>
    <definedName name="tlOutputDB1SubItem2">OutDashboard!$I$44</definedName>
    <definedName name="tlOutputDB1SubItem3">OutDashboard!$I$45</definedName>
    <definedName name="tlOutputDB1SubItem4">OutDashboard!$I$46</definedName>
    <definedName name="tlOutputDB2Item1">OutDashboard!$F$57</definedName>
    <definedName name="tlOutputDB2Item1Label">OutDashboard!$C$57</definedName>
    <definedName name="tlOutputDB2Item2">OutDashboard!$F$58</definedName>
    <definedName name="tlOutputDB2Item2Label">OutDashboard!$C$58</definedName>
    <definedName name="tlOutputDB2Item3">OutDashboard!$F$59</definedName>
    <definedName name="tlOutputDB2Item3Label">OutDashboard!$C$59</definedName>
    <definedName name="tlOutputDB2Item4">OutDashboard!$F$60</definedName>
    <definedName name="tlOutputDB2Item4Label">OutDashboard!$C$60</definedName>
    <definedName name="tlOutputDB2SubItem1">OutDashboard!$I$57</definedName>
    <definedName name="tlOutputDB2SubItem2">OutDashboard!$I$58</definedName>
    <definedName name="tlOutputDB2SubItem3">OutDashboard!$I$59</definedName>
    <definedName name="tlOutputDB2SubItem4">OutDashboard!$I$60</definedName>
    <definedName name="tlOutputDB3Item1">OutDashboard!$F$71</definedName>
    <definedName name="tlOutputDB3Item1Label">OutDashboard!$C$71</definedName>
    <definedName name="tlOutputDB3Item2">OutDashboard!$F$72</definedName>
    <definedName name="tlOutputDB3Item2Label">OutDashboard!$C$72</definedName>
    <definedName name="tlOutputDB3Item3">OutDashboard!$F$73</definedName>
    <definedName name="tlOutputDB3Item3Label">OutDashboard!$C$73</definedName>
    <definedName name="tlOutputDB3Item4">OutDashboard!$F$74</definedName>
    <definedName name="tlOutputDB3Item4Label">OutDashboard!$C$74</definedName>
    <definedName name="tlOutputDB3SubItem1">OutDashboard!$I$71</definedName>
    <definedName name="tlOutputDB3SubItem2">OutDashboard!$I$72</definedName>
    <definedName name="tlOutputDB3SubItem3">OutDashboard!$I$73</definedName>
    <definedName name="tlOutputDB3SubItem4">OutDashboard!$I$74</definedName>
    <definedName name="tlOutputDB4Item1">OutDashboard!$F$85</definedName>
    <definedName name="tlOutputDB4Item1Label">OutDashboard!$C$85</definedName>
    <definedName name="tlOutputDB4Item2">OutDashboard!$F$86</definedName>
    <definedName name="tlOutputDB4Item2Label">OutDashboard!$C$86</definedName>
    <definedName name="tlOutputDB4Item3">OutDashboard!$F$87</definedName>
    <definedName name="tlOutputDB4Item3Label">OutDashboard!$C$87</definedName>
    <definedName name="tlOutputDB4Item4">OutDashboard!$F$88</definedName>
    <definedName name="tlOutputDB4Item4Label">OutDashboard!$C$88</definedName>
    <definedName name="tlOutputDB4SubItem1">OutDashboard!$I$85</definedName>
    <definedName name="tlOutputDB4SubItem2">OutDashboard!$I$86</definedName>
    <definedName name="tlOutputDB4SubItem3">OutDashboard!$I$87</definedName>
    <definedName name="tlOutputDB4SubItem4">OutDashboard!$I$88</definedName>
    <definedName name="tlOutputDB5Item1">OutDashboard!$F$99</definedName>
    <definedName name="tlOutputDB5Item1Label">OutDashboard!$C$99</definedName>
    <definedName name="tlOutputDB5Item2">OutDashboard!$F$100</definedName>
    <definedName name="tlOutputDB5Item2Label">OutDashboard!$C$100</definedName>
    <definedName name="tlOutputDB5Item3">OutDashboard!$F$101</definedName>
    <definedName name="tlOutputDB5Item3Label">OutDashboard!$C$101</definedName>
    <definedName name="tlOutputDB5Item4">OutDashboard!$F$102</definedName>
    <definedName name="tlOutputDB5Item4Label">OutDashboard!$C$102</definedName>
    <definedName name="tlOutputDB5SubItem1">OutDashboard!$I$99</definedName>
    <definedName name="tlOutputDB5SubItem2">OutDashboard!$I$100</definedName>
    <definedName name="tlOutputDB5SubItem3">OutDashboard!$I$101</definedName>
    <definedName name="tlOutputDB5SubItem4">OutDashboard!$I$102</definedName>
    <definedName name="tlOutputDB6Item1">OutDashboard!$F$113</definedName>
    <definedName name="tlOutputDB6Item1Label">OutDashboard!$C$113</definedName>
    <definedName name="tlOutputDB6Item2">OutDashboard!$F$114</definedName>
    <definedName name="tlOutputDB6Item2Label">OutDashboard!$C$114</definedName>
    <definedName name="tlOutputDB6Item3">OutDashboard!$F$115</definedName>
    <definedName name="tlOutputDB6Item3Label">OutDashboard!$C$115</definedName>
    <definedName name="tlOutputDB6Item4">OutDashboard!$F$116</definedName>
    <definedName name="tlOutputDB6Item4Label">OutDashboard!$C$116</definedName>
    <definedName name="tlOutputDB6SubItem1">OutDashboard!$I$113</definedName>
    <definedName name="tlOutputDB6SubItem2">OutDashboard!$I$114</definedName>
    <definedName name="tlOutputDB6SubItem3">OutDashboard!$I$115</definedName>
    <definedName name="tlOutputDB6SubItem4">OutDashboard!$I$116</definedName>
    <definedName name="tlOutputDecSumCh1Prod1Slot1">OutComp!$E$230</definedName>
    <definedName name="tlOutputDecSumCh1Prod1Slot1CP">OutComp!$Q$230</definedName>
    <definedName name="tlOutputDecSumCh1Prod1Slot1Pack">OutComp!$M$230</definedName>
    <definedName name="tlOutputDecSumCh1Prod1Slot1Promo1">OutComp!$U$230</definedName>
    <definedName name="tlOutputDecSumCh1Prod1Slot1Promo2">OutComp!$AG$230</definedName>
    <definedName name="tlOutputDecSumCh1Prod1Slot1PS1">OutComp!$AC$230</definedName>
    <definedName name="tlOutputDecSumCh1Prod1Slot1PS2">OutComp!$AO$230</definedName>
    <definedName name="tlOutputDecSumCh1Prod1Slot1PW1">OutComp!$Y$230</definedName>
    <definedName name="tlOutputDecSumCh1Prod1Slot1PW2">OutComp!$AK$230</definedName>
    <definedName name="tlOutputDecSumCh1Prod1Slot1SF">OutComp!$I$230</definedName>
    <definedName name="tlOutputDecSumCh1Prod1Slot2">OutComp!$E$231</definedName>
    <definedName name="tlOutputDecSumCh1Prod1Slot2CP">OutComp!$Q$231</definedName>
    <definedName name="tlOutputDecSumCh1Prod1Slot2Pack">OutComp!$M$231</definedName>
    <definedName name="tlOutputDecSumCh1Prod1Slot2Promo1">OutComp!$U$231</definedName>
    <definedName name="tlOutputDecSumCh1Prod1Slot2Promo2">OutComp!$AG$231</definedName>
    <definedName name="tlOutputDecSumCh1Prod1Slot2PS1">OutComp!$AC$231</definedName>
    <definedName name="tlOutputDecSumCh1Prod1Slot2PS2">OutComp!$AO$231</definedName>
    <definedName name="tlOutputDecSumCh1Prod1Slot2PW1">OutComp!$Y$231</definedName>
    <definedName name="tlOutputDecSumCh1Prod1Slot2PW2">OutComp!$AK$231</definedName>
    <definedName name="tlOutputDecSumCh1Prod1Slot2SF">OutComp!$I$231</definedName>
    <definedName name="tlOutputDecSumCh1Prod1Slot3">OutComp!$E$232</definedName>
    <definedName name="tlOutputDecSumCh1Prod1Slot3CP">OutComp!$Q$232</definedName>
    <definedName name="tlOutputDecSumCh1Prod1Slot3Pack">OutComp!$M$232</definedName>
    <definedName name="tlOutputDecSumCh1Prod1Slot3Promo1">OutComp!$U$232</definedName>
    <definedName name="tlOutputDecSumCh1Prod1Slot3Promo2">OutComp!$AG$232</definedName>
    <definedName name="tlOutputDecSumCh1Prod1Slot3PS1">OutComp!$AC$232</definedName>
    <definedName name="tlOutputDecSumCh1Prod1Slot3PS2">OutComp!$AO$232</definedName>
    <definedName name="tlOutputDecSumCh1Prod1Slot3PW1">OutComp!$Y$232</definedName>
    <definedName name="tlOutputDecSumCh1Prod1Slot3PW2">OutComp!$AK$232</definedName>
    <definedName name="tlOutputDecSumCh1Prod1Slot3SF">OutComp!$I$232</definedName>
    <definedName name="tlOutputDecSumCh1Prod2Slot1">OutComp!$E$196</definedName>
    <definedName name="tlOutputDecSumCh1Prod2Slot1CP">OutComp!$Q$196</definedName>
    <definedName name="tlOutputDecSumCh1Prod2Slot1Pack">OutComp!$M$196</definedName>
    <definedName name="tlOutputDecSumCh1Prod2Slot1Promo1">OutComp!$U$196</definedName>
    <definedName name="tlOutputDecSumCh1Prod2Slot1Promo2">OutComp!$AG$196</definedName>
    <definedName name="tlOutputDecSumCh1Prod2Slot1PS1">OutComp!$AC$196</definedName>
    <definedName name="tlOutputDecSumCh1Prod2Slot1PS2">OutComp!$AO$196</definedName>
    <definedName name="tlOutputDecSumCh1Prod2Slot1PW1">OutComp!$Y$196</definedName>
    <definedName name="tlOutputDecSumCh1Prod2Slot1PW2">OutComp!$AK$196</definedName>
    <definedName name="tlOutputDecSumCh1Prod2Slot1SF">OutComp!$I$196</definedName>
    <definedName name="tlOutputDecSumCh1Prod2Slot2">OutComp!$E$197</definedName>
    <definedName name="tlOutputDecSumCh1Prod2Slot2CP">OutComp!$Q$197</definedName>
    <definedName name="tlOutputDecSumCh1Prod2Slot2Pack">OutComp!$M$197</definedName>
    <definedName name="tlOutputDecSumCh1Prod2Slot2Promo1">OutComp!$U$197</definedName>
    <definedName name="tlOutputDecSumCh1Prod2Slot2Promo2">OutComp!$AG$197</definedName>
    <definedName name="tlOutputDecSumCh1Prod2Slot2PS1">OutComp!$AC$197</definedName>
    <definedName name="tlOutputDecSumCh1Prod2Slot2PS2">OutComp!$AO$197</definedName>
    <definedName name="tlOutputDecSumCh1Prod2Slot2PW1">OutComp!$Y$197</definedName>
    <definedName name="tlOutputDecSumCh1Prod2Slot2PW2">OutComp!$AK$197</definedName>
    <definedName name="tlOutputDecSumCh1Prod2Slot2SF">OutComp!$I$197</definedName>
    <definedName name="tlOutputDecSumCh1Prod2Slot3">OutComp!$E$198</definedName>
    <definedName name="tlOutputDecSumCh1Prod2Slot3CP">OutComp!$Q$198</definedName>
    <definedName name="tlOutputDecSumCh1Prod2Slot3Pack">OutComp!$M$198</definedName>
    <definedName name="tlOutputDecSumCh1Prod2Slot3Promo1">OutComp!$U$198</definedName>
    <definedName name="tlOutputDecSumCh1Prod2Slot3Promo2">OutComp!$AG$198</definedName>
    <definedName name="tlOutputDecSumCh1Prod2Slot3PS1">OutComp!$AC$198</definedName>
    <definedName name="tlOutputDecSumCh1Prod2Slot3PS2">OutComp!$AO$198</definedName>
    <definedName name="tlOutputDecSumCh1Prod2Slot3PW1">OutComp!$Y$198</definedName>
    <definedName name="tlOutputDecSumCh1Prod2Slot3PW2">OutComp!$AK$198</definedName>
    <definedName name="tlOutputDecSumCh1Prod2Slot3SF">OutComp!$I$198</definedName>
    <definedName name="tlOutputDecSumCh1Prod3Slot1">OutComp!$E$213</definedName>
    <definedName name="tlOutputDecSumCh1Prod3Slot1CP">OutComp!$Q$213</definedName>
    <definedName name="tlOutputDecSumCh1Prod3Slot1Pack">OutComp!$M$213</definedName>
    <definedName name="tlOutputDecSumCh1Prod3Slot1Promo1">OutComp!$U$213</definedName>
    <definedName name="tlOutputDecSumCh1Prod3Slot1Promo2">OutComp!$AG$213</definedName>
    <definedName name="tlOutputDecSumCh1Prod3Slot1PS1">OutComp!$AC$213</definedName>
    <definedName name="tlOutputDecSumCh1Prod3Slot1PS2">OutComp!$AO$213</definedName>
    <definedName name="tlOutputDecSumCh1Prod3Slot1PW1">OutComp!$Y$213</definedName>
    <definedName name="tlOutputDecSumCh1Prod3Slot1PW2">OutComp!$AK$213</definedName>
    <definedName name="tlOutputDecSumCh1Prod3Slot1SF">OutComp!$I$213</definedName>
    <definedName name="tlOutputDecSumCh1Prod3Slot2">OutComp!$E$214</definedName>
    <definedName name="tlOutputDecSumCh1Prod3Slot2CP">OutComp!$Q$214</definedName>
    <definedName name="tlOutputDecSumCh1Prod3Slot2Pack">OutComp!$M$214</definedName>
    <definedName name="tlOutputDecSumCh1Prod3Slot2Promo1">OutComp!$U$214</definedName>
    <definedName name="tlOutputDecSumCh1Prod3Slot2Promo2">OutComp!$AG$214</definedName>
    <definedName name="tlOutputDecSumCh1Prod3Slot2PS1">OutComp!$AC$214</definedName>
    <definedName name="tlOutputDecSumCh1Prod3Slot2PS2">OutComp!$AO$214</definedName>
    <definedName name="tlOutputDecSumCh1Prod3Slot2PW1">OutComp!$Y$214</definedName>
    <definedName name="tlOutputDecSumCh1Prod3Slot2PW2">OutComp!$AK$214</definedName>
    <definedName name="tlOutputDecSumCh1Prod3Slot2SF">OutComp!$I$214</definedName>
    <definedName name="tlOutputDecSumCh1Prod3Slot3">OutComp!$E$215</definedName>
    <definedName name="tlOutputDecSumCh1Prod3Slot3CP">OutComp!$Q$215</definedName>
    <definedName name="tlOutputDecSumCh1Prod3Slot3Pack">OutComp!$M$215</definedName>
    <definedName name="tlOutputDecSumCh1Prod3Slot3Promo1">OutComp!$U$215</definedName>
    <definedName name="tlOutputDecSumCh1Prod3Slot3Promo2">OutComp!$AG$215</definedName>
    <definedName name="tlOutputDecSumCh1Prod3Slot3PS1">OutComp!$AC$215</definedName>
    <definedName name="tlOutputDecSumCh1Prod3Slot3PS2">OutComp!$AO$215</definedName>
    <definedName name="tlOutputDecSumCh1Prod3Slot3PW1">OutComp!$Y$215</definedName>
    <definedName name="tlOutputDecSumCh1Prod3Slot3PW2">OutComp!$AK$215</definedName>
    <definedName name="tlOutputDecSumCh1Prod3Slot3SF">OutComp!$I$215</definedName>
    <definedName name="tlOutputDecSumCh1Prod4Slot1">OutComp!$E$247</definedName>
    <definedName name="tlOutputDecSumCh1Prod4Slot1CP">OutComp!$Q$247</definedName>
    <definedName name="tlOutputDecSumCh1Prod4Slot1Pack">OutComp!$M$247</definedName>
    <definedName name="tlOutputDecSumCh1Prod4Slot1Promo1">OutComp!$U$247</definedName>
    <definedName name="tlOutputDecSumCh1Prod4Slot1Promo2">OutComp!$AG$247</definedName>
    <definedName name="tlOutputDecSumCh1Prod4Slot1PS1">OutComp!$AC$247</definedName>
    <definedName name="tlOutputDecSumCh1Prod4Slot1PS2">OutComp!$AO$247</definedName>
    <definedName name="tlOutputDecSumCh1Prod4Slot1PW1">OutComp!$Y$247</definedName>
    <definedName name="tlOutputDecSumCh1Prod4Slot1PW2">OutComp!$AK$247</definedName>
    <definedName name="tlOutputDecSumCh1Prod4Slot1SF">OutComp!$I$247</definedName>
    <definedName name="tlOutputDecSumCh1Prod4Slot2">OutComp!$E$248</definedName>
    <definedName name="tlOutputDecSumCh1Prod4Slot2CP">OutComp!$Q$248</definedName>
    <definedName name="tlOutputDecSumCh1Prod4Slot2Pack">OutComp!$M$248</definedName>
    <definedName name="tlOutputDecSumCh1Prod4Slot2Promo1">OutComp!$U$248</definedName>
    <definedName name="tlOutputDecSumCh1Prod4Slot2Promo2">OutComp!$AG$248</definedName>
    <definedName name="tlOutputDecSumCh1Prod4Slot2PS1">OutComp!$AC$248</definedName>
    <definedName name="tlOutputDecSumCh1Prod4Slot2PS2">OutComp!$AO$248</definedName>
    <definedName name="tlOutputDecSumCh1Prod4Slot2PW1">OutComp!$Y$248</definedName>
    <definedName name="tlOutputDecSumCh1Prod4Slot2PW2">OutComp!$AK$248</definedName>
    <definedName name="tlOutputDecSumCh1Prod4Slot2SF">OutComp!$I$248</definedName>
    <definedName name="tlOutputDecSumCh1Prod4Slot3">OutComp!$E$249</definedName>
    <definedName name="tlOutputDecSumCh1Prod4Slot3CP">OutComp!$Q$249</definedName>
    <definedName name="tlOutputDecSumCh1Prod4Slot3Pack">OutComp!$M$249</definedName>
    <definedName name="tlOutputDecSumCh1Prod4Slot3Promo1">OutComp!$U$249</definedName>
    <definedName name="tlOutputDecSumCh1Prod4Slot3Promo2">OutComp!$AG$249</definedName>
    <definedName name="tlOutputDecSumCh1Prod4Slot3PS1">OutComp!$AC$249</definedName>
    <definedName name="tlOutputDecSumCh1Prod4Slot3PS2">OutComp!$AO$249</definedName>
    <definedName name="tlOutputDecSumCh1Prod4Slot3PW1">OutComp!$Y$249</definedName>
    <definedName name="tlOutputDecSumCh1Prod4Slot3PW2">OutComp!$AK$249</definedName>
    <definedName name="tlOutputDecSumCh1Prod4Slot3SF">OutComp!$I$249</definedName>
    <definedName name="tlOutputDecSumCh2Prod1Slot1">OutComp!$E$234</definedName>
    <definedName name="tlOutputDecSumCh2Prod1Slot1CP">OutComp!$Q$234</definedName>
    <definedName name="tlOutputDecSumCh2Prod1Slot1Pack">OutComp!$M$234</definedName>
    <definedName name="tlOutputDecSumCh2Prod1Slot1Promo1">OutComp!$U$234</definedName>
    <definedName name="tlOutputDecSumCh2Prod1Slot1Promo2">OutComp!$AG$234</definedName>
    <definedName name="tlOutputDecSumCh2Prod1Slot1PS1">OutComp!$AC$234</definedName>
    <definedName name="tlOutputDecSumCh2Prod1Slot1PS2">OutComp!$AO$234</definedName>
    <definedName name="tlOutputDecSumCh2Prod1Slot1PW1">OutComp!$Y$234</definedName>
    <definedName name="tlOutputDecSumCh2Prod1Slot1PW2">OutComp!$AK$234</definedName>
    <definedName name="tlOutputDecSumCh2Prod1Slot1SF">OutComp!$I$234</definedName>
    <definedName name="tlOutputDecSumCh2Prod1Slot2">OutComp!$E$235</definedName>
    <definedName name="tlOutputDecSumCh2Prod1Slot2CP">OutComp!$Q$235</definedName>
    <definedName name="tlOutputDecSumCh2Prod1Slot2Pack">OutComp!$M$235</definedName>
    <definedName name="tlOutputDecSumCh2Prod1Slot2Promo1">OutComp!$U$235</definedName>
    <definedName name="tlOutputDecSumCh2Prod1Slot2Promo2">OutComp!$AG$235</definedName>
    <definedName name="tlOutputDecSumCh2Prod1Slot2PS1">OutComp!$AC$235</definedName>
    <definedName name="tlOutputDecSumCh2Prod1Slot2PS2">OutComp!$AO$235</definedName>
    <definedName name="tlOutputDecSumCh2Prod1Slot2PW1">OutComp!$Y$235</definedName>
    <definedName name="tlOutputDecSumCh2Prod1Slot2PW2">OutComp!$AK$235</definedName>
    <definedName name="tlOutputDecSumCh2Prod1Slot2SF">OutComp!$I$235</definedName>
    <definedName name="tlOutputDecSumCh2Prod1Slot3">OutComp!$E$236</definedName>
    <definedName name="tlOutputDecSumCh2Prod1Slot3CP">OutComp!$Q$236</definedName>
    <definedName name="tlOutputDecSumCh2Prod1Slot3Pack">OutComp!$M$236</definedName>
    <definedName name="tlOutputDecSumCh2Prod1Slot3Promo1">OutComp!$U$236</definedName>
    <definedName name="tlOutputDecSumCh2Prod1Slot3Promo2">OutComp!$AG$236</definedName>
    <definedName name="tlOutputDecSumCh2Prod1Slot3PS1">OutComp!$AC$236</definedName>
    <definedName name="tlOutputDecSumCh2Prod1Slot3PS2">OutComp!$AO$236</definedName>
    <definedName name="tlOutputDecSumCh2Prod1Slot3PW1">OutComp!$Y$236</definedName>
    <definedName name="tlOutputDecSumCh2Prod1Slot3PW2">OutComp!$AK$236</definedName>
    <definedName name="tlOutputDecSumCh2Prod1Slot3SF">OutComp!$I$236</definedName>
    <definedName name="tlOutputDecSumCh2Prod2Slot1">OutComp!$E$200</definedName>
    <definedName name="tlOutputDecSumCh2Prod2Slot1CP">OutComp!$Q$200</definedName>
    <definedName name="tlOutputDecSumCh2Prod2Slot1Pack">OutComp!$M$200</definedName>
    <definedName name="tlOutputDecSumCh2Prod2Slot1Promo1">OutComp!$U$200</definedName>
    <definedName name="tlOutputDecSumCh2Prod2Slot1Promo2">OutComp!$AG$200</definedName>
    <definedName name="tlOutputDecSumCh2Prod2Slot1PS1">OutComp!$AC$200</definedName>
    <definedName name="tlOutputDecSumCh2Prod2Slot1PS2">OutComp!$AO$200</definedName>
    <definedName name="tlOutputDecSumCh2Prod2Slot1PW1">OutComp!$Y$200</definedName>
    <definedName name="tlOutputDecSumCh2Prod2Slot1PW2">OutComp!$AK$200</definedName>
    <definedName name="tlOutputDecSumCh2Prod2Slot1SF">OutComp!$I$200</definedName>
    <definedName name="tlOutputDecSumCh2Prod2Slot2">OutComp!$E$201</definedName>
    <definedName name="tlOutputDecSumCh2Prod2Slot2CP">OutComp!$Q$201</definedName>
    <definedName name="tlOutputDecSumCh2Prod2Slot2Pack">OutComp!$M$201</definedName>
    <definedName name="tlOutputDecSumCh2Prod2Slot2Promo1">OutComp!$U$201</definedName>
    <definedName name="tlOutputDecSumCh2Prod2Slot2Promo2">OutComp!$AG$201</definedName>
    <definedName name="tlOutputDecSumCh2Prod2Slot2PS1">OutComp!$AC$201</definedName>
    <definedName name="tlOutputDecSumCh2Prod2Slot2PS2">OutComp!$AO$201</definedName>
    <definedName name="tlOutputDecSumCh2Prod2Slot2PW1">OutComp!$Y$201</definedName>
    <definedName name="tlOutputDecSumCh2Prod2Slot2PW2">OutComp!$AK$201</definedName>
    <definedName name="tlOutputDecSumCh2Prod2Slot2SF">OutComp!$I$201</definedName>
    <definedName name="tlOutputDecSumCh2Prod2Slot3">OutComp!$E$202</definedName>
    <definedName name="tlOutputDecSumCh2Prod2Slot3CP">OutComp!$Q$202</definedName>
    <definedName name="tlOutputDecSumCh2Prod2Slot3Pack">OutComp!$M$202</definedName>
    <definedName name="tlOutputDecSumCh2Prod2Slot3Promo1">OutComp!$U$202</definedName>
    <definedName name="tlOutputDecSumCh2Prod2Slot3Promo2">OutComp!$AG$202</definedName>
    <definedName name="tlOutputDecSumCh2Prod2Slot3PS1">OutComp!$AC$202</definedName>
    <definedName name="tlOutputDecSumCh2Prod2Slot3PS2">OutComp!$AO$202</definedName>
    <definedName name="tlOutputDecSumCh2Prod2Slot3PW1">OutComp!$Y$202</definedName>
    <definedName name="tlOutputDecSumCh2Prod2Slot3PW2">OutComp!$AK$202</definedName>
    <definedName name="tlOutputDecSumCh2Prod2Slot3SF">OutComp!$I$202</definedName>
    <definedName name="tlOutputDecSumCh2Prod3Slot1">OutComp!$E$217</definedName>
    <definedName name="tlOutputDecSumCh2Prod3Slot1CP">OutComp!$Q$217</definedName>
    <definedName name="tlOutputDecSumCh2Prod3Slot1Pack">OutComp!$M$217</definedName>
    <definedName name="tlOutputDecSumCh2Prod3Slot1Promo1">OutComp!$U$217</definedName>
    <definedName name="tlOutputDecSumCh2Prod3Slot1Promo2">OutComp!$AG$217</definedName>
    <definedName name="tlOutputDecSumCh2Prod3Slot1PS1">OutComp!$AC$217</definedName>
    <definedName name="tlOutputDecSumCh2Prod3Slot1PS2">OutComp!$AO$217</definedName>
    <definedName name="tlOutputDecSumCh2Prod3Slot1PW1">OutComp!$Y$217</definedName>
    <definedName name="tlOutputDecSumCh2Prod3Slot1PW2">OutComp!$AK$217</definedName>
    <definedName name="tlOutputDecSumCh2Prod3Slot1SF">OutComp!$I$217</definedName>
    <definedName name="tlOutputDecSumCh2Prod3Slot2">OutComp!$E$218</definedName>
    <definedName name="tlOutputDecSumCh2Prod3Slot2CP">OutComp!$Q$218</definedName>
    <definedName name="tlOutputDecSumCh2Prod3Slot2Pack">OutComp!$M$218</definedName>
    <definedName name="tlOutputDecSumCh2Prod3Slot2Promo1">OutComp!$U$218</definedName>
    <definedName name="tlOutputDecSumCh2Prod3Slot2Promo2">OutComp!$AG$218</definedName>
    <definedName name="tlOutputDecSumCh2Prod3Slot2PS1">OutComp!$AC$218</definedName>
    <definedName name="tlOutputDecSumCh2Prod3Slot2PS2">OutComp!$AO$218</definedName>
    <definedName name="tlOutputDecSumCh2Prod3Slot2PW1">OutComp!$Y$218</definedName>
    <definedName name="tlOutputDecSumCh2Prod3Slot2PW2">OutComp!$AK$218</definedName>
    <definedName name="tlOutputDecSumCh2Prod3Slot2SF">OutComp!$I$218</definedName>
    <definedName name="tlOutputDecSumCh2Prod3Slot3">OutComp!$E$219</definedName>
    <definedName name="tlOutputDecSumCh2Prod3Slot3CP">OutComp!$Q$219</definedName>
    <definedName name="tlOutputDecSumCh2Prod3Slot3Pack">OutComp!$M$219</definedName>
    <definedName name="tlOutputDecSumCh2Prod3Slot3Promo1">OutComp!$U$219</definedName>
    <definedName name="tlOutputDecSumCh2Prod3Slot3Promo2">OutComp!$AG$219</definedName>
    <definedName name="tlOutputDecSumCh2Prod3Slot3PS1">OutComp!$AC$219</definedName>
    <definedName name="tlOutputDecSumCh2Prod3Slot3PS2">OutComp!$AO$219</definedName>
    <definedName name="tlOutputDecSumCh2Prod3Slot3PW1">OutComp!$Y$219</definedName>
    <definedName name="tlOutputDecSumCh2Prod3Slot3PW2">OutComp!$AK$219</definedName>
    <definedName name="tlOutputDecSumCh2Prod3Slot3SF">OutComp!$I$219</definedName>
    <definedName name="tlOutputDecSumCh2Prod4Slot1">OutComp!$E$251</definedName>
    <definedName name="tlOutputDecSumCh2Prod4Slot1CP">OutComp!$Q$251</definedName>
    <definedName name="tlOutputDecSumCh2Prod4Slot1Pack">OutComp!$M$251</definedName>
    <definedName name="tlOutputDecSumCh2Prod4Slot1Promo1">OutComp!$U$251</definedName>
    <definedName name="tlOutputDecSumCh2Prod4Slot1Promo2">OutComp!$AG$251</definedName>
    <definedName name="tlOutputDecSumCh2Prod4Slot1PS1">OutComp!$AC$251</definedName>
    <definedName name="tlOutputDecSumCh2Prod4Slot1PS2">OutComp!$AO$251</definedName>
    <definedName name="tlOutputDecSumCh2Prod4Slot1PW1">OutComp!$Y$251</definedName>
    <definedName name="tlOutputDecSumCh2Prod4Slot1PW2">OutComp!$AK$251</definedName>
    <definedName name="tlOutputDecSumCh2Prod4Slot1SF">OutComp!$I$251</definedName>
    <definedName name="tlOutputDecSumCh2Prod4Slot2">OutComp!$E$252</definedName>
    <definedName name="tlOutputDecSumCh2Prod4Slot2CP">OutComp!$Q$252</definedName>
    <definedName name="tlOutputDecSumCh2Prod4Slot2Pack">OutComp!$M$252</definedName>
    <definedName name="tlOutputDecSumCh2Prod4Slot2Promo1">OutComp!$U$252</definedName>
    <definedName name="tlOutputDecSumCh2Prod4Slot2Promo2">OutComp!$AG$252</definedName>
    <definedName name="tlOutputDecSumCh2Prod4Slot2PS1">OutComp!$AC$252</definedName>
    <definedName name="tlOutputDecSumCh2Prod4Slot2PS2">OutComp!$AO$252</definedName>
    <definedName name="tlOutputDecSumCh2Prod4Slot2PW1">OutComp!$Y$252</definedName>
    <definedName name="tlOutputDecSumCh2Prod4Slot2PW2">OutComp!$AK$252</definedName>
    <definedName name="tlOutputDecSumCh2Prod4Slot2SF">OutComp!$I$252</definedName>
    <definedName name="tlOutputDecSumCh2Prod4Slot3">OutComp!$E$253</definedName>
    <definedName name="tlOutputDecSumCh2Prod4Slot3CP">OutComp!$Q$253</definedName>
    <definedName name="tlOutputDecSumCh2Prod4Slot3Pack">OutComp!$M$253</definedName>
    <definedName name="tlOutputDecSumCh2Prod4Slot3Promo1">OutComp!$U$253</definedName>
    <definedName name="tlOutputDecSumCh2Prod4Slot3Promo2">OutComp!$AG$253</definedName>
    <definedName name="tlOutputDecSumCh2Prod4Slot3PS1">OutComp!$AC$253</definedName>
    <definedName name="tlOutputDecSumCh2Prod4Slot3PS2">OutComp!$AO$253</definedName>
    <definedName name="tlOutputDecSumCh2Prod4Slot3PW1">OutComp!$Y$253</definedName>
    <definedName name="tlOutputDecSumCh2Prod4Slot3PW2">OutComp!$AK$253</definedName>
    <definedName name="tlOutputDecSumCh2Prod4Slot3SF">OutComp!$I$253</definedName>
    <definedName name="tlOutputDecSumCh3Prod1Slot1">OutComp!$E$238</definedName>
    <definedName name="tlOutputDecSumCh3Prod1Slot1CP">OutComp!$Q$238</definedName>
    <definedName name="tlOutputDecSumCh3Prod1Slot1Pack">OutComp!$M$238</definedName>
    <definedName name="tlOutputDecSumCh3Prod1Slot1Promo1">OutComp!$U$238</definedName>
    <definedName name="tlOutputDecSumCh3Prod1Slot1Promo2">OutComp!$AG$238</definedName>
    <definedName name="tlOutputDecSumCh3Prod1Slot1PS1">OutComp!$AC$238</definedName>
    <definedName name="tlOutputDecSumCh3Prod1Slot1PS2">OutComp!$AO$238</definedName>
    <definedName name="tlOutputDecSumCh3Prod1Slot1PW1">OutComp!$Y$238</definedName>
    <definedName name="tlOutputDecSumCh3Prod1Slot1PW2">OutComp!$AK$238</definedName>
    <definedName name="tlOutputDecSumCh3Prod1Slot1SF">OutComp!$I$238</definedName>
    <definedName name="tlOutputDecSumCh3Prod1Slot2">OutComp!$E$239</definedName>
    <definedName name="tlOutputDecSumCh3Prod1Slot2CP">OutComp!$Q$239</definedName>
    <definedName name="tlOutputDecSumCh3Prod1Slot2Pack">OutComp!$M$239</definedName>
    <definedName name="tlOutputDecSumCh3Prod1Slot2Promo1">OutComp!$U$239</definedName>
    <definedName name="tlOutputDecSumCh3Prod1Slot2Promo2">OutComp!$AG$239</definedName>
    <definedName name="tlOutputDecSumCh3Prod1Slot2PS1">OutComp!$AC$239</definedName>
    <definedName name="tlOutputDecSumCh3Prod1Slot2PS2">OutComp!$AO$239</definedName>
    <definedName name="tlOutputDecSumCh3Prod1Slot2PW1">OutComp!$Y$239</definedName>
    <definedName name="tlOutputDecSumCh3Prod1Slot2PW2">OutComp!$AK$239</definedName>
    <definedName name="tlOutputDecSumCh3Prod1Slot2SF">OutComp!$I$239</definedName>
    <definedName name="tlOutputDecSumCh3Prod1Slot3">OutComp!$E$240</definedName>
    <definedName name="tlOutputDecSumCh3Prod1Slot3CP">OutComp!$Q$240</definedName>
    <definedName name="tlOutputDecSumCh3Prod1Slot3Pack">OutComp!$M$240</definedName>
    <definedName name="tlOutputDecSumCh3Prod1Slot3Promo1">OutComp!$U$240</definedName>
    <definedName name="tlOutputDecSumCh3Prod1Slot3Promo2">OutComp!$AG$240</definedName>
    <definedName name="tlOutputDecSumCh3Prod1Slot3PS1">OutComp!$AC$240</definedName>
    <definedName name="tlOutputDecSumCh3Prod1Slot3PS2">OutComp!$AO$240</definedName>
    <definedName name="tlOutputDecSumCh3Prod1Slot3PW1">OutComp!$Y$240</definedName>
    <definedName name="tlOutputDecSumCh3Prod1Slot3PW2">OutComp!$AK$240</definedName>
    <definedName name="tlOutputDecSumCh3Prod1Slot3SF">OutComp!$I$240</definedName>
    <definedName name="tlOutputDecSumCh3Prod2Slot1">OutComp!$E$204</definedName>
    <definedName name="tlOutputDecSumCh3Prod2Slot1CP">OutComp!$Q$204</definedName>
    <definedName name="tlOutputDecSumCh3Prod2Slot1Pack">OutComp!$M$204</definedName>
    <definedName name="tlOutputDecSumCh3Prod2Slot1Promo1">OutComp!$U$204</definedName>
    <definedName name="tlOutputDecSumCh3Prod2Slot1Promo2">OutComp!$AG$204</definedName>
    <definedName name="tlOutputDecSumCh3Prod2Slot1PS1">OutComp!$AC$204</definedName>
    <definedName name="tlOutputDecSumCh3Prod2Slot1PS2">OutComp!$AO$204</definedName>
    <definedName name="tlOutputDecSumCh3Prod2Slot1PW1">OutComp!$Y$204</definedName>
    <definedName name="tlOutputDecSumCh3Prod2Slot1PW2">OutComp!$AK$204</definedName>
    <definedName name="tlOutputDecSumCh3Prod2Slot1SF">OutComp!$I$204</definedName>
    <definedName name="tlOutputDecSumCh3Prod2Slot2">OutComp!$E$205</definedName>
    <definedName name="tlOutputDecSumCh3Prod2Slot2CP">OutComp!$Q$205</definedName>
    <definedName name="tlOutputDecSumCh3Prod2Slot2Pack">OutComp!$M$205</definedName>
    <definedName name="tlOutputDecSumCh3Prod2Slot2Promo1">OutComp!$U$205</definedName>
    <definedName name="tlOutputDecSumCh3Prod2Slot2Promo2">OutComp!$AG$205</definedName>
    <definedName name="tlOutputDecSumCh3Prod2Slot2PS1">OutComp!$AC$205</definedName>
    <definedName name="tlOutputDecSumCh3Prod2Slot2PS2">OutComp!$AO$205</definedName>
    <definedName name="tlOutputDecSumCh3Prod2Slot2PW1">OutComp!$Y$205</definedName>
    <definedName name="tlOutputDecSumCh3Prod2Slot2PW2">OutComp!$AK$205</definedName>
    <definedName name="tlOutputDecSumCh3Prod2Slot2SF">OutComp!$I$205</definedName>
    <definedName name="tlOutputDecSumCh3Prod2Slot3">OutComp!$E$206</definedName>
    <definedName name="tlOutputDecSumCh3Prod2Slot3CP">OutComp!$Q$206</definedName>
    <definedName name="tlOutputDecSumCh3Prod2Slot3Pack">OutComp!$M$206</definedName>
    <definedName name="tlOutputDecSumCh3Prod2Slot3Promo1">OutComp!$U$206</definedName>
    <definedName name="tlOutputDecSumCh3Prod2Slot3Promo2">OutComp!$AG$206</definedName>
    <definedName name="tlOutputDecSumCh3Prod2Slot3PS1">OutComp!$AC$206</definedName>
    <definedName name="tlOutputDecSumCh3Prod2Slot3PS2">OutComp!$AO$206</definedName>
    <definedName name="tlOutputDecSumCh3Prod2Slot3PW1">OutComp!$Y$206</definedName>
    <definedName name="tlOutputDecSumCh3Prod2Slot3PW2">OutComp!$AK$206</definedName>
    <definedName name="tlOutputDecSumCh3Prod2Slot3SF">OutComp!$I$206</definedName>
    <definedName name="tlOutputDecSumCh3Prod3Slot1">OutComp!$E$221</definedName>
    <definedName name="tlOutputDecSumCh3Prod3Slot1CP">OutComp!$Q$221</definedName>
    <definedName name="tlOutputDecSumCh3Prod3Slot1Pack">OutComp!$M$221</definedName>
    <definedName name="tlOutputDecSumCh3Prod3Slot1Promo1">OutComp!$U$221</definedName>
    <definedName name="tlOutputDecSumCh3Prod3Slot1Promo2">OutComp!$AG$221</definedName>
    <definedName name="tlOutputDecSumCh3Prod3Slot1PS1">OutComp!$AC$221</definedName>
    <definedName name="tlOutputDecSumCh3Prod3Slot1PS2">OutComp!$AO$221</definedName>
    <definedName name="tlOutputDecSumCh3Prod3Slot1PW1">OutComp!$Y$221</definedName>
    <definedName name="tlOutputDecSumCh3Prod3Slot1PW2">OutComp!$AK$221</definedName>
    <definedName name="tlOutputDecSumCh3Prod3Slot1SF">OutComp!$I$221</definedName>
    <definedName name="tlOutputDecSumCh3Prod3Slot2">OutComp!$E$222</definedName>
    <definedName name="tlOutputDecSumCh3Prod3Slot2CP">OutComp!$Q$222</definedName>
    <definedName name="tlOutputDecSumCh3Prod3Slot2Pack">OutComp!$M$222</definedName>
    <definedName name="tlOutputDecSumCh3Prod3Slot2Promo1">OutComp!$U$222</definedName>
    <definedName name="tlOutputDecSumCh3Prod3Slot2Promo2">OutComp!$AG$222</definedName>
    <definedName name="tlOutputDecSumCh3Prod3Slot2PS1">OutComp!$AC$222</definedName>
    <definedName name="tlOutputDecSumCh3Prod3Slot2PS2">OutComp!$AO$222</definedName>
    <definedName name="tlOutputDecSumCh3Prod3Slot2PW1">OutComp!$Y$222</definedName>
    <definedName name="tlOutputDecSumCh3Prod3Slot2PW2">OutComp!$AK$222</definedName>
    <definedName name="tlOutputDecSumCh3Prod3Slot2SF">OutComp!$I$222</definedName>
    <definedName name="tlOutputDecSumCh3Prod3Slot3">OutComp!$E$223</definedName>
    <definedName name="tlOutputDecSumCh3Prod3Slot3CP">OutComp!$Q$223</definedName>
    <definedName name="tlOutputDecSumCh3Prod3Slot3Pack">OutComp!$M$223</definedName>
    <definedName name="tlOutputDecSumCh3Prod3Slot3Promo1">OutComp!$U$223</definedName>
    <definedName name="tlOutputDecSumCh3Prod3Slot3Promo2">OutComp!$AG$223</definedName>
    <definedName name="tlOutputDecSumCh3Prod3Slot3PS1">OutComp!$AC$223</definedName>
    <definedName name="tlOutputDecSumCh3Prod3Slot3PS2">OutComp!$AO$223</definedName>
    <definedName name="tlOutputDecSumCh3Prod3Slot3PW1">OutComp!$Y$223</definedName>
    <definedName name="tlOutputDecSumCh3Prod3Slot3PW2">OutComp!$AK$223</definedName>
    <definedName name="tlOutputDecSumCh3Prod3Slot3SF">OutComp!$I$223</definedName>
    <definedName name="tlOutputDecSumCh3Prod4Slot1">OutComp!$E$255</definedName>
    <definedName name="tlOutputDecSumCh3Prod4Slot1CP">OutComp!$Q$255</definedName>
    <definedName name="tlOutputDecSumCh3Prod4Slot1Pack">OutComp!$M$255</definedName>
    <definedName name="tlOutputDecSumCh3Prod4Slot1Promo1">OutComp!$U$255</definedName>
    <definedName name="tlOutputDecSumCh3Prod4Slot1Promo2">OutComp!$AG$255</definedName>
    <definedName name="tlOutputDecSumCh3Prod4Slot1PS1">OutComp!$AC$255</definedName>
    <definedName name="tlOutputDecSumCh3Prod4Slot1PS2">OutComp!$AO$255</definedName>
    <definedName name="tlOutputDecSumCh3Prod4Slot1PW1">OutComp!$Y$255</definedName>
    <definedName name="tlOutputDecSumCh3Prod4Slot1PW2">OutComp!$AK$255</definedName>
    <definedName name="tlOutputDecSumCh3Prod4Slot1SF">OutComp!$I$255</definedName>
    <definedName name="tlOutputDecSumCh3Prod4Slot2">OutComp!$E$256</definedName>
    <definedName name="tlOutputDecSumCh3Prod4Slot2CP">OutComp!$Q$256</definedName>
    <definedName name="tlOutputDecSumCh3Prod4Slot2Pack">OutComp!$M$256</definedName>
    <definedName name="tlOutputDecSumCh3Prod4Slot2Promo1">OutComp!$U$256</definedName>
    <definedName name="tlOutputDecSumCh3Prod4Slot2Promo2">OutComp!$AG$256</definedName>
    <definedName name="tlOutputDecSumCh3Prod4Slot2PS1">OutComp!$AC$256</definedName>
    <definedName name="tlOutputDecSumCh3Prod4Slot2PS2">OutComp!$AO$256</definedName>
    <definedName name="tlOutputDecSumCh3Prod4Slot2PW1">OutComp!$Y$256</definedName>
    <definedName name="tlOutputDecSumCh3Prod4Slot2PW2">OutComp!$AK$256</definedName>
    <definedName name="tlOutputDecSumCh3Prod4Slot2SF">OutComp!$I$256</definedName>
    <definedName name="tlOutputDecSumCh3Prod4Slot3">OutComp!$E$257</definedName>
    <definedName name="tlOutputDecSumCh3Prod4Slot3CP">OutComp!$Q$257</definedName>
    <definedName name="tlOutputDecSumCh3Prod4Slot3Pack">OutComp!$M$257</definedName>
    <definedName name="tlOutputDecSumCh3Prod4Slot3Promo1">OutComp!$U$257</definedName>
    <definedName name="tlOutputDecSumCh3Prod4Slot3Promo2">OutComp!$AG$257</definedName>
    <definedName name="tlOutputDecSumCh3Prod4Slot3PS1">OutComp!$AC$257</definedName>
    <definedName name="tlOutputDecSumCh3Prod4Slot3PS2">OutComp!$AO$257</definedName>
    <definedName name="tlOutputDecSumCh3Prod4Slot3PW1">OutComp!$Y$257</definedName>
    <definedName name="tlOutputDecSumCh3Prod4Slot3PW2">OutComp!$AK$257</definedName>
    <definedName name="tlOutputDecSumCh3Prod4Slot3SF">OutComp!$I$257</definedName>
    <definedName name="tlOutputDecSumCh4Prod1Slot1">OutComp!$E$242</definedName>
    <definedName name="tlOutputDecSumCh4Prod1Slot1CP">OutComp!$Q$242</definedName>
    <definedName name="tlOutputDecSumCh4Prod1Slot1Pack">OutComp!$M$242</definedName>
    <definedName name="tlOutputDecSumCh4Prod1Slot1Promo1">OutComp!$U$242</definedName>
    <definedName name="tlOutputDecSumCh4Prod1Slot1Promo2">OutComp!$AG$242</definedName>
    <definedName name="tlOutputDecSumCh4Prod1Slot1PS1">OutComp!$AC$242</definedName>
    <definedName name="tlOutputDecSumCh4Prod1Slot1PS2">OutComp!$AO$242</definedName>
    <definedName name="tlOutputDecSumCh4Prod1Slot1PW1">OutComp!$Y$242</definedName>
    <definedName name="tlOutputDecSumCh4Prod1Slot1PW2">OutComp!$AK$242</definedName>
    <definedName name="tlOutputDecSumCh4Prod1Slot1SF">OutComp!$I$242</definedName>
    <definedName name="tlOutputDecSumCh4Prod1Slot2">OutComp!$E$243</definedName>
    <definedName name="tlOutputDecSumCh4Prod1Slot2CP">OutComp!$Q$243</definedName>
    <definedName name="tlOutputDecSumCh4Prod1Slot2Pack">OutComp!$M$243</definedName>
    <definedName name="tlOutputDecSumCh4Prod1Slot2Promo1">OutComp!$U$243</definedName>
    <definedName name="tlOutputDecSumCh4Prod1Slot2Promo2">OutComp!$AG$243</definedName>
    <definedName name="tlOutputDecSumCh4Prod1Slot2PS1">OutComp!$AC$243</definedName>
    <definedName name="tlOutputDecSumCh4Prod1Slot2PS2">OutComp!$AO$243</definedName>
    <definedName name="tlOutputDecSumCh4Prod1Slot2PW1">OutComp!$Y$243</definedName>
    <definedName name="tlOutputDecSumCh4Prod1Slot2PW2">OutComp!$AK$243</definedName>
    <definedName name="tlOutputDecSumCh4Prod1Slot2SF">OutComp!$I$243</definedName>
    <definedName name="tlOutputDecSumCh4Prod1Slot3">OutComp!$E$244</definedName>
    <definedName name="tlOutputDecSumCh4Prod1Slot3CP">OutComp!$Q$244</definedName>
    <definedName name="tlOutputDecSumCh4Prod1Slot3Pack">OutComp!$M$244</definedName>
    <definedName name="tlOutputDecSumCh4Prod1Slot3Promo1">OutComp!$U$244</definedName>
    <definedName name="tlOutputDecSumCh4Prod1Slot3Promo2">OutComp!$AG$244</definedName>
    <definedName name="tlOutputDecSumCh4Prod1Slot3PS1">OutComp!$AC$244</definedName>
    <definedName name="tlOutputDecSumCh4Prod1Slot3PS2">OutComp!$AO$244</definedName>
    <definedName name="tlOutputDecSumCh4Prod1Slot3PW1">OutComp!$Y$244</definedName>
    <definedName name="tlOutputDecSumCh4Prod1Slot3PW2">OutComp!$AK$244</definedName>
    <definedName name="tlOutputDecSumCh4Prod1Slot3SF">OutComp!$I$244</definedName>
    <definedName name="tlOutputDecSumCh4Prod2Slot1">OutComp!$E$208</definedName>
    <definedName name="tlOutputDecSumCh4Prod2Slot1CP">OutComp!$Q$208</definedName>
    <definedName name="tlOutputDecSumCh4Prod2Slot1Pack">OutComp!$M$208</definedName>
    <definedName name="tlOutputDecSumCh4Prod2Slot1Promo1">OutComp!$U$208</definedName>
    <definedName name="tlOutputDecSumCh4Prod2Slot1Promo2">OutComp!$AG$208</definedName>
    <definedName name="tlOutputDecSumCh4Prod2Slot1PS1">OutComp!$AC$208</definedName>
    <definedName name="tlOutputDecSumCh4Prod2Slot1PS2">OutComp!$AO$208</definedName>
    <definedName name="tlOutputDecSumCh4Prod2Slot1PW1">OutComp!$Y$208</definedName>
    <definedName name="tlOutputDecSumCh4Prod2Slot1PW2">OutComp!$AK$208</definedName>
    <definedName name="tlOutputDecSumCh4Prod2Slot1SF">OutComp!$I$208</definedName>
    <definedName name="tlOutputDecSumCh4Prod2Slot2">OutComp!$E$209</definedName>
    <definedName name="tlOutputDecSumCh4Prod2Slot2CP">OutComp!$Q$209</definedName>
    <definedName name="tlOutputDecSumCh4Prod2Slot2Pack">OutComp!$M$209</definedName>
    <definedName name="tlOutputDecSumCh4Prod2Slot2Promo1">OutComp!$U$209</definedName>
    <definedName name="tlOutputDecSumCh4Prod2Slot2Promo2">OutComp!$AG$209</definedName>
    <definedName name="tlOutputDecSumCh4Prod2Slot2PS1">OutComp!$AC$209</definedName>
    <definedName name="tlOutputDecSumCh4Prod2Slot2PS2">OutComp!$AO$209</definedName>
    <definedName name="tlOutputDecSumCh4Prod2Slot2PW1">OutComp!$Y$209</definedName>
    <definedName name="tlOutputDecSumCh4Prod2Slot2PW2">OutComp!$AK$209</definedName>
    <definedName name="tlOutputDecSumCh4Prod2Slot2SF">OutComp!$I$209</definedName>
    <definedName name="tlOutputDecSumCh4Prod2Slot3">OutComp!$E$210</definedName>
    <definedName name="tlOutputDecSumCh4Prod2Slot3CP">OutComp!$Q$210</definedName>
    <definedName name="tlOutputDecSumCh4Prod2Slot3Pack">OutComp!$M$210</definedName>
    <definedName name="tlOutputDecSumCh4Prod2Slot3Promo1">OutComp!$U$210</definedName>
    <definedName name="tlOutputDecSumCh4Prod2Slot3Promo2">OutComp!$AG$210</definedName>
    <definedName name="tlOutputDecSumCh4Prod2Slot3PS1">OutComp!$AC$210</definedName>
    <definedName name="tlOutputDecSumCh4Prod2Slot3PS2">OutComp!$AO$210</definedName>
    <definedName name="tlOutputDecSumCh4Prod2Slot3PW1">OutComp!$Y$210</definedName>
    <definedName name="tlOutputDecSumCh4Prod2Slot3PW2">OutComp!$AK$210</definedName>
    <definedName name="tlOutputDecSumCh4Prod2Slot3SF">OutComp!$I$210</definedName>
    <definedName name="tlOutputDecSumCh4Prod3Slot1">OutComp!$E$225</definedName>
    <definedName name="tlOutputDecSumCh4Prod3Slot1CP">OutComp!$Q$225</definedName>
    <definedName name="tlOutputDecSumCh4Prod3Slot1Pack">OutComp!$M$225</definedName>
    <definedName name="tlOutputDecSumCh4Prod3Slot1Promo1">OutComp!$U$225</definedName>
    <definedName name="tlOutputDecSumCh4Prod3Slot1Promo2">OutComp!$AG$225</definedName>
    <definedName name="tlOutputDecSumCh4Prod3Slot1PS1">OutComp!$AC$225</definedName>
    <definedName name="tlOutputDecSumCh4Prod3Slot1PS2">OutComp!$AO$225</definedName>
    <definedName name="tlOutputDecSumCh4Prod3Slot1PW1">OutComp!$Y$225</definedName>
    <definedName name="tlOutputDecSumCh4Prod3Slot1PW2">OutComp!$AK$225</definedName>
    <definedName name="tlOutputDecSumCh4Prod3Slot1SF">OutComp!$I$225</definedName>
    <definedName name="tlOutputDecSumCh4Prod3Slot2">OutComp!$E$226</definedName>
    <definedName name="tlOutputDecSumCh4Prod3Slot2CP">OutComp!$Q$226</definedName>
    <definedName name="tlOutputDecSumCh4Prod3Slot2Pack">OutComp!$M$226</definedName>
    <definedName name="tlOutputDecSumCh4Prod3Slot2Promo1">OutComp!$U$226</definedName>
    <definedName name="tlOutputDecSumCh4Prod3Slot2Promo2">OutComp!$AG$226</definedName>
    <definedName name="tlOutputDecSumCh4Prod3Slot2PS1">OutComp!$AC$226</definedName>
    <definedName name="tlOutputDecSumCh4Prod3Slot2PS2">OutComp!$AO$226</definedName>
    <definedName name="tlOutputDecSumCh4Prod3Slot2PW1">OutComp!$Y$226</definedName>
    <definedName name="tlOutputDecSumCh4Prod3Slot2PW2">OutComp!$AK$226</definedName>
    <definedName name="tlOutputDecSumCh4Prod3Slot2SF">OutComp!$I$226</definedName>
    <definedName name="tlOutputDecSumCh4Prod3Slot3">OutComp!$E$227</definedName>
    <definedName name="tlOutputDecSumCh4Prod3Slot3CP">OutComp!$Q$227</definedName>
    <definedName name="tlOutputDecSumCh4Prod3Slot3Pack">OutComp!$M$227</definedName>
    <definedName name="tlOutputDecSumCh4Prod3Slot3Promo1">OutComp!$U$227</definedName>
    <definedName name="tlOutputDecSumCh4Prod3Slot3Promo2">OutComp!$AG$227</definedName>
    <definedName name="tlOutputDecSumCh4Prod3Slot3PS1">OutComp!$AC$227</definedName>
    <definedName name="tlOutputDecSumCh4Prod3Slot3PS2">OutComp!$AO$227</definedName>
    <definedName name="tlOutputDecSumCh4Prod3Slot3PW1">OutComp!$Y$227</definedName>
    <definedName name="tlOutputDecSumCh4Prod3Slot3PW2">OutComp!$AK$227</definedName>
    <definedName name="tlOutputDecSumCh4Prod3Slot3SF">OutComp!$I$227</definedName>
    <definedName name="tlOutputDecSumCh4Prod4Slot1">OutComp!$E$259</definedName>
    <definedName name="tlOutputDecSumCh4Prod4Slot1CP">OutComp!$Q$259</definedName>
    <definedName name="tlOutputDecSumCh4Prod4Slot1Pack">OutComp!$M$259</definedName>
    <definedName name="tlOutputDecSumCh4Prod4Slot1Promo1">OutComp!$U$259</definedName>
    <definedName name="tlOutputDecSumCh4Prod4Slot1Promo2">OutComp!$AG$259</definedName>
    <definedName name="tlOutputDecSumCh4Prod4Slot1PS1">OutComp!$AC$259</definedName>
    <definedName name="tlOutputDecSumCh4Prod4Slot1PS2">OutComp!$AO$259</definedName>
    <definedName name="tlOutputDecSumCh4Prod4Slot1PW1">OutComp!$Y$259</definedName>
    <definedName name="tlOutputDecSumCh4Prod4Slot1PW2">OutComp!$AK$259</definedName>
    <definedName name="tlOutputDecSumCh4Prod4Slot1SF">OutComp!$I$259</definedName>
    <definedName name="tlOutputDecSumCh4Prod4Slot2">OutComp!$E$260</definedName>
    <definedName name="tlOutputDecSumCh4Prod4Slot2CP">OutComp!$Q$260</definedName>
    <definedName name="tlOutputDecSumCh4Prod4Slot2Pack">OutComp!$M$260</definedName>
    <definedName name="tlOutputDecSumCh4Prod4Slot2Promo1">OutComp!$U$260</definedName>
    <definedName name="tlOutputDecSumCh4Prod4Slot2Promo2">OutComp!$AG$260</definedName>
    <definedName name="tlOutputDecSumCh4Prod4Slot2PS1">OutComp!$AC$260</definedName>
    <definedName name="tlOutputDecSumCh4Prod4Slot2PS2">OutComp!$AO$260</definedName>
    <definedName name="tlOutputDecSumCh4Prod4Slot2PW1">OutComp!$Y$260</definedName>
    <definedName name="tlOutputDecSumCh4Prod4Slot2PW2">OutComp!$AK$260</definedName>
    <definedName name="tlOutputDecSumCh4Prod4Slot2SF">OutComp!$I$260</definedName>
    <definedName name="tlOutputDecSumCh4Prod4Slot3">OutComp!$E$261</definedName>
    <definedName name="tlOutputDecSumCh4Prod4Slot3CP">OutComp!$Q$261</definedName>
    <definedName name="tlOutputDecSumCh4Prod4Slot3Pack">OutComp!$M$261</definedName>
    <definedName name="tlOutputDecSumCh4Prod4Slot3Promo1">OutComp!$U$261</definedName>
    <definedName name="tlOutputDecSumCh4Prod4Slot3Promo2">OutComp!$AG$261</definedName>
    <definedName name="tlOutputDecSumCh4Prod4Slot3PS1">OutComp!$AC$261</definedName>
    <definedName name="tlOutputDecSumCh4Prod4Slot3PS2">OutComp!$AO$261</definedName>
    <definedName name="tlOutputDecSumCh4Prod4Slot3PW1">OutComp!$Y$261</definedName>
    <definedName name="tlOutputDecSumCh4Prod4Slot3PW2">OutComp!$AK$261</definedName>
    <definedName name="tlOutputDecSumCh4Prod4Slot3SF">OutComp!$I$261</definedName>
    <definedName name="tlOutputExportValidation">OutComp!$I$189</definedName>
    <definedName name="tlOutputPackAvailableListCh1">Packs!$M$96:$M$136</definedName>
    <definedName name="tlOutputPackAvailableListCh2">Packs!$N$96:$N$136</definedName>
    <definedName name="tlOutputPackAvailableListCh3">Packs!$O$96:$O$136</definedName>
    <definedName name="tlOutputPackAvailableListCh4">Packs!$P$96:$P$136</definedName>
    <definedName name="tlOutputPackInnovation1Emp1Req">OutComp!$E$144</definedName>
    <definedName name="tlOutputPackInnovation1Exp">OutComp!$E$147</definedName>
    <definedName name="tlOutputPackInnovation2Emp1Req">OutComp!$E$145</definedName>
    <definedName name="tlOutputPackInnovation2Exp">OutComp!$E$148</definedName>
    <definedName name="tlOutputPackInnovationList">Packs!$M$23:$M$63</definedName>
    <definedName name="tlOutputPNLBMktExpTot">OutComp!$E$24</definedName>
    <definedName name="tlOutputPNLBMktExpTotPct">OutComp!$I$24</definedName>
    <definedName name="tlOutputPNLBMktExpTotPVol">OutComp!$M$24</definedName>
    <definedName name="tlOutputPNLCh1CostRev">OutComp!$E$49</definedName>
    <definedName name="tlOutputPNLCh1CostRevPct">OutComp!$E$50</definedName>
    <definedName name="tlOutputPNLCh1DepExp">OutComp!$E$48</definedName>
    <definedName name="tlOutputPNLCh1Discounts">OutComp!$E$41</definedName>
    <definedName name="tlOutputPNLCh1Excise">OutComp!$E$39</definedName>
    <definedName name="tlOutputPNLCh1GCC">OutComp!$E$67</definedName>
    <definedName name="tlOutputPNLCh1GCCMargin">OutComp!$E$68</definedName>
    <definedName name="tlOutputPNLCh1GM">OutComp!$E$53</definedName>
    <definedName name="tlOutputPNLCh1GPaL">OutComp!$E$60</definedName>
    <definedName name="tlOutputPNLCh1GPaLMargin">OutComp!$E$61</definedName>
    <definedName name="tlOutputPNLCh1GroProfit">OutComp!$E$52</definedName>
    <definedName name="tlOutputPNLCh1GrossSales">OutComp!$E$40</definedName>
    <definedName name="tlOutputPNLCh1LabExp">OutComp!$E$46</definedName>
    <definedName name="tlOutputPNLCh1LogExp">OutComp!$E$56</definedName>
    <definedName name="tlOutputPNLCh1LogExpPct">OutComp!$E$57</definedName>
    <definedName name="tlOutputPNLCh1MachExp">OutComp!$E$47</definedName>
    <definedName name="tlOutputPNLCh1MatExp">OutComp!$E$45</definedName>
    <definedName name="tlOutputPNLCh1NetRev">OutComp!$E$42</definedName>
    <definedName name="tlOutputPNLCh1Overhead">OutComp!$E$65</definedName>
    <definedName name="tlOutputPNLCh1OverheadPct">OutComp!$E$66</definedName>
    <definedName name="tlOutputPNLCh1Sales">OutComp!$E$63</definedName>
    <definedName name="tlOutputPNLCh1TMkt">OutComp!$E$64</definedName>
    <definedName name="tlOutputPNLCh1Turn">OutComp!$E$38</definedName>
    <definedName name="tlOutputPNLCh2CostRev">OutComp!$I$49</definedName>
    <definedName name="tlOutputPNLCh2CostRevPct">OutComp!$I$50</definedName>
    <definedName name="tlOutputPNLCh2DepExp">OutComp!$I$48</definedName>
    <definedName name="tlOutputPNLCh2Discounts">OutComp!$I$41</definedName>
    <definedName name="tlOutputPNLCh2Excise">OutComp!$I$39</definedName>
    <definedName name="tlOutputPNLCh2GCC">OutComp!$I$67</definedName>
    <definedName name="tlOutputPNLCh2GCCMargin">OutComp!$I$68</definedName>
    <definedName name="tlOutputPNLCh2GM">OutComp!$I$53</definedName>
    <definedName name="tlOutputPNLCh2GPaL">OutComp!$I$60</definedName>
    <definedName name="tlOutputPNLCh2GPaLMargin">OutComp!$I$61</definedName>
    <definedName name="tlOutputPNLCh2GroProfit">OutComp!$I$52</definedName>
    <definedName name="tlOutputPNLCh2GrossSales">OutComp!$I$40</definedName>
    <definedName name="tlOutputPNLCh2LabExp">OutComp!$I$46</definedName>
    <definedName name="tlOutputPNLCh2LogExp">OutComp!$I$56</definedName>
    <definedName name="tlOutputPNLCh2LogExpPct">OutComp!$I$57</definedName>
    <definedName name="tlOutputPNLCh2MachExp">OutComp!$I$47</definedName>
    <definedName name="tlOutputPNLCh2MatExp">OutComp!$I$45</definedName>
    <definedName name="tlOutputPNLCh2NetRev">OutComp!$I$42</definedName>
    <definedName name="tlOutputPNLCh2Overhead">OutComp!$I$65</definedName>
    <definedName name="tlOutputPNLCh2OverheadPct">OutComp!$I$66</definedName>
    <definedName name="tlOutputPNLCh2Sales">OutComp!$I$63</definedName>
    <definedName name="tlOutputPNLCh2TMkt">OutComp!$I$64</definedName>
    <definedName name="tlOutputPNLCh2Turn">OutComp!$I$38</definedName>
    <definedName name="tlOutputPNLCh3CostRev">OutComp!$M$49</definedName>
    <definedName name="tlOutputPNLCh3CostRevPct">OutComp!$M$50</definedName>
    <definedName name="tlOutputPNLCh3DepExp">OutComp!$M$48</definedName>
    <definedName name="tlOutputPNLCh3Discounts">OutComp!$M$41</definedName>
    <definedName name="tlOutputPNLCh3Excise">OutComp!$M$39</definedName>
    <definedName name="tlOutputPNLCh3GCC">OutComp!$M$67</definedName>
    <definedName name="tlOutputPNLCh3GCCMargin">OutComp!$M$68</definedName>
    <definedName name="tlOutputPNLCh3GM">OutComp!$M$53</definedName>
    <definedName name="tlOutputPNLCh3GPaL">OutComp!$M$60</definedName>
    <definedName name="tlOutputPNLCh3GPaLMargin">OutComp!$M$61</definedName>
    <definedName name="tlOutputPNLCh3GroProfit">OutComp!$M$52</definedName>
    <definedName name="tlOutputPNLCh3GrossSales">OutComp!$M$40</definedName>
    <definedName name="tlOutputPNLCh3LabExp">OutComp!$M$46</definedName>
    <definedName name="tlOutputPNLCh3LogExp">OutComp!$M$56</definedName>
    <definedName name="tlOutputPNLCh3LogExpPct">OutComp!$M$57</definedName>
    <definedName name="tlOutputPNLCh3MachExp">OutComp!$M$47</definedName>
    <definedName name="tlOutputPNLCh3MatExp">OutComp!$M$45</definedName>
    <definedName name="tlOutputPNLCh3NetRev">OutComp!$M$42</definedName>
    <definedName name="tlOutputPNLCh3Overhead">OutComp!$M$65</definedName>
    <definedName name="tlOutputPNLCh3OverheadPct">OutComp!$M$66</definedName>
    <definedName name="tlOutputPNLCh3Sales">OutComp!$M$63</definedName>
    <definedName name="tlOutputPNLCh3TMkt">OutComp!$M$64</definedName>
    <definedName name="tlOutputPNLCh3Turn">OutComp!$M$38</definedName>
    <definedName name="tlOutputPNLCh4CostRev">OutComp!$Q$49</definedName>
    <definedName name="tlOutputPNLCh4CostRevPct">OutComp!$Q$50</definedName>
    <definedName name="tlOutputPNLCh4DepExp">OutComp!$Q$48</definedName>
    <definedName name="tlOutputPNLCh4Discounts">OutComp!$Q$41</definedName>
    <definedName name="tlOutputPNLCh4Excise">OutComp!$Q$39</definedName>
    <definedName name="tlOutputPNLCh4GCC">OutComp!$Q$67</definedName>
    <definedName name="tlOutputPNLCh4GCCMargin">OutComp!$Q$68</definedName>
    <definedName name="tlOutputPNLCh4GM">OutComp!$Q$53</definedName>
    <definedName name="tlOutputPNLCh4GPaL">OutComp!$Q$60</definedName>
    <definedName name="tlOutputPNLCh4GPaLMargin">OutComp!$Q$61</definedName>
    <definedName name="tlOutputPNLCh4GroProfit">OutComp!$Q$52</definedName>
    <definedName name="tlOutputPNLCh4GrossSales">OutComp!$Q$40</definedName>
    <definedName name="tlOutputPNLCh4LabExp">OutComp!$Q$46</definedName>
    <definedName name="tlOutputPNLCh4LogExp">OutComp!$Q$56</definedName>
    <definedName name="tlOutputPNLCh4LogExpPct">OutComp!$Q$57</definedName>
    <definedName name="tlOutputPNLCh4MachExp">OutComp!$Q$47</definedName>
    <definedName name="tlOutputPNLCh4MatExp">OutComp!$Q$45</definedName>
    <definedName name="tlOutputPNLCh4NetRev">OutComp!$Q$42</definedName>
    <definedName name="tlOutputPNLCh4Overhead">OutComp!$Q$65</definedName>
    <definedName name="tlOutputPNLCh4OverheadPct">OutComp!$Q$66</definedName>
    <definedName name="tlOutputPNLCh4Sales">OutComp!$Q$63</definedName>
    <definedName name="tlOutputPNLCh4TMkt">OutComp!$Q$64</definedName>
    <definedName name="tlOutputPNLCh4Turn">OutComp!$Q$38</definedName>
    <definedName name="tlOutputPNLChTotGCC">OutComp!$U$67</definedName>
    <definedName name="tlOutputPNLChTotGCCMargin">OutComp!$U$68</definedName>
    <definedName name="tlOutputPNLChTotOverhead">OutComp!$U$65</definedName>
    <definedName name="tlOutputPNLChTotOverheadPct">OutComp!$U$66</definedName>
    <definedName name="tlOutputPNLChTotSales">OutComp!$U$63</definedName>
    <definedName name="tlOutputPNLChTotTMkt">OutComp!$U$64</definedName>
    <definedName name="tlOutputPNLCostRevTot">OutComp!$E$14</definedName>
    <definedName name="tlOutputPNLCostRevTotPct">OutComp!$I$14</definedName>
    <definedName name="tlOutputPNLCostRevTotPVol">OutComp!$M$14</definedName>
    <definedName name="tlOutputPNLCTaxTot">OutComp!$E$32</definedName>
    <definedName name="tlOutputPNLCTaxTotPct">OutComp!$I$32</definedName>
    <definedName name="tlOutputPNLCTaxTotPVol">OutComp!$M$32</definedName>
    <definedName name="tlOutputPNLDepExpTot">OutComp!$E$13</definedName>
    <definedName name="tlOutputPNLDepExpTotPct">OutComp!$I$13</definedName>
    <definedName name="tlOutputPNLDepExpTotPVol">OutComp!$M$13</definedName>
    <definedName name="tlOutputPNLDiscountsTot">OutComp!$E$7</definedName>
    <definedName name="tlOutputPNLDiscountsTotPVol">OutComp!$M$7</definedName>
    <definedName name="tlOutputPNLEbitTot">OutComp!$E$29</definedName>
    <definedName name="tlOutputPNLEbitTotPct">OutComp!$I$29</definedName>
    <definedName name="tlOutputPNLEbitTotPVol">OutComp!$M$29</definedName>
    <definedName name="tlOutputPNLEbtTot">OutComp!$E$31</definedName>
    <definedName name="tlOutputPNLEbtTotPct">OutComp!$I$31</definedName>
    <definedName name="tlOutputPNLEbtTotPVol">OutComp!$M$31</definedName>
    <definedName name="tlOutputPNLExciseTot">OutComp!$E$5</definedName>
    <definedName name="tlOutputPNLExciseTotPVol">OutComp!$M$5</definedName>
    <definedName name="tlOutputPNLFinNetTot">OutComp!$E$30</definedName>
    <definedName name="tlOutputPNLFinNetTotPct">OutComp!$I$30</definedName>
    <definedName name="tlOutputPNLFinNetTotPVol">OutComp!$M$30</definedName>
    <definedName name="tlOutputPNLGnAdminExp">OutComp!$E$26</definedName>
    <definedName name="tlOutputPNLGnAdminExpPct">OutComp!$I$26</definedName>
    <definedName name="tlOutputPNLGnAdminExpTotPVol">OutComp!$M$26</definedName>
    <definedName name="tlOutputPNLGPaLTot">OutComp!$E$20</definedName>
    <definedName name="tlOutputPNLGPaLTotPct">OutComp!$I$20</definedName>
    <definedName name="tlOutputPNLGPaLTotPVol">OutComp!$M$20</definedName>
    <definedName name="tlOutputPNLGroProfitTot">OutComp!$E$16</definedName>
    <definedName name="tlOutputPNLGroProfitTotPct">OutComp!$I$16</definedName>
    <definedName name="tlOutputPNLGroProfitTotPVol">OutComp!$M$16</definedName>
    <definedName name="tlOutputPNLGrossSalesTot">OutComp!$E$6</definedName>
    <definedName name="tlOutputPNLGrossSalesTotPVol">OutComp!$M$6</definedName>
    <definedName name="tlOutputPNLLabExpTot">OutComp!$E$11</definedName>
    <definedName name="tlOutputPNLLabExpTotPct">OutComp!$I$11</definedName>
    <definedName name="tlOutputPNLLabExpTotPVol">OutComp!$M$11</definedName>
    <definedName name="tlOutputPNLLogExpTot">OutComp!$E$18</definedName>
    <definedName name="tlOutputPNLLogExpTotPct">OutComp!$I$18</definedName>
    <definedName name="tlOutputPNLLogExpTotPVol">OutComp!$M$18</definedName>
    <definedName name="tlOutputPNLMachExpTot">OutComp!$E$12</definedName>
    <definedName name="tlOutputPNLMachExpTotPct">OutComp!$I$12</definedName>
    <definedName name="tlOutputPNLMachExpTotPVol">OutComp!$M$12</definedName>
    <definedName name="tlOutputPNLMatExpTot">OutComp!$E$10</definedName>
    <definedName name="tlOutputPNLMatExpTotPct">OutComp!$I$10</definedName>
    <definedName name="tlOutputPNLMatExpTotPVol">OutComp!$M$10</definedName>
    <definedName name="tlOutputPNLNetIncTot">OutComp!$E$33</definedName>
    <definedName name="tlOutputPNLNetIncTotPct">OutComp!$I$33</definedName>
    <definedName name="tlOutputPNLNetIncTotPVol">OutComp!$M$33</definedName>
    <definedName name="tlOutputPNLNetRevTot">OutComp!$E$8</definedName>
    <definedName name="tlOutputPNLNetRevTotPct">OutComp!$I$8</definedName>
    <definedName name="tlOutputPNLNetRevTotPVol">OutComp!$M$8</definedName>
    <definedName name="tlOutputPNLOverheadExpTot">OutComp!$E$27</definedName>
    <definedName name="tlOutputPNLOverheadExpTotPct">OutComp!$I$27</definedName>
    <definedName name="tlOutputPNLOverheadExpTotPVol">OutComp!$M$27</definedName>
    <definedName name="tlOutputPNLProd1BMkt">OutComp!$E$99</definedName>
    <definedName name="tlOutputPNLProd1CostRev">OutComp!$E$84</definedName>
    <definedName name="tlOutputPNLProd1CostRevPct">OutComp!$E$85</definedName>
    <definedName name="tlOutputPNLProd1DepExp">OutComp!$E$83</definedName>
    <definedName name="tlOutputPNLProd1Discounts">OutComp!$E$76</definedName>
    <definedName name="tlOutputPNLProd1Excise">OutComp!$E$74</definedName>
    <definedName name="tlOutputPNLProd1GBC">OutComp!$E$102</definedName>
    <definedName name="tlOutputPNLProd1GBCMargin">OutComp!$E$103</definedName>
    <definedName name="tlOutputPNLProd1GM">OutComp!$E$88</definedName>
    <definedName name="tlOutputPNLProd1GPaL">OutComp!$E$95</definedName>
    <definedName name="tlOutputPNLProd1GPaLMargin">OutComp!$E$96</definedName>
    <definedName name="tlOutputPNLProd1GroProfit">OutComp!$E$87</definedName>
    <definedName name="tlOutputPNLProd1GrossSales">OutComp!$E$75</definedName>
    <definedName name="tlOutputPNLProd1LabExp">OutComp!$E$81</definedName>
    <definedName name="tlOutputPNLProd1LogExp">OutComp!$E$91</definedName>
    <definedName name="tlOutputPNLProd1LogExpPct">OutComp!$E$92</definedName>
    <definedName name="tlOutputPNLProd1MachExp">OutComp!$E$82</definedName>
    <definedName name="tlOutputPNLProd1MatExp">OutComp!$E$80</definedName>
    <definedName name="tlOutputPNLProd1NetRev">OutComp!$E$77</definedName>
    <definedName name="tlOutputPNLProd1Overhead">OutComp!$E$100</definedName>
    <definedName name="tlOutputPNLProd1OverheadPct">OutComp!$E$101</definedName>
    <definedName name="tlOutputPNLProd1TMkt">OutComp!$E$98</definedName>
    <definedName name="tlOutputPNLProd1Turn">OutComp!$E$73</definedName>
    <definedName name="tlOutputPNLProd2BMkt">OutComp!$I$99</definedName>
    <definedName name="tlOutputPNLProd2CostRev">OutComp!$I$84</definedName>
    <definedName name="tlOutputPNLProd2CostRevPct">OutComp!$I$85</definedName>
    <definedName name="tlOutputPNLProd2DepExp">OutComp!$I$83</definedName>
    <definedName name="tlOutputPNLProd2Discounts">OutComp!$I$76</definedName>
    <definedName name="tlOutputPNLProd2Excise">OutComp!$I$74</definedName>
    <definedName name="tlOutputPNLProd2GBC">OutComp!$I$102</definedName>
    <definedName name="tlOutputPNLProd2GBCMargin">OutComp!$I$103</definedName>
    <definedName name="tlOutputPNLProd2GM">OutComp!$I$88</definedName>
    <definedName name="tlOutputPNLProd2GPaL">OutComp!$I$95</definedName>
    <definedName name="tlOutputPNLProd2GPaLMargin">OutComp!$I$96</definedName>
    <definedName name="tlOutputPNLProd2GroProfit">OutComp!$I$87</definedName>
    <definedName name="tlOutputPNLProd2GrossSales">OutComp!$I$75</definedName>
    <definedName name="tlOutputPNLProd2LabExp">OutComp!$I$81</definedName>
    <definedName name="tlOutputPNLProd2LogExp">OutComp!$I$91</definedName>
    <definedName name="tlOutputPNLProd2LogExpPct">OutComp!$I$92</definedName>
    <definedName name="tlOutputPNLProd2MachExp">OutComp!$I$82</definedName>
    <definedName name="tlOutputPNLProd2MatExp">OutComp!$I$80</definedName>
    <definedName name="tlOutputPNLProd2NetRev">OutComp!$I$77</definedName>
    <definedName name="tlOutputPNLProd2Overhead">OutComp!$I$100</definedName>
    <definedName name="tlOutputPNLProd2OverheadPct">OutComp!$I$101</definedName>
    <definedName name="tlOutputPNLProd2TMkt">OutComp!$I$98</definedName>
    <definedName name="tlOutputPNLProd2Turn">OutComp!$I$73</definedName>
    <definedName name="tlOutputPNLProd3BMkt">OutComp!$M$99</definedName>
    <definedName name="tlOutputPNLProd3CostRev">OutComp!$M$84</definedName>
    <definedName name="tlOutputPNLProd3CostRevPct">OutComp!$M$85</definedName>
    <definedName name="tlOutputPNLProd3DepExp">OutComp!$M$83</definedName>
    <definedName name="tlOutputPNLProd3Discounts">OutComp!$M$76</definedName>
    <definedName name="tlOutputPNLProd3Excise">OutComp!$M$74</definedName>
    <definedName name="tlOutputPNLProd3GBC">OutComp!$M$102</definedName>
    <definedName name="tlOutputPNLProd3GBCMargin">OutComp!$M$103</definedName>
    <definedName name="tlOutputPNLProd3GM">OutComp!$M$88</definedName>
    <definedName name="tlOutputPNLProd3GPaL">OutComp!$M$95</definedName>
    <definedName name="tlOutputPNLProd3GPaLMargin">OutComp!$M$96</definedName>
    <definedName name="tlOutputPNLProd3GroProfit">OutComp!$M$87</definedName>
    <definedName name="tlOutputPNLProd3GrossSales">OutComp!$M$75</definedName>
    <definedName name="tlOutputPNLProd3LabExp">OutComp!$M$81</definedName>
    <definedName name="tlOutputPNLProd3LogExp">OutComp!$M$91</definedName>
    <definedName name="tlOutputPNLProd3LogExpPct">OutComp!$M$92</definedName>
    <definedName name="tlOutputPNLProd3MachExp">OutComp!$M$82</definedName>
    <definedName name="tlOutputPNLProd3MatExp">OutComp!$M$80</definedName>
    <definedName name="tlOutputPNLProd3NetRev">OutComp!$M$77</definedName>
    <definedName name="tlOutputPNLProd3Overhead">OutComp!$M$100</definedName>
    <definedName name="tlOutputPNLProd3OverheadPct">OutComp!$M$101</definedName>
    <definedName name="tlOutputPNLProd3TMkt">OutComp!$M$98</definedName>
    <definedName name="tlOutputPNLProd3Turn">OutComp!$M$73</definedName>
    <definedName name="tlOutputPNLProd4BMkt">OutComp!$Q$99</definedName>
    <definedName name="tlOutputPNLProd4CostRev">OutComp!$Q$84</definedName>
    <definedName name="tlOutputPNLProd4CostRevPct">OutComp!$Q$85</definedName>
    <definedName name="tlOutputPNLProd4DepExp">OutComp!$Q$83</definedName>
    <definedName name="tlOutputPNLProd4Discounts">OutComp!$Q$76</definedName>
    <definedName name="tlOutputPNLProd4Excise">OutComp!$Q$74</definedName>
    <definedName name="tlOutputPNLProd4GBC">OutComp!$Q$102</definedName>
    <definedName name="tlOutputPNLProd4GBCMargin">OutComp!$Q$103</definedName>
    <definedName name="tlOutputPNLProd4GM">OutComp!$Q$88</definedName>
    <definedName name="tlOutputPNLProd4GPaL">OutComp!$Q$95</definedName>
    <definedName name="tlOutputPNLProd4GPaLMargin">OutComp!$Q$96</definedName>
    <definedName name="tlOutputPNLProd4GroProfit">OutComp!$Q$87</definedName>
    <definedName name="tlOutputPNLProd4GrossSales">OutComp!$Q$75</definedName>
    <definedName name="tlOutputPNLProd4LabExp">OutComp!$Q$81</definedName>
    <definedName name="tlOutputPNLProd4LogExp">OutComp!$Q$91</definedName>
    <definedName name="tlOutputPNLProd4LogExpPct">OutComp!$Q$92</definedName>
    <definedName name="tlOutputPNLProd4MachExp">OutComp!$Q$82</definedName>
    <definedName name="tlOutputPNLProd4MatExp">OutComp!$Q$80</definedName>
    <definedName name="tlOutputPNLProd4NetRev">OutComp!$Q$77</definedName>
    <definedName name="tlOutputPNLProd4Overhead">OutComp!$Q$100</definedName>
    <definedName name="tlOutputPNLProd4OverheadPct">OutComp!$Q$101</definedName>
    <definedName name="tlOutputPNLProd4TMkt">OutComp!$Q$98</definedName>
    <definedName name="tlOutputPNLProd4Turn">OutComp!$Q$73</definedName>
    <definedName name="tlOutputPNLProdBMkt">OutComp!$U$99</definedName>
    <definedName name="tlOutputPNLProdTMkt">OutComp!$U$98</definedName>
    <definedName name="tlOutputPNLProdTotGBC">OutComp!$U$102</definedName>
    <definedName name="tlOutputPNLProdTotGBCMargin">OutComp!$U$103</definedName>
    <definedName name="tlOutputPNLProdTotOverhead">OutComp!$U$100</definedName>
    <definedName name="tlOutputPNLProdTotOverheadPct">OutComp!$U$101</definedName>
    <definedName name="tlOutputPNLRnDExpTot">OutComp!$E$25</definedName>
    <definedName name="tlOutputPNLRnDExpTotPct">OutComp!$I$25</definedName>
    <definedName name="tlOutputPNLRnDExpTotPVol">OutComp!$M$25</definedName>
    <definedName name="tlOutputPNLSalesExpTot">OutComp!$E$22</definedName>
    <definedName name="tlOutputPNLSalesExpTotPct">OutComp!$I$22</definedName>
    <definedName name="tlOutputPNLSalesExpTotPVol">OutComp!$M$22</definedName>
    <definedName name="tlOutputPNLTMktExpTot">OutComp!$E$23</definedName>
    <definedName name="tlOutputPNLTMktExpTotPct">OutComp!$I$23</definedName>
    <definedName name="tlOutputPNLTMktExpTotPVol">OutComp!$M$23</definedName>
    <definedName name="tlOutputPNLTurnTot">OutComp!$E$4</definedName>
    <definedName name="tlOutputPNLTurnTotPVol">OutComp!$M$4</definedName>
    <definedName name="tlOutputProd1">OutComp!$I$182</definedName>
    <definedName name="tlOutputProd1CustProfitTot">OutComp!$U$124</definedName>
    <definedName name="tlOutputProd2">OutComp!$I$183</definedName>
    <definedName name="tlOutputProd2CustProfitTot">OutComp!$U$112</definedName>
    <definedName name="tlOutputProd3">OutComp!$I$184</definedName>
    <definedName name="tlOutputProd3CustProfitTot">OutComp!$U$118</definedName>
    <definedName name="tlOutputProd4">OutComp!$I$185</definedName>
    <definedName name="tlOutputProd4CustProfitTot">OutComp!$U$130</definedName>
    <definedName name="tlOutputReport1Code">OutComp!$Q$146</definedName>
    <definedName name="tlOutputReport2Code">OutComp!$Q$147</definedName>
    <definedName name="tlOutputReport3Code">OutComp!$Q$148</definedName>
    <definedName name="tlOutputReport4Code">OutComp!$Q$149</definedName>
    <definedName name="tlOutputReport5Code">OutComp!$Q$150</definedName>
    <definedName name="tlOutputReport6Code">OutComp!$Q$151</definedName>
    <definedName name="tlOutputRound">OutComp!$E$189</definedName>
    <definedName name="tlOutputSI1CodeR1">OutComp!$I$146</definedName>
    <definedName name="tlOutputSI1CodeR2">OutComp!$I$151</definedName>
    <definedName name="tlOutputSI1CodeR3">OutComp!$I$156</definedName>
    <definedName name="tlOutputSI1NameR1">OutComp!$I$160</definedName>
    <definedName name="tlOutputSI1NameR2">OutComp!$I$165</definedName>
    <definedName name="tlOutputSI1NameR3">OutComp!$I$170</definedName>
    <definedName name="tlOutputSI2CodeR1">OutComp!$I$147</definedName>
    <definedName name="tlOutputSI2CodeR2">OutComp!$I$152</definedName>
    <definedName name="tlOutputSI2CodeR3">OutComp!$I$157</definedName>
    <definedName name="tlOutputSI2NameR1">OutComp!$I$161</definedName>
    <definedName name="tlOutputSI2NameR2">OutComp!$I$166</definedName>
    <definedName name="tlOutputSI2NameR3">OutComp!$I$171</definedName>
    <definedName name="tlOutputSI3CodeR1">OutComp!$I$148</definedName>
    <definedName name="tlOutputSI3CodeR2">OutComp!$I$153</definedName>
    <definedName name="tlOutputSI3CodeR3">OutComp!$I$158</definedName>
    <definedName name="tlOutputSI3NameR1">OutComp!$I$162</definedName>
    <definedName name="tlOutputSI3NameR2">OutComp!$I$167</definedName>
    <definedName name="tlOutputSI3NameR3">OutComp!$I$172</definedName>
    <definedName name="tlOutputSiEmp1Req">OutComp!$I$174</definedName>
    <definedName name="tlOutputSiExp">OutComp!$I$175</definedName>
    <definedName name="tlOutputSIList">SIs!$M$23:$M$63</definedName>
    <definedName name="tlOutputTotTradeInv">OutComp!$U$140</definedName>
    <definedName name="tlOutputValDriv1Exp">OutComp!$U$133</definedName>
    <definedName name="tlOutputValDriv2Exp">OutComp!$U$134</definedName>
    <definedName name="tlOutputValDriv3Exp">OutComp!$U$135</definedName>
    <definedName name="tlOutputValDriv4Exp">OutComp!$U$136</definedName>
    <definedName name="tlOutputValDriv5Exp">OutComp!$U$137</definedName>
    <definedName name="tlOutputValDrivExpTot">OutComp!$U$138</definedName>
    <definedName name="tlOutputWaterfallListCh1">VTdd!$M$23:$M$63</definedName>
    <definedName name="tlOutputWaterfallListCh2">VTdd!$M$94:$M$134</definedName>
    <definedName name="tlOutputWaterfallListCh3">VTdd!$M$165:$M$205</definedName>
    <definedName name="tlOutputWaterfallListCh4">VTdd!$M$236:$M$276</definedName>
    <definedName name="tlPackInnovation1">Company!$M$11</definedName>
    <definedName name="tlTeamRound">tlIntro!$C$18</definedName>
    <definedName name="VTCh1_AvailableCount">VTdd!$L$23:$L$63</definedName>
    <definedName name="VTCh1_AvailableProgramDropDown">VTdd!$C$5</definedName>
    <definedName name="VTCh1_Code">VTdd!$C$23:$C$63</definedName>
    <definedName name="VTCh1_currentRound">VTdd!$C$16</definedName>
    <definedName name="VTCh1_DisplayedName">VTdd!$F$23:$F$63</definedName>
    <definedName name="VTCh1_Name">VTdd!$D$23:$D$63</definedName>
    <definedName name="VTCh1_selectedSeparator">VTdd!$C$19</definedName>
    <definedName name="VTCh1_TotalAvailable">VTdd!$C$71</definedName>
    <definedName name="VTCh1_WorksheetName">VTdd!$C$68</definedName>
    <definedName name="VTCh1TestList">VTdd!$F$23:$F$39</definedName>
    <definedName name="VTCh2_AvailableCount">VTdd!$L$94:$L$134</definedName>
    <definedName name="VTCh2_AvailableProgramDropDown">VTdd!$C$76</definedName>
    <definedName name="VTCh2_Code">VTdd!$C$94:$C$134</definedName>
    <definedName name="VTCh2_currentRound">VTdd!$C$87</definedName>
    <definedName name="VTCh2_DisplayedName">VTdd!$F$94:$F$134</definedName>
    <definedName name="VTCh2_Index">VTdd!$B$94:$B$134</definedName>
    <definedName name="VTCh2_Name">VTdd!$D$94:$D$134</definedName>
    <definedName name="VTCh2_selectedSeparator">VTdd!$C$90</definedName>
    <definedName name="VTCh2_TotalAvailable">VTdd!$C$142</definedName>
    <definedName name="VTCh2_WorksheetName">VTdd!$C$139</definedName>
    <definedName name="VTCh2TestList">VTdd!$F$94:$F$110</definedName>
    <definedName name="VTCh3_AvailableCount">VTdd!$L$165:$L$205</definedName>
    <definedName name="VTCh3_AvailableProgramDropDown">VTdd!$C$147</definedName>
    <definedName name="VTCh3_Code">VTdd!$C$165:$C$205</definedName>
    <definedName name="VTCh3_currentRound">VTdd!$C$158</definedName>
    <definedName name="VTCh3_DisplayedName">VTdd!$F$165:$F$205</definedName>
    <definedName name="VTCh3_Index">VTdd!$B$165:$B$205</definedName>
    <definedName name="VTCh3_Name">VTdd!$D$165:$D$205</definedName>
    <definedName name="VTCh3_selectedSeparator">VTdd!$C$161</definedName>
    <definedName name="VTCh3_TotalAvailable">VTdd!$C$213</definedName>
    <definedName name="VTCh3_WorksheetName">VTdd!$C$210</definedName>
    <definedName name="VTCh3TestList">VTdd!$F$165:$F$181</definedName>
    <definedName name="VTCh4_AvailableCount">VTdd!$L$236:$L$276</definedName>
    <definedName name="VTCh4_AvailableProgramDropDown">VTdd!$C$218</definedName>
    <definedName name="VTCh4_Code">VTdd!$C$236:$C$276</definedName>
    <definedName name="VTCh4_currentRound">VTdd!$C$229</definedName>
    <definedName name="VTCh4_DisplayedName">VTdd!$F$236:$F$276</definedName>
    <definedName name="VTCh4_Index">VTdd!$B$236:$B$276</definedName>
    <definedName name="VTCh4_Name">VTdd!$D$236:$D$276</definedName>
    <definedName name="VTCh4_selectedSeparator">VTdd!$C$232</definedName>
    <definedName name="VTCh4_TotalAvailable">VTdd!$C$284</definedName>
    <definedName name="VTCh4_WorksheetName">VTdd!$C$281</definedName>
    <definedName name="VTCh4TestList">VTdd!$F$236:$F$252</definedName>
    <definedName name="xxIndexTeam">Controls!$D$23</definedName>
    <definedName name="xxNumOfTeams">Controls!$D$15</definedName>
    <definedName name="xxRound">Controls!$D$19</definedName>
    <definedName name="xxSim0Tool1">Controls!$D$21</definedName>
    <definedName name="xxToolPrefix">Controls!$D$29</definedName>
  </definedNames>
  <calcPr calcId="171027"/>
</workbook>
</file>

<file path=xl/calcChain.xml><?xml version="1.0" encoding="utf-8"?>
<calcChain xmlns="http://schemas.openxmlformats.org/spreadsheetml/2006/main">
  <c r="E5688" i="14" l="1"/>
  <c r="E5677" i="14"/>
  <c r="E5666" i="14"/>
  <c r="E5655" i="14"/>
  <c r="AK51" i="85"/>
  <c r="AK50" i="85"/>
  <c r="AK49" i="85"/>
  <c r="AK48" i="85"/>
  <c r="AK47" i="85"/>
  <c r="AK46" i="85"/>
  <c r="AK45" i="85"/>
  <c r="AK44" i="85"/>
  <c r="AK51" i="84"/>
  <c r="AK50" i="84"/>
  <c r="AK49" i="84"/>
  <c r="AK48" i="84"/>
  <c r="AK47" i="84"/>
  <c r="AK46" i="84"/>
  <c r="AK45" i="84"/>
  <c r="AK44" i="84"/>
  <c r="AK51" i="83"/>
  <c r="AK50" i="83"/>
  <c r="AK49" i="83"/>
  <c r="AK48" i="83"/>
  <c r="AK47" i="83"/>
  <c r="AK46" i="83"/>
  <c r="AK45" i="83"/>
  <c r="AK44" i="83"/>
  <c r="AK51" i="31"/>
  <c r="AK50" i="31"/>
  <c r="AK49" i="31"/>
  <c r="AK48" i="31"/>
  <c r="AK47" i="31"/>
  <c r="AK46" i="31"/>
  <c r="AK45" i="31"/>
  <c r="AK44" i="31"/>
  <c r="AN51" i="31"/>
  <c r="AN50" i="31"/>
  <c r="AN49" i="31"/>
  <c r="AN48" i="31"/>
  <c r="AN47" i="31"/>
  <c r="AN44" i="31"/>
  <c r="AN45" i="31"/>
  <c r="AN46" i="31"/>
  <c r="B11" i="24" l="1"/>
  <c r="D13" i="24"/>
  <c r="D14" i="24"/>
  <c r="D15" i="24"/>
  <c r="D16" i="24"/>
  <c r="D17" i="24"/>
  <c r="D18" i="24"/>
  <c r="D19" i="24"/>
  <c r="D20" i="24"/>
  <c r="D21" i="24"/>
  <c r="D22" i="24"/>
  <c r="B24" i="24"/>
  <c r="D26" i="24"/>
  <c r="D27" i="24"/>
  <c r="D28" i="24"/>
  <c r="D29" i="24"/>
  <c r="D30" i="24"/>
  <c r="D31" i="24"/>
  <c r="D32" i="24"/>
  <c r="D33" i="24"/>
  <c r="D34" i="24"/>
  <c r="D35" i="24"/>
  <c r="B37" i="24"/>
  <c r="D39" i="24"/>
  <c r="D40" i="24"/>
  <c r="D41" i="24"/>
  <c r="D42" i="24"/>
  <c r="D43" i="24"/>
  <c r="D44" i="24"/>
  <c r="D45" i="24"/>
  <c r="D46" i="24"/>
  <c r="D47" i="24"/>
  <c r="D48" i="24"/>
  <c r="B50" i="24"/>
  <c r="D52" i="24"/>
  <c r="D53" i="24"/>
  <c r="D54" i="24"/>
  <c r="D55" i="24"/>
  <c r="D56" i="24"/>
  <c r="D57" i="24"/>
  <c r="D58" i="24"/>
  <c r="D59" i="24"/>
  <c r="D60" i="24"/>
  <c r="D61" i="24"/>
  <c r="B63" i="24"/>
  <c r="D65" i="24"/>
  <c r="D66" i="24"/>
  <c r="D67" i="24"/>
  <c r="D68" i="24"/>
  <c r="D69" i="24"/>
  <c r="D70" i="24"/>
  <c r="D71" i="24"/>
  <c r="D72" i="24"/>
  <c r="D73" i="24"/>
  <c r="D74" i="24"/>
  <c r="B76" i="24"/>
  <c r="D78" i="24"/>
  <c r="D79" i="24"/>
  <c r="D80" i="24"/>
  <c r="D81" i="24"/>
  <c r="D82" i="24"/>
  <c r="D83" i="24"/>
  <c r="D84" i="24"/>
  <c r="D85" i="24"/>
  <c r="D86" i="24"/>
  <c r="D87" i="24"/>
  <c r="B89" i="24"/>
  <c r="D91" i="24"/>
  <c r="D92" i="24"/>
  <c r="D93" i="24"/>
  <c r="D94" i="24"/>
  <c r="D95" i="24"/>
  <c r="D96" i="24"/>
  <c r="D97" i="24"/>
  <c r="D98" i="24"/>
  <c r="D99" i="24"/>
  <c r="D100" i="24"/>
  <c r="B102" i="24"/>
  <c r="D104" i="24"/>
  <c r="D105" i="24"/>
  <c r="D106" i="24"/>
  <c r="D107" i="24"/>
  <c r="D108" i="24"/>
  <c r="D109" i="24"/>
  <c r="D110" i="24"/>
  <c r="D111" i="24"/>
  <c r="D112" i="24"/>
  <c r="D113" i="24"/>
  <c r="B115" i="24"/>
  <c r="D117" i="24"/>
  <c r="D118" i="24"/>
  <c r="D119" i="24"/>
  <c r="D120" i="24"/>
  <c r="D121" i="24"/>
  <c r="D122" i="24"/>
  <c r="D123" i="24"/>
  <c r="D124" i="24"/>
  <c r="D125" i="24"/>
  <c r="D126" i="24"/>
  <c r="B128" i="24"/>
  <c r="D130" i="24"/>
  <c r="D131" i="24"/>
  <c r="D132" i="24"/>
  <c r="D133" i="24"/>
  <c r="D134" i="24"/>
  <c r="D135" i="24"/>
  <c r="D136" i="24"/>
  <c r="D137" i="24"/>
  <c r="D138" i="24"/>
  <c r="D139" i="24"/>
  <c r="B141" i="24"/>
  <c r="D143" i="24"/>
  <c r="D144" i="24"/>
  <c r="D145" i="24"/>
  <c r="D146" i="24"/>
  <c r="D147" i="24"/>
  <c r="D148" i="24"/>
  <c r="D149" i="24"/>
  <c r="D150" i="24"/>
  <c r="D151" i="24"/>
  <c r="D152" i="24"/>
  <c r="B154" i="24"/>
  <c r="D156" i="24"/>
  <c r="D157" i="24"/>
  <c r="D158" i="24"/>
  <c r="D159" i="24"/>
  <c r="D160" i="24"/>
  <c r="D161" i="24"/>
  <c r="D162" i="24"/>
  <c r="D163" i="24"/>
  <c r="D164" i="24"/>
  <c r="D165" i="24"/>
  <c r="B167" i="24"/>
  <c r="D169" i="24"/>
  <c r="D170" i="24"/>
  <c r="D171" i="24"/>
  <c r="D172" i="24"/>
  <c r="D173" i="24"/>
  <c r="D174" i="24"/>
  <c r="D175" i="24"/>
  <c r="D176" i="24"/>
  <c r="D177" i="24"/>
  <c r="D178" i="24"/>
  <c r="B180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B197" i="24"/>
  <c r="D199" i="24"/>
  <c r="D200" i="24"/>
  <c r="D201" i="24"/>
  <c r="D202" i="24"/>
  <c r="D203" i="24"/>
  <c r="D204" i="24"/>
  <c r="D205" i="24"/>
  <c r="D206" i="24"/>
  <c r="D207" i="24"/>
  <c r="D208" i="24"/>
  <c r="B210" i="24"/>
  <c r="D212" i="24"/>
  <c r="D213" i="24"/>
  <c r="D214" i="24"/>
  <c r="D215" i="24"/>
  <c r="D216" i="24"/>
  <c r="D217" i="24"/>
  <c r="D218" i="24"/>
  <c r="D219" i="24"/>
  <c r="D220" i="24"/>
  <c r="D221" i="24"/>
  <c r="B223" i="24"/>
  <c r="D225" i="24"/>
  <c r="D226" i="24"/>
  <c r="D227" i="24"/>
  <c r="D228" i="24"/>
  <c r="D229" i="24"/>
  <c r="D230" i="24"/>
  <c r="D231" i="24"/>
  <c r="D232" i="24"/>
  <c r="D233" i="24"/>
  <c r="D234" i="24"/>
  <c r="B236" i="24"/>
  <c r="D238" i="24"/>
  <c r="D239" i="24"/>
  <c r="D240" i="24"/>
  <c r="D241" i="24"/>
  <c r="D242" i="24"/>
  <c r="D243" i="24"/>
  <c r="D244" i="24"/>
  <c r="D245" i="24"/>
  <c r="D246" i="24"/>
  <c r="D247" i="24"/>
  <c r="B250" i="24"/>
  <c r="D252" i="24"/>
  <c r="D253" i="24"/>
  <c r="D254" i="24"/>
  <c r="D255" i="24"/>
  <c r="D256" i="24"/>
  <c r="D257" i="24"/>
  <c r="D258" i="24"/>
  <c r="D259" i="24"/>
  <c r="D260" i="24"/>
  <c r="D261" i="24"/>
  <c r="B263" i="24"/>
  <c r="D265" i="24"/>
  <c r="D266" i="24"/>
  <c r="D267" i="24"/>
  <c r="D268" i="24"/>
  <c r="D269" i="24"/>
  <c r="D270" i="24"/>
  <c r="D271" i="24"/>
  <c r="D272" i="24"/>
  <c r="D273" i="24"/>
  <c r="D274" i="24"/>
  <c r="B276" i="24"/>
  <c r="D278" i="24"/>
  <c r="D279" i="24"/>
  <c r="D280" i="24"/>
  <c r="D281" i="24"/>
  <c r="D282" i="24"/>
  <c r="D283" i="24"/>
  <c r="D284" i="24"/>
  <c r="D285" i="24"/>
  <c r="D286" i="24"/>
  <c r="D287" i="24"/>
  <c r="B289" i="24"/>
  <c r="D291" i="24"/>
  <c r="D292" i="24"/>
  <c r="D293" i="24"/>
  <c r="D294" i="24"/>
  <c r="D295" i="24"/>
  <c r="D296" i="24"/>
  <c r="D297" i="24"/>
  <c r="D298" i="24"/>
  <c r="D299" i="24"/>
  <c r="D300" i="24"/>
  <c r="B302" i="24"/>
  <c r="D304" i="24"/>
  <c r="D305" i="24"/>
  <c r="D306" i="24"/>
  <c r="D307" i="24"/>
  <c r="D308" i="24"/>
  <c r="D309" i="24"/>
  <c r="D310" i="24"/>
  <c r="D311" i="24"/>
  <c r="D312" i="24"/>
  <c r="D313" i="24"/>
  <c r="B315" i="24"/>
  <c r="D317" i="24"/>
  <c r="D318" i="24"/>
  <c r="D319" i="24"/>
  <c r="D320" i="24"/>
  <c r="D321" i="24"/>
  <c r="D322" i="24"/>
  <c r="D323" i="24"/>
  <c r="D324" i="24"/>
  <c r="D325" i="24"/>
  <c r="D326" i="24"/>
  <c r="B328" i="24"/>
  <c r="D330" i="24"/>
  <c r="D331" i="24"/>
  <c r="D332" i="24"/>
  <c r="D333" i="24"/>
  <c r="D334" i="24"/>
  <c r="D335" i="24"/>
  <c r="D336" i="24"/>
  <c r="D337" i="24"/>
  <c r="D338" i="24"/>
  <c r="D339" i="24"/>
  <c r="B341" i="24"/>
  <c r="D343" i="24"/>
  <c r="D344" i="24"/>
  <c r="D345" i="24"/>
  <c r="D346" i="24"/>
  <c r="D347" i="24"/>
  <c r="D348" i="24"/>
  <c r="D349" i="24"/>
  <c r="D350" i="24"/>
  <c r="D351" i="24"/>
  <c r="D352" i="24"/>
  <c r="B354" i="24"/>
  <c r="D356" i="24"/>
  <c r="D357" i="24"/>
  <c r="D358" i="24"/>
  <c r="D359" i="24"/>
  <c r="D360" i="24"/>
  <c r="D361" i="24"/>
  <c r="D362" i="24"/>
  <c r="D363" i="24"/>
  <c r="D364" i="24"/>
  <c r="D365" i="24"/>
  <c r="B367" i="24"/>
  <c r="D369" i="24"/>
  <c r="D370" i="24"/>
  <c r="D371" i="24"/>
  <c r="D372" i="24"/>
  <c r="D373" i="24"/>
  <c r="D374" i="24"/>
  <c r="D375" i="24"/>
  <c r="D376" i="24"/>
  <c r="D377" i="24"/>
  <c r="D378" i="24"/>
  <c r="B380" i="24"/>
  <c r="D382" i="24"/>
  <c r="D383" i="24"/>
  <c r="D384" i="24"/>
  <c r="D385" i="24"/>
  <c r="D386" i="24"/>
  <c r="D387" i="24"/>
  <c r="D388" i="24"/>
  <c r="D389" i="24"/>
  <c r="D390" i="24"/>
  <c r="D391" i="24"/>
  <c r="B393" i="24"/>
  <c r="D395" i="24"/>
  <c r="D396" i="24"/>
  <c r="D397" i="24"/>
  <c r="D398" i="24"/>
  <c r="D399" i="24"/>
  <c r="D400" i="24"/>
  <c r="D401" i="24"/>
  <c r="D402" i="24"/>
  <c r="D403" i="24"/>
  <c r="D404" i="24"/>
  <c r="B406" i="24"/>
  <c r="D408" i="24"/>
  <c r="D409" i="24"/>
  <c r="D410" i="24"/>
  <c r="D411" i="24"/>
  <c r="D412" i="24"/>
  <c r="D413" i="24"/>
  <c r="D414" i="24"/>
  <c r="D415" i="24"/>
  <c r="D416" i="24"/>
  <c r="D417" i="24"/>
  <c r="B419" i="24"/>
  <c r="D421" i="24"/>
  <c r="D422" i="24"/>
  <c r="D423" i="24"/>
  <c r="D424" i="24"/>
  <c r="D425" i="24"/>
  <c r="D426" i="24"/>
  <c r="D427" i="24"/>
  <c r="D428" i="24"/>
  <c r="D429" i="24"/>
  <c r="D430" i="24"/>
  <c r="B432" i="24"/>
  <c r="D434" i="24"/>
  <c r="D435" i="24"/>
  <c r="D436" i="24"/>
  <c r="D437" i="24"/>
  <c r="D438" i="24"/>
  <c r="D439" i="24"/>
  <c r="D440" i="24"/>
  <c r="D441" i="24"/>
  <c r="D442" i="24"/>
  <c r="D443" i="24"/>
  <c r="B445" i="24"/>
  <c r="D447" i="24"/>
  <c r="D448" i="24"/>
  <c r="D449" i="24"/>
  <c r="D450" i="24"/>
  <c r="D451" i="24"/>
  <c r="D452" i="24"/>
  <c r="D453" i="24"/>
  <c r="D454" i="24"/>
  <c r="D455" i="24"/>
  <c r="D456" i="24"/>
  <c r="D2317" i="35"/>
  <c r="D2316" i="35"/>
  <c r="D2315" i="35"/>
  <c r="D2314" i="35"/>
  <c r="D2312" i="35"/>
  <c r="D2311" i="35"/>
  <c r="D2310" i="35"/>
  <c r="D2309" i="35"/>
  <c r="D2307" i="35"/>
  <c r="D2306" i="35"/>
  <c r="D2305" i="35"/>
  <c r="D2304" i="35"/>
  <c r="D2302" i="35"/>
  <c r="D2301" i="35"/>
  <c r="D2300" i="35"/>
  <c r="D2299" i="35"/>
  <c r="D2296" i="35"/>
  <c r="D2295" i="35"/>
  <c r="D2294" i="35"/>
  <c r="D2293" i="35"/>
  <c r="D2290" i="35"/>
  <c r="D2289" i="35"/>
  <c r="D2288" i="35"/>
  <c r="D2287" i="35"/>
  <c r="G7" i="23" l="1"/>
  <c r="G8" i="23"/>
  <c r="E8" i="23" s="1"/>
  <c r="G14" i="23"/>
  <c r="G15" i="23"/>
  <c r="G16" i="23"/>
  <c r="G17" i="23"/>
  <c r="G18" i="23"/>
  <c r="G25" i="23"/>
  <c r="G26" i="23"/>
  <c r="G27" i="23"/>
  <c r="G28" i="23"/>
  <c r="G35" i="23"/>
  <c r="G36" i="23"/>
  <c r="G37" i="23"/>
  <c r="G39" i="23"/>
  <c r="G40" i="23"/>
  <c r="G41" i="23"/>
  <c r="G42" i="23"/>
  <c r="G43" i="23"/>
  <c r="G44" i="23"/>
  <c r="G45" i="23"/>
  <c r="G46" i="23"/>
  <c r="G49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81" i="23"/>
  <c r="G82" i="23"/>
  <c r="G83" i="23"/>
  <c r="G85" i="23"/>
  <c r="G86" i="23"/>
  <c r="G87" i="23"/>
  <c r="G89" i="23"/>
  <c r="G90" i="23"/>
  <c r="G91" i="23"/>
  <c r="G96" i="23"/>
  <c r="G97" i="23"/>
  <c r="G98" i="23"/>
  <c r="G105" i="23"/>
  <c r="G106" i="23"/>
  <c r="G107" i="23"/>
  <c r="G108" i="23"/>
  <c r="G109" i="23"/>
  <c r="G110" i="23"/>
  <c r="G111" i="23"/>
  <c r="G112" i="23"/>
  <c r="G115" i="23"/>
  <c r="G116" i="23"/>
  <c r="G117" i="23"/>
  <c r="G118" i="23"/>
  <c r="G119" i="23"/>
  <c r="G120" i="23"/>
  <c r="G121" i="23"/>
  <c r="G122" i="23"/>
  <c r="G123" i="23"/>
  <c r="G124" i="23"/>
  <c r="G128" i="23"/>
  <c r="G129" i="23"/>
  <c r="G130" i="23"/>
  <c r="G131" i="23"/>
  <c r="G132" i="23"/>
  <c r="G133" i="23"/>
  <c r="G134" i="23"/>
  <c r="G135" i="23"/>
  <c r="E5670" i="14" l="1"/>
  <c r="E5681" i="14"/>
  <c r="E5692" i="14"/>
  <c r="E5659" i="14"/>
  <c r="E46" i="89" l="1"/>
  <c r="E46" i="51"/>
  <c r="E62" i="51"/>
  <c r="AG265" i="85" l="1"/>
  <c r="AG264" i="85"/>
  <c r="AG262" i="85"/>
  <c r="AG261" i="85"/>
  <c r="AG259" i="85"/>
  <c r="AG258" i="85"/>
  <c r="AG256" i="85"/>
  <c r="AG255" i="85"/>
  <c r="AG265" i="84"/>
  <c r="AG264" i="84"/>
  <c r="AG263" i="84"/>
  <c r="AG262" i="84"/>
  <c r="AG261" i="84"/>
  <c r="AG259" i="84"/>
  <c r="AG258" i="84"/>
  <c r="AG256" i="84"/>
  <c r="AG262" i="31"/>
  <c r="AG265" i="31"/>
  <c r="AG264" i="31"/>
  <c r="AG268" i="31"/>
  <c r="AG267" i="31"/>
  <c r="AG266" i="31"/>
  <c r="AG259" i="31"/>
  <c r="E18" i="38" l="1"/>
  <c r="E17" i="38"/>
  <c r="E16" i="39" s="1"/>
  <c r="E7548" i="14"/>
  <c r="E7493" i="14"/>
  <c r="E7438" i="14"/>
  <c r="E7383" i="14"/>
  <c r="E123" i="14"/>
  <c r="E92" i="14"/>
  <c r="E61" i="14"/>
  <c r="E30" i="14"/>
  <c r="E621" i="4"/>
  <c r="E620" i="4"/>
  <c r="E605" i="4"/>
  <c r="E604" i="4"/>
  <c r="E603" i="4"/>
  <c r="E588" i="4"/>
  <c r="E587" i="4"/>
  <c r="E586" i="4"/>
  <c r="E571" i="4"/>
  <c r="E570" i="4"/>
  <c r="E569" i="4"/>
  <c r="E551" i="4"/>
  <c r="E550" i="4"/>
  <c r="E534" i="4"/>
  <c r="E533" i="4"/>
  <c r="E517" i="4"/>
  <c r="E516" i="4"/>
  <c r="E500" i="4"/>
  <c r="E499" i="4"/>
  <c r="E480" i="4"/>
  <c r="E479" i="4"/>
  <c r="E1290" i="8" s="1"/>
  <c r="E478" i="4"/>
  <c r="E463" i="4"/>
  <c r="E1274" i="8" s="1"/>
  <c r="E462" i="4"/>
  <c r="E1273" i="8" s="1"/>
  <c r="E461" i="4"/>
  <c r="E446" i="4"/>
  <c r="E1248" i="8" s="1"/>
  <c r="E445" i="4"/>
  <c r="E1246" i="8" s="1"/>
  <c r="E444" i="4"/>
  <c r="E1244" i="8" s="1"/>
  <c r="E429" i="4"/>
  <c r="E1247" i="8" s="1"/>
  <c r="E428" i="4"/>
  <c r="E1245" i="8" s="1"/>
  <c r="E427" i="4"/>
  <c r="E409" i="4"/>
  <c r="E408" i="4"/>
  <c r="E407" i="4"/>
  <c r="E392" i="4"/>
  <c r="E391" i="4"/>
  <c r="E390" i="4"/>
  <c r="E74" i="84" s="1"/>
  <c r="AO68" i="84" s="1"/>
  <c r="E375" i="4"/>
  <c r="E374" i="4"/>
  <c r="E373" i="4"/>
  <c r="E265" i="14" s="1"/>
  <c r="E358" i="4"/>
  <c r="E357" i="4"/>
  <c r="E293" i="14" s="1"/>
  <c r="E356" i="4"/>
  <c r="E337" i="4"/>
  <c r="E336" i="4"/>
  <c r="E335" i="4"/>
  <c r="E320" i="4"/>
  <c r="E319" i="4"/>
  <c r="E318" i="4"/>
  <c r="E303" i="4"/>
  <c r="E302" i="4"/>
  <c r="E301" i="4"/>
  <c r="E286" i="4"/>
  <c r="E285" i="4"/>
  <c r="E284" i="4"/>
  <c r="E266" i="4"/>
  <c r="E265" i="4"/>
  <c r="E264" i="4"/>
  <c r="E249" i="4"/>
  <c r="E248" i="4"/>
  <c r="E247" i="4"/>
  <c r="E232" i="4"/>
  <c r="E231" i="4"/>
  <c r="E230" i="4"/>
  <c r="E215" i="4"/>
  <c r="E214" i="4"/>
  <c r="E213" i="4"/>
  <c r="E150" i="4"/>
  <c r="E2355" i="14" s="1"/>
  <c r="E149" i="4"/>
  <c r="E148" i="4"/>
  <c r="U242" i="73" s="1"/>
  <c r="E133" i="4"/>
  <c r="E132" i="4"/>
  <c r="E2194" i="14" s="1"/>
  <c r="E131" i="4"/>
  <c r="Y238" i="73" s="1"/>
  <c r="E116" i="4"/>
  <c r="E183" i="14" s="1"/>
  <c r="E115" i="4"/>
  <c r="E182" i="14" s="1"/>
  <c r="E114" i="4"/>
  <c r="E99" i="4"/>
  <c r="E2023" i="14" s="1"/>
  <c r="E98" i="4"/>
  <c r="E2013" i="14" s="1"/>
  <c r="E97" i="4"/>
  <c r="E89" i="4"/>
  <c r="E84" i="4"/>
  <c r="E79" i="4"/>
  <c r="E74" i="4"/>
  <c r="AO307" i="85"/>
  <c r="AK307" i="85"/>
  <c r="AS306" i="85"/>
  <c r="AO306" i="85"/>
  <c r="AK306" i="85"/>
  <c r="AS294" i="85"/>
  <c r="AO294" i="85"/>
  <c r="AK294" i="85"/>
  <c r="AS293" i="85"/>
  <c r="AO293" i="85"/>
  <c r="AK293" i="85"/>
  <c r="AS292" i="85"/>
  <c r="AO292" i="85"/>
  <c r="AK292" i="85"/>
  <c r="AG288" i="85"/>
  <c r="AG287" i="85"/>
  <c r="AS279" i="85"/>
  <c r="AO279" i="85"/>
  <c r="AK279" i="85"/>
  <c r="AS278" i="85"/>
  <c r="AO278" i="85"/>
  <c r="AK278" i="85"/>
  <c r="AS277" i="85"/>
  <c r="AO277" i="85"/>
  <c r="AK277" i="85"/>
  <c r="AG275" i="85"/>
  <c r="AG274" i="85"/>
  <c r="AG273" i="85"/>
  <c r="AG286" i="85" s="1"/>
  <c r="AS264" i="85"/>
  <c r="AO264" i="85"/>
  <c r="AK264" i="85"/>
  <c r="AS263" i="85"/>
  <c r="AO263" i="85"/>
  <c r="AK263" i="85"/>
  <c r="AS262" i="85"/>
  <c r="AO262" i="85"/>
  <c r="AK262" i="85"/>
  <c r="AK206" i="85"/>
  <c r="AG206" i="85"/>
  <c r="AK205" i="85"/>
  <c r="AG205" i="85"/>
  <c r="AK204" i="85"/>
  <c r="AG204" i="85"/>
  <c r="AG192" i="85"/>
  <c r="AG191" i="85"/>
  <c r="AS184" i="85"/>
  <c r="AS183" i="85"/>
  <c r="AS182" i="85"/>
  <c r="AS181" i="85"/>
  <c r="AS180" i="85"/>
  <c r="AS179" i="85"/>
  <c r="AS178" i="85"/>
  <c r="AS177" i="85"/>
  <c r="AK177" i="85"/>
  <c r="AG177" i="85"/>
  <c r="AS176" i="85"/>
  <c r="AK176" i="85"/>
  <c r="AG176" i="85"/>
  <c r="AS175" i="85"/>
  <c r="AK175" i="85"/>
  <c r="AG175" i="85"/>
  <c r="AG190" i="85" s="1"/>
  <c r="AS174" i="85"/>
  <c r="AS170" i="85"/>
  <c r="AK162" i="85"/>
  <c r="AG162" i="85"/>
  <c r="AK161" i="85"/>
  <c r="AG161" i="85"/>
  <c r="AK160" i="85"/>
  <c r="AG160" i="85"/>
  <c r="E76" i="85"/>
  <c r="E75" i="85"/>
  <c r="AO68" i="85" s="1"/>
  <c r="BA69" i="85"/>
  <c r="AW69" i="85"/>
  <c r="BA68" i="85"/>
  <c r="AW68" i="85"/>
  <c r="U65" i="85"/>
  <c r="AK12" i="85"/>
  <c r="AO307" i="84"/>
  <c r="AK307" i="84"/>
  <c r="AS306" i="84"/>
  <c r="AO306" i="84"/>
  <c r="AK306" i="84"/>
  <c r="AS294" i="84"/>
  <c r="AO294" i="84"/>
  <c r="AK294" i="84"/>
  <c r="AS293" i="84"/>
  <c r="AO293" i="84"/>
  <c r="AK293" i="84"/>
  <c r="AS292" i="84"/>
  <c r="AO292" i="84"/>
  <c r="AK292" i="84"/>
  <c r="AG288" i="84"/>
  <c r="AG287" i="84"/>
  <c r="AS279" i="84"/>
  <c r="AO279" i="84"/>
  <c r="AK279" i="84"/>
  <c r="AS278" i="84"/>
  <c r="AO278" i="84"/>
  <c r="AK278" i="84"/>
  <c r="AS277" i="84"/>
  <c r="AO277" i="84"/>
  <c r="AK277" i="84"/>
  <c r="AG275" i="84"/>
  <c r="AG274" i="84"/>
  <c r="AG273" i="84"/>
  <c r="AG286" i="84" s="1"/>
  <c r="AS264" i="84"/>
  <c r="AO264" i="84"/>
  <c r="AK264" i="84"/>
  <c r="AS263" i="84"/>
  <c r="AO263" i="84"/>
  <c r="AK263" i="84"/>
  <c r="AS262" i="84"/>
  <c r="AO262" i="84"/>
  <c r="AK262" i="84"/>
  <c r="AK206" i="84"/>
  <c r="AG206" i="84"/>
  <c r="AK205" i="84"/>
  <c r="AG205" i="84"/>
  <c r="AK204" i="84"/>
  <c r="AG204" i="84"/>
  <c r="AG192" i="84"/>
  <c r="AG191" i="84"/>
  <c r="AS184" i="84"/>
  <c r="AS183" i="84"/>
  <c r="AS182" i="84"/>
  <c r="AS181" i="84"/>
  <c r="AS180" i="84"/>
  <c r="AS179" i="84"/>
  <c r="AS178" i="84"/>
  <c r="AS177" i="84"/>
  <c r="AK177" i="84"/>
  <c r="AG177" i="84"/>
  <c r="AS176" i="84"/>
  <c r="AK176" i="84"/>
  <c r="AG176" i="84"/>
  <c r="AS175" i="84"/>
  <c r="AK175" i="84"/>
  <c r="AG175" i="84"/>
  <c r="AG190" i="84" s="1"/>
  <c r="AS174" i="84"/>
  <c r="AS170" i="84"/>
  <c r="AK162" i="84"/>
  <c r="AG162" i="84"/>
  <c r="AK161" i="84"/>
  <c r="AG161" i="84"/>
  <c r="AK160" i="84"/>
  <c r="AG160" i="84"/>
  <c r="E75" i="84"/>
  <c r="BA69" i="84"/>
  <c r="AW69" i="84"/>
  <c r="BA68" i="84"/>
  <c r="AW68" i="84"/>
  <c r="U65" i="84"/>
  <c r="AK12" i="84"/>
  <c r="AG204" i="83"/>
  <c r="AK203" i="83"/>
  <c r="AG203" i="83"/>
  <c r="AG191" i="83"/>
  <c r="AG190" i="83"/>
  <c r="AO181" i="83"/>
  <c r="AO180" i="83"/>
  <c r="AO177" i="83"/>
  <c r="AO176" i="83"/>
  <c r="AK176" i="83"/>
  <c r="AG176" i="83"/>
  <c r="AK175" i="83"/>
  <c r="AG175" i="83"/>
  <c r="AK174" i="83"/>
  <c r="AG174" i="83"/>
  <c r="AG189" i="83" s="1"/>
  <c r="AO173" i="83"/>
  <c r="AO169" i="83"/>
  <c r="AK161" i="83"/>
  <c r="AG161" i="83"/>
  <c r="AK160" i="83"/>
  <c r="AG160" i="83"/>
  <c r="AK159" i="83"/>
  <c r="AG159" i="83"/>
  <c r="BA69" i="83"/>
  <c r="AW69" i="83"/>
  <c r="AO69" i="83"/>
  <c r="BA68" i="83"/>
  <c r="AW68" i="83"/>
  <c r="AO68" i="83"/>
  <c r="AO67" i="83"/>
  <c r="U65" i="83"/>
  <c r="AK12" i="83"/>
  <c r="AK355" i="31"/>
  <c r="AS354" i="31"/>
  <c r="AO354" i="31"/>
  <c r="AK354" i="31"/>
  <c r="AS353" i="31"/>
  <c r="AO353" i="31"/>
  <c r="AK353" i="31"/>
  <c r="AS352" i="31"/>
  <c r="AO352" i="31"/>
  <c r="AK352" i="31"/>
  <c r="AS351" i="31"/>
  <c r="AO351" i="31"/>
  <c r="AK351" i="31"/>
  <c r="AS330" i="31"/>
  <c r="AO330" i="31"/>
  <c r="AK330" i="31"/>
  <c r="AS329" i="31"/>
  <c r="AO329" i="31"/>
  <c r="AK329" i="31"/>
  <c r="AS328" i="31"/>
  <c r="AO328" i="31"/>
  <c r="AK328" i="31"/>
  <c r="AS327" i="31"/>
  <c r="AO327" i="31"/>
  <c r="AK327" i="31"/>
  <c r="AS326" i="31"/>
  <c r="AO326" i="31"/>
  <c r="AK326" i="31"/>
  <c r="AS325" i="31"/>
  <c r="AO325" i="31"/>
  <c r="AK325" i="31"/>
  <c r="AS303" i="31"/>
  <c r="AO303" i="31"/>
  <c r="AK303" i="31"/>
  <c r="AS302" i="31"/>
  <c r="AO302" i="31"/>
  <c r="AK302" i="31"/>
  <c r="AS301" i="31"/>
  <c r="AO301" i="31"/>
  <c r="AK301" i="31"/>
  <c r="AS300" i="31"/>
  <c r="AO300" i="31"/>
  <c r="AK300" i="31"/>
  <c r="AS299" i="31"/>
  <c r="AO299" i="31"/>
  <c r="AK299" i="31"/>
  <c r="AS298" i="31"/>
  <c r="AO298" i="31"/>
  <c r="AK298" i="31"/>
  <c r="AG291" i="31"/>
  <c r="AG290" i="31"/>
  <c r="AG278" i="31"/>
  <c r="AG277" i="31"/>
  <c r="AS276" i="31"/>
  <c r="AO276" i="31"/>
  <c r="AK276" i="31"/>
  <c r="AG276" i="31"/>
  <c r="AG289" i="31" s="1"/>
  <c r="AS275" i="31"/>
  <c r="AO275" i="31"/>
  <c r="AK275" i="31"/>
  <c r="AS274" i="31"/>
  <c r="AO274" i="31"/>
  <c r="AK274" i="31"/>
  <c r="AS273" i="31"/>
  <c r="AO273" i="31"/>
  <c r="AK273" i="31"/>
  <c r="AS272" i="31"/>
  <c r="AO272" i="31"/>
  <c r="AK272" i="31"/>
  <c r="AS271" i="31"/>
  <c r="AO271" i="31"/>
  <c r="AK271" i="31"/>
  <c r="AK209" i="31"/>
  <c r="AG209" i="31"/>
  <c r="AK208" i="31"/>
  <c r="AG208" i="31"/>
  <c r="AK207" i="31"/>
  <c r="AG207" i="31"/>
  <c r="AG195" i="31"/>
  <c r="AG194" i="31"/>
  <c r="AO187" i="31"/>
  <c r="AO186" i="31"/>
  <c r="AO185" i="31"/>
  <c r="AO184" i="31"/>
  <c r="AO183" i="31"/>
  <c r="AO182" i="31"/>
  <c r="AO181" i="31"/>
  <c r="AO180" i="31"/>
  <c r="AK180" i="31"/>
  <c r="AG180" i="31"/>
  <c r="AO179" i="31"/>
  <c r="AK179" i="31"/>
  <c r="AG179" i="31"/>
  <c r="AO178" i="31"/>
  <c r="AK178" i="31"/>
  <c r="AG178" i="31"/>
  <c r="AG193" i="31" s="1"/>
  <c r="AO177" i="31"/>
  <c r="AK165" i="31"/>
  <c r="AG165" i="31"/>
  <c r="AK164" i="31"/>
  <c r="AG164" i="31"/>
  <c r="AK163" i="31"/>
  <c r="AG163" i="31"/>
  <c r="E88" i="31"/>
  <c r="E87" i="31"/>
  <c r="E86" i="31"/>
  <c r="AO69" i="31" s="1"/>
  <c r="U65" i="31"/>
  <c r="AK12" i="31"/>
  <c r="U244" i="73"/>
  <c r="Q244" i="73"/>
  <c r="M244" i="73"/>
  <c r="I244" i="73"/>
  <c r="E244" i="73"/>
  <c r="AC243" i="73"/>
  <c r="Y243" i="73"/>
  <c r="U243" i="73"/>
  <c r="Q243" i="73"/>
  <c r="M243" i="73"/>
  <c r="I243" i="73"/>
  <c r="E243" i="73"/>
  <c r="E242" i="73"/>
  <c r="AC240" i="73"/>
  <c r="Y240" i="73"/>
  <c r="U240" i="73"/>
  <c r="Q240" i="73"/>
  <c r="M240" i="73"/>
  <c r="I240" i="73"/>
  <c r="E240" i="73"/>
  <c r="AC239" i="73"/>
  <c r="Y239" i="73"/>
  <c r="U239" i="73"/>
  <c r="Q239" i="73"/>
  <c r="M239" i="73"/>
  <c r="I239" i="73"/>
  <c r="E239" i="73"/>
  <c r="AC238" i="73"/>
  <c r="Q238" i="73"/>
  <c r="I236" i="73"/>
  <c r="Q235" i="73"/>
  <c r="M235" i="73"/>
  <c r="I235" i="73"/>
  <c r="E235" i="73"/>
  <c r="Q234" i="73"/>
  <c r="M234" i="73"/>
  <c r="E234" i="73"/>
  <c r="AO232" i="73"/>
  <c r="AK232" i="73"/>
  <c r="AG232" i="73"/>
  <c r="AC232" i="73"/>
  <c r="Y232" i="73"/>
  <c r="U232" i="73"/>
  <c r="Q232" i="73"/>
  <c r="M232" i="73"/>
  <c r="I232" i="73"/>
  <c r="E232" i="73"/>
  <c r="AK231" i="73"/>
  <c r="U231" i="73"/>
  <c r="E231" i="73"/>
  <c r="AO230" i="73"/>
  <c r="AK230" i="73"/>
  <c r="AG230" i="73"/>
  <c r="AC230" i="73"/>
  <c r="Y230" i="73"/>
  <c r="U230" i="73"/>
  <c r="Q230" i="73"/>
  <c r="M230" i="73"/>
  <c r="E230" i="73"/>
  <c r="E78" i="91"/>
  <c r="E78" i="89"/>
  <c r="E78" i="87"/>
  <c r="E78" i="51"/>
  <c r="BC114" i="51"/>
  <c r="BC113" i="51"/>
  <c r="BC112" i="51"/>
  <c r="BC114" i="87"/>
  <c r="BC113" i="87"/>
  <c r="BC112" i="87"/>
  <c r="AZ114" i="89"/>
  <c r="AZ113" i="89"/>
  <c r="AZ112" i="89"/>
  <c r="BC114" i="91"/>
  <c r="BC113" i="91"/>
  <c r="BC112" i="91"/>
  <c r="AC244" i="73"/>
  <c r="Y244" i="73"/>
  <c r="AS356" i="31"/>
  <c r="AO356" i="31"/>
  <c r="AK356" i="31"/>
  <c r="AS355" i="31"/>
  <c r="AO355" i="31"/>
  <c r="AK205" i="83"/>
  <c r="AG205" i="83"/>
  <c r="AK204" i="83"/>
  <c r="E76" i="84"/>
  <c r="AS308" i="84"/>
  <c r="AO308" i="84"/>
  <c r="AK308" i="84"/>
  <c r="AS307" i="84"/>
  <c r="E77" i="85"/>
  <c r="AS308" i="85"/>
  <c r="AO308" i="85"/>
  <c r="AK308" i="85"/>
  <c r="AS307" i="85"/>
  <c r="E622" i="4"/>
  <c r="E15" i="39"/>
  <c r="E1291" i="8"/>
  <c r="Y242" i="73" l="1"/>
  <c r="M242" i="73"/>
  <c r="AC242" i="73"/>
  <c r="Q242" i="73"/>
  <c r="M238" i="73"/>
  <c r="U238" i="73"/>
  <c r="E238" i="73"/>
  <c r="M236" i="73"/>
  <c r="Q236" i="73"/>
  <c r="E236" i="73"/>
  <c r="I231" i="73"/>
  <c r="Y231" i="73"/>
  <c r="AO231" i="73"/>
  <c r="M231" i="73"/>
  <c r="AC231" i="73"/>
  <c r="Q231" i="73"/>
  <c r="AG231" i="73"/>
  <c r="AO67" i="84"/>
  <c r="AO69" i="85"/>
  <c r="E165" i="14"/>
  <c r="E57" i="35" s="1"/>
  <c r="E200" i="14"/>
  <c r="E2202" i="14"/>
  <c r="E124" i="14"/>
  <c r="E2347" i="14"/>
  <c r="E63" i="14"/>
  <c r="E216" i="14"/>
  <c r="E1764" i="35" s="1"/>
  <c r="AO69" i="84"/>
  <c r="J32" i="58"/>
  <c r="E6" i="14"/>
  <c r="AK13" i="31" s="1"/>
  <c r="J24" i="58"/>
  <c r="J33" i="58"/>
  <c r="E16" i="14"/>
  <c r="AK13" i="84" s="1"/>
  <c r="J104" i="58"/>
  <c r="J175" i="58"/>
  <c r="J174" i="58"/>
  <c r="J103" i="58"/>
  <c r="E11" i="14"/>
  <c r="AK13" i="83" s="1"/>
  <c r="J245" i="58"/>
  <c r="J246" i="58"/>
  <c r="AO68" i="31"/>
  <c r="AO70" i="31"/>
  <c r="AO67" i="85"/>
  <c r="E673" i="35"/>
  <c r="X57" i="83"/>
  <c r="E626" i="35"/>
  <c r="W57" i="83"/>
  <c r="E7392" i="14"/>
  <c r="E7391" i="14"/>
  <c r="E1587" i="14"/>
  <c r="E404" i="8"/>
  <c r="E8011" i="14"/>
  <c r="E1609" i="14"/>
  <c r="E827" i="8"/>
  <c r="E8044" i="14"/>
  <c r="E1799" i="14"/>
  <c r="E3752" i="14"/>
  <c r="E115" i="35"/>
  <c r="E108" i="35"/>
  <c r="E140" i="35"/>
  <c r="E103" i="35"/>
  <c r="X58" i="31" s="1"/>
  <c r="E3786" i="14"/>
  <c r="E1231" i="35"/>
  <c r="E1194" i="35"/>
  <c r="W58" i="84" s="1"/>
  <c r="E1206" i="35"/>
  <c r="E1199" i="35"/>
  <c r="E4181" i="14"/>
  <c r="E241" i="8"/>
  <c r="E1589" i="14"/>
  <c r="E245" i="8"/>
  <c r="E1611" i="14"/>
  <c r="E269" i="8"/>
  <c r="E1801" i="14"/>
  <c r="E932" i="14"/>
  <c r="E931" i="14"/>
  <c r="E1243" i="8"/>
  <c r="E498" i="4"/>
  <c r="E93" i="14"/>
  <c r="E203" i="8"/>
  <c r="E6075" i="14"/>
  <c r="E199" i="14"/>
  <c r="E238" i="14"/>
  <c r="E348" i="14"/>
  <c r="E662" i="8"/>
  <c r="E8027" i="14"/>
  <c r="E1730" i="14"/>
  <c r="E7556" i="14"/>
  <c r="E7557" i="14"/>
  <c r="E1893" i="14"/>
  <c r="E2337" i="14" s="1"/>
  <c r="E1070" i="8"/>
  <c r="E8062" i="14"/>
  <c r="E1909" i="14"/>
  <c r="E2353" i="14" s="1"/>
  <c r="E637" i="35"/>
  <c r="E630" i="35"/>
  <c r="E662" i="35"/>
  <c r="E625" i="35"/>
  <c r="W58" i="83" s="1"/>
  <c r="E3975" i="14"/>
  <c r="E4370" i="14"/>
  <c r="E1810" i="35"/>
  <c r="X58" i="85" s="1"/>
  <c r="E1822" i="35"/>
  <c r="E1815" i="35"/>
  <c r="E1847" i="35"/>
  <c r="E4404" i="14"/>
  <c r="E244" i="8"/>
  <c r="E1603" i="14"/>
  <c r="E283" i="8"/>
  <c r="E1895" i="14"/>
  <c r="E1246" i="14"/>
  <c r="E1245" i="14"/>
  <c r="E285" i="8"/>
  <c r="E1911" i="14"/>
  <c r="E1302" i="14"/>
  <c r="E1301" i="14"/>
  <c r="E1289" i="8"/>
  <c r="E549" i="4"/>
  <c r="E110" i="8"/>
  <c r="E5921" i="14"/>
  <c r="E5844" i="14"/>
  <c r="E94" i="14"/>
  <c r="E166" i="14"/>
  <c r="E217" i="14"/>
  <c r="E264" i="14"/>
  <c r="E319" i="14"/>
  <c r="E379" i="8"/>
  <c r="E8010" i="14"/>
  <c r="E1598" i="14"/>
  <c r="E7502" i="14"/>
  <c r="E7501" i="14"/>
  <c r="E1791" i="14"/>
  <c r="E845" i="8"/>
  <c r="E8045" i="14"/>
  <c r="E1807" i="14"/>
  <c r="E93" i="35"/>
  <c r="E56" i="35"/>
  <c r="W58" i="31" s="1"/>
  <c r="E68" i="35"/>
  <c r="E61" i="35"/>
  <c r="E3769" i="14"/>
  <c r="E4164" i="14"/>
  <c r="E1253" i="35"/>
  <c r="E1246" i="35"/>
  <c r="E1278" i="35"/>
  <c r="E1241" i="35"/>
  <c r="X58" i="84" s="1"/>
  <c r="E4198" i="14"/>
  <c r="E243" i="8"/>
  <c r="E1600" i="14"/>
  <c r="E268" i="8"/>
  <c r="E904" i="14"/>
  <c r="E903" i="14"/>
  <c r="E1793" i="14"/>
  <c r="E270" i="8"/>
  <c r="E960" i="14"/>
  <c r="E959" i="14"/>
  <c r="E1809" i="14"/>
  <c r="E1272" i="8"/>
  <c r="E532" i="4"/>
  <c r="E31" i="14"/>
  <c r="E141" i="8"/>
  <c r="E125" i="14"/>
  <c r="E320" i="14"/>
  <c r="E7446" i="14"/>
  <c r="E7447" i="14"/>
  <c r="E1725" i="14"/>
  <c r="E674" i="8"/>
  <c r="E8028" i="14"/>
  <c r="E1735" i="14"/>
  <c r="E1052" i="8"/>
  <c r="E8061" i="14"/>
  <c r="E1901" i="14"/>
  <c r="E2345" i="14" s="1"/>
  <c r="E3958" i="14"/>
  <c r="E647" i="8" s="1"/>
  <c r="E709" i="35"/>
  <c r="E672" i="35"/>
  <c r="X58" i="83" s="1"/>
  <c r="E684" i="35"/>
  <c r="E677" i="35"/>
  <c r="E3992" i="14"/>
  <c r="E1775" i="35"/>
  <c r="E1768" i="35"/>
  <c r="E1800" i="35"/>
  <c r="E1763" i="35"/>
  <c r="W58" i="85" s="1"/>
  <c r="E4387" i="14"/>
  <c r="E242" i="8"/>
  <c r="E1592" i="14"/>
  <c r="E246" i="8"/>
  <c r="E1614" i="14"/>
  <c r="E374" i="14"/>
  <c r="E375" i="14"/>
  <c r="E284" i="8"/>
  <c r="E1903" i="14"/>
  <c r="E1273" i="14"/>
  <c r="E1274" i="14"/>
  <c r="E515" i="4"/>
  <c r="E21" i="14"/>
  <c r="AK13" i="85" s="1"/>
  <c r="E32" i="14"/>
  <c r="E62" i="14"/>
  <c r="E172" i="8"/>
  <c r="E5998" i="14"/>
  <c r="E237" i="14"/>
  <c r="E292" i="14"/>
  <c r="E347" i="14"/>
  <c r="BA78" i="85"/>
  <c r="AW78" i="85"/>
  <c r="BA77" i="85"/>
  <c r="AW77" i="85"/>
  <c r="BA75" i="85"/>
  <c r="AW75" i="85"/>
  <c r="BA74" i="85"/>
  <c r="AW74" i="85"/>
  <c r="BA72" i="85"/>
  <c r="AW72" i="85"/>
  <c r="BA71" i="85"/>
  <c r="AW71" i="85"/>
  <c r="BA78" i="84"/>
  <c r="AW78" i="84"/>
  <c r="BA77" i="84"/>
  <c r="AW77" i="84"/>
  <c r="BA76" i="84"/>
  <c r="AW76" i="84"/>
  <c r="BA75" i="84"/>
  <c r="AW75" i="84"/>
  <c r="BA74" i="84"/>
  <c r="AW74" i="84"/>
  <c r="BA72" i="84"/>
  <c r="AW72" i="84"/>
  <c r="BA78" i="83"/>
  <c r="BA77" i="83"/>
  <c r="BA76" i="83"/>
  <c r="BA75" i="83"/>
  <c r="BA74" i="83"/>
  <c r="BA72" i="83"/>
  <c r="BA71" i="83"/>
  <c r="AW78" i="83"/>
  <c r="AW77" i="83"/>
  <c r="AW76" i="83"/>
  <c r="AW75" i="83"/>
  <c r="AW74" i="83"/>
  <c r="AW72" i="83"/>
  <c r="AW71" i="83"/>
  <c r="E405" i="36" l="1"/>
  <c r="E414" i="36"/>
  <c r="X13" i="83" s="1"/>
  <c r="E669" i="8"/>
  <c r="E2778" i="14"/>
  <c r="E411" i="36"/>
  <c r="X10" i="83" s="1"/>
  <c r="E667" i="8"/>
  <c r="E406" i="36"/>
  <c r="E3298" i="14"/>
  <c r="E3681" i="14" s="1"/>
  <c r="E705" i="35" s="1"/>
  <c r="E666" i="8"/>
  <c r="E664" i="8"/>
  <c r="E403" i="36"/>
  <c r="E412" i="36"/>
  <c r="X11" i="83" s="1"/>
  <c r="E672" i="8"/>
  <c r="E1064" i="36"/>
  <c r="W11" i="85" s="1"/>
  <c r="W37" i="85" s="1"/>
  <c r="E2779" i="14"/>
  <c r="E419" i="36"/>
  <c r="E413" i="36"/>
  <c r="X12" i="83" s="1"/>
  <c r="E670" i="8"/>
  <c r="E671" i="8"/>
  <c r="E665" i="8"/>
  <c r="E671" i="35"/>
  <c r="E423" i="36"/>
  <c r="E404" i="36"/>
  <c r="X6" i="83" s="1"/>
  <c r="E143" i="8"/>
  <c r="E668" i="8"/>
  <c r="E673" i="8"/>
  <c r="J106" i="58"/>
  <c r="E5391" i="14"/>
  <c r="E5395" i="14"/>
  <c r="E341" i="8"/>
  <c r="V65" i="31" s="1"/>
  <c r="W57" i="31"/>
  <c r="E1045" i="8"/>
  <c r="E7096" i="14"/>
  <c r="E1048" i="8" s="1"/>
  <c r="E3081" i="14"/>
  <c r="E1043" i="8"/>
  <c r="E1071" i="36"/>
  <c r="E6081" i="14"/>
  <c r="E1057" i="36"/>
  <c r="J247" i="58"/>
  <c r="E1040" i="8"/>
  <c r="E1762" i="35"/>
  <c r="E1047" i="8"/>
  <c r="E1066" i="36"/>
  <c r="W13" i="85" s="1"/>
  <c r="W39" i="85" s="1"/>
  <c r="E1058" i="36"/>
  <c r="E1065" i="36"/>
  <c r="W12" i="85" s="1"/>
  <c r="W38" i="85" s="1"/>
  <c r="E3331" i="14"/>
  <c r="E3567" i="14" s="1"/>
  <c r="E1785" i="35" s="1"/>
  <c r="E1044" i="8"/>
  <c r="W65" i="85" s="1"/>
  <c r="E1038" i="8"/>
  <c r="W77" i="85" s="1"/>
  <c r="E3080" i="14"/>
  <c r="E204" i="8"/>
  <c r="E1037" i="8"/>
  <c r="E1042" i="8"/>
  <c r="E1051" i="8"/>
  <c r="W57" i="85"/>
  <c r="E1063" i="36"/>
  <c r="W10" i="85" s="1"/>
  <c r="W36" i="85" s="1"/>
  <c r="E1056" i="36"/>
  <c r="E1075" i="36"/>
  <c r="E1904" i="14"/>
  <c r="E3087" i="14"/>
  <c r="E1036" i="8"/>
  <c r="E1041" i="8"/>
  <c r="E1039" i="8"/>
  <c r="E1055" i="36"/>
  <c r="X57" i="84"/>
  <c r="E1242" i="35"/>
  <c r="E1279" i="35" s="1"/>
  <c r="E164" i="14"/>
  <c r="E2200" i="14"/>
  <c r="E2192" i="14"/>
  <c r="E2184" i="14"/>
  <c r="E336" i="8"/>
  <c r="E198" i="14"/>
  <c r="E798" i="8"/>
  <c r="E2001" i="14"/>
  <c r="E2021" i="14"/>
  <c r="E2011" i="14"/>
  <c r="E1099" i="36"/>
  <c r="E1091" i="36"/>
  <c r="X10" i="85" s="1"/>
  <c r="X36" i="85" s="1"/>
  <c r="E1094" i="36"/>
  <c r="X13" i="85" s="1"/>
  <c r="X39" i="85" s="1"/>
  <c r="E1086" i="36"/>
  <c r="E1103" i="36"/>
  <c r="E1093" i="36"/>
  <c r="X12" i="85" s="1"/>
  <c r="X38" i="85" s="1"/>
  <c r="E1085" i="36"/>
  <c r="E1083" i="36"/>
  <c r="E1092" i="36"/>
  <c r="X11" i="85" s="1"/>
  <c r="X37" i="85" s="1"/>
  <c r="E1084" i="36"/>
  <c r="E753" i="36"/>
  <c r="X12" i="84" s="1"/>
  <c r="X38" i="84" s="1"/>
  <c r="E745" i="36"/>
  <c r="E746" i="36"/>
  <c r="E752" i="36"/>
  <c r="X11" i="84" s="1"/>
  <c r="X37" i="84" s="1"/>
  <c r="E744" i="36"/>
  <c r="E759" i="36"/>
  <c r="E751" i="36"/>
  <c r="X10" i="84" s="1"/>
  <c r="X36" i="84" s="1"/>
  <c r="E743" i="36"/>
  <c r="E763" i="36"/>
  <c r="E754" i="36"/>
  <c r="X13" i="84" s="1"/>
  <c r="X39" i="84" s="1"/>
  <c r="E66" i="36"/>
  <c r="E38" i="36"/>
  <c r="E735" i="36"/>
  <c r="E725" i="36"/>
  <c r="W12" i="84" s="1"/>
  <c r="W38" i="84" s="1"/>
  <c r="E717" i="36"/>
  <c r="E724" i="36"/>
  <c r="W11" i="84" s="1"/>
  <c r="W37" i="84" s="1"/>
  <c r="E716" i="36"/>
  <c r="E731" i="36"/>
  <c r="E723" i="36"/>
  <c r="W10" i="84" s="1"/>
  <c r="W36" i="84" s="1"/>
  <c r="E715" i="36"/>
  <c r="E726" i="36"/>
  <c r="W13" i="84" s="1"/>
  <c r="W39" i="84" s="1"/>
  <c r="E718" i="36"/>
  <c r="AU113" i="87"/>
  <c r="E378" i="36"/>
  <c r="AU113" i="51"/>
  <c r="E181" i="14"/>
  <c r="X79" i="83"/>
  <c r="E645" i="8"/>
  <c r="E7495" i="14"/>
  <c r="E7494" i="14" s="1"/>
  <c r="V65" i="83"/>
  <c r="E215" i="14"/>
  <c r="I234" i="73"/>
  <c r="E1905" i="14"/>
  <c r="E1737" i="14"/>
  <c r="AS69" i="83" s="1"/>
  <c r="I238" i="73"/>
  <c r="E3770" i="14"/>
  <c r="E3782" i="14"/>
  <c r="E3776" i="14"/>
  <c r="E3780" i="14"/>
  <c r="E3771" i="14"/>
  <c r="E3778" i="14"/>
  <c r="E1769" i="35"/>
  <c r="E1195" i="35"/>
  <c r="W57" i="84"/>
  <c r="E62" i="35"/>
  <c r="X64" i="83"/>
  <c r="I230" i="73"/>
  <c r="E4183" i="14"/>
  <c r="E4194" i="14"/>
  <c r="E4190" i="14"/>
  <c r="E4182" i="14"/>
  <c r="E4192" i="14"/>
  <c r="E4188" i="14"/>
  <c r="E1594" i="14"/>
  <c r="E1591" i="14"/>
  <c r="E7084" i="14"/>
  <c r="E7091" i="14"/>
  <c r="E1049" i="8" s="1"/>
  <c r="E7100" i="14"/>
  <c r="E7105" i="14" s="1"/>
  <c r="E7083" i="14"/>
  <c r="E660" i="8"/>
  <c r="E656" i="8"/>
  <c r="E652" i="8"/>
  <c r="E659" i="8"/>
  <c r="E655" i="8"/>
  <c r="E658" i="8"/>
  <c r="E654" i="8"/>
  <c r="W79" i="83" s="1"/>
  <c r="E661" i="8"/>
  <c r="E391" i="36"/>
  <c r="E383" i="36"/>
  <c r="W10" i="83" s="1"/>
  <c r="E375" i="36"/>
  <c r="E653" i="8"/>
  <c r="E395" i="36"/>
  <c r="E385" i="36"/>
  <c r="W12" i="83" s="1"/>
  <c r="E377" i="36"/>
  <c r="E657" i="8"/>
  <c r="E376" i="36"/>
  <c r="E386" i="36"/>
  <c r="W13" i="83" s="1"/>
  <c r="E142" i="8"/>
  <c r="E384" i="36"/>
  <c r="W11" i="83" s="1"/>
  <c r="E624" i="35"/>
  <c r="E3297" i="14"/>
  <c r="E2771" i="14"/>
  <c r="E2770" i="14"/>
  <c r="J105" i="58"/>
  <c r="E396" i="8"/>
  <c r="E392" i="8"/>
  <c r="E388" i="8"/>
  <c r="E384" i="8"/>
  <c r="E403" i="8"/>
  <c r="E391" i="8"/>
  <c r="E387" i="8"/>
  <c r="E383" i="8"/>
  <c r="X79" i="31" s="1"/>
  <c r="E390" i="8"/>
  <c r="E386" i="8"/>
  <c r="E382" i="8"/>
  <c r="E112" i="8"/>
  <c r="E393" i="8"/>
  <c r="E385" i="8"/>
  <c r="E74" i="36"/>
  <c r="X13" i="31" s="1"/>
  <c r="E389" i="8"/>
  <c r="E83" i="36"/>
  <c r="E73" i="36"/>
  <c r="X12" i="31" s="1"/>
  <c r="E65" i="36"/>
  <c r="E381" i="8"/>
  <c r="E72" i="36"/>
  <c r="X11" i="31" s="1"/>
  <c r="E64" i="36"/>
  <c r="E79" i="36"/>
  <c r="E71" i="36"/>
  <c r="X10" i="31" s="1"/>
  <c r="E63" i="36"/>
  <c r="E102" i="35"/>
  <c r="E6309" i="14"/>
  <c r="E6314" i="14" s="1"/>
  <c r="E6303" i="14"/>
  <c r="E6293" i="14"/>
  <c r="E6285" i="14"/>
  <c r="E397" i="8" s="1"/>
  <c r="E6279" i="14"/>
  <c r="E6272" i="14"/>
  <c r="E6315" i="14"/>
  <c r="E402" i="8" s="1"/>
  <c r="E6308" i="14"/>
  <c r="E6300" i="14"/>
  <c r="E6290" i="14"/>
  <c r="E394" i="8" s="1"/>
  <c r="E6284" i="14"/>
  <c r="E6275" i="14"/>
  <c r="E3281" i="14"/>
  <c r="E2536" i="14"/>
  <c r="E6313" i="14"/>
  <c r="E6305" i="14"/>
  <c r="E398" i="8" s="1"/>
  <c r="E6299" i="14"/>
  <c r="E6289" i="14"/>
  <c r="E6294" i="14" s="1"/>
  <c r="E6283" i="14"/>
  <c r="E6274" i="14"/>
  <c r="E2542" i="14"/>
  <c r="E2535" i="14"/>
  <c r="E6310" i="14"/>
  <c r="E395" i="8" s="1"/>
  <c r="E6304" i="14"/>
  <c r="E6295" i="14"/>
  <c r="E401" i="8" s="1"/>
  <c r="E6288" i="14"/>
  <c r="E6280" i="14"/>
  <c r="E399" i="8" s="1"/>
  <c r="E6273" i="14"/>
  <c r="E5933" i="14"/>
  <c r="E5856" i="14"/>
  <c r="E2548" i="14"/>
  <c r="E1612" i="14"/>
  <c r="E1615" i="14"/>
  <c r="J35" i="58"/>
  <c r="E801" i="8"/>
  <c r="E4389" i="14"/>
  <c r="E4400" i="14"/>
  <c r="E4396" i="14"/>
  <c r="E4388" i="14"/>
  <c r="E4398" i="14"/>
  <c r="E4394" i="14"/>
  <c r="E1060" i="8"/>
  <c r="E1056" i="8"/>
  <c r="X79" i="85" s="1"/>
  <c r="E1063" i="8"/>
  <c r="E1059" i="8"/>
  <c r="E1055" i="8"/>
  <c r="E1062" i="8"/>
  <c r="E1058" i="8"/>
  <c r="E1054" i="8"/>
  <c r="E1069" i="8"/>
  <c r="E1065" i="8"/>
  <c r="E1061" i="8"/>
  <c r="E1057" i="8"/>
  <c r="E205" i="8"/>
  <c r="E1809" i="35"/>
  <c r="E7126" i="14"/>
  <c r="E7131" i="14" s="1"/>
  <c r="E7120" i="14"/>
  <c r="E7111" i="14"/>
  <c r="E7132" i="14"/>
  <c r="E1068" i="8" s="1"/>
  <c r="E7125" i="14"/>
  <c r="E7117" i="14"/>
  <c r="E1067" i="8" s="1"/>
  <c r="E7110" i="14"/>
  <c r="E7130" i="14"/>
  <c r="E7122" i="14"/>
  <c r="E1066" i="8" s="1"/>
  <c r="E7116" i="14"/>
  <c r="E7109" i="14"/>
  <c r="E7127" i="14"/>
  <c r="E1064" i="8" s="1"/>
  <c r="E7121" i="14"/>
  <c r="E3332" i="14"/>
  <c r="E7112" i="14"/>
  <c r="E1912" i="14"/>
  <c r="E6087" i="14"/>
  <c r="E3097" i="14"/>
  <c r="E3103" i="14"/>
  <c r="E3096" i="14"/>
  <c r="J248" i="58"/>
  <c r="E1811" i="35"/>
  <c r="X57" i="85"/>
  <c r="E7385" i="14"/>
  <c r="E4406" i="14"/>
  <c r="E4417" i="14"/>
  <c r="E4413" i="14"/>
  <c r="E4405" i="14"/>
  <c r="E4415" i="14"/>
  <c r="E4411" i="14"/>
  <c r="E1897" i="14"/>
  <c r="E1732" i="14"/>
  <c r="AS68" i="83" s="1"/>
  <c r="E1776" i="35"/>
  <c r="E69" i="35"/>
  <c r="E1023" i="8"/>
  <c r="E7099" i="14"/>
  <c r="E7086" i="14"/>
  <c r="E7090" i="14"/>
  <c r="E7440" i="14"/>
  <c r="E371" i="8"/>
  <c r="E367" i="8"/>
  <c r="E363" i="8"/>
  <c r="E359" i="8"/>
  <c r="E378" i="8"/>
  <c r="E366" i="8"/>
  <c r="E362" i="8"/>
  <c r="E358" i="8"/>
  <c r="E365" i="8"/>
  <c r="E361" i="8"/>
  <c r="E357" i="8"/>
  <c r="E360" i="8"/>
  <c r="W78" i="31" s="1"/>
  <c r="E368" i="8"/>
  <c r="E111" i="8"/>
  <c r="E364" i="8"/>
  <c r="E51" i="36"/>
  <c r="E43" i="36"/>
  <c r="W10" i="31" s="1"/>
  <c r="E35" i="36"/>
  <c r="E356" i="8"/>
  <c r="E46" i="36"/>
  <c r="W13" i="31" s="1"/>
  <c r="E55" i="36"/>
  <c r="E45" i="36"/>
  <c r="W12" i="31" s="1"/>
  <c r="E37" i="36"/>
  <c r="E44" i="36"/>
  <c r="W11" i="31" s="1"/>
  <c r="E36" i="36"/>
  <c r="E55" i="35"/>
  <c r="E6263" i="14"/>
  <c r="E6268" i="14" s="1"/>
  <c r="E6257" i="14"/>
  <c r="E6247" i="14"/>
  <c r="E6239" i="14"/>
  <c r="E372" i="8" s="1"/>
  <c r="E6233" i="14"/>
  <c r="E6226" i="14"/>
  <c r="E6269" i="14"/>
  <c r="E377" i="8" s="1"/>
  <c r="E6262" i="14"/>
  <c r="E6254" i="14"/>
  <c r="E375" i="8" s="1"/>
  <c r="E6244" i="14"/>
  <c r="E369" i="8" s="1"/>
  <c r="E6238" i="14"/>
  <c r="E6229" i="14"/>
  <c r="E5927" i="14"/>
  <c r="E5850" i="14"/>
  <c r="E2514" i="14"/>
  <c r="E6267" i="14"/>
  <c r="E6259" i="14"/>
  <c r="E373" i="8" s="1"/>
  <c r="E6253" i="14"/>
  <c r="E6243" i="14"/>
  <c r="E6248" i="14" s="1"/>
  <c r="E6237" i="14"/>
  <c r="E6228" i="14"/>
  <c r="E3280" i="14"/>
  <c r="E2520" i="14"/>
  <c r="E2513" i="14"/>
  <c r="E6264" i="14"/>
  <c r="E370" i="8" s="1"/>
  <c r="E6258" i="14"/>
  <c r="E6249" i="14"/>
  <c r="E376" i="8" s="1"/>
  <c r="E6242" i="14"/>
  <c r="E6234" i="14"/>
  <c r="E374" i="8" s="1"/>
  <c r="E6227" i="14"/>
  <c r="E2526" i="14"/>
  <c r="E1604" i="14"/>
  <c r="E1601" i="14"/>
  <c r="J34" i="58"/>
  <c r="E3977" i="14"/>
  <c r="E3988" i="14"/>
  <c r="E3984" i="14"/>
  <c r="E3976" i="14"/>
  <c r="E3986" i="14"/>
  <c r="E3982" i="14"/>
  <c r="E1913" i="14"/>
  <c r="E1801" i="35"/>
  <c r="E820" i="8"/>
  <c r="E816" i="8"/>
  <c r="E812" i="8"/>
  <c r="E819" i="8"/>
  <c r="E815" i="8"/>
  <c r="E811" i="8"/>
  <c r="E826" i="8"/>
  <c r="E822" i="8"/>
  <c r="E818" i="8"/>
  <c r="E814" i="8"/>
  <c r="E817" i="8"/>
  <c r="E813" i="8"/>
  <c r="E173" i="8"/>
  <c r="E1193" i="35"/>
  <c r="E6782" i="14"/>
  <c r="E6787" i="14" s="1"/>
  <c r="E6776" i="14"/>
  <c r="E6767" i="14"/>
  <c r="E6788" i="14"/>
  <c r="E825" i="8" s="1"/>
  <c r="E6781" i="14"/>
  <c r="E6773" i="14"/>
  <c r="E824" i="8" s="1"/>
  <c r="E6766" i="14"/>
  <c r="E6777" i="14"/>
  <c r="E6778" i="14"/>
  <c r="E823" i="8" s="1"/>
  <c r="E6765" i="14"/>
  <c r="E6004" i="14"/>
  <c r="E2882" i="14"/>
  <c r="E6783" i="14"/>
  <c r="E821" i="8" s="1"/>
  <c r="E6768" i="14"/>
  <c r="E3314" i="14"/>
  <c r="E2888" i="14"/>
  <c r="E2881" i="14"/>
  <c r="E6786" i="14"/>
  <c r="E6772" i="14"/>
  <c r="E1802" i="14"/>
  <c r="J176" i="58"/>
  <c r="E3788" i="14"/>
  <c r="E3799" i="14"/>
  <c r="E3795" i="14"/>
  <c r="E3787" i="14"/>
  <c r="E3797" i="14"/>
  <c r="E3793" i="14"/>
  <c r="E7106" i="14"/>
  <c r="E1050" i="8" s="1"/>
  <c r="E7085" i="14"/>
  <c r="E7095" i="14"/>
  <c r="E710" i="35"/>
  <c r="E685" i="35"/>
  <c r="E678" i="35"/>
  <c r="E1811" i="14"/>
  <c r="E3994" i="14"/>
  <c r="E4005" i="14"/>
  <c r="E4001" i="14"/>
  <c r="E3993" i="14"/>
  <c r="E4003" i="14"/>
  <c r="E3999" i="14"/>
  <c r="E1727" i="14"/>
  <c r="E4200" i="14"/>
  <c r="E4211" i="14"/>
  <c r="E4207" i="14"/>
  <c r="E4199" i="14"/>
  <c r="E4209" i="14"/>
  <c r="E4205" i="14"/>
  <c r="E1795" i="14"/>
  <c r="E1602" i="14"/>
  <c r="E1605" i="14"/>
  <c r="E104" i="35"/>
  <c r="X57" i="31"/>
  <c r="E838" i="8"/>
  <c r="E844" i="8"/>
  <c r="E840" i="8"/>
  <c r="E837" i="8"/>
  <c r="E833" i="8"/>
  <c r="E829" i="8"/>
  <c r="E836" i="8"/>
  <c r="E832" i="8"/>
  <c r="E835" i="8"/>
  <c r="E831" i="8"/>
  <c r="E174" i="8"/>
  <c r="E834" i="8"/>
  <c r="E830" i="8"/>
  <c r="E1240" i="35"/>
  <c r="E6814" i="14"/>
  <c r="E843" i="8" s="1"/>
  <c r="E6807" i="14"/>
  <c r="E6799" i="14"/>
  <c r="E842" i="8" s="1"/>
  <c r="E6792" i="14"/>
  <c r="E6812" i="14"/>
  <c r="E6804" i="14"/>
  <c r="E841" i="8" s="1"/>
  <c r="E6798" i="14"/>
  <c r="E6791" i="14"/>
  <c r="E6809" i="14"/>
  <c r="E839" i="8" s="1"/>
  <c r="E6803" i="14"/>
  <c r="E6794" i="14"/>
  <c r="E6793" i="14"/>
  <c r="E3315" i="14"/>
  <c r="E2904" i="14"/>
  <c r="E2897" i="14"/>
  <c r="E6808" i="14"/>
  <c r="E6813" i="14" s="1"/>
  <c r="E6802" i="14"/>
  <c r="E6010" i="14"/>
  <c r="E2898" i="14"/>
  <c r="E1810" i="14"/>
  <c r="J177" i="58"/>
  <c r="I242" i="73"/>
  <c r="E94" i="35"/>
  <c r="E7550" i="14"/>
  <c r="E1026" i="8"/>
  <c r="X7" i="83"/>
  <c r="X77" i="83"/>
  <c r="X66" i="83" s="1"/>
  <c r="E1803" i="14"/>
  <c r="E1613" i="14"/>
  <c r="E1616" i="14"/>
  <c r="E663" i="35"/>
  <c r="E638" i="35"/>
  <c r="E631" i="35"/>
  <c r="E7094" i="14"/>
  <c r="E7101" i="14"/>
  <c r="E1046" i="8" s="1"/>
  <c r="E7104" i="14"/>
  <c r="X70" i="83" l="1"/>
  <c r="E3534" i="14"/>
  <c r="E694" i="35" s="1"/>
  <c r="E695" i="35" s="1"/>
  <c r="X15" i="83"/>
  <c r="X65" i="83"/>
  <c r="X5" i="83"/>
  <c r="X43" i="83" s="1"/>
  <c r="X78" i="83"/>
  <c r="E400" i="8"/>
  <c r="E426" i="36"/>
  <c r="E2351" i="14"/>
  <c r="E2335" i="14"/>
  <c r="E2343" i="14"/>
  <c r="E8198" i="14"/>
  <c r="W6" i="85"/>
  <c r="W32" i="85" s="1"/>
  <c r="X69" i="83"/>
  <c r="E8199" i="14"/>
  <c r="X16" i="83"/>
  <c r="W16" i="85"/>
  <c r="W42" i="85" s="1"/>
  <c r="W5" i="85"/>
  <c r="W31" i="85" s="1"/>
  <c r="E3714" i="14"/>
  <c r="W15" i="85"/>
  <c r="W41" i="85" s="1"/>
  <c r="E1786" i="35"/>
  <c r="E1060" i="36"/>
  <c r="W7" i="85"/>
  <c r="W33" i="85" s="1"/>
  <c r="E1068" i="36"/>
  <c r="W70" i="85"/>
  <c r="W66" i="85"/>
  <c r="V57" i="31"/>
  <c r="W78" i="85"/>
  <c r="W79" i="85"/>
  <c r="W69" i="85" s="1"/>
  <c r="E1078" i="36"/>
  <c r="E2342" i="14"/>
  <c r="W64" i="85"/>
  <c r="E1247" i="35"/>
  <c r="E1254" i="35"/>
  <c r="V57" i="84"/>
  <c r="E2350" i="14"/>
  <c r="E2182" i="14"/>
  <c r="E2198" i="14"/>
  <c r="E2190" i="14"/>
  <c r="E2197" i="14"/>
  <c r="E2189" i="14"/>
  <c r="E2017" i="14"/>
  <c r="E2018" i="14"/>
  <c r="E2016" i="14"/>
  <c r="E1997" i="14"/>
  <c r="E2006" i="14"/>
  <c r="E2008" i="14"/>
  <c r="E2009" i="14"/>
  <c r="E748" i="36"/>
  <c r="E2019" i="14"/>
  <c r="E2007" i="14"/>
  <c r="E1999" i="14"/>
  <c r="E1906" i="14"/>
  <c r="E1088" i="36"/>
  <c r="E738" i="36"/>
  <c r="E728" i="36"/>
  <c r="E756" i="36"/>
  <c r="E1096" i="36"/>
  <c r="E766" i="36"/>
  <c r="E1106" i="36"/>
  <c r="E720" i="36"/>
  <c r="E8124" i="14"/>
  <c r="E8173" i="14"/>
  <c r="E8125" i="14"/>
  <c r="E8174" i="14"/>
  <c r="E1914" i="14"/>
  <c r="E8083" i="14"/>
  <c r="E8140" i="14"/>
  <c r="E8085" i="14"/>
  <c r="E8142" i="14"/>
  <c r="E8082" i="14"/>
  <c r="E8139" i="14"/>
  <c r="E8084" i="14"/>
  <c r="E8141" i="14"/>
  <c r="E7498" i="14"/>
  <c r="AG44" i="84" s="1"/>
  <c r="V57" i="83"/>
  <c r="E1804" i="14"/>
  <c r="W78" i="84"/>
  <c r="X78" i="85"/>
  <c r="X78" i="84"/>
  <c r="E1617" i="14"/>
  <c r="X78" i="31"/>
  <c r="X70" i="84"/>
  <c r="X65" i="84"/>
  <c r="E116" i="35"/>
  <c r="E109" i="35"/>
  <c r="E141" i="35"/>
  <c r="V65" i="85"/>
  <c r="X16" i="84"/>
  <c r="X42" i="84" s="1"/>
  <c r="E3551" i="14"/>
  <c r="E1263" i="35" s="1"/>
  <c r="E1264" i="35" s="1"/>
  <c r="E3698" i="14"/>
  <c r="E1274" i="35" s="1"/>
  <c r="X6" i="84"/>
  <c r="X32" i="84" s="1"/>
  <c r="E799" i="8"/>
  <c r="W5" i="84"/>
  <c r="W31" i="84" s="1"/>
  <c r="W77" i="84"/>
  <c r="W66" i="84" s="1"/>
  <c r="W70" i="84"/>
  <c r="W65" i="84"/>
  <c r="W64" i="31"/>
  <c r="E7439" i="14"/>
  <c r="E7443" i="14"/>
  <c r="AG44" i="83" s="1"/>
  <c r="E1024" i="8"/>
  <c r="E1823" i="35"/>
  <c r="E1816" i="35"/>
  <c r="E1848" i="35"/>
  <c r="X7" i="85"/>
  <c r="X33" i="85" s="1"/>
  <c r="X64" i="31"/>
  <c r="X6" i="31"/>
  <c r="W16" i="83"/>
  <c r="E398" i="36"/>
  <c r="W15" i="83"/>
  <c r="E338" i="8"/>
  <c r="E3550" i="14"/>
  <c r="E1216" i="35" s="1"/>
  <c r="E1217" i="35" s="1"/>
  <c r="E3697" i="14"/>
  <c r="E1227" i="35" s="1"/>
  <c r="W64" i="84"/>
  <c r="W7" i="84"/>
  <c r="W33" i="84" s="1"/>
  <c r="W6" i="31"/>
  <c r="W16" i="31"/>
  <c r="W5" i="31"/>
  <c r="W70" i="31"/>
  <c r="W65" i="31"/>
  <c r="X15" i="85"/>
  <c r="X41" i="85" s="1"/>
  <c r="X6" i="85"/>
  <c r="X32" i="85" s="1"/>
  <c r="X5" i="31"/>
  <c r="X16" i="31"/>
  <c r="X70" i="31"/>
  <c r="X69" i="31"/>
  <c r="X65" i="31"/>
  <c r="W69" i="83"/>
  <c r="W70" i="83"/>
  <c r="W65" i="83"/>
  <c r="E1207" i="35"/>
  <c r="E1200" i="35"/>
  <c r="E1232" i="35"/>
  <c r="V57" i="85"/>
  <c r="E1812" i="14"/>
  <c r="X5" i="84"/>
  <c r="X31" i="84" s="1"/>
  <c r="E1606" i="14"/>
  <c r="AS67" i="83"/>
  <c r="E646" i="8"/>
  <c r="X17" i="83"/>
  <c r="W6" i="84"/>
  <c r="W32" i="84" s="1"/>
  <c r="W15" i="84"/>
  <c r="W41" i="84" s="1"/>
  <c r="E3516" i="14"/>
  <c r="E78" i="35" s="1"/>
  <c r="E79" i="35" s="1"/>
  <c r="E3663" i="14"/>
  <c r="E89" i="35" s="1"/>
  <c r="W79" i="84"/>
  <c r="W69" i="84" s="1"/>
  <c r="X64" i="85"/>
  <c r="X16" i="85"/>
  <c r="X42" i="85" s="1"/>
  <c r="V65" i="84"/>
  <c r="E3533" i="14"/>
  <c r="E647" i="35" s="1"/>
  <c r="E648" i="35" s="1"/>
  <c r="E3680" i="14"/>
  <c r="W7" i="83"/>
  <c r="W5" i="83"/>
  <c r="W77" i="83"/>
  <c r="W66" i="83" s="1"/>
  <c r="E337" i="8"/>
  <c r="X7" i="84"/>
  <c r="X33" i="84" s="1"/>
  <c r="X64" i="84"/>
  <c r="E7549" i="14"/>
  <c r="E7553" i="14"/>
  <c r="AG44" i="85" s="1"/>
  <c r="X15" i="84"/>
  <c r="X41" i="84" s="1"/>
  <c r="X77" i="84"/>
  <c r="X66" i="84" s="1"/>
  <c r="W16" i="84"/>
  <c r="W42" i="84" s="1"/>
  <c r="W7" i="31"/>
  <c r="E58" i="36"/>
  <c r="W15" i="31"/>
  <c r="W77" i="31"/>
  <c r="W66" i="31" s="1"/>
  <c r="E7388" i="14"/>
  <c r="AG44" i="31" s="1"/>
  <c r="E7384" i="14"/>
  <c r="W79" i="31"/>
  <c r="W69" i="31" s="1"/>
  <c r="W67" i="31" s="1"/>
  <c r="E3568" i="14"/>
  <c r="E1832" i="35" s="1"/>
  <c r="E1833" i="35" s="1"/>
  <c r="E3715" i="14"/>
  <c r="X5" i="85"/>
  <c r="X31" i="85" s="1"/>
  <c r="X69" i="85"/>
  <c r="X70" i="85"/>
  <c r="X65" i="85"/>
  <c r="X77" i="85"/>
  <c r="X66" i="85" s="1"/>
  <c r="E3517" i="14"/>
  <c r="E3664" i="14"/>
  <c r="E86" i="36"/>
  <c r="X15" i="31"/>
  <c r="X7" i="31"/>
  <c r="X77" i="31"/>
  <c r="X66" i="31" s="1"/>
  <c r="W64" i="83"/>
  <c r="W6" i="83"/>
  <c r="W78" i="83"/>
  <c r="X79" i="84"/>
  <c r="X69" i="84" s="1"/>
  <c r="AO12" i="31"/>
  <c r="X38" i="83" l="1"/>
  <c r="X32" i="83"/>
  <c r="X40" i="83"/>
  <c r="X34" i="83"/>
  <c r="X42" i="83"/>
  <c r="X36" i="83"/>
  <c r="X67" i="83"/>
  <c r="X33" i="83"/>
  <c r="X37" i="83"/>
  <c r="X41" i="83"/>
  <c r="X31" i="83"/>
  <c r="X35" i="83"/>
  <c r="X39" i="83"/>
  <c r="E1796" i="35"/>
  <c r="E125" i="35"/>
  <c r="E126" i="35" s="1"/>
  <c r="E1843" i="35"/>
  <c r="E136" i="35"/>
  <c r="E658" i="35"/>
  <c r="AS69" i="31"/>
  <c r="AS69" i="84"/>
  <c r="AS68" i="84"/>
  <c r="AS68" i="85"/>
  <c r="E2344" i="14"/>
  <c r="E2346" i="14" s="1"/>
  <c r="E1100" i="36"/>
  <c r="E760" i="36"/>
  <c r="E2352" i="14"/>
  <c r="E2354" i="14" s="1"/>
  <c r="AS69" i="85"/>
  <c r="AS70" i="31"/>
  <c r="E1079" i="36"/>
  <c r="E1072" i="36"/>
  <c r="W17" i="85"/>
  <c r="W43" i="85" s="1"/>
  <c r="E767" i="36"/>
  <c r="W67" i="85"/>
  <c r="E1107" i="36"/>
  <c r="E2199" i="14"/>
  <c r="E2201" i="14" s="1"/>
  <c r="E2191" i="14"/>
  <c r="E2193" i="14" s="1"/>
  <c r="E2020" i="14"/>
  <c r="E2022" i="14" s="1"/>
  <c r="E2010" i="14"/>
  <c r="E2012" i="14" s="1"/>
  <c r="E732" i="36"/>
  <c r="E739" i="36"/>
  <c r="W67" i="83"/>
  <c r="X67" i="84"/>
  <c r="X67" i="85"/>
  <c r="W67" i="84"/>
  <c r="X67" i="31"/>
  <c r="W17" i="31"/>
  <c r="X17" i="84"/>
  <c r="X43" i="84" s="1"/>
  <c r="X43" i="31"/>
  <c r="X42" i="31"/>
  <c r="X41" i="31"/>
  <c r="X40" i="31"/>
  <c r="X39" i="31"/>
  <c r="X38" i="31"/>
  <c r="X37" i="31"/>
  <c r="X36" i="31"/>
  <c r="X35" i="31"/>
  <c r="X34" i="31"/>
  <c r="X33" i="31"/>
  <c r="X32" i="31"/>
  <c r="X31" i="31"/>
  <c r="W43" i="31"/>
  <c r="W42" i="31"/>
  <c r="W41" i="31"/>
  <c r="W40" i="31"/>
  <c r="W39" i="31"/>
  <c r="W38" i="31"/>
  <c r="W37" i="31"/>
  <c r="W36" i="31"/>
  <c r="W35" i="31"/>
  <c r="W34" i="31"/>
  <c r="W33" i="31"/>
  <c r="W32" i="31"/>
  <c r="W31" i="31"/>
  <c r="X17" i="31"/>
  <c r="W43" i="83"/>
  <c r="W42" i="83"/>
  <c r="W41" i="83"/>
  <c r="W40" i="83"/>
  <c r="W39" i="83"/>
  <c r="W38" i="83"/>
  <c r="W37" i="83"/>
  <c r="W36" i="83"/>
  <c r="W35" i="83"/>
  <c r="W34" i="83"/>
  <c r="W33" i="83"/>
  <c r="W32" i="83"/>
  <c r="W31" i="83"/>
  <c r="W17" i="84"/>
  <c r="W43" i="84" s="1"/>
  <c r="X17" i="85"/>
  <c r="X43" i="85" s="1"/>
  <c r="W17" i="83"/>
  <c r="AS196" i="85"/>
  <c r="AS195" i="85"/>
  <c r="AS194" i="85"/>
  <c r="AS193" i="85"/>
  <c r="AS192" i="85"/>
  <c r="AS191" i="85"/>
  <c r="AS190" i="85"/>
  <c r="AS189" i="85"/>
  <c r="AS188" i="85"/>
  <c r="AS187" i="85"/>
  <c r="AS186" i="85"/>
  <c r="AS172" i="85"/>
  <c r="AS171" i="85"/>
  <c r="AS169" i="85"/>
  <c r="AS168" i="85"/>
  <c r="AS167" i="85"/>
  <c r="AS166" i="85"/>
  <c r="AS165" i="85"/>
  <c r="AS164" i="85"/>
  <c r="AS163" i="85"/>
  <c r="AS162" i="85"/>
  <c r="AS160" i="85"/>
  <c r="AS159" i="85"/>
  <c r="AS158" i="85"/>
  <c r="AS156" i="85"/>
  <c r="AS155" i="85"/>
  <c r="AS154" i="85"/>
  <c r="AS153" i="85"/>
  <c r="AS152" i="85"/>
  <c r="AS151" i="85"/>
  <c r="AS150" i="85"/>
  <c r="AS169" i="84"/>
  <c r="AS165" i="84"/>
  <c r="AS193" i="84"/>
  <c r="AS189" i="84"/>
  <c r="AS185" i="84"/>
  <c r="AO196" i="31"/>
  <c r="AO192" i="31"/>
  <c r="AO188" i="31"/>
  <c r="AO173" i="31"/>
  <c r="AO172" i="31"/>
  <c r="AO152" i="83"/>
  <c r="AO164" i="83"/>
  <c r="AO168" i="83"/>
  <c r="AO184" i="83"/>
  <c r="AO188" i="83"/>
  <c r="AO192" i="83"/>
  <c r="AS150" i="84"/>
  <c r="AS151" i="84"/>
  <c r="AS152" i="84"/>
  <c r="AS154" i="84"/>
  <c r="AS155" i="84"/>
  <c r="AS156" i="84"/>
  <c r="AS158" i="84"/>
  <c r="AS159" i="84"/>
  <c r="AS160" i="84"/>
  <c r="AS162" i="84"/>
  <c r="AS163" i="84"/>
  <c r="AS164" i="84"/>
  <c r="AS166" i="84"/>
  <c r="AS167" i="84"/>
  <c r="AS168" i="84"/>
  <c r="AS171" i="84"/>
  <c r="AS172" i="84"/>
  <c r="AS186" i="84"/>
  <c r="AS187" i="84"/>
  <c r="AS188" i="84"/>
  <c r="AS190" i="84"/>
  <c r="AS191" i="84"/>
  <c r="AS192" i="84"/>
  <c r="AS194" i="84"/>
  <c r="AS195" i="84"/>
  <c r="AS196" i="84"/>
  <c r="AO153" i="83"/>
  <c r="AO157" i="83"/>
  <c r="AO193" i="83"/>
  <c r="AO189" i="83"/>
  <c r="AO185" i="83"/>
  <c r="AO165" i="83"/>
  <c r="AO161" i="83"/>
  <c r="AO149" i="83"/>
  <c r="AS267" i="85" l="1"/>
  <c r="AS266" i="85"/>
  <c r="AS265" i="85"/>
  <c r="AS261" i="85"/>
  <c r="AS260" i="85"/>
  <c r="AS259" i="85"/>
  <c r="AS258" i="85"/>
  <c r="AS257" i="85"/>
  <c r="AS256" i="85"/>
  <c r="AO267" i="85"/>
  <c r="AO266" i="85"/>
  <c r="AO265" i="85"/>
  <c r="AO261" i="85"/>
  <c r="AO260" i="85"/>
  <c r="AO259" i="85"/>
  <c r="AO258" i="85"/>
  <c r="AO257" i="85"/>
  <c r="AO256" i="85"/>
  <c r="AK267" i="85"/>
  <c r="AK266" i="85"/>
  <c r="AK265" i="85"/>
  <c r="AK261" i="85"/>
  <c r="AK260" i="85"/>
  <c r="AK259" i="85"/>
  <c r="AK258" i="85"/>
  <c r="AK257" i="85"/>
  <c r="AK256" i="85"/>
  <c r="AS267" i="84"/>
  <c r="AS266" i="84"/>
  <c r="AS265" i="84"/>
  <c r="AS261" i="84"/>
  <c r="AS260" i="84"/>
  <c r="AS259" i="84"/>
  <c r="AS258" i="84"/>
  <c r="AS257" i="84"/>
  <c r="AS256" i="84"/>
  <c r="AO267" i="84"/>
  <c r="AO266" i="84"/>
  <c r="AO265" i="84"/>
  <c r="AO261" i="84"/>
  <c r="AO260" i="84"/>
  <c r="AO259" i="84"/>
  <c r="AO258" i="84"/>
  <c r="AO257" i="84"/>
  <c r="AO256" i="84"/>
  <c r="AK261" i="84"/>
  <c r="AK260" i="84"/>
  <c r="AK259" i="84"/>
  <c r="AK267" i="84"/>
  <c r="AK266" i="84"/>
  <c r="AK265" i="84"/>
  <c r="AK258" i="84"/>
  <c r="AK257" i="84"/>
  <c r="AK256" i="84"/>
  <c r="AS282" i="31"/>
  <c r="AS281" i="31"/>
  <c r="AS280" i="31"/>
  <c r="AS279" i="31"/>
  <c r="AS278" i="31"/>
  <c r="AS277" i="31"/>
  <c r="AS270" i="31"/>
  <c r="AS269" i="31"/>
  <c r="AS268" i="31"/>
  <c r="AS267" i="31"/>
  <c r="AS266" i="31"/>
  <c r="AS265" i="31"/>
  <c r="AS264" i="31"/>
  <c r="AS263" i="31"/>
  <c r="AS262" i="31"/>
  <c r="AS261" i="31"/>
  <c r="AS260" i="31"/>
  <c r="AS259" i="31"/>
  <c r="AO282" i="31"/>
  <c r="AO281" i="31"/>
  <c r="AO280" i="31"/>
  <c r="AO279" i="31"/>
  <c r="AO278" i="31"/>
  <c r="AO277" i="31"/>
  <c r="AO270" i="31"/>
  <c r="AO269" i="31"/>
  <c r="AO268" i="31"/>
  <c r="AO267" i="31"/>
  <c r="AO266" i="31"/>
  <c r="AO265" i="31"/>
  <c r="AO264" i="31"/>
  <c r="AO263" i="31"/>
  <c r="AO262" i="31"/>
  <c r="AO261" i="31"/>
  <c r="AO260" i="31"/>
  <c r="AO259" i="31"/>
  <c r="AK259" i="31"/>
  <c r="AK282" i="31"/>
  <c r="AK281" i="31"/>
  <c r="AK280" i="31"/>
  <c r="AK279" i="31"/>
  <c r="AK278" i="31"/>
  <c r="AK277" i="31"/>
  <c r="AK270" i="31"/>
  <c r="AK269" i="31"/>
  <c r="AK268" i="31"/>
  <c r="AK267" i="31"/>
  <c r="AK266" i="31"/>
  <c r="AK265" i="31"/>
  <c r="AK264" i="31"/>
  <c r="AK263" i="31"/>
  <c r="AK262" i="31"/>
  <c r="AK261" i="31"/>
  <c r="AK260" i="31"/>
  <c r="Y65" i="85"/>
  <c r="Q65" i="85"/>
  <c r="M65" i="85"/>
  <c r="Y65" i="84"/>
  <c r="Q65" i="84"/>
  <c r="M65" i="84"/>
  <c r="Y65" i="83"/>
  <c r="Q65" i="83"/>
  <c r="M65" i="83"/>
  <c r="Q65" i="31"/>
  <c r="Y65" i="31"/>
  <c r="M65" i="31"/>
  <c r="BC121" i="51"/>
  <c r="BC120" i="51"/>
  <c r="BC119" i="51"/>
  <c r="BC118" i="51"/>
  <c r="BC117" i="51"/>
  <c r="BC116" i="51"/>
  <c r="BC115" i="51"/>
  <c r="E94" i="51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BC123" i="51"/>
  <c r="BC122" i="51"/>
  <c r="L65" i="85" l="1"/>
  <c r="L65" i="84"/>
  <c r="L65" i="83"/>
  <c r="AS336" i="31" l="1"/>
  <c r="AO336" i="31"/>
  <c r="AS335" i="31"/>
  <c r="AO335" i="31"/>
  <c r="AS334" i="31"/>
  <c r="AO334" i="31"/>
  <c r="AS333" i="31"/>
  <c r="AO333" i="31"/>
  <c r="AS332" i="31"/>
  <c r="AO332" i="31"/>
  <c r="AS331" i="31"/>
  <c r="AO331" i="31"/>
  <c r="AS324" i="31"/>
  <c r="AO324" i="31"/>
  <c r="AS323" i="31"/>
  <c r="AO323" i="31"/>
  <c r="AS322" i="31"/>
  <c r="AO322" i="31"/>
  <c r="AS321" i="31"/>
  <c r="AO321" i="31"/>
  <c r="AS320" i="31"/>
  <c r="AO320" i="31"/>
  <c r="AS319" i="31"/>
  <c r="AO319" i="31"/>
  <c r="AS318" i="31"/>
  <c r="AO318" i="31"/>
  <c r="AS317" i="31"/>
  <c r="AO317" i="31"/>
  <c r="AS316" i="31"/>
  <c r="AO316" i="31"/>
  <c r="AS315" i="31"/>
  <c r="AO315" i="31"/>
  <c r="AS314" i="31"/>
  <c r="AO314" i="31"/>
  <c r="AS313" i="31"/>
  <c r="AO313" i="31"/>
  <c r="AK311" i="85"/>
  <c r="AK310" i="85"/>
  <c r="AK309" i="85"/>
  <c r="AK305" i="85"/>
  <c r="AK304" i="85"/>
  <c r="AK303" i="85"/>
  <c r="AK302" i="85"/>
  <c r="AK301" i="85"/>
  <c r="AK300" i="85"/>
  <c r="AK311" i="84"/>
  <c r="AK310" i="84"/>
  <c r="AK309" i="84"/>
  <c r="AK305" i="84"/>
  <c r="AK304" i="84"/>
  <c r="AK303" i="84"/>
  <c r="AK302" i="84"/>
  <c r="AK301" i="84"/>
  <c r="AK300" i="84"/>
  <c r="AO300" i="84"/>
  <c r="AO301" i="84"/>
  <c r="AO302" i="84"/>
  <c r="AO303" i="84"/>
  <c r="AO304" i="84"/>
  <c r="AO305" i="84"/>
  <c r="AO309" i="84"/>
  <c r="AO310" i="84"/>
  <c r="AO311" i="84"/>
  <c r="AO199" i="31"/>
  <c r="AO195" i="31"/>
  <c r="AO191" i="31"/>
  <c r="AO175" i="31"/>
  <c r="AO171" i="31"/>
  <c r="AO167" i="31"/>
  <c r="AO163" i="31"/>
  <c r="AO159" i="31"/>
  <c r="AO155" i="31"/>
  <c r="AK297" i="84"/>
  <c r="AK296" i="84"/>
  <c r="AK295" i="84"/>
  <c r="AK291" i="84"/>
  <c r="AK290" i="84"/>
  <c r="AK289" i="84"/>
  <c r="AK288" i="84"/>
  <c r="AK287" i="84"/>
  <c r="AK286" i="84"/>
  <c r="AK297" i="85"/>
  <c r="AK296" i="85"/>
  <c r="AK295" i="85"/>
  <c r="AK291" i="85"/>
  <c r="AK290" i="85"/>
  <c r="AK289" i="85"/>
  <c r="AK288" i="85"/>
  <c r="AK287" i="85"/>
  <c r="AK286" i="85"/>
  <c r="AK362" i="31"/>
  <c r="AK361" i="31"/>
  <c r="AK360" i="31"/>
  <c r="AK359" i="31"/>
  <c r="AK358" i="31"/>
  <c r="AK357" i="31"/>
  <c r="AK350" i="31"/>
  <c r="AK349" i="31"/>
  <c r="AK348" i="31"/>
  <c r="AK347" i="31"/>
  <c r="AK346" i="31"/>
  <c r="AK345" i="31"/>
  <c r="AK344" i="31"/>
  <c r="AK343" i="31"/>
  <c r="AK342" i="31"/>
  <c r="AK341" i="31"/>
  <c r="AK340" i="31"/>
  <c r="AK339" i="31"/>
  <c r="AK336" i="31"/>
  <c r="AK335" i="31"/>
  <c r="AK334" i="31"/>
  <c r="AK333" i="31"/>
  <c r="AK332" i="31"/>
  <c r="AK331" i="31"/>
  <c r="AK324" i="31"/>
  <c r="AK323" i="31"/>
  <c r="AK322" i="31"/>
  <c r="AK321" i="31"/>
  <c r="AK320" i="31"/>
  <c r="AK319" i="31"/>
  <c r="AK318" i="31"/>
  <c r="AK317" i="31"/>
  <c r="AK316" i="31"/>
  <c r="AK315" i="31"/>
  <c r="AK314" i="31"/>
  <c r="AK313" i="31"/>
  <c r="AK309" i="31"/>
  <c r="AK308" i="31"/>
  <c r="AK307" i="31"/>
  <c r="AK306" i="31"/>
  <c r="AK305" i="31"/>
  <c r="AK304" i="31"/>
  <c r="AK297" i="31"/>
  <c r="AK296" i="31"/>
  <c r="AK295" i="31"/>
  <c r="AK294" i="31"/>
  <c r="AK293" i="31"/>
  <c r="AK292" i="31"/>
  <c r="AK291" i="31"/>
  <c r="AK290" i="31"/>
  <c r="AK289" i="31"/>
  <c r="AK288" i="31"/>
  <c r="AK287" i="31"/>
  <c r="AK286" i="31"/>
  <c r="AS362" i="31"/>
  <c r="AS361" i="31"/>
  <c r="AS360" i="31"/>
  <c r="AS359" i="31"/>
  <c r="AS358" i="31"/>
  <c r="AS357" i="31"/>
  <c r="AS350" i="31"/>
  <c r="AS349" i="31"/>
  <c r="AS348" i="31"/>
  <c r="AS347" i="31"/>
  <c r="AS346" i="31"/>
  <c r="AS345" i="31"/>
  <c r="AS344" i="31"/>
  <c r="AS343" i="31"/>
  <c r="AS342" i="31"/>
  <c r="AS341" i="31"/>
  <c r="AS340" i="31"/>
  <c r="AS339" i="31"/>
  <c r="AO350" i="31"/>
  <c r="AO349" i="31"/>
  <c r="AO348" i="31"/>
  <c r="AO347" i="31"/>
  <c r="AO346" i="31"/>
  <c r="AO345" i="31"/>
  <c r="AO362" i="31"/>
  <c r="AO361" i="31"/>
  <c r="AO360" i="31"/>
  <c r="AO359" i="31"/>
  <c r="AO358" i="31"/>
  <c r="AO357" i="31"/>
  <c r="AO344" i="31"/>
  <c r="AO343" i="31"/>
  <c r="AO342" i="31"/>
  <c r="AO341" i="31"/>
  <c r="AO340" i="31"/>
  <c r="AO339" i="31"/>
  <c r="AS291" i="31"/>
  <c r="AO291" i="31"/>
  <c r="AS290" i="31"/>
  <c r="AO290" i="31"/>
  <c r="AS289" i="31"/>
  <c r="AO289" i="31"/>
  <c r="AS288" i="31"/>
  <c r="AO288" i="31"/>
  <c r="AS287" i="31"/>
  <c r="AO287" i="31"/>
  <c r="AS286" i="31"/>
  <c r="AO286" i="31"/>
  <c r="AS297" i="31"/>
  <c r="AO297" i="31"/>
  <c r="AS296" i="31"/>
  <c r="AO296" i="31"/>
  <c r="AS295" i="31"/>
  <c r="AO295" i="31"/>
  <c r="AS294" i="31"/>
  <c r="AO294" i="31"/>
  <c r="AS293" i="31"/>
  <c r="AO293" i="31"/>
  <c r="AS292" i="31"/>
  <c r="AO292" i="31"/>
  <c r="AS309" i="31"/>
  <c r="AO309" i="31"/>
  <c r="AS308" i="31"/>
  <c r="AO308" i="31"/>
  <c r="AS307" i="31"/>
  <c r="AO307" i="31"/>
  <c r="AS306" i="31"/>
  <c r="AO306" i="31"/>
  <c r="AS305" i="31"/>
  <c r="AO305" i="31"/>
  <c r="AS304" i="31"/>
  <c r="AO304" i="31"/>
  <c r="AO282" i="84"/>
  <c r="AO281" i="84"/>
  <c r="AO280" i="84"/>
  <c r="AO276" i="84"/>
  <c r="AO275" i="84"/>
  <c r="AO274" i="84"/>
  <c r="AO273" i="84"/>
  <c r="AO272" i="84"/>
  <c r="AO271" i="84"/>
  <c r="AS282" i="84"/>
  <c r="AS281" i="84"/>
  <c r="AS280" i="84"/>
  <c r="AS276" i="84"/>
  <c r="AS275" i="84"/>
  <c r="AS274" i="84"/>
  <c r="AS273" i="84"/>
  <c r="AS272" i="84"/>
  <c r="AS271" i="84"/>
  <c r="AS282" i="85"/>
  <c r="AS281" i="85"/>
  <c r="AS280" i="85"/>
  <c r="AS276" i="85"/>
  <c r="AS275" i="85"/>
  <c r="AS274" i="85"/>
  <c r="AS273" i="85"/>
  <c r="AS272" i="85"/>
  <c r="AS271" i="85"/>
  <c r="AO282" i="85"/>
  <c r="AO281" i="85"/>
  <c r="AO280" i="85"/>
  <c r="AO276" i="85"/>
  <c r="AO275" i="85"/>
  <c r="AO274" i="85"/>
  <c r="AO273" i="85"/>
  <c r="AO272" i="85"/>
  <c r="AO271" i="85"/>
  <c r="AS311" i="85"/>
  <c r="AO311" i="85"/>
  <c r="AS310" i="85"/>
  <c r="AO310" i="85"/>
  <c r="AS309" i="85"/>
  <c r="AO309" i="85"/>
  <c r="AS305" i="85"/>
  <c r="AO305" i="85"/>
  <c r="AS304" i="85"/>
  <c r="AO304" i="85"/>
  <c r="AS303" i="85"/>
  <c r="AO303" i="85"/>
  <c r="AS302" i="85"/>
  <c r="AO302" i="85"/>
  <c r="AS301" i="85"/>
  <c r="AO301" i="85"/>
  <c r="AS300" i="85"/>
  <c r="AO300" i="85"/>
  <c r="AS297" i="85"/>
  <c r="AO297" i="85"/>
  <c r="AS296" i="85"/>
  <c r="AO296" i="85"/>
  <c r="AS295" i="85"/>
  <c r="AO295" i="85"/>
  <c r="AS291" i="85"/>
  <c r="AO291" i="85"/>
  <c r="AS290" i="85"/>
  <c r="AO290" i="85"/>
  <c r="AS289" i="85"/>
  <c r="AO289" i="85"/>
  <c r="AS288" i="85"/>
  <c r="AO288" i="85"/>
  <c r="AS287" i="85"/>
  <c r="AO287" i="85"/>
  <c r="AS286" i="85"/>
  <c r="AO286" i="85"/>
  <c r="AG278" i="85"/>
  <c r="AG277" i="85"/>
  <c r="AG276" i="85"/>
  <c r="AG272" i="85"/>
  <c r="AG271" i="85"/>
  <c r="AG270" i="85"/>
  <c r="AG269" i="85"/>
  <c r="AG268" i="85"/>
  <c r="AG267" i="85"/>
  <c r="AG281" i="31"/>
  <c r="AG280" i="31"/>
  <c r="AG279" i="31"/>
  <c r="AG275" i="31"/>
  <c r="AG274" i="31"/>
  <c r="AG273" i="31"/>
  <c r="AG272" i="31"/>
  <c r="AG271" i="31"/>
  <c r="AG270" i="31"/>
  <c r="AK282" i="85"/>
  <c r="AK281" i="85"/>
  <c r="AK280" i="85"/>
  <c r="AK276" i="85"/>
  <c r="AK275" i="85"/>
  <c r="AK274" i="85"/>
  <c r="AK273" i="85"/>
  <c r="AK272" i="85"/>
  <c r="AK271" i="85"/>
  <c r="AK282" i="84"/>
  <c r="AK281" i="84"/>
  <c r="AK280" i="84"/>
  <c r="AK276" i="84"/>
  <c r="AK275" i="84"/>
  <c r="AK274" i="84"/>
  <c r="AK273" i="84"/>
  <c r="AK272" i="84"/>
  <c r="AK271" i="84"/>
  <c r="AS311" i="84"/>
  <c r="AS310" i="84"/>
  <c r="AS309" i="84"/>
  <c r="AS305" i="84"/>
  <c r="AS304" i="84"/>
  <c r="AS303" i="84"/>
  <c r="AS302" i="84"/>
  <c r="AS301" i="84"/>
  <c r="AS300" i="84"/>
  <c r="AS297" i="84"/>
  <c r="AS296" i="84"/>
  <c r="AS295" i="84"/>
  <c r="AS291" i="84"/>
  <c r="AS290" i="84"/>
  <c r="AS289" i="84"/>
  <c r="AS288" i="84"/>
  <c r="AS287" i="84"/>
  <c r="AS286" i="84"/>
  <c r="AO297" i="84"/>
  <c r="AO296" i="84"/>
  <c r="AO295" i="84"/>
  <c r="AO291" i="84"/>
  <c r="AO290" i="84"/>
  <c r="AO289" i="84"/>
  <c r="AO288" i="84"/>
  <c r="AO287" i="84"/>
  <c r="AO286" i="84"/>
  <c r="AG278" i="84"/>
  <c r="AG277" i="84"/>
  <c r="AG276" i="84"/>
  <c r="AG272" i="84"/>
  <c r="AG271" i="84"/>
  <c r="AG270" i="84"/>
  <c r="AG269" i="84"/>
  <c r="AG268" i="84"/>
  <c r="AG281" i="84" s="1"/>
  <c r="AG267" i="84"/>
  <c r="AO12" i="84" l="1"/>
  <c r="AO12" i="83"/>
  <c r="AG285" i="85" l="1"/>
  <c r="AG284" i="85"/>
  <c r="AG282" i="85"/>
  <c r="AG281" i="85"/>
  <c r="AK209" i="85"/>
  <c r="AK208" i="85"/>
  <c r="AK207" i="85"/>
  <c r="AK203" i="85"/>
  <c r="AK202" i="85"/>
  <c r="AK201" i="85"/>
  <c r="AK200" i="85"/>
  <c r="AK199" i="85"/>
  <c r="AK198" i="85"/>
  <c r="AG289" i="84"/>
  <c r="AG285" i="84"/>
  <c r="AG284" i="84"/>
  <c r="AG282" i="84"/>
  <c r="AK209" i="84"/>
  <c r="AK208" i="84"/>
  <c r="AK207" i="84"/>
  <c r="AK203" i="84"/>
  <c r="AK202" i="84"/>
  <c r="AK201" i="84"/>
  <c r="AK200" i="84"/>
  <c r="AK199" i="84"/>
  <c r="AK198" i="84"/>
  <c r="AK198" i="83"/>
  <c r="AK197" i="83"/>
  <c r="AG292" i="31"/>
  <c r="AG288" i="31"/>
  <c r="AG285" i="31"/>
  <c r="AK212" i="31"/>
  <c r="AK211" i="31"/>
  <c r="AK210" i="31"/>
  <c r="AK206" i="31"/>
  <c r="AK205" i="31"/>
  <c r="AK204" i="31"/>
  <c r="AK203" i="31"/>
  <c r="AK202" i="31"/>
  <c r="AK201" i="31"/>
  <c r="E48" i="8"/>
  <c r="E42" i="8"/>
  <c r="E40" i="8"/>
  <c r="E38" i="8"/>
  <c r="E35" i="8"/>
  <c r="E29" i="8"/>
  <c r="E27" i="8"/>
  <c r="E26" i="8"/>
  <c r="BC121" i="91"/>
  <c r="BC120" i="91"/>
  <c r="BC119" i="91"/>
  <c r="BC118" i="91"/>
  <c r="BC117" i="91"/>
  <c r="BC116" i="91"/>
  <c r="BC115" i="91"/>
  <c r="AZ121" i="89"/>
  <c r="AZ120" i="89"/>
  <c r="AZ119" i="89"/>
  <c r="AZ118" i="89"/>
  <c r="AZ117" i="89"/>
  <c r="AZ116" i="89"/>
  <c r="AZ115" i="89"/>
  <c r="BC121" i="87"/>
  <c r="BC120" i="87"/>
  <c r="BC119" i="87"/>
  <c r="BC118" i="87"/>
  <c r="BC117" i="87"/>
  <c r="BC116" i="87"/>
  <c r="BC115" i="87"/>
  <c r="BC123" i="87"/>
  <c r="BC122" i="87"/>
  <c r="AZ123" i="89"/>
  <c r="AZ122" i="89"/>
  <c r="BC123" i="91"/>
  <c r="BC122" i="91"/>
  <c r="AG294" i="31"/>
  <c r="AG293" i="31"/>
  <c r="AK208" i="83"/>
  <c r="AK207" i="83"/>
  <c r="AK206" i="83"/>
  <c r="AK202" i="83"/>
  <c r="AK201" i="83"/>
  <c r="AK200" i="83"/>
  <c r="AK199" i="83"/>
  <c r="AG291" i="84"/>
  <c r="AG290" i="84"/>
  <c r="AG291" i="85"/>
  <c r="AG290" i="85"/>
  <c r="E5828" i="14" l="1"/>
  <c r="E5815" i="14"/>
  <c r="E5802" i="14"/>
  <c r="E98" i="23"/>
  <c r="E97" i="23"/>
  <c r="E14" i="4" l="1"/>
  <c r="E7634" i="14" s="1"/>
  <c r="E13" i="4"/>
  <c r="E7633" i="14" s="1"/>
  <c r="E12" i="4"/>
  <c r="E7632" i="14" s="1"/>
  <c r="E11" i="4"/>
  <c r="E7631" i="14" s="1"/>
  <c r="E10" i="4"/>
  <c r="E7630" i="14" s="1"/>
  <c r="E9" i="4"/>
  <c r="E7629" i="14" s="1"/>
  <c r="E94" i="91" l="1"/>
  <c r="E62" i="91"/>
  <c r="E46" i="91"/>
  <c r="E94" i="89"/>
  <c r="E62" i="89"/>
  <c r="E94" i="87"/>
  <c r="E62" i="87"/>
  <c r="E46" i="87"/>
  <c r="AO190" i="31" l="1"/>
  <c r="AO189" i="31"/>
  <c r="AG286" i="31"/>
  <c r="AG283" i="31"/>
  <c r="AO166" i="31"/>
  <c r="AO165" i="31"/>
  <c r="AO154" i="31"/>
  <c r="AO153" i="31"/>
  <c r="AG210" i="31"/>
  <c r="AG204" i="31"/>
  <c r="AG201" i="31"/>
  <c r="AG196" i="31"/>
  <c r="AK181" i="31"/>
  <c r="AG181" i="31"/>
  <c r="AK176" i="31"/>
  <c r="AK175" i="31"/>
  <c r="AG175" i="31"/>
  <c r="AG190" i="31" s="1"/>
  <c r="AK172" i="31"/>
  <c r="AG172" i="31"/>
  <c r="AG187" i="31" s="1"/>
  <c r="AK166" i="31"/>
  <c r="AG166" i="31"/>
  <c r="AK160" i="31"/>
  <c r="AG160" i="31"/>
  <c r="AK157" i="31"/>
  <c r="AG157" i="31"/>
  <c r="AG289" i="85" l="1"/>
  <c r="AG283" i="85"/>
  <c r="AG280" i="85"/>
  <c r="AK172" i="83"/>
  <c r="AK173" i="84"/>
  <c r="AK173" i="85"/>
  <c r="AK180" i="85"/>
  <c r="AK179" i="85"/>
  <c r="AK178" i="85"/>
  <c r="AK174" i="85"/>
  <c r="AK172" i="85"/>
  <c r="AK171" i="85"/>
  <c r="AK170" i="85"/>
  <c r="AK169" i="85"/>
  <c r="AK165" i="85"/>
  <c r="AK164" i="85"/>
  <c r="AK163" i="85"/>
  <c r="AK159" i="85"/>
  <c r="AK158" i="85"/>
  <c r="AK157" i="85"/>
  <c r="AK156" i="85"/>
  <c r="AK155" i="85"/>
  <c r="AK154" i="85"/>
  <c r="AG209" i="85"/>
  <c r="AG208" i="85"/>
  <c r="AG207" i="85"/>
  <c r="AG203" i="85"/>
  <c r="AG202" i="85"/>
  <c r="AG201" i="85"/>
  <c r="AG200" i="85"/>
  <c r="AG199" i="85"/>
  <c r="AG198" i="85"/>
  <c r="AG195" i="85"/>
  <c r="AG194" i="85"/>
  <c r="AG189" i="85"/>
  <c r="AG188" i="85"/>
  <c r="AG186" i="85"/>
  <c r="AG185" i="85"/>
  <c r="AG180" i="85"/>
  <c r="AG179" i="85"/>
  <c r="AG178" i="85"/>
  <c r="AG193" i="85" s="1"/>
  <c r="AG174" i="85"/>
  <c r="AG173" i="85"/>
  <c r="AG172" i="85"/>
  <c r="AG187" i="85" s="1"/>
  <c r="AG171" i="85"/>
  <c r="AG170" i="85"/>
  <c r="AG169" i="85"/>
  <c r="AG184" i="85" s="1"/>
  <c r="AG165" i="85"/>
  <c r="AG164" i="85"/>
  <c r="AG163" i="85"/>
  <c r="AG159" i="85"/>
  <c r="AG158" i="85"/>
  <c r="AG157" i="85"/>
  <c r="AG156" i="85"/>
  <c r="AG155" i="85"/>
  <c r="AG154" i="85"/>
  <c r="AG283" i="84"/>
  <c r="AG280" i="84"/>
  <c r="AK180" i="84"/>
  <c r="AK179" i="84"/>
  <c r="AK178" i="84"/>
  <c r="AK174" i="84"/>
  <c r="AK172" i="84"/>
  <c r="AK171" i="84"/>
  <c r="AK170" i="84"/>
  <c r="AK169" i="84"/>
  <c r="AK165" i="84"/>
  <c r="AK164" i="84"/>
  <c r="AK163" i="84"/>
  <c r="AK159" i="84"/>
  <c r="AK158" i="84"/>
  <c r="AK157" i="84"/>
  <c r="AK156" i="84"/>
  <c r="AK155" i="84"/>
  <c r="AK154" i="84"/>
  <c r="AG209" i="84"/>
  <c r="AG208" i="84"/>
  <c r="AG207" i="84"/>
  <c r="AG203" i="84"/>
  <c r="AG202" i="84"/>
  <c r="AG201" i="84"/>
  <c r="AG200" i="84"/>
  <c r="AG199" i="84"/>
  <c r="AG198" i="84"/>
  <c r="AG195" i="84"/>
  <c r="AG194" i="84"/>
  <c r="AG193" i="84"/>
  <c r="AG189" i="84"/>
  <c r="AG188" i="84"/>
  <c r="AG186" i="84"/>
  <c r="AG180" i="84"/>
  <c r="AG179" i="84"/>
  <c r="AG178" i="84"/>
  <c r="AG174" i="84"/>
  <c r="AG173" i="84"/>
  <c r="AG172" i="84"/>
  <c r="AG187" i="84" s="1"/>
  <c r="AG171" i="84"/>
  <c r="AG170" i="84"/>
  <c r="AG185" i="84" s="1"/>
  <c r="AG169" i="84"/>
  <c r="AG184" i="84" s="1"/>
  <c r="AG165" i="84"/>
  <c r="AG164" i="84"/>
  <c r="AG163" i="84"/>
  <c r="AG159" i="84"/>
  <c r="AG158" i="84"/>
  <c r="AG157" i="84"/>
  <c r="AG156" i="84"/>
  <c r="AG155" i="84"/>
  <c r="AG154" i="84"/>
  <c r="AK179" i="83"/>
  <c r="AK178" i="83"/>
  <c r="AK177" i="83"/>
  <c r="AK173" i="83"/>
  <c r="AK171" i="83"/>
  <c r="AK170" i="83"/>
  <c r="AK169" i="83"/>
  <c r="AK168" i="83"/>
  <c r="AK164" i="83"/>
  <c r="AK163" i="83"/>
  <c r="AK162" i="83"/>
  <c r="AK158" i="83"/>
  <c r="AK157" i="83"/>
  <c r="AK156" i="83"/>
  <c r="AK155" i="83"/>
  <c r="AK154" i="83"/>
  <c r="AK153" i="83"/>
  <c r="AG208" i="83"/>
  <c r="AG207" i="83"/>
  <c r="AG206" i="83"/>
  <c r="AG202" i="83"/>
  <c r="AG201" i="83"/>
  <c r="AG200" i="83"/>
  <c r="AG199" i="83"/>
  <c r="AG198" i="83"/>
  <c r="AG197" i="83"/>
  <c r="AG194" i="83"/>
  <c r="AG193" i="83"/>
  <c r="AG192" i="83"/>
  <c r="AG188" i="83"/>
  <c r="AG187" i="83"/>
  <c r="AG185" i="83"/>
  <c r="AG184" i="83"/>
  <c r="AG179" i="83"/>
  <c r="AG178" i="83"/>
  <c r="AG177" i="83"/>
  <c r="AG173" i="83"/>
  <c r="AG172" i="83"/>
  <c r="AG171" i="83"/>
  <c r="AG186" i="83" s="1"/>
  <c r="AG170" i="83"/>
  <c r="AG169" i="83"/>
  <c r="AG168" i="83"/>
  <c r="AG183" i="83" s="1"/>
  <c r="AG164" i="83"/>
  <c r="AG163" i="83"/>
  <c r="AG162" i="83"/>
  <c r="AG158" i="83"/>
  <c r="AG157" i="83"/>
  <c r="AG156" i="83"/>
  <c r="AG155" i="83"/>
  <c r="AG154" i="83"/>
  <c r="AG153" i="83"/>
  <c r="AK183" i="31"/>
  <c r="AO162" i="31"/>
  <c r="AO161" i="31"/>
  <c r="AO193" i="31"/>
  <c r="AO197" i="31"/>
  <c r="AG287" i="31"/>
  <c r="AG284" i="31"/>
  <c r="AO198" i="31"/>
  <c r="AO194" i="31"/>
  <c r="AO174" i="31"/>
  <c r="AO170" i="31"/>
  <c r="AO169" i="31"/>
  <c r="AO157" i="31"/>
  <c r="AO158" i="31"/>
  <c r="AK182" i="31"/>
  <c r="AK177" i="31"/>
  <c r="AK174" i="31"/>
  <c r="AK173" i="31"/>
  <c r="AK168" i="31"/>
  <c r="AK167" i="31"/>
  <c r="AK162" i="31"/>
  <c r="AK161" i="31"/>
  <c r="AK159" i="31"/>
  <c r="AG212" i="31"/>
  <c r="AG211" i="31"/>
  <c r="AG206" i="31"/>
  <c r="AG205" i="31"/>
  <c r="AG203" i="31"/>
  <c r="AG202" i="31"/>
  <c r="AG198" i="31"/>
  <c r="AG197" i="31"/>
  <c r="AG192" i="31"/>
  <c r="AG189" i="31"/>
  <c r="AG183" i="31"/>
  <c r="AG182" i="31"/>
  <c r="AG177" i="31"/>
  <c r="AG176" i="31"/>
  <c r="AG191" i="31" s="1"/>
  <c r="AG174" i="31"/>
  <c r="AG173" i="31"/>
  <c r="AG188" i="31" s="1"/>
  <c r="AG168" i="31"/>
  <c r="AG167" i="31"/>
  <c r="AG162" i="31"/>
  <c r="AG161" i="31"/>
  <c r="AG159" i="31"/>
  <c r="E634" i="4" l="1"/>
  <c r="E633" i="4"/>
  <c r="E632" i="4"/>
  <c r="E630" i="4"/>
  <c r="E629" i="4"/>
  <c r="E628" i="4"/>
  <c r="E626" i="4"/>
  <c r="E625" i="4"/>
  <c r="E624" i="4"/>
  <c r="E617" i="4"/>
  <c r="E616" i="4"/>
  <c r="E615" i="4"/>
  <c r="E613" i="4"/>
  <c r="E612" i="4"/>
  <c r="E611" i="4"/>
  <c r="E609" i="4"/>
  <c r="E608" i="4"/>
  <c r="E607" i="4"/>
  <c r="E600" i="4"/>
  <c r="E599" i="4"/>
  <c r="E598" i="4"/>
  <c r="E596" i="4"/>
  <c r="E595" i="4"/>
  <c r="E594" i="4"/>
  <c r="E592" i="4"/>
  <c r="E591" i="4"/>
  <c r="E590" i="4"/>
  <c r="E583" i="4"/>
  <c r="E582" i="4"/>
  <c r="E581" i="4"/>
  <c r="E579" i="4"/>
  <c r="E578" i="4"/>
  <c r="E577" i="4"/>
  <c r="E575" i="4"/>
  <c r="E574" i="4"/>
  <c r="E573" i="4"/>
  <c r="E563" i="4"/>
  <c r="E562" i="4"/>
  <c r="E561" i="4"/>
  <c r="E559" i="4"/>
  <c r="E558" i="4"/>
  <c r="E557" i="4"/>
  <c r="E555" i="4"/>
  <c r="E554" i="4"/>
  <c r="E553" i="4"/>
  <c r="E546" i="4"/>
  <c r="E545" i="4"/>
  <c r="E544" i="4"/>
  <c r="E542" i="4"/>
  <c r="E541" i="4"/>
  <c r="E540" i="4"/>
  <c r="E538" i="4"/>
  <c r="E537" i="4"/>
  <c r="E536" i="4"/>
  <c r="E529" i="4"/>
  <c r="E528" i="4"/>
  <c r="E527" i="4"/>
  <c r="E525" i="4"/>
  <c r="E524" i="4"/>
  <c r="E523" i="4"/>
  <c r="E521" i="4"/>
  <c r="E520" i="4"/>
  <c r="E519" i="4"/>
  <c r="E512" i="4"/>
  <c r="E511" i="4"/>
  <c r="E510" i="4"/>
  <c r="E508" i="4"/>
  <c r="E507" i="4"/>
  <c r="E506" i="4"/>
  <c r="E504" i="4"/>
  <c r="E503" i="4"/>
  <c r="E502" i="4"/>
  <c r="E492" i="4"/>
  <c r="E1303" i="8" s="1"/>
  <c r="E491" i="4"/>
  <c r="E1302" i="8" s="1"/>
  <c r="E490" i="4"/>
  <c r="E1301" i="8" s="1"/>
  <c r="E488" i="4"/>
  <c r="E1299" i="8" s="1"/>
  <c r="E487" i="4"/>
  <c r="E1298" i="8" s="1"/>
  <c r="E486" i="4"/>
  <c r="E1297" i="8" s="1"/>
  <c r="E484" i="4"/>
  <c r="E1295" i="8" s="1"/>
  <c r="E483" i="4"/>
  <c r="E1294" i="8" s="1"/>
  <c r="E482" i="4"/>
  <c r="E475" i="4"/>
  <c r="E1286" i="8" s="1"/>
  <c r="E474" i="4"/>
  <c r="E1285" i="8" s="1"/>
  <c r="E473" i="4"/>
  <c r="E1284" i="8" s="1"/>
  <c r="E471" i="4"/>
  <c r="E1282" i="8" s="1"/>
  <c r="E470" i="4"/>
  <c r="E1281" i="8" s="1"/>
  <c r="E469" i="4"/>
  <c r="E1280" i="8" s="1"/>
  <c r="E467" i="4"/>
  <c r="E1278" i="8" s="1"/>
  <c r="E466" i="4"/>
  <c r="E1277" i="8" s="1"/>
  <c r="E465" i="4"/>
  <c r="E458" i="4"/>
  <c r="E1269" i="8" s="1"/>
  <c r="E457" i="4"/>
  <c r="E1267" i="8" s="1"/>
  <c r="E456" i="4"/>
  <c r="E1265" i="8" s="1"/>
  <c r="E454" i="4"/>
  <c r="E1262" i="8" s="1"/>
  <c r="E453" i="4"/>
  <c r="E1260" i="8" s="1"/>
  <c r="E452" i="4"/>
  <c r="E1258" i="8" s="1"/>
  <c r="E450" i="4"/>
  <c r="E1255" i="8" s="1"/>
  <c r="E449" i="4"/>
  <c r="E1253" i="8" s="1"/>
  <c r="E448" i="4"/>
  <c r="E1251" i="8" s="1"/>
  <c r="E441" i="4"/>
  <c r="E1268" i="8" s="1"/>
  <c r="E440" i="4"/>
  <c r="E1266" i="8" s="1"/>
  <c r="E439" i="4"/>
  <c r="E1264" i="8" s="1"/>
  <c r="E437" i="4"/>
  <c r="E1261" i="8" s="1"/>
  <c r="E436" i="4"/>
  <c r="E1259" i="8" s="1"/>
  <c r="E435" i="4"/>
  <c r="E1257" i="8" s="1"/>
  <c r="E433" i="4"/>
  <c r="E1254" i="8" s="1"/>
  <c r="E432" i="4"/>
  <c r="E1252" i="8" s="1"/>
  <c r="E431" i="4"/>
  <c r="E421" i="4"/>
  <c r="E420" i="4"/>
  <c r="E419" i="4"/>
  <c r="E417" i="4"/>
  <c r="E416" i="4"/>
  <c r="E415" i="4"/>
  <c r="E413" i="4"/>
  <c r="E412" i="4"/>
  <c r="E411" i="4"/>
  <c r="E404" i="4"/>
  <c r="E403" i="4"/>
  <c r="E402" i="4"/>
  <c r="E400" i="4"/>
  <c r="E399" i="4"/>
  <c r="E398" i="4"/>
  <c r="E396" i="4"/>
  <c r="E395" i="4"/>
  <c r="E394" i="4"/>
  <c r="E387" i="4"/>
  <c r="E386" i="4"/>
  <c r="E385" i="4"/>
  <c r="E383" i="4"/>
  <c r="E382" i="4"/>
  <c r="E381" i="4"/>
  <c r="E379" i="4"/>
  <c r="E378" i="4"/>
  <c r="E377" i="4"/>
  <c r="E370" i="4"/>
  <c r="E369" i="4"/>
  <c r="E368" i="4"/>
  <c r="E366" i="4"/>
  <c r="E365" i="4"/>
  <c r="E364" i="4"/>
  <c r="E362" i="4"/>
  <c r="E361" i="4"/>
  <c r="E360" i="4"/>
  <c r="E349" i="4"/>
  <c r="E348" i="4"/>
  <c r="E347" i="4"/>
  <c r="E345" i="4"/>
  <c r="E344" i="4"/>
  <c r="E343" i="4"/>
  <c r="E341" i="4"/>
  <c r="E340" i="4"/>
  <c r="E339" i="4"/>
  <c r="E332" i="4"/>
  <c r="E331" i="4"/>
  <c r="E330" i="4"/>
  <c r="E328" i="4"/>
  <c r="E327" i="4"/>
  <c r="E326" i="4"/>
  <c r="E324" i="4"/>
  <c r="E323" i="4"/>
  <c r="E322" i="4"/>
  <c r="E315" i="4"/>
  <c r="E314" i="4"/>
  <c r="E313" i="4"/>
  <c r="E311" i="4"/>
  <c r="E310" i="4"/>
  <c r="E309" i="4"/>
  <c r="E307" i="4"/>
  <c r="E306" i="4"/>
  <c r="E305" i="4"/>
  <c r="E298" i="4"/>
  <c r="E297" i="4"/>
  <c r="E296" i="4"/>
  <c r="E294" i="4"/>
  <c r="E293" i="4"/>
  <c r="E292" i="4"/>
  <c r="E290" i="4"/>
  <c r="E289" i="4"/>
  <c r="E288" i="4"/>
  <c r="E278" i="4"/>
  <c r="E277" i="4"/>
  <c r="E276" i="4"/>
  <c r="E274" i="4"/>
  <c r="E273" i="4"/>
  <c r="E272" i="4"/>
  <c r="E270" i="4"/>
  <c r="E269" i="4"/>
  <c r="E268" i="4"/>
  <c r="E261" i="4"/>
  <c r="E260" i="4"/>
  <c r="E259" i="4"/>
  <c r="E257" i="4"/>
  <c r="E256" i="4"/>
  <c r="E255" i="4"/>
  <c r="E253" i="4"/>
  <c r="E252" i="4"/>
  <c r="E251" i="4"/>
  <c r="E244" i="4"/>
  <c r="E243" i="4"/>
  <c r="E242" i="4"/>
  <c r="E240" i="4"/>
  <c r="E239" i="4"/>
  <c r="E238" i="4"/>
  <c r="E236" i="4"/>
  <c r="E235" i="4"/>
  <c r="E234" i="4"/>
  <c r="E227" i="4"/>
  <c r="E226" i="4"/>
  <c r="E225" i="4"/>
  <c r="E223" i="4"/>
  <c r="E222" i="4"/>
  <c r="E221" i="4"/>
  <c r="E219" i="4"/>
  <c r="E218" i="4"/>
  <c r="E217" i="4"/>
  <c r="E207" i="4"/>
  <c r="E206" i="4"/>
  <c r="E204" i="4"/>
  <c r="E203" i="4"/>
  <c r="E201" i="4"/>
  <c r="E200" i="4"/>
  <c r="E196" i="4"/>
  <c r="E195" i="4"/>
  <c r="E193" i="4"/>
  <c r="E192" i="4"/>
  <c r="E190" i="4"/>
  <c r="E189" i="4"/>
  <c r="E185" i="4"/>
  <c r="E184" i="4"/>
  <c r="E182" i="4"/>
  <c r="E181" i="4"/>
  <c r="E179" i="4"/>
  <c r="E178" i="4"/>
  <c r="E174" i="4"/>
  <c r="E173" i="4"/>
  <c r="E171" i="4"/>
  <c r="E170" i="4"/>
  <c r="E168" i="4"/>
  <c r="E167" i="4"/>
  <c r="E162" i="4"/>
  <c r="E161" i="4"/>
  <c r="E160" i="4"/>
  <c r="E158" i="4"/>
  <c r="E157" i="4"/>
  <c r="E156" i="4"/>
  <c r="E154" i="4"/>
  <c r="E153" i="4"/>
  <c r="E152" i="4"/>
  <c r="E145" i="4"/>
  <c r="E144" i="4"/>
  <c r="E143" i="4"/>
  <c r="E141" i="4"/>
  <c r="E140" i="4"/>
  <c r="E139" i="4"/>
  <c r="E137" i="4"/>
  <c r="E136" i="4"/>
  <c r="E135" i="4"/>
  <c r="E128" i="4"/>
  <c r="E8040" i="14" s="1"/>
  <c r="E127" i="4"/>
  <c r="E8039" i="14" s="1"/>
  <c r="E126" i="4"/>
  <c r="E8038" i="14" s="1"/>
  <c r="E124" i="4"/>
  <c r="E123" i="4"/>
  <c r="E122" i="4"/>
  <c r="E120" i="4"/>
  <c r="E119" i="4"/>
  <c r="E118" i="4"/>
  <c r="E111" i="4"/>
  <c r="E110" i="4"/>
  <c r="E109" i="4"/>
  <c r="E107" i="4"/>
  <c r="E106" i="4"/>
  <c r="E105" i="4"/>
  <c r="E103" i="4"/>
  <c r="E102" i="4"/>
  <c r="E101" i="4"/>
  <c r="E92" i="4"/>
  <c r="E91" i="4"/>
  <c r="E90" i="4"/>
  <c r="E87" i="4"/>
  <c r="E86" i="4"/>
  <c r="E85" i="4"/>
  <c r="E82" i="4"/>
  <c r="E81" i="4"/>
  <c r="E80" i="4"/>
  <c r="E77" i="4"/>
  <c r="E76" i="4"/>
  <c r="E75" i="4"/>
  <c r="E69" i="4"/>
  <c r="E68" i="4"/>
  <c r="E67" i="4"/>
  <c r="E66" i="4"/>
  <c r="E63" i="4"/>
  <c r="E62" i="4"/>
  <c r="E61" i="4"/>
  <c r="E60" i="4"/>
  <c r="E59" i="4"/>
  <c r="E58" i="4"/>
  <c r="E55" i="4"/>
  <c r="E54" i="4"/>
  <c r="E53" i="4"/>
  <c r="E52" i="4"/>
  <c r="E51" i="4"/>
  <c r="E50" i="4"/>
  <c r="E47" i="4"/>
  <c r="E46" i="4"/>
  <c r="E45" i="4"/>
  <c r="E44" i="4"/>
  <c r="E43" i="4"/>
  <c r="E42" i="4"/>
  <c r="E39" i="4"/>
  <c r="E38" i="4"/>
  <c r="E37" i="4"/>
  <c r="E36" i="4"/>
  <c r="E35" i="4"/>
  <c r="E34" i="4"/>
  <c r="E31" i="4"/>
  <c r="E30" i="4"/>
  <c r="E29" i="4"/>
  <c r="E28" i="4"/>
  <c r="E25" i="4"/>
  <c r="E24" i="4"/>
  <c r="E19" i="4"/>
  <c r="E18" i="4"/>
  <c r="E17" i="4"/>
  <c r="E4" i="4"/>
  <c r="E7615" i="14" l="1"/>
  <c r="E7603" i="14"/>
  <c r="E7609" i="14"/>
  <c r="E7621" i="14"/>
  <c r="E8035" i="14"/>
  <c r="AK190" i="83" s="1"/>
  <c r="E738" i="8"/>
  <c r="E2308" i="14"/>
  <c r="E8056" i="14"/>
  <c r="AK194" i="84" s="1"/>
  <c r="E2300" i="14"/>
  <c r="E8055" i="14"/>
  <c r="E2431" i="14"/>
  <c r="E8070" i="14"/>
  <c r="AK192" i="85" s="1"/>
  <c r="E1182" i="8"/>
  <c r="E2115" i="14"/>
  <c r="E8019" i="14"/>
  <c r="AK195" i="31" s="1"/>
  <c r="E558" i="8"/>
  <c r="E2393" i="14"/>
  <c r="E8066" i="14"/>
  <c r="AK189" i="85" s="1"/>
  <c r="E1126" i="8"/>
  <c r="E2069" i="14"/>
  <c r="E8015" i="14"/>
  <c r="AK192" i="31" s="1"/>
  <c r="E481" i="8"/>
  <c r="E2141" i="14"/>
  <c r="E8021" i="14"/>
  <c r="E8031" i="14"/>
  <c r="AK187" i="83" s="1"/>
  <c r="E700" i="8"/>
  <c r="E8036" i="14"/>
  <c r="AK191" i="83" s="1"/>
  <c r="E750" i="8"/>
  <c r="E2270" i="14"/>
  <c r="E8052" i="14"/>
  <c r="AK191" i="84" s="1"/>
  <c r="E939" i="8"/>
  <c r="E2316" i="14"/>
  <c r="E8057" i="14"/>
  <c r="AK195" i="84" s="1"/>
  <c r="E2461" i="14"/>
  <c r="E8073" i="14"/>
  <c r="AK194" i="85" s="1"/>
  <c r="E1276" i="8"/>
  <c r="E6163" i="14"/>
  <c r="E2161" i="14"/>
  <c r="E8023" i="14"/>
  <c r="E2240" i="14"/>
  <c r="E8049" i="14"/>
  <c r="AK189" i="84" s="1"/>
  <c r="E901" i="8"/>
  <c r="E2385" i="14"/>
  <c r="E8065" i="14"/>
  <c r="AK188" i="85" s="1"/>
  <c r="E1108" i="8"/>
  <c r="E1250" i="8"/>
  <c r="E6155" i="14"/>
  <c r="E2151" i="14"/>
  <c r="E8022" i="14"/>
  <c r="AK197" i="31" s="1"/>
  <c r="E8032" i="14"/>
  <c r="AK188" i="83" s="1"/>
  <c r="E712" i="8"/>
  <c r="E2278" i="14"/>
  <c r="E8053" i="14"/>
  <c r="AK192" i="84" s="1"/>
  <c r="E957" i="8"/>
  <c r="E2423" i="14"/>
  <c r="E8069" i="14"/>
  <c r="AK191" i="85" s="1"/>
  <c r="E1164" i="8"/>
  <c r="E2469" i="14"/>
  <c r="E8074" i="14"/>
  <c r="AK195" i="85" s="1"/>
  <c r="E1293" i="8"/>
  <c r="E6171" i="14"/>
  <c r="AC198" i="73"/>
  <c r="M198" i="73"/>
  <c r="AG198" i="73"/>
  <c r="AO198" i="73"/>
  <c r="Y198" i="73"/>
  <c r="I198" i="73"/>
  <c r="Q198" i="73"/>
  <c r="AK198" i="73"/>
  <c r="U198" i="73"/>
  <c r="E198" i="73"/>
  <c r="E83" i="84"/>
  <c r="E1158" i="14"/>
  <c r="E1159" i="14"/>
  <c r="E277" i="8"/>
  <c r="AC213" i="73"/>
  <c r="M213" i="73"/>
  <c r="AG213" i="73"/>
  <c r="AO213" i="73"/>
  <c r="Y213" i="73"/>
  <c r="I213" i="73"/>
  <c r="AK213" i="73"/>
  <c r="U213" i="73"/>
  <c r="E213" i="73"/>
  <c r="Q213" i="73"/>
  <c r="AG248" i="73"/>
  <c r="Q248" i="73"/>
  <c r="AC248" i="73"/>
  <c r="M248" i="73"/>
  <c r="U248" i="73"/>
  <c r="AO248" i="73"/>
  <c r="Y248" i="73"/>
  <c r="I248" i="73"/>
  <c r="AK248" i="73"/>
  <c r="E248" i="73"/>
  <c r="E569" i="14"/>
  <c r="E570" i="14"/>
  <c r="E261" i="8"/>
  <c r="E790" i="14"/>
  <c r="E791" i="14"/>
  <c r="E254" i="8"/>
  <c r="E597" i="14"/>
  <c r="E596" i="14"/>
  <c r="E262" i="8"/>
  <c r="E818" i="14"/>
  <c r="E817" i="14"/>
  <c r="E80" i="84"/>
  <c r="E1073" i="14"/>
  <c r="E1074" i="14"/>
  <c r="E274" i="8"/>
  <c r="E84" i="84"/>
  <c r="E1186" i="14"/>
  <c r="E1187" i="14"/>
  <c r="E278" i="8"/>
  <c r="E81" i="85"/>
  <c r="E1416" i="14"/>
  <c r="E1415" i="14"/>
  <c r="E289" i="8"/>
  <c r="E85" i="85"/>
  <c r="E1529" i="14"/>
  <c r="E1528" i="14"/>
  <c r="E293" i="8"/>
  <c r="E252" i="8"/>
  <c r="E541" i="14"/>
  <c r="E540" i="14"/>
  <c r="AK196" i="73"/>
  <c r="U196" i="73"/>
  <c r="E196" i="73"/>
  <c r="AG196" i="73"/>
  <c r="Q196" i="73"/>
  <c r="AO196" i="73"/>
  <c r="I196" i="73"/>
  <c r="AC196" i="73"/>
  <c r="M196" i="73"/>
  <c r="Y196" i="73"/>
  <c r="AK214" i="73"/>
  <c r="U214" i="73"/>
  <c r="E214" i="73"/>
  <c r="AG214" i="73"/>
  <c r="Q214" i="73"/>
  <c r="AO214" i="73"/>
  <c r="I214" i="73"/>
  <c r="AC214" i="73"/>
  <c r="M214" i="73"/>
  <c r="Y214" i="73"/>
  <c r="Y249" i="73"/>
  <c r="I249" i="73"/>
  <c r="AK249" i="73"/>
  <c r="U249" i="73"/>
  <c r="E249" i="73"/>
  <c r="M249" i="73"/>
  <c r="AG249" i="73"/>
  <c r="Q249" i="73"/>
  <c r="AC249" i="73"/>
  <c r="AO249" i="73"/>
  <c r="E404" i="14"/>
  <c r="E403" i="14"/>
  <c r="E255" i="8"/>
  <c r="E625" i="14"/>
  <c r="E624" i="14"/>
  <c r="E263" i="8"/>
  <c r="E845" i="14"/>
  <c r="E846" i="14"/>
  <c r="E248" i="8"/>
  <c r="E431" i="14"/>
  <c r="E430" i="14"/>
  <c r="E256" i="8"/>
  <c r="E652" i="14"/>
  <c r="E651" i="14"/>
  <c r="E264" i="8"/>
  <c r="E873" i="14"/>
  <c r="E872" i="14"/>
  <c r="E77" i="84"/>
  <c r="E988" i="14"/>
  <c r="E989" i="14"/>
  <c r="E271" i="8"/>
  <c r="E81" i="84"/>
  <c r="E1101" i="14"/>
  <c r="E1102" i="14"/>
  <c r="E275" i="8"/>
  <c r="E85" i="84"/>
  <c r="E1214" i="14"/>
  <c r="E1215" i="14"/>
  <c r="E279" i="8"/>
  <c r="E78" i="85"/>
  <c r="E1331" i="14"/>
  <c r="E1330" i="14"/>
  <c r="E286" i="8"/>
  <c r="E82" i="85"/>
  <c r="E1444" i="14"/>
  <c r="E1443" i="14"/>
  <c r="E290" i="8"/>
  <c r="E86" i="85"/>
  <c r="E1557" i="14"/>
  <c r="E1556" i="14"/>
  <c r="E294" i="8"/>
  <c r="AO247" i="73"/>
  <c r="Y247" i="73"/>
  <c r="I247" i="73"/>
  <c r="AK247" i="73"/>
  <c r="U247" i="73"/>
  <c r="E247" i="73"/>
  <c r="AC247" i="73"/>
  <c r="AG247" i="73"/>
  <c r="Q247" i="73"/>
  <c r="M247" i="73"/>
  <c r="E251" i="8"/>
  <c r="E514" i="14"/>
  <c r="E513" i="14"/>
  <c r="E735" i="14"/>
  <c r="E736" i="14"/>
  <c r="E260" i="8"/>
  <c r="E763" i="14"/>
  <c r="E762" i="14"/>
  <c r="E79" i="84"/>
  <c r="E1045" i="14"/>
  <c r="E1044" i="14"/>
  <c r="E273" i="8"/>
  <c r="E80" i="85"/>
  <c r="E1386" i="14"/>
  <c r="E1387" i="14"/>
  <c r="E288" i="8"/>
  <c r="E84" i="85"/>
  <c r="E1501" i="14"/>
  <c r="E1500" i="14"/>
  <c r="E292" i="8"/>
  <c r="AG197" i="73"/>
  <c r="M197" i="73"/>
  <c r="Q197" i="73"/>
  <c r="AC197" i="73"/>
  <c r="I197" i="73"/>
  <c r="U197" i="73"/>
  <c r="E197" i="73"/>
  <c r="AO197" i="73"/>
  <c r="AC215" i="73"/>
  <c r="M215" i="73"/>
  <c r="Q215" i="73"/>
  <c r="AO215" i="73"/>
  <c r="Y215" i="73"/>
  <c r="I215" i="73"/>
  <c r="AK215" i="73"/>
  <c r="U215" i="73"/>
  <c r="E215" i="73"/>
  <c r="AG215" i="73"/>
  <c r="E249" i="8"/>
  <c r="E458" i="14"/>
  <c r="E459" i="14"/>
  <c r="E257" i="8"/>
  <c r="E680" i="14"/>
  <c r="E679" i="14"/>
  <c r="E250" i="8"/>
  <c r="E486" i="14"/>
  <c r="E485" i="14"/>
  <c r="E258" i="8"/>
  <c r="E707" i="14"/>
  <c r="E706" i="14"/>
  <c r="E78" i="84"/>
  <c r="E1017" i="14"/>
  <c r="E1016" i="14"/>
  <c r="E272" i="8"/>
  <c r="E82" i="84"/>
  <c r="E1130" i="14"/>
  <c r="E1129" i="14"/>
  <c r="E276" i="8"/>
  <c r="E79" i="85"/>
  <c r="E1359" i="14"/>
  <c r="E1358" i="14"/>
  <c r="E287" i="8"/>
  <c r="E83" i="85"/>
  <c r="E1471" i="14"/>
  <c r="E1472" i="14"/>
  <c r="E291" i="8"/>
  <c r="AK197" i="73"/>
  <c r="Y197" i="73"/>
  <c r="E424" i="35"/>
  <c r="E387" i="35"/>
  <c r="T58" i="31" s="1"/>
  <c r="E399" i="35"/>
  <c r="E392" i="35"/>
  <c r="E956" i="35"/>
  <c r="E993" i="35"/>
  <c r="E961" i="35"/>
  <c r="E968" i="35"/>
  <c r="E1562" i="35"/>
  <c r="E1537" i="35"/>
  <c r="E1530" i="35"/>
  <c r="E1525" i="35"/>
  <c r="E2106" i="35"/>
  <c r="E2099" i="35"/>
  <c r="E2094" i="35"/>
  <c r="E2131" i="35"/>
  <c r="E245" i="35"/>
  <c r="P58" i="31" s="1"/>
  <c r="E282" i="35"/>
  <c r="E257" i="35"/>
  <c r="E250" i="35"/>
  <c r="E447" i="35"/>
  <c r="E472" i="35"/>
  <c r="E440" i="35"/>
  <c r="E435" i="35"/>
  <c r="Z58" i="31" s="1"/>
  <c r="E851" i="35"/>
  <c r="E826" i="35"/>
  <c r="E819" i="35"/>
  <c r="E814" i="35"/>
  <c r="E1004" i="35"/>
  <c r="E1041" i="35"/>
  <c r="E1016" i="35"/>
  <c r="E1009" i="35"/>
  <c r="E1420" i="35"/>
  <c r="E1395" i="35"/>
  <c r="E1383" i="35"/>
  <c r="E1388" i="35"/>
  <c r="E1573" i="35"/>
  <c r="E1610" i="35"/>
  <c r="E1585" i="35"/>
  <c r="E1578" i="35"/>
  <c r="E1957" i="35"/>
  <c r="E1952" i="35"/>
  <c r="E1989" i="35"/>
  <c r="E1964" i="35"/>
  <c r="E804" i="35"/>
  <c r="E772" i="35"/>
  <c r="E779" i="35"/>
  <c r="E767" i="35"/>
  <c r="E494" i="35"/>
  <c r="E487" i="35"/>
  <c r="E482" i="35"/>
  <c r="AA58" i="31" s="1"/>
  <c r="E519" i="35"/>
  <c r="E1051" i="35"/>
  <c r="E1088" i="35"/>
  <c r="E1056" i="35"/>
  <c r="E1063" i="35"/>
  <c r="E1620" i="35"/>
  <c r="E1657" i="35"/>
  <c r="E1625" i="35"/>
  <c r="E1632" i="35"/>
  <c r="E2226" i="35"/>
  <c r="E2201" i="35"/>
  <c r="E2194" i="35"/>
  <c r="E2189" i="35"/>
  <c r="E1910" i="35"/>
  <c r="E1905" i="35"/>
  <c r="E1917" i="35"/>
  <c r="E1942" i="35"/>
  <c r="E541" i="35"/>
  <c r="E529" i="35"/>
  <c r="AB58" i="31" s="1"/>
  <c r="E566" i="35"/>
  <c r="E534" i="35"/>
  <c r="E909" i="35"/>
  <c r="E921" i="35"/>
  <c r="E946" i="35"/>
  <c r="E914" i="35"/>
  <c r="E1098" i="35"/>
  <c r="E1135" i="35"/>
  <c r="E1110" i="35"/>
  <c r="E1103" i="35"/>
  <c r="E1478" i="35"/>
  <c r="E1515" i="35"/>
  <c r="E1483" i="35"/>
  <c r="E1490" i="35"/>
  <c r="E1667" i="35"/>
  <c r="E1704" i="35"/>
  <c r="E1672" i="35"/>
  <c r="E1679" i="35"/>
  <c r="E2059" i="35"/>
  <c r="E2052" i="35"/>
  <c r="E2047" i="35"/>
  <c r="E2084" i="35"/>
  <c r="E2273" i="35"/>
  <c r="E2248" i="35"/>
  <c r="E2236" i="35"/>
  <c r="E2241" i="35"/>
  <c r="E1968" i="14"/>
  <c r="E2451" i="14" s="1"/>
  <c r="E1824" i="14"/>
  <c r="E1621" i="14"/>
  <c r="E1666" i="14"/>
  <c r="E1816" i="14"/>
  <c r="E1918" i="14"/>
  <c r="E2375" i="14" s="1"/>
  <c r="E1677" i="14"/>
  <c r="E1746" i="14"/>
  <c r="E1748" i="14" s="1"/>
  <c r="E1857" i="14"/>
  <c r="E1926" i="14"/>
  <c r="E2383" i="14" s="1"/>
  <c r="E1959" i="14"/>
  <c r="E2429" i="14" s="1"/>
  <c r="E1643" i="14"/>
  <c r="E1689" i="14"/>
  <c r="E1832" i="14"/>
  <c r="E1866" i="14"/>
  <c r="E1934" i="14"/>
  <c r="E2391" i="14" s="1"/>
  <c r="E1691" i="14"/>
  <c r="E259" i="8"/>
  <c r="E1700" i="14"/>
  <c r="E1874" i="14"/>
  <c r="E1976" i="14"/>
  <c r="E2459" i="14" s="1"/>
  <c r="E1657" i="14"/>
  <c r="E253" i="8"/>
  <c r="E1711" i="14"/>
  <c r="E1849" i="14"/>
  <c r="E1882" i="14"/>
  <c r="E1951" i="14"/>
  <c r="E2421" i="14" s="1"/>
  <c r="E1984" i="14"/>
  <c r="E2467" i="14" s="1"/>
  <c r="E1623" i="14"/>
  <c r="E247" i="8"/>
  <c r="E1655" i="14"/>
  <c r="E1978" i="14"/>
  <c r="E1841" i="14"/>
  <c r="E1943" i="14"/>
  <c r="E2413" i="14" s="1"/>
  <c r="E1634" i="14"/>
  <c r="E1679" i="14"/>
  <c r="E1637" i="14"/>
  <c r="E1682" i="14"/>
  <c r="E1826" i="14"/>
  <c r="E1859" i="14"/>
  <c r="E1928" i="14"/>
  <c r="E1961" i="14"/>
  <c r="E1660" i="14"/>
  <c r="E1632" i="14"/>
  <c r="E1645" i="14"/>
  <c r="E1648" i="14"/>
  <c r="E1694" i="14"/>
  <c r="E1834" i="14"/>
  <c r="E1868" i="14"/>
  <c r="E1936" i="14"/>
  <c r="E1970" i="14"/>
  <c r="E1702" i="14"/>
  <c r="E1705" i="14"/>
  <c r="E1843" i="14"/>
  <c r="E1876" i="14"/>
  <c r="E1945" i="14"/>
  <c r="E1741" i="14"/>
  <c r="E1668" i="14"/>
  <c r="E1713" i="14"/>
  <c r="E1626" i="14"/>
  <c r="E1671" i="14"/>
  <c r="E1716" i="14"/>
  <c r="E1818" i="14"/>
  <c r="E1851" i="14"/>
  <c r="E1884" i="14"/>
  <c r="E1920" i="14"/>
  <c r="E1953" i="14"/>
  <c r="E1986" i="14"/>
  <c r="E95" i="31"/>
  <c r="AO82" i="31" s="1"/>
  <c r="E92" i="31"/>
  <c r="AO77" i="31" s="1"/>
  <c r="E89" i="31"/>
  <c r="AO73" i="31" s="1"/>
  <c r="AK184" i="83"/>
  <c r="AK185" i="85"/>
  <c r="AK189" i="31"/>
  <c r="AK185" i="83"/>
  <c r="AK186" i="84"/>
  <c r="AK186" i="85"/>
  <c r="AK193" i="83"/>
  <c r="AK198" i="31"/>
  <c r="AK194" i="83"/>
  <c r="E2260" i="14" l="1"/>
  <c r="E2268" i="14"/>
  <c r="E2276" i="14"/>
  <c r="E2306" i="14"/>
  <c r="E2230" i="14"/>
  <c r="E2298" i="14"/>
  <c r="E2222" i="14"/>
  <c r="E2314" i="14"/>
  <c r="E2238" i="14"/>
  <c r="E1647" i="14"/>
  <c r="E2139" i="14"/>
  <c r="E2047" i="14"/>
  <c r="E2159" i="14"/>
  <c r="E2067" i="14"/>
  <c r="E2057" i="14"/>
  <c r="E2093" i="14"/>
  <c r="E2149" i="14"/>
  <c r="E2113" i="14"/>
  <c r="E2103" i="14"/>
  <c r="E1715" i="14"/>
  <c r="E1650" i="14"/>
  <c r="E1704" i="14"/>
  <c r="E1886" i="14"/>
  <c r="E1836" i="14"/>
  <c r="E1853" i="14"/>
  <c r="E1922" i="14"/>
  <c r="E1628" i="14"/>
  <c r="E1743" i="14"/>
  <c r="E1670" i="14"/>
  <c r="E1820" i="14"/>
  <c r="E1707" i="14"/>
  <c r="E1625" i="14"/>
  <c r="E1673" i="14"/>
  <c r="E1972" i="14"/>
  <c r="E1696" i="14"/>
  <c r="E1828" i="14"/>
  <c r="E1718" i="14"/>
  <c r="E1878" i="14"/>
  <c r="E1693" i="14"/>
  <c r="E1870" i="14"/>
  <c r="E1861" i="14"/>
  <c r="E1684" i="14"/>
  <c r="E1681" i="14"/>
  <c r="E1988" i="14"/>
  <c r="E1938" i="14"/>
  <c r="E1963" i="14"/>
  <c r="E1947" i="14"/>
  <c r="E1955" i="14"/>
  <c r="E1980" i="14"/>
  <c r="E1930" i="14"/>
  <c r="E1662" i="14"/>
  <c r="E1659" i="14"/>
  <c r="E1639" i="14"/>
  <c r="E1636" i="14"/>
  <c r="E1845" i="14"/>
  <c r="AO74" i="31"/>
  <c r="AO78" i="31"/>
  <c r="AO72" i="31"/>
  <c r="AO76" i="31"/>
  <c r="AO80" i="31"/>
  <c r="AO81" i="31"/>
  <c r="E7728" i="14"/>
  <c r="E7723" i="14"/>
  <c r="E2419" i="14" l="1"/>
  <c r="E2411" i="14"/>
  <c r="E2381" i="14"/>
  <c r="E2465" i="14"/>
  <c r="E2427" i="14"/>
  <c r="E2449" i="14"/>
  <c r="E2373" i="14"/>
  <c r="E2457" i="14"/>
  <c r="E2389" i="14"/>
  <c r="E2063" i="14"/>
  <c r="E2304" i="14"/>
  <c r="E2236" i="14"/>
  <c r="E2274" i="14"/>
  <c r="E2312" i="14"/>
  <c r="E2296" i="14"/>
  <c r="E2228" i="14"/>
  <c r="E2258" i="14"/>
  <c r="E2220" i="14"/>
  <c r="E2266" i="14"/>
  <c r="E2055" i="14"/>
  <c r="E2157" i="14"/>
  <c r="E2043" i="14"/>
  <c r="E2045" i="14"/>
  <c r="E2089" i="14"/>
  <c r="E2147" i="14"/>
  <c r="E2145" i="14"/>
  <c r="E2091" i="14"/>
  <c r="E2109" i="14"/>
  <c r="E2135" i="14"/>
  <c r="E2137" i="14"/>
  <c r="E2065" i="14"/>
  <c r="E2053" i="14"/>
  <c r="E2111" i="14"/>
  <c r="E2101" i="14"/>
  <c r="E2099" i="14"/>
  <c r="E2155" i="14"/>
  <c r="D45" i="1"/>
  <c r="H180" i="24" l="1"/>
  <c r="Q147" i="73"/>
  <c r="Q148" i="73"/>
  <c r="Q149" i="73"/>
  <c r="Q150" i="73"/>
  <c r="Q151" i="73"/>
  <c r="Q146" i="73"/>
  <c r="H11" i="24"/>
  <c r="I276" i="24"/>
  <c r="H276" i="24"/>
  <c r="I263" i="24"/>
  <c r="H263" i="24"/>
  <c r="I250" i="24"/>
  <c r="H250" i="24"/>
  <c r="I236" i="24"/>
  <c r="H236" i="24"/>
  <c r="I223" i="24"/>
  <c r="H223" i="24"/>
  <c r="I210" i="24"/>
  <c r="H210" i="24"/>
  <c r="I197" i="24"/>
  <c r="H197" i="24"/>
  <c r="I180" i="24"/>
  <c r="I167" i="24"/>
  <c r="H167" i="24"/>
  <c r="I154" i="24"/>
  <c r="H154" i="24"/>
  <c r="I141" i="24"/>
  <c r="H141" i="24"/>
  <c r="I128" i="24"/>
  <c r="H128" i="24"/>
  <c r="I115" i="24"/>
  <c r="H115" i="24"/>
  <c r="I102" i="24"/>
  <c r="H102" i="24"/>
  <c r="I89" i="24"/>
  <c r="H89" i="24"/>
  <c r="I76" i="24"/>
  <c r="H76" i="24"/>
  <c r="I63" i="24"/>
  <c r="H63" i="24"/>
  <c r="I50" i="24"/>
  <c r="H50" i="24"/>
  <c r="I37" i="24"/>
  <c r="H37" i="24"/>
  <c r="I24" i="24"/>
  <c r="H24" i="24"/>
  <c r="I11" i="24"/>
  <c r="G11" i="24"/>
  <c r="G236" i="24"/>
  <c r="E135" i="23" l="1"/>
  <c r="E134" i="23"/>
  <c r="E133" i="23"/>
  <c r="E132" i="23"/>
  <c r="AG55" i="31" s="1"/>
  <c r="E131" i="23"/>
  <c r="E130" i="23"/>
  <c r="E129" i="23"/>
  <c r="E128" i="23"/>
  <c r="AG54" i="31" s="1"/>
  <c r="E123" i="23"/>
  <c r="E122" i="23"/>
  <c r="E121" i="23"/>
  <c r="E119" i="23"/>
  <c r="E118" i="23"/>
  <c r="E117" i="23"/>
  <c r="E116" i="23"/>
  <c r="E115" i="23"/>
  <c r="E112" i="23"/>
  <c r="E109" i="23"/>
  <c r="E108" i="23"/>
  <c r="E107" i="23"/>
  <c r="E106" i="23"/>
  <c r="E105" i="23"/>
  <c r="E91" i="23"/>
  <c r="E90" i="23"/>
  <c r="E89" i="23"/>
  <c r="E87" i="23"/>
  <c r="E86" i="23"/>
  <c r="E85" i="23"/>
  <c r="E83" i="23"/>
  <c r="E82" i="23"/>
  <c r="E81" i="23"/>
  <c r="E71" i="23"/>
  <c r="E5831" i="14" s="1"/>
  <c r="E70" i="23"/>
  <c r="E5818" i="14" s="1"/>
  <c r="E69" i="23"/>
  <c r="E5805" i="14" s="1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49" i="23"/>
  <c r="E46" i="23"/>
  <c r="E45" i="23"/>
  <c r="E44" i="23"/>
  <c r="E3359" i="14" s="1"/>
  <c r="E43" i="23"/>
  <c r="E42" i="23"/>
  <c r="E40" i="23"/>
  <c r="E39" i="23"/>
  <c r="E37" i="23"/>
  <c r="E36" i="23"/>
  <c r="E35" i="23"/>
  <c r="E18" i="23"/>
  <c r="E17" i="23"/>
  <c r="E16" i="23"/>
  <c r="E15" i="23"/>
  <c r="E14" i="23"/>
  <c r="E1922" i="35" l="1"/>
  <c r="E1875" i="35"/>
  <c r="E2253" i="35"/>
  <c r="E2206" i="35"/>
  <c r="E2159" i="35"/>
  <c r="E1827" i="35"/>
  <c r="E1780" i="35"/>
  <c r="E1733" i="35"/>
  <c r="E2111" i="35"/>
  <c r="E2064" i="35"/>
  <c r="E2017" i="35"/>
  <c r="E1542" i="35"/>
  <c r="E1495" i="35"/>
  <c r="E1448" i="35"/>
  <c r="E1400" i="35"/>
  <c r="E1353" i="35"/>
  <c r="E1306" i="35"/>
  <c r="E1258" i="35"/>
  <c r="E1211" i="35"/>
  <c r="E1164" i="35"/>
  <c r="E1969" i="35"/>
  <c r="E1684" i="35"/>
  <c r="E1637" i="35"/>
  <c r="E1590" i="35"/>
  <c r="E831" i="35"/>
  <c r="E784" i="35"/>
  <c r="E737" i="35"/>
  <c r="E404" i="35"/>
  <c r="E357" i="35"/>
  <c r="E310" i="35"/>
  <c r="E546" i="35"/>
  <c r="E499" i="35"/>
  <c r="E452" i="35"/>
  <c r="E689" i="35"/>
  <c r="E642" i="35"/>
  <c r="E595" i="35"/>
  <c r="E1115" i="35"/>
  <c r="E1068" i="35"/>
  <c r="E1021" i="35"/>
  <c r="E973" i="35"/>
  <c r="E926" i="35"/>
  <c r="E879" i="35"/>
  <c r="E262" i="35"/>
  <c r="E215" i="35"/>
  <c r="E168" i="35"/>
  <c r="E120" i="35"/>
  <c r="E73" i="35"/>
  <c r="E26" i="35"/>
  <c r="AG12" i="31"/>
  <c r="E7584" i="14"/>
  <c r="E7572" i="14"/>
  <c r="E7560" i="14"/>
  <c r="E7529" i="14"/>
  <c r="E7517" i="14"/>
  <c r="E7505" i="14"/>
  <c r="E7474" i="14"/>
  <c r="E7462" i="14"/>
  <c r="E7450" i="14"/>
  <c r="E7395" i="14"/>
  <c r="E7407" i="14"/>
  <c r="E7419" i="14"/>
  <c r="AS12" i="31" l="1"/>
  <c r="E7605" i="14"/>
  <c r="E7624" i="14"/>
  <c r="E7617" i="14"/>
  <c r="E7648" i="14" s="1"/>
  <c r="E7623" i="14"/>
  <c r="E7649" i="14" s="1"/>
  <c r="E7611" i="14"/>
  <c r="E7612" i="14"/>
  <c r="E7618" i="14"/>
  <c r="AG55" i="84"/>
  <c r="AG54" i="84"/>
  <c r="AG54" i="83"/>
  <c r="AG54" i="85"/>
  <c r="AG55" i="83"/>
  <c r="AG55" i="85"/>
  <c r="E7606" i="14"/>
  <c r="E7647" i="14" l="1"/>
  <c r="E7646" i="14"/>
  <c r="E5789" i="14" l="1"/>
  <c r="E5743" i="14"/>
  <c r="E5612" i="14"/>
  <c r="E5342" i="14"/>
  <c r="E5084" i="14"/>
  <c r="E45" i="14"/>
  <c r="E44" i="14"/>
  <c r="E38" i="14"/>
  <c r="E37" i="14"/>
  <c r="E96" i="31"/>
  <c r="E94" i="31"/>
  <c r="E93" i="31"/>
  <c r="E90" i="31"/>
  <c r="E7688" i="14"/>
  <c r="E6496" i="14" l="1"/>
  <c r="E499" i="8" s="1"/>
  <c r="E6490" i="14"/>
  <c r="E6495" i="14"/>
  <c r="E6500" i="14" s="1"/>
  <c r="E6489" i="14"/>
  <c r="E6501" i="14"/>
  <c r="E506" i="8" s="1"/>
  <c r="E6494" i="14"/>
  <c r="E6486" i="14"/>
  <c r="E504" i="8" s="1"/>
  <c r="E6499" i="14"/>
  <c r="E6491" i="14"/>
  <c r="E502" i="8" s="1"/>
  <c r="E6485" i="14"/>
  <c r="E6545" i="14"/>
  <c r="E6537" i="14"/>
  <c r="E527" i="8" s="1"/>
  <c r="E6531" i="14"/>
  <c r="E6542" i="14"/>
  <c r="E524" i="8" s="1"/>
  <c r="E6536" i="14"/>
  <c r="E6541" i="14"/>
  <c r="E6546" i="14" s="1"/>
  <c r="E6535" i="14"/>
  <c r="E6547" i="14"/>
  <c r="E531" i="8" s="1"/>
  <c r="E6540" i="14"/>
  <c r="E6532" i="14"/>
  <c r="E529" i="8" s="1"/>
  <c r="E6356" i="14"/>
  <c r="E6361" i="14" s="1"/>
  <c r="E6362" i="14"/>
  <c r="E6355" i="14"/>
  <c r="E6347" i="14"/>
  <c r="E6357" i="14"/>
  <c r="E6351" i="14"/>
  <c r="E6360" i="14"/>
  <c r="E6350" i="14"/>
  <c r="E6346" i="14"/>
  <c r="E6352" i="14"/>
  <c r="E492" i="8"/>
  <c r="E491" i="8"/>
  <c r="E490" i="8"/>
  <c r="E517" i="8"/>
  <c r="E516" i="8"/>
  <c r="E515" i="8"/>
  <c r="E415" i="8"/>
  <c r="E414" i="8"/>
  <c r="E413" i="8"/>
  <c r="E440" i="8"/>
  <c r="E439" i="8"/>
  <c r="E438" i="8"/>
  <c r="J28" i="58"/>
  <c r="J29" i="58"/>
  <c r="J26" i="58"/>
  <c r="J30" i="58"/>
  <c r="J25" i="58"/>
  <c r="E5114" i="14"/>
  <c r="E5126" i="14"/>
  <c r="E5120" i="14"/>
  <c r="E5132" i="14"/>
  <c r="E91" i="31"/>
  <c r="E97" i="31"/>
  <c r="E7428" i="14"/>
  <c r="E7427" i="14"/>
  <c r="E5886" i="14"/>
  <c r="E5963" i="14"/>
  <c r="E5957" i="14"/>
  <c r="E5880" i="14"/>
  <c r="E5945" i="14"/>
  <c r="E5868" i="14"/>
  <c r="E7404" i="14"/>
  <c r="E7403" i="14"/>
  <c r="E5862" i="14"/>
  <c r="E5939" i="14"/>
  <c r="E39" i="14"/>
  <c r="E5032" i="14"/>
  <c r="E5163" i="14"/>
  <c r="E51" i="14"/>
  <c r="E124" i="8"/>
  <c r="E46" i="14"/>
  <c r="E3803" i="14"/>
  <c r="E3837" i="14"/>
  <c r="E3871" i="14"/>
  <c r="E3905" i="14"/>
  <c r="E5426" i="14" s="1"/>
  <c r="E3939" i="14"/>
  <c r="E5434" i="14" s="1"/>
  <c r="E5138" i="14"/>
  <c r="E52" i="14"/>
  <c r="E117" i="8"/>
  <c r="E125" i="8"/>
  <c r="E53" i="14"/>
  <c r="E3820" i="14"/>
  <c r="E3854" i="14"/>
  <c r="E3888" i="14"/>
  <c r="E5421" i="14" s="1"/>
  <c r="E3922" i="14"/>
  <c r="E5430" i="14" s="1"/>
  <c r="E118" i="8"/>
  <c r="E443" i="8" l="1"/>
  <c r="O65" i="31" s="1"/>
  <c r="E495" i="8"/>
  <c r="E5408" i="14"/>
  <c r="E418" i="8"/>
  <c r="N65" i="31" s="1"/>
  <c r="E520" i="8"/>
  <c r="E627" i="8"/>
  <c r="E623" i="8"/>
  <c r="E619" i="8"/>
  <c r="E634" i="8"/>
  <c r="E622" i="8"/>
  <c r="E618" i="8"/>
  <c r="E614" i="8"/>
  <c r="E621" i="8"/>
  <c r="E617" i="8"/>
  <c r="E613" i="8"/>
  <c r="E612" i="8"/>
  <c r="E620" i="8"/>
  <c r="E624" i="8"/>
  <c r="E338" i="36"/>
  <c r="E328" i="36"/>
  <c r="AB12" i="31" s="1"/>
  <c r="E327" i="36"/>
  <c r="AB11" i="31" s="1"/>
  <c r="E334" i="36"/>
  <c r="E326" i="36"/>
  <c r="AB10" i="31" s="1"/>
  <c r="E329" i="36"/>
  <c r="E320" i="36"/>
  <c r="E321" i="36"/>
  <c r="E319" i="36"/>
  <c r="E318" i="36"/>
  <c r="AU119" i="51"/>
  <c r="E249" i="36"/>
  <c r="E241" i="36"/>
  <c r="T10" i="31" s="1"/>
  <c r="E233" i="36"/>
  <c r="E244" i="36"/>
  <c r="E236" i="36"/>
  <c r="E253" i="36"/>
  <c r="E243" i="36"/>
  <c r="T12" i="31" s="1"/>
  <c r="E235" i="36"/>
  <c r="E242" i="36"/>
  <c r="T11" i="31" s="1"/>
  <c r="E234" i="36"/>
  <c r="E272" i="36"/>
  <c r="Z12" i="31" s="1"/>
  <c r="E264" i="36"/>
  <c r="E282" i="36"/>
  <c r="E271" i="36"/>
  <c r="Z11" i="31" s="1"/>
  <c r="E263" i="36"/>
  <c r="E278" i="36"/>
  <c r="E270" i="36"/>
  <c r="Z10" i="31" s="1"/>
  <c r="E262" i="36"/>
  <c r="E265" i="36"/>
  <c r="E273" i="36"/>
  <c r="E609" i="8"/>
  <c r="E596" i="8"/>
  <c r="E592" i="8"/>
  <c r="E588" i="8"/>
  <c r="E597" i="8"/>
  <c r="AA65" i="31" s="1"/>
  <c r="E593" i="8"/>
  <c r="E599" i="8"/>
  <c r="E595" i="8"/>
  <c r="E587" i="8"/>
  <c r="E602" i="8"/>
  <c r="E598" i="8"/>
  <c r="E594" i="8"/>
  <c r="E589" i="8"/>
  <c r="E301" i="36"/>
  <c r="E293" i="36"/>
  <c r="E310" i="36"/>
  <c r="E300" i="36"/>
  <c r="AA12" i="31" s="1"/>
  <c r="E292" i="36"/>
  <c r="E299" i="36"/>
  <c r="AA11" i="31" s="1"/>
  <c r="E291" i="36"/>
  <c r="E306" i="36"/>
  <c r="E298" i="36"/>
  <c r="E290" i="36"/>
  <c r="AU116" i="51"/>
  <c r="E159" i="36"/>
  <c r="E151" i="36"/>
  <c r="E158" i="36"/>
  <c r="E150" i="36"/>
  <c r="E168" i="36"/>
  <c r="E157" i="36"/>
  <c r="P11" i="31" s="1"/>
  <c r="E149" i="36"/>
  <c r="E148" i="36"/>
  <c r="E164" i="36"/>
  <c r="E171" i="36" s="1"/>
  <c r="E156" i="36"/>
  <c r="P10" i="31" s="1"/>
  <c r="E8154" i="14"/>
  <c r="E8156" i="14"/>
  <c r="AU122" i="51"/>
  <c r="E6452" i="14"/>
  <c r="E6444" i="14"/>
  <c r="E475" i="8" s="1"/>
  <c r="E6438" i="14"/>
  <c r="E6428" i="14"/>
  <c r="E6433" i="14" s="1"/>
  <c r="E6422" i="14"/>
  <c r="E6413" i="14"/>
  <c r="E6449" i="14"/>
  <c r="E472" i="8" s="1"/>
  <c r="E6443" i="14"/>
  <c r="E6434" i="14"/>
  <c r="E478" i="8" s="1"/>
  <c r="E6427" i="14"/>
  <c r="E6419" i="14"/>
  <c r="E476" i="8" s="1"/>
  <c r="E6412" i="14"/>
  <c r="E6448" i="14"/>
  <c r="E6453" i="14" s="1"/>
  <c r="E6442" i="14"/>
  <c r="E6432" i="14"/>
  <c r="E6424" i="14"/>
  <c r="E474" i="8" s="1"/>
  <c r="E6418" i="14"/>
  <c r="E6454" i="14"/>
  <c r="E479" i="8" s="1"/>
  <c r="E6447" i="14"/>
  <c r="E6439" i="14"/>
  <c r="E477" i="8" s="1"/>
  <c r="E6429" i="14"/>
  <c r="E471" i="8" s="1"/>
  <c r="E6423" i="14"/>
  <c r="E6414" i="14"/>
  <c r="E6411" i="14"/>
  <c r="E6686" i="14"/>
  <c r="E608" i="8" s="1"/>
  <c r="E6684" i="14"/>
  <c r="E6681" i="14"/>
  <c r="E601" i="8" s="1"/>
  <c r="E6679" i="14"/>
  <c r="E6671" i="14"/>
  <c r="E606" i="8" s="1"/>
  <c r="E6661" i="14"/>
  <c r="E600" i="8" s="1"/>
  <c r="E6655" i="14"/>
  <c r="E6646" i="14"/>
  <c r="E6676" i="14"/>
  <c r="E604" i="8" s="1"/>
  <c r="E6670" i="14"/>
  <c r="E6660" i="14"/>
  <c r="E6665" i="14" s="1"/>
  <c r="E6654" i="14"/>
  <c r="E6645" i="14"/>
  <c r="E6675" i="14"/>
  <c r="E6666" i="14"/>
  <c r="E607" i="8" s="1"/>
  <c r="E6659" i="14"/>
  <c r="E6651" i="14"/>
  <c r="E605" i="8" s="1"/>
  <c r="E6644" i="14"/>
  <c r="E6680" i="14"/>
  <c r="E6685" i="14" s="1"/>
  <c r="E6674" i="14"/>
  <c r="E6664" i="14"/>
  <c r="E6656" i="14"/>
  <c r="E603" i="8" s="1"/>
  <c r="E6650" i="14"/>
  <c r="E6643" i="14"/>
  <c r="E6726" i="14"/>
  <c r="E6731" i="14" s="1"/>
  <c r="E6720" i="14"/>
  <c r="E6710" i="14"/>
  <c r="E6702" i="14"/>
  <c r="E628" i="8" s="1"/>
  <c r="E6696" i="14"/>
  <c r="E6689" i="14"/>
  <c r="E6732" i="14"/>
  <c r="E633" i="8" s="1"/>
  <c r="E6725" i="14"/>
  <c r="E6717" i="14"/>
  <c r="E631" i="8" s="1"/>
  <c r="E6707" i="14"/>
  <c r="E625" i="8" s="1"/>
  <c r="E6701" i="14"/>
  <c r="E6692" i="14"/>
  <c r="E6730" i="14"/>
  <c r="E6722" i="14"/>
  <c r="E629" i="8" s="1"/>
  <c r="E6716" i="14"/>
  <c r="E6706" i="14"/>
  <c r="E6711" i="14" s="1"/>
  <c r="E6700" i="14"/>
  <c r="E6691" i="14"/>
  <c r="E6727" i="14"/>
  <c r="E626" i="8" s="1"/>
  <c r="E6721" i="14"/>
  <c r="E6712" i="14"/>
  <c r="E632" i="8" s="1"/>
  <c r="E6705" i="14"/>
  <c r="E6697" i="14"/>
  <c r="E630" i="8" s="1"/>
  <c r="E6690" i="14"/>
  <c r="E6588" i="14"/>
  <c r="E549" i="8" s="1"/>
  <c r="E6582" i="14"/>
  <c r="E6573" i="14"/>
  <c r="E555" i="8" s="1"/>
  <c r="E6566" i="14"/>
  <c r="E6587" i="14"/>
  <c r="E6592" i="14" s="1"/>
  <c r="E6581" i="14"/>
  <c r="E6571" i="14"/>
  <c r="E6563" i="14"/>
  <c r="E551" i="8" s="1"/>
  <c r="E6593" i="14"/>
  <c r="E556" i="8" s="1"/>
  <c r="E6586" i="14"/>
  <c r="E6578" i="14"/>
  <c r="E554" i="8" s="1"/>
  <c r="E6568" i="14"/>
  <c r="E548" i="8" s="1"/>
  <c r="E6591" i="14"/>
  <c r="E6583" i="14"/>
  <c r="E552" i="8" s="1"/>
  <c r="E6577" i="14"/>
  <c r="E6567" i="14"/>
  <c r="E6572" i="14" s="1"/>
  <c r="E6562" i="14"/>
  <c r="E6561" i="14"/>
  <c r="E6552" i="14"/>
  <c r="E6558" i="14"/>
  <c r="E553" i="8" s="1"/>
  <c r="E6551" i="14"/>
  <c r="E6557" i="14"/>
  <c r="E6550" i="14"/>
  <c r="E6553" i="14"/>
  <c r="E6640" i="14"/>
  <c r="E583" i="8" s="1"/>
  <c r="E6633" i="14"/>
  <c r="E6625" i="14"/>
  <c r="E581" i="8" s="1"/>
  <c r="E6615" i="14"/>
  <c r="E575" i="8" s="1"/>
  <c r="E6609" i="14"/>
  <c r="E6600" i="14"/>
  <c r="E6638" i="14"/>
  <c r="E6630" i="14"/>
  <c r="E579" i="8" s="1"/>
  <c r="E6624" i="14"/>
  <c r="E6614" i="14"/>
  <c r="E6619" i="14" s="1"/>
  <c r="E6608" i="14"/>
  <c r="E6599" i="14"/>
  <c r="E6635" i="14"/>
  <c r="E576" i="8" s="1"/>
  <c r="E6629" i="14"/>
  <c r="E6620" i="14"/>
  <c r="E582" i="8" s="1"/>
  <c r="E6613" i="14"/>
  <c r="E6605" i="14"/>
  <c r="E580" i="8" s="1"/>
  <c r="E6598" i="14"/>
  <c r="E6634" i="14"/>
  <c r="E6639" i="14" s="1"/>
  <c r="E6628" i="14"/>
  <c r="E6618" i="14"/>
  <c r="E6610" i="14"/>
  <c r="E578" i="8" s="1"/>
  <c r="E6604" i="14"/>
  <c r="E6597" i="14"/>
  <c r="E2734" i="14"/>
  <c r="E2740" i="14"/>
  <c r="E2733" i="14"/>
  <c r="E2746" i="14"/>
  <c r="E2614" i="14"/>
  <c r="E2602" i="14"/>
  <c r="E2601" i="14"/>
  <c r="E2608" i="14"/>
  <c r="E2712" i="14"/>
  <c r="E2718" i="14"/>
  <c r="E2711" i="14"/>
  <c r="E2724" i="14"/>
  <c r="E2668" i="14"/>
  <c r="E2674" i="14"/>
  <c r="E2667" i="14"/>
  <c r="E2680" i="14"/>
  <c r="E2696" i="14"/>
  <c r="E2689" i="14"/>
  <c r="E2702" i="14"/>
  <c r="E2690" i="14"/>
  <c r="AB65" i="31"/>
  <c r="E577" i="8"/>
  <c r="E573" i="8"/>
  <c r="E569" i="8"/>
  <c r="E584" i="8"/>
  <c r="E572" i="8"/>
  <c r="Z65" i="31" s="1"/>
  <c r="E568" i="8"/>
  <c r="E564" i="8"/>
  <c r="E571" i="8"/>
  <c r="E567" i="8"/>
  <c r="E563" i="8"/>
  <c r="E562" i="8"/>
  <c r="E574" i="8"/>
  <c r="E570" i="8"/>
  <c r="E550" i="8"/>
  <c r="E546" i="8"/>
  <c r="E542" i="8"/>
  <c r="E538" i="8"/>
  <c r="E557" i="8"/>
  <c r="E545" i="8"/>
  <c r="T65" i="31" s="1"/>
  <c r="E541" i="8"/>
  <c r="E537" i="8"/>
  <c r="E544" i="8"/>
  <c r="E540" i="8"/>
  <c r="E536" i="8"/>
  <c r="E535" i="8"/>
  <c r="E547" i="8"/>
  <c r="E543" i="8"/>
  <c r="E539" i="8"/>
  <c r="E473" i="8"/>
  <c r="E469" i="8"/>
  <c r="E465" i="8"/>
  <c r="E461" i="8"/>
  <c r="E480" i="8"/>
  <c r="E468" i="8"/>
  <c r="P65" i="31" s="1"/>
  <c r="E464" i="8"/>
  <c r="E460" i="8"/>
  <c r="E467" i="8"/>
  <c r="E463" i="8"/>
  <c r="E459" i="8"/>
  <c r="E470" i="8"/>
  <c r="E466" i="8"/>
  <c r="E462" i="8"/>
  <c r="E458" i="8"/>
  <c r="AO160" i="31"/>
  <c r="S65" i="31"/>
  <c r="E8111" i="14"/>
  <c r="E8109" i="14"/>
  <c r="J37" i="58"/>
  <c r="J36" i="58"/>
  <c r="J38" i="58"/>
  <c r="J39" i="58"/>
  <c r="J31" i="58"/>
  <c r="J27" i="58"/>
  <c r="E434" i="35"/>
  <c r="E3291" i="14"/>
  <c r="E244" i="35"/>
  <c r="E3285" i="14"/>
  <c r="E481" i="35"/>
  <c r="E3292" i="14"/>
  <c r="E386" i="35"/>
  <c r="E3289" i="14"/>
  <c r="E528" i="35"/>
  <c r="E3293" i="14"/>
  <c r="R65" i="31"/>
  <c r="E9" i="14"/>
  <c r="E1649" i="14"/>
  <c r="E1646" i="14"/>
  <c r="E1706" i="14"/>
  <c r="E1703" i="14"/>
  <c r="E1717" i="14"/>
  <c r="E1714" i="14"/>
  <c r="E1683" i="14"/>
  <c r="E1680" i="14"/>
  <c r="E1695" i="14"/>
  <c r="E1692" i="14"/>
  <c r="E170" i="14"/>
  <c r="E3933" i="14"/>
  <c r="E3923" i="14"/>
  <c r="E3935" i="14"/>
  <c r="E3931" i="14"/>
  <c r="E3929" i="14"/>
  <c r="E3924" i="14"/>
  <c r="E3899" i="14"/>
  <c r="E3889" i="14"/>
  <c r="E3897" i="14"/>
  <c r="E3895" i="14"/>
  <c r="E3890" i="14"/>
  <c r="E3901" i="14"/>
  <c r="E3912" i="14"/>
  <c r="E3916" i="14"/>
  <c r="E3907" i="14"/>
  <c r="E3906" i="14"/>
  <c r="E3918" i="14"/>
  <c r="E3914" i="14"/>
  <c r="E3848" i="14"/>
  <c r="E3838" i="14"/>
  <c r="E3850" i="14"/>
  <c r="E3846" i="14"/>
  <c r="E3844" i="14"/>
  <c r="E3839" i="14"/>
  <c r="E3946" i="14"/>
  <c r="E3941" i="14"/>
  <c r="E3940" i="14"/>
  <c r="E3952" i="14"/>
  <c r="E3950" i="14"/>
  <c r="E3948" i="14"/>
  <c r="E5987" i="14"/>
  <c r="E5910" i="14"/>
  <c r="E5904" i="14"/>
  <c r="E5981" i="14"/>
  <c r="E5898" i="14"/>
  <c r="E5975" i="14"/>
  <c r="E7409" i="14"/>
  <c r="E7412" i="14" s="1"/>
  <c r="AG46" i="31" s="1"/>
  <c r="E5969" i="14"/>
  <c r="E5892" i="14"/>
  <c r="E5966" i="14"/>
  <c r="E5965" i="14"/>
  <c r="E5888" i="14"/>
  <c r="E5889" i="14"/>
  <c r="E6521" i="14" s="1"/>
  <c r="E6526" i="14" s="1"/>
  <c r="E5882" i="14"/>
  <c r="E5883" i="14"/>
  <c r="E6475" i="14" s="1"/>
  <c r="E6480" i="14" s="1"/>
  <c r="E7415" i="14"/>
  <c r="E7432" i="14" s="1"/>
  <c r="E7416" i="14"/>
  <c r="E7433" i="14" s="1"/>
  <c r="E5960" i="14"/>
  <c r="E5959" i="14"/>
  <c r="E7397" i="14"/>
  <c r="E7396" i="14" s="1"/>
  <c r="E5951" i="14"/>
  <c r="E5874" i="14"/>
  <c r="E5871" i="14"/>
  <c r="E6382" i="14" s="1"/>
  <c r="E6387" i="14" s="1"/>
  <c r="E5870" i="14"/>
  <c r="E5948" i="14"/>
  <c r="E6402" i="14" s="1"/>
  <c r="E6407" i="14" s="1"/>
  <c r="E5947" i="14"/>
  <c r="E5942" i="14"/>
  <c r="E5941" i="14"/>
  <c r="E5865" i="14"/>
  <c r="E6336" i="14" s="1"/>
  <c r="E6341" i="14" s="1"/>
  <c r="E5864" i="14"/>
  <c r="E5847" i="14"/>
  <c r="E5846" i="14"/>
  <c r="E5924" i="14"/>
  <c r="E5923" i="14"/>
  <c r="E7421" i="14"/>
  <c r="E119" i="8"/>
  <c r="E131" i="8"/>
  <c r="E133" i="8"/>
  <c r="E132" i="8"/>
  <c r="E126" i="8"/>
  <c r="E2302" i="35" l="1"/>
  <c r="E341" i="36"/>
  <c r="E313" i="36"/>
  <c r="E153" i="36"/>
  <c r="E295" i="36"/>
  <c r="E285" i="36"/>
  <c r="E256" i="36"/>
  <c r="E2146" i="14"/>
  <c r="E2144" i="14"/>
  <c r="E2134" i="14"/>
  <c r="E2136" i="14"/>
  <c r="E2154" i="14"/>
  <c r="E2156" i="14"/>
  <c r="E2108" i="14"/>
  <c r="E2110" i="14"/>
  <c r="E238" i="36"/>
  <c r="E2064" i="14"/>
  <c r="E2062" i="14"/>
  <c r="E303" i="36"/>
  <c r="E161" i="36"/>
  <c r="E323" i="36"/>
  <c r="E275" i="36"/>
  <c r="E246" i="36"/>
  <c r="E331" i="36"/>
  <c r="E8157" i="14"/>
  <c r="E8163" i="14"/>
  <c r="E8150" i="14"/>
  <c r="E8162" i="14"/>
  <c r="E8166" i="14"/>
  <c r="E8149" i="14"/>
  <c r="E8161" i="14"/>
  <c r="E8158" i="14"/>
  <c r="E8165" i="14"/>
  <c r="E8164" i="14"/>
  <c r="E6217" i="14"/>
  <c r="E6222" i="14" s="1"/>
  <c r="E6197" i="14"/>
  <c r="E6202" i="14" s="1"/>
  <c r="P12" i="31"/>
  <c r="AA10" i="31"/>
  <c r="AO13" i="31"/>
  <c r="E8113" i="14"/>
  <c r="E8098" i="14"/>
  <c r="E8099" i="14"/>
  <c r="E8112" i="14"/>
  <c r="E246" i="35"/>
  <c r="E258" i="35" s="1"/>
  <c r="P57" i="31"/>
  <c r="E7650" i="14"/>
  <c r="Y70" i="31"/>
  <c r="AB15" i="31"/>
  <c r="AB64" i="31"/>
  <c r="T64" i="31"/>
  <c r="AA64" i="31"/>
  <c r="T15" i="31"/>
  <c r="AA15" i="31"/>
  <c r="P15" i="31"/>
  <c r="P64" i="31"/>
  <c r="Z64" i="31"/>
  <c r="E1697" i="14"/>
  <c r="E1685" i="14"/>
  <c r="E1719" i="14"/>
  <c r="E1651" i="14"/>
  <c r="E1708" i="14"/>
  <c r="Z70" i="31"/>
  <c r="T70" i="31"/>
  <c r="P70" i="31"/>
  <c r="AA70" i="31"/>
  <c r="AB70" i="31"/>
  <c r="AK158" i="31"/>
  <c r="AG158" i="31"/>
  <c r="E177" i="14"/>
  <c r="E178" i="14"/>
  <c r="E7408" i="14"/>
  <c r="E7400" i="14"/>
  <c r="AG45" i="31" s="1"/>
  <c r="E5990" i="14"/>
  <c r="E5989" i="14"/>
  <c r="E5912" i="14"/>
  <c r="E5913" i="14"/>
  <c r="E5907" i="14"/>
  <c r="E5906" i="14"/>
  <c r="E5984" i="14"/>
  <c r="E5983" i="14"/>
  <c r="E7424" i="14"/>
  <c r="AG47" i="31" s="1"/>
  <c r="E5978" i="14"/>
  <c r="E5977" i="14"/>
  <c r="E5901" i="14"/>
  <c r="E5900" i="14"/>
  <c r="E5895" i="14"/>
  <c r="E5894" i="14"/>
  <c r="E5972" i="14"/>
  <c r="E5971" i="14"/>
  <c r="E5954" i="14"/>
  <c r="E5953" i="14"/>
  <c r="E5877" i="14"/>
  <c r="E5876" i="14"/>
  <c r="E5936" i="14"/>
  <c r="E5935" i="14"/>
  <c r="E5859" i="14"/>
  <c r="E5858" i="14"/>
  <c r="E5852" i="14"/>
  <c r="E5853" i="14"/>
  <c r="E5930" i="14"/>
  <c r="E5929" i="14"/>
  <c r="E7420" i="14"/>
  <c r="E257" i="36" l="1"/>
  <c r="E314" i="36"/>
  <c r="E172" i="36"/>
  <c r="E165" i="36"/>
  <c r="E307" i="36"/>
  <c r="E2138" i="14"/>
  <c r="E2112" i="14"/>
  <c r="E2114" i="14" s="1"/>
  <c r="E2148" i="14"/>
  <c r="E2150" i="14" s="1"/>
  <c r="E250" i="36"/>
  <c r="E2158" i="14"/>
  <c r="E2160" i="14" s="1"/>
  <c r="E2066" i="14"/>
  <c r="E2068" i="14" s="1"/>
  <c r="E635" i="8"/>
  <c r="E615" i="8"/>
  <c r="E616" i="8"/>
  <c r="E335" i="36"/>
  <c r="E342" i="36"/>
  <c r="E610" i="8"/>
  <c r="E591" i="8"/>
  <c r="E590" i="8"/>
  <c r="E8167" i="14"/>
  <c r="E5916" i="14"/>
  <c r="E5993" i="14"/>
  <c r="E5994" i="14"/>
  <c r="AG90" i="31"/>
  <c r="AG86" i="31"/>
  <c r="E5917" i="14"/>
  <c r="E251" i="35"/>
  <c r="E283" i="35"/>
  <c r="E530" i="35"/>
  <c r="E542" i="35" s="1"/>
  <c r="AB57" i="31"/>
  <c r="E483" i="35"/>
  <c r="E488" i="35" s="1"/>
  <c r="AA57" i="31"/>
  <c r="AG87" i="31"/>
  <c r="AG88" i="31"/>
  <c r="AG93" i="31"/>
  <c r="AG91" i="31"/>
  <c r="AG92" i="31"/>
  <c r="AG89" i="31"/>
  <c r="E495" i="35" l="1"/>
  <c r="E520" i="35"/>
  <c r="E567" i="35"/>
  <c r="E535" i="35"/>
  <c r="AS78" i="31"/>
  <c r="AS82" i="31"/>
  <c r="AS81" i="31"/>
  <c r="AS74" i="31"/>
  <c r="E7658" i="14"/>
  <c r="E5776" i="14"/>
  <c r="E5765" i="14"/>
  <c r="E5754" i="14"/>
  <c r="E5781" i="14"/>
  <c r="E5759" i="14"/>
  <c r="E5736" i="14"/>
  <c r="E5726" i="14"/>
  <c r="E5716" i="14"/>
  <c r="E5647" i="14"/>
  <c r="E5637" i="14"/>
  <c r="E5627" i="14"/>
  <c r="E5792" i="14"/>
  <c r="E5757" i="14"/>
  <c r="E5746" i="14"/>
  <c r="E5779" i="14" l="1"/>
  <c r="E5770" i="14"/>
  <c r="E5768" i="14"/>
  <c r="D41" i="1" l="1"/>
  <c r="D39" i="1"/>
  <c r="AO217" i="85"/>
  <c r="AO215" i="85"/>
  <c r="AO213" i="85"/>
  <c r="AO211" i="85"/>
  <c r="AO197" i="85"/>
  <c r="AO195" i="85"/>
  <c r="AO193" i="85"/>
  <c r="AO191" i="85"/>
  <c r="AO177" i="85"/>
  <c r="AO175" i="85"/>
  <c r="AO173" i="85"/>
  <c r="AO171" i="85"/>
  <c r="AO157" i="85"/>
  <c r="AO155" i="85"/>
  <c r="AO153" i="85"/>
  <c r="AO151" i="85"/>
  <c r="AO217" i="84"/>
  <c r="AO215" i="84"/>
  <c r="AO213" i="84"/>
  <c r="AO211" i="84"/>
  <c r="AO197" i="84"/>
  <c r="AO195" i="84"/>
  <c r="AO193" i="84"/>
  <c r="AO191" i="84"/>
  <c r="AO177" i="84"/>
  <c r="AO175" i="84"/>
  <c r="AO173" i="84"/>
  <c r="AO171" i="84"/>
  <c r="AO157" i="84"/>
  <c r="AO155" i="84"/>
  <c r="AO153" i="84"/>
  <c r="AO151" i="84"/>
  <c r="AS216" i="83"/>
  <c r="AS214" i="83"/>
  <c r="AS212" i="83"/>
  <c r="AS210" i="83"/>
  <c r="AS196" i="83"/>
  <c r="AS194" i="83"/>
  <c r="AS192" i="83"/>
  <c r="AS190" i="83"/>
  <c r="AS176" i="83"/>
  <c r="AS174" i="83"/>
  <c r="AS172" i="83"/>
  <c r="AS170" i="83"/>
  <c r="AS156" i="83"/>
  <c r="AS154" i="83"/>
  <c r="AS152" i="83"/>
  <c r="AS150" i="83"/>
  <c r="AS220" i="31"/>
  <c r="AS218" i="31"/>
  <c r="AS216" i="31"/>
  <c r="AS214" i="31"/>
  <c r="AS154" i="31"/>
  <c r="AS200" i="31"/>
  <c r="AS198" i="31"/>
  <c r="AS196" i="31"/>
  <c r="AS194" i="31"/>
  <c r="AS174" i="31"/>
  <c r="AS176" i="31"/>
  <c r="AS178" i="31"/>
  <c r="AS180" i="31"/>
  <c r="AS160" i="31"/>
  <c r="AS158" i="31"/>
  <c r="AS156" i="31"/>
  <c r="L65" i="31" l="1"/>
  <c r="E189" i="73"/>
  <c r="C18" i="2" s="1"/>
  <c r="AO81" i="83"/>
  <c r="AO76" i="83"/>
  <c r="AO71" i="83"/>
  <c r="AO79" i="83"/>
  <c r="AO77" i="83"/>
  <c r="Y60" i="85"/>
  <c r="U60" i="85"/>
  <c r="Q60" i="85"/>
  <c r="M60" i="85"/>
  <c r="L60" i="85"/>
  <c r="AB47" i="85"/>
  <c r="AA47" i="85"/>
  <c r="Z47" i="85"/>
  <c r="Y47" i="85"/>
  <c r="X47" i="85"/>
  <c r="W47" i="85"/>
  <c r="V47" i="85"/>
  <c r="U47" i="85"/>
  <c r="T47" i="85"/>
  <c r="S47" i="85"/>
  <c r="R47" i="85"/>
  <c r="Q47" i="85"/>
  <c r="P47" i="85"/>
  <c r="O47" i="85"/>
  <c r="N47" i="85"/>
  <c r="M47" i="85"/>
  <c r="L47" i="85"/>
  <c r="AB46" i="85"/>
  <c r="AA46" i="85"/>
  <c r="Z46" i="85"/>
  <c r="Y46" i="85"/>
  <c r="X46" i="85"/>
  <c r="W46" i="85"/>
  <c r="V46" i="85"/>
  <c r="U46" i="85"/>
  <c r="T46" i="85"/>
  <c r="S46" i="85"/>
  <c r="R46" i="85"/>
  <c r="Q46" i="85"/>
  <c r="P46" i="85"/>
  <c r="O46" i="85"/>
  <c r="N46" i="85"/>
  <c r="M46" i="85"/>
  <c r="L46" i="85"/>
  <c r="AB45" i="85"/>
  <c r="AA45" i="85"/>
  <c r="Z45" i="85"/>
  <c r="Y45" i="85"/>
  <c r="X45" i="85"/>
  <c r="W45" i="85"/>
  <c r="V45" i="85"/>
  <c r="U45" i="85"/>
  <c r="T45" i="85"/>
  <c r="S45" i="85"/>
  <c r="R45" i="85"/>
  <c r="Q45" i="85"/>
  <c r="P45" i="85"/>
  <c r="O45" i="85"/>
  <c r="N45" i="85"/>
  <c r="M45" i="85"/>
  <c r="L45" i="85"/>
  <c r="AB44" i="85"/>
  <c r="AA44" i="85"/>
  <c r="Z44" i="85"/>
  <c r="Y44" i="85"/>
  <c r="X44" i="85"/>
  <c r="W44" i="85"/>
  <c r="V44" i="85"/>
  <c r="U44" i="85"/>
  <c r="T44" i="85"/>
  <c r="S44" i="85"/>
  <c r="R44" i="85"/>
  <c r="Q44" i="85"/>
  <c r="P44" i="85"/>
  <c r="O44" i="85"/>
  <c r="N44" i="85"/>
  <c r="M44" i="85"/>
  <c r="L44" i="85"/>
  <c r="AB21" i="85"/>
  <c r="AA21" i="85"/>
  <c r="Z21" i="85"/>
  <c r="Y21" i="85"/>
  <c r="X21" i="85"/>
  <c r="W21" i="85"/>
  <c r="V21" i="85"/>
  <c r="U21" i="85"/>
  <c r="T21" i="85"/>
  <c r="S21" i="85"/>
  <c r="R21" i="85"/>
  <c r="Q21" i="85"/>
  <c r="P21" i="85"/>
  <c r="O21" i="85"/>
  <c r="N21" i="85"/>
  <c r="M21" i="85"/>
  <c r="L21" i="85"/>
  <c r="AB20" i="85"/>
  <c r="AA20" i="85"/>
  <c r="Z20" i="85"/>
  <c r="Y20" i="85"/>
  <c r="X20" i="85"/>
  <c r="W20" i="85"/>
  <c r="V20" i="85"/>
  <c r="U20" i="85"/>
  <c r="T20" i="85"/>
  <c r="S20" i="85"/>
  <c r="R20" i="85"/>
  <c r="Q20" i="85"/>
  <c r="P20" i="85"/>
  <c r="O20" i="85"/>
  <c r="N20" i="85"/>
  <c r="M20" i="85"/>
  <c r="L20" i="85"/>
  <c r="AB19" i="85"/>
  <c r="AA19" i="85"/>
  <c r="Z19" i="85"/>
  <c r="Y19" i="85"/>
  <c r="X19" i="85"/>
  <c r="W19" i="85"/>
  <c r="V19" i="85"/>
  <c r="U19" i="85"/>
  <c r="T19" i="85"/>
  <c r="S19" i="85"/>
  <c r="R19" i="85"/>
  <c r="Q19" i="85"/>
  <c r="P19" i="85"/>
  <c r="O19" i="85"/>
  <c r="N19" i="85"/>
  <c r="M19" i="85"/>
  <c r="L19" i="85"/>
  <c r="AB18" i="85"/>
  <c r="AA18" i="85"/>
  <c r="Z18" i="85"/>
  <c r="Y18" i="85"/>
  <c r="X18" i="85"/>
  <c r="W18" i="85"/>
  <c r="V18" i="85"/>
  <c r="U18" i="85"/>
  <c r="T18" i="85"/>
  <c r="S18" i="85"/>
  <c r="R18" i="85"/>
  <c r="Q18" i="85"/>
  <c r="P18" i="85"/>
  <c r="O18" i="85"/>
  <c r="N18" i="85"/>
  <c r="M18" i="85"/>
  <c r="L18" i="85"/>
  <c r="Y60" i="84"/>
  <c r="U60" i="84"/>
  <c r="Q60" i="84"/>
  <c r="M60" i="84"/>
  <c r="L60" i="84"/>
  <c r="AB47" i="84"/>
  <c r="AA47" i="84"/>
  <c r="Z47" i="84"/>
  <c r="Y47" i="84"/>
  <c r="X47" i="84"/>
  <c r="W47" i="84"/>
  <c r="V47" i="84"/>
  <c r="U47" i="84"/>
  <c r="T47" i="84"/>
  <c r="S47" i="84"/>
  <c r="R47" i="84"/>
  <c r="Q47" i="84"/>
  <c r="P47" i="84"/>
  <c r="O47" i="84"/>
  <c r="N47" i="84"/>
  <c r="M47" i="84"/>
  <c r="L47" i="84"/>
  <c r="AB46" i="84"/>
  <c r="AA46" i="84"/>
  <c r="Z46" i="84"/>
  <c r="Y46" i="84"/>
  <c r="X46" i="84"/>
  <c r="W46" i="84"/>
  <c r="V46" i="84"/>
  <c r="U46" i="84"/>
  <c r="T46" i="84"/>
  <c r="S46" i="84"/>
  <c r="R46" i="84"/>
  <c r="Q46" i="84"/>
  <c r="P46" i="84"/>
  <c r="O46" i="84"/>
  <c r="N46" i="84"/>
  <c r="M46" i="84"/>
  <c r="L46" i="84"/>
  <c r="AB45" i="84"/>
  <c r="AA45" i="84"/>
  <c r="Z45" i="84"/>
  <c r="Y45" i="84"/>
  <c r="X45" i="84"/>
  <c r="W45" i="84"/>
  <c r="V45" i="84"/>
  <c r="U45" i="84"/>
  <c r="T45" i="84"/>
  <c r="S45" i="84"/>
  <c r="R45" i="84"/>
  <c r="Q45" i="84"/>
  <c r="P45" i="84"/>
  <c r="O45" i="84"/>
  <c r="N45" i="84"/>
  <c r="M45" i="84"/>
  <c r="L45" i="84"/>
  <c r="AB44" i="84"/>
  <c r="AA44" i="84"/>
  <c r="Z44" i="84"/>
  <c r="Y44" i="84"/>
  <c r="X44" i="84"/>
  <c r="W44" i="84"/>
  <c r="V44" i="84"/>
  <c r="U44" i="84"/>
  <c r="T44" i="84"/>
  <c r="S44" i="84"/>
  <c r="R44" i="84"/>
  <c r="Q44" i="84"/>
  <c r="P44" i="84"/>
  <c r="O44" i="84"/>
  <c r="N44" i="84"/>
  <c r="M44" i="84"/>
  <c r="L44" i="84"/>
  <c r="AB21" i="84"/>
  <c r="AA21" i="84"/>
  <c r="Z21" i="84"/>
  <c r="Y21" i="84"/>
  <c r="X21" i="84"/>
  <c r="W21" i="84"/>
  <c r="V21" i="84"/>
  <c r="U21" i="84"/>
  <c r="T21" i="84"/>
  <c r="S21" i="84"/>
  <c r="R21" i="84"/>
  <c r="Q21" i="84"/>
  <c r="P21" i="84"/>
  <c r="O21" i="84"/>
  <c r="N21" i="84"/>
  <c r="M21" i="84"/>
  <c r="L21" i="84"/>
  <c r="AB20" i="84"/>
  <c r="AA20" i="84"/>
  <c r="Z20" i="84"/>
  <c r="Y20" i="84"/>
  <c r="X20" i="84"/>
  <c r="W20" i="84"/>
  <c r="V20" i="84"/>
  <c r="U20" i="84"/>
  <c r="T20" i="84"/>
  <c r="S20" i="84"/>
  <c r="R20" i="84"/>
  <c r="Q20" i="84"/>
  <c r="P20" i="84"/>
  <c r="O20" i="84"/>
  <c r="N20" i="84"/>
  <c r="M20" i="84"/>
  <c r="L20" i="84"/>
  <c r="AB19" i="84"/>
  <c r="AA19" i="84"/>
  <c r="Z19" i="84"/>
  <c r="Y19" i="84"/>
  <c r="X19" i="84"/>
  <c r="W19" i="84"/>
  <c r="V19" i="84"/>
  <c r="U19" i="84"/>
  <c r="T19" i="84"/>
  <c r="S19" i="84"/>
  <c r="R19" i="84"/>
  <c r="Q19" i="84"/>
  <c r="P19" i="84"/>
  <c r="O19" i="84"/>
  <c r="N19" i="84"/>
  <c r="M19" i="84"/>
  <c r="L19" i="84"/>
  <c r="AB18" i="84"/>
  <c r="AA18" i="84"/>
  <c r="Z18" i="84"/>
  <c r="Y18" i="84"/>
  <c r="X18" i="84"/>
  <c r="W18" i="84"/>
  <c r="V18" i="84"/>
  <c r="U18" i="84"/>
  <c r="T18" i="84"/>
  <c r="S18" i="84"/>
  <c r="R18" i="84"/>
  <c r="Q18" i="84"/>
  <c r="P18" i="84"/>
  <c r="O18" i="84"/>
  <c r="N18" i="84"/>
  <c r="M18" i="84"/>
  <c r="L18" i="84"/>
  <c r="Y60" i="83"/>
  <c r="U60" i="83"/>
  <c r="Q60" i="83"/>
  <c r="M60" i="83"/>
  <c r="L60" i="83"/>
  <c r="AB47" i="83"/>
  <c r="AA47" i="83"/>
  <c r="Z47" i="83"/>
  <c r="Y47" i="83"/>
  <c r="X47" i="83"/>
  <c r="W47" i="83"/>
  <c r="V47" i="83"/>
  <c r="U47" i="83"/>
  <c r="T47" i="83"/>
  <c r="S47" i="83"/>
  <c r="R47" i="83"/>
  <c r="Q47" i="83"/>
  <c r="P47" i="83"/>
  <c r="O47" i="83"/>
  <c r="N47" i="83"/>
  <c r="M47" i="83"/>
  <c r="L47" i="83"/>
  <c r="AB46" i="83"/>
  <c r="AA46" i="83"/>
  <c r="Z46" i="83"/>
  <c r="Y46" i="83"/>
  <c r="X46" i="83"/>
  <c r="W46" i="83"/>
  <c r="V46" i="83"/>
  <c r="U46" i="83"/>
  <c r="T46" i="83"/>
  <c r="S46" i="83"/>
  <c r="R46" i="83"/>
  <c r="Q46" i="83"/>
  <c r="P46" i="83"/>
  <c r="O46" i="83"/>
  <c r="N46" i="83"/>
  <c r="M46" i="83"/>
  <c r="L46" i="83"/>
  <c r="AB45" i="83"/>
  <c r="AA45" i="83"/>
  <c r="Z45" i="83"/>
  <c r="Y45" i="83"/>
  <c r="X45" i="83"/>
  <c r="W45" i="83"/>
  <c r="V45" i="83"/>
  <c r="U45" i="83"/>
  <c r="T45" i="83"/>
  <c r="S45" i="83"/>
  <c r="R45" i="83"/>
  <c r="Q45" i="83"/>
  <c r="P45" i="83"/>
  <c r="O45" i="83"/>
  <c r="N45" i="83"/>
  <c r="M45" i="83"/>
  <c r="L45" i="83"/>
  <c r="AB44" i="83"/>
  <c r="AA44" i="83"/>
  <c r="Z44" i="83"/>
  <c r="Y44" i="83"/>
  <c r="X44" i="83"/>
  <c r="W44" i="83"/>
  <c r="V44" i="83"/>
  <c r="U44" i="83"/>
  <c r="T44" i="83"/>
  <c r="S44" i="83"/>
  <c r="R44" i="83"/>
  <c r="Q44" i="83"/>
  <c r="P44" i="83"/>
  <c r="O44" i="83"/>
  <c r="N44" i="83"/>
  <c r="M44" i="83"/>
  <c r="L44" i="83"/>
  <c r="AB21" i="83"/>
  <c r="AA21" i="83"/>
  <c r="Z21" i="83"/>
  <c r="Y21" i="83"/>
  <c r="X21" i="83"/>
  <c r="W21" i="83"/>
  <c r="V21" i="83"/>
  <c r="U21" i="83"/>
  <c r="T21" i="83"/>
  <c r="S21" i="83"/>
  <c r="R21" i="83"/>
  <c r="Q21" i="83"/>
  <c r="P21" i="83"/>
  <c r="O21" i="83"/>
  <c r="N21" i="83"/>
  <c r="M21" i="83"/>
  <c r="L21" i="83"/>
  <c r="AB20" i="83"/>
  <c r="AA20" i="83"/>
  <c r="Z20" i="83"/>
  <c r="Y20" i="83"/>
  <c r="X20" i="83"/>
  <c r="W20" i="83"/>
  <c r="V20" i="83"/>
  <c r="U20" i="83"/>
  <c r="T20" i="83"/>
  <c r="S20" i="83"/>
  <c r="R20" i="83"/>
  <c r="Q20" i="83"/>
  <c r="P20" i="83"/>
  <c r="O20" i="83"/>
  <c r="N20" i="83"/>
  <c r="M20" i="83"/>
  <c r="L20" i="83"/>
  <c r="AB19" i="83"/>
  <c r="AA19" i="83"/>
  <c r="Z19" i="83"/>
  <c r="Y19" i="83"/>
  <c r="X19" i="83"/>
  <c r="W19" i="83"/>
  <c r="V19" i="83"/>
  <c r="U19" i="83"/>
  <c r="T19" i="83"/>
  <c r="S19" i="83"/>
  <c r="R19" i="83"/>
  <c r="Q19" i="83"/>
  <c r="P19" i="83"/>
  <c r="O19" i="83"/>
  <c r="N19" i="83"/>
  <c r="M19" i="83"/>
  <c r="L19" i="83"/>
  <c r="AB18" i="83"/>
  <c r="AA18" i="83"/>
  <c r="Z18" i="83"/>
  <c r="Y18" i="83"/>
  <c r="X18" i="83"/>
  <c r="W18" i="83"/>
  <c r="V18" i="83"/>
  <c r="U18" i="83"/>
  <c r="T18" i="83"/>
  <c r="S18" i="83"/>
  <c r="R18" i="83"/>
  <c r="Q18" i="83"/>
  <c r="P18" i="83"/>
  <c r="O18" i="83"/>
  <c r="N18" i="83"/>
  <c r="M18" i="83"/>
  <c r="L18" i="83"/>
  <c r="E6" i="4" l="1"/>
  <c r="AO80" i="83"/>
  <c r="AO72" i="83"/>
  <c r="AO73" i="83"/>
  <c r="AO75" i="83"/>
  <c r="Q60" i="31" l="1"/>
  <c r="M60" i="31"/>
  <c r="L60" i="31"/>
  <c r="U60" i="31"/>
  <c r="Y60" i="31"/>
  <c r="M144" i="73" l="1"/>
  <c r="L144" i="73"/>
  <c r="AO81" i="85" l="1"/>
  <c r="AO79" i="85"/>
  <c r="AO80" i="85"/>
  <c r="AO73" i="85"/>
  <c r="AO72" i="85"/>
  <c r="AO71" i="85"/>
  <c r="AO81" i="84"/>
  <c r="AO80" i="84"/>
  <c r="AO79" i="84"/>
  <c r="AO73" i="84"/>
  <c r="AO72" i="84"/>
  <c r="AO71" i="84"/>
  <c r="AO77" i="85"/>
  <c r="AO76" i="85"/>
  <c r="AO75" i="85"/>
  <c r="AO77" i="84"/>
  <c r="AO76" i="84"/>
  <c r="AO75" i="84"/>
  <c r="E176" i="14" l="1"/>
  <c r="AR109" i="31" l="1"/>
  <c r="E585" i="8"/>
  <c r="E565" i="8"/>
  <c r="E566" i="8"/>
  <c r="E436" i="35"/>
  <c r="E473" i="35" s="1"/>
  <c r="Z57" i="31"/>
  <c r="E448" i="35" l="1"/>
  <c r="E441" i="35"/>
  <c r="E6001" i="14"/>
  <c r="E6000" i="14"/>
  <c r="E6078" i="14"/>
  <c r="E6077" i="14"/>
  <c r="E7074" i="14" l="1"/>
  <c r="E7079" i="14" s="1"/>
  <c r="E6756" i="14"/>
  <c r="E6761" i="14" s="1"/>
  <c r="E416" i="36" l="1"/>
  <c r="E388" i="36"/>
  <c r="E6007" i="14"/>
  <c r="E6006" i="14"/>
  <c r="E6090" i="14"/>
  <c r="E6089" i="14"/>
  <c r="E6084" i="14"/>
  <c r="E6083" i="14"/>
  <c r="E6013" i="14"/>
  <c r="E6012" i="14"/>
  <c r="AG88" i="85" l="1"/>
  <c r="W14" i="83"/>
  <c r="X14" i="83"/>
  <c r="AG84" i="84"/>
  <c r="AG88" i="84"/>
  <c r="AG84" i="85"/>
  <c r="D120" i="23" l="1"/>
  <c r="E120" i="23" l="1"/>
  <c r="AW70" i="31" l="1"/>
  <c r="BA69" i="31"/>
  <c r="AW69" i="31"/>
  <c r="BA70" i="31"/>
  <c r="BA78" i="31"/>
  <c r="AW79" i="31"/>
  <c r="AW73" i="31"/>
  <c r="AW78" i="31"/>
  <c r="BA76" i="31"/>
  <c r="AW77" i="31"/>
  <c r="BA79" i="31"/>
  <c r="BA73" i="31"/>
  <c r="AW76" i="31"/>
  <c r="BA77" i="31"/>
  <c r="F134" i="58" l="1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C281" i="58"/>
  <c r="H276" i="58"/>
  <c r="H275" i="58"/>
  <c r="H274" i="58"/>
  <c r="H273" i="58"/>
  <c r="H272" i="58"/>
  <c r="H271" i="58"/>
  <c r="H270" i="58"/>
  <c r="H269" i="58"/>
  <c r="H268" i="58"/>
  <c r="H267" i="58"/>
  <c r="H266" i="58"/>
  <c r="H265" i="58"/>
  <c r="H264" i="58"/>
  <c r="H263" i="58"/>
  <c r="H262" i="58"/>
  <c r="H261" i="58"/>
  <c r="H260" i="58"/>
  <c r="H259" i="58"/>
  <c r="H258" i="58"/>
  <c r="H257" i="58"/>
  <c r="H256" i="58"/>
  <c r="H255" i="58"/>
  <c r="H254" i="58"/>
  <c r="H253" i="58"/>
  <c r="C229" i="58"/>
  <c r="G273" i="58" s="1"/>
  <c r="C210" i="58"/>
  <c r="H205" i="58"/>
  <c r="H204" i="58"/>
  <c r="H203" i="58"/>
  <c r="H202" i="58"/>
  <c r="H201" i="58"/>
  <c r="H200" i="58"/>
  <c r="H199" i="58"/>
  <c r="H198" i="58"/>
  <c r="H197" i="58"/>
  <c r="H196" i="58"/>
  <c r="H195" i="58"/>
  <c r="H194" i="58"/>
  <c r="H193" i="58"/>
  <c r="H192" i="58"/>
  <c r="H191" i="58"/>
  <c r="H190" i="58"/>
  <c r="H189" i="58"/>
  <c r="H188" i="58"/>
  <c r="H187" i="58"/>
  <c r="H186" i="58"/>
  <c r="H185" i="58"/>
  <c r="H184" i="58"/>
  <c r="H183" i="58"/>
  <c r="H182" i="58"/>
  <c r="C158" i="58"/>
  <c r="G192" i="58" s="1"/>
  <c r="C139" i="58"/>
  <c r="H134" i="58"/>
  <c r="H133" i="58"/>
  <c r="H132" i="58"/>
  <c r="H131" i="58"/>
  <c r="H130" i="58"/>
  <c r="H129" i="58"/>
  <c r="H128" i="58"/>
  <c r="H127" i="58"/>
  <c r="H126" i="58"/>
  <c r="H125" i="58"/>
  <c r="H124" i="58"/>
  <c r="H123" i="58"/>
  <c r="H122" i="58"/>
  <c r="H121" i="58"/>
  <c r="H120" i="58"/>
  <c r="H119" i="58"/>
  <c r="H118" i="58"/>
  <c r="H117" i="58"/>
  <c r="H116" i="58"/>
  <c r="H115" i="58"/>
  <c r="H114" i="58"/>
  <c r="H113" i="58"/>
  <c r="H112" i="58"/>
  <c r="H111" i="58"/>
  <c r="C87" i="58"/>
  <c r="G132" i="58" s="1"/>
  <c r="G244" i="58" l="1"/>
  <c r="G263" i="58"/>
  <c r="G124" i="58"/>
  <c r="G99" i="58"/>
  <c r="G237" i="58"/>
  <c r="G259" i="58"/>
  <c r="G275" i="58"/>
  <c r="G176" i="58"/>
  <c r="G196" i="58"/>
  <c r="G96" i="58"/>
  <c r="G120" i="58"/>
  <c r="G200" i="58"/>
  <c r="G247" i="58"/>
  <c r="G267" i="58"/>
  <c r="G166" i="58"/>
  <c r="G188" i="58"/>
  <c r="G204" i="58"/>
  <c r="G106" i="58"/>
  <c r="G112" i="58"/>
  <c r="G128" i="58"/>
  <c r="G179" i="58"/>
  <c r="G184" i="58"/>
  <c r="G250" i="58"/>
  <c r="G255" i="58"/>
  <c r="G271" i="58"/>
  <c r="G173" i="58"/>
  <c r="G109" i="58"/>
  <c r="G116" i="58"/>
  <c r="G133" i="58"/>
  <c r="G131" i="58"/>
  <c r="G129" i="58"/>
  <c r="G127" i="58"/>
  <c r="G125" i="58"/>
  <c r="G123" i="58"/>
  <c r="G121" i="58"/>
  <c r="G119" i="58"/>
  <c r="G117" i="58"/>
  <c r="G115" i="58"/>
  <c r="G113" i="58"/>
  <c r="G111" i="58"/>
  <c r="G108" i="58"/>
  <c r="G105" i="58"/>
  <c r="G102" i="58"/>
  <c r="G95" i="58"/>
  <c r="G107" i="58"/>
  <c r="G104" i="58"/>
  <c r="G101" i="58"/>
  <c r="G98" i="58"/>
  <c r="G178" i="58"/>
  <c r="G175" i="58"/>
  <c r="G172" i="58"/>
  <c r="G169" i="58"/>
  <c r="G205" i="58"/>
  <c r="G203" i="58"/>
  <c r="G201" i="58"/>
  <c r="G199" i="58"/>
  <c r="G197" i="58"/>
  <c r="G195" i="58"/>
  <c r="G193" i="58"/>
  <c r="G191" i="58"/>
  <c r="G189" i="58"/>
  <c r="G187" i="58"/>
  <c r="G185" i="58"/>
  <c r="G183" i="58"/>
  <c r="G181" i="58"/>
  <c r="G174" i="58"/>
  <c r="G171" i="58"/>
  <c r="G168" i="58"/>
  <c r="G238" i="58"/>
  <c r="G251" i="58"/>
  <c r="G257" i="58"/>
  <c r="G265" i="58"/>
  <c r="G167" i="58"/>
  <c r="G180" i="58"/>
  <c r="G186" i="58"/>
  <c r="G194" i="58"/>
  <c r="G202" i="58"/>
  <c r="G97" i="58"/>
  <c r="G103" i="58"/>
  <c r="G110" i="58"/>
  <c r="G118" i="58"/>
  <c r="G126" i="58"/>
  <c r="G134" i="58"/>
  <c r="G249" i="58"/>
  <c r="G246" i="58"/>
  <c r="G243" i="58"/>
  <c r="G240" i="58"/>
  <c r="G276" i="58"/>
  <c r="G274" i="58"/>
  <c r="G272" i="58"/>
  <c r="G270" i="58"/>
  <c r="G268" i="58"/>
  <c r="G266" i="58"/>
  <c r="G264" i="58"/>
  <c r="G262" i="58"/>
  <c r="G260" i="58"/>
  <c r="G258" i="58"/>
  <c r="G256" i="58"/>
  <c r="G254" i="58"/>
  <c r="G252" i="58"/>
  <c r="G245" i="58"/>
  <c r="G242" i="58"/>
  <c r="G239" i="58"/>
  <c r="G236" i="58"/>
  <c r="G241" i="58"/>
  <c r="G248" i="58"/>
  <c r="G253" i="58"/>
  <c r="G261" i="58"/>
  <c r="G269" i="58"/>
  <c r="G165" i="58"/>
  <c r="G170" i="58"/>
  <c r="G177" i="58"/>
  <c r="G182" i="58"/>
  <c r="G190" i="58"/>
  <c r="G198" i="58"/>
  <c r="G94" i="58"/>
  <c r="G100" i="58"/>
  <c r="G114" i="58"/>
  <c r="G122" i="58"/>
  <c r="G130" i="58"/>
  <c r="F231" i="30" l="1"/>
  <c r="F232" i="30"/>
  <c r="F233" i="30"/>
  <c r="F234" i="30"/>
  <c r="F235" i="30"/>
  <c r="F236" i="30"/>
  <c r="F237" i="30"/>
  <c r="F238" i="30"/>
  <c r="F239" i="30"/>
  <c r="E142" i="30"/>
  <c r="E143" i="30"/>
  <c r="E144" i="30"/>
  <c r="E235" i="30" s="1"/>
  <c r="Y57" i="31" l="1"/>
  <c r="E233" i="30"/>
  <c r="E213" i="30"/>
  <c r="E198" i="30"/>
  <c r="E183" i="30"/>
  <c r="E157" i="30"/>
  <c r="E238" i="30"/>
  <c r="E234" i="30"/>
  <c r="E224" i="30"/>
  <c r="E197" i="30"/>
  <c r="E171" i="30"/>
  <c r="E152" i="30"/>
  <c r="E225" i="30"/>
  <c r="E209" i="30"/>
  <c r="E194" i="30"/>
  <c r="E168" i="30"/>
  <c r="E153" i="30"/>
  <c r="E212" i="30"/>
  <c r="E208" i="30"/>
  <c r="E182" i="30"/>
  <c r="E167" i="30"/>
  <c r="E156" i="30"/>
  <c r="E237" i="30"/>
  <c r="E231" i="30"/>
  <c r="E227" i="30"/>
  <c r="E223" i="30"/>
  <c r="E211" i="30"/>
  <c r="E196" i="30"/>
  <c r="E185" i="30"/>
  <c r="E181" i="30"/>
  <c r="E170" i="30"/>
  <c r="E166" i="30"/>
  <c r="E155" i="30"/>
  <c r="E236" i="30"/>
  <c r="E232" i="30"/>
  <c r="E226" i="30"/>
  <c r="E222" i="30"/>
  <c r="E210" i="30"/>
  <c r="E199" i="30"/>
  <c r="E195" i="30"/>
  <c r="E184" i="30"/>
  <c r="E180" i="30"/>
  <c r="E169" i="30"/>
  <c r="E154" i="30"/>
  <c r="E239" i="30"/>
  <c r="F227" i="30"/>
  <c r="F226" i="30"/>
  <c r="F225" i="30"/>
  <c r="F224" i="30"/>
  <c r="F223" i="30"/>
  <c r="F222" i="30"/>
  <c r="AB47" i="31"/>
  <c r="AA47" i="31"/>
  <c r="Z47" i="31"/>
  <c r="Y47" i="31"/>
  <c r="T47" i="31"/>
  <c r="S47" i="31"/>
  <c r="R47" i="31"/>
  <c r="Q47" i="31"/>
  <c r="P47" i="31"/>
  <c r="O47" i="31"/>
  <c r="N47" i="31"/>
  <c r="M47" i="31"/>
  <c r="X47" i="31"/>
  <c r="W47" i="31"/>
  <c r="V47" i="31"/>
  <c r="U47" i="31"/>
  <c r="L47" i="31"/>
  <c r="AB46" i="31"/>
  <c r="AA46" i="31"/>
  <c r="Z46" i="31"/>
  <c r="Y46" i="31"/>
  <c r="T46" i="31"/>
  <c r="S46" i="31"/>
  <c r="R46" i="31"/>
  <c r="Q46" i="31"/>
  <c r="P46" i="31"/>
  <c r="O46" i="31"/>
  <c r="N46" i="31"/>
  <c r="M46" i="31"/>
  <c r="X46" i="31"/>
  <c r="W46" i="31"/>
  <c r="V46" i="31"/>
  <c r="U46" i="31"/>
  <c r="L46" i="31"/>
  <c r="AB45" i="31"/>
  <c r="AA45" i="31"/>
  <c r="Z45" i="31"/>
  <c r="Y45" i="31"/>
  <c r="T45" i="31"/>
  <c r="S45" i="31"/>
  <c r="R45" i="31"/>
  <c r="Q45" i="31"/>
  <c r="P45" i="31"/>
  <c r="O45" i="31"/>
  <c r="N45" i="31"/>
  <c r="M45" i="31"/>
  <c r="X45" i="31"/>
  <c r="W45" i="31"/>
  <c r="V45" i="31"/>
  <c r="U45" i="31"/>
  <c r="L45" i="31"/>
  <c r="AB44" i="31"/>
  <c r="AA44" i="31"/>
  <c r="Z44" i="31"/>
  <c r="Y44" i="31"/>
  <c r="T44" i="31"/>
  <c r="S44" i="31"/>
  <c r="R44" i="31"/>
  <c r="Q44" i="31"/>
  <c r="P44" i="31"/>
  <c r="O44" i="31"/>
  <c r="N44" i="31"/>
  <c r="M44" i="31"/>
  <c r="X44" i="31"/>
  <c r="W44" i="31"/>
  <c r="V44" i="31"/>
  <c r="U44" i="31"/>
  <c r="L44" i="31"/>
  <c r="U18" i="31"/>
  <c r="V18" i="31"/>
  <c r="W18" i="31"/>
  <c r="X18" i="31"/>
  <c r="M18" i="31"/>
  <c r="N18" i="31"/>
  <c r="O18" i="31"/>
  <c r="P18" i="31"/>
  <c r="Q18" i="31"/>
  <c r="R18" i="31"/>
  <c r="S18" i="31"/>
  <c r="T18" i="31"/>
  <c r="Y18" i="31"/>
  <c r="Z18" i="31"/>
  <c r="AA18" i="31"/>
  <c r="AB18" i="31"/>
  <c r="U19" i="31"/>
  <c r="V19" i="31"/>
  <c r="W19" i="31"/>
  <c r="X19" i="31"/>
  <c r="M19" i="31"/>
  <c r="N19" i="31"/>
  <c r="O19" i="31"/>
  <c r="P19" i="31"/>
  <c r="Q19" i="31"/>
  <c r="R19" i="31"/>
  <c r="S19" i="31"/>
  <c r="T19" i="31"/>
  <c r="Y19" i="31"/>
  <c r="Z19" i="31"/>
  <c r="AA19" i="31"/>
  <c r="AB19" i="31"/>
  <c r="U20" i="31"/>
  <c r="V20" i="31"/>
  <c r="W20" i="31"/>
  <c r="X20" i="31"/>
  <c r="M20" i="31"/>
  <c r="N20" i="31"/>
  <c r="O20" i="31"/>
  <c r="P20" i="31"/>
  <c r="Q20" i="31"/>
  <c r="R20" i="31"/>
  <c r="S20" i="31"/>
  <c r="T20" i="31"/>
  <c r="Y20" i="31"/>
  <c r="Z20" i="31"/>
  <c r="AA20" i="31"/>
  <c r="AB20" i="31"/>
  <c r="U21" i="31"/>
  <c r="V21" i="31"/>
  <c r="W21" i="31"/>
  <c r="X21" i="31"/>
  <c r="M21" i="31"/>
  <c r="N21" i="31"/>
  <c r="O21" i="31"/>
  <c r="P21" i="31"/>
  <c r="Q21" i="31"/>
  <c r="R21" i="31"/>
  <c r="S21" i="31"/>
  <c r="T21" i="31"/>
  <c r="Y21" i="31"/>
  <c r="Z21" i="31"/>
  <c r="AA21" i="31"/>
  <c r="AB21" i="31"/>
  <c r="L19" i="31"/>
  <c r="L20" i="31"/>
  <c r="L21" i="31"/>
  <c r="L18" i="31"/>
  <c r="E7700" i="14"/>
  <c r="E7696" i="14"/>
  <c r="E7692" i="14"/>
  <c r="H40" i="58"/>
  <c r="H44" i="58"/>
  <c r="C68" i="58"/>
  <c r="H63" i="58"/>
  <c r="H62" i="58"/>
  <c r="H61" i="58"/>
  <c r="H60" i="58"/>
  <c r="H59" i="58"/>
  <c r="H58" i="58"/>
  <c r="H57" i="58"/>
  <c r="H56" i="58"/>
  <c r="H55" i="58"/>
  <c r="H54" i="58"/>
  <c r="H53" i="58"/>
  <c r="H52" i="58"/>
  <c r="H51" i="58"/>
  <c r="H50" i="58"/>
  <c r="H48" i="58"/>
  <c r="H47" i="58"/>
  <c r="H46" i="58"/>
  <c r="H43" i="58"/>
  <c r="H42" i="58"/>
  <c r="C16" i="58"/>
  <c r="E5372" i="14"/>
  <c r="E5362" i="14"/>
  <c r="E5352" i="14"/>
  <c r="E5375" i="14"/>
  <c r="E5365" i="14"/>
  <c r="E5355" i="14"/>
  <c r="E5345" i="14"/>
  <c r="E5642" i="14"/>
  <c r="E5632" i="14"/>
  <c r="E5622" i="14"/>
  <c r="E5091" i="14"/>
  <c r="E5098" i="14"/>
  <c r="E5105" i="14"/>
  <c r="E5452" i="14" l="1"/>
  <c r="E5448" i="14"/>
  <c r="E5505" i="14"/>
  <c r="E5509" i="14"/>
  <c r="E5566" i="14"/>
  <c r="E5562" i="14"/>
  <c r="G63" i="58"/>
  <c r="G61" i="58"/>
  <c r="G59" i="58"/>
  <c r="G57" i="58"/>
  <c r="G55" i="58"/>
  <c r="G53" i="58"/>
  <c r="G49" i="58"/>
  <c r="G47" i="58"/>
  <c r="G43" i="58"/>
  <c r="G39" i="58"/>
  <c r="G35" i="58"/>
  <c r="G31" i="58"/>
  <c r="G27" i="58"/>
  <c r="G23" i="58"/>
  <c r="G50" i="58"/>
  <c r="G46" i="58"/>
  <c r="G42" i="58"/>
  <c r="G36" i="58"/>
  <c r="G32" i="58"/>
  <c r="G28" i="58"/>
  <c r="G62" i="58"/>
  <c r="G60" i="58"/>
  <c r="G58" i="58"/>
  <c r="G56" i="58"/>
  <c r="G54" i="58"/>
  <c r="G52" i="58"/>
  <c r="G48" i="58"/>
  <c r="G44" i="58"/>
  <c r="G40" i="58"/>
  <c r="G38" i="58"/>
  <c r="G34" i="58"/>
  <c r="G30" i="58"/>
  <c r="G26" i="58"/>
  <c r="G24" i="58"/>
  <c r="G51" i="58"/>
  <c r="G45" i="58"/>
  <c r="G41" i="58"/>
  <c r="G37" i="58"/>
  <c r="G33" i="58"/>
  <c r="G29" i="58"/>
  <c r="G25" i="58"/>
  <c r="E5085" i="14"/>
  <c r="K275" i="58"/>
  <c r="K273" i="58"/>
  <c r="K271" i="58"/>
  <c r="K269" i="58"/>
  <c r="K267" i="58"/>
  <c r="K265" i="58"/>
  <c r="K263" i="58"/>
  <c r="K261" i="58"/>
  <c r="K259" i="58"/>
  <c r="K257" i="58"/>
  <c r="K255" i="58"/>
  <c r="K253" i="58"/>
  <c r="K270" i="58"/>
  <c r="K268" i="58"/>
  <c r="K264" i="58"/>
  <c r="K262" i="58"/>
  <c r="K260" i="58"/>
  <c r="K258" i="58"/>
  <c r="K274" i="58"/>
  <c r="K272" i="58"/>
  <c r="K276" i="58"/>
  <c r="K266" i="58"/>
  <c r="K256" i="58"/>
  <c r="K254" i="58"/>
  <c r="K204" i="58"/>
  <c r="K202" i="58"/>
  <c r="K200" i="58"/>
  <c r="K198" i="58"/>
  <c r="K196" i="58"/>
  <c r="K194" i="58"/>
  <c r="K192" i="58"/>
  <c r="K190" i="58"/>
  <c r="K188" i="58"/>
  <c r="K186" i="58"/>
  <c r="K184" i="58"/>
  <c r="K182" i="58"/>
  <c r="K132" i="58"/>
  <c r="K130" i="58"/>
  <c r="K124" i="58"/>
  <c r="K122" i="58"/>
  <c r="K114" i="58"/>
  <c r="K205" i="58"/>
  <c r="K203" i="58"/>
  <c r="K201" i="58"/>
  <c r="K199" i="58"/>
  <c r="K197" i="58"/>
  <c r="K195" i="58"/>
  <c r="K193" i="58"/>
  <c r="K191" i="58"/>
  <c r="K189" i="58"/>
  <c r="K187" i="58"/>
  <c r="K185" i="58"/>
  <c r="K183" i="58"/>
  <c r="K129" i="58"/>
  <c r="K121" i="58"/>
  <c r="K113" i="58"/>
  <c r="K133" i="58"/>
  <c r="K131" i="58"/>
  <c r="K127" i="58"/>
  <c r="K125" i="58"/>
  <c r="K123" i="58"/>
  <c r="K119" i="58"/>
  <c r="K117" i="58"/>
  <c r="K115" i="58"/>
  <c r="K111" i="58"/>
  <c r="K134" i="58"/>
  <c r="K128" i="58"/>
  <c r="K126" i="58"/>
  <c r="K120" i="58"/>
  <c r="K118" i="58"/>
  <c r="K116" i="58"/>
  <c r="K112" i="58"/>
  <c r="H45" i="58"/>
  <c r="H49" i="58"/>
  <c r="H41" i="58"/>
  <c r="E7718" i="14" l="1"/>
  <c r="E7713" i="14"/>
  <c r="E7708" i="14"/>
  <c r="AC209" i="73" l="1"/>
  <c r="M209" i="73"/>
  <c r="Y209" i="73"/>
  <c r="I209" i="73"/>
  <c r="Q209" i="73"/>
  <c r="U209" i="73"/>
  <c r="E209" i="73"/>
  <c r="Q222" i="73"/>
  <c r="U222" i="73"/>
  <c r="AC222" i="73"/>
  <c r="M222" i="73"/>
  <c r="Y222" i="73"/>
  <c r="I222" i="73"/>
  <c r="E222" i="73"/>
  <c r="U257" i="73"/>
  <c r="E257" i="73"/>
  <c r="Q257" i="73"/>
  <c r="I257" i="73"/>
  <c r="AC257" i="73"/>
  <c r="M257" i="73"/>
  <c r="Y257" i="73"/>
  <c r="Q210" i="73"/>
  <c r="U210" i="73"/>
  <c r="AC210" i="73"/>
  <c r="M210" i="73"/>
  <c r="Y210" i="73"/>
  <c r="I210" i="73"/>
  <c r="E210" i="73"/>
  <c r="Q259" i="73"/>
  <c r="AC259" i="73"/>
  <c r="M259" i="73"/>
  <c r="U259" i="73"/>
  <c r="Y259" i="73"/>
  <c r="I259" i="73"/>
  <c r="E259" i="73"/>
  <c r="Y205" i="73"/>
  <c r="I205" i="73"/>
  <c r="M205" i="73"/>
  <c r="U205" i="73"/>
  <c r="E205" i="73"/>
  <c r="Q205" i="73"/>
  <c r="AC205" i="73"/>
  <c r="U223" i="73"/>
  <c r="E223" i="73"/>
  <c r="Q223" i="73"/>
  <c r="I223" i="73"/>
  <c r="AC223" i="73"/>
  <c r="M223" i="73"/>
  <c r="Y223" i="73"/>
  <c r="M200" i="73"/>
  <c r="E200" i="73"/>
  <c r="Q200" i="73"/>
  <c r="Y227" i="73"/>
  <c r="I227" i="73"/>
  <c r="U227" i="73"/>
  <c r="E227" i="73"/>
  <c r="M227" i="73"/>
  <c r="Q227" i="73"/>
  <c r="AC227" i="73"/>
  <c r="U204" i="73"/>
  <c r="E204" i="73"/>
  <c r="Q204" i="73"/>
  <c r="Y204" i="73"/>
  <c r="AC204" i="73"/>
  <c r="M204" i="73"/>
  <c r="E217" i="73"/>
  <c r="I217" i="73"/>
  <c r="Q217" i="73"/>
  <c r="M217" i="73"/>
  <c r="Q225" i="73"/>
  <c r="E225" i="73"/>
  <c r="AC225" i="73"/>
  <c r="M225" i="73"/>
  <c r="U225" i="73"/>
  <c r="Y225" i="73"/>
  <c r="U260" i="73"/>
  <c r="E260" i="73"/>
  <c r="Q260" i="73"/>
  <c r="Y260" i="73"/>
  <c r="AC260" i="73"/>
  <c r="M260" i="73"/>
  <c r="I260" i="73"/>
  <c r="AC206" i="73"/>
  <c r="M206" i="73"/>
  <c r="Y206" i="73"/>
  <c r="I206" i="73"/>
  <c r="Q206" i="73"/>
  <c r="U206" i="73"/>
  <c r="E206" i="73"/>
  <c r="AC255" i="73"/>
  <c r="M255" i="73"/>
  <c r="Y255" i="73"/>
  <c r="I255" i="73"/>
  <c r="U255" i="73"/>
  <c r="E255" i="73"/>
  <c r="Q255" i="73"/>
  <c r="E219" i="73"/>
  <c r="Q219" i="73"/>
  <c r="M219" i="73"/>
  <c r="I219" i="73"/>
  <c r="Y208" i="73"/>
  <c r="AC208" i="73"/>
  <c r="U208" i="73"/>
  <c r="E208" i="73"/>
  <c r="Q208" i="73"/>
  <c r="M208" i="73"/>
  <c r="U226" i="73"/>
  <c r="E226" i="73"/>
  <c r="Y226" i="73"/>
  <c r="Q226" i="73"/>
  <c r="AC226" i="73"/>
  <c r="M226" i="73"/>
  <c r="I226" i="73"/>
  <c r="Y261" i="73"/>
  <c r="I261" i="73"/>
  <c r="U261" i="73"/>
  <c r="E261" i="73"/>
  <c r="Q261" i="73"/>
  <c r="AC261" i="73"/>
  <c r="M261" i="73"/>
  <c r="AC221" i="73"/>
  <c r="M221" i="73"/>
  <c r="Y221" i="73"/>
  <c r="Q221" i="73"/>
  <c r="U221" i="73"/>
  <c r="E221" i="73"/>
  <c r="Q256" i="73"/>
  <c r="AC256" i="73"/>
  <c r="M256" i="73"/>
  <c r="E256" i="73"/>
  <c r="Y256" i="73"/>
  <c r="I256" i="73"/>
  <c r="U256" i="73"/>
  <c r="M202" i="73"/>
  <c r="Q202" i="73"/>
  <c r="I202" i="73"/>
  <c r="E202" i="73"/>
  <c r="I253" i="73"/>
  <c r="E253" i="73"/>
  <c r="Q253" i="73"/>
  <c r="M253" i="73"/>
  <c r="I252" i="73"/>
  <c r="Q252" i="73"/>
  <c r="E252" i="73"/>
  <c r="M252" i="73"/>
  <c r="E251" i="73"/>
  <c r="Q251" i="73"/>
  <c r="M251" i="73"/>
  <c r="I218" i="73"/>
  <c r="Q218" i="73"/>
  <c r="E218" i="73"/>
  <c r="M218" i="73"/>
  <c r="Q201" i="73"/>
  <c r="M201" i="73"/>
  <c r="I201" i="73"/>
  <c r="E201" i="73"/>
  <c r="E7581" i="14"/>
  <c r="E7580" i="14"/>
  <c r="E7537" i="14"/>
  <c r="E7538" i="14"/>
  <c r="E7568" i="14"/>
  <c r="E7569" i="14"/>
  <c r="E7526" i="14"/>
  <c r="E7525" i="14"/>
  <c r="E7482" i="14"/>
  <c r="E7483" i="14"/>
  <c r="E7513" i="14"/>
  <c r="E7514" i="14"/>
  <c r="E7471" i="14"/>
  <c r="E7470" i="14"/>
  <c r="E7592" i="14"/>
  <c r="E7593" i="14"/>
  <c r="E7458" i="14"/>
  <c r="E7459" i="14"/>
  <c r="E5334" i="14"/>
  <c r="E5277" i="14"/>
  <c r="E5220" i="14"/>
  <c r="E5234" i="14"/>
  <c r="E5177" i="14"/>
  <c r="E5291" i="14"/>
  <c r="E1783" i="14"/>
  <c r="E1767" i="14"/>
  <c r="E1751" i="14"/>
  <c r="E1773" i="14"/>
  <c r="E1778" i="14"/>
  <c r="E1780" i="14" s="1"/>
  <c r="AS80" i="83" s="1"/>
  <c r="E1757" i="14"/>
  <c r="E1762" i="14"/>
  <c r="E4489" i="14"/>
  <c r="E5588" i="14" s="1"/>
  <c r="E4557" i="14"/>
  <c r="E5605" i="14" s="1"/>
  <c r="E4438" i="14"/>
  <c r="E5575" i="14" s="1"/>
  <c r="E4506" i="14"/>
  <c r="E5592" i="14" s="1"/>
  <c r="E4455" i="14"/>
  <c r="E5579" i="14" s="1"/>
  <c r="E4540" i="14"/>
  <c r="E5601" i="14" s="1"/>
  <c r="E4283" i="14"/>
  <c r="E5531" i="14" s="1"/>
  <c r="E4351" i="14"/>
  <c r="E5548" i="14" s="1"/>
  <c r="E4232" i="14"/>
  <c r="E4300" i="14"/>
  <c r="E5535" i="14" s="1"/>
  <c r="E4249" i="14"/>
  <c r="E5522" i="14" s="1"/>
  <c r="E4317" i="14"/>
  <c r="E5540" i="14" s="1"/>
  <c r="E4334" i="14"/>
  <c r="E5544" i="14" s="1"/>
  <c r="E4077" i="14"/>
  <c r="E5474" i="14" s="1"/>
  <c r="E4145" i="14"/>
  <c r="E5491" i="14" s="1"/>
  <c r="E4026" i="14"/>
  <c r="E5461" i="14" s="1"/>
  <c r="E4094" i="14"/>
  <c r="E5478" i="14" s="1"/>
  <c r="E4043" i="14"/>
  <c r="E5465" i="14" s="1"/>
  <c r="E4111" i="14"/>
  <c r="E5483" i="14" s="1"/>
  <c r="E4128" i="14"/>
  <c r="E5487" i="14" s="1"/>
  <c r="E4523" i="14"/>
  <c r="E4421" i="14"/>
  <c r="E4472" i="14"/>
  <c r="E4266" i="14"/>
  <c r="E4215" i="14"/>
  <c r="E4060" i="14"/>
  <c r="E4009" i="14"/>
  <c r="E7487" i="14" l="1"/>
  <c r="E7542" i="14"/>
  <c r="E7652" i="14" s="1"/>
  <c r="E7488" i="14"/>
  <c r="E7598" i="14"/>
  <c r="E7597" i="14"/>
  <c r="E7653" i="14" s="1"/>
  <c r="E7543" i="14"/>
  <c r="I251" i="73"/>
  <c r="I221" i="73"/>
  <c r="I208" i="73"/>
  <c r="I204" i="73"/>
  <c r="I225" i="73"/>
  <c r="I200" i="73"/>
  <c r="E4107" i="14"/>
  <c r="E4096" i="14"/>
  <c r="E4105" i="14"/>
  <c r="E4103" i="14"/>
  <c r="E4101" i="14"/>
  <c r="E4095" i="14"/>
  <c r="E4154" i="14"/>
  <c r="E4152" i="14"/>
  <c r="E4147" i="14"/>
  <c r="E4146" i="14"/>
  <c r="E4158" i="14"/>
  <c r="E4156" i="14"/>
  <c r="E4313" i="14"/>
  <c r="E4302" i="14"/>
  <c r="E4301" i="14"/>
  <c r="E4311" i="14"/>
  <c r="E4309" i="14"/>
  <c r="E4307" i="14"/>
  <c r="E4292" i="14"/>
  <c r="E4290" i="14"/>
  <c r="E4285" i="14"/>
  <c r="E4284" i="14"/>
  <c r="E4296" i="14"/>
  <c r="E4294" i="14"/>
  <c r="E4517" i="14"/>
  <c r="E4507" i="14"/>
  <c r="E4515" i="14"/>
  <c r="E4519" i="14"/>
  <c r="E4508" i="14"/>
  <c r="E4513" i="14"/>
  <c r="E4451" i="14"/>
  <c r="E4440" i="14"/>
  <c r="E4439" i="14"/>
  <c r="E4447" i="14"/>
  <c r="E4445" i="14"/>
  <c r="E4449" i="14"/>
  <c r="E4120" i="14"/>
  <c r="E4118" i="14"/>
  <c r="E4113" i="14"/>
  <c r="E4112" i="14"/>
  <c r="E4124" i="14"/>
  <c r="E4122" i="14"/>
  <c r="E4052" i="14"/>
  <c r="E4050" i="14"/>
  <c r="E4054" i="14"/>
  <c r="E4056" i="14"/>
  <c r="E4045" i="14"/>
  <c r="E4044" i="14"/>
  <c r="E4037" i="14"/>
  <c r="E4027" i="14"/>
  <c r="E4035" i="14"/>
  <c r="E4033" i="14"/>
  <c r="E4028" i="14"/>
  <c r="E4039" i="14"/>
  <c r="E4326" i="14"/>
  <c r="E4330" i="14"/>
  <c r="E4328" i="14"/>
  <c r="E4324" i="14"/>
  <c r="E4319" i="14"/>
  <c r="E4318" i="14"/>
  <c r="E4258" i="14"/>
  <c r="E4256" i="14"/>
  <c r="E4251" i="14"/>
  <c r="E4250" i="14"/>
  <c r="E4262" i="14"/>
  <c r="E4260" i="14"/>
  <c r="E4464" i="14"/>
  <c r="E4468" i="14"/>
  <c r="E4466" i="14"/>
  <c r="E4462" i="14"/>
  <c r="E4457" i="14"/>
  <c r="E4456" i="14"/>
  <c r="E5092" i="14"/>
  <c r="E5106" i="14"/>
  <c r="E4551" i="14"/>
  <c r="E4541" i="14"/>
  <c r="E4549" i="14"/>
  <c r="E4553" i="14"/>
  <c r="E4542" i="14"/>
  <c r="E4547" i="14"/>
  <c r="E1785" i="14"/>
  <c r="AS81" i="83" s="1"/>
  <c r="E4141" i="14"/>
  <c r="E4130" i="14"/>
  <c r="E4139" i="14"/>
  <c r="E4137" i="14"/>
  <c r="E4135" i="14"/>
  <c r="E4129" i="14"/>
  <c r="E4086" i="14"/>
  <c r="E4090" i="14"/>
  <c r="E4088" i="14"/>
  <c r="E4079" i="14"/>
  <c r="E4078" i="14"/>
  <c r="E4084" i="14"/>
  <c r="E4347" i="14"/>
  <c r="E4336" i="14"/>
  <c r="E4335" i="14"/>
  <c r="E4345" i="14"/>
  <c r="E4343" i="14"/>
  <c r="E4341" i="14"/>
  <c r="E4360" i="14"/>
  <c r="E4364" i="14"/>
  <c r="E4362" i="14"/>
  <c r="E4353" i="14"/>
  <c r="E4358" i="14"/>
  <c r="E4352" i="14"/>
  <c r="E4564" i="14"/>
  <c r="E4570" i="14"/>
  <c r="E4559" i="14"/>
  <c r="E4566" i="14"/>
  <c r="E4558" i="14"/>
  <c r="E4568" i="14"/>
  <c r="E4496" i="14"/>
  <c r="E4502" i="14"/>
  <c r="E4491" i="14"/>
  <c r="E4498" i="14"/>
  <c r="E4500" i="14"/>
  <c r="E4490" i="14"/>
  <c r="E1775" i="14"/>
  <c r="E1753" i="14"/>
  <c r="AS73" i="83" s="1"/>
  <c r="E1769" i="14"/>
  <c r="AS77" i="83" s="1"/>
  <c r="E5099" i="14"/>
  <c r="AS72" i="83"/>
  <c r="E1764" i="14"/>
  <c r="AS76" i="83" s="1"/>
  <c r="E1759" i="14"/>
  <c r="E7651" i="14" l="1"/>
  <c r="M150" i="73"/>
  <c r="AS75" i="83"/>
  <c r="AS71" i="83"/>
  <c r="AS79" i="83"/>
  <c r="E36" i="38" l="1"/>
  <c r="E5034" i="14" l="1"/>
  <c r="AG40" i="31" s="1"/>
  <c r="E18" i="39"/>
  <c r="E7654" i="14" l="1"/>
  <c r="E1430" i="36" l="1"/>
  <c r="E1407" i="36"/>
  <c r="E1401" i="36"/>
  <c r="E1395" i="36"/>
  <c r="E144" i="14" l="1"/>
  <c r="E130" i="14"/>
  <c r="E106" i="14"/>
  <c r="E100" i="14"/>
  <c r="E99" i="14"/>
  <c r="E75" i="14"/>
  <c r="E68" i="14"/>
  <c r="E1194" i="8" l="1"/>
  <c r="Z65" i="85" s="1"/>
  <c r="E1192" i="8"/>
  <c r="E1191" i="8"/>
  <c r="E684" i="8"/>
  <c r="E683" i="8"/>
  <c r="E685" i="8"/>
  <c r="E913" i="8"/>
  <c r="R65" i="84" s="1"/>
  <c r="E911" i="8"/>
  <c r="E910" i="8"/>
  <c r="E721" i="8"/>
  <c r="E722" i="8"/>
  <c r="E723" i="8"/>
  <c r="E1080" i="8"/>
  <c r="E1079" i="8"/>
  <c r="E1082" i="8"/>
  <c r="N65" i="85" s="1"/>
  <c r="E855" i="8"/>
  <c r="E854" i="8"/>
  <c r="E857" i="8"/>
  <c r="N65" i="84" s="1"/>
  <c r="E873" i="8"/>
  <c r="E872" i="8"/>
  <c r="E875" i="8"/>
  <c r="O65" i="84" s="1"/>
  <c r="E6034" i="14"/>
  <c r="E6022" i="14"/>
  <c r="E6093" i="14"/>
  <c r="E6016" i="14"/>
  <c r="E6129" i="14"/>
  <c r="J96" i="58"/>
  <c r="J95" i="58"/>
  <c r="J171" i="58"/>
  <c r="J170" i="58"/>
  <c r="J99" i="58"/>
  <c r="J100" i="58"/>
  <c r="J166" i="58"/>
  <c r="J167" i="58"/>
  <c r="J168" i="58"/>
  <c r="J237" i="58"/>
  <c r="J238" i="58"/>
  <c r="J250" i="58"/>
  <c r="J249" i="58"/>
  <c r="E180" i="8"/>
  <c r="E155" i="8"/>
  <c r="E148" i="8"/>
  <c r="E210" i="8"/>
  <c r="E224" i="8"/>
  <c r="E186" i="8"/>
  <c r="E179" i="8"/>
  <c r="E5704" i="14"/>
  <c r="E5625" i="14"/>
  <c r="E5635" i="14"/>
  <c r="E5645" i="14"/>
  <c r="E5615" i="14"/>
  <c r="N65" i="83" l="1"/>
  <c r="R65" i="83"/>
  <c r="E6019" i="14"/>
  <c r="E6018" i="14"/>
  <c r="E6132" i="14"/>
  <c r="E7311" i="14" s="1"/>
  <c r="E7316" i="14" s="1"/>
  <c r="E6131" i="14"/>
  <c r="E6025" i="14"/>
  <c r="E6861" i="14" s="1"/>
  <c r="E6866" i="14" s="1"/>
  <c r="E6024" i="14"/>
  <c r="E6037" i="14"/>
  <c r="E6914" i="14" s="1"/>
  <c r="E6919" i="14" s="1"/>
  <c r="E6036" i="14"/>
  <c r="E6096" i="14"/>
  <c r="E6095" i="14"/>
  <c r="W30" i="90"/>
  <c r="E5724" i="14"/>
  <c r="E5714" i="14"/>
  <c r="E5734" i="14"/>
  <c r="W30" i="86"/>
  <c r="W30" i="88"/>
  <c r="W30" i="20"/>
  <c r="E6835" i="14" l="1"/>
  <c r="E6840" i="14" s="1"/>
  <c r="E7153" i="14"/>
  <c r="E7158" i="14" s="1"/>
  <c r="E48" i="14"/>
  <c r="E128" i="8"/>
  <c r="E5309" i="14" l="1"/>
  <c r="E5303" i="14"/>
  <c r="E5297" i="14"/>
  <c r="E5285" i="14"/>
  <c r="E5252" i="14"/>
  <c r="E5246" i="14"/>
  <c r="E5240" i="14"/>
  <c r="E5228" i="14"/>
  <c r="E5195" i="14"/>
  <c r="E5189" i="14"/>
  <c r="E5183" i="14"/>
  <c r="E5171" i="14"/>
  <c r="B97" i="23" l="1"/>
  <c r="B98" i="23"/>
  <c r="E5305" i="14"/>
  <c r="AG30" i="85" s="1"/>
  <c r="E5306" i="14"/>
  <c r="E5300" i="14"/>
  <c r="E5299" i="14"/>
  <c r="AG28" i="85" s="1"/>
  <c r="E5288" i="14"/>
  <c r="E5287" i="14"/>
  <c r="E5312" i="14"/>
  <c r="E5311" i="14"/>
  <c r="E5128" i="14"/>
  <c r="AG28" i="31" s="1"/>
  <c r="E5123" i="14"/>
  <c r="E5117" i="14"/>
  <c r="E5134" i="14"/>
  <c r="AG30" i="31" s="1"/>
  <c r="E5122" i="14"/>
  <c r="AG26" i="31" s="1"/>
  <c r="E5135" i="14"/>
  <c r="E5129" i="14"/>
  <c r="E5116" i="14"/>
  <c r="AG24" i="31" s="1"/>
  <c r="E5165" i="14"/>
  <c r="AG36" i="31" s="1"/>
  <c r="E5140" i="14"/>
  <c r="AG32" i="31" s="1"/>
  <c r="E5166" i="14"/>
  <c r="AG37" i="31" s="1"/>
  <c r="E5141" i="14"/>
  <c r="E5223" i="14"/>
  <c r="AG37" i="83" s="1"/>
  <c r="E5336" i="14"/>
  <c r="AG36" i="85" s="1"/>
  <c r="E5222" i="14"/>
  <c r="AG36" i="83" s="1"/>
  <c r="E5337" i="14"/>
  <c r="AG37" i="85" s="1"/>
  <c r="E5279" i="14"/>
  <c r="AG36" i="84" s="1"/>
  <c r="E5236" i="14"/>
  <c r="E5293" i="14"/>
  <c r="AG26" i="85" s="1"/>
  <c r="E5179" i="14"/>
  <c r="AG26" i="83" s="1"/>
  <c r="E5294" i="14"/>
  <c r="E5180" i="14"/>
  <c r="E5237" i="14"/>
  <c r="E5255" i="14"/>
  <c r="E5254" i="14"/>
  <c r="AG32" i="84" s="1"/>
  <c r="E5231" i="14"/>
  <c r="E5230" i="14"/>
  <c r="AG24" i="84" s="1"/>
  <c r="E5243" i="14"/>
  <c r="E5242" i="14"/>
  <c r="AG28" i="84" s="1"/>
  <c r="E5249" i="14"/>
  <c r="E5248" i="14"/>
  <c r="AG30" i="84" s="1"/>
  <c r="E5186" i="14"/>
  <c r="E5185" i="14"/>
  <c r="AG28" i="83" s="1"/>
  <c r="E5192" i="14"/>
  <c r="E5191" i="14"/>
  <c r="AG30" i="83" s="1"/>
  <c r="E5174" i="14"/>
  <c r="E5173" i="14"/>
  <c r="E5198" i="14"/>
  <c r="E5197" i="14"/>
  <c r="AG32" i="83" s="1"/>
  <c r="AG32" i="85"/>
  <c r="E30" i="90"/>
  <c r="H30" i="90"/>
  <c r="Q30" i="90"/>
  <c r="B70" i="23"/>
  <c r="B68" i="23"/>
  <c r="B71" i="23"/>
  <c r="B69" i="23"/>
  <c r="N30" i="90"/>
  <c r="B66" i="23"/>
  <c r="B64" i="23"/>
  <c r="B67" i="23"/>
  <c r="B65" i="23"/>
  <c r="K30" i="90"/>
  <c r="E30" i="86"/>
  <c r="E30" i="88"/>
  <c r="H30" i="86"/>
  <c r="H30" i="88"/>
  <c r="Q30" i="86"/>
  <c r="Q30" i="88"/>
  <c r="N30" i="86"/>
  <c r="N30" i="88"/>
  <c r="K30" i="86"/>
  <c r="K30" i="88"/>
  <c r="L137" i="73"/>
  <c r="H137" i="73"/>
  <c r="D137" i="73"/>
  <c r="T137" i="73"/>
  <c r="P137" i="73"/>
  <c r="H134" i="73"/>
  <c r="D134" i="73"/>
  <c r="T134" i="73"/>
  <c r="P134" i="73"/>
  <c r="L134" i="73"/>
  <c r="P136" i="73"/>
  <c r="L136" i="73"/>
  <c r="H136" i="73"/>
  <c r="D136" i="73"/>
  <c r="T136" i="73"/>
  <c r="L133" i="73"/>
  <c r="H133" i="73"/>
  <c r="D133" i="73"/>
  <c r="T133" i="73"/>
  <c r="P133" i="73"/>
  <c r="T135" i="73"/>
  <c r="P135" i="73"/>
  <c r="L135" i="73"/>
  <c r="H135" i="73"/>
  <c r="D135" i="73"/>
  <c r="B63" i="23"/>
  <c r="B62" i="23"/>
  <c r="B61" i="23"/>
  <c r="B60" i="23"/>
  <c r="B55" i="23"/>
  <c r="B54" i="23"/>
  <c r="B53" i="23"/>
  <c r="B52" i="23"/>
  <c r="B59" i="23"/>
  <c r="B57" i="23"/>
  <c r="B56" i="23"/>
  <c r="B58" i="23"/>
  <c r="AG37" i="84"/>
  <c r="K30" i="20"/>
  <c r="Q30" i="20"/>
  <c r="E30" i="20"/>
  <c r="N30" i="20"/>
  <c r="H30" i="20"/>
  <c r="Q134" i="73" l="1"/>
  <c r="Q135" i="73"/>
  <c r="I137" i="73"/>
  <c r="I133" i="73"/>
  <c r="I135" i="73"/>
  <c r="M136" i="73"/>
  <c r="M135" i="73"/>
  <c r="M133" i="73"/>
  <c r="Q136" i="73"/>
  <c r="M134" i="73"/>
  <c r="Q137" i="73"/>
  <c r="Q133" i="73"/>
  <c r="I136" i="73"/>
  <c r="M137" i="73"/>
  <c r="I134" i="73"/>
  <c r="AG27" i="31"/>
  <c r="E134" i="73"/>
  <c r="AG31" i="31"/>
  <c r="E136" i="73"/>
  <c r="E135" i="73"/>
  <c r="AG29" i="31"/>
  <c r="E137" i="73"/>
  <c r="AG33" i="31"/>
  <c r="AG25" i="31"/>
  <c r="E133" i="73"/>
  <c r="E5201" i="14"/>
  <c r="E7664" i="14" s="1"/>
  <c r="E5144" i="14"/>
  <c r="E5315" i="14"/>
  <c r="E7666" i="14" s="1"/>
  <c r="E5258" i="14"/>
  <c r="E7665" i="14" s="1"/>
  <c r="AG24" i="85"/>
  <c r="AG26" i="84"/>
  <c r="AG24" i="83"/>
  <c r="E5145" i="14"/>
  <c r="AG31" i="85"/>
  <c r="AG31" i="84"/>
  <c r="AG25" i="85"/>
  <c r="AG27" i="83"/>
  <c r="AG33" i="84"/>
  <c r="AG33" i="83"/>
  <c r="AG29" i="85"/>
  <c r="AG33" i="85"/>
  <c r="AG27" i="85"/>
  <c r="AG31" i="83"/>
  <c r="AG29" i="84"/>
  <c r="AG27" i="84"/>
  <c r="AG25" i="84"/>
  <c r="AG25" i="83"/>
  <c r="AG29" i="83"/>
  <c r="E5316" i="14"/>
  <c r="Q138" i="73" s="1"/>
  <c r="E5259" i="14"/>
  <c r="M138" i="73" s="1"/>
  <c r="E5202" i="14"/>
  <c r="I138" i="73" s="1"/>
  <c r="E7663" i="14" l="1"/>
  <c r="AG34" i="31"/>
  <c r="M149" i="73"/>
  <c r="AG35" i="31"/>
  <c r="E138" i="73"/>
  <c r="AG34" i="85"/>
  <c r="AG34" i="84"/>
  <c r="AG34" i="83"/>
  <c r="U135" i="73"/>
  <c r="U137" i="73"/>
  <c r="U133" i="73"/>
  <c r="AG35" i="85"/>
  <c r="AG35" i="83"/>
  <c r="AG35" i="84"/>
  <c r="U134" i="73"/>
  <c r="U136" i="73"/>
  <c r="U138" i="73" l="1"/>
  <c r="J27" i="33"/>
  <c r="J98" i="33"/>
  <c r="J97" i="33"/>
  <c r="D30" i="33" l="1"/>
  <c r="D38" i="33"/>
  <c r="D40" i="33"/>
  <c r="D32" i="33"/>
  <c r="D34" i="33"/>
  <c r="D51" i="33"/>
  <c r="D124" i="33"/>
  <c r="D39" i="33"/>
  <c r="D112" i="33"/>
  <c r="D35" i="33"/>
  <c r="D108" i="33"/>
  <c r="D31" i="33"/>
  <c r="D104" i="33"/>
  <c r="D100" i="33"/>
  <c r="D52" i="33"/>
  <c r="D125" i="33"/>
  <c r="D48" i="33"/>
  <c r="D121" i="33"/>
  <c r="D44" i="33"/>
  <c r="D117" i="33"/>
  <c r="D47" i="33"/>
  <c r="D120" i="33"/>
  <c r="D111" i="33"/>
  <c r="D107" i="33"/>
  <c r="D103" i="33"/>
  <c r="D99" i="33"/>
  <c r="D43" i="33"/>
  <c r="D116" i="33"/>
  <c r="D110" i="33"/>
  <c r="D106" i="33"/>
  <c r="D29" i="33"/>
  <c r="D102" i="33"/>
  <c r="D98" i="33"/>
  <c r="D114" i="33"/>
  <c r="D123" i="33"/>
  <c r="D119" i="33"/>
  <c r="D115" i="33"/>
  <c r="D97" i="33"/>
  <c r="D113" i="33"/>
  <c r="D109" i="33"/>
  <c r="D105" i="33"/>
  <c r="D101" i="33"/>
  <c r="D27" i="33"/>
  <c r="D36" i="33"/>
  <c r="D53" i="33"/>
  <c r="D126" i="33"/>
  <c r="D49" i="33"/>
  <c r="D122" i="33"/>
  <c r="D45" i="33"/>
  <c r="D118" i="33"/>
  <c r="D41" i="33"/>
  <c r="H41" i="33" s="1"/>
  <c r="D50" i="33"/>
  <c r="D46" i="33"/>
  <c r="D42" i="33"/>
  <c r="D24" i="33"/>
  <c r="D28" i="33"/>
  <c r="D33" i="33"/>
  <c r="D37" i="33"/>
  <c r="D25" i="33"/>
  <c r="D26" i="33"/>
  <c r="J100" i="33"/>
  <c r="J24" i="33"/>
  <c r="J25" i="33"/>
  <c r="E5066" i="14"/>
  <c r="E5055" i="14"/>
  <c r="E5044" i="14"/>
  <c r="E7672" i="14"/>
  <c r="B41" i="23"/>
  <c r="E5584" i="14" l="1"/>
  <c r="E5571" i="14"/>
  <c r="E5558" i="14"/>
  <c r="E5597" i="14"/>
  <c r="E5417" i="14"/>
  <c r="E5413" i="14"/>
  <c r="E5404" i="14"/>
  <c r="E5400" i="14"/>
  <c r="E5527" i="14"/>
  <c r="E5518" i="14"/>
  <c r="E5514" i="14"/>
  <c r="E5501" i="14"/>
  <c r="E5470" i="14"/>
  <c r="E5444" i="14"/>
  <c r="E5457" i="14"/>
  <c r="E4165" i="14"/>
  <c r="E3753" i="14"/>
  <c r="E3959" i="14"/>
  <c r="E4371" i="14"/>
  <c r="AW67" i="85"/>
  <c r="BA67" i="83"/>
  <c r="BA67" i="84"/>
  <c r="AW67" i="83"/>
  <c r="BA67" i="85"/>
  <c r="AW67" i="84"/>
  <c r="AW68" i="31"/>
  <c r="BA68" i="31"/>
  <c r="BA76" i="85"/>
  <c r="BA70" i="85"/>
  <c r="BA73" i="84"/>
  <c r="BA71" i="84"/>
  <c r="BA70" i="83"/>
  <c r="AW74" i="31"/>
  <c r="BA72" i="31"/>
  <c r="AW76" i="85"/>
  <c r="AW70" i="85"/>
  <c r="AW73" i="84"/>
  <c r="AW71" i="84"/>
  <c r="BA73" i="83"/>
  <c r="AW70" i="83"/>
  <c r="BA73" i="85"/>
  <c r="BA70" i="84"/>
  <c r="AW73" i="83"/>
  <c r="BA75" i="31"/>
  <c r="BA71" i="31"/>
  <c r="AW72" i="31"/>
  <c r="BA74" i="31"/>
  <c r="AW75" i="31"/>
  <c r="AW73" i="85"/>
  <c r="AW70" i="84"/>
  <c r="AW71" i="31"/>
  <c r="E5387" i="14"/>
  <c r="E248" i="14"/>
  <c r="E1284" i="14"/>
  <c r="E385" i="14"/>
  <c r="E970" i="14"/>
  <c r="E914" i="14"/>
  <c r="E1306" i="14"/>
  <c r="E1250" i="14"/>
  <c r="E942" i="14"/>
  <c r="E254" i="14"/>
  <c r="E1290" i="14"/>
  <c r="E391" i="14"/>
  <c r="E976" i="14"/>
  <c r="E920" i="14"/>
  <c r="E1312" i="14"/>
  <c r="E1256" i="14"/>
  <c r="E948" i="14"/>
  <c r="E287" i="14"/>
  <c r="E370" i="14"/>
  <c r="E297" i="14"/>
  <c r="E324" i="14"/>
  <c r="E260" i="14"/>
  <c r="E1296" i="14"/>
  <c r="E397" i="14"/>
  <c r="E982" i="14"/>
  <c r="E926" i="14"/>
  <c r="E1318" i="14"/>
  <c r="E1262" i="14"/>
  <c r="E954" i="14"/>
  <c r="E269" i="14"/>
  <c r="E352" i="14"/>
  <c r="E303" i="14"/>
  <c r="E330" i="14"/>
  <c r="E342" i="14"/>
  <c r="E242" i="14"/>
  <c r="E1278" i="14"/>
  <c r="E379" i="14"/>
  <c r="E964" i="14"/>
  <c r="E908" i="14"/>
  <c r="E1324" i="14"/>
  <c r="E1268" i="14"/>
  <c r="E936" i="14"/>
  <c r="E275" i="14"/>
  <c r="E358" i="14"/>
  <c r="E309" i="14"/>
  <c r="E336" i="14"/>
  <c r="E281" i="14"/>
  <c r="E364" i="14"/>
  <c r="E315" i="14"/>
  <c r="E1728" i="35"/>
  <c r="E590" i="35"/>
  <c r="E21" i="35"/>
  <c r="E1159" i="35"/>
  <c r="E4381" i="14"/>
  <c r="E3763" i="14"/>
  <c r="E4383" i="14"/>
  <c r="E4377" i="14"/>
  <c r="E3967" i="14"/>
  <c r="E4177" i="14"/>
  <c r="E4175" i="14"/>
  <c r="E4379" i="14"/>
  <c r="E3759" i="14"/>
  <c r="E3761" i="14"/>
  <c r="E4173" i="14"/>
  <c r="E4171" i="14"/>
  <c r="E3765" i="14"/>
  <c r="E3969" i="14"/>
  <c r="E3971" i="14"/>
  <c r="E3965" i="14"/>
  <c r="E14" i="35"/>
  <c r="E1152" i="35"/>
  <c r="E1721" i="35"/>
  <c r="E583" i="35"/>
  <c r="E615" i="35"/>
  <c r="E46" i="35"/>
  <c r="E1184" i="35"/>
  <c r="E1753" i="35"/>
  <c r="E4372" i="14"/>
  <c r="E3754" i="14"/>
  <c r="E4166" i="14"/>
  <c r="E3960" i="14"/>
  <c r="E828" i="14"/>
  <c r="E801" i="14"/>
  <c r="E779" i="14"/>
  <c r="E740" i="14"/>
  <c r="E656" i="14"/>
  <c r="E662" i="14"/>
  <c r="E723" i="14"/>
  <c r="E702" i="14"/>
  <c r="E551" i="14"/>
  <c r="E524" i="14"/>
  <c r="E447" i="14"/>
  <c r="E414" i="14"/>
  <c r="E502" i="14"/>
  <c r="E475" i="14"/>
  <c r="E889" i="14"/>
  <c r="E856" i="14"/>
  <c r="E619" i="14"/>
  <c r="E592" i="14"/>
  <c r="E840" i="14"/>
  <c r="E807" i="14"/>
  <c r="E785" i="14"/>
  <c r="E752" i="14"/>
  <c r="E647" i="14"/>
  <c r="E641" i="14"/>
  <c r="E729" i="14"/>
  <c r="E684" i="14"/>
  <c r="E557" i="14"/>
  <c r="E518" i="14"/>
  <c r="E420" i="14"/>
  <c r="E426" i="14"/>
  <c r="E508" i="14"/>
  <c r="E481" i="14"/>
  <c r="E850" i="14"/>
  <c r="E883" i="14"/>
  <c r="E613" i="14"/>
  <c r="E586" i="14"/>
  <c r="E834" i="14"/>
  <c r="E813" i="14"/>
  <c r="E773" i="14"/>
  <c r="E758" i="14"/>
  <c r="E629" i="14"/>
  <c r="E635" i="14"/>
  <c r="E711" i="14"/>
  <c r="E690" i="14"/>
  <c r="E545" i="14"/>
  <c r="E530" i="14"/>
  <c r="E453" i="14"/>
  <c r="E441" i="14"/>
  <c r="E490" i="14"/>
  <c r="E469" i="14"/>
  <c r="E877" i="14"/>
  <c r="E862" i="14"/>
  <c r="E607" i="14"/>
  <c r="E580" i="14"/>
  <c r="E822" i="14"/>
  <c r="E795" i="14"/>
  <c r="E767" i="14"/>
  <c r="E746" i="14"/>
  <c r="E668" i="14"/>
  <c r="E674" i="14"/>
  <c r="E717" i="14"/>
  <c r="E696" i="14"/>
  <c r="E563" i="14"/>
  <c r="E536" i="14"/>
  <c r="E435" i="14"/>
  <c r="E408" i="14"/>
  <c r="E496" i="14"/>
  <c r="E463" i="14"/>
  <c r="E895" i="14"/>
  <c r="E868" i="14"/>
  <c r="E601" i="14"/>
  <c r="E574" i="14"/>
  <c r="E1011" i="14"/>
  <c r="E1112" i="14"/>
  <c r="E1476" i="14"/>
  <c r="E1381" i="14"/>
  <c r="E1146" i="14"/>
  <c r="E1021" i="14"/>
  <c r="E1533" i="14"/>
  <c r="E1084" i="14"/>
  <c r="E1523" i="14"/>
  <c r="E1197" i="14"/>
  <c r="E1561" i="14"/>
  <c r="E1454" i="14"/>
  <c r="E1438" i="14"/>
  <c r="E1347" i="14"/>
  <c r="E1181" i="14"/>
  <c r="E1055" i="14"/>
  <c r="E1219" i="14"/>
  <c r="E1397" i="14"/>
  <c r="E1027" i="14"/>
  <c r="E993" i="14"/>
  <c r="E1124" i="14"/>
  <c r="E1494" i="14"/>
  <c r="E1369" i="14"/>
  <c r="E1152" i="14"/>
  <c r="E1039" i="14"/>
  <c r="E1551" i="14"/>
  <c r="E1096" i="14"/>
  <c r="E1517" i="14"/>
  <c r="E1203" i="14"/>
  <c r="E1573" i="14"/>
  <c r="E1448" i="14"/>
  <c r="E1420" i="14"/>
  <c r="E1353" i="14"/>
  <c r="E1175" i="14"/>
  <c r="E1061" i="14"/>
  <c r="E1237" i="14"/>
  <c r="E1403" i="14"/>
  <c r="E1488" i="14"/>
  <c r="E1078" i="14"/>
  <c r="E1209" i="14"/>
  <c r="E1579" i="14"/>
  <c r="E1426" i="14"/>
  <c r="E1335" i="14"/>
  <c r="E1231" i="14"/>
  <c r="E1391" i="14"/>
  <c r="E999" i="14"/>
  <c r="E1106" i="14"/>
  <c r="E1482" i="14"/>
  <c r="E1375" i="14"/>
  <c r="E1134" i="14"/>
  <c r="E1033" i="14"/>
  <c r="E1539" i="14"/>
  <c r="E1090" i="14"/>
  <c r="E1505" i="14"/>
  <c r="E1191" i="14"/>
  <c r="E1567" i="14"/>
  <c r="E1460" i="14"/>
  <c r="E1432" i="14"/>
  <c r="E1341" i="14"/>
  <c r="E1163" i="14"/>
  <c r="E1049" i="14"/>
  <c r="E1225" i="14"/>
  <c r="E1409" i="14"/>
  <c r="E1005" i="14"/>
  <c r="E1118" i="14"/>
  <c r="E1363" i="14"/>
  <c r="E1140" i="14"/>
  <c r="E1545" i="14"/>
  <c r="E1511" i="14"/>
  <c r="E1466" i="14"/>
  <c r="E1169" i="14"/>
  <c r="E1067" i="14"/>
  <c r="E2179" i="35"/>
  <c r="E330" i="35"/>
  <c r="E1468" i="35"/>
  <c r="E1373" i="35"/>
  <c r="E1895" i="35"/>
  <c r="E899" i="35"/>
  <c r="E2037" i="35"/>
  <c r="E757" i="35"/>
  <c r="E235" i="35"/>
  <c r="E377" i="35"/>
  <c r="E1326" i="35"/>
  <c r="E188" i="35"/>
  <c r="E210" i="35"/>
  <c r="E352" i="35"/>
  <c r="E1301" i="35"/>
  <c r="E2154" i="35"/>
  <c r="E1443" i="35"/>
  <c r="E1348" i="35"/>
  <c r="E163" i="35"/>
  <c r="E1870" i="35"/>
  <c r="E2012" i="35"/>
  <c r="E305" i="35"/>
  <c r="E732" i="35"/>
  <c r="E874" i="35"/>
  <c r="E2005" i="35"/>
  <c r="E156" i="35"/>
  <c r="E725" i="35"/>
  <c r="E1294" i="35"/>
  <c r="E298" i="35"/>
  <c r="E345" i="35"/>
  <c r="E1863" i="35"/>
  <c r="E2147" i="35"/>
  <c r="E867" i="35"/>
  <c r="E1436" i="35"/>
  <c r="E1341" i="35"/>
  <c r="E203" i="35"/>
  <c r="A13" i="23"/>
  <c r="E5057" i="14"/>
  <c r="E7656" i="14" s="1"/>
  <c r="E3855" i="14"/>
  <c r="E3872" i="14"/>
  <c r="E3821" i="14"/>
  <c r="E3804" i="14"/>
  <c r="E4061" i="14"/>
  <c r="E4216" i="14"/>
  <c r="E4267" i="14"/>
  <c r="E4524" i="14"/>
  <c r="E4233" i="14"/>
  <c r="E4010" i="14"/>
  <c r="E4473" i="14"/>
  <c r="E4422" i="14"/>
  <c r="H174" i="73"/>
  <c r="E5068" i="14"/>
  <c r="E7657" i="14" s="1"/>
  <c r="E3833" i="14"/>
  <c r="E3812" i="14"/>
  <c r="E3867" i="14"/>
  <c r="E3884" i="14"/>
  <c r="E3814" i="14"/>
  <c r="E3865" i="14"/>
  <c r="E3880" i="14"/>
  <c r="E3816" i="14"/>
  <c r="E3861" i="14"/>
  <c r="E3863" i="14"/>
  <c r="E3878" i="14"/>
  <c r="E3882" i="14"/>
  <c r="E3827" i="14"/>
  <c r="E3831" i="14"/>
  <c r="E3810" i="14"/>
  <c r="E3829" i="14"/>
  <c r="E4067" i="14"/>
  <c r="E4226" i="14"/>
  <c r="E4241" i="14"/>
  <c r="E4530" i="14"/>
  <c r="E4534" i="14"/>
  <c r="E4224" i="14"/>
  <c r="E4245" i="14"/>
  <c r="E4239" i="14"/>
  <c r="E4277" i="14"/>
  <c r="E4536" i="14"/>
  <c r="E4071" i="14"/>
  <c r="E4222" i="14"/>
  <c r="E4275" i="14"/>
  <c r="E4018" i="14"/>
  <c r="E4481" i="14"/>
  <c r="E4073" i="14"/>
  <c r="E4069" i="14"/>
  <c r="E4228" i="14"/>
  <c r="E4243" i="14"/>
  <c r="E4279" i="14"/>
  <c r="E4273" i="14"/>
  <c r="E4532" i="14"/>
  <c r="E4485" i="14"/>
  <c r="E4430" i="14"/>
  <c r="E4434" i="14"/>
  <c r="E4016" i="14"/>
  <c r="E4428" i="14"/>
  <c r="E4022" i="14"/>
  <c r="E4479" i="14"/>
  <c r="E4020" i="14"/>
  <c r="E4483" i="14"/>
  <c r="E4432" i="14"/>
  <c r="E5046" i="14"/>
  <c r="E3856" i="14"/>
  <c r="E3873" i="14"/>
  <c r="E3822" i="14"/>
  <c r="E3805" i="14"/>
  <c r="E4062" i="14"/>
  <c r="E4268" i="14"/>
  <c r="E4234" i="14"/>
  <c r="E4525" i="14"/>
  <c r="E4217" i="14"/>
  <c r="E4011" i="14"/>
  <c r="E4423" i="14"/>
  <c r="E4474" i="14"/>
  <c r="E100" i="89"/>
  <c r="G143" i="73"/>
  <c r="C34" i="90"/>
  <c r="Q100" i="89"/>
  <c r="E100" i="87"/>
  <c r="E68" i="87"/>
  <c r="E52" i="87"/>
  <c r="AE4" i="84"/>
  <c r="AE4" i="85"/>
  <c r="AE4" i="83"/>
  <c r="P52" i="51"/>
  <c r="AE4" i="31"/>
  <c r="D144" i="73"/>
  <c r="K143" i="73"/>
  <c r="E52" i="51"/>
  <c r="E4408" i="14"/>
  <c r="C34" i="20"/>
  <c r="B37" i="23"/>
  <c r="M5" i="32"/>
  <c r="B14" i="23"/>
  <c r="B18" i="23"/>
  <c r="B17" i="23"/>
  <c r="B15" i="23"/>
  <c r="B16" i="23"/>
  <c r="B6" i="23"/>
  <c r="E365" i="14" l="1"/>
  <c r="E366" i="14"/>
  <c r="E337" i="14"/>
  <c r="E338" i="14"/>
  <c r="E359" i="14"/>
  <c r="E360" i="14"/>
  <c r="E937" i="14"/>
  <c r="E938" i="14"/>
  <c r="E909" i="14"/>
  <c r="E910" i="14"/>
  <c r="E1279" i="14"/>
  <c r="E1280" i="14"/>
  <c r="E343" i="14"/>
  <c r="E344" i="14"/>
  <c r="E955" i="14"/>
  <c r="E956" i="14"/>
  <c r="E1319" i="14"/>
  <c r="E1320" i="14"/>
  <c r="E299" i="14"/>
  <c r="E298" i="14"/>
  <c r="E392" i="14"/>
  <c r="E393" i="14"/>
  <c r="E1285" i="14"/>
  <c r="E1286" i="14"/>
  <c r="E282" i="14"/>
  <c r="E283" i="14"/>
  <c r="E276" i="14"/>
  <c r="E277" i="14"/>
  <c r="E1325" i="14"/>
  <c r="E1326" i="14"/>
  <c r="E380" i="14"/>
  <c r="E381" i="14"/>
  <c r="E305" i="14"/>
  <c r="E304" i="14"/>
  <c r="E1263" i="14"/>
  <c r="E1264" i="14"/>
  <c r="E983" i="14"/>
  <c r="E984" i="14"/>
  <c r="E261" i="14"/>
  <c r="E262" i="14"/>
  <c r="E325" i="14"/>
  <c r="E326" i="14"/>
  <c r="E371" i="14"/>
  <c r="E372" i="14"/>
  <c r="E1313" i="14"/>
  <c r="E1314" i="14"/>
  <c r="E1307" i="14"/>
  <c r="E1308" i="14"/>
  <c r="E386" i="14"/>
  <c r="E387" i="14"/>
  <c r="E1269" i="14"/>
  <c r="E1270" i="14"/>
  <c r="E331" i="14"/>
  <c r="E332" i="14"/>
  <c r="E353" i="14"/>
  <c r="E354" i="14"/>
  <c r="E927" i="14"/>
  <c r="E928" i="14"/>
  <c r="E1297" i="14"/>
  <c r="E1298" i="14"/>
  <c r="E289" i="14"/>
  <c r="E288" i="14"/>
  <c r="E1257" i="14"/>
  <c r="E1258" i="14"/>
  <c r="E977" i="14"/>
  <c r="E978" i="14"/>
  <c r="E255" i="14"/>
  <c r="E256" i="14"/>
  <c r="E943" i="14"/>
  <c r="E944" i="14"/>
  <c r="E1251" i="14"/>
  <c r="E1252" i="14"/>
  <c r="E971" i="14"/>
  <c r="E972" i="14"/>
  <c r="E317" i="14"/>
  <c r="E316" i="14"/>
  <c r="E310" i="14"/>
  <c r="E311" i="14"/>
  <c r="E965" i="14"/>
  <c r="E966" i="14"/>
  <c r="E243" i="14"/>
  <c r="E244" i="14"/>
  <c r="E270" i="14"/>
  <c r="E271" i="14"/>
  <c r="E398" i="14"/>
  <c r="E399" i="14"/>
  <c r="E949" i="14"/>
  <c r="E950" i="14"/>
  <c r="E921" i="14"/>
  <c r="E922" i="14"/>
  <c r="E1291" i="14"/>
  <c r="E1292" i="14"/>
  <c r="E915" i="14"/>
  <c r="E916" i="14"/>
  <c r="E249" i="14"/>
  <c r="E250" i="14"/>
  <c r="E4418" i="14"/>
  <c r="E4941" i="14" s="1"/>
  <c r="E4414" i="14"/>
  <c r="E4927" i="14" s="1"/>
  <c r="E4416" i="14"/>
  <c r="E4934" i="14" s="1"/>
  <c r="E4412" i="14"/>
  <c r="E4920" i="14" s="1"/>
  <c r="E1141" i="14"/>
  <c r="E1142" i="14"/>
  <c r="E1227" i="14"/>
  <c r="E1226" i="14"/>
  <c r="E1165" i="14"/>
  <c r="E1164" i="14"/>
  <c r="E1343" i="14"/>
  <c r="E1342" i="14"/>
  <c r="E1192" i="14"/>
  <c r="E1193" i="14"/>
  <c r="E1035" i="14"/>
  <c r="E1034" i="14"/>
  <c r="E1484" i="14"/>
  <c r="E1483" i="14"/>
  <c r="E1336" i="14"/>
  <c r="E1337" i="14"/>
  <c r="E1080" i="14"/>
  <c r="E1079" i="14"/>
  <c r="E1449" i="14"/>
  <c r="E1450" i="14"/>
  <c r="E1518" i="14"/>
  <c r="E1519" i="14"/>
  <c r="E1098" i="14"/>
  <c r="E1097" i="14"/>
  <c r="E1552" i="14"/>
  <c r="E1553" i="14"/>
  <c r="E1153" i="14"/>
  <c r="E1154" i="14"/>
  <c r="E1125" i="14"/>
  <c r="E1126" i="14"/>
  <c r="E1220" i="14"/>
  <c r="E1221" i="14"/>
  <c r="E1183" i="14"/>
  <c r="E1182" i="14"/>
  <c r="E1349" i="14"/>
  <c r="E1348" i="14"/>
  <c r="E1198" i="14"/>
  <c r="E1199" i="14"/>
  <c r="E1022" i="14"/>
  <c r="E1023" i="14"/>
  <c r="E1477" i="14"/>
  <c r="E1478" i="14"/>
  <c r="E497" i="14"/>
  <c r="E498" i="14"/>
  <c r="E436" i="14"/>
  <c r="E437" i="14"/>
  <c r="E719" i="14"/>
  <c r="E718" i="14"/>
  <c r="E768" i="14"/>
  <c r="E769" i="14"/>
  <c r="E824" i="14"/>
  <c r="E823" i="14"/>
  <c r="E879" i="14"/>
  <c r="E878" i="14"/>
  <c r="E547" i="14"/>
  <c r="E546" i="14"/>
  <c r="E630" i="14"/>
  <c r="E631" i="14"/>
  <c r="E614" i="14"/>
  <c r="E615" i="14"/>
  <c r="E510" i="14"/>
  <c r="E509" i="14"/>
  <c r="E421" i="14"/>
  <c r="E422" i="14"/>
  <c r="E731" i="14"/>
  <c r="E730" i="14"/>
  <c r="E787" i="14"/>
  <c r="E786" i="14"/>
  <c r="E842" i="14"/>
  <c r="E841" i="14"/>
  <c r="E858" i="14"/>
  <c r="E857" i="14"/>
  <c r="E525" i="14"/>
  <c r="E526" i="14"/>
  <c r="E663" i="14"/>
  <c r="E664" i="14"/>
  <c r="E1120" i="14"/>
  <c r="E1119" i="14"/>
  <c r="E1461" i="14"/>
  <c r="E1462" i="14"/>
  <c r="E1506" i="14"/>
  <c r="E1507" i="14"/>
  <c r="E1091" i="14"/>
  <c r="E1092" i="14"/>
  <c r="E1540" i="14"/>
  <c r="E1541" i="14"/>
  <c r="E1136" i="14"/>
  <c r="E1135" i="14"/>
  <c r="E1108" i="14"/>
  <c r="E1107" i="14"/>
  <c r="E1232" i="14"/>
  <c r="E1233" i="14"/>
  <c r="E1428" i="14"/>
  <c r="E1427" i="14"/>
  <c r="E1421" i="14"/>
  <c r="E1422" i="14"/>
  <c r="E1575" i="14"/>
  <c r="E1574" i="14"/>
  <c r="E1455" i="14"/>
  <c r="E1456" i="14"/>
  <c r="E1524" i="14"/>
  <c r="E1525" i="14"/>
  <c r="E1086" i="14"/>
  <c r="E1085" i="14"/>
  <c r="E1534" i="14"/>
  <c r="E1535" i="14"/>
  <c r="E1148" i="14"/>
  <c r="E1147" i="14"/>
  <c r="E1114" i="14"/>
  <c r="E1113" i="14"/>
  <c r="E869" i="14"/>
  <c r="E870" i="14"/>
  <c r="E538" i="14"/>
  <c r="E537" i="14"/>
  <c r="E676" i="14"/>
  <c r="E675" i="14"/>
  <c r="E581" i="14"/>
  <c r="E582" i="14"/>
  <c r="E470" i="14"/>
  <c r="E471" i="14"/>
  <c r="E442" i="14"/>
  <c r="E443" i="14"/>
  <c r="E692" i="14"/>
  <c r="E691" i="14"/>
  <c r="E760" i="14"/>
  <c r="E759" i="14"/>
  <c r="E815" i="14"/>
  <c r="E814" i="14"/>
  <c r="E884" i="14"/>
  <c r="E885" i="14"/>
  <c r="E519" i="14"/>
  <c r="E520" i="14"/>
  <c r="E643" i="14"/>
  <c r="E642" i="14"/>
  <c r="E593" i="14"/>
  <c r="E594" i="14"/>
  <c r="E891" i="14"/>
  <c r="E890" i="14"/>
  <c r="E553" i="14"/>
  <c r="E552" i="14"/>
  <c r="E657" i="14"/>
  <c r="E658" i="14"/>
  <c r="E1069" i="14"/>
  <c r="E1068" i="14"/>
  <c r="E1546" i="14"/>
  <c r="E1547" i="14"/>
  <c r="E1364" i="14"/>
  <c r="E1365" i="14"/>
  <c r="E1006" i="14"/>
  <c r="E1007" i="14"/>
  <c r="E1433" i="14"/>
  <c r="E1434" i="14"/>
  <c r="E1569" i="14"/>
  <c r="E1568" i="14"/>
  <c r="E1392" i="14"/>
  <c r="E1393" i="14"/>
  <c r="E1211" i="14"/>
  <c r="E1210" i="14"/>
  <c r="E1404" i="14"/>
  <c r="E1405" i="14"/>
  <c r="E1063" i="14"/>
  <c r="E1062" i="14"/>
  <c r="E1370" i="14"/>
  <c r="E1371" i="14"/>
  <c r="E994" i="14"/>
  <c r="E995" i="14"/>
  <c r="E1029" i="14"/>
  <c r="E1028" i="14"/>
  <c r="E1440" i="14"/>
  <c r="E1439" i="14"/>
  <c r="E1563" i="14"/>
  <c r="E1562" i="14"/>
  <c r="E575" i="14"/>
  <c r="E576" i="14"/>
  <c r="E897" i="14"/>
  <c r="E896" i="14"/>
  <c r="E565" i="14"/>
  <c r="E564" i="14"/>
  <c r="E669" i="14"/>
  <c r="E670" i="14"/>
  <c r="E609" i="14"/>
  <c r="E608" i="14"/>
  <c r="E492" i="14"/>
  <c r="E491" i="14"/>
  <c r="E455" i="14"/>
  <c r="E454" i="14"/>
  <c r="E712" i="14"/>
  <c r="E713" i="14"/>
  <c r="E775" i="14"/>
  <c r="E774" i="14"/>
  <c r="E835" i="14"/>
  <c r="E836" i="14"/>
  <c r="E851" i="14"/>
  <c r="E852" i="14"/>
  <c r="E558" i="14"/>
  <c r="E559" i="14"/>
  <c r="E648" i="14"/>
  <c r="E649" i="14"/>
  <c r="E621" i="14"/>
  <c r="E620" i="14"/>
  <c r="E476" i="14"/>
  <c r="E477" i="14"/>
  <c r="E415" i="14"/>
  <c r="E416" i="14"/>
  <c r="E703" i="14"/>
  <c r="E704" i="14"/>
  <c r="E741" i="14"/>
  <c r="E742" i="14"/>
  <c r="E803" i="14"/>
  <c r="E802" i="14"/>
  <c r="E1171" i="14"/>
  <c r="E1170" i="14"/>
  <c r="E1467" i="14"/>
  <c r="E1468" i="14"/>
  <c r="E1512" i="14"/>
  <c r="E1513" i="14"/>
  <c r="E1410" i="14"/>
  <c r="E1411" i="14"/>
  <c r="E1050" i="14"/>
  <c r="E1051" i="14"/>
  <c r="E1376" i="14"/>
  <c r="E1377" i="14"/>
  <c r="E1001" i="14"/>
  <c r="E1000" i="14"/>
  <c r="E1581" i="14"/>
  <c r="E1580" i="14"/>
  <c r="E1490" i="14"/>
  <c r="E1489" i="14"/>
  <c r="E1239" i="14"/>
  <c r="E1238" i="14"/>
  <c r="E1177" i="14"/>
  <c r="E1176" i="14"/>
  <c r="E1355" i="14"/>
  <c r="E1354" i="14"/>
  <c r="E1204" i="14"/>
  <c r="E1205" i="14"/>
  <c r="E1040" i="14"/>
  <c r="E1041" i="14"/>
  <c r="E1495" i="14"/>
  <c r="E1496" i="14"/>
  <c r="E1398" i="14"/>
  <c r="E1399" i="14"/>
  <c r="E1056" i="14"/>
  <c r="E1057" i="14"/>
  <c r="E1382" i="14"/>
  <c r="E1383" i="14"/>
  <c r="E1013" i="14"/>
  <c r="E1012" i="14"/>
  <c r="E603" i="14"/>
  <c r="E602" i="14"/>
  <c r="E465" i="14"/>
  <c r="E464" i="14"/>
  <c r="E410" i="14"/>
  <c r="E409" i="14"/>
  <c r="E698" i="14"/>
  <c r="E697" i="14"/>
  <c r="E748" i="14"/>
  <c r="E747" i="14"/>
  <c r="E796" i="14"/>
  <c r="E797" i="14"/>
  <c r="E864" i="14"/>
  <c r="E863" i="14"/>
  <c r="E531" i="14"/>
  <c r="E532" i="14"/>
  <c r="E637" i="14"/>
  <c r="E636" i="14"/>
  <c r="E587" i="14"/>
  <c r="E588" i="14"/>
  <c r="E482" i="14"/>
  <c r="E483" i="14"/>
  <c r="E428" i="14"/>
  <c r="E427" i="14"/>
  <c r="E685" i="14"/>
  <c r="E686" i="14"/>
  <c r="E753" i="14"/>
  <c r="E754" i="14"/>
  <c r="E809" i="14"/>
  <c r="E808" i="14"/>
  <c r="E503" i="14"/>
  <c r="E504" i="14"/>
  <c r="E449" i="14"/>
  <c r="E448" i="14"/>
  <c r="E725" i="14"/>
  <c r="E724" i="14"/>
  <c r="E781" i="14"/>
  <c r="E780" i="14"/>
  <c r="E830" i="14"/>
  <c r="E829" i="14"/>
  <c r="AG40" i="84"/>
  <c r="E5078" i="14"/>
  <c r="E7655" i="14"/>
  <c r="AG40" i="85"/>
  <c r="AG40" i="83"/>
  <c r="E4219" i="14"/>
  <c r="E4510" i="14"/>
  <c r="E4355" i="14"/>
  <c r="E4476" i="14"/>
  <c r="E3756" i="14"/>
  <c r="E3858" i="14"/>
  <c r="E4064" i="14"/>
  <c r="E3841" i="14"/>
  <c r="E4098" i="14"/>
  <c r="E4321" i="14"/>
  <c r="E3979" i="14"/>
  <c r="E3926" i="14"/>
  <c r="E4149" i="14"/>
  <c r="E4253" i="14"/>
  <c r="E4236" i="14"/>
  <c r="E4185" i="14"/>
  <c r="E4270" i="14"/>
  <c r="E3773" i="14"/>
  <c r="E3996" i="14"/>
  <c r="E3943" i="14"/>
  <c r="E4338" i="14"/>
  <c r="E3875" i="14"/>
  <c r="E4030" i="14"/>
  <c r="E3807" i="14"/>
  <c r="E4168" i="14"/>
  <c r="E4544" i="14"/>
  <c r="E4013" i="14"/>
  <c r="E4442" i="14"/>
  <c r="E4132" i="14"/>
  <c r="E4304" i="14"/>
  <c r="E3892" i="14"/>
  <c r="E4527" i="14"/>
  <c r="E4374" i="14"/>
  <c r="E4493" i="14"/>
  <c r="E3824" i="14"/>
  <c r="E3962" i="14"/>
  <c r="E4115" i="14"/>
  <c r="E4391" i="14"/>
  <c r="E4459" i="14"/>
  <c r="E4561" i="14"/>
  <c r="E3790" i="14"/>
  <c r="E3909" i="14"/>
  <c r="E4047" i="14"/>
  <c r="E4081" i="14"/>
  <c r="E4287" i="14"/>
  <c r="E4425" i="14"/>
  <c r="E4202" i="14"/>
  <c r="E3800" i="14" l="1"/>
  <c r="E3796" i="14"/>
  <c r="E3798" i="14"/>
  <c r="E3794" i="14"/>
  <c r="E3783" i="14"/>
  <c r="E3779" i="14"/>
  <c r="E3781" i="14"/>
  <c r="E3777" i="14"/>
  <c r="E3989" i="14"/>
  <c r="E4712" i="14" s="1"/>
  <c r="E3985" i="14"/>
  <c r="E4698" i="14" s="1"/>
  <c r="E3987" i="14"/>
  <c r="E4705" i="14" s="1"/>
  <c r="E3983" i="14"/>
  <c r="E4691" i="14" s="1"/>
  <c r="E3766" i="14"/>
  <c r="E3760" i="14"/>
  <c r="E3762" i="14"/>
  <c r="E3764" i="14"/>
  <c r="E3972" i="14"/>
  <c r="E4711" i="14" s="1"/>
  <c r="E3968" i="14"/>
  <c r="E4697" i="14" s="1"/>
  <c r="E3970" i="14"/>
  <c r="E4704" i="14" s="1"/>
  <c r="E3966" i="14"/>
  <c r="E4690" i="14" s="1"/>
  <c r="E4178" i="14"/>
  <c r="E4825" i="14" s="1"/>
  <c r="E4174" i="14"/>
  <c r="E4811" i="14" s="1"/>
  <c r="E4176" i="14"/>
  <c r="E4818" i="14" s="1"/>
  <c r="E4172" i="14"/>
  <c r="E4804" i="14" s="1"/>
  <c r="E4006" i="14"/>
  <c r="E4713" i="14" s="1"/>
  <c r="E4002" i="14"/>
  <c r="E4699" i="14" s="1"/>
  <c r="E4004" i="14"/>
  <c r="E4706" i="14" s="1"/>
  <c r="E4000" i="14"/>
  <c r="E4692" i="14" s="1"/>
  <c r="E4212" i="14"/>
  <c r="E4827" i="14" s="1"/>
  <c r="E4208" i="14"/>
  <c r="E4813" i="14" s="1"/>
  <c r="E4210" i="14"/>
  <c r="E4820" i="14" s="1"/>
  <c r="E4206" i="14"/>
  <c r="E4806" i="14" s="1"/>
  <c r="E4401" i="14"/>
  <c r="E4940" i="14" s="1"/>
  <c r="E4397" i="14"/>
  <c r="E4926" i="14" s="1"/>
  <c r="E4399" i="14"/>
  <c r="E4933" i="14" s="1"/>
  <c r="E4395" i="14"/>
  <c r="E4919" i="14" s="1"/>
  <c r="E4384" i="14"/>
  <c r="E4939" i="14" s="1"/>
  <c r="E4380" i="14"/>
  <c r="E4925" i="14" s="1"/>
  <c r="E4382" i="14"/>
  <c r="E4378" i="14"/>
  <c r="E4195" i="14"/>
  <c r="E4826" i="14" s="1"/>
  <c r="E4191" i="14"/>
  <c r="E4812" i="14" s="1"/>
  <c r="E4193" i="14"/>
  <c r="E4819" i="14" s="1"/>
  <c r="E4189" i="14"/>
  <c r="E4805" i="14" s="1"/>
  <c r="E4068" i="14"/>
  <c r="E4746" i="14" s="1"/>
  <c r="E4072" i="14"/>
  <c r="E4760" i="14" s="1"/>
  <c r="E4074" i="14"/>
  <c r="E4767" i="14" s="1"/>
  <c r="E4070" i="14"/>
  <c r="E4753" i="14" s="1"/>
  <c r="E4486" i="14"/>
  <c r="E4995" i="14" s="1"/>
  <c r="E4484" i="14"/>
  <c r="E4988" i="14" s="1"/>
  <c r="E4482" i="14"/>
  <c r="E4981" i="14" s="1"/>
  <c r="E4480" i="14"/>
  <c r="E4974" i="14" s="1"/>
  <c r="E4435" i="14"/>
  <c r="E4967" i="14" s="1"/>
  <c r="E4433" i="14"/>
  <c r="E4960" i="14" s="1"/>
  <c r="E4431" i="14"/>
  <c r="E4953" i="14" s="1"/>
  <c r="E4429" i="14"/>
  <c r="E4946" i="14" s="1"/>
  <c r="E4569" i="14"/>
  <c r="E5018" i="14" s="1"/>
  <c r="E4567" i="14"/>
  <c r="E5011" i="14" s="1"/>
  <c r="E4565" i="14"/>
  <c r="E5004" i="14" s="1"/>
  <c r="E4571" i="14"/>
  <c r="E5025" i="14" s="1"/>
  <c r="E3828" i="14"/>
  <c r="E3832" i="14"/>
  <c r="E3834" i="14"/>
  <c r="E3830" i="14"/>
  <c r="E4452" i="14"/>
  <c r="E4968" i="14" s="1"/>
  <c r="E4450" i="14"/>
  <c r="E4961" i="14" s="1"/>
  <c r="E4448" i="14"/>
  <c r="E4954" i="14" s="1"/>
  <c r="E4446" i="14"/>
  <c r="E4947" i="14" s="1"/>
  <c r="E3879" i="14"/>
  <c r="E3883" i="14"/>
  <c r="E3881" i="14"/>
  <c r="E3885" i="14"/>
  <c r="E4274" i="14"/>
  <c r="E4860" i="14" s="1"/>
  <c r="E4278" i="14"/>
  <c r="E4874" i="14" s="1"/>
  <c r="E4280" i="14"/>
  <c r="E4881" i="14" s="1"/>
  <c r="E4276" i="14"/>
  <c r="E4867" i="14" s="1"/>
  <c r="E3930" i="14"/>
  <c r="E4661" i="14" s="1"/>
  <c r="E3934" i="14"/>
  <c r="E4675" i="14" s="1"/>
  <c r="E3936" i="14"/>
  <c r="E4682" i="14" s="1"/>
  <c r="E3932" i="14"/>
  <c r="E4668" i="14" s="1"/>
  <c r="E4331" i="14"/>
  <c r="E4909" i="14" s="1"/>
  <c r="E4329" i="14"/>
  <c r="E4902" i="14" s="1"/>
  <c r="E4327" i="14"/>
  <c r="E4895" i="14" s="1"/>
  <c r="E4325" i="14"/>
  <c r="E4888" i="14" s="1"/>
  <c r="E3845" i="14"/>
  <c r="E3849" i="14"/>
  <c r="E3847" i="14"/>
  <c r="E3851" i="14"/>
  <c r="E4365" i="14"/>
  <c r="E4911" i="14" s="1"/>
  <c r="E4363" i="14"/>
  <c r="E4904" i="14" s="1"/>
  <c r="E4361" i="14"/>
  <c r="E4897" i="14" s="1"/>
  <c r="E4359" i="14"/>
  <c r="E4890" i="14" s="1"/>
  <c r="E4223" i="14"/>
  <c r="E4832" i="14" s="1"/>
  <c r="E4227" i="14"/>
  <c r="E4846" i="14" s="1"/>
  <c r="E4225" i="14"/>
  <c r="E4839" i="14" s="1"/>
  <c r="E4229" i="14"/>
  <c r="E4853" i="14" s="1"/>
  <c r="E3947" i="14"/>
  <c r="E4662" i="14" s="1"/>
  <c r="E3951" i="14"/>
  <c r="E4676" i="14" s="1"/>
  <c r="E3949" i="14"/>
  <c r="E4669" i="14" s="1"/>
  <c r="E3953" i="14"/>
  <c r="E4683" i="14" s="1"/>
  <c r="E4535" i="14"/>
  <c r="E5016" i="14" s="1"/>
  <c r="E4533" i="14"/>
  <c r="E5009" i="14" s="1"/>
  <c r="E4531" i="14"/>
  <c r="E5002" i="14" s="1"/>
  <c r="E4537" i="14"/>
  <c r="E5023" i="14" s="1"/>
  <c r="E4102" i="14"/>
  <c r="E4748" i="14" s="1"/>
  <c r="E4106" i="14"/>
  <c r="E4762" i="14" s="1"/>
  <c r="E4108" i="14"/>
  <c r="E4769" i="14" s="1"/>
  <c r="E4104" i="14"/>
  <c r="E4755" i="14" s="1"/>
  <c r="E4119" i="14"/>
  <c r="E4774" i="14" s="1"/>
  <c r="E4123" i="14"/>
  <c r="E4788" i="14" s="1"/>
  <c r="E4121" i="14"/>
  <c r="E4781" i="14" s="1"/>
  <c r="E4125" i="14"/>
  <c r="E4795" i="14" s="1"/>
  <c r="E4503" i="14"/>
  <c r="E4996" i="14" s="1"/>
  <c r="E4501" i="14"/>
  <c r="E4989" i="14" s="1"/>
  <c r="E4499" i="14"/>
  <c r="E4982" i="14" s="1"/>
  <c r="E4497" i="14"/>
  <c r="E4975" i="14" s="1"/>
  <c r="E4314" i="14"/>
  <c r="E4883" i="14" s="1"/>
  <c r="E4312" i="14"/>
  <c r="E4876" i="14" s="1"/>
  <c r="E4310" i="14"/>
  <c r="E4869" i="14" s="1"/>
  <c r="E4308" i="14"/>
  <c r="E4862" i="14" s="1"/>
  <c r="E4136" i="14"/>
  <c r="E4775" i="14" s="1"/>
  <c r="E4140" i="14"/>
  <c r="E4789" i="14" s="1"/>
  <c r="E4142" i="14"/>
  <c r="E4796" i="14" s="1"/>
  <c r="E4138" i="14"/>
  <c r="E4782" i="14" s="1"/>
  <c r="E3862" i="14"/>
  <c r="E3866" i="14"/>
  <c r="E3868" i="14"/>
  <c r="E3864" i="14"/>
  <c r="E4297" i="14"/>
  <c r="E4882" i="14" s="1"/>
  <c r="E4295" i="14"/>
  <c r="E4875" i="14" s="1"/>
  <c r="E4291" i="14"/>
  <c r="E4861" i="14" s="1"/>
  <c r="E4293" i="14"/>
  <c r="E4868" i="14" s="1"/>
  <c r="E4085" i="14"/>
  <c r="E4089" i="14"/>
  <c r="E4087" i="14"/>
  <c r="E4754" i="14" s="1"/>
  <c r="E4091" i="14"/>
  <c r="E4768" i="14" s="1"/>
  <c r="E4051" i="14"/>
  <c r="E4720" i="14" s="1"/>
  <c r="E4055" i="14"/>
  <c r="E4734" i="14" s="1"/>
  <c r="E4053" i="14"/>
  <c r="E4727" i="14" s="1"/>
  <c r="E4057" i="14"/>
  <c r="E4741" i="14" s="1"/>
  <c r="E3913" i="14"/>
  <c r="E4660" i="14" s="1"/>
  <c r="E3917" i="14"/>
  <c r="E4674" i="14" s="1"/>
  <c r="E3915" i="14"/>
  <c r="E4667" i="14" s="1"/>
  <c r="E3919" i="14"/>
  <c r="E4681" i="14" s="1"/>
  <c r="E4034" i="14"/>
  <c r="E4719" i="14" s="1"/>
  <c r="E4038" i="14"/>
  <c r="E4733" i="14" s="1"/>
  <c r="E4040" i="14"/>
  <c r="E4740" i="14" s="1"/>
  <c r="E4036" i="14"/>
  <c r="E4726" i="14" s="1"/>
  <c r="E4348" i="14"/>
  <c r="E4910" i="14" s="1"/>
  <c r="E4346" i="14"/>
  <c r="E4903" i="14" s="1"/>
  <c r="E4344" i="14"/>
  <c r="E4896" i="14" s="1"/>
  <c r="E4342" i="14"/>
  <c r="E4889" i="14" s="1"/>
  <c r="E4257" i="14"/>
  <c r="E4834" i="14" s="1"/>
  <c r="E4261" i="14"/>
  <c r="E4848" i="14" s="1"/>
  <c r="E4259" i="14"/>
  <c r="E4841" i="14" s="1"/>
  <c r="E4263" i="14"/>
  <c r="E4855" i="14" s="1"/>
  <c r="E4518" i="14"/>
  <c r="E4990" i="14" s="1"/>
  <c r="E4516" i="14"/>
  <c r="E4983" i="14" s="1"/>
  <c r="E4514" i="14"/>
  <c r="E4976" i="14" s="1"/>
  <c r="E4520" i="14"/>
  <c r="E4997" i="14" s="1"/>
  <c r="E4469" i="14"/>
  <c r="E4969" i="14" s="1"/>
  <c r="E4467" i="14"/>
  <c r="E4962" i="14" s="1"/>
  <c r="E4465" i="14"/>
  <c r="E4955" i="14" s="1"/>
  <c r="E4463" i="14"/>
  <c r="E4948" i="14" s="1"/>
  <c r="E3896" i="14"/>
  <c r="E3900" i="14"/>
  <c r="E3902" i="14"/>
  <c r="E3898" i="14"/>
  <c r="E4017" i="14"/>
  <c r="E4021" i="14"/>
  <c r="E4019" i="14"/>
  <c r="E4725" i="14" s="1"/>
  <c r="E4023" i="14"/>
  <c r="E4739" i="14" s="1"/>
  <c r="E4552" i="14"/>
  <c r="E5017" i="14" s="1"/>
  <c r="E4550" i="14"/>
  <c r="E5010" i="14" s="1"/>
  <c r="E4548" i="14"/>
  <c r="E4554" i="14"/>
  <c r="E5024" i="14" s="1"/>
  <c r="E3811" i="14"/>
  <c r="E3815" i="14"/>
  <c r="E3813" i="14"/>
  <c r="E3817" i="14"/>
  <c r="E4240" i="14"/>
  <c r="E4833" i="14" s="1"/>
  <c r="E4244" i="14"/>
  <c r="E4847" i="14" s="1"/>
  <c r="E4246" i="14"/>
  <c r="E4854" i="14" s="1"/>
  <c r="E4242" i="14"/>
  <c r="E4840" i="14" s="1"/>
  <c r="E4153" i="14"/>
  <c r="E4776" i="14" s="1"/>
  <c r="E4157" i="14"/>
  <c r="E4790" i="14" s="1"/>
  <c r="E4155" i="14"/>
  <c r="E4783" i="14" s="1"/>
  <c r="E4159" i="14"/>
  <c r="E4797" i="14" s="1"/>
  <c r="M147" i="73"/>
  <c r="E4732" i="14" l="1"/>
  <c r="E4761" i="14"/>
  <c r="E4718" i="14"/>
  <c r="E4747" i="14"/>
  <c r="E4918" i="14"/>
  <c r="E4932" i="14"/>
  <c r="E5003" i="14"/>
  <c r="E4584" i="14"/>
  <c r="E4583" i="14"/>
  <c r="E4598" i="14"/>
  <c r="E4599" i="14"/>
  <c r="E4585" i="14"/>
  <c r="E4576" i="14"/>
  <c r="E4577" i="14"/>
  <c r="E4578" i="14"/>
  <c r="E4590" i="14"/>
  <c r="E4597" i="14"/>
  <c r="E4591" i="14"/>
  <c r="E4592" i="14"/>
  <c r="E4655" i="14"/>
  <c r="E4653" i="14"/>
  <c r="E4654" i="14"/>
  <c r="E4639" i="14"/>
  <c r="E4640" i="14"/>
  <c r="E4634" i="14"/>
  <c r="E4632" i="14"/>
  <c r="E4633" i="14"/>
  <c r="E4641" i="14"/>
  <c r="E4648" i="14"/>
  <c r="E4646" i="14"/>
  <c r="E4647" i="14"/>
  <c r="E4625" i="14"/>
  <c r="E4627" i="14"/>
  <c r="E4626" i="14"/>
  <c r="E4604" i="14"/>
  <c r="E4606" i="14"/>
  <c r="E4605" i="14"/>
  <c r="E4611" i="14"/>
  <c r="E4613" i="14"/>
  <c r="E4612" i="14"/>
  <c r="E4618" i="14"/>
  <c r="E4620" i="14"/>
  <c r="E4619" i="14"/>
  <c r="E4650" i="14" l="1"/>
  <c r="E4657" i="14"/>
  <c r="E4643" i="14"/>
  <c r="E4636" i="14"/>
  <c r="E229" i="14" l="1"/>
  <c r="E228" i="14"/>
  <c r="E190" i="14"/>
  <c r="E186" i="14"/>
  <c r="E207" i="14"/>
  <c r="E220" i="14"/>
  <c r="E1479" i="35" l="1"/>
  <c r="E2190" i="35"/>
  <c r="E768" i="35"/>
  <c r="E910" i="35"/>
  <c r="E2237" i="35"/>
  <c r="E1906" i="35"/>
  <c r="E7" i="14"/>
  <c r="AG13" i="31" s="1"/>
  <c r="E8" i="14"/>
  <c r="AG18" i="31" s="1"/>
  <c r="S57" i="83"/>
  <c r="O57" i="85"/>
  <c r="AB57" i="85"/>
  <c r="S57" i="84"/>
  <c r="O57" i="83"/>
  <c r="AA57" i="85"/>
  <c r="E82" i="14"/>
  <c r="E70" i="14"/>
  <c r="E77" i="14"/>
  <c r="E84" i="14"/>
  <c r="E69" i="14"/>
  <c r="E76" i="14"/>
  <c r="E83" i="14"/>
  <c r="E139" i="14"/>
  <c r="E146" i="14"/>
  <c r="E107" i="14"/>
  <c r="E114" i="14"/>
  <c r="E138" i="14"/>
  <c r="E108" i="14"/>
  <c r="E115" i="14"/>
  <c r="E132" i="14"/>
  <c r="E101" i="14"/>
  <c r="E131" i="14"/>
  <c r="E145" i="14"/>
  <c r="E113" i="14"/>
  <c r="E137" i="14"/>
  <c r="E1219" i="8" l="1"/>
  <c r="E1215" i="8"/>
  <c r="E1211" i="8"/>
  <c r="E1207" i="8"/>
  <c r="E1213" i="8"/>
  <c r="E1209" i="8"/>
  <c r="E1205" i="8"/>
  <c r="E1208" i="8"/>
  <c r="E1206" i="8"/>
  <c r="E1220" i="8"/>
  <c r="E1204" i="8"/>
  <c r="E1210" i="8"/>
  <c r="E1212" i="8"/>
  <c r="E1321" i="36"/>
  <c r="E1313" i="36"/>
  <c r="E1320" i="36"/>
  <c r="E1312" i="36"/>
  <c r="E1330" i="36"/>
  <c r="E1319" i="36"/>
  <c r="E1311" i="36"/>
  <c r="E1310" i="36"/>
  <c r="E1326" i="36"/>
  <c r="E1333" i="36" s="1"/>
  <c r="E1318" i="36"/>
  <c r="E848" i="36"/>
  <c r="E837" i="36"/>
  <c r="E829" i="36"/>
  <c r="E838" i="36"/>
  <c r="E844" i="36"/>
  <c r="E851" i="36" s="1"/>
  <c r="E836" i="36"/>
  <c r="E828" i="36"/>
  <c r="E839" i="36"/>
  <c r="E831" i="36"/>
  <c r="E830" i="36"/>
  <c r="E923" i="36"/>
  <c r="E915" i="36"/>
  <c r="E916" i="36"/>
  <c r="E922" i="36"/>
  <c r="E914" i="36"/>
  <c r="E933" i="36"/>
  <c r="E929" i="36"/>
  <c r="E921" i="36"/>
  <c r="E913" i="36"/>
  <c r="E924" i="36"/>
  <c r="AU119" i="87"/>
  <c r="E556" i="36"/>
  <c r="E548" i="36"/>
  <c r="E565" i="36"/>
  <c r="E555" i="36"/>
  <c r="E547" i="36"/>
  <c r="E554" i="36"/>
  <c r="E546" i="36"/>
  <c r="E553" i="36"/>
  <c r="E545" i="36"/>
  <c r="E561" i="36"/>
  <c r="E613" i="36"/>
  <c r="E605" i="36"/>
  <c r="E622" i="36"/>
  <c r="E612" i="36"/>
  <c r="E604" i="36"/>
  <c r="E611" i="36"/>
  <c r="E603" i="36"/>
  <c r="E610" i="36"/>
  <c r="E602" i="36"/>
  <c r="E618" i="36"/>
  <c r="E1160" i="36"/>
  <c r="E1149" i="36"/>
  <c r="E1141" i="36"/>
  <c r="E1156" i="36"/>
  <c r="E1148" i="36"/>
  <c r="E1140" i="36"/>
  <c r="E1151" i="36"/>
  <c r="E1143" i="36"/>
  <c r="E1142" i="36"/>
  <c r="E1150" i="36"/>
  <c r="E1177" i="36"/>
  <c r="E1169" i="36"/>
  <c r="E1184" i="36"/>
  <c r="E1176" i="36"/>
  <c r="E1168" i="36"/>
  <c r="E1179" i="36"/>
  <c r="E1171" i="36"/>
  <c r="E1170" i="36"/>
  <c r="E1188" i="36"/>
  <c r="E1178" i="36"/>
  <c r="E1235" i="36"/>
  <c r="E1227" i="36"/>
  <c r="E1234" i="36"/>
  <c r="E1226" i="36"/>
  <c r="E1245" i="36"/>
  <c r="E1241" i="36"/>
  <c r="E1233" i="36"/>
  <c r="E1225" i="36"/>
  <c r="E1228" i="36"/>
  <c r="E1236" i="36"/>
  <c r="AU116" i="87"/>
  <c r="E480" i="36"/>
  <c r="E470" i="36"/>
  <c r="E462" i="36"/>
  <c r="E469" i="36"/>
  <c r="E461" i="36"/>
  <c r="E476" i="36"/>
  <c r="E468" i="36"/>
  <c r="E460" i="36"/>
  <c r="E471" i="36"/>
  <c r="E463" i="36"/>
  <c r="E497" i="36"/>
  <c r="E489" i="36"/>
  <c r="E504" i="36"/>
  <c r="E496" i="36"/>
  <c r="E488" i="36"/>
  <c r="E499" i="36"/>
  <c r="E491" i="36"/>
  <c r="E508" i="36"/>
  <c r="E498" i="36"/>
  <c r="E490" i="36"/>
  <c r="E895" i="36"/>
  <c r="E887" i="36"/>
  <c r="E894" i="36"/>
  <c r="E886" i="36"/>
  <c r="E905" i="36"/>
  <c r="E901" i="36"/>
  <c r="E893" i="36"/>
  <c r="E885" i="36"/>
  <c r="E896" i="36"/>
  <c r="E888" i="36"/>
  <c r="E1228" i="8"/>
  <c r="E1224" i="8"/>
  <c r="E1238" i="8"/>
  <c r="E1230" i="8"/>
  <c r="E1226" i="8"/>
  <c r="E1222" i="8"/>
  <c r="E1233" i="8"/>
  <c r="E1225" i="8"/>
  <c r="E1231" i="8"/>
  <c r="E1223" i="8"/>
  <c r="E1237" i="8"/>
  <c r="E1227" i="8"/>
  <c r="E1229" i="8"/>
  <c r="E1358" i="36"/>
  <c r="E1354" i="36"/>
  <c r="E1346" i="36"/>
  <c r="E1338" i="36"/>
  <c r="E1349" i="36"/>
  <c r="E1341" i="36"/>
  <c r="E1348" i="36"/>
  <c r="E1340" i="36"/>
  <c r="E1347" i="36"/>
  <c r="E1339" i="36"/>
  <c r="E772" i="8"/>
  <c r="E775" i="8"/>
  <c r="E766" i="8"/>
  <c r="E773" i="8"/>
  <c r="E774" i="8"/>
  <c r="E768" i="8"/>
  <c r="E771" i="8"/>
  <c r="E767" i="8"/>
  <c r="E650" i="36"/>
  <c r="E640" i="36"/>
  <c r="E632" i="36"/>
  <c r="E639" i="36"/>
  <c r="E631" i="36"/>
  <c r="E646" i="36"/>
  <c r="E638" i="36"/>
  <c r="E630" i="36"/>
  <c r="E641" i="36"/>
  <c r="E633" i="36"/>
  <c r="E785" i="8"/>
  <c r="E784" i="8"/>
  <c r="E780" i="8"/>
  <c r="E787" i="8"/>
  <c r="E779" i="8"/>
  <c r="E783" i="8"/>
  <c r="E786" i="8"/>
  <c r="E778" i="8"/>
  <c r="E667" i="36"/>
  <c r="E659" i="36"/>
  <c r="E674" i="36"/>
  <c r="E666" i="36"/>
  <c r="E658" i="36"/>
  <c r="E669" i="36"/>
  <c r="E661" i="36"/>
  <c r="E678" i="36"/>
  <c r="E668" i="36"/>
  <c r="E660" i="36"/>
  <c r="E945" i="36"/>
  <c r="E1012" i="8"/>
  <c r="E1006" i="8"/>
  <c r="E1002" i="8"/>
  <c r="E998" i="8"/>
  <c r="E1005" i="8"/>
  <c r="E997" i="8"/>
  <c r="E1008" i="8"/>
  <c r="E1003" i="8"/>
  <c r="E1004" i="8"/>
  <c r="E999" i="8"/>
  <c r="E1001" i="36"/>
  <c r="E1263" i="36"/>
  <c r="E1255" i="36"/>
  <c r="E1273" i="36"/>
  <c r="E1262" i="36"/>
  <c r="E1254" i="36"/>
  <c r="E1269" i="36"/>
  <c r="E1261" i="36"/>
  <c r="E1253" i="36"/>
  <c r="E1256" i="36"/>
  <c r="E1264" i="36"/>
  <c r="E985" i="8"/>
  <c r="E981" i="8"/>
  <c r="E987" i="8"/>
  <c r="E979" i="8"/>
  <c r="E994" i="8"/>
  <c r="E986" i="8"/>
  <c r="E984" i="8"/>
  <c r="E988" i="8"/>
  <c r="E990" i="8"/>
  <c r="E980" i="8"/>
  <c r="E973" i="36"/>
  <c r="E593" i="36"/>
  <c r="E583" i="36"/>
  <c r="E575" i="36"/>
  <c r="E582" i="36"/>
  <c r="E574" i="36"/>
  <c r="E589" i="36"/>
  <c r="E581" i="36"/>
  <c r="E573" i="36"/>
  <c r="E584" i="36"/>
  <c r="E576" i="36"/>
  <c r="AU122" i="87"/>
  <c r="E951" i="36"/>
  <c r="E943" i="36"/>
  <c r="E958" i="36"/>
  <c r="E950" i="36"/>
  <c r="E942" i="36"/>
  <c r="E953" i="36"/>
  <c r="E944" i="36"/>
  <c r="E952" i="36"/>
  <c r="E962" i="36"/>
  <c r="E1008" i="36"/>
  <c r="E1000" i="36"/>
  <c r="E1018" i="36"/>
  <c r="E1014" i="36"/>
  <c r="E1009" i="36"/>
  <c r="E1006" i="36"/>
  <c r="E999" i="36"/>
  <c r="E998" i="36"/>
  <c r="E1007" i="36"/>
  <c r="E990" i="36"/>
  <c r="E986" i="36"/>
  <c r="E978" i="36"/>
  <c r="E970" i="36"/>
  <c r="E981" i="36"/>
  <c r="E980" i="36"/>
  <c r="E972" i="36"/>
  <c r="E979" i="36"/>
  <c r="E971" i="36"/>
  <c r="E6888" i="14"/>
  <c r="E6882" i="14"/>
  <c r="E6873" i="14"/>
  <c r="E6887" i="14"/>
  <c r="E6892" i="14" s="1"/>
  <c r="E6881" i="14"/>
  <c r="E6872" i="14"/>
  <c r="E6893" i="14"/>
  <c r="E6886" i="14"/>
  <c r="E6878" i="14"/>
  <c r="E6871" i="14"/>
  <c r="E6891" i="14"/>
  <c r="E6883" i="14"/>
  <c r="E6877" i="14"/>
  <c r="E6870" i="14"/>
  <c r="E7183" i="14"/>
  <c r="E7175" i="14"/>
  <c r="E1104" i="8" s="1"/>
  <c r="E7169" i="14"/>
  <c r="E7162" i="14"/>
  <c r="E7179" i="14"/>
  <c r="E7184" i="14" s="1"/>
  <c r="E7173" i="14"/>
  <c r="E7164" i="14"/>
  <c r="E7185" i="14"/>
  <c r="E1106" i="8" s="1"/>
  <c r="E7170" i="14"/>
  <c r="E1105" i="8" s="1"/>
  <c r="E7180" i="14"/>
  <c r="E1102" i="8" s="1"/>
  <c r="E7165" i="14"/>
  <c r="E7163" i="14"/>
  <c r="E7174" i="14"/>
  <c r="E7178" i="14"/>
  <c r="E7343" i="14"/>
  <c r="E1218" i="8" s="1"/>
  <c r="E7336" i="14"/>
  <c r="E7328" i="14"/>
  <c r="E1217" i="8" s="1"/>
  <c r="E7321" i="14"/>
  <c r="E7338" i="14"/>
  <c r="E7332" i="14"/>
  <c r="E7323" i="14"/>
  <c r="E7331" i="14"/>
  <c r="E7341" i="14"/>
  <c r="E7327" i="14"/>
  <c r="E7337" i="14"/>
  <c r="E7342" i="14" s="1"/>
  <c r="E7320" i="14"/>
  <c r="E7322" i="14"/>
  <c r="E7333" i="14"/>
  <c r="E1216" i="8" s="1"/>
  <c r="E6967" i="14"/>
  <c r="E951" i="8" s="1"/>
  <c r="E6961" i="14"/>
  <c r="E6952" i="14"/>
  <c r="E6966" i="14"/>
  <c r="E6971" i="14" s="1"/>
  <c r="E6960" i="14"/>
  <c r="E6951" i="14"/>
  <c r="E6972" i="14"/>
  <c r="E955" i="8" s="1"/>
  <c r="E6965" i="14"/>
  <c r="E6957" i="14"/>
  <c r="E954" i="8" s="1"/>
  <c r="E6950" i="14"/>
  <c r="E6970" i="14"/>
  <c r="E6962" i="14"/>
  <c r="E953" i="8" s="1"/>
  <c r="E6956" i="14"/>
  <c r="E6949" i="14"/>
  <c r="E7258" i="14"/>
  <c r="E7263" i="14" s="1"/>
  <c r="E7252" i="14"/>
  <c r="E7243" i="14"/>
  <c r="E7262" i="14"/>
  <c r="E7254" i="14"/>
  <c r="E1160" i="8" s="1"/>
  <c r="E7248" i="14"/>
  <c r="E7241" i="14"/>
  <c r="E7259" i="14"/>
  <c r="E1158" i="8" s="1"/>
  <c r="E7244" i="14"/>
  <c r="E7257" i="14"/>
  <c r="E7242" i="14"/>
  <c r="E7253" i="14"/>
  <c r="E7264" i="14"/>
  <c r="E1162" i="8" s="1"/>
  <c r="E7249" i="14"/>
  <c r="E1161" i="8" s="1"/>
  <c r="E7364" i="14"/>
  <c r="E7358" i="14"/>
  <c r="E7349" i="14"/>
  <c r="E7369" i="14"/>
  <c r="E1236" i="8" s="1"/>
  <c r="E7362" i="14"/>
  <c r="E7354" i="14"/>
  <c r="E1235" i="8" s="1"/>
  <c r="E7347" i="14"/>
  <c r="E7359" i="14"/>
  <c r="E1234" i="8" s="1"/>
  <c r="E7346" i="14"/>
  <c r="E7357" i="14"/>
  <c r="E7367" i="14"/>
  <c r="E7348" i="14"/>
  <c r="E7353" i="14"/>
  <c r="E7363" i="14"/>
  <c r="E7368" i="14" s="1"/>
  <c r="E7023" i="14"/>
  <c r="E7015" i="14"/>
  <c r="E991" i="8" s="1"/>
  <c r="E7009" i="14"/>
  <c r="E7002" i="14"/>
  <c r="E7025" i="14"/>
  <c r="E993" i="8" s="1"/>
  <c r="E7020" i="14"/>
  <c r="E7014" i="14"/>
  <c r="E7005" i="14"/>
  <c r="E7019" i="14"/>
  <c r="E7024" i="14" s="1"/>
  <c r="E7013" i="14"/>
  <c r="E7004" i="14"/>
  <c r="E7018" i="14"/>
  <c r="E7010" i="14"/>
  <c r="E992" i="8" s="1"/>
  <c r="E7003" i="14"/>
  <c r="E7236" i="14"/>
  <c r="E7228" i="14"/>
  <c r="E7222" i="14"/>
  <c r="E7215" i="14"/>
  <c r="E7232" i="14"/>
  <c r="E7237" i="14" s="1"/>
  <c r="E7226" i="14"/>
  <c r="E7217" i="14"/>
  <c r="E7231" i="14"/>
  <c r="E7216" i="14"/>
  <c r="E7227" i="14"/>
  <c r="E7223" i="14"/>
  <c r="E7233" i="14"/>
  <c r="E7238" i="14"/>
  <c r="E7218" i="14"/>
  <c r="E7205" i="14"/>
  <c r="E7210" i="14" s="1"/>
  <c r="E7199" i="14"/>
  <c r="E7190" i="14"/>
  <c r="E7209" i="14"/>
  <c r="E7201" i="14"/>
  <c r="E1122" i="8" s="1"/>
  <c r="E7195" i="14"/>
  <c r="E7188" i="14"/>
  <c r="E7200" i="14"/>
  <c r="E7211" i="14"/>
  <c r="E1124" i="8" s="1"/>
  <c r="E7196" i="14"/>
  <c r="E1123" i="8" s="1"/>
  <c r="E7191" i="14"/>
  <c r="E7204" i="14"/>
  <c r="E7206" i="14"/>
  <c r="E1120" i="8" s="1"/>
  <c r="E7189" i="14"/>
  <c r="E6946" i="14"/>
  <c r="E937" i="8" s="1"/>
  <c r="E6939" i="14"/>
  <c r="E6931" i="14"/>
  <c r="E936" i="8" s="1"/>
  <c r="E6924" i="14"/>
  <c r="E6944" i="14"/>
  <c r="E6936" i="14"/>
  <c r="E935" i="8" s="1"/>
  <c r="E6930" i="14"/>
  <c r="E6923" i="14"/>
  <c r="E6941" i="14"/>
  <c r="E933" i="8" s="1"/>
  <c r="E6935" i="14"/>
  <c r="E6926" i="14"/>
  <c r="E6940" i="14"/>
  <c r="E6945" i="14" s="1"/>
  <c r="E6934" i="14"/>
  <c r="E6925" i="14"/>
  <c r="E6993" i="14"/>
  <c r="E6998" i="14" s="1"/>
  <c r="E6987" i="14"/>
  <c r="E6978" i="14"/>
  <c r="E6999" i="14"/>
  <c r="E975" i="8" s="1"/>
  <c r="E6992" i="14"/>
  <c r="E6984" i="14"/>
  <c r="E974" i="8" s="1"/>
  <c r="E6977" i="14"/>
  <c r="E6997" i="14"/>
  <c r="E6989" i="14"/>
  <c r="E973" i="8" s="1"/>
  <c r="E6983" i="14"/>
  <c r="E6976" i="14"/>
  <c r="E6994" i="14"/>
  <c r="E971" i="8" s="1"/>
  <c r="E6988" i="14"/>
  <c r="E6979" i="14"/>
  <c r="E7049" i="14"/>
  <c r="E7041" i="14"/>
  <c r="E1009" i="8" s="1"/>
  <c r="E7035" i="14"/>
  <c r="E7028" i="14"/>
  <c r="E7045" i="14"/>
  <c r="E7050" i="14" s="1"/>
  <c r="E7039" i="14"/>
  <c r="E7030" i="14"/>
  <c r="E7051" i="14"/>
  <c r="E1011" i="8" s="1"/>
  <c r="E7036" i="14"/>
  <c r="E1010" i="8" s="1"/>
  <c r="E7046" i="14"/>
  <c r="E7031" i="14"/>
  <c r="E7044" i="14"/>
  <c r="E7029" i="14"/>
  <c r="E7040" i="14"/>
  <c r="E7288" i="14"/>
  <c r="E7280" i="14"/>
  <c r="E1178" i="8" s="1"/>
  <c r="E7274" i="14"/>
  <c r="E7267" i="14"/>
  <c r="E7284" i="14"/>
  <c r="E7289" i="14" s="1"/>
  <c r="E7278" i="14"/>
  <c r="E7269" i="14"/>
  <c r="E7290" i="14"/>
  <c r="E1180" i="8" s="1"/>
  <c r="E7275" i="14"/>
  <c r="E1179" i="8" s="1"/>
  <c r="E7285" i="14"/>
  <c r="E1176" i="8" s="1"/>
  <c r="E7270" i="14"/>
  <c r="E7283" i="14"/>
  <c r="E7268" i="14"/>
  <c r="E7279" i="14"/>
  <c r="AS13" i="31"/>
  <c r="E3224" i="14"/>
  <c r="E3231" i="14"/>
  <c r="E3225" i="14"/>
  <c r="E3026" i="14"/>
  <c r="E3032" i="14"/>
  <c r="E3025" i="14"/>
  <c r="E2819" i="14"/>
  <c r="E2818" i="14"/>
  <c r="E2827" i="14"/>
  <c r="E2826" i="14"/>
  <c r="E3135" i="14"/>
  <c r="E3128" i="14"/>
  <c r="E3129" i="14"/>
  <c r="E3016" i="14"/>
  <c r="E3009" i="14"/>
  <c r="E3010" i="14"/>
  <c r="E3048" i="14"/>
  <c r="E3042" i="14"/>
  <c r="E3041" i="14"/>
  <c r="E2952" i="14"/>
  <c r="E2946" i="14"/>
  <c r="E2945" i="14"/>
  <c r="E3000" i="14"/>
  <c r="E2994" i="14"/>
  <c r="E2993" i="14"/>
  <c r="E2835" i="14"/>
  <c r="E2834" i="14"/>
  <c r="E3144" i="14"/>
  <c r="E3151" i="14"/>
  <c r="E3145" i="14"/>
  <c r="E3183" i="14"/>
  <c r="E3177" i="14"/>
  <c r="E3176" i="14"/>
  <c r="E2984" i="14"/>
  <c r="E2978" i="14"/>
  <c r="E2977" i="14"/>
  <c r="E3247" i="14"/>
  <c r="E3240" i="14"/>
  <c r="E3241" i="14"/>
  <c r="E2842" i="14"/>
  <c r="E2843" i="14"/>
  <c r="E2795" i="14"/>
  <c r="E2794" i="14"/>
  <c r="E2850" i="14"/>
  <c r="E2851" i="14"/>
  <c r="E2803" i="14"/>
  <c r="E2802" i="14"/>
  <c r="E3193" i="14"/>
  <c r="E3199" i="14"/>
  <c r="E3192" i="14"/>
  <c r="E894" i="8"/>
  <c r="E890" i="8"/>
  <c r="E886" i="8"/>
  <c r="E893" i="8"/>
  <c r="E889" i="8"/>
  <c r="E885" i="8"/>
  <c r="E900" i="8"/>
  <c r="E896" i="8"/>
  <c r="E892" i="8"/>
  <c r="E888" i="8"/>
  <c r="E891" i="8"/>
  <c r="E887" i="8"/>
  <c r="E947" i="8"/>
  <c r="E943" i="8"/>
  <c r="E950" i="8"/>
  <c r="E946" i="8"/>
  <c r="E942" i="8"/>
  <c r="E949" i="8"/>
  <c r="E945" i="8"/>
  <c r="E941" i="8"/>
  <c r="E956" i="8"/>
  <c r="E952" i="8"/>
  <c r="E948" i="8"/>
  <c r="E944" i="8"/>
  <c r="E734" i="8"/>
  <c r="E730" i="8"/>
  <c r="E737" i="8"/>
  <c r="E733" i="8"/>
  <c r="E729" i="8"/>
  <c r="E736" i="8"/>
  <c r="E728" i="8"/>
  <c r="E731" i="8"/>
  <c r="E732" i="8"/>
  <c r="E735" i="8"/>
  <c r="E747" i="8"/>
  <c r="E743" i="8"/>
  <c r="E746" i="8"/>
  <c r="E742" i="8"/>
  <c r="E744" i="8"/>
  <c r="E745" i="8"/>
  <c r="E748" i="8"/>
  <c r="E740" i="8"/>
  <c r="E741" i="8"/>
  <c r="E749" i="8"/>
  <c r="E762" i="8"/>
  <c r="E754" i="8"/>
  <c r="E761" i="8"/>
  <c r="E760" i="8"/>
  <c r="E763" i="8"/>
  <c r="E755" i="8"/>
  <c r="E756" i="8"/>
  <c r="E759" i="8"/>
  <c r="E1100" i="8"/>
  <c r="E1107" i="8"/>
  <c r="E1103" i="8"/>
  <c r="E1099" i="8"/>
  <c r="E1098" i="8"/>
  <c r="E1094" i="8"/>
  <c r="E1097" i="8"/>
  <c r="E1093" i="8"/>
  <c r="E1101" i="8"/>
  <c r="E1096" i="8"/>
  <c r="E1092" i="8"/>
  <c r="E1095" i="8"/>
  <c r="E1125" i="8"/>
  <c r="E1121" i="8"/>
  <c r="E1117" i="8"/>
  <c r="E1113" i="8"/>
  <c r="E1116" i="8"/>
  <c r="E1112" i="8"/>
  <c r="E1119" i="8"/>
  <c r="E1115" i="8"/>
  <c r="E1111" i="8"/>
  <c r="E1114" i="8"/>
  <c r="E1110" i="8"/>
  <c r="E1118" i="8"/>
  <c r="E1163" i="8"/>
  <c r="E1157" i="8"/>
  <c r="E1153" i="8"/>
  <c r="E1149" i="8"/>
  <c r="E1159" i="8"/>
  <c r="E1156" i="8"/>
  <c r="E1152" i="8"/>
  <c r="E1148" i="8"/>
  <c r="E1155" i="8"/>
  <c r="E1151" i="8"/>
  <c r="E1154" i="8"/>
  <c r="E1150" i="8"/>
  <c r="E938" i="8"/>
  <c r="E934" i="8"/>
  <c r="E930" i="8"/>
  <c r="E926" i="8"/>
  <c r="E929" i="8"/>
  <c r="E925" i="8"/>
  <c r="E932" i="8"/>
  <c r="E928" i="8"/>
  <c r="E924" i="8"/>
  <c r="E931" i="8"/>
  <c r="E927" i="8"/>
  <c r="E923" i="8"/>
  <c r="E697" i="8"/>
  <c r="E693" i="8"/>
  <c r="E696" i="8"/>
  <c r="E692" i="8"/>
  <c r="E699" i="8"/>
  <c r="E691" i="8"/>
  <c r="E694" i="8"/>
  <c r="E690" i="8"/>
  <c r="E695" i="8"/>
  <c r="E698" i="8"/>
  <c r="E710" i="8"/>
  <c r="E706" i="8"/>
  <c r="E702" i="8"/>
  <c r="E709" i="8"/>
  <c r="E705" i="8"/>
  <c r="E704" i="8"/>
  <c r="E707" i="8"/>
  <c r="E708" i="8"/>
  <c r="E711" i="8"/>
  <c r="E703" i="8"/>
  <c r="E1136" i="8"/>
  <c r="E1135" i="8"/>
  <c r="E1138" i="8"/>
  <c r="R65" i="85" s="1"/>
  <c r="E967" i="8"/>
  <c r="E970" i="8"/>
  <c r="E969" i="8"/>
  <c r="E976" i="8"/>
  <c r="E962" i="8"/>
  <c r="E972" i="8"/>
  <c r="E961" i="8"/>
  <c r="E968" i="8"/>
  <c r="E966" i="8"/>
  <c r="E963" i="8"/>
  <c r="E1172" i="8"/>
  <c r="E1168" i="8"/>
  <c r="E1175" i="8"/>
  <c r="E1171" i="8"/>
  <c r="E1167" i="8"/>
  <c r="E1174" i="8"/>
  <c r="E1170" i="8"/>
  <c r="E1166" i="8"/>
  <c r="E1169" i="8"/>
  <c r="E1181" i="8"/>
  <c r="E1177" i="8"/>
  <c r="E1173" i="8"/>
  <c r="AS157" i="84"/>
  <c r="AS157" i="85"/>
  <c r="AO156" i="83"/>
  <c r="E2188" i="35"/>
  <c r="E3343" i="14"/>
  <c r="E1524" i="35"/>
  <c r="E3323" i="14"/>
  <c r="E908" i="35"/>
  <c r="E3305" i="14"/>
  <c r="E2195" i="35"/>
  <c r="E2227" i="35"/>
  <c r="E2202" i="35"/>
  <c r="E1572" i="35"/>
  <c r="E3325" i="14"/>
  <c r="E1666" i="35"/>
  <c r="E3327" i="14"/>
  <c r="E2093" i="35"/>
  <c r="E3340" i="14"/>
  <c r="E2242" i="35"/>
  <c r="E2274" i="35"/>
  <c r="E2249" i="35"/>
  <c r="E780" i="35"/>
  <c r="E805" i="35"/>
  <c r="E773" i="35"/>
  <c r="E955" i="35"/>
  <c r="E3306" i="14"/>
  <c r="E1904" i="35"/>
  <c r="E3335" i="14"/>
  <c r="E1943" i="35"/>
  <c r="E1911" i="35"/>
  <c r="E1918" i="35"/>
  <c r="E947" i="35"/>
  <c r="E915" i="35"/>
  <c r="E922" i="35"/>
  <c r="E1484" i="35"/>
  <c r="E1491" i="35"/>
  <c r="E1516" i="35"/>
  <c r="E1382" i="35"/>
  <c r="E3319" i="14"/>
  <c r="E1619" i="35"/>
  <c r="E3326" i="14"/>
  <c r="E1003" i="35"/>
  <c r="E2307" i="35" s="1"/>
  <c r="E3308" i="14"/>
  <c r="E1951" i="35"/>
  <c r="E3336" i="14"/>
  <c r="E2046" i="35"/>
  <c r="E3339" i="14"/>
  <c r="E1477" i="35"/>
  <c r="E3322" i="14"/>
  <c r="E2235" i="35"/>
  <c r="E3344" i="14"/>
  <c r="E1050" i="35"/>
  <c r="E3309" i="14"/>
  <c r="E766" i="35"/>
  <c r="E3301" i="14"/>
  <c r="E1097" i="35"/>
  <c r="E3310" i="14"/>
  <c r="E813" i="35"/>
  <c r="E3302" i="14"/>
  <c r="E14" i="14"/>
  <c r="AO13" i="83" s="1"/>
  <c r="E169" i="14"/>
  <c r="E168" i="14"/>
  <c r="AG12" i="83"/>
  <c r="AS12" i="83" s="1"/>
  <c r="E13" i="14"/>
  <c r="E12" i="14"/>
  <c r="AO12" i="85"/>
  <c r="E24" i="14"/>
  <c r="AG12" i="84"/>
  <c r="E18" i="14"/>
  <c r="E17" i="14"/>
  <c r="AG12" i="85"/>
  <c r="E22" i="14"/>
  <c r="E174" i="14"/>
  <c r="E173" i="14"/>
  <c r="E172" i="14"/>
  <c r="E1937" i="14"/>
  <c r="E1939" i="14" s="1"/>
  <c r="E1852" i="14"/>
  <c r="E1854" i="14" s="1"/>
  <c r="E1979" i="14"/>
  <c r="E1981" i="14" s="1"/>
  <c r="E1835" i="14"/>
  <c r="E1837" i="14" s="1"/>
  <c r="E1860" i="14"/>
  <c r="E1862" i="14" s="1"/>
  <c r="E1877" i="14"/>
  <c r="E1879" i="14" s="1"/>
  <c r="E1929" i="14"/>
  <c r="E1931" i="14" s="1"/>
  <c r="E1954" i="14"/>
  <c r="E1956" i="14" s="1"/>
  <c r="E1987" i="14"/>
  <c r="E1989" i="14" s="1"/>
  <c r="E1869" i="14"/>
  <c r="E1871" i="14" s="1"/>
  <c r="E1885" i="14"/>
  <c r="E1887" i="14" s="1"/>
  <c r="E1962" i="14"/>
  <c r="E1964" i="14" s="1"/>
  <c r="E19" i="14"/>
  <c r="AO13" i="84" s="1"/>
  <c r="E6141" i="14"/>
  <c r="E6105" i="14"/>
  <c r="E6040" i="14"/>
  <c r="E6052" i="14"/>
  <c r="E6064" i="14"/>
  <c r="E6123" i="14"/>
  <c r="E6135" i="14"/>
  <c r="E6028" i="14"/>
  <c r="E6046" i="14"/>
  <c r="E6058" i="14"/>
  <c r="E6111" i="14"/>
  <c r="E23" i="14"/>
  <c r="E6117" i="14"/>
  <c r="E6099" i="14"/>
  <c r="E7574" i="14"/>
  <c r="E7586" i="14"/>
  <c r="E7562" i="14"/>
  <c r="E7519" i="14"/>
  <c r="E7531" i="14"/>
  <c r="E7507" i="14"/>
  <c r="E7476" i="14"/>
  <c r="E7464" i="14"/>
  <c r="E7452" i="14"/>
  <c r="J244" i="58"/>
  <c r="J240" i="58"/>
  <c r="J172" i="58"/>
  <c r="J97" i="58"/>
  <c r="J98" i="58"/>
  <c r="J169" i="58"/>
  <c r="J173" i="58"/>
  <c r="J101" i="58"/>
  <c r="J102" i="58"/>
  <c r="J242" i="58"/>
  <c r="J241" i="58"/>
  <c r="J243" i="58"/>
  <c r="J239" i="58"/>
  <c r="J109" i="58"/>
  <c r="J251" i="58"/>
  <c r="J181" i="58"/>
  <c r="J180" i="58"/>
  <c r="J252" i="58"/>
  <c r="J178" i="58"/>
  <c r="J179" i="58"/>
  <c r="J110" i="58"/>
  <c r="J108" i="58"/>
  <c r="J107" i="58"/>
  <c r="E162" i="8"/>
  <c r="E150" i="8"/>
  <c r="E121" i="8"/>
  <c r="E114" i="8"/>
  <c r="E86" i="14"/>
  <c r="E79" i="14"/>
  <c r="E65" i="14"/>
  <c r="E188" i="8"/>
  <c r="E194" i="8"/>
  <c r="E195" i="8"/>
  <c r="E156" i="8"/>
  <c r="E164" i="8"/>
  <c r="E157" i="8"/>
  <c r="E163" i="8"/>
  <c r="E149" i="8"/>
  <c r="E41" i="14"/>
  <c r="E34" i="14"/>
  <c r="E212" i="8"/>
  <c r="E219" i="8"/>
  <c r="E226" i="8"/>
  <c r="E218" i="8"/>
  <c r="E55" i="14"/>
  <c r="E72" i="14"/>
  <c r="E225" i="8"/>
  <c r="E148" i="14"/>
  <c r="E181" i="8"/>
  <c r="E183" i="8" s="1"/>
  <c r="E103" i="14"/>
  <c r="E96" i="14"/>
  <c r="E176" i="8"/>
  <c r="E211" i="8"/>
  <c r="E134" i="14"/>
  <c r="E207" i="8"/>
  <c r="E127" i="14"/>
  <c r="E187" i="8"/>
  <c r="E110" i="14"/>
  <c r="E217" i="8"/>
  <c r="E141" i="14"/>
  <c r="E193" i="8"/>
  <c r="E117" i="14"/>
  <c r="E3349" i="14"/>
  <c r="B42" i="23"/>
  <c r="D41" i="23"/>
  <c r="B40" i="23"/>
  <c r="B39" i="23"/>
  <c r="B38" i="23"/>
  <c r="B35" i="23"/>
  <c r="E2312" i="35" l="1"/>
  <c r="E898" i="8"/>
  <c r="E895" i="8"/>
  <c r="E8179" i="14" s="1"/>
  <c r="E897" i="8"/>
  <c r="E899" i="8"/>
  <c r="E8204" i="14"/>
  <c r="E8208" i="14"/>
  <c r="E8184" i="14"/>
  <c r="E8203" i="14"/>
  <c r="E8209" i="14"/>
  <c r="E8187" i="14"/>
  <c r="E8183" i="14"/>
  <c r="AS12" i="85"/>
  <c r="E4771" i="14"/>
  <c r="E4764" i="14"/>
  <c r="E4757" i="14"/>
  <c r="E4750" i="14"/>
  <c r="AS12" i="84"/>
  <c r="E4999" i="14"/>
  <c r="E4992" i="14"/>
  <c r="E4985" i="14"/>
  <c r="E4978" i="14"/>
  <c r="E4885" i="14"/>
  <c r="E4878" i="14"/>
  <c r="E4871" i="14"/>
  <c r="E4864" i="14"/>
  <c r="E4685" i="14"/>
  <c r="E4678" i="14"/>
  <c r="E4671" i="14"/>
  <c r="E4664" i="14"/>
  <c r="E4601" i="14"/>
  <c r="E4587" i="14"/>
  <c r="E4580" i="14"/>
  <c r="E4594" i="14"/>
  <c r="E4799" i="14"/>
  <c r="E4792" i="14"/>
  <c r="E4778" i="14"/>
  <c r="E4785" i="14"/>
  <c r="E4829" i="14"/>
  <c r="E4822" i="14"/>
  <c r="E4815" i="14"/>
  <c r="E4808" i="14"/>
  <c r="E4743" i="14"/>
  <c r="E4736" i="14"/>
  <c r="E4729" i="14"/>
  <c r="E4722" i="14"/>
  <c r="E4913" i="14"/>
  <c r="E4906" i="14"/>
  <c r="E4899" i="14"/>
  <c r="E4892" i="14"/>
  <c r="E4943" i="14"/>
  <c r="E4936" i="14"/>
  <c r="E4929" i="14"/>
  <c r="E4922" i="14"/>
  <c r="E4971" i="14"/>
  <c r="E4964" i="14"/>
  <c r="E4957" i="14"/>
  <c r="E4950" i="14"/>
  <c r="E4857" i="14"/>
  <c r="E4850" i="14"/>
  <c r="E4843" i="14"/>
  <c r="E4836" i="14"/>
  <c r="E5027" i="14"/>
  <c r="E5020" i="14"/>
  <c r="E5013" i="14"/>
  <c r="E5006" i="14"/>
  <c r="E4629" i="14"/>
  <c r="E4622" i="14"/>
  <c r="E4615" i="14"/>
  <c r="E4608" i="14"/>
  <c r="E4715" i="14"/>
  <c r="E4708" i="14"/>
  <c r="E4701" i="14"/>
  <c r="E4694" i="14"/>
  <c r="E2464" i="14"/>
  <c r="E2456" i="14"/>
  <c r="E2388" i="14"/>
  <c r="E2418" i="14"/>
  <c r="E2380" i="14"/>
  <c r="E2426" i="14"/>
  <c r="E1145" i="36"/>
  <c r="E2265" i="14"/>
  <c r="E2235" i="14"/>
  <c r="E2295" i="14"/>
  <c r="E2303" i="14"/>
  <c r="E2273" i="14"/>
  <c r="E2311" i="14"/>
  <c r="E493" i="36"/>
  <c r="E625" i="36"/>
  <c r="E918" i="36"/>
  <c r="E1153" i="36"/>
  <c r="E558" i="36"/>
  <c r="E1315" i="36"/>
  <c r="E898" i="36"/>
  <c r="E1238" i="36"/>
  <c r="E681" i="36"/>
  <c r="E1173" i="36"/>
  <c r="E1191" i="36"/>
  <c r="E615" i="36"/>
  <c r="E926" i="36"/>
  <c r="E596" i="36"/>
  <c r="E465" i="36"/>
  <c r="E484" i="36" s="1"/>
  <c r="E568" i="36"/>
  <c r="E936" i="36"/>
  <c r="E653" i="36"/>
  <c r="E586" i="36"/>
  <c r="E578" i="36"/>
  <c r="E671" i="36"/>
  <c r="E1361" i="36"/>
  <c r="E908" i="36"/>
  <c r="E890" i="36"/>
  <c r="E1248" i="36"/>
  <c r="E1230" i="36"/>
  <c r="E1181" i="36"/>
  <c r="E1163" i="36"/>
  <c r="E1266" i="36"/>
  <c r="E947" i="36"/>
  <c r="E501" i="36"/>
  <c r="E473" i="36"/>
  <c r="E1007" i="8"/>
  <c r="E989" i="8"/>
  <c r="E1276" i="36"/>
  <c r="E1258" i="36"/>
  <c r="E663" i="36"/>
  <c r="E643" i="36"/>
  <c r="E635" i="36"/>
  <c r="E1343" i="36"/>
  <c r="E511" i="36"/>
  <c r="E483" i="36"/>
  <c r="E607" i="36"/>
  <c r="E550" i="36"/>
  <c r="E1232" i="8"/>
  <c r="E1214" i="8"/>
  <c r="E1351" i="36"/>
  <c r="E833" i="36"/>
  <c r="E841" i="36"/>
  <c r="E1323" i="36"/>
  <c r="E965" i="36"/>
  <c r="E955" i="36"/>
  <c r="E983" i="36"/>
  <c r="E993" i="36"/>
  <c r="E1011" i="36"/>
  <c r="E1021" i="36"/>
  <c r="E119" i="14"/>
  <c r="E5682" i="14" s="1"/>
  <c r="E150" i="14"/>
  <c r="E5693" i="14" s="1"/>
  <c r="E88" i="14"/>
  <c r="E5671" i="14" s="1"/>
  <c r="E154" i="14"/>
  <c r="E57" i="14"/>
  <c r="O64" i="85"/>
  <c r="T64" i="85"/>
  <c r="AB64" i="84"/>
  <c r="P64" i="83"/>
  <c r="AA64" i="83"/>
  <c r="S64" i="84"/>
  <c r="P64" i="84"/>
  <c r="AA64" i="85"/>
  <c r="T64" i="83"/>
  <c r="Z64" i="84"/>
  <c r="AB64" i="83"/>
  <c r="O64" i="83"/>
  <c r="AB64" i="85"/>
  <c r="S64" i="85"/>
  <c r="P64" i="85"/>
  <c r="Z64" i="83"/>
  <c r="AA64" i="84"/>
  <c r="S64" i="83"/>
  <c r="T64" i="84"/>
  <c r="N57" i="31"/>
  <c r="R57" i="31"/>
  <c r="O57" i="31"/>
  <c r="S57" i="31"/>
  <c r="E388" i="35"/>
  <c r="E425" i="35" s="1"/>
  <c r="T57" i="31"/>
  <c r="Z70" i="83"/>
  <c r="Z65" i="83"/>
  <c r="T70" i="83"/>
  <c r="T65" i="83"/>
  <c r="T70" i="85"/>
  <c r="T65" i="85"/>
  <c r="AB70" i="84"/>
  <c r="AB65" i="84"/>
  <c r="O65" i="83"/>
  <c r="O70" i="83"/>
  <c r="O65" i="85"/>
  <c r="O70" i="85"/>
  <c r="P70" i="85"/>
  <c r="P65" i="85"/>
  <c r="P65" i="83"/>
  <c r="P70" i="83"/>
  <c r="AA70" i="83"/>
  <c r="AA65" i="83"/>
  <c r="AB65" i="83"/>
  <c r="AB70" i="83"/>
  <c r="S70" i="85"/>
  <c r="S65" i="85"/>
  <c r="AA70" i="85"/>
  <c r="AA65" i="85"/>
  <c r="S70" i="83"/>
  <c r="S65" i="83"/>
  <c r="AA70" i="84"/>
  <c r="AA65" i="84"/>
  <c r="T70" i="84"/>
  <c r="T65" i="84"/>
  <c r="P65" i="84"/>
  <c r="P70" i="84"/>
  <c r="Z70" i="84"/>
  <c r="Z65" i="84"/>
  <c r="AB70" i="85"/>
  <c r="AB65" i="85"/>
  <c r="S65" i="84"/>
  <c r="S70" i="84"/>
  <c r="Y70" i="83"/>
  <c r="Y70" i="84"/>
  <c r="AG18" i="85"/>
  <c r="U57" i="84"/>
  <c r="U57" i="85"/>
  <c r="U57" i="83"/>
  <c r="E208" i="14"/>
  <c r="AG18" i="84"/>
  <c r="E206" i="14"/>
  <c r="E187" i="14"/>
  <c r="AG13" i="83"/>
  <c r="E185" i="14"/>
  <c r="E221" i="14"/>
  <c r="AG13" i="85"/>
  <c r="E219" i="14"/>
  <c r="E191" i="14"/>
  <c r="AG18" i="83"/>
  <c r="E189" i="14"/>
  <c r="AO13" i="85"/>
  <c r="E227" i="14"/>
  <c r="E204" i="14"/>
  <c r="AG13" i="84"/>
  <c r="E202" i="14"/>
  <c r="E203" i="14"/>
  <c r="E212" i="14"/>
  <c r="E211" i="14"/>
  <c r="E194" i="14"/>
  <c r="E195" i="14"/>
  <c r="E41" i="23"/>
  <c r="E193" i="14"/>
  <c r="E7479" i="14"/>
  <c r="AG47" i="83" s="1"/>
  <c r="E7534" i="14"/>
  <c r="AG47" i="84" s="1"/>
  <c r="E7577" i="14"/>
  <c r="AG46" i="85" s="1"/>
  <c r="E6126" i="14"/>
  <c r="E6125" i="14"/>
  <c r="E7455" i="14"/>
  <c r="AG45" i="83" s="1"/>
  <c r="E54" i="87" s="1"/>
  <c r="E7522" i="14"/>
  <c r="AG46" i="84" s="1"/>
  <c r="E7565" i="14"/>
  <c r="AG45" i="85" s="1"/>
  <c r="E6120" i="14"/>
  <c r="E6119" i="14"/>
  <c r="E6067" i="14"/>
  <c r="E6066" i="14"/>
  <c r="E7510" i="14"/>
  <c r="AG45" i="84" s="1"/>
  <c r="E6138" i="14"/>
  <c r="E6137" i="14"/>
  <c r="E6144" i="14"/>
  <c r="E6143" i="14"/>
  <c r="E6055" i="14"/>
  <c r="E6054" i="14"/>
  <c r="E6043" i="14"/>
  <c r="E6042" i="14"/>
  <c r="E6102" i="14"/>
  <c r="E6101" i="14"/>
  <c r="E6061" i="14"/>
  <c r="E6060" i="14"/>
  <c r="E6108" i="14"/>
  <c r="E6107" i="14"/>
  <c r="E7467" i="14"/>
  <c r="AG46" i="83" s="1"/>
  <c r="E7589" i="14"/>
  <c r="AG47" i="85" s="1"/>
  <c r="E6114" i="14"/>
  <c r="E6113" i="14"/>
  <c r="E6049" i="14"/>
  <c r="E6048" i="14"/>
  <c r="E6031" i="14"/>
  <c r="E6030" i="14"/>
  <c r="E7573" i="14"/>
  <c r="E7518" i="14"/>
  <c r="E7561" i="14"/>
  <c r="E7585" i="14"/>
  <c r="E7506" i="14"/>
  <c r="E7463" i="14"/>
  <c r="E7451" i="14"/>
  <c r="E7475" i="14"/>
  <c r="E7530" i="14"/>
  <c r="E156" i="14"/>
  <c r="E155" i="14"/>
  <c r="E157" i="14"/>
  <c r="E210" i="14"/>
  <c r="E225" i="14"/>
  <c r="E224" i="14"/>
  <c r="E223" i="14"/>
  <c r="E145" i="8"/>
  <c r="E152" i="8"/>
  <c r="E135" i="8"/>
  <c r="E137" i="8" s="1"/>
  <c r="E190" i="8"/>
  <c r="E166" i="8"/>
  <c r="E197" i="8"/>
  <c r="E159" i="8"/>
  <c r="E214" i="8"/>
  <c r="E221" i="8"/>
  <c r="E228" i="8"/>
  <c r="E3350" i="14"/>
  <c r="AG87" i="85" l="1"/>
  <c r="E1192" i="36"/>
  <c r="E937" i="36"/>
  <c r="E2458" i="14"/>
  <c r="E2460" i="14" s="1"/>
  <c r="E8213" i="14"/>
  <c r="E8188" i="14"/>
  <c r="E8189" i="14"/>
  <c r="E477" i="36"/>
  <c r="E1157" i="36"/>
  <c r="E2382" i="14"/>
  <c r="E2420" i="14"/>
  <c r="E2422" i="14" s="1"/>
  <c r="E512" i="36"/>
  <c r="E2297" i="14"/>
  <c r="E2237" i="14"/>
  <c r="E2239" i="14" s="1"/>
  <c r="E2428" i="14"/>
  <c r="E2430" i="14" s="1"/>
  <c r="E8214" i="14"/>
  <c r="E1327" i="36"/>
  <c r="E2267" i="14"/>
  <c r="E2269" i="14" s="1"/>
  <c r="E2390" i="14"/>
  <c r="E2392" i="14" s="1"/>
  <c r="E2466" i="14"/>
  <c r="E2468" i="14" s="1"/>
  <c r="E5683" i="14"/>
  <c r="E5685" i="14" s="1"/>
  <c r="E5672" i="14"/>
  <c r="E5674" i="14" s="1"/>
  <c r="E5694" i="14"/>
  <c r="E5696" i="14" s="1"/>
  <c r="E5660" i="14"/>
  <c r="E5661" i="14" s="1"/>
  <c r="AK5" i="31" s="1"/>
  <c r="E1164" i="36"/>
  <c r="E1334" i="36"/>
  <c r="E2305" i="14"/>
  <c r="E2307" i="14" s="1"/>
  <c r="E2275" i="14"/>
  <c r="E2277" i="14" s="1"/>
  <c r="E2313" i="14"/>
  <c r="E2315" i="14" s="1"/>
  <c r="E505" i="36"/>
  <c r="E1185" i="36"/>
  <c r="E930" i="36"/>
  <c r="E758" i="8"/>
  <c r="E757" i="8"/>
  <c r="E764" i="8"/>
  <c r="AR107" i="83"/>
  <c r="E1249" i="36"/>
  <c r="E1242" i="36"/>
  <c r="E909" i="36"/>
  <c r="E902" i="36"/>
  <c r="E590" i="36"/>
  <c r="E597" i="36"/>
  <c r="E781" i="8"/>
  <c r="E788" i="8"/>
  <c r="E782" i="8"/>
  <c r="E965" i="8"/>
  <c r="AR107" i="84"/>
  <c r="E964" i="8"/>
  <c r="E977" i="8"/>
  <c r="E995" i="8"/>
  <c r="E983" i="8"/>
  <c r="E982" i="8"/>
  <c r="E619" i="36"/>
  <c r="E626" i="36"/>
  <c r="E1362" i="36"/>
  <c r="E1355" i="36"/>
  <c r="E675" i="36"/>
  <c r="E682" i="36"/>
  <c r="E1270" i="36"/>
  <c r="E1277" i="36"/>
  <c r="E562" i="36"/>
  <c r="E569" i="36"/>
  <c r="E647" i="36"/>
  <c r="E654" i="36"/>
  <c r="E1013" i="8"/>
  <c r="E1000" i="8"/>
  <c r="E1001" i="8"/>
  <c r="E776" i="8"/>
  <c r="E770" i="8"/>
  <c r="E769" i="8"/>
  <c r="E852" i="36"/>
  <c r="E845" i="36"/>
  <c r="Y64" i="84"/>
  <c r="E393" i="35"/>
  <c r="E6071" i="14"/>
  <c r="E6148" i="14"/>
  <c r="E230" i="8"/>
  <c r="E199" i="8"/>
  <c r="E168" i="8"/>
  <c r="AG85" i="84"/>
  <c r="E6070" i="14"/>
  <c r="E6147" i="14"/>
  <c r="E7660" i="14" s="1"/>
  <c r="AS13" i="85"/>
  <c r="AS13" i="84"/>
  <c r="AS13" i="83"/>
  <c r="E234" i="8"/>
  <c r="Y64" i="83"/>
  <c r="E1384" i="35"/>
  <c r="E1396" i="35" s="1"/>
  <c r="E1526" i="35"/>
  <c r="E1531" i="35" s="1"/>
  <c r="E815" i="35"/>
  <c r="E820" i="35" s="1"/>
  <c r="E1953" i="35"/>
  <c r="E1990" i="35" s="1"/>
  <c r="E957" i="35"/>
  <c r="E962" i="35" s="1"/>
  <c r="E400" i="35"/>
  <c r="M57" i="31"/>
  <c r="E1005" i="35"/>
  <c r="E1099" i="35"/>
  <c r="E1574" i="35"/>
  <c r="E1621" i="35"/>
  <c r="E2048" i="35"/>
  <c r="E1668" i="35"/>
  <c r="E2095" i="35"/>
  <c r="E1052" i="35"/>
  <c r="O57" i="84"/>
  <c r="Q57" i="31"/>
  <c r="Z57" i="85"/>
  <c r="Y57" i="85" s="1"/>
  <c r="N57" i="83"/>
  <c r="N57" i="85"/>
  <c r="R57" i="83"/>
  <c r="N57" i="84"/>
  <c r="R57" i="84"/>
  <c r="T57" i="83"/>
  <c r="P57" i="84"/>
  <c r="T57" i="84"/>
  <c r="P57" i="83"/>
  <c r="P57" i="85"/>
  <c r="R57" i="85"/>
  <c r="S57" i="85"/>
  <c r="AG86" i="85"/>
  <c r="T57" i="85"/>
  <c r="AA57" i="84"/>
  <c r="AB57" i="84"/>
  <c r="AA57" i="83"/>
  <c r="AB57" i="83"/>
  <c r="Z57" i="84"/>
  <c r="Z57" i="83"/>
  <c r="AG87" i="84"/>
  <c r="AG85" i="85"/>
  <c r="AG86" i="84"/>
  <c r="AG90" i="84"/>
  <c r="AG91" i="84"/>
  <c r="AG89" i="84"/>
  <c r="AG91" i="85"/>
  <c r="AG90" i="85"/>
  <c r="AG89" i="85"/>
  <c r="E235" i="8"/>
  <c r="E236" i="8"/>
  <c r="E237" i="8"/>
  <c r="AK5" i="83"/>
  <c r="AK5" i="85"/>
  <c r="AK5" i="84"/>
  <c r="E8190" i="14" l="1"/>
  <c r="E994" i="35"/>
  <c r="E1965" i="35"/>
  <c r="E1563" i="35"/>
  <c r="E1958" i="35"/>
  <c r="AU118" i="87"/>
  <c r="AU121" i="87"/>
  <c r="AU112" i="87"/>
  <c r="AU112" i="51"/>
  <c r="E852" i="35"/>
  <c r="E1389" i="35"/>
  <c r="E1421" i="35"/>
  <c r="E1538" i="35"/>
  <c r="E827" i="35"/>
  <c r="E969" i="35"/>
  <c r="M57" i="83"/>
  <c r="AU121" i="51"/>
  <c r="AU118" i="51"/>
  <c r="E7659" i="14"/>
  <c r="M146" i="73"/>
  <c r="Q57" i="84"/>
  <c r="E1057" i="35"/>
  <c r="E1064" i="35"/>
  <c r="E1089" i="35"/>
  <c r="E2100" i="35"/>
  <c r="E2132" i="35"/>
  <c r="E2107" i="35"/>
  <c r="E1579" i="35"/>
  <c r="E1586" i="35"/>
  <c r="E1611" i="35"/>
  <c r="E1104" i="35"/>
  <c r="E1111" i="35"/>
  <c r="E1136" i="35"/>
  <c r="E2085" i="35"/>
  <c r="E2060" i="35"/>
  <c r="E2053" i="35"/>
  <c r="E1705" i="35"/>
  <c r="E1673" i="35"/>
  <c r="E1680" i="35"/>
  <c r="E1658" i="35"/>
  <c r="E1633" i="35"/>
  <c r="E1626" i="35"/>
  <c r="E1017" i="35"/>
  <c r="E1042" i="35"/>
  <c r="E1010" i="35"/>
  <c r="Q57" i="83"/>
  <c r="M57" i="84"/>
  <c r="M57" i="85"/>
  <c r="Q57" i="85"/>
  <c r="AS77" i="85"/>
  <c r="AS80" i="85"/>
  <c r="AS77" i="84"/>
  <c r="Y57" i="84"/>
  <c r="AS73" i="84"/>
  <c r="AS80" i="84"/>
  <c r="AS81" i="84"/>
  <c r="AS81" i="85"/>
  <c r="AS76" i="85"/>
  <c r="AS79" i="84"/>
  <c r="AS72" i="85"/>
  <c r="AS73" i="85"/>
  <c r="Y57" i="83"/>
  <c r="E5663" i="14"/>
  <c r="AU115" i="87" l="1"/>
  <c r="AU115" i="51"/>
  <c r="P5" i="83"/>
  <c r="P34" i="83" s="1"/>
  <c r="L57" i="83"/>
  <c r="L57" i="84"/>
  <c r="L57" i="85"/>
  <c r="T6" i="84"/>
  <c r="T32" i="84" s="1"/>
  <c r="T6" i="83"/>
  <c r="P6" i="84"/>
  <c r="P32" i="84" s="1"/>
  <c r="P5" i="84"/>
  <c r="P31" i="84" s="1"/>
  <c r="AA6" i="85"/>
  <c r="AA32" i="85" s="1"/>
  <c r="AA77" i="85"/>
  <c r="AA66" i="85" s="1"/>
  <c r="AA79" i="85"/>
  <c r="AA69" i="85" s="1"/>
  <c r="P77" i="83"/>
  <c r="P66" i="83" s="1"/>
  <c r="P79" i="83"/>
  <c r="P69" i="83" s="1"/>
  <c r="P77" i="84"/>
  <c r="P66" i="84" s="1"/>
  <c r="P79" i="84"/>
  <c r="P69" i="84" s="1"/>
  <c r="AB79" i="85"/>
  <c r="AB69" i="85" s="1"/>
  <c r="AB77" i="85"/>
  <c r="AB66" i="85" s="1"/>
  <c r="P77" i="85"/>
  <c r="P66" i="85" s="1"/>
  <c r="P79" i="85"/>
  <c r="P69" i="85" s="1"/>
  <c r="O77" i="85"/>
  <c r="O66" i="85" s="1"/>
  <c r="O79" i="85"/>
  <c r="O69" i="85" s="1"/>
  <c r="T77" i="83"/>
  <c r="T66" i="83" s="1"/>
  <c r="T79" i="83"/>
  <c r="T69" i="83" s="1"/>
  <c r="T77" i="84"/>
  <c r="T66" i="84" s="1"/>
  <c r="T79" i="84"/>
  <c r="T69" i="84" s="1"/>
  <c r="P58" i="83"/>
  <c r="O58" i="85"/>
  <c r="AB58" i="85"/>
  <c r="AA58" i="85"/>
  <c r="P58" i="85"/>
  <c r="T58" i="84"/>
  <c r="P58" i="84"/>
  <c r="T5" i="84"/>
  <c r="T31" i="84" s="1"/>
  <c r="AB6" i="85"/>
  <c r="AB32" i="85" s="1"/>
  <c r="O58" i="83"/>
  <c r="T58" i="83"/>
  <c r="P6" i="83"/>
  <c r="O6" i="85"/>
  <c r="O32" i="85" s="1"/>
  <c r="P6" i="85"/>
  <c r="P32" i="85" s="1"/>
  <c r="O5" i="85"/>
  <c r="O31" i="85" s="1"/>
  <c r="E7673" i="14"/>
  <c r="T5" i="83" l="1"/>
  <c r="P31" i="83"/>
  <c r="P32" i="83"/>
  <c r="P5" i="85"/>
  <c r="P31" i="85" s="1"/>
  <c r="S6" i="84"/>
  <c r="S32" i="84" s="1"/>
  <c r="AB5" i="85"/>
  <c r="AB31" i="85" s="1"/>
  <c r="T6" i="85"/>
  <c r="T32" i="85" s="1"/>
  <c r="T77" i="85"/>
  <c r="T66" i="85" s="1"/>
  <c r="T79" i="85"/>
  <c r="T69" i="85" s="1"/>
  <c r="O77" i="83"/>
  <c r="O66" i="83" s="1"/>
  <c r="O79" i="83"/>
  <c r="O69" i="83" s="1"/>
  <c r="AA77" i="84"/>
  <c r="AA66" i="84" s="1"/>
  <c r="AA79" i="84"/>
  <c r="AA69" i="84" s="1"/>
  <c r="S77" i="84"/>
  <c r="S66" i="84" s="1"/>
  <c r="S79" i="84"/>
  <c r="S69" i="84" s="1"/>
  <c r="S77" i="83"/>
  <c r="S66" i="83" s="1"/>
  <c r="S79" i="83"/>
  <c r="S69" i="83" s="1"/>
  <c r="E7682" i="14"/>
  <c r="S58" i="84"/>
  <c r="T58" i="85"/>
  <c r="AA5" i="85"/>
  <c r="AA31" i="85" s="1"/>
  <c r="P7" i="84"/>
  <c r="P33" i="84" s="1"/>
  <c r="T7" i="84"/>
  <c r="T33" i="84" s="1"/>
  <c r="P11" i="84"/>
  <c r="P37" i="84" s="1"/>
  <c r="AA58" i="84"/>
  <c r="S58" i="83"/>
  <c r="P7" i="83"/>
  <c r="P33" i="83" s="1"/>
  <c r="P11" i="85"/>
  <c r="P37" i="85" s="1"/>
  <c r="P11" i="83"/>
  <c r="P37" i="83" s="1"/>
  <c r="O11" i="85"/>
  <c r="O37" i="85" s="1"/>
  <c r="Z77" i="31"/>
  <c r="Z66" i="31" s="1"/>
  <c r="O6" i="83"/>
  <c r="O7" i="85"/>
  <c r="O33" i="85" s="1"/>
  <c r="S6" i="83"/>
  <c r="S5" i="84"/>
  <c r="S31" i="84" s="1"/>
  <c r="S5" i="83" l="1"/>
  <c r="O5" i="83"/>
  <c r="Z6" i="31"/>
  <c r="T6" i="31"/>
  <c r="AA6" i="31"/>
  <c r="AB6" i="31"/>
  <c r="P6" i="31"/>
  <c r="AB6" i="84"/>
  <c r="AB32" i="84" s="1"/>
  <c r="P7" i="85"/>
  <c r="P33" i="85" s="1"/>
  <c r="AB6" i="83"/>
  <c r="Z6" i="84"/>
  <c r="AA6" i="84"/>
  <c r="AA32" i="84" s="1"/>
  <c r="AA6" i="83"/>
  <c r="Z77" i="84"/>
  <c r="Z66" i="84" s="1"/>
  <c r="P77" i="31"/>
  <c r="P66" i="31" s="1"/>
  <c r="P79" i="31"/>
  <c r="P69" i="31" s="1"/>
  <c r="T77" i="31"/>
  <c r="T66" i="31" s="1"/>
  <c r="T79" i="31"/>
  <c r="T69" i="31" s="1"/>
  <c r="Z77" i="83"/>
  <c r="Z66" i="83" s="1"/>
  <c r="Z79" i="83"/>
  <c r="Z69" i="83" s="1"/>
  <c r="AB77" i="83"/>
  <c r="AB66" i="83" s="1"/>
  <c r="AB79" i="83"/>
  <c r="AB69" i="83" s="1"/>
  <c r="S77" i="85"/>
  <c r="S66" i="85" s="1"/>
  <c r="S79" i="85"/>
  <c r="S69" i="85" s="1"/>
  <c r="AA77" i="83"/>
  <c r="AA66" i="83" s="1"/>
  <c r="AA79" i="83"/>
  <c r="AA69" i="83" s="1"/>
  <c r="AA77" i="31"/>
  <c r="AA66" i="31" s="1"/>
  <c r="AA79" i="31"/>
  <c r="AA69" i="31" s="1"/>
  <c r="AB77" i="31"/>
  <c r="AB66" i="31" s="1"/>
  <c r="AB79" i="31"/>
  <c r="AB69" i="31" s="1"/>
  <c r="AB77" i="84"/>
  <c r="AB66" i="84" s="1"/>
  <c r="AB79" i="84"/>
  <c r="AB69" i="84" s="1"/>
  <c r="AB7" i="85"/>
  <c r="AB33" i="85" s="1"/>
  <c r="T5" i="85"/>
  <c r="T31" i="85" s="1"/>
  <c r="S58" i="85"/>
  <c r="AA7" i="85"/>
  <c r="AA33" i="85" s="1"/>
  <c r="S7" i="84"/>
  <c r="S33" i="84" s="1"/>
  <c r="AA5" i="84"/>
  <c r="AA31" i="84" s="1"/>
  <c r="AB58" i="84"/>
  <c r="AB58" i="83"/>
  <c r="S6" i="85"/>
  <c r="S32" i="85" s="1"/>
  <c r="T34" i="83"/>
  <c r="T31" i="83"/>
  <c r="T32" i="83"/>
  <c r="Z58" i="84"/>
  <c r="Z58" i="83"/>
  <c r="AA58" i="83"/>
  <c r="T7" i="83"/>
  <c r="T33" i="83" s="1"/>
  <c r="Y64" i="31"/>
  <c r="Z6" i="83"/>
  <c r="AA5" i="83" l="1"/>
  <c r="Z5" i="83"/>
  <c r="Z31" i="83" s="1"/>
  <c r="AB5" i="83"/>
  <c r="Y66" i="83"/>
  <c r="Y66" i="31"/>
  <c r="Y66" i="84"/>
  <c r="Y69" i="83"/>
  <c r="AB7" i="31"/>
  <c r="T5" i="31"/>
  <c r="Z5" i="31"/>
  <c r="P5" i="31"/>
  <c r="AB5" i="31"/>
  <c r="AA5" i="31"/>
  <c r="Y6" i="83"/>
  <c r="Y32" i="83" s="1"/>
  <c r="Y6" i="84"/>
  <c r="Y32" i="84" s="1"/>
  <c r="Z32" i="84"/>
  <c r="S5" i="85"/>
  <c r="S31" i="85" s="1"/>
  <c r="S7" i="85"/>
  <c r="S33" i="85" s="1"/>
  <c r="T7" i="85"/>
  <c r="T33" i="85" s="1"/>
  <c r="Y58" i="31"/>
  <c r="Y58" i="84"/>
  <c r="AB5" i="84"/>
  <c r="AB31" i="84" s="1"/>
  <c r="AA7" i="84"/>
  <c r="AA33" i="84" s="1"/>
  <c r="Y58" i="83"/>
  <c r="Z5" i="84"/>
  <c r="O31" i="83"/>
  <c r="O34" i="83"/>
  <c r="O32" i="83"/>
  <c r="S31" i="83"/>
  <c r="S32" i="83"/>
  <c r="S34" i="83"/>
  <c r="O11" i="83"/>
  <c r="O37" i="83" s="1"/>
  <c r="Y5" i="83" l="1"/>
  <c r="Y31" i="83" s="1"/>
  <c r="T7" i="31"/>
  <c r="P37" i="31"/>
  <c r="P33" i="31"/>
  <c r="P43" i="31"/>
  <c r="P40" i="31"/>
  <c r="P38" i="31"/>
  <c r="P34" i="31"/>
  <c r="P35" i="31"/>
  <c r="P31" i="31"/>
  <c r="P42" i="31"/>
  <c r="P39" i="31"/>
  <c r="P32" i="31"/>
  <c r="P41" i="31"/>
  <c r="P36" i="31"/>
  <c r="AA7" i="31"/>
  <c r="Z31" i="31"/>
  <c r="Z36" i="31"/>
  <c r="Z32" i="31"/>
  <c r="Z38" i="31"/>
  <c r="Z37" i="31"/>
  <c r="P7" i="31"/>
  <c r="AA36" i="31"/>
  <c r="AA32" i="31"/>
  <c r="AA37" i="31"/>
  <c r="AA33" i="31"/>
  <c r="AA41" i="31"/>
  <c r="AA38" i="31"/>
  <c r="AA34" i="31"/>
  <c r="AA31" i="31"/>
  <c r="Z7" i="31"/>
  <c r="Z33" i="31" s="1"/>
  <c r="AB37" i="31"/>
  <c r="AB33" i="31"/>
  <c r="AB43" i="31"/>
  <c r="AB40" i="31"/>
  <c r="AB38" i="31"/>
  <c r="AB34" i="31"/>
  <c r="AB41" i="31"/>
  <c r="AB39" i="31"/>
  <c r="AB36" i="31"/>
  <c r="AB32" i="31"/>
  <c r="AB35" i="31"/>
  <c r="AB42" i="31"/>
  <c r="AB31" i="31"/>
  <c r="T37" i="31"/>
  <c r="T33" i="31"/>
  <c r="T43" i="31"/>
  <c r="T40" i="31"/>
  <c r="T38" i="31"/>
  <c r="T34" i="31"/>
  <c r="T41" i="31"/>
  <c r="T39" i="31"/>
  <c r="T36" i="31"/>
  <c r="T32" i="31"/>
  <c r="T42" i="31"/>
  <c r="T31" i="31"/>
  <c r="T35" i="31"/>
  <c r="Z32" i="83"/>
  <c r="Z34" i="83"/>
  <c r="W48" i="83"/>
  <c r="Z7" i="83"/>
  <c r="X48" i="83"/>
  <c r="AB7" i="84"/>
  <c r="AB33" i="84" s="1"/>
  <c r="Z33" i="83"/>
  <c r="AA7" i="83"/>
  <c r="T35" i="83"/>
  <c r="Y5" i="84"/>
  <c r="Y31" i="84" s="1"/>
  <c r="Z31" i="84"/>
  <c r="AA32" i="83"/>
  <c r="AA31" i="83"/>
  <c r="AA34" i="83"/>
  <c r="Z7" i="84"/>
  <c r="AB7" i="83"/>
  <c r="AB33" i="83" s="1"/>
  <c r="AB31" i="83"/>
  <c r="AB32" i="83"/>
  <c r="AB34" i="83"/>
  <c r="Y5" i="31"/>
  <c r="Y31" i="31" s="1"/>
  <c r="O7" i="83"/>
  <c r="O33" i="83" s="1"/>
  <c r="S7" i="83"/>
  <c r="S33" i="83" s="1"/>
  <c r="X48" i="31" l="1"/>
  <c r="T48" i="31"/>
  <c r="AB48" i="31"/>
  <c r="Y7" i="83"/>
  <c r="Y33" i="83" s="1"/>
  <c r="Z33" i="84"/>
  <c r="Y7" i="84"/>
  <c r="Y33" i="84" s="1"/>
  <c r="AA33" i="83"/>
  <c r="T48" i="83"/>
  <c r="Z35" i="83"/>
  <c r="Y7" i="31"/>
  <c r="Y33" i="31" s="1"/>
  <c r="Y6" i="31"/>
  <c r="Y32" i="31" s="1"/>
  <c r="E5" i="39"/>
  <c r="E47" i="38"/>
  <c r="E40" i="38"/>
  <c r="E22" i="38"/>
  <c r="AB35" i="83" l="1"/>
  <c r="AA35" i="83"/>
  <c r="Z48" i="83"/>
  <c r="O35" i="83"/>
  <c r="O50" i="83" s="1"/>
  <c r="S35" i="83"/>
  <c r="P48" i="31"/>
  <c r="P50" i="31"/>
  <c r="E1429" i="36"/>
  <c r="E1432" i="36" s="1"/>
  <c r="E30" i="73" s="1"/>
  <c r="E30" i="39"/>
  <c r="W48" i="31"/>
  <c r="AB48" i="83" l="1"/>
  <c r="AA48" i="83"/>
  <c r="S48" i="83"/>
  <c r="O48" i="83"/>
  <c r="E48" i="38" l="1"/>
  <c r="F96" i="33"/>
  <c r="F25" i="33"/>
  <c r="F26" i="33"/>
  <c r="F27" i="33"/>
  <c r="F28" i="33"/>
  <c r="F29" i="33"/>
  <c r="F30" i="33"/>
  <c r="F31" i="33"/>
  <c r="F32" i="33"/>
  <c r="F33" i="33"/>
  <c r="F34" i="33"/>
  <c r="F35" i="33"/>
  <c r="F36" i="33"/>
  <c r="F37" i="33"/>
  <c r="F38" i="33"/>
  <c r="F39" i="33"/>
  <c r="F40" i="33"/>
  <c r="F41" i="33"/>
  <c r="F42" i="33"/>
  <c r="F43" i="33"/>
  <c r="F44" i="33"/>
  <c r="F45" i="33"/>
  <c r="F46" i="33"/>
  <c r="F47" i="33"/>
  <c r="F48" i="33"/>
  <c r="F49" i="33"/>
  <c r="F50" i="33"/>
  <c r="F51" i="33"/>
  <c r="F52" i="33"/>
  <c r="F53" i="33"/>
  <c r="F54" i="33"/>
  <c r="F55" i="33"/>
  <c r="F56" i="33"/>
  <c r="F57" i="33"/>
  <c r="F58" i="33"/>
  <c r="F59" i="33"/>
  <c r="F60" i="33"/>
  <c r="F61" i="33"/>
  <c r="F62" i="33"/>
  <c r="F63" i="33"/>
  <c r="F24" i="33"/>
  <c r="F98" i="33"/>
  <c r="F99" i="33"/>
  <c r="F100" i="33"/>
  <c r="F101" i="33"/>
  <c r="F102" i="33"/>
  <c r="F103" i="33"/>
  <c r="F104" i="33"/>
  <c r="F105" i="33"/>
  <c r="F106" i="33"/>
  <c r="F107" i="33"/>
  <c r="F108" i="33"/>
  <c r="F109" i="33"/>
  <c r="F110" i="33"/>
  <c r="F111" i="33"/>
  <c r="F112" i="33"/>
  <c r="F113" i="33"/>
  <c r="F114" i="33"/>
  <c r="F115" i="33"/>
  <c r="F116" i="33"/>
  <c r="F117" i="33"/>
  <c r="F118" i="33"/>
  <c r="F119" i="33"/>
  <c r="F120" i="33"/>
  <c r="F121" i="33"/>
  <c r="F122" i="33"/>
  <c r="F123" i="33"/>
  <c r="F124" i="33"/>
  <c r="F125" i="33"/>
  <c r="F126" i="33"/>
  <c r="F127" i="33"/>
  <c r="F128" i="33"/>
  <c r="F129" i="33"/>
  <c r="F130" i="33"/>
  <c r="F131" i="33"/>
  <c r="F132" i="33"/>
  <c r="F133" i="33"/>
  <c r="F134" i="33"/>
  <c r="F135" i="33"/>
  <c r="F136" i="33"/>
  <c r="F97" i="33"/>
  <c r="H45" i="33"/>
  <c r="C68" i="33"/>
  <c r="H136" i="33" l="1"/>
  <c r="H135" i="33"/>
  <c r="H134" i="33"/>
  <c r="H133" i="33"/>
  <c r="H132" i="33"/>
  <c r="H131" i="33"/>
  <c r="H130" i="33"/>
  <c r="H129" i="33"/>
  <c r="H128" i="33"/>
  <c r="H127" i="33"/>
  <c r="H126" i="33"/>
  <c r="H125" i="33"/>
  <c r="H124" i="33"/>
  <c r="H123" i="33"/>
  <c r="H122" i="33"/>
  <c r="H121" i="33"/>
  <c r="H120" i="33"/>
  <c r="H119" i="33"/>
  <c r="H118" i="33"/>
  <c r="H117" i="33"/>
  <c r="H116" i="33"/>
  <c r="H115" i="33"/>
  <c r="H114" i="33"/>
  <c r="H113" i="33"/>
  <c r="H112" i="33"/>
  <c r="H111" i="33"/>
  <c r="H110" i="33"/>
  <c r="H109" i="33"/>
  <c r="H108" i="33"/>
  <c r="H107" i="33"/>
  <c r="H106" i="33"/>
  <c r="H105" i="33"/>
  <c r="H104" i="33"/>
  <c r="H103" i="33"/>
  <c r="H102" i="33"/>
  <c r="H101" i="33"/>
  <c r="H100" i="33"/>
  <c r="H99" i="33"/>
  <c r="H98" i="33"/>
  <c r="H97" i="33"/>
  <c r="H96" i="33"/>
  <c r="C141" i="33"/>
  <c r="C89" i="33"/>
  <c r="G136" i="33" s="1"/>
  <c r="H63" i="33"/>
  <c r="H62" i="33"/>
  <c r="H61" i="33"/>
  <c r="H60" i="33"/>
  <c r="H59" i="33"/>
  <c r="H58" i="33"/>
  <c r="H57" i="33"/>
  <c r="H56" i="33"/>
  <c r="H55" i="33"/>
  <c r="H54" i="33"/>
  <c r="H53" i="33"/>
  <c r="H52" i="33"/>
  <c r="H51" i="33"/>
  <c r="H50" i="33"/>
  <c r="H49" i="33"/>
  <c r="H48" i="33"/>
  <c r="H47" i="33"/>
  <c r="H46" i="33"/>
  <c r="H44" i="33"/>
  <c r="H43" i="33"/>
  <c r="H42" i="33"/>
  <c r="H40" i="33"/>
  <c r="H39" i="33"/>
  <c r="H38" i="33"/>
  <c r="H37" i="33"/>
  <c r="H36" i="33"/>
  <c r="H35" i="33"/>
  <c r="H34" i="33"/>
  <c r="H33" i="33"/>
  <c r="H32" i="33"/>
  <c r="H31" i="33"/>
  <c r="H30" i="33"/>
  <c r="H29" i="33"/>
  <c r="H28" i="33"/>
  <c r="H27" i="33"/>
  <c r="H26" i="33"/>
  <c r="H25" i="33"/>
  <c r="H24" i="33"/>
  <c r="H23" i="33"/>
  <c r="F23" i="33"/>
  <c r="C16" i="33"/>
  <c r="K136" i="33" l="1"/>
  <c r="G103" i="33"/>
  <c r="G108" i="33"/>
  <c r="G119" i="33"/>
  <c r="G124" i="33"/>
  <c r="G97" i="33"/>
  <c r="K97" i="33" s="1"/>
  <c r="G111" i="33"/>
  <c r="G127" i="33"/>
  <c r="K127" i="33" s="1"/>
  <c r="G100" i="33"/>
  <c r="K100" i="33" s="1"/>
  <c r="G116" i="33"/>
  <c r="G133" i="33"/>
  <c r="K133" i="33" s="1"/>
  <c r="G98" i="33"/>
  <c r="K98" i="33" s="1"/>
  <c r="G101" i="33"/>
  <c r="G106" i="33"/>
  <c r="G109" i="33"/>
  <c r="G114" i="33"/>
  <c r="G117" i="33"/>
  <c r="G122" i="33"/>
  <c r="G125" i="33"/>
  <c r="G130" i="33"/>
  <c r="K130" i="33" s="1"/>
  <c r="G134" i="33"/>
  <c r="K134" i="33" s="1"/>
  <c r="G99" i="33"/>
  <c r="G104" i="33"/>
  <c r="G107" i="33"/>
  <c r="G112" i="33"/>
  <c r="G115" i="33"/>
  <c r="G120" i="33"/>
  <c r="G123" i="33"/>
  <c r="G128" i="33"/>
  <c r="K128" i="33" s="1"/>
  <c r="G131" i="33"/>
  <c r="K131" i="33" s="1"/>
  <c r="G135" i="33"/>
  <c r="K135" i="33" s="1"/>
  <c r="G25" i="33"/>
  <c r="G30" i="33"/>
  <c r="G34" i="33"/>
  <c r="G38" i="33"/>
  <c r="G42" i="33"/>
  <c r="G46" i="33"/>
  <c r="G50" i="33"/>
  <c r="G54" i="33"/>
  <c r="G58" i="33"/>
  <c r="G62" i="33"/>
  <c r="G24" i="33"/>
  <c r="K24" i="33" s="1"/>
  <c r="G29" i="33"/>
  <c r="G33" i="33"/>
  <c r="G37" i="33"/>
  <c r="G41" i="33"/>
  <c r="G45" i="33"/>
  <c r="G49" i="33"/>
  <c r="G53" i="33"/>
  <c r="G57" i="33"/>
  <c r="G61" i="33"/>
  <c r="G27" i="33"/>
  <c r="G26" i="33"/>
  <c r="G31" i="33"/>
  <c r="G35" i="33"/>
  <c r="G39" i="33"/>
  <c r="G43" i="33"/>
  <c r="G47" i="33"/>
  <c r="G51" i="33"/>
  <c r="G55" i="33"/>
  <c r="G59" i="33"/>
  <c r="G63" i="33"/>
  <c r="G23" i="33"/>
  <c r="K23" i="33" s="1"/>
  <c r="L23" i="33" s="1"/>
  <c r="G28" i="33"/>
  <c r="G32" i="33"/>
  <c r="G36" i="33"/>
  <c r="G40" i="33"/>
  <c r="G44" i="33"/>
  <c r="G48" i="33"/>
  <c r="G52" i="33"/>
  <c r="G56" i="33"/>
  <c r="G60" i="33"/>
  <c r="G96" i="33"/>
  <c r="K96" i="33" s="1"/>
  <c r="L96" i="33" s="1"/>
  <c r="G102" i="33"/>
  <c r="G105" i="33"/>
  <c r="G110" i="33"/>
  <c r="G113" i="33"/>
  <c r="G118" i="33"/>
  <c r="G121" i="33"/>
  <c r="G126" i="33"/>
  <c r="G129" i="33"/>
  <c r="K129" i="33" s="1"/>
  <c r="G132" i="33"/>
  <c r="K132" i="33" s="1"/>
  <c r="L24" i="33" l="1"/>
  <c r="L97" i="33"/>
  <c r="L98" i="33" s="1"/>
  <c r="F152" i="30"/>
  <c r="F153" i="30"/>
  <c r="F154" i="30"/>
  <c r="F155" i="30"/>
  <c r="F156" i="30"/>
  <c r="F157" i="30"/>
  <c r="F166" i="30"/>
  <c r="F167" i="30"/>
  <c r="F168" i="30"/>
  <c r="F169" i="30"/>
  <c r="F170" i="30"/>
  <c r="F171" i="30"/>
  <c r="F180" i="30"/>
  <c r="F181" i="30"/>
  <c r="F182" i="30"/>
  <c r="F183" i="30"/>
  <c r="F184" i="30"/>
  <c r="F185" i="30"/>
  <c r="F194" i="30"/>
  <c r="F195" i="30"/>
  <c r="F196" i="30"/>
  <c r="F197" i="30"/>
  <c r="F198" i="30"/>
  <c r="F199" i="30"/>
  <c r="F208" i="30"/>
  <c r="F209" i="30"/>
  <c r="F210" i="30"/>
  <c r="F211" i="30"/>
  <c r="F212" i="30"/>
  <c r="F213" i="30"/>
  <c r="U57" i="31" l="1"/>
  <c r="L57" i="31" s="1"/>
  <c r="AG263" i="85" l="1"/>
  <c r="AG261" i="31"/>
  <c r="AG260" i="31"/>
  <c r="AG257" i="85"/>
  <c r="AG257" i="84"/>
  <c r="AG258" i="31"/>
  <c r="AG255" i="84"/>
  <c r="AG254" i="85"/>
  <c r="AG254" i="84"/>
  <c r="AG257" i="31"/>
  <c r="AS149" i="85"/>
  <c r="AS149" i="84"/>
  <c r="AN152" i="83"/>
  <c r="AO148" i="83"/>
  <c r="AN148" i="83"/>
  <c r="AO156" i="31"/>
  <c r="AS153" i="84"/>
  <c r="AO152" i="31"/>
  <c r="AN156" i="83"/>
  <c r="E4" i="31"/>
  <c r="AF246" i="73"/>
  <c r="P246" i="73"/>
  <c r="AJ229" i="73"/>
  <c r="T229" i="73"/>
  <c r="D229" i="73"/>
  <c r="AJ212" i="73"/>
  <c r="T212" i="73"/>
  <c r="D212" i="73"/>
  <c r="AB195" i="73"/>
  <c r="L195" i="73"/>
  <c r="D182" i="73"/>
  <c r="D23" i="58"/>
  <c r="D24" i="12"/>
  <c r="AN229" i="73"/>
  <c r="H229" i="73"/>
  <c r="X212" i="73"/>
  <c r="AF195" i="73"/>
  <c r="P195" i="73"/>
  <c r="L63" i="31"/>
  <c r="J3" i="31"/>
  <c r="AB246" i="73"/>
  <c r="L246" i="73"/>
  <c r="AF229" i="73"/>
  <c r="P229" i="73"/>
  <c r="AF212" i="73"/>
  <c r="P212" i="73"/>
  <c r="AN195" i="73"/>
  <c r="X195" i="73"/>
  <c r="H195" i="73"/>
  <c r="C107" i="73"/>
  <c r="A3" i="58"/>
  <c r="AJ246" i="73"/>
  <c r="AN212" i="73"/>
  <c r="L61" i="31"/>
  <c r="AN246" i="73"/>
  <c r="X246" i="73"/>
  <c r="H246" i="73"/>
  <c r="AB229" i="73"/>
  <c r="L229" i="73"/>
  <c r="AB212" i="73"/>
  <c r="L212" i="73"/>
  <c r="AJ195" i="73"/>
  <c r="T195" i="73"/>
  <c r="D195" i="73"/>
  <c r="C37" i="73"/>
  <c r="D33" i="12"/>
  <c r="L4" i="31"/>
  <c r="T246" i="73"/>
  <c r="D246" i="73"/>
  <c r="X229" i="73"/>
  <c r="H212" i="73"/>
  <c r="E182" i="73"/>
  <c r="D30" i="12"/>
  <c r="AS185" i="85"/>
  <c r="AN184" i="83"/>
  <c r="AN192" i="83"/>
  <c r="AN188" i="83"/>
  <c r="AS161" i="85"/>
  <c r="AO164" i="31"/>
  <c r="AN168" i="83"/>
  <c r="AN164" i="83"/>
  <c r="AO160" i="83"/>
  <c r="AN160" i="83"/>
  <c r="AS161" i="84"/>
  <c r="AO168" i="31"/>
  <c r="D35" i="12"/>
  <c r="D26" i="12"/>
  <c r="AK97" i="84"/>
  <c r="AE96" i="84"/>
  <c r="D34" i="12"/>
  <c r="AK97" i="83"/>
  <c r="AE96" i="83"/>
  <c r="D25" i="12"/>
  <c r="D29" i="12"/>
  <c r="D36" i="12"/>
  <c r="AK97" i="85"/>
  <c r="AE96" i="85"/>
  <c r="D27" i="12"/>
  <c r="AE98" i="31"/>
  <c r="AK99" i="31"/>
  <c r="AM245" i="73"/>
  <c r="W245" i="73"/>
  <c r="G245" i="73"/>
  <c r="AI245" i="73"/>
  <c r="S245" i="73"/>
  <c r="C245" i="73"/>
  <c r="AE245" i="73"/>
  <c r="O245" i="73"/>
  <c r="AA245" i="73"/>
  <c r="K245" i="73"/>
  <c r="AM11" i="31"/>
  <c r="AM11" i="83"/>
  <c r="AM11" i="84"/>
  <c r="AM11" i="85"/>
  <c r="B122" i="23"/>
  <c r="AM211" i="73"/>
  <c r="W211" i="73"/>
  <c r="G211" i="73"/>
  <c r="AI211" i="73"/>
  <c r="S211" i="73"/>
  <c r="C211" i="73"/>
  <c r="AE211" i="73"/>
  <c r="O211" i="73"/>
  <c r="AA211" i="73"/>
  <c r="K211" i="73"/>
  <c r="AE11" i="31"/>
  <c r="AA194" i="73"/>
  <c r="K194" i="73"/>
  <c r="AE11" i="85"/>
  <c r="AM194" i="73"/>
  <c r="W194" i="73"/>
  <c r="G194" i="73"/>
  <c r="AE11" i="84"/>
  <c r="AI194" i="73"/>
  <c r="S194" i="73"/>
  <c r="C194" i="73"/>
  <c r="AE11" i="83"/>
  <c r="AE194" i="73"/>
  <c r="O194" i="73"/>
  <c r="AE17" i="85"/>
  <c r="AE17" i="83"/>
  <c r="B121" i="23"/>
  <c r="AE17" i="84"/>
  <c r="AE17" i="31"/>
  <c r="B120" i="23"/>
  <c r="AJ361" i="31"/>
  <c r="AJ357" i="31"/>
  <c r="AJ335" i="31"/>
  <c r="AJ331" i="31"/>
  <c r="AJ308" i="31"/>
  <c r="AJ304" i="31"/>
  <c r="AJ282" i="31"/>
  <c r="AJ280" i="31"/>
  <c r="AJ278" i="31"/>
  <c r="AJ360" i="31"/>
  <c r="AJ334" i="31"/>
  <c r="AJ307" i="31"/>
  <c r="AJ359" i="31"/>
  <c r="AJ333" i="31"/>
  <c r="AJ306" i="31"/>
  <c r="AJ281" i="31"/>
  <c r="AJ279" i="31"/>
  <c r="AJ277" i="31"/>
  <c r="AJ362" i="31"/>
  <c r="AJ358" i="31"/>
  <c r="AJ336" i="31"/>
  <c r="AJ332" i="31"/>
  <c r="AJ309" i="31"/>
  <c r="AJ305" i="31"/>
  <c r="AR360" i="31"/>
  <c r="AN360" i="31"/>
  <c r="AR334" i="31"/>
  <c r="AN334" i="31"/>
  <c r="AN307" i="31"/>
  <c r="AR307" i="31"/>
  <c r="AR282" i="31"/>
  <c r="AR278" i="31"/>
  <c r="AN280" i="31"/>
  <c r="AR282" i="85"/>
  <c r="AR265" i="85"/>
  <c r="AR280" i="84"/>
  <c r="AR267" i="84"/>
  <c r="AS254" i="84"/>
  <c r="AR359" i="31"/>
  <c r="AN359" i="31"/>
  <c r="AR333" i="31"/>
  <c r="AN333" i="31"/>
  <c r="AN306" i="31"/>
  <c r="AR306" i="31"/>
  <c r="AR281" i="31"/>
  <c r="AR277" i="31"/>
  <c r="AN281" i="31"/>
  <c r="AN311" i="85"/>
  <c r="AN309" i="85"/>
  <c r="AN297" i="85"/>
  <c r="AN295" i="85"/>
  <c r="AN282" i="85"/>
  <c r="AN280" i="85"/>
  <c r="AN267" i="85"/>
  <c r="AN265" i="85"/>
  <c r="AR254" i="85"/>
  <c r="AN311" i="84"/>
  <c r="AN309" i="84"/>
  <c r="AN297" i="84"/>
  <c r="AN295" i="84"/>
  <c r="AN282" i="84"/>
  <c r="AN280" i="84"/>
  <c r="AN267" i="84"/>
  <c r="AN265" i="84"/>
  <c r="AR254" i="84"/>
  <c r="AR257" i="31"/>
  <c r="AR310" i="85"/>
  <c r="AR296" i="85"/>
  <c r="AR281" i="85"/>
  <c r="AR266" i="85"/>
  <c r="AR281" i="84"/>
  <c r="AR362" i="31"/>
  <c r="AR358" i="31"/>
  <c r="AN362" i="31"/>
  <c r="AN358" i="31"/>
  <c r="AR336" i="31"/>
  <c r="AR332" i="31"/>
  <c r="AN336" i="31"/>
  <c r="AN332" i="31"/>
  <c r="AN309" i="31"/>
  <c r="AN305" i="31"/>
  <c r="AR309" i="31"/>
  <c r="AR305" i="31"/>
  <c r="AR280" i="31"/>
  <c r="AN282" i="31"/>
  <c r="AO254" i="85"/>
  <c r="AR310" i="84"/>
  <c r="AR296" i="84"/>
  <c r="AR361" i="31"/>
  <c r="AR357" i="31"/>
  <c r="AN361" i="31"/>
  <c r="AN357" i="31"/>
  <c r="AR335" i="31"/>
  <c r="AR331" i="31"/>
  <c r="AN335" i="31"/>
  <c r="AN331" i="31"/>
  <c r="AN308" i="31"/>
  <c r="AN304" i="31"/>
  <c r="AR308" i="31"/>
  <c r="AR304" i="31"/>
  <c r="AR279" i="31"/>
  <c r="AN310" i="85"/>
  <c r="AN296" i="85"/>
  <c r="AN281" i="85"/>
  <c r="AN266" i="85"/>
  <c r="AN254" i="85"/>
  <c r="AN310" i="84"/>
  <c r="AN296" i="84"/>
  <c r="AN281" i="84"/>
  <c r="AN266" i="84"/>
  <c r="AN254" i="84"/>
  <c r="AR311" i="85"/>
  <c r="AR309" i="85"/>
  <c r="AR297" i="85"/>
  <c r="AR295" i="85"/>
  <c r="AR280" i="85"/>
  <c r="AR267" i="85"/>
  <c r="AS254" i="85"/>
  <c r="AR311" i="84"/>
  <c r="AR309" i="84"/>
  <c r="AR297" i="84"/>
  <c r="AR295" i="84"/>
  <c r="AR282" i="84"/>
  <c r="AR265" i="84"/>
  <c r="AS257" i="31"/>
  <c r="AR266" i="84"/>
  <c r="AO254" i="84"/>
  <c r="B102" i="23"/>
  <c r="B12" i="23"/>
  <c r="AJ349" i="31"/>
  <c r="AJ345" i="31"/>
  <c r="AJ323" i="31"/>
  <c r="AJ319" i="31"/>
  <c r="AJ296" i="31"/>
  <c r="AJ292" i="31"/>
  <c r="AJ269" i="31"/>
  <c r="AJ267" i="31"/>
  <c r="AJ265" i="31"/>
  <c r="AR297" i="31"/>
  <c r="AR293" i="31"/>
  <c r="AJ348" i="31"/>
  <c r="AJ322" i="31"/>
  <c r="AJ295" i="31"/>
  <c r="AR294" i="31"/>
  <c r="AJ347" i="31"/>
  <c r="AJ321" i="31"/>
  <c r="AJ294" i="31"/>
  <c r="AJ270" i="31"/>
  <c r="AJ268" i="31"/>
  <c r="AJ266" i="31"/>
  <c r="AR295" i="31"/>
  <c r="AJ350" i="31"/>
  <c r="AJ346" i="31"/>
  <c r="AJ324" i="31"/>
  <c r="AJ320" i="31"/>
  <c r="AJ297" i="31"/>
  <c r="AJ293" i="31"/>
  <c r="AR296" i="31"/>
  <c r="AR292" i="31"/>
  <c r="AR348" i="31"/>
  <c r="AN348" i="31"/>
  <c r="AR322" i="31"/>
  <c r="AN322" i="31"/>
  <c r="AN295" i="31"/>
  <c r="AR270" i="31"/>
  <c r="AR266" i="31"/>
  <c r="AN270" i="31"/>
  <c r="AR305" i="85"/>
  <c r="AR291" i="85"/>
  <c r="AR259" i="85"/>
  <c r="AR276" i="84"/>
  <c r="AR259" i="84"/>
  <c r="AS252" i="84"/>
  <c r="AS255" i="31"/>
  <c r="AR260" i="84"/>
  <c r="AO252" i="84"/>
  <c r="AR347" i="31"/>
  <c r="AN347" i="31"/>
  <c r="AR321" i="31"/>
  <c r="AN321" i="31"/>
  <c r="AN294" i="31"/>
  <c r="AR269" i="31"/>
  <c r="AR265" i="31"/>
  <c r="AN305" i="85"/>
  <c r="AN303" i="85"/>
  <c r="AN291" i="85"/>
  <c r="AN289" i="85"/>
  <c r="AN276" i="85"/>
  <c r="AN274" i="85"/>
  <c r="AN261" i="85"/>
  <c r="AN259" i="85"/>
  <c r="AR252" i="85"/>
  <c r="AN305" i="84"/>
  <c r="AN303" i="84"/>
  <c r="AN291" i="84"/>
  <c r="AN289" i="84"/>
  <c r="AN276" i="84"/>
  <c r="AN274" i="84"/>
  <c r="AN261" i="84"/>
  <c r="AN259" i="84"/>
  <c r="AR252" i="84"/>
  <c r="AR255" i="31"/>
  <c r="AR304" i="85"/>
  <c r="AR290" i="85"/>
  <c r="AR260" i="85"/>
  <c r="AR290" i="84"/>
  <c r="AR350" i="31"/>
  <c r="AR346" i="31"/>
  <c r="AN350" i="31"/>
  <c r="AN346" i="31"/>
  <c r="AR324" i="31"/>
  <c r="AR320" i="31"/>
  <c r="AN324" i="31"/>
  <c r="AN320" i="31"/>
  <c r="AN297" i="31"/>
  <c r="AN293" i="31"/>
  <c r="AR268" i="31"/>
  <c r="AN268" i="31"/>
  <c r="AR275" i="85"/>
  <c r="AO252" i="85"/>
  <c r="AR304" i="84"/>
  <c r="AR275" i="84"/>
  <c r="AR349" i="31"/>
  <c r="AR345" i="31"/>
  <c r="AN349" i="31"/>
  <c r="AN345" i="31"/>
  <c r="AR323" i="31"/>
  <c r="AR319" i="31"/>
  <c r="AN323" i="31"/>
  <c r="AN319" i="31"/>
  <c r="AN296" i="31"/>
  <c r="AN292" i="31"/>
  <c r="AR267" i="31"/>
  <c r="AN269" i="31"/>
  <c r="AN304" i="85"/>
  <c r="AN290" i="85"/>
  <c r="AN275" i="85"/>
  <c r="AN260" i="85"/>
  <c r="AN252" i="85"/>
  <c r="AN304" i="84"/>
  <c r="AN290" i="84"/>
  <c r="AN275" i="84"/>
  <c r="AN260" i="84"/>
  <c r="AN252" i="84"/>
  <c r="AR303" i="85"/>
  <c r="AR289" i="85"/>
  <c r="AR276" i="85"/>
  <c r="AR274" i="85"/>
  <c r="AR261" i="85"/>
  <c r="AS252" i="85"/>
  <c r="AR305" i="84"/>
  <c r="AR303" i="84"/>
  <c r="AR291" i="84"/>
  <c r="AR289" i="84"/>
  <c r="AR274" i="84"/>
  <c r="AR261" i="84"/>
  <c r="B101" i="23"/>
  <c r="B11" i="23"/>
  <c r="AJ341" i="31"/>
  <c r="AJ315" i="31"/>
  <c r="AJ288" i="31"/>
  <c r="AJ261" i="31"/>
  <c r="AJ344" i="31"/>
  <c r="AJ340" i="31"/>
  <c r="AJ318" i="31"/>
  <c r="AJ314" i="31"/>
  <c r="AJ291" i="31"/>
  <c r="AJ287" i="31"/>
  <c r="AJ264" i="31"/>
  <c r="AJ260" i="31"/>
  <c r="AJ343" i="31"/>
  <c r="AJ339" i="31"/>
  <c r="AJ317" i="31"/>
  <c r="AJ313" i="31"/>
  <c r="AJ290" i="31"/>
  <c r="AJ286" i="31"/>
  <c r="AJ263" i="31"/>
  <c r="AJ259" i="31"/>
  <c r="AJ342" i="31"/>
  <c r="AJ316" i="31"/>
  <c r="AJ289" i="31"/>
  <c r="AJ262" i="31"/>
  <c r="AR344" i="31"/>
  <c r="AR340" i="31"/>
  <c r="AN344" i="31"/>
  <c r="AN340" i="31"/>
  <c r="AR318" i="31"/>
  <c r="AR314" i="31"/>
  <c r="AN318" i="31"/>
  <c r="AN314" i="31"/>
  <c r="AN291" i="31"/>
  <c r="AN287" i="31"/>
  <c r="AR289" i="31"/>
  <c r="AR262" i="31"/>
  <c r="AR272" i="85"/>
  <c r="AR257" i="85"/>
  <c r="AS251" i="85"/>
  <c r="AS254" i="31"/>
  <c r="AR343" i="31"/>
  <c r="AR339" i="31"/>
  <c r="AN343" i="31"/>
  <c r="AN339" i="31"/>
  <c r="AR317" i="31"/>
  <c r="AR313" i="31"/>
  <c r="AN317" i="31"/>
  <c r="AN313" i="31"/>
  <c r="AN290" i="31"/>
  <c r="AN286" i="31"/>
  <c r="AR288" i="31"/>
  <c r="AR261" i="31"/>
  <c r="AN262" i="31"/>
  <c r="AN301" i="85"/>
  <c r="AN287" i="85"/>
  <c r="AN272" i="85"/>
  <c r="AN257" i="85"/>
  <c r="AR251" i="85"/>
  <c r="AN301" i="84"/>
  <c r="AN287" i="84"/>
  <c r="AN272" i="84"/>
  <c r="AN257" i="84"/>
  <c r="AR251" i="84"/>
  <c r="AR302" i="85"/>
  <c r="AR300" i="85"/>
  <c r="AR288" i="85"/>
  <c r="AR286" i="85"/>
  <c r="AR273" i="85"/>
  <c r="AR256" i="85"/>
  <c r="AO251" i="85"/>
  <c r="AR273" i="84"/>
  <c r="AR258" i="84"/>
  <c r="AR342" i="31"/>
  <c r="AN342" i="31"/>
  <c r="AR316" i="31"/>
  <c r="AN316" i="31"/>
  <c r="AN289" i="31"/>
  <c r="AR291" i="31"/>
  <c r="AR287" i="31"/>
  <c r="AR264" i="31"/>
  <c r="AR260" i="31"/>
  <c r="AN263" i="31"/>
  <c r="AR271" i="85"/>
  <c r="AR258" i="85"/>
  <c r="AR302" i="84"/>
  <c r="AR300" i="84"/>
  <c r="AR288" i="84"/>
  <c r="AR286" i="84"/>
  <c r="AR271" i="84"/>
  <c r="AR256" i="84"/>
  <c r="AO251" i="84"/>
  <c r="AR341" i="31"/>
  <c r="AN341" i="31"/>
  <c r="AR315" i="31"/>
  <c r="AN315" i="31"/>
  <c r="AN288" i="31"/>
  <c r="AR290" i="31"/>
  <c r="AR286" i="31"/>
  <c r="AR263" i="31"/>
  <c r="AR259" i="31"/>
  <c r="AN264" i="31"/>
  <c r="AN302" i="85"/>
  <c r="AN300" i="85"/>
  <c r="AN288" i="85"/>
  <c r="AN286" i="85"/>
  <c r="AN273" i="85"/>
  <c r="AN271" i="85"/>
  <c r="AN258" i="85"/>
  <c r="AN256" i="85"/>
  <c r="AN251" i="85"/>
  <c r="AN302" i="84"/>
  <c r="AN300" i="84"/>
  <c r="AN288" i="84"/>
  <c r="AN286" i="84"/>
  <c r="AN273" i="84"/>
  <c r="AN271" i="84"/>
  <c r="AN258" i="84"/>
  <c r="AN256" i="84"/>
  <c r="AN251" i="84"/>
  <c r="AR254" i="31"/>
  <c r="AR301" i="85"/>
  <c r="AR287" i="85"/>
  <c r="AR301" i="84"/>
  <c r="AR287" i="84"/>
  <c r="AR272" i="84"/>
  <c r="AR257" i="84"/>
  <c r="AS251" i="84"/>
  <c r="B100" i="23"/>
  <c r="B10" i="23"/>
  <c r="B99" i="23"/>
  <c r="B9" i="23"/>
  <c r="L63" i="83"/>
  <c r="L63" i="84"/>
  <c r="L63" i="85"/>
  <c r="AN152" i="31"/>
  <c r="N63" i="84"/>
  <c r="M63" i="85"/>
  <c r="M63" i="84"/>
  <c r="M63" i="83"/>
  <c r="P63" i="85"/>
  <c r="P63" i="84"/>
  <c r="P63" i="83"/>
  <c r="O63" i="85"/>
  <c r="O63" i="84"/>
  <c r="O63" i="83"/>
  <c r="N63" i="85"/>
  <c r="N63" i="83"/>
  <c r="AN188" i="31"/>
  <c r="AA63" i="83"/>
  <c r="Z63" i="83"/>
  <c r="Y63" i="85"/>
  <c r="Y63" i="84"/>
  <c r="Y63" i="83"/>
  <c r="AB63" i="85"/>
  <c r="AB63" i="84"/>
  <c r="AB63" i="83"/>
  <c r="AA63" i="85"/>
  <c r="AA63" i="84"/>
  <c r="Z63" i="85"/>
  <c r="Z63" i="84"/>
  <c r="R63" i="83"/>
  <c r="Q63" i="85"/>
  <c r="Q63" i="84"/>
  <c r="Q63" i="83"/>
  <c r="T63" i="85"/>
  <c r="T63" i="84"/>
  <c r="T63" i="83"/>
  <c r="S63" i="85"/>
  <c r="S63" i="84"/>
  <c r="S63" i="83"/>
  <c r="R63" i="85"/>
  <c r="R63" i="84"/>
  <c r="AN164" i="31"/>
  <c r="AK252" i="85"/>
  <c r="AK149" i="83"/>
  <c r="AK150" i="84"/>
  <c r="AG150" i="84"/>
  <c r="AG149" i="83"/>
  <c r="AK150" i="85"/>
  <c r="AG150" i="85"/>
  <c r="AK252" i="84"/>
  <c r="AK152" i="85"/>
  <c r="AG152" i="85"/>
  <c r="AK254" i="84"/>
  <c r="AK254" i="85"/>
  <c r="AK151" i="83"/>
  <c r="AK152" i="84"/>
  <c r="AG152" i="84"/>
  <c r="AG151" i="83"/>
  <c r="AK251" i="85"/>
  <c r="AK148" i="83"/>
  <c r="AK149" i="84"/>
  <c r="AG149" i="84"/>
  <c r="AG148" i="83"/>
  <c r="AK149" i="85"/>
  <c r="AG149" i="85"/>
  <c r="AK251" i="84"/>
  <c r="AN258" i="73"/>
  <c r="X258" i="73"/>
  <c r="H258" i="73"/>
  <c r="AF241" i="73"/>
  <c r="P241" i="73"/>
  <c r="AN224" i="73"/>
  <c r="X224" i="73"/>
  <c r="H224" i="73"/>
  <c r="AF207" i="73"/>
  <c r="P207" i="73"/>
  <c r="AJ241" i="73"/>
  <c r="D241" i="73"/>
  <c r="AJ258" i="73"/>
  <c r="T258" i="73"/>
  <c r="D258" i="73"/>
  <c r="AB241" i="73"/>
  <c r="L241" i="73"/>
  <c r="AJ224" i="73"/>
  <c r="T224" i="73"/>
  <c r="D224" i="73"/>
  <c r="AB207" i="73"/>
  <c r="L207" i="73"/>
  <c r="L258" i="73"/>
  <c r="T241" i="73"/>
  <c r="L224" i="73"/>
  <c r="AJ207" i="73"/>
  <c r="T207" i="73"/>
  <c r="D207" i="73"/>
  <c r="AF258" i="73"/>
  <c r="P258" i="73"/>
  <c r="AN241" i="73"/>
  <c r="X241" i="73"/>
  <c r="H241" i="73"/>
  <c r="AF224" i="73"/>
  <c r="P224" i="73"/>
  <c r="AN207" i="73"/>
  <c r="X207" i="73"/>
  <c r="H207" i="73"/>
  <c r="AB258" i="73"/>
  <c r="AB224" i="73"/>
  <c r="AJ254" i="73"/>
  <c r="T254" i="73"/>
  <c r="D254" i="73"/>
  <c r="AB237" i="73"/>
  <c r="L237" i="73"/>
  <c r="AJ220" i="73"/>
  <c r="T220" i="73"/>
  <c r="D220" i="73"/>
  <c r="AB203" i="73"/>
  <c r="L203" i="73"/>
  <c r="AF237" i="73"/>
  <c r="P237" i="73"/>
  <c r="AN220" i="73"/>
  <c r="X220" i="73"/>
  <c r="H220" i="73"/>
  <c r="AF203" i="73"/>
  <c r="P203" i="73"/>
  <c r="AF254" i="73"/>
  <c r="P254" i="73"/>
  <c r="AN237" i="73"/>
  <c r="X237" i="73"/>
  <c r="H237" i="73"/>
  <c r="AF220" i="73"/>
  <c r="P220" i="73"/>
  <c r="AN203" i="73"/>
  <c r="X203" i="73"/>
  <c r="H203" i="73"/>
  <c r="AN254" i="73"/>
  <c r="X254" i="73"/>
  <c r="AB254" i="73"/>
  <c r="L254" i="73"/>
  <c r="AJ237" i="73"/>
  <c r="T237" i="73"/>
  <c r="D237" i="73"/>
  <c r="AB220" i="73"/>
  <c r="L220" i="73"/>
  <c r="AJ203" i="73"/>
  <c r="T203" i="73"/>
  <c r="D203" i="73"/>
  <c r="H254" i="73"/>
  <c r="B73" i="23"/>
  <c r="AB250" i="73"/>
  <c r="L250" i="73"/>
  <c r="AJ233" i="73"/>
  <c r="T233" i="73"/>
  <c r="D233" i="73"/>
  <c r="AB216" i="73"/>
  <c r="L216" i="73"/>
  <c r="AJ199" i="73"/>
  <c r="T199" i="73"/>
  <c r="D199" i="73"/>
  <c r="AN233" i="73"/>
  <c r="X233" i="73"/>
  <c r="H233" i="73"/>
  <c r="AN250" i="73"/>
  <c r="X250" i="73"/>
  <c r="H250" i="73"/>
  <c r="AF233" i="73"/>
  <c r="P233" i="73"/>
  <c r="AN216" i="73"/>
  <c r="X216" i="73"/>
  <c r="H216" i="73"/>
  <c r="AF199" i="73"/>
  <c r="P199" i="73"/>
  <c r="AF250" i="73"/>
  <c r="AF216" i="73"/>
  <c r="P216" i="73"/>
  <c r="AN199" i="73"/>
  <c r="X199" i="73"/>
  <c r="H199" i="73"/>
  <c r="AJ250" i="73"/>
  <c r="T250" i="73"/>
  <c r="D250" i="73"/>
  <c r="AB233" i="73"/>
  <c r="L233" i="73"/>
  <c r="AJ216" i="73"/>
  <c r="T216" i="73"/>
  <c r="D216" i="73"/>
  <c r="AB199" i="73"/>
  <c r="L199" i="73"/>
  <c r="P250" i="73"/>
  <c r="B133" i="23"/>
  <c r="B129" i="23"/>
  <c r="B132" i="23"/>
  <c r="B128" i="23"/>
  <c r="B135" i="23"/>
  <c r="B131" i="23"/>
  <c r="B134" i="23"/>
  <c r="B130" i="23"/>
  <c r="B72" i="23"/>
  <c r="B92" i="23"/>
  <c r="C57" i="30"/>
  <c r="B88" i="23"/>
  <c r="B80" i="23"/>
  <c r="B84" i="23"/>
  <c r="B76" i="23"/>
  <c r="B79" i="23"/>
  <c r="B87" i="23"/>
  <c r="B83" i="23"/>
  <c r="B91" i="23"/>
  <c r="B95" i="23"/>
  <c r="B78" i="23"/>
  <c r="B86" i="23"/>
  <c r="B82" i="23"/>
  <c r="B90" i="23"/>
  <c r="B94" i="23"/>
  <c r="B89" i="23"/>
  <c r="B93" i="23"/>
  <c r="B77" i="23"/>
  <c r="B85" i="23"/>
  <c r="B81" i="23"/>
  <c r="AR185" i="85"/>
  <c r="AJ282" i="85"/>
  <c r="AM216" i="85"/>
  <c r="AF209" i="85"/>
  <c r="AJ207" i="85"/>
  <c r="AF195" i="85"/>
  <c r="AF179" i="85"/>
  <c r="AF165" i="85"/>
  <c r="AJ280" i="85"/>
  <c r="AJ267" i="85"/>
  <c r="AJ208" i="85"/>
  <c r="AM206" i="85"/>
  <c r="AJ194" i="85"/>
  <c r="AF193" i="85"/>
  <c r="AF180" i="85"/>
  <c r="AF178" i="85"/>
  <c r="AM176" i="85"/>
  <c r="AM166" i="85"/>
  <c r="AJ164" i="85"/>
  <c r="AR193" i="85"/>
  <c r="AJ265" i="85"/>
  <c r="AJ254" i="85"/>
  <c r="AM226" i="85"/>
  <c r="AF208" i="85"/>
  <c r="AJ195" i="85"/>
  <c r="AJ193" i="85"/>
  <c r="AJ179" i="85"/>
  <c r="AJ165" i="85"/>
  <c r="AF163" i="85"/>
  <c r="AJ310" i="85"/>
  <c r="AJ296" i="85"/>
  <c r="AR189" i="85"/>
  <c r="AJ209" i="85"/>
  <c r="AM196" i="85"/>
  <c r="AF194" i="85"/>
  <c r="AM186" i="85"/>
  <c r="AF164" i="85"/>
  <c r="AJ297" i="85"/>
  <c r="AJ281" i="85"/>
  <c r="AJ180" i="85"/>
  <c r="AJ163" i="85"/>
  <c r="AJ309" i="84"/>
  <c r="AJ295" i="84"/>
  <c r="AJ266" i="84"/>
  <c r="AF207" i="84"/>
  <c r="AM196" i="84"/>
  <c r="AJ193" i="84"/>
  <c r="AJ180" i="84"/>
  <c r="AJ178" i="84"/>
  <c r="AF163" i="84"/>
  <c r="AM156" i="84"/>
  <c r="AJ152" i="84"/>
  <c r="AF206" i="83"/>
  <c r="AQ195" i="83"/>
  <c r="AJ192" i="83"/>
  <c r="AJ179" i="83"/>
  <c r="AJ177" i="83"/>
  <c r="AF162" i="83"/>
  <c r="AQ155" i="83"/>
  <c r="AJ151" i="83"/>
  <c r="AQ229" i="31"/>
  <c r="AN192" i="31"/>
  <c r="AJ311" i="85"/>
  <c r="AJ266" i="85"/>
  <c r="AF152" i="85"/>
  <c r="AJ311" i="84"/>
  <c r="AJ297" i="84"/>
  <c r="AJ281" i="84"/>
  <c r="AJ265" i="84"/>
  <c r="AJ254" i="84"/>
  <c r="AM226" i="84"/>
  <c r="AJ209" i="84"/>
  <c r="AF208" i="84"/>
  <c r="AJ195" i="84"/>
  <c r="AF194" i="84"/>
  <c r="AM186" i="84"/>
  <c r="AJ179" i="84"/>
  <c r="AJ165" i="84"/>
  <c r="AF164" i="84"/>
  <c r="AF152" i="84"/>
  <c r="AQ225" i="83"/>
  <c r="AJ208" i="83"/>
  <c r="AF207" i="83"/>
  <c r="AJ194" i="83"/>
  <c r="AF193" i="83"/>
  <c r="AQ185" i="83"/>
  <c r="AJ178" i="83"/>
  <c r="AJ164" i="83"/>
  <c r="AF163" i="83"/>
  <c r="AF151" i="83"/>
  <c r="AQ209" i="31"/>
  <c r="AQ199" i="31"/>
  <c r="AQ189" i="31"/>
  <c r="AQ179" i="31"/>
  <c r="AQ169" i="31"/>
  <c r="AQ159" i="31"/>
  <c r="AJ295" i="85"/>
  <c r="AF207" i="85"/>
  <c r="AJ178" i="85"/>
  <c r="AR193" i="84"/>
  <c r="AR189" i="84"/>
  <c r="AR185" i="84"/>
  <c r="AM216" i="84"/>
  <c r="AJ208" i="84"/>
  <c r="AJ194" i="84"/>
  <c r="AF180" i="84"/>
  <c r="AM166" i="84"/>
  <c r="AQ205" i="83"/>
  <c r="AF192" i="83"/>
  <c r="AF177" i="83"/>
  <c r="AJ163" i="83"/>
  <c r="AN279" i="31"/>
  <c r="AN278" i="31"/>
  <c r="AN277" i="31"/>
  <c r="AO257" i="31"/>
  <c r="AJ210" i="31"/>
  <c r="AJ196" i="31"/>
  <c r="AJ181" i="31"/>
  <c r="AM156" i="85"/>
  <c r="AJ152" i="85"/>
  <c r="AJ282" i="84"/>
  <c r="AJ280" i="84"/>
  <c r="AJ267" i="84"/>
  <c r="AM206" i="84"/>
  <c r="AF193" i="84"/>
  <c r="AF178" i="84"/>
  <c r="AJ164" i="84"/>
  <c r="AQ215" i="83"/>
  <c r="AJ207" i="83"/>
  <c r="AJ193" i="83"/>
  <c r="AF179" i="83"/>
  <c r="AQ165" i="83"/>
  <c r="AK257" i="31"/>
  <c r="AJ212" i="31"/>
  <c r="AJ198" i="31"/>
  <c r="AJ183" i="31"/>
  <c r="AK155" i="31"/>
  <c r="AJ296" i="84"/>
  <c r="AF179" i="84"/>
  <c r="AF208" i="83"/>
  <c r="AQ219" i="31"/>
  <c r="AJ167" i="31"/>
  <c r="AF209" i="84"/>
  <c r="AJ206" i="83"/>
  <c r="AF194" i="83"/>
  <c r="AQ175" i="83"/>
  <c r="AF164" i="83"/>
  <c r="AJ182" i="31"/>
  <c r="AJ166" i="31"/>
  <c r="AJ309" i="85"/>
  <c r="AJ207" i="84"/>
  <c r="AF195" i="84"/>
  <c r="AM176" i="84"/>
  <c r="AF165" i="84"/>
  <c r="AJ162" i="83"/>
  <c r="AN257" i="31"/>
  <c r="AJ310" i="84"/>
  <c r="AJ163" i="84"/>
  <c r="AF178" i="83"/>
  <c r="AN196" i="31"/>
  <c r="AJ197" i="31"/>
  <c r="AJ168" i="31"/>
  <c r="AJ155" i="31"/>
  <c r="AJ257" i="31"/>
  <c r="AJ211" i="31"/>
  <c r="AM208" i="84"/>
  <c r="AQ207" i="83"/>
  <c r="AM208" i="85"/>
  <c r="AQ211" i="31"/>
  <c r="AM148" i="85"/>
  <c r="AQ147" i="83"/>
  <c r="AM148" i="84"/>
  <c r="AQ151" i="31"/>
  <c r="AJ291" i="85"/>
  <c r="AJ290" i="85"/>
  <c r="AJ276" i="85"/>
  <c r="AR165" i="85"/>
  <c r="AJ261" i="85"/>
  <c r="AJ259" i="85"/>
  <c r="AM224" i="85"/>
  <c r="AF201" i="85"/>
  <c r="AJ189" i="85"/>
  <c r="AF188" i="85"/>
  <c r="AM184" i="85"/>
  <c r="AM174" i="85"/>
  <c r="AJ173" i="85"/>
  <c r="AF172" i="85"/>
  <c r="AJ275" i="85"/>
  <c r="AJ260" i="85"/>
  <c r="AM214" i="85"/>
  <c r="AJ203" i="85"/>
  <c r="AF202" i="85"/>
  <c r="AF187" i="85"/>
  <c r="AF174" i="85"/>
  <c r="AJ304" i="85"/>
  <c r="AJ252" i="85"/>
  <c r="AM204" i="85"/>
  <c r="AJ201" i="85"/>
  <c r="AJ188" i="85"/>
  <c r="AJ159" i="85"/>
  <c r="AJ291" i="84"/>
  <c r="AJ290" i="84"/>
  <c r="AF203" i="85"/>
  <c r="AJ172" i="85"/>
  <c r="AJ158" i="85"/>
  <c r="AF157" i="85"/>
  <c r="AR161" i="85"/>
  <c r="AF189" i="85"/>
  <c r="AJ157" i="85"/>
  <c r="AF150" i="85"/>
  <c r="AJ305" i="84"/>
  <c r="AJ274" i="84"/>
  <c r="AR169" i="84"/>
  <c r="AR161" i="84"/>
  <c r="AJ202" i="84"/>
  <c r="AM194" i="84"/>
  <c r="AF189" i="84"/>
  <c r="AJ187" i="84"/>
  <c r="AJ174" i="84"/>
  <c r="AF173" i="84"/>
  <c r="AM164" i="84"/>
  <c r="AF158" i="84"/>
  <c r="AF150" i="84"/>
  <c r="AJ201" i="83"/>
  <c r="AQ193" i="83"/>
  <c r="AF188" i="83"/>
  <c r="AJ186" i="83"/>
  <c r="AJ173" i="83"/>
  <c r="AF172" i="83"/>
  <c r="AQ163" i="83"/>
  <c r="AF157" i="83"/>
  <c r="AF149" i="83"/>
  <c r="AN266" i="31"/>
  <c r="AN172" i="31"/>
  <c r="AJ303" i="85"/>
  <c r="AJ202" i="85"/>
  <c r="AF158" i="85"/>
  <c r="AJ303" i="84"/>
  <c r="AJ289" i="84"/>
  <c r="AJ252" i="84"/>
  <c r="AM204" i="84"/>
  <c r="AF203" i="84"/>
  <c r="AJ201" i="84"/>
  <c r="AJ188" i="84"/>
  <c r="AJ172" i="84"/>
  <c r="AF159" i="84"/>
  <c r="AJ157" i="84"/>
  <c r="AM154" i="84"/>
  <c r="AJ150" i="84"/>
  <c r="AQ203" i="83"/>
  <c r="AF202" i="83"/>
  <c r="AJ200" i="83"/>
  <c r="AJ187" i="83"/>
  <c r="AJ171" i="83"/>
  <c r="AF158" i="83"/>
  <c r="AJ156" i="83"/>
  <c r="AQ153" i="83"/>
  <c r="AJ149" i="83"/>
  <c r="AJ274" i="85"/>
  <c r="AJ174" i="85"/>
  <c r="AF159" i="85"/>
  <c r="AM154" i="85"/>
  <c r="AJ304" i="84"/>
  <c r="AJ275" i="84"/>
  <c r="AF202" i="84"/>
  <c r="AJ173" i="84"/>
  <c r="AJ159" i="84"/>
  <c r="AQ213" i="83"/>
  <c r="AJ202" i="83"/>
  <c r="AF186" i="83"/>
  <c r="AF173" i="83"/>
  <c r="AF171" i="83"/>
  <c r="AQ227" i="31"/>
  <c r="AO255" i="31"/>
  <c r="AJ206" i="31"/>
  <c r="AJ192" i="31"/>
  <c r="AJ177" i="31"/>
  <c r="AJ305" i="85"/>
  <c r="AJ187" i="85"/>
  <c r="AF173" i="85"/>
  <c r="AJ260" i="84"/>
  <c r="AM214" i="84"/>
  <c r="AJ203" i="84"/>
  <c r="AF187" i="84"/>
  <c r="AF174" i="84"/>
  <c r="AF172" i="84"/>
  <c r="AF201" i="83"/>
  <c r="AJ172" i="83"/>
  <c r="AJ158" i="83"/>
  <c r="AN267" i="31"/>
  <c r="AN168" i="31"/>
  <c r="AK255" i="31"/>
  <c r="AJ204" i="31"/>
  <c r="AJ190" i="31"/>
  <c r="AJ175" i="31"/>
  <c r="AK153" i="31"/>
  <c r="AJ276" i="84"/>
  <c r="AR165" i="84"/>
  <c r="AJ150" i="85"/>
  <c r="AJ261" i="84"/>
  <c r="AM224" i="84"/>
  <c r="AF188" i="84"/>
  <c r="AM174" i="84"/>
  <c r="AF157" i="84"/>
  <c r="AQ197" i="31"/>
  <c r="AQ157" i="31"/>
  <c r="AN265" i="31"/>
  <c r="AJ205" i="31"/>
  <c r="AJ176" i="31"/>
  <c r="AJ259" i="84"/>
  <c r="AF200" i="83"/>
  <c r="AQ183" i="83"/>
  <c r="AJ157" i="83"/>
  <c r="AQ187" i="31"/>
  <c r="AJ255" i="31"/>
  <c r="AJ289" i="85"/>
  <c r="AR169" i="85"/>
  <c r="AF201" i="84"/>
  <c r="AM184" i="84"/>
  <c r="AJ158" i="84"/>
  <c r="AJ188" i="83"/>
  <c r="AQ217" i="31"/>
  <c r="AQ177" i="31"/>
  <c r="AN255" i="31"/>
  <c r="AJ191" i="31"/>
  <c r="AJ161" i="31"/>
  <c r="AM194" i="85"/>
  <c r="AM164" i="85"/>
  <c r="AJ189" i="84"/>
  <c r="AQ223" i="83"/>
  <c r="AF187" i="83"/>
  <c r="AQ173" i="83"/>
  <c r="AF156" i="83"/>
  <c r="AQ207" i="31"/>
  <c r="AQ167" i="31"/>
  <c r="AJ160" i="31"/>
  <c r="AJ162" i="31"/>
  <c r="AJ153" i="31"/>
  <c r="AM188" i="85"/>
  <c r="AQ191" i="31"/>
  <c r="AM188" i="84"/>
  <c r="AQ187" i="83"/>
  <c r="AM212" i="85"/>
  <c r="AM202" i="85"/>
  <c r="AJ199" i="85"/>
  <c r="AJ186" i="85"/>
  <c r="AF169" i="85"/>
  <c r="AJ288" i="85"/>
  <c r="AR157" i="85"/>
  <c r="AR149" i="85"/>
  <c r="AJ200" i="85"/>
  <c r="AJ198" i="85"/>
  <c r="AJ185" i="85"/>
  <c r="AF184" i="85"/>
  <c r="AM172" i="85"/>
  <c r="AJ171" i="85"/>
  <c r="AF170" i="85"/>
  <c r="AM162" i="85"/>
  <c r="AJ300" i="85"/>
  <c r="AJ271" i="85"/>
  <c r="AJ258" i="85"/>
  <c r="AF198" i="85"/>
  <c r="AF185" i="85"/>
  <c r="AF171" i="85"/>
  <c r="AJ156" i="85"/>
  <c r="AF155" i="85"/>
  <c r="AJ302" i="85"/>
  <c r="AJ273" i="85"/>
  <c r="AJ256" i="85"/>
  <c r="AJ251" i="85"/>
  <c r="AF200" i="85"/>
  <c r="AM182" i="85"/>
  <c r="AJ169" i="85"/>
  <c r="AJ154" i="85"/>
  <c r="AJ272" i="85"/>
  <c r="AR153" i="85"/>
  <c r="AF199" i="85"/>
  <c r="AJ155" i="85"/>
  <c r="AM152" i="85"/>
  <c r="AJ301" i="84"/>
  <c r="AJ287" i="84"/>
  <c r="AJ286" i="84"/>
  <c r="AJ272" i="84"/>
  <c r="AJ257" i="84"/>
  <c r="AR153" i="84"/>
  <c r="AM222" i="84"/>
  <c r="AF199" i="84"/>
  <c r="AF186" i="84"/>
  <c r="AJ184" i="84"/>
  <c r="AJ170" i="84"/>
  <c r="AJ155" i="84"/>
  <c r="AF154" i="84"/>
  <c r="AF149" i="84"/>
  <c r="AQ221" i="83"/>
  <c r="AF198" i="83"/>
  <c r="AF185" i="83"/>
  <c r="AJ183" i="83"/>
  <c r="AJ169" i="83"/>
  <c r="AJ154" i="83"/>
  <c r="AF153" i="83"/>
  <c r="AF148" i="83"/>
  <c r="AQ205" i="31"/>
  <c r="AQ195" i="31"/>
  <c r="AQ185" i="31"/>
  <c r="AQ175" i="31"/>
  <c r="AQ165" i="31"/>
  <c r="AQ155" i="31"/>
  <c r="AF186" i="85"/>
  <c r="AF156" i="85"/>
  <c r="AF154" i="85"/>
  <c r="AF149" i="85"/>
  <c r="AJ273" i="84"/>
  <c r="AJ271" i="84"/>
  <c r="AJ258" i="84"/>
  <c r="AJ256" i="84"/>
  <c r="AJ251" i="84"/>
  <c r="AF200" i="84"/>
  <c r="AF198" i="84"/>
  <c r="AM192" i="84"/>
  <c r="AF185" i="84"/>
  <c r="AM182" i="84"/>
  <c r="AF171" i="84"/>
  <c r="AJ169" i="84"/>
  <c r="AF156" i="84"/>
  <c r="AM152" i="84"/>
  <c r="AJ149" i="84"/>
  <c r="AF199" i="83"/>
  <c r="AF197" i="83"/>
  <c r="AQ191" i="83"/>
  <c r="AF184" i="83"/>
  <c r="AQ181" i="83"/>
  <c r="AF170" i="83"/>
  <c r="AJ168" i="83"/>
  <c r="AF155" i="83"/>
  <c r="AQ151" i="83"/>
  <c r="AJ148" i="83"/>
  <c r="AQ225" i="31"/>
  <c r="AN261" i="31"/>
  <c r="AN156" i="31"/>
  <c r="AJ257" i="85"/>
  <c r="AJ170" i="85"/>
  <c r="AJ288" i="84"/>
  <c r="AR157" i="84"/>
  <c r="AR149" i="84"/>
  <c r="AM212" i="84"/>
  <c r="AJ198" i="84"/>
  <c r="AJ185" i="84"/>
  <c r="AJ171" i="84"/>
  <c r="AM162" i="84"/>
  <c r="AJ156" i="84"/>
  <c r="AJ199" i="83"/>
  <c r="AF183" i="83"/>
  <c r="AF169" i="83"/>
  <c r="AF154" i="83"/>
  <c r="AN160" i="31"/>
  <c r="AO254" i="31"/>
  <c r="AJ202" i="31"/>
  <c r="AJ188" i="31"/>
  <c r="AJ173" i="31"/>
  <c r="AK152" i="31"/>
  <c r="AJ149" i="85"/>
  <c r="AJ300" i="84"/>
  <c r="AJ200" i="84"/>
  <c r="AF184" i="84"/>
  <c r="AF170" i="84"/>
  <c r="AF155" i="84"/>
  <c r="AQ211" i="83"/>
  <c r="AJ197" i="83"/>
  <c r="AJ184" i="83"/>
  <c r="AJ170" i="83"/>
  <c r="AQ161" i="83"/>
  <c r="AJ155" i="83"/>
  <c r="AK254" i="31"/>
  <c r="AJ301" i="85"/>
  <c r="AJ286" i="85"/>
  <c r="AM222" i="85"/>
  <c r="AM192" i="85"/>
  <c r="AJ184" i="85"/>
  <c r="AJ302" i="84"/>
  <c r="AQ201" i="83"/>
  <c r="AJ185" i="83"/>
  <c r="AF168" i="83"/>
  <c r="AQ215" i="31"/>
  <c r="AN259" i="31"/>
  <c r="AN254" i="31"/>
  <c r="AJ187" i="31"/>
  <c r="AJ159" i="31"/>
  <c r="AJ287" i="85"/>
  <c r="AM202" i="84"/>
  <c r="AJ186" i="84"/>
  <c r="AF169" i="84"/>
  <c r="AQ171" i="83"/>
  <c r="AJ153" i="83"/>
  <c r="AJ203" i="31"/>
  <c r="AJ158" i="31"/>
  <c r="AM172" i="84"/>
  <c r="AJ154" i="84"/>
  <c r="AJ198" i="83"/>
  <c r="AN260" i="31"/>
  <c r="AJ201" i="31"/>
  <c r="AJ172" i="31"/>
  <c r="AJ157" i="31"/>
  <c r="AJ152" i="31"/>
  <c r="AJ199" i="84"/>
  <c r="AJ254" i="31"/>
  <c r="AJ189" i="31"/>
  <c r="AJ174" i="31"/>
  <c r="AM168" i="84"/>
  <c r="AQ167" i="83"/>
  <c r="AQ171" i="31"/>
  <c r="AM168" i="85"/>
  <c r="C90" i="91"/>
  <c r="AF212" i="31"/>
  <c r="AF198" i="31"/>
  <c r="AF183" i="31"/>
  <c r="AF211" i="31"/>
  <c r="AF197" i="31"/>
  <c r="AF182" i="31"/>
  <c r="AF168" i="31"/>
  <c r="AF166" i="31"/>
  <c r="AG155" i="31"/>
  <c r="AF196" i="31"/>
  <c r="AF181" i="31"/>
  <c r="AF155" i="31"/>
  <c r="AF210" i="31"/>
  <c r="AF167" i="31"/>
  <c r="C58" i="91"/>
  <c r="AF204" i="31"/>
  <c r="AF190" i="31"/>
  <c r="AF175" i="31"/>
  <c r="AF162" i="31"/>
  <c r="AF160" i="31"/>
  <c r="AG153" i="31"/>
  <c r="AF206" i="31"/>
  <c r="AF192" i="31"/>
  <c r="AF177" i="31"/>
  <c r="AF153" i="31"/>
  <c r="AF205" i="31"/>
  <c r="AF191" i="31"/>
  <c r="AF176" i="31"/>
  <c r="AF161" i="31"/>
  <c r="C42" i="91"/>
  <c r="AF203" i="31"/>
  <c r="AF189" i="31"/>
  <c r="AF174" i="31"/>
  <c r="AF202" i="31"/>
  <c r="AF188" i="31"/>
  <c r="AF173" i="31"/>
  <c r="AF159" i="31"/>
  <c r="AF157" i="31"/>
  <c r="AF152" i="31"/>
  <c r="AF201" i="31"/>
  <c r="AF187" i="31"/>
  <c r="AF172" i="31"/>
  <c r="AF158" i="31"/>
  <c r="AG152" i="31"/>
  <c r="C90" i="87"/>
  <c r="C90" i="89"/>
  <c r="C58" i="87"/>
  <c r="C58" i="89"/>
  <c r="C42" i="87"/>
  <c r="C42" i="89"/>
  <c r="L61" i="83"/>
  <c r="E4" i="83"/>
  <c r="J3" i="83"/>
  <c r="L4" i="83"/>
  <c r="L61" i="85"/>
  <c r="E4" i="85"/>
  <c r="J3" i="85"/>
  <c r="L4" i="85"/>
  <c r="L61" i="84"/>
  <c r="E4" i="84"/>
  <c r="J3" i="84"/>
  <c r="L4" i="84"/>
  <c r="AE74" i="85"/>
  <c r="T61" i="85"/>
  <c r="S61" i="85"/>
  <c r="R61" i="85"/>
  <c r="Q61" i="85"/>
  <c r="S4" i="85"/>
  <c r="Q4" i="85"/>
  <c r="R4" i="85"/>
  <c r="T4" i="85"/>
  <c r="AB61" i="85"/>
  <c r="AA61" i="85"/>
  <c r="Z61" i="85"/>
  <c r="Y61" i="85"/>
  <c r="AE78" i="85"/>
  <c r="AA4" i="85"/>
  <c r="Y4" i="85"/>
  <c r="Z4" i="85"/>
  <c r="AB4" i="85"/>
  <c r="AE70" i="85"/>
  <c r="P61" i="85"/>
  <c r="O61" i="85"/>
  <c r="N61" i="85"/>
  <c r="M61" i="85"/>
  <c r="O4" i="85"/>
  <c r="M4" i="85"/>
  <c r="N4" i="85"/>
  <c r="P4" i="85"/>
  <c r="N61" i="84"/>
  <c r="P61" i="84"/>
  <c r="M61" i="84"/>
  <c r="AE70" i="84"/>
  <c r="O61" i="84"/>
  <c r="M4" i="84"/>
  <c r="O4" i="84"/>
  <c r="P4" i="84"/>
  <c r="N4" i="84"/>
  <c r="Z61" i="84"/>
  <c r="AA61" i="84"/>
  <c r="Y61" i="84"/>
  <c r="AE78" i="84"/>
  <c r="Y4" i="84"/>
  <c r="AB61" i="84"/>
  <c r="AA4" i="84"/>
  <c r="AB4" i="84"/>
  <c r="Z4" i="84"/>
  <c r="R61" i="84"/>
  <c r="AE74" i="84"/>
  <c r="S61" i="84"/>
  <c r="T61" i="84"/>
  <c r="Q61" i="84"/>
  <c r="Q4" i="84"/>
  <c r="S4" i="84"/>
  <c r="T4" i="84"/>
  <c r="R4" i="84"/>
  <c r="AB61" i="83"/>
  <c r="AA61" i="83"/>
  <c r="Z61" i="83"/>
  <c r="AE78" i="83"/>
  <c r="Y61" i="83"/>
  <c r="Y4" i="83"/>
  <c r="AB4" i="83"/>
  <c r="AA4" i="83"/>
  <c r="Z4" i="83"/>
  <c r="I185" i="73"/>
  <c r="AB61" i="31"/>
  <c r="Y61" i="31"/>
  <c r="Z61" i="31"/>
  <c r="AA61" i="31"/>
  <c r="H185" i="73"/>
  <c r="AE79" i="31"/>
  <c r="P126" i="73"/>
  <c r="L126" i="73"/>
  <c r="H126" i="73"/>
  <c r="D126" i="73"/>
  <c r="T126" i="73"/>
  <c r="AE70" i="83"/>
  <c r="P61" i="83"/>
  <c r="O61" i="83"/>
  <c r="N61" i="83"/>
  <c r="M61" i="83"/>
  <c r="M4" i="83"/>
  <c r="P4" i="83"/>
  <c r="O4" i="83"/>
  <c r="N4" i="83"/>
  <c r="M61" i="31"/>
  <c r="H183" i="73"/>
  <c r="AE71" i="31"/>
  <c r="P61" i="31"/>
  <c r="I183" i="73"/>
  <c r="O61" i="31"/>
  <c r="N61" i="31"/>
  <c r="L108" i="73"/>
  <c r="H108" i="73"/>
  <c r="D108" i="73"/>
  <c r="T108" i="73"/>
  <c r="P108" i="73"/>
  <c r="E183" i="73"/>
  <c r="D183" i="73"/>
  <c r="G107" i="73"/>
  <c r="D185" i="73"/>
  <c r="E185" i="73"/>
  <c r="O107" i="73"/>
  <c r="AE74" i="83"/>
  <c r="T61" i="83"/>
  <c r="S61" i="83"/>
  <c r="R61" i="83"/>
  <c r="Q61" i="83"/>
  <c r="Q4" i="83"/>
  <c r="T4" i="83"/>
  <c r="S4" i="83"/>
  <c r="R4" i="83"/>
  <c r="Q61" i="31"/>
  <c r="I184" i="73"/>
  <c r="AE75" i="31"/>
  <c r="T61" i="31"/>
  <c r="S61" i="31"/>
  <c r="H184" i="73"/>
  <c r="R61" i="31"/>
  <c r="H114" i="73"/>
  <c r="D114" i="73"/>
  <c r="T114" i="73"/>
  <c r="P114" i="73"/>
  <c r="L114" i="73"/>
  <c r="E184" i="73"/>
  <c r="D184" i="73"/>
  <c r="K107" i="73"/>
  <c r="C90" i="51"/>
  <c r="C58" i="51"/>
  <c r="C42" i="51"/>
  <c r="O72" i="73"/>
  <c r="O37" i="73"/>
  <c r="K72" i="73"/>
  <c r="K37" i="73"/>
  <c r="G72" i="73"/>
  <c r="G37" i="73"/>
  <c r="N63" i="31"/>
  <c r="M63" i="31"/>
  <c r="P63" i="31"/>
  <c r="O63" i="31"/>
  <c r="Z63" i="31"/>
  <c r="AB63" i="31"/>
  <c r="AA63" i="31"/>
  <c r="Y63" i="31"/>
  <c r="R63" i="31"/>
  <c r="S63" i="31"/>
  <c r="Q63" i="31"/>
  <c r="T63" i="31"/>
  <c r="D249" i="58"/>
  <c r="D178" i="58"/>
  <c r="D107" i="58"/>
  <c r="D252" i="58"/>
  <c r="D181" i="58"/>
  <c r="D110" i="58"/>
  <c r="D37" i="58"/>
  <c r="F37" i="58" s="1"/>
  <c r="D251" i="58"/>
  <c r="D250" i="58"/>
  <c r="D179" i="58"/>
  <c r="D108" i="58"/>
  <c r="D39" i="58"/>
  <c r="F39" i="58" s="1"/>
  <c r="D180" i="58"/>
  <c r="D38" i="58"/>
  <c r="F38" i="58" s="1"/>
  <c r="D109" i="58"/>
  <c r="D241" i="58"/>
  <c r="D170" i="58"/>
  <c r="D99" i="58"/>
  <c r="D31" i="58"/>
  <c r="F31" i="58" s="1"/>
  <c r="D244" i="58"/>
  <c r="D173" i="58"/>
  <c r="D102" i="58"/>
  <c r="D28" i="58"/>
  <c r="F28" i="58" s="1"/>
  <c r="D242" i="58"/>
  <c r="D171" i="58"/>
  <c r="D100" i="58"/>
  <c r="D30" i="58"/>
  <c r="F30" i="58" s="1"/>
  <c r="D243" i="58"/>
  <c r="D29" i="58"/>
  <c r="F29" i="58" s="1"/>
  <c r="D101" i="58"/>
  <c r="D172" i="58"/>
  <c r="D237" i="58"/>
  <c r="D166" i="58"/>
  <c r="D95" i="58"/>
  <c r="D26" i="58"/>
  <c r="F26" i="58" s="1"/>
  <c r="D240" i="58"/>
  <c r="D169" i="58"/>
  <c r="D98" i="58"/>
  <c r="D27" i="58"/>
  <c r="F27" i="58" s="1"/>
  <c r="D238" i="58"/>
  <c r="D167" i="58"/>
  <c r="D96" i="58"/>
  <c r="D25" i="58"/>
  <c r="F25" i="58" s="1"/>
  <c r="D97" i="58"/>
  <c r="D168" i="58"/>
  <c r="D24" i="58"/>
  <c r="F24" i="58" s="1"/>
  <c r="D239" i="58"/>
  <c r="B30" i="23"/>
  <c r="B22" i="23"/>
  <c r="B26" i="23"/>
  <c r="M4" i="31"/>
  <c r="C114" i="30"/>
  <c r="O4" i="31"/>
  <c r="N4" i="31"/>
  <c r="P4" i="31"/>
  <c r="B32" i="23"/>
  <c r="B24" i="23"/>
  <c r="B28" i="23"/>
  <c r="Y4" i="31"/>
  <c r="C116" i="30"/>
  <c r="AB4" i="31"/>
  <c r="AA4" i="31"/>
  <c r="Z4" i="31"/>
  <c r="D36" i="58"/>
  <c r="F36" i="58" s="1"/>
  <c r="A216" i="58"/>
  <c r="D236" i="58"/>
  <c r="C99" i="30"/>
  <c r="B31" i="23"/>
  <c r="B23" i="23"/>
  <c r="B27" i="23"/>
  <c r="C115" i="30"/>
  <c r="Q4" i="31"/>
  <c r="T4" i="31"/>
  <c r="S4" i="31"/>
  <c r="R4" i="31"/>
  <c r="A145" i="58"/>
  <c r="D165" i="58"/>
  <c r="C85" i="30"/>
  <c r="A74" i="58"/>
  <c r="D94" i="58"/>
  <c r="C71" i="30"/>
  <c r="B74" i="23"/>
  <c r="B75" i="23"/>
  <c r="C4" i="51" l="1"/>
  <c r="C3" i="20"/>
  <c r="AO101" i="31"/>
  <c r="AP101" i="31"/>
  <c r="C4" i="89"/>
  <c r="C3" i="88"/>
  <c r="C4" i="87"/>
  <c r="C3" i="86"/>
  <c r="C4" i="91"/>
  <c r="C3" i="90"/>
  <c r="H10" i="88"/>
  <c r="E10" i="88"/>
  <c r="N10" i="88"/>
  <c r="E10" i="86"/>
  <c r="H10" i="86"/>
  <c r="AQ99" i="85"/>
  <c r="AP99" i="85"/>
  <c r="AR99" i="85"/>
  <c r="AQ99" i="84"/>
  <c r="AP99" i="84"/>
  <c r="AR99" i="84"/>
  <c r="AQ99" i="83"/>
  <c r="H10" i="20"/>
  <c r="AP99" i="83"/>
  <c r="E10" i="20"/>
  <c r="AR99" i="83"/>
  <c r="AR101" i="31"/>
  <c r="N10" i="20"/>
  <c r="F165" i="58"/>
  <c r="H165" i="58"/>
  <c r="K165" i="58" s="1"/>
  <c r="L165" i="58" s="1"/>
  <c r="H236" i="58"/>
  <c r="K236" i="58" s="1"/>
  <c r="L236" i="58" s="1"/>
  <c r="F236" i="58"/>
  <c r="F252" i="58"/>
  <c r="H252" i="58"/>
  <c r="K252" i="58" s="1"/>
  <c r="F109" i="58"/>
  <c r="H109" i="58"/>
  <c r="K109" i="58" s="1"/>
  <c r="F178" i="58"/>
  <c r="H178" i="58"/>
  <c r="K178" i="58" s="1"/>
  <c r="H173" i="58"/>
  <c r="K173" i="58" s="1"/>
  <c r="F173" i="58"/>
  <c r="F102" i="58"/>
  <c r="H102" i="58"/>
  <c r="K102" i="58" s="1"/>
  <c r="F100" i="58"/>
  <c r="H100" i="58"/>
  <c r="K100" i="58" s="1"/>
  <c r="H29" i="58"/>
  <c r="H241" i="58"/>
  <c r="K241" i="58" s="1"/>
  <c r="F241" i="58"/>
  <c r="F99" i="58"/>
  <c r="H99" i="58"/>
  <c r="K99" i="58" s="1"/>
  <c r="F179" i="58"/>
  <c r="H179" i="58"/>
  <c r="K179" i="58" s="1"/>
  <c r="H250" i="58"/>
  <c r="K250" i="58" s="1"/>
  <c r="F250" i="58"/>
  <c r="H38" i="58"/>
  <c r="F107" i="58"/>
  <c r="H107" i="58"/>
  <c r="K107" i="58" s="1"/>
  <c r="F171" i="58"/>
  <c r="H171" i="58"/>
  <c r="K171" i="58" s="1"/>
  <c r="F244" i="58"/>
  <c r="H244" i="58"/>
  <c r="K244" i="58" s="1"/>
  <c r="H28" i="58"/>
  <c r="H31" i="58"/>
  <c r="F170" i="58"/>
  <c r="H170" i="58"/>
  <c r="K170" i="58" s="1"/>
  <c r="H180" i="58"/>
  <c r="K180" i="58" s="1"/>
  <c r="F180" i="58"/>
  <c r="F110" i="58"/>
  <c r="H110" i="58"/>
  <c r="K110" i="58" s="1"/>
  <c r="F251" i="58"/>
  <c r="H251" i="58"/>
  <c r="K251" i="58" s="1"/>
  <c r="H37" i="58"/>
  <c r="F249" i="58"/>
  <c r="H249" i="58"/>
  <c r="K249" i="58" s="1"/>
  <c r="F23" i="58"/>
  <c r="H23" i="58"/>
  <c r="K23" i="58" s="1"/>
  <c r="L23" i="58" s="1"/>
  <c r="F242" i="58"/>
  <c r="H242" i="58"/>
  <c r="K242" i="58" s="1"/>
  <c r="H172" i="58"/>
  <c r="K172" i="58" s="1"/>
  <c r="F172" i="58"/>
  <c r="H94" i="58"/>
  <c r="K94" i="58" s="1"/>
  <c r="L94" i="58" s="1"/>
  <c r="F94" i="58"/>
  <c r="F181" i="58"/>
  <c r="H181" i="58"/>
  <c r="K181" i="58" s="1"/>
  <c r="F108" i="58"/>
  <c r="H108" i="58"/>
  <c r="K108" i="58" s="1"/>
  <c r="H36" i="58"/>
  <c r="H39" i="58"/>
  <c r="H243" i="58"/>
  <c r="K243" i="58" s="1"/>
  <c r="F243" i="58"/>
  <c r="F101" i="58"/>
  <c r="H101" i="58"/>
  <c r="K101" i="58" s="1"/>
  <c r="H30" i="58"/>
  <c r="M23" i="58" l="1"/>
  <c r="M165" i="58"/>
  <c r="M236" i="58"/>
  <c r="M94" i="58"/>
  <c r="AG117" i="83" l="1"/>
  <c r="AG116" i="83" l="1"/>
  <c r="D49" i="1" l="1"/>
  <c r="G445" i="24" l="1"/>
  <c r="F445" i="24"/>
  <c r="G432" i="24"/>
  <c r="F432" i="24"/>
  <c r="G419" i="24"/>
  <c r="F419" i="24"/>
  <c r="G406" i="24"/>
  <c r="F406" i="24"/>
  <c r="G393" i="24"/>
  <c r="F393" i="24"/>
  <c r="G380" i="24"/>
  <c r="F380" i="24"/>
  <c r="G367" i="24"/>
  <c r="F367" i="24"/>
  <c r="G354" i="24"/>
  <c r="F354" i="24"/>
  <c r="G341" i="24"/>
  <c r="F341" i="24"/>
  <c r="G328" i="24"/>
  <c r="F328" i="24"/>
  <c r="G315" i="24"/>
  <c r="F315" i="24"/>
  <c r="G302" i="24"/>
  <c r="F302" i="24"/>
  <c r="G289" i="24"/>
  <c r="F289" i="24"/>
  <c r="G276" i="24"/>
  <c r="F276" i="24"/>
  <c r="G263" i="24"/>
  <c r="F263" i="24"/>
  <c r="G250" i="24"/>
  <c r="F250" i="24"/>
  <c r="F236" i="24"/>
  <c r="G223" i="24"/>
  <c r="F223" i="24"/>
  <c r="G210" i="24"/>
  <c r="F210" i="24"/>
  <c r="G197" i="24"/>
  <c r="F197" i="24"/>
  <c r="G180" i="24"/>
  <c r="F180" i="24"/>
  <c r="G167" i="24"/>
  <c r="F167" i="24"/>
  <c r="G154" i="24"/>
  <c r="F154" i="24"/>
  <c r="G141" i="24"/>
  <c r="F141" i="24"/>
  <c r="G128" i="24"/>
  <c r="F128" i="24"/>
  <c r="G115" i="24"/>
  <c r="F115" i="24"/>
  <c r="G102" i="24"/>
  <c r="F102" i="24"/>
  <c r="G89" i="24"/>
  <c r="F89" i="24"/>
  <c r="G76" i="24"/>
  <c r="F76" i="24"/>
  <c r="G63" i="24"/>
  <c r="F63" i="24"/>
  <c r="G50" i="24"/>
  <c r="F50" i="24"/>
  <c r="G37" i="24"/>
  <c r="F37" i="24"/>
  <c r="G24" i="24"/>
  <c r="F24" i="24"/>
  <c r="F11" i="24"/>
  <c r="C6" i="2" l="1"/>
  <c r="C4" i="2"/>
  <c r="AG260" i="85" l="1"/>
  <c r="AG260" i="84"/>
  <c r="AG263" i="31"/>
  <c r="AJ307" i="85"/>
  <c r="AN306" i="85"/>
  <c r="AR294" i="85"/>
  <c r="AJ294" i="85"/>
  <c r="AN293" i="85"/>
  <c r="AR292" i="85"/>
  <c r="AJ292" i="85"/>
  <c r="AR279" i="85"/>
  <c r="AJ279" i="85"/>
  <c r="AN278" i="85"/>
  <c r="AR277" i="85"/>
  <c r="AJ277" i="85"/>
  <c r="AO253" i="85"/>
  <c r="AM220" i="85"/>
  <c r="AF191" i="85"/>
  <c r="AR181" i="85"/>
  <c r="AJ177" i="85"/>
  <c r="AF175" i="85"/>
  <c r="AJ160" i="85"/>
  <c r="AJ151" i="85"/>
  <c r="W63" i="85"/>
  <c r="W61" i="85"/>
  <c r="AI11" i="85"/>
  <c r="U4" i="85"/>
  <c r="AJ307" i="84"/>
  <c r="AN306" i="84"/>
  <c r="AR294" i="84"/>
  <c r="AJ294" i="84"/>
  <c r="AN293" i="84"/>
  <c r="AR292" i="84"/>
  <c r="AJ292" i="84"/>
  <c r="AR279" i="84"/>
  <c r="AJ279" i="84"/>
  <c r="AN278" i="84"/>
  <c r="AR277" i="84"/>
  <c r="AJ277" i="84"/>
  <c r="AO253" i="84"/>
  <c r="AM220" i="84"/>
  <c r="AF191" i="84"/>
  <c r="AR181" i="84"/>
  <c r="AJ177" i="84"/>
  <c r="AF175" i="84"/>
  <c r="AJ160" i="84"/>
  <c r="AJ151" i="84"/>
  <c r="W63" i="84"/>
  <c r="W61" i="84"/>
  <c r="AI11" i="84"/>
  <c r="U4" i="84"/>
  <c r="AJ203" i="83"/>
  <c r="AJ191" i="83"/>
  <c r="AF189" i="83"/>
  <c r="AQ179" i="83"/>
  <c r="AF161" i="83"/>
  <c r="AF160" i="83"/>
  <c r="AG150" i="83"/>
  <c r="AE66" i="83"/>
  <c r="V63" i="83"/>
  <c r="V61" i="83"/>
  <c r="X4" i="83"/>
  <c r="AN355" i="31"/>
  <c r="AR354" i="31"/>
  <c r="AJ354" i="31"/>
  <c r="AN353" i="31"/>
  <c r="AR352" i="31"/>
  <c r="AJ352" i="31"/>
  <c r="AN351" i="31"/>
  <c r="AR330" i="31"/>
  <c r="AJ330" i="31"/>
  <c r="AN329" i="31"/>
  <c r="AR328" i="31"/>
  <c r="AJ328" i="31"/>
  <c r="AN327" i="31"/>
  <c r="AR326" i="31"/>
  <c r="AJ326" i="31"/>
  <c r="AN325" i="31"/>
  <c r="AR303" i="31"/>
  <c r="AJ303" i="31"/>
  <c r="AN302" i="31"/>
  <c r="AR301" i="31"/>
  <c r="AJ301" i="31"/>
  <c r="AR264" i="85"/>
  <c r="AJ264" i="85"/>
  <c r="AN263" i="85"/>
  <c r="AR262" i="85"/>
  <c r="AJ262" i="85"/>
  <c r="AN253" i="85"/>
  <c r="AM210" i="85"/>
  <c r="AF206" i="85"/>
  <c r="AF205" i="85"/>
  <c r="AF204" i="85"/>
  <c r="AF192" i="85"/>
  <c r="AM190" i="85"/>
  <c r="AJ176" i="85"/>
  <c r="AM170" i="85"/>
  <c r="AF162" i="85"/>
  <c r="AF161" i="85"/>
  <c r="AG151" i="85"/>
  <c r="AE66" i="85"/>
  <c r="V63" i="85"/>
  <c r="V61" i="85"/>
  <c r="X4" i="85"/>
  <c r="AR264" i="84"/>
  <c r="AJ264" i="84"/>
  <c r="AN263" i="84"/>
  <c r="AR262" i="84"/>
  <c r="AJ262" i="84"/>
  <c r="AN253" i="84"/>
  <c r="AM210" i="84"/>
  <c r="AF206" i="84"/>
  <c r="AF205" i="84"/>
  <c r="AF204" i="84"/>
  <c r="AF192" i="84"/>
  <c r="AM190" i="84"/>
  <c r="AJ176" i="84"/>
  <c r="AM170" i="84"/>
  <c r="AF162" i="84"/>
  <c r="AF161" i="84"/>
  <c r="AG151" i="84"/>
  <c r="AE66" i="84"/>
  <c r="V63" i="84"/>
  <c r="V61" i="84"/>
  <c r="X4" i="84"/>
  <c r="AF190" i="83"/>
  <c r="AJ176" i="83"/>
  <c r="AJ175" i="83"/>
  <c r="AJ174" i="83"/>
  <c r="AO172" i="83"/>
  <c r="AQ159" i="83"/>
  <c r="AF159" i="83"/>
  <c r="AF150" i="83"/>
  <c r="U63" i="83"/>
  <c r="U61" i="83"/>
  <c r="W4" i="83"/>
  <c r="AN307" i="85"/>
  <c r="AR306" i="85"/>
  <c r="AJ306" i="85"/>
  <c r="AN294" i="85"/>
  <c r="AR293" i="85"/>
  <c r="AJ293" i="85"/>
  <c r="AN292" i="85"/>
  <c r="AN279" i="85"/>
  <c r="AR278" i="85"/>
  <c r="AJ278" i="85"/>
  <c r="AN277" i="85"/>
  <c r="AS253" i="85"/>
  <c r="AK253" i="85"/>
  <c r="AM200" i="85"/>
  <c r="AJ191" i="85"/>
  <c r="AJ190" i="85"/>
  <c r="AM180" i="85"/>
  <c r="AR177" i="85"/>
  <c r="AF177" i="85"/>
  <c r="AJ175" i="85"/>
  <c r="AS173" i="85"/>
  <c r="AM160" i="85"/>
  <c r="AF160" i="85"/>
  <c r="AF151" i="85"/>
  <c r="U63" i="85"/>
  <c r="U61" i="85"/>
  <c r="W4" i="85"/>
  <c r="AN307" i="84"/>
  <c r="AR306" i="84"/>
  <c r="AJ306" i="84"/>
  <c r="AN294" i="84"/>
  <c r="AR293" i="84"/>
  <c r="AJ293" i="84"/>
  <c r="AN292" i="84"/>
  <c r="AN279" i="84"/>
  <c r="AR278" i="84"/>
  <c r="AJ278" i="84"/>
  <c r="AN277" i="84"/>
  <c r="AS253" i="84"/>
  <c r="AK253" i="84"/>
  <c r="AM200" i="84"/>
  <c r="AJ191" i="84"/>
  <c r="AJ190" i="84"/>
  <c r="AM180" i="84"/>
  <c r="AR177" i="84"/>
  <c r="AF177" i="84"/>
  <c r="AJ175" i="84"/>
  <c r="AS173" i="84"/>
  <c r="AM160" i="84"/>
  <c r="AF160" i="84"/>
  <c r="AF151" i="84"/>
  <c r="U63" i="84"/>
  <c r="U61" i="84"/>
  <c r="W4" i="84"/>
  <c r="AF204" i="83"/>
  <c r="AF203" i="83"/>
  <c r="AF191" i="83"/>
  <c r="AQ189" i="83"/>
  <c r="AN172" i="83"/>
  <c r="AJ161" i="83"/>
  <c r="AJ160" i="83"/>
  <c r="AK150" i="83"/>
  <c r="AQ149" i="83"/>
  <c r="X63" i="83"/>
  <c r="X61" i="83"/>
  <c r="V4" i="83"/>
  <c r="AJ355" i="31"/>
  <c r="AN354" i="31"/>
  <c r="AR353" i="31"/>
  <c r="AJ353" i="31"/>
  <c r="AN352" i="31"/>
  <c r="AR351" i="31"/>
  <c r="AJ351" i="31"/>
  <c r="AN330" i="31"/>
  <c r="AR329" i="31"/>
  <c r="AJ329" i="31"/>
  <c r="AN328" i="31"/>
  <c r="AR327" i="31"/>
  <c r="AJ327" i="31"/>
  <c r="AN326" i="31"/>
  <c r="AN264" i="85"/>
  <c r="AR263" i="85"/>
  <c r="AJ263" i="85"/>
  <c r="AN262" i="85"/>
  <c r="AR253" i="85"/>
  <c r="AJ253" i="85"/>
  <c r="AJ206" i="85"/>
  <c r="AJ205" i="85"/>
  <c r="AJ204" i="85"/>
  <c r="AJ192" i="85"/>
  <c r="AF190" i="85"/>
  <c r="AF176" i="85"/>
  <c r="AR173" i="85"/>
  <c r="AJ162" i="85"/>
  <c r="AJ161" i="85"/>
  <c r="AK151" i="85"/>
  <c r="AM150" i="85"/>
  <c r="X63" i="85"/>
  <c r="X61" i="85"/>
  <c r="V4" i="85"/>
  <c r="AN264" i="84"/>
  <c r="AR263" i="84"/>
  <c r="AJ263" i="84"/>
  <c r="AN262" i="84"/>
  <c r="AR253" i="84"/>
  <c r="AJ253" i="84"/>
  <c r="AJ206" i="84"/>
  <c r="AJ205" i="84"/>
  <c r="AJ204" i="84"/>
  <c r="AJ192" i="84"/>
  <c r="AF190" i="84"/>
  <c r="AF176" i="84"/>
  <c r="AR173" i="84"/>
  <c r="AJ162" i="84"/>
  <c r="AJ161" i="84"/>
  <c r="AK151" i="84"/>
  <c r="AM150" i="84"/>
  <c r="X63" i="84"/>
  <c r="X61" i="84"/>
  <c r="V4" i="84"/>
  <c r="AQ199" i="83"/>
  <c r="AJ190" i="83"/>
  <c r="AJ189" i="83"/>
  <c r="AN180" i="83"/>
  <c r="AN176" i="83"/>
  <c r="AF176" i="83"/>
  <c r="AF175" i="83"/>
  <c r="AF174" i="83"/>
  <c r="AQ169" i="83"/>
  <c r="AJ159" i="83"/>
  <c r="AJ150" i="83"/>
  <c r="W63" i="83"/>
  <c r="W61" i="83"/>
  <c r="AI11" i="83"/>
  <c r="U4" i="83"/>
  <c r="AR302" i="31"/>
  <c r="AN275" i="31"/>
  <c r="AR274" i="31"/>
  <c r="AJ274" i="31"/>
  <c r="AN273" i="31"/>
  <c r="AR272" i="31"/>
  <c r="AJ272" i="31"/>
  <c r="AN271" i="31"/>
  <c r="AR256" i="31"/>
  <c r="AJ256" i="31"/>
  <c r="AJ209" i="31"/>
  <c r="AJ208" i="31"/>
  <c r="AJ207" i="31"/>
  <c r="AJ195" i="31"/>
  <c r="AF193" i="31"/>
  <c r="AF179" i="31"/>
  <c r="AN176" i="31"/>
  <c r="AJ163" i="31"/>
  <c r="AJ154" i="31"/>
  <c r="X63" i="31"/>
  <c r="X61" i="31"/>
  <c r="V4" i="31"/>
  <c r="AM228" i="73"/>
  <c r="W228" i="73"/>
  <c r="G228" i="73"/>
  <c r="T120" i="73"/>
  <c r="D120" i="73"/>
  <c r="C74" i="91"/>
  <c r="D245" i="58"/>
  <c r="D174" i="58"/>
  <c r="D103" i="58"/>
  <c r="D32" i="58"/>
  <c r="AJ205" i="83"/>
  <c r="AJ204" i="83"/>
  <c r="AR308" i="85"/>
  <c r="AJ308" i="85"/>
  <c r="B119" i="23"/>
  <c r="AN303" i="31"/>
  <c r="AR300" i="31"/>
  <c r="AJ300" i="31"/>
  <c r="AN299" i="31"/>
  <c r="AR298" i="31"/>
  <c r="AJ298" i="31"/>
  <c r="AN276" i="31"/>
  <c r="AO256" i="31"/>
  <c r="AQ223" i="31"/>
  <c r="AF194" i="31"/>
  <c r="AN184" i="31"/>
  <c r="AJ180" i="31"/>
  <c r="AF178" i="31"/>
  <c r="AQ173" i="31"/>
  <c r="AF165" i="31"/>
  <c r="AF164" i="31"/>
  <c r="AG154" i="31"/>
  <c r="W63" i="31"/>
  <c r="W61" i="31"/>
  <c r="AI11" i="31"/>
  <c r="U4" i="31"/>
  <c r="AI228" i="73"/>
  <c r="S228" i="73"/>
  <c r="C228" i="73"/>
  <c r="P120" i="73"/>
  <c r="C72" i="73"/>
  <c r="C74" i="51"/>
  <c r="D177" i="58"/>
  <c r="D106" i="58"/>
  <c r="D35" i="58"/>
  <c r="D248" i="58"/>
  <c r="AR356" i="31"/>
  <c r="AJ356" i="31"/>
  <c r="AQ219" i="83"/>
  <c r="AN308" i="84"/>
  <c r="AR307" i="84"/>
  <c r="B29" i="23"/>
  <c r="AJ325" i="31"/>
  <c r="AN301" i="31"/>
  <c r="AR275" i="31"/>
  <c r="AJ275" i="31"/>
  <c r="AN274" i="31"/>
  <c r="AR273" i="31"/>
  <c r="AJ273" i="31"/>
  <c r="AN272" i="31"/>
  <c r="AR271" i="31"/>
  <c r="AJ271" i="31"/>
  <c r="AN256" i="31"/>
  <c r="AQ213" i="31"/>
  <c r="AF209" i="31"/>
  <c r="AF208" i="31"/>
  <c r="AF207" i="31"/>
  <c r="AF195" i="31"/>
  <c r="AQ193" i="31"/>
  <c r="AQ183" i="31"/>
  <c r="AJ179" i="31"/>
  <c r="AQ163" i="31"/>
  <c r="AF163" i="31"/>
  <c r="AF154" i="31"/>
  <c r="AE67" i="31"/>
  <c r="V63" i="31"/>
  <c r="V61" i="31"/>
  <c r="X4" i="31"/>
  <c r="AE228" i="73"/>
  <c r="O228" i="73"/>
  <c r="I182" i="73"/>
  <c r="L120" i="73"/>
  <c r="C74" i="89"/>
  <c r="D247" i="58"/>
  <c r="D176" i="58"/>
  <c r="D105" i="58"/>
  <c r="D34" i="58"/>
  <c r="AQ209" i="83"/>
  <c r="AF205" i="83"/>
  <c r="AN308" i="85"/>
  <c r="AR307" i="85"/>
  <c r="B25" i="23"/>
  <c r="AR325" i="31"/>
  <c r="AJ302" i="31"/>
  <c r="AN300" i="31"/>
  <c r="AR299" i="31"/>
  <c r="AJ299" i="31"/>
  <c r="AN298" i="31"/>
  <c r="AR276" i="31"/>
  <c r="AJ276" i="31"/>
  <c r="AS256" i="31"/>
  <c r="AK256" i="31"/>
  <c r="AQ203" i="31"/>
  <c r="AJ194" i="31"/>
  <c r="AJ193" i="31"/>
  <c r="AN180" i="31"/>
  <c r="AF180" i="31"/>
  <c r="AJ178" i="31"/>
  <c r="AO176" i="31"/>
  <c r="AJ165" i="31"/>
  <c r="AJ164" i="31"/>
  <c r="AK154" i="31"/>
  <c r="AQ153" i="31"/>
  <c r="U63" i="31"/>
  <c r="U61" i="31"/>
  <c r="W4" i="31"/>
  <c r="AA228" i="73"/>
  <c r="K228" i="73"/>
  <c r="H182" i="73"/>
  <c r="H120" i="73"/>
  <c r="D246" i="58"/>
  <c r="D175" i="58"/>
  <c r="D104" i="58"/>
  <c r="D33" i="58"/>
  <c r="AN356" i="31"/>
  <c r="AR355" i="31"/>
  <c r="AR308" i="84"/>
  <c r="AJ308" i="84"/>
  <c r="C113" i="30"/>
  <c r="B21" i="23"/>
  <c r="F34" i="58"/>
  <c r="F32" i="58"/>
  <c r="F33" i="58"/>
  <c r="F35" i="58"/>
  <c r="H98" i="58"/>
  <c r="K98" i="58" s="1"/>
  <c r="F98" i="58"/>
  <c r="H240" i="58"/>
  <c r="K240" i="58" s="1"/>
  <c r="F240" i="58"/>
  <c r="H24" i="58"/>
  <c r="H27" i="58"/>
  <c r="F95" i="58"/>
  <c r="H95" i="58"/>
  <c r="K95" i="58" s="1"/>
  <c r="L95" i="58" s="1"/>
  <c r="E7701" i="14"/>
  <c r="F239" i="58"/>
  <c r="H239" i="58"/>
  <c r="K239" i="58" s="1"/>
  <c r="F96" i="58"/>
  <c r="H96" i="58"/>
  <c r="K96" i="58" s="1"/>
  <c r="F169" i="58"/>
  <c r="H169" i="58"/>
  <c r="K169" i="58" s="1"/>
  <c r="H26" i="58"/>
  <c r="F166" i="58"/>
  <c r="H166" i="58"/>
  <c r="K166" i="58" s="1"/>
  <c r="L166" i="58" s="1"/>
  <c r="F97" i="58"/>
  <c r="H97" i="58"/>
  <c r="K97" i="58" s="1"/>
  <c r="F168" i="58"/>
  <c r="H168" i="58"/>
  <c r="K168" i="58" s="1"/>
  <c r="H25" i="58"/>
  <c r="F167" i="58"/>
  <c r="H167" i="58"/>
  <c r="K167" i="58" s="1"/>
  <c r="H238" i="58"/>
  <c r="K238" i="58" s="1"/>
  <c r="F238" i="58"/>
  <c r="F237" i="58"/>
  <c r="H237" i="58"/>
  <c r="K237" i="58" s="1"/>
  <c r="L237" i="58" s="1"/>
  <c r="E22" i="8"/>
  <c r="E7751" i="14" s="1"/>
  <c r="E21" i="8"/>
  <c r="E7750" i="14" s="1"/>
  <c r="E20" i="8"/>
  <c r="I158" i="73" s="1"/>
  <c r="E19" i="8"/>
  <c r="I157" i="73" s="1"/>
  <c r="E18" i="8"/>
  <c r="I156" i="73" s="1"/>
  <c r="E16" i="8"/>
  <c r="E7746" i="14" s="1"/>
  <c r="E15" i="8"/>
  <c r="E7745" i="14" s="1"/>
  <c r="E14" i="8"/>
  <c r="I153" i="73" s="1"/>
  <c r="E13" i="8"/>
  <c r="E12" i="8"/>
  <c r="E1736" i="14" l="1"/>
  <c r="E2872" i="14"/>
  <c r="E1800" i="14"/>
  <c r="E1599" i="14"/>
  <c r="E1910" i="14"/>
  <c r="E2498" i="14"/>
  <c r="E3071" i="14"/>
  <c r="E1902" i="14"/>
  <c r="E2504" i="14"/>
  <c r="E1808" i="14"/>
  <c r="E1792" i="14"/>
  <c r="E1894" i="14"/>
  <c r="E1610" i="14"/>
  <c r="E1731" i="14"/>
  <c r="E1588" i="14"/>
  <c r="E1726" i="14"/>
  <c r="AO99" i="85"/>
  <c r="K10" i="20"/>
  <c r="AG68" i="31"/>
  <c r="K10" i="86"/>
  <c r="K10" i="88"/>
  <c r="AG68" i="83"/>
  <c r="AG68" i="84"/>
  <c r="AG69" i="31"/>
  <c r="AG68" i="85"/>
  <c r="AO99" i="83"/>
  <c r="AO99" i="84"/>
  <c r="AG67" i="83"/>
  <c r="AG70" i="31"/>
  <c r="AG69" i="85"/>
  <c r="AG67" i="85"/>
  <c r="AG69" i="84"/>
  <c r="AQ101" i="31"/>
  <c r="AG69" i="83"/>
  <c r="AG67" i="84"/>
  <c r="E2652" i="14"/>
  <c r="E2630" i="14"/>
  <c r="E2968" i="14"/>
  <c r="E2636" i="14"/>
  <c r="E3167" i="14"/>
  <c r="E2570" i="14"/>
  <c r="E2586" i="14"/>
  <c r="E2920" i="14"/>
  <c r="E3119" i="14"/>
  <c r="E3215" i="14"/>
  <c r="E2658" i="14"/>
  <c r="E2564" i="14"/>
  <c r="E2592" i="14"/>
  <c r="E2936" i="14"/>
  <c r="E7693" i="14"/>
  <c r="AG77" i="83"/>
  <c r="AG76" i="84"/>
  <c r="AG75" i="85"/>
  <c r="AG71" i="83"/>
  <c r="AG73" i="84"/>
  <c r="AG81" i="85"/>
  <c r="AG79" i="83"/>
  <c r="AG77" i="84"/>
  <c r="AG76" i="85"/>
  <c r="AG72" i="83"/>
  <c r="AG71" i="84"/>
  <c r="AG73" i="85"/>
  <c r="AG80" i="83"/>
  <c r="AG79" i="84"/>
  <c r="AG77" i="85"/>
  <c r="AG75" i="83"/>
  <c r="AG72" i="84"/>
  <c r="AG71" i="85"/>
  <c r="AG81" i="83"/>
  <c r="AG80" i="84"/>
  <c r="AG79" i="85"/>
  <c r="AG76" i="83"/>
  <c r="AG75" i="84"/>
  <c r="AG72" i="85"/>
  <c r="AG73" i="83"/>
  <c r="AG81" i="84"/>
  <c r="AG80" i="85"/>
  <c r="AK114" i="85"/>
  <c r="E46" i="85"/>
  <c r="E20" i="85"/>
  <c r="E44" i="85"/>
  <c r="E45" i="85"/>
  <c r="E19" i="85"/>
  <c r="E47" i="85"/>
  <c r="E21" i="85"/>
  <c r="E18" i="85"/>
  <c r="E57" i="85"/>
  <c r="E1969" i="14"/>
  <c r="E1952" i="14"/>
  <c r="E1712" i="14"/>
  <c r="E1875" i="14"/>
  <c r="E1858" i="14"/>
  <c r="E1825" i="14"/>
  <c r="E1747" i="14"/>
  <c r="E1784" i="14"/>
  <c r="E1758" i="14"/>
  <c r="E1985" i="14"/>
  <c r="E1919" i="14"/>
  <c r="E1701" i="14"/>
  <c r="E1883" i="14"/>
  <c r="E1667" i="14"/>
  <c r="E1656" i="14"/>
  <c r="E1622" i="14"/>
  <c r="E1817" i="14"/>
  <c r="E1752" i="14"/>
  <c r="E1774" i="14"/>
  <c r="E1763" i="14"/>
  <c r="E1977" i="14"/>
  <c r="E1944" i="14"/>
  <c r="E1927" i="14"/>
  <c r="E1867" i="14"/>
  <c r="E1678" i="14"/>
  <c r="E1842" i="14"/>
  <c r="E1644" i="14"/>
  <c r="E1633" i="14"/>
  <c r="E1768" i="14"/>
  <c r="E1960" i="14"/>
  <c r="E1935" i="14"/>
  <c r="E1690" i="14"/>
  <c r="E1850" i="14"/>
  <c r="E1833" i="14"/>
  <c r="E1742" i="14"/>
  <c r="E1779" i="14"/>
  <c r="AG72" i="31"/>
  <c r="AG80" i="31"/>
  <c r="AG73" i="31"/>
  <c r="AG82" i="31"/>
  <c r="AG78" i="31"/>
  <c r="AG76" i="31"/>
  <c r="AG81" i="31"/>
  <c r="AG77" i="31"/>
  <c r="AG74" i="31"/>
  <c r="L238" i="58"/>
  <c r="L239" i="58" s="1"/>
  <c r="L240" i="58" s="1"/>
  <c r="L241" i="58" s="1"/>
  <c r="L242" i="58" s="1"/>
  <c r="L243" i="58" s="1"/>
  <c r="L244" i="58" s="1"/>
  <c r="L96" i="58"/>
  <c r="L97" i="58" s="1"/>
  <c r="L98" i="58" s="1"/>
  <c r="L99" i="58" s="1"/>
  <c r="L100" i="58" s="1"/>
  <c r="L101" i="58" s="1"/>
  <c r="L102" i="58" s="1"/>
  <c r="L167" i="58"/>
  <c r="L168" i="58" s="1"/>
  <c r="L169" i="58" s="1"/>
  <c r="L170" i="58" s="1"/>
  <c r="L171" i="58" s="1"/>
  <c r="L172" i="58" s="1"/>
  <c r="L173" i="58" s="1"/>
  <c r="E7689" i="14"/>
  <c r="I152" i="73"/>
  <c r="E7743" i="14"/>
  <c r="I151" i="73"/>
  <c r="I165" i="73" s="1"/>
  <c r="E7742" i="14"/>
  <c r="AK117" i="85"/>
  <c r="I170" i="73"/>
  <c r="I171" i="73"/>
  <c r="I167" i="73"/>
  <c r="I172" i="73"/>
  <c r="E7697" i="14"/>
  <c r="F104" i="58"/>
  <c r="H104" i="58"/>
  <c r="K104" i="58" s="1"/>
  <c r="H174" i="58"/>
  <c r="K174" i="58" s="1"/>
  <c r="F174" i="58"/>
  <c r="F176" i="58"/>
  <c r="H176" i="58"/>
  <c r="K176" i="58" s="1"/>
  <c r="H32" i="58"/>
  <c r="H35" i="58"/>
  <c r="F175" i="58"/>
  <c r="H175" i="58"/>
  <c r="K175" i="58" s="1"/>
  <c r="F246" i="58"/>
  <c r="H246" i="58"/>
  <c r="K246" i="58" s="1"/>
  <c r="H105" i="58"/>
  <c r="K105" i="58" s="1"/>
  <c r="F105" i="58"/>
  <c r="H177" i="58"/>
  <c r="K177" i="58" s="1"/>
  <c r="F177" i="58"/>
  <c r="F248" i="58"/>
  <c r="H248" i="58"/>
  <c r="K248" i="58" s="1"/>
  <c r="H245" i="58"/>
  <c r="K245" i="58" s="1"/>
  <c r="F245" i="58"/>
  <c r="H34" i="58"/>
  <c r="H33" i="58"/>
  <c r="F103" i="58"/>
  <c r="H103" i="58"/>
  <c r="K103" i="58" s="1"/>
  <c r="H247" i="58"/>
  <c r="K247" i="58" s="1"/>
  <c r="F247" i="58"/>
  <c r="F106" i="58"/>
  <c r="H106" i="58"/>
  <c r="K106" i="58" s="1"/>
  <c r="E7744" i="14"/>
  <c r="E7749" i="14"/>
  <c r="E7748" i="14"/>
  <c r="E7747" i="14"/>
  <c r="C16" i="12"/>
  <c r="E2492" i="14" l="1"/>
  <c r="E3064" i="14"/>
  <c r="E2762" i="14"/>
  <c r="E2866" i="14"/>
  <c r="E3065" i="14"/>
  <c r="E2865" i="14"/>
  <c r="E2763" i="14"/>
  <c r="E2491" i="14"/>
  <c r="AK69" i="84"/>
  <c r="AK67" i="83"/>
  <c r="AK69" i="31"/>
  <c r="AK67" i="84"/>
  <c r="AK67" i="85"/>
  <c r="AK68" i="84"/>
  <c r="AK69" i="83"/>
  <c r="AK69" i="85"/>
  <c r="AK68" i="83"/>
  <c r="AK70" i="31"/>
  <c r="AK68" i="85"/>
  <c r="AK68" i="31"/>
  <c r="AK71" i="85"/>
  <c r="E3112" i="14"/>
  <c r="E2645" i="14"/>
  <c r="E2646" i="14"/>
  <c r="E2787" i="14"/>
  <c r="E2786" i="14"/>
  <c r="E2962" i="14"/>
  <c r="E2961" i="14"/>
  <c r="E3161" i="14"/>
  <c r="E3160" i="14"/>
  <c r="E2914" i="14"/>
  <c r="E2913" i="14"/>
  <c r="E2558" i="14"/>
  <c r="E2557" i="14"/>
  <c r="E2930" i="14"/>
  <c r="E2929" i="14"/>
  <c r="E2579" i="14"/>
  <c r="E2580" i="14"/>
  <c r="E2624" i="14"/>
  <c r="E2623" i="14"/>
  <c r="E3113" i="14"/>
  <c r="E2811" i="14"/>
  <c r="E2810" i="14"/>
  <c r="E3209" i="14"/>
  <c r="E3208" i="14"/>
  <c r="E46" i="83"/>
  <c r="E19" i="83"/>
  <c r="E60" i="83"/>
  <c r="E20" i="83"/>
  <c r="E44" i="83"/>
  <c r="E57" i="83"/>
  <c r="E18" i="83"/>
  <c r="E47" i="83"/>
  <c r="E45" i="83"/>
  <c r="E21" i="83"/>
  <c r="AK114" i="83"/>
  <c r="E46" i="84"/>
  <c r="E20" i="84"/>
  <c r="E44" i="84"/>
  <c r="E45" i="84"/>
  <c r="E19" i="84"/>
  <c r="E47" i="84"/>
  <c r="E21" i="84"/>
  <c r="E18" i="84"/>
  <c r="E57" i="84"/>
  <c r="E44" i="31"/>
  <c r="E57" i="31"/>
  <c r="E45" i="31"/>
  <c r="E21" i="31"/>
  <c r="E19" i="31"/>
  <c r="E46" i="31"/>
  <c r="E20" i="31"/>
  <c r="E18" i="31"/>
  <c r="E47" i="31"/>
  <c r="AK77" i="83"/>
  <c r="AK74" i="31"/>
  <c r="AK81" i="31"/>
  <c r="AK79" i="83"/>
  <c r="AK73" i="31"/>
  <c r="AK76" i="85"/>
  <c r="AK79" i="84"/>
  <c r="AK73" i="84"/>
  <c r="AK80" i="83"/>
  <c r="AK73" i="85"/>
  <c r="AK76" i="83"/>
  <c r="AK80" i="84"/>
  <c r="AK76" i="31"/>
  <c r="AK80" i="85"/>
  <c r="AK72" i="84"/>
  <c r="AK76" i="84"/>
  <c r="AK79" i="85"/>
  <c r="AK77" i="85"/>
  <c r="AK81" i="83"/>
  <c r="AK72" i="85"/>
  <c r="AK75" i="85"/>
  <c r="AK73" i="83"/>
  <c r="AK75" i="84"/>
  <c r="AK82" i="31"/>
  <c r="AK75" i="83"/>
  <c r="AK77" i="84"/>
  <c r="AK81" i="85"/>
  <c r="AK77" i="31"/>
  <c r="AK71" i="83"/>
  <c r="AK78" i="31"/>
  <c r="AK71" i="84"/>
  <c r="AK80" i="31"/>
  <c r="AK81" i="84"/>
  <c r="AK72" i="83"/>
  <c r="AK72" i="31"/>
  <c r="L245" i="58"/>
  <c r="L174" i="58"/>
  <c r="L175" i="58" s="1"/>
  <c r="L176" i="58" s="1"/>
  <c r="L177" i="58" s="1"/>
  <c r="L178" i="58" s="1"/>
  <c r="L179" i="58" s="1"/>
  <c r="L180" i="58" s="1"/>
  <c r="L181" i="58" s="1"/>
  <c r="L182" i="58" s="1"/>
  <c r="L183" i="58" s="1"/>
  <c r="L184" i="58" s="1"/>
  <c r="L185" i="58" s="1"/>
  <c r="L186" i="58" s="1"/>
  <c r="L187" i="58" s="1"/>
  <c r="L188" i="58" s="1"/>
  <c r="L189" i="58" s="1"/>
  <c r="L190" i="58" s="1"/>
  <c r="L191" i="58" s="1"/>
  <c r="L192" i="58" s="1"/>
  <c r="L193" i="58" s="1"/>
  <c r="L194" i="58" s="1"/>
  <c r="L195" i="58" s="1"/>
  <c r="L196" i="58" s="1"/>
  <c r="L197" i="58" s="1"/>
  <c r="L198" i="58" s="1"/>
  <c r="L199" i="58" s="1"/>
  <c r="L200" i="58" s="1"/>
  <c r="L201" i="58" s="1"/>
  <c r="L202" i="58" s="1"/>
  <c r="L203" i="58" s="1"/>
  <c r="L204" i="58" s="1"/>
  <c r="L205" i="58" s="1"/>
  <c r="L103" i="58"/>
  <c r="I166" i="73"/>
  <c r="AK117" i="31"/>
  <c r="AG117" i="31" s="1"/>
  <c r="AK114" i="84"/>
  <c r="AK117" i="84"/>
  <c r="AG117" i="85"/>
  <c r="AG116" i="85"/>
  <c r="C11" i="2"/>
  <c r="C17" i="2"/>
  <c r="C14" i="2"/>
  <c r="W59" i="85" l="1"/>
  <c r="X59" i="85"/>
  <c r="W59" i="84"/>
  <c r="X59" i="31"/>
  <c r="W59" i="83"/>
  <c r="X59" i="83"/>
  <c r="W59" i="31"/>
  <c r="X59" i="84"/>
  <c r="Z59" i="31"/>
  <c r="P59" i="31"/>
  <c r="T59" i="31"/>
  <c r="AB59" i="31"/>
  <c r="AA59" i="31"/>
  <c r="S59" i="85"/>
  <c r="O59" i="83"/>
  <c r="T59" i="84"/>
  <c r="AB59" i="83"/>
  <c r="S59" i="83"/>
  <c r="AA59" i="83"/>
  <c r="P59" i="84"/>
  <c r="Z59" i="83"/>
  <c r="Z59" i="84"/>
  <c r="T59" i="83"/>
  <c r="AB59" i="84"/>
  <c r="AB59" i="85"/>
  <c r="P59" i="83"/>
  <c r="O59" i="85"/>
  <c r="T59" i="85"/>
  <c r="S59" i="84"/>
  <c r="AA59" i="85"/>
  <c r="AA59" i="84"/>
  <c r="P59" i="85"/>
  <c r="M167" i="58"/>
  <c r="L104" i="58"/>
  <c r="L105" i="58" s="1"/>
  <c r="L106" i="58" s="1"/>
  <c r="L107" i="58" s="1"/>
  <c r="L108" i="58" s="1"/>
  <c r="L109" i="58" s="1"/>
  <c r="L110" i="58" s="1"/>
  <c r="L111" i="58" s="1"/>
  <c r="L112" i="58" s="1"/>
  <c r="L113" i="58" s="1"/>
  <c r="L114" i="58" s="1"/>
  <c r="L115" i="58" s="1"/>
  <c r="L116" i="58" s="1"/>
  <c r="L117" i="58" s="1"/>
  <c r="L118" i="58" s="1"/>
  <c r="L119" i="58" s="1"/>
  <c r="L120" i="58" s="1"/>
  <c r="L121" i="58" s="1"/>
  <c r="L122" i="58" s="1"/>
  <c r="L123" i="58" s="1"/>
  <c r="L124" i="58" s="1"/>
  <c r="L125" i="58" s="1"/>
  <c r="L126" i="58" s="1"/>
  <c r="L127" i="58" s="1"/>
  <c r="L128" i="58" s="1"/>
  <c r="L129" i="58" s="1"/>
  <c r="L130" i="58" s="1"/>
  <c r="L131" i="58" s="1"/>
  <c r="L132" i="58" s="1"/>
  <c r="L133" i="58" s="1"/>
  <c r="L134" i="58" s="1"/>
  <c r="L246" i="58"/>
  <c r="L247" i="58" s="1"/>
  <c r="L248" i="58" s="1"/>
  <c r="L249" i="58" s="1"/>
  <c r="L250" i="58" s="1"/>
  <c r="L251" i="58" s="1"/>
  <c r="L252" i="58" s="1"/>
  <c r="L253" i="58" s="1"/>
  <c r="L254" i="58" s="1"/>
  <c r="L255" i="58" s="1"/>
  <c r="L256" i="58" s="1"/>
  <c r="L257" i="58" s="1"/>
  <c r="L258" i="58" s="1"/>
  <c r="L259" i="58" s="1"/>
  <c r="L260" i="58" s="1"/>
  <c r="L261" i="58" s="1"/>
  <c r="L262" i="58" s="1"/>
  <c r="L263" i="58" s="1"/>
  <c r="L264" i="58" s="1"/>
  <c r="L265" i="58" s="1"/>
  <c r="L266" i="58" s="1"/>
  <c r="L267" i="58" s="1"/>
  <c r="L268" i="58" s="1"/>
  <c r="L269" i="58" s="1"/>
  <c r="L270" i="58" s="1"/>
  <c r="L271" i="58" s="1"/>
  <c r="L272" i="58" s="1"/>
  <c r="L273" i="58" s="1"/>
  <c r="L274" i="58" s="1"/>
  <c r="L275" i="58" s="1"/>
  <c r="L276" i="58" s="1"/>
  <c r="M166" i="58"/>
  <c r="AG117" i="84"/>
  <c r="AG116" i="84"/>
  <c r="M168" i="58"/>
  <c r="C68" i="12"/>
  <c r="H63" i="12"/>
  <c r="G63" i="12"/>
  <c r="F63" i="12"/>
  <c r="H62" i="12"/>
  <c r="G62" i="12"/>
  <c r="F62" i="12"/>
  <c r="H61" i="12"/>
  <c r="G61" i="12"/>
  <c r="F61" i="12"/>
  <c r="H60" i="12"/>
  <c r="G60" i="12"/>
  <c r="F60" i="12"/>
  <c r="H59" i="12"/>
  <c r="G59" i="12"/>
  <c r="F59" i="12"/>
  <c r="H58" i="12"/>
  <c r="G58" i="12"/>
  <c r="F58" i="12"/>
  <c r="H57" i="12"/>
  <c r="G57" i="12"/>
  <c r="F57" i="12"/>
  <c r="H56" i="12"/>
  <c r="G56" i="12"/>
  <c r="F56" i="12"/>
  <c r="H55" i="12"/>
  <c r="G55" i="12"/>
  <c r="F55" i="12"/>
  <c r="H54" i="12"/>
  <c r="G54" i="12"/>
  <c r="F54" i="12"/>
  <c r="H53" i="12"/>
  <c r="G53" i="12"/>
  <c r="F53" i="12"/>
  <c r="H52" i="12"/>
  <c r="G52" i="12"/>
  <c r="F52" i="12"/>
  <c r="H51" i="12"/>
  <c r="G51" i="12"/>
  <c r="F51" i="12"/>
  <c r="H50" i="12"/>
  <c r="G50" i="12"/>
  <c r="F50" i="12"/>
  <c r="H49" i="12"/>
  <c r="G49" i="12"/>
  <c r="F49" i="12"/>
  <c r="H48" i="12"/>
  <c r="G48" i="12"/>
  <c r="F48" i="12"/>
  <c r="H47" i="12"/>
  <c r="G47" i="12"/>
  <c r="F47" i="12"/>
  <c r="H46" i="12"/>
  <c r="G46" i="12"/>
  <c r="F46" i="12"/>
  <c r="H45" i="12"/>
  <c r="G45" i="12"/>
  <c r="F45" i="12"/>
  <c r="H44" i="12"/>
  <c r="G44" i="12"/>
  <c r="F44" i="12"/>
  <c r="H43" i="12"/>
  <c r="G43" i="12"/>
  <c r="F43" i="12"/>
  <c r="H42" i="12"/>
  <c r="G42" i="12"/>
  <c r="F42" i="12"/>
  <c r="H41" i="12"/>
  <c r="G41" i="12"/>
  <c r="F41" i="12"/>
  <c r="H40" i="12"/>
  <c r="G40" i="12"/>
  <c r="F40" i="12"/>
  <c r="H39" i="12"/>
  <c r="G39" i="12"/>
  <c r="F39" i="12"/>
  <c r="H38" i="12"/>
  <c r="G38" i="12"/>
  <c r="F38" i="12"/>
  <c r="H37" i="12"/>
  <c r="G37" i="12"/>
  <c r="F37" i="12"/>
  <c r="H36" i="12"/>
  <c r="G36" i="12"/>
  <c r="F36" i="12"/>
  <c r="H35" i="12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Y59" i="83" l="1"/>
  <c r="Y59" i="84"/>
  <c r="Y59" i="31"/>
  <c r="M95" i="58"/>
  <c r="M96" i="58"/>
  <c r="M238" i="58"/>
  <c r="M237" i="58"/>
  <c r="E7724" i="14"/>
  <c r="E7729" i="14"/>
  <c r="E7714" i="14"/>
  <c r="E7715" i="14" s="1"/>
  <c r="E7" i="8" s="1"/>
  <c r="E7709" i="14"/>
  <c r="E7719" i="14"/>
  <c r="K23" i="12"/>
  <c r="L23" i="12" s="1"/>
  <c r="I147" i="73" l="1"/>
  <c r="I161" i="73" s="1"/>
  <c r="E7738" i="14"/>
  <c r="C284" i="58"/>
  <c r="C218" i="58" s="1"/>
  <c r="M260" i="58"/>
  <c r="M255" i="58"/>
  <c r="M263" i="58"/>
  <c r="M275" i="58"/>
  <c r="M270" i="58"/>
  <c r="M256" i="58"/>
  <c r="M267" i="58"/>
  <c r="M247" i="58"/>
  <c r="M268" i="58"/>
  <c r="M273" i="58"/>
  <c r="M252" i="58"/>
  <c r="M244" i="58"/>
  <c r="M242" i="58"/>
  <c r="M269" i="58"/>
  <c r="M258" i="58"/>
  <c r="M249" i="58"/>
  <c r="M261" i="58"/>
  <c r="M240" i="58"/>
  <c r="M251" i="58"/>
  <c r="M272" i="58"/>
  <c r="M259" i="58"/>
  <c r="M266" i="58"/>
  <c r="M271" i="58"/>
  <c r="M245" i="58"/>
  <c r="M246" i="58"/>
  <c r="M257" i="58"/>
  <c r="M241" i="58"/>
  <c r="M239" i="58"/>
  <c r="M248" i="58"/>
  <c r="M264" i="58"/>
  <c r="M262" i="58"/>
  <c r="M253" i="58"/>
  <c r="M276" i="58"/>
  <c r="M274" i="58"/>
  <c r="M250" i="58"/>
  <c r="M254" i="58"/>
  <c r="M265" i="58"/>
  <c r="M243" i="58"/>
  <c r="E7730" i="14"/>
  <c r="E10" i="8" s="1"/>
  <c r="E7741" i="14" s="1"/>
  <c r="E7725" i="14"/>
  <c r="E9" i="8" s="1"/>
  <c r="E7740" i="14" s="1"/>
  <c r="E7720" i="14"/>
  <c r="E8" i="8" s="1"/>
  <c r="E7710" i="14"/>
  <c r="E6" i="8" l="1"/>
  <c r="I48" i="12" s="1"/>
  <c r="K48" i="12" s="1"/>
  <c r="I148" i="73"/>
  <c r="E7739" i="14"/>
  <c r="K62" i="58"/>
  <c r="K58" i="58"/>
  <c r="K54" i="58"/>
  <c r="K50" i="58"/>
  <c r="K46" i="58"/>
  <c r="K42" i="58"/>
  <c r="K38" i="58"/>
  <c r="K34" i="58"/>
  <c r="K30" i="58"/>
  <c r="K26" i="58"/>
  <c r="K60" i="58"/>
  <c r="K56" i="58"/>
  <c r="K52" i="58"/>
  <c r="K48" i="58"/>
  <c r="K44" i="58"/>
  <c r="K40" i="58"/>
  <c r="K36" i="58"/>
  <c r="K32" i="58"/>
  <c r="K28" i="58"/>
  <c r="K24" i="58"/>
  <c r="L24" i="58" s="1"/>
  <c r="K59" i="58"/>
  <c r="K51" i="58"/>
  <c r="K43" i="58"/>
  <c r="K35" i="58"/>
  <c r="K27" i="58"/>
  <c r="K57" i="58"/>
  <c r="K49" i="58"/>
  <c r="K41" i="58"/>
  <c r="K33" i="58"/>
  <c r="K25" i="58"/>
  <c r="K61" i="58"/>
  <c r="K53" i="58"/>
  <c r="K45" i="58"/>
  <c r="K37" i="58"/>
  <c r="K29" i="58"/>
  <c r="K63" i="58"/>
  <c r="K55" i="58"/>
  <c r="K47" i="58"/>
  <c r="K39" i="58"/>
  <c r="K31" i="58"/>
  <c r="K60" i="33"/>
  <c r="K56" i="33"/>
  <c r="K61" i="33"/>
  <c r="K57" i="33"/>
  <c r="K27" i="33"/>
  <c r="K63" i="33"/>
  <c r="K62" i="33"/>
  <c r="K55" i="33"/>
  <c r="K54" i="33"/>
  <c r="K59" i="33"/>
  <c r="K58" i="33"/>
  <c r="K25" i="33"/>
  <c r="L25" i="33" s="1"/>
  <c r="I52" i="12" l="1"/>
  <c r="K52" i="12" s="1"/>
  <c r="I37" i="12"/>
  <c r="K37" i="12" s="1"/>
  <c r="E7737" i="14"/>
  <c r="I45" i="12"/>
  <c r="K45" i="12" s="1"/>
  <c r="I53" i="12"/>
  <c r="K53" i="12" s="1"/>
  <c r="I29" i="12"/>
  <c r="K29" i="12" s="1"/>
  <c r="I42" i="12"/>
  <c r="K42" i="12" s="1"/>
  <c r="I61" i="12"/>
  <c r="K61" i="12" s="1"/>
  <c r="I36" i="12"/>
  <c r="K36" i="12" s="1"/>
  <c r="I24" i="12"/>
  <c r="K24" i="12" s="1"/>
  <c r="L24" i="12" s="1"/>
  <c r="I60" i="12"/>
  <c r="K60" i="12" s="1"/>
  <c r="I30" i="12"/>
  <c r="K30" i="12" s="1"/>
  <c r="I56" i="12"/>
  <c r="K56" i="12" s="1"/>
  <c r="I31" i="12"/>
  <c r="K31" i="12" s="1"/>
  <c r="I39" i="12"/>
  <c r="K39" i="12" s="1"/>
  <c r="I47" i="12"/>
  <c r="K47" i="12" s="1"/>
  <c r="I55" i="12"/>
  <c r="K55" i="12" s="1"/>
  <c r="I63" i="12"/>
  <c r="K63" i="12" s="1"/>
  <c r="I50" i="12"/>
  <c r="K50" i="12" s="1"/>
  <c r="I46" i="12"/>
  <c r="K46" i="12" s="1"/>
  <c r="I34" i="12"/>
  <c r="K34" i="12" s="1"/>
  <c r="I38" i="12"/>
  <c r="K38" i="12" s="1"/>
  <c r="I25" i="12"/>
  <c r="K25" i="12" s="1"/>
  <c r="I33" i="12"/>
  <c r="K33" i="12" s="1"/>
  <c r="I41" i="12"/>
  <c r="K41" i="12" s="1"/>
  <c r="I49" i="12"/>
  <c r="K49" i="12" s="1"/>
  <c r="I57" i="12"/>
  <c r="K57" i="12" s="1"/>
  <c r="I26" i="12"/>
  <c r="K26" i="12" s="1"/>
  <c r="I58" i="12"/>
  <c r="K58" i="12" s="1"/>
  <c r="I54" i="12"/>
  <c r="K54" i="12" s="1"/>
  <c r="I40" i="12"/>
  <c r="K40" i="12" s="1"/>
  <c r="I146" i="73"/>
  <c r="I160" i="73" s="1"/>
  <c r="I44" i="12"/>
  <c r="K44" i="12" s="1"/>
  <c r="I27" i="12"/>
  <c r="K27" i="12" s="1"/>
  <c r="I35" i="12"/>
  <c r="K35" i="12" s="1"/>
  <c r="I43" i="12"/>
  <c r="K43" i="12" s="1"/>
  <c r="I51" i="12"/>
  <c r="K51" i="12" s="1"/>
  <c r="I59" i="12"/>
  <c r="K59" i="12" s="1"/>
  <c r="I32" i="12"/>
  <c r="K32" i="12" s="1"/>
  <c r="I28" i="12"/>
  <c r="K28" i="12" s="1"/>
  <c r="I62" i="12"/>
  <c r="K62" i="12" s="1"/>
  <c r="M24" i="58"/>
  <c r="L25" i="12"/>
  <c r="L25" i="58"/>
  <c r="L26" i="58" s="1"/>
  <c r="L27" i="58" s="1"/>
  <c r="L28" i="58" s="1"/>
  <c r="L29" i="58" s="1"/>
  <c r="L30" i="58" s="1"/>
  <c r="L31" i="58" s="1"/>
  <c r="L32" i="58" s="1"/>
  <c r="L33" i="58" s="1"/>
  <c r="L34" i="58" s="1"/>
  <c r="L35" i="58" s="1"/>
  <c r="L36" i="58" s="1"/>
  <c r="L37" i="58" s="1"/>
  <c r="L38" i="58" s="1"/>
  <c r="L39" i="58" s="1"/>
  <c r="L40" i="58" s="1"/>
  <c r="L41" i="58" s="1"/>
  <c r="L42" i="58" s="1"/>
  <c r="L43" i="58" s="1"/>
  <c r="L44" i="58" s="1"/>
  <c r="L45" i="58" s="1"/>
  <c r="L46" i="58" s="1"/>
  <c r="L47" i="58" s="1"/>
  <c r="L48" i="58" s="1"/>
  <c r="L49" i="58" s="1"/>
  <c r="L50" i="58" s="1"/>
  <c r="L51" i="58" s="1"/>
  <c r="L52" i="58" s="1"/>
  <c r="L53" i="58" s="1"/>
  <c r="L54" i="58" s="1"/>
  <c r="L55" i="58" s="1"/>
  <c r="L56" i="58" s="1"/>
  <c r="L57" i="58" s="1"/>
  <c r="L58" i="58" s="1"/>
  <c r="L59" i="58" s="1"/>
  <c r="L60" i="58" s="1"/>
  <c r="L61" i="58" s="1"/>
  <c r="L62" i="58" s="1"/>
  <c r="L63" i="58" s="1"/>
  <c r="E7798" i="14"/>
  <c r="I162" i="73"/>
  <c r="E7758" i="14"/>
  <c r="E50" i="24" s="1"/>
  <c r="M97" i="58"/>
  <c r="E7819" i="14"/>
  <c r="E7775" i="14"/>
  <c r="E7793" i="14"/>
  <c r="E7757" i="14"/>
  <c r="E37" i="24" s="1"/>
  <c r="E7788" i="14"/>
  <c r="E7771" i="14"/>
  <c r="E7789" i="14"/>
  <c r="E7784" i="14"/>
  <c r="E7813" i="14"/>
  <c r="E211" i="24" s="1"/>
  <c r="E7791" i="14"/>
  <c r="E7761" i="14"/>
  <c r="E89" i="24" s="1"/>
  <c r="E94" i="24" s="1"/>
  <c r="E7756" i="14"/>
  <c r="E24" i="24" s="1"/>
  <c r="E30" i="24" s="1"/>
  <c r="E7810" i="14"/>
  <c r="E168" i="24" s="1"/>
  <c r="E7811" i="14"/>
  <c r="E181" i="24" s="1"/>
  <c r="E7832" i="14"/>
  <c r="E7803" i="14"/>
  <c r="E77" i="24" s="1"/>
  <c r="E7826" i="14"/>
  <c r="E7782" i="14"/>
  <c r="E7778" i="14"/>
  <c r="E7809" i="14"/>
  <c r="E155" i="24" s="1"/>
  <c r="E7779" i="14"/>
  <c r="E7777" i="14"/>
  <c r="E7772" i="14"/>
  <c r="E236" i="24" s="1"/>
  <c r="E7814" i="14"/>
  <c r="E224" i="24" s="1"/>
  <c r="E7823" i="14"/>
  <c r="E7763" i="14"/>
  <c r="E115" i="24" s="1"/>
  <c r="E126" i="24" s="1"/>
  <c r="E7774" i="14"/>
  <c r="E7773" i="14"/>
  <c r="E250" i="24" s="1"/>
  <c r="E7770" i="14"/>
  <c r="E210" i="24" s="1"/>
  <c r="E221" i="24" s="1"/>
  <c r="E7768" i="14"/>
  <c r="E180" i="24" s="1"/>
  <c r="E195" i="24" s="1"/>
  <c r="E7804" i="14"/>
  <c r="E90" i="24" s="1"/>
  <c r="E7802" i="14"/>
  <c r="E64" i="24" s="1"/>
  <c r="E7816" i="14"/>
  <c r="E7837" i="14"/>
  <c r="E7822" i="14"/>
  <c r="E7824" i="14"/>
  <c r="E7829" i="14"/>
  <c r="E7827" i="14"/>
  <c r="E7830" i="14"/>
  <c r="E7821" i="14"/>
  <c r="E7783" i="14"/>
  <c r="E7787" i="14"/>
  <c r="E7759" i="14"/>
  <c r="E63" i="24" s="1"/>
  <c r="E7766" i="14"/>
  <c r="E154" i="24" s="1"/>
  <c r="E159" i="24" s="1"/>
  <c r="E7785" i="14"/>
  <c r="E7769" i="14"/>
  <c r="E197" i="24" s="1"/>
  <c r="E208" i="24" s="1"/>
  <c r="E7794" i="14"/>
  <c r="E7762" i="14"/>
  <c r="E102" i="24" s="1"/>
  <c r="E109" i="24" s="1"/>
  <c r="G102" i="23" s="1"/>
  <c r="E7780" i="14"/>
  <c r="E7764" i="14"/>
  <c r="E128" i="24" s="1"/>
  <c r="E7800" i="14"/>
  <c r="E38" i="24" s="1"/>
  <c r="E7820" i="14"/>
  <c r="E7836" i="14"/>
  <c r="E7801" i="14"/>
  <c r="E51" i="24" s="1"/>
  <c r="E7825" i="14"/>
  <c r="E7815" i="14"/>
  <c r="E237" i="24" s="1"/>
  <c r="E7834" i="14"/>
  <c r="E7806" i="14"/>
  <c r="E116" i="24" s="1"/>
  <c r="E7835" i="14"/>
  <c r="E7807" i="14"/>
  <c r="E129" i="24" s="1"/>
  <c r="E7755" i="14"/>
  <c r="E11" i="24" s="1"/>
  <c r="E7767" i="14"/>
  <c r="E167" i="24" s="1"/>
  <c r="E178" i="24" s="1"/>
  <c r="E7790" i="14"/>
  <c r="E7781" i="14"/>
  <c r="E7765" i="14"/>
  <c r="E141" i="24" s="1"/>
  <c r="E146" i="24" s="1"/>
  <c r="E7786" i="14"/>
  <c r="E7792" i="14"/>
  <c r="E7776" i="14"/>
  <c r="E7760" i="14"/>
  <c r="E76" i="24" s="1"/>
  <c r="E7799" i="14"/>
  <c r="E25" i="24" s="1"/>
  <c r="E7828" i="14"/>
  <c r="E329" i="24" s="1"/>
  <c r="E7833" i="14"/>
  <c r="E7817" i="14"/>
  <c r="E7812" i="14"/>
  <c r="E198" i="24" s="1"/>
  <c r="E7808" i="14"/>
  <c r="E142" i="24" s="1"/>
  <c r="E7805" i="14"/>
  <c r="E103" i="24" s="1"/>
  <c r="E7818" i="14"/>
  <c r="E7831" i="14"/>
  <c r="L26" i="12" l="1"/>
  <c r="L27" i="12" s="1"/>
  <c r="L28" i="12" s="1"/>
  <c r="L29" i="12" s="1"/>
  <c r="L30" i="12" s="1"/>
  <c r="L31" i="12" s="1"/>
  <c r="L32" i="12" s="1"/>
  <c r="L33" i="12" s="1"/>
  <c r="L34" i="12" s="1"/>
  <c r="L35" i="12" s="1"/>
  <c r="L36" i="12" s="1"/>
  <c r="L37" i="12" s="1"/>
  <c r="L38" i="12" s="1"/>
  <c r="L39" i="12" s="1"/>
  <c r="L40" i="12" s="1"/>
  <c r="L41" i="12" s="1"/>
  <c r="L42" i="12" s="1"/>
  <c r="L43" i="12" s="1"/>
  <c r="L44" i="12" s="1"/>
  <c r="L45" i="12" s="1"/>
  <c r="L46" i="12" s="1"/>
  <c r="L47" i="12" s="1"/>
  <c r="L48" i="12" s="1"/>
  <c r="L49" i="12" s="1"/>
  <c r="L50" i="12" s="1"/>
  <c r="L51" i="12" s="1"/>
  <c r="L52" i="12" s="1"/>
  <c r="L53" i="12" s="1"/>
  <c r="L54" i="12" s="1"/>
  <c r="L55" i="12" s="1"/>
  <c r="L56" i="12" s="1"/>
  <c r="L57" i="12" s="1"/>
  <c r="L58" i="12" s="1"/>
  <c r="L59" i="12" s="1"/>
  <c r="L60" i="12" s="1"/>
  <c r="L61" i="12" s="1"/>
  <c r="L62" i="12"/>
  <c r="L63" i="12" s="1"/>
  <c r="G10" i="23"/>
  <c r="E10" i="23" s="1"/>
  <c r="M38" i="58"/>
  <c r="M54" i="58"/>
  <c r="M26" i="58"/>
  <c r="C71" i="58"/>
  <c r="C5" i="58" s="1"/>
  <c r="M53" i="58"/>
  <c r="M27" i="58"/>
  <c r="M40" i="58"/>
  <c r="M55" i="58"/>
  <c r="M32" i="58"/>
  <c r="M33" i="58"/>
  <c r="M51" i="58"/>
  <c r="M31" i="58"/>
  <c r="M58" i="58"/>
  <c r="M62" i="58"/>
  <c r="M52" i="58"/>
  <c r="M36" i="58"/>
  <c r="M60" i="58"/>
  <c r="M61" i="58"/>
  <c r="M56" i="58"/>
  <c r="M37" i="58"/>
  <c r="M42" i="58"/>
  <c r="M35" i="58"/>
  <c r="M44" i="58"/>
  <c r="M49" i="58"/>
  <c r="M43" i="58"/>
  <c r="M34" i="58"/>
  <c r="M57" i="58"/>
  <c r="M25" i="58"/>
  <c r="M47" i="58"/>
  <c r="M45" i="58"/>
  <c r="M48" i="58"/>
  <c r="M39" i="58"/>
  <c r="M30" i="58"/>
  <c r="M50" i="58"/>
  <c r="M28" i="58"/>
  <c r="M59" i="58"/>
  <c r="M41" i="58"/>
  <c r="M46" i="58"/>
  <c r="M29" i="58"/>
  <c r="M63" i="58"/>
  <c r="E328" i="24"/>
  <c r="E336" i="24" s="1"/>
  <c r="E342" i="24"/>
  <c r="E394" i="24"/>
  <c r="E276" i="24"/>
  <c r="E280" i="24" s="1"/>
  <c r="E277" i="24"/>
  <c r="E315" i="24"/>
  <c r="E325" i="24" s="1"/>
  <c r="E419" i="24"/>
  <c r="E426" i="24" s="1"/>
  <c r="E420" i="24"/>
  <c r="E290" i="24"/>
  <c r="E445" i="24"/>
  <c r="E454" i="24" s="1"/>
  <c r="E251" i="24"/>
  <c r="E381" i="24"/>
  <c r="E368" i="24"/>
  <c r="E341" i="24"/>
  <c r="E347" i="24" s="1"/>
  <c r="E393" i="24"/>
  <c r="E404" i="24" s="1"/>
  <c r="E355" i="24"/>
  <c r="E380" i="24"/>
  <c r="E388" i="24" s="1"/>
  <c r="E432" i="24"/>
  <c r="E436" i="24" s="1"/>
  <c r="E354" i="24"/>
  <c r="E364" i="24" s="1"/>
  <c r="E316" i="24"/>
  <c r="E446" i="24"/>
  <c r="E289" i="24"/>
  <c r="E297" i="24" s="1"/>
  <c r="E406" i="24"/>
  <c r="E415" i="24" s="1"/>
  <c r="E407" i="24"/>
  <c r="E433" i="24"/>
  <c r="E263" i="24"/>
  <c r="E267" i="24" s="1"/>
  <c r="E302" i="24"/>
  <c r="E311" i="24" s="1"/>
  <c r="E264" i="24"/>
  <c r="E261" i="24"/>
  <c r="E303" i="24"/>
  <c r="E367" i="24"/>
  <c r="E376" i="24" s="1"/>
  <c r="M24" i="12"/>
  <c r="M23" i="12"/>
  <c r="E186" i="24"/>
  <c r="E191" i="24"/>
  <c r="E184" i="24"/>
  <c r="E187" i="24"/>
  <c r="E192" i="24"/>
  <c r="E188" i="24"/>
  <c r="E193" i="24"/>
  <c r="E185" i="24"/>
  <c r="E189" i="24"/>
  <c r="E190" i="24"/>
  <c r="E194" i="24"/>
  <c r="E223" i="24"/>
  <c r="E231" i="24" s="1"/>
  <c r="G38" i="23" s="1"/>
  <c r="E12" i="24"/>
  <c r="E14" i="24" s="1"/>
  <c r="E241" i="24"/>
  <c r="E72" i="24"/>
  <c r="M100" i="58"/>
  <c r="M99" i="58"/>
  <c r="M98" i="58"/>
  <c r="M120" i="58"/>
  <c r="M132" i="58"/>
  <c r="M121" i="58"/>
  <c r="M111" i="58"/>
  <c r="M130" i="58"/>
  <c r="M134" i="58"/>
  <c r="M108" i="58"/>
  <c r="M124" i="58"/>
  <c r="M119" i="58"/>
  <c r="M122" i="58"/>
  <c r="M123" i="58"/>
  <c r="M101" i="58"/>
  <c r="M126" i="58"/>
  <c r="M117" i="58"/>
  <c r="M102" i="58"/>
  <c r="M103" i="58"/>
  <c r="M105" i="58"/>
  <c r="M128" i="58"/>
  <c r="C142" i="58"/>
  <c r="C76" i="58" s="1"/>
  <c r="M107" i="58"/>
  <c r="M115" i="58"/>
  <c r="M116" i="58"/>
  <c r="M110" i="58"/>
  <c r="M118" i="58"/>
  <c r="M131" i="58"/>
  <c r="M104" i="58"/>
  <c r="M112" i="58"/>
  <c r="M133" i="58"/>
  <c r="M114" i="58"/>
  <c r="M127" i="58"/>
  <c r="M113" i="58"/>
  <c r="M129" i="58"/>
  <c r="M109" i="58"/>
  <c r="M125" i="58"/>
  <c r="M106" i="58"/>
  <c r="E59" i="24"/>
  <c r="E41" i="24"/>
  <c r="E44" i="24"/>
  <c r="E40" i="24"/>
  <c r="E47" i="24"/>
  <c r="E45" i="24"/>
  <c r="E42" i="24"/>
  <c r="E43" i="24"/>
  <c r="E39" i="24"/>
  <c r="E46" i="24"/>
  <c r="E48" i="24"/>
  <c r="E31" i="24"/>
  <c r="E29" i="24"/>
  <c r="E34" i="24"/>
  <c r="E99" i="24"/>
  <c r="E96" i="24"/>
  <c r="E33" i="24"/>
  <c r="E27" i="24"/>
  <c r="E26" i="24"/>
  <c r="E28" i="24"/>
  <c r="E35" i="24"/>
  <c r="E32" i="24"/>
  <c r="E95" i="24"/>
  <c r="E93" i="24"/>
  <c r="E98" i="24"/>
  <c r="E97" i="24"/>
  <c r="E92" i="24"/>
  <c r="E100" i="24"/>
  <c r="E91" i="24"/>
  <c r="E212" i="24"/>
  <c r="E255" i="24"/>
  <c r="E121" i="24"/>
  <c r="E120" i="24"/>
  <c r="E243" i="24"/>
  <c r="E238" i="24"/>
  <c r="E252" i="24"/>
  <c r="E217" i="24"/>
  <c r="E257" i="24"/>
  <c r="E216" i="24"/>
  <c r="E260" i="24"/>
  <c r="E215" i="24"/>
  <c r="E183" i="24"/>
  <c r="E182" i="24"/>
  <c r="E117" i="24"/>
  <c r="E122" i="24"/>
  <c r="E102" i="23" s="1"/>
  <c r="E256" i="24"/>
  <c r="E258" i="24"/>
  <c r="E259" i="24"/>
  <c r="E214" i="24"/>
  <c r="E218" i="24"/>
  <c r="E219" i="24"/>
  <c r="E123" i="24"/>
  <c r="E125" i="24"/>
  <c r="E124" i="24"/>
  <c r="E254" i="24"/>
  <c r="E253" i="24"/>
  <c r="E220" i="24"/>
  <c r="E213" i="24"/>
  <c r="E119" i="24"/>
  <c r="E118" i="24"/>
  <c r="E66" i="24"/>
  <c r="E73" i="24"/>
  <c r="E70" i="24"/>
  <c r="E65" i="24"/>
  <c r="E74" i="24"/>
  <c r="E69" i="24"/>
  <c r="E68" i="24"/>
  <c r="E71" i="24"/>
  <c r="E67" i="24"/>
  <c r="E112" i="24"/>
  <c r="E161" i="24"/>
  <c r="E60" i="24"/>
  <c r="E105" i="24"/>
  <c r="E156" i="24"/>
  <c r="E56" i="24"/>
  <c r="E158" i="24"/>
  <c r="G74" i="23" s="1"/>
  <c r="E61" i="24"/>
  <c r="E107" i="24"/>
  <c r="G100" i="23" s="1"/>
  <c r="E165" i="24"/>
  <c r="E58" i="24"/>
  <c r="E106" i="24"/>
  <c r="E113" i="24"/>
  <c r="E162" i="24"/>
  <c r="E157" i="24"/>
  <c r="E57" i="24"/>
  <c r="E54" i="24"/>
  <c r="E108" i="24"/>
  <c r="G101" i="23" s="1"/>
  <c r="E111" i="24"/>
  <c r="E160" i="24"/>
  <c r="E163" i="24"/>
  <c r="E52" i="24"/>
  <c r="E55" i="24"/>
  <c r="E82" i="24"/>
  <c r="E86" i="24"/>
  <c r="E87" i="24"/>
  <c r="E78" i="24"/>
  <c r="E85" i="24"/>
  <c r="E83" i="24"/>
  <c r="E84" i="24"/>
  <c r="E81" i="24"/>
  <c r="E149" i="24"/>
  <c r="E148" i="24"/>
  <c r="E150" i="24"/>
  <c r="E147" i="24"/>
  <c r="E152" i="24"/>
  <c r="E145" i="24"/>
  <c r="G73" i="23" s="1"/>
  <c r="E144" i="24"/>
  <c r="E176" i="24"/>
  <c r="E177" i="24"/>
  <c r="E171" i="24"/>
  <c r="G75" i="23" s="1"/>
  <c r="E174" i="24"/>
  <c r="E169" i="24"/>
  <c r="E172" i="24"/>
  <c r="E175" i="24"/>
  <c r="E132" i="24"/>
  <c r="E133" i="24"/>
  <c r="E138" i="24"/>
  <c r="E139" i="24"/>
  <c r="E137" i="24"/>
  <c r="E136" i="24"/>
  <c r="E131" i="24"/>
  <c r="E135" i="24"/>
  <c r="E206" i="24"/>
  <c r="E205" i="24"/>
  <c r="E199" i="24"/>
  <c r="E204" i="24"/>
  <c r="E203" i="24"/>
  <c r="E202" i="24"/>
  <c r="E201" i="24"/>
  <c r="E143" i="24"/>
  <c r="E80" i="24"/>
  <c r="E130" i="24"/>
  <c r="E151" i="24"/>
  <c r="E79" i="24"/>
  <c r="E173" i="24"/>
  <c r="E207" i="24"/>
  <c r="E134" i="24"/>
  <c r="E170" i="24"/>
  <c r="E200" i="24"/>
  <c r="E104" i="24"/>
  <c r="E110" i="24"/>
  <c r="E331" i="24"/>
  <c r="E164" i="24"/>
  <c r="E53" i="24"/>
  <c r="M25" i="12"/>
  <c r="G78" i="23" l="1"/>
  <c r="G79" i="23"/>
  <c r="G94" i="23"/>
  <c r="G72" i="23"/>
  <c r="E72" i="23" s="1"/>
  <c r="G93" i="23"/>
  <c r="G84" i="23"/>
  <c r="E84" i="23" s="1"/>
  <c r="E5706" i="14" s="1"/>
  <c r="G11" i="23"/>
  <c r="E11" i="23" s="1"/>
  <c r="G12" i="23"/>
  <c r="E12" i="23" s="1"/>
  <c r="G31" i="23"/>
  <c r="E31" i="23" s="1"/>
  <c r="E2133" i="35" s="1"/>
  <c r="E2134" i="35" s="1"/>
  <c r="E2135" i="35" s="1"/>
  <c r="G80" i="23"/>
  <c r="E80" i="23" s="1"/>
  <c r="E5617" i="14" s="1"/>
  <c r="G95" i="23"/>
  <c r="G88" i="23"/>
  <c r="E88" i="23" s="1"/>
  <c r="E5748" i="14" s="1"/>
  <c r="E124" i="23"/>
  <c r="E5035" i="14" s="1"/>
  <c r="AG41" i="31" s="1"/>
  <c r="G99" i="23"/>
  <c r="E99" i="23" s="1"/>
  <c r="G29" i="23"/>
  <c r="E29" i="23" s="1"/>
  <c r="E95" i="35" s="1"/>
  <c r="G30" i="23"/>
  <c r="E30" i="23" s="1"/>
  <c r="E806" i="35" s="1"/>
  <c r="E807" i="35" s="1"/>
  <c r="E808" i="35" s="1"/>
  <c r="G32" i="23"/>
  <c r="E32" i="23" s="1"/>
  <c r="G77" i="23"/>
  <c r="E1849" i="35"/>
  <c r="E1850" i="35" s="1"/>
  <c r="E1851" i="35" s="1"/>
  <c r="E142" i="35"/>
  <c r="E995" i="35"/>
  <c r="E996" i="35" s="1"/>
  <c r="E997" i="35" s="1"/>
  <c r="E379" i="35"/>
  <c r="E337" i="24"/>
  <c r="E335" i="24"/>
  <c r="E338" i="24"/>
  <c r="E339" i="24"/>
  <c r="E332" i="24"/>
  <c r="E333" i="24"/>
  <c r="E334" i="24"/>
  <c r="E330" i="24"/>
  <c r="E451" i="24"/>
  <c r="E318" i="24"/>
  <c r="E378" i="24"/>
  <c r="E448" i="24"/>
  <c r="E450" i="24"/>
  <c r="E313" i="24"/>
  <c r="E377" i="24"/>
  <c r="E320" i="24"/>
  <c r="E306" i="24"/>
  <c r="E452" i="24"/>
  <c r="E428" i="24"/>
  <c r="E421" i="24"/>
  <c r="E427" i="24"/>
  <c r="E422" i="24"/>
  <c r="E424" i="24"/>
  <c r="E423" i="24"/>
  <c r="E430" i="24"/>
  <c r="E429" i="24"/>
  <c r="E425" i="24"/>
  <c r="E350" i="24"/>
  <c r="E283" i="24"/>
  <c r="E343" i="24"/>
  <c r="E363" i="24"/>
  <c r="E416" i="24"/>
  <c r="E409" i="24"/>
  <c r="E286" i="24"/>
  <c r="E304" i="24"/>
  <c r="E348" i="24"/>
  <c r="E346" i="24"/>
  <c r="E349" i="24"/>
  <c r="E370" i="24"/>
  <c r="E310" i="24"/>
  <c r="E309" i="24"/>
  <c r="E287" i="24"/>
  <c r="E284" i="24"/>
  <c r="E344" i="24"/>
  <c r="E298" i="24"/>
  <c r="E371" i="24"/>
  <c r="E443" i="24"/>
  <c r="E410" i="24"/>
  <c r="E385" i="24"/>
  <c r="E384" i="24"/>
  <c r="E411" i="24"/>
  <c r="E412" i="24"/>
  <c r="E279" i="24"/>
  <c r="E266" i="24"/>
  <c r="E358" i="24"/>
  <c r="E365" i="24"/>
  <c r="E272" i="24"/>
  <c r="E352" i="24"/>
  <c r="E345" i="24"/>
  <c r="E387" i="24"/>
  <c r="E383" i="24"/>
  <c r="E408" i="24"/>
  <c r="E265" i="24"/>
  <c r="E357" i="24"/>
  <c r="E268" i="24"/>
  <c r="E269" i="24"/>
  <c r="E362" i="24"/>
  <c r="E356" i="24"/>
  <c r="E389" i="24"/>
  <c r="E413" i="24"/>
  <c r="E391" i="24"/>
  <c r="E323" i="24"/>
  <c r="E441" i="24"/>
  <c r="E435" i="24"/>
  <c r="E299" i="24"/>
  <c r="E447" i="24"/>
  <c r="E317" i="24"/>
  <c r="E326" i="24"/>
  <c r="E321" i="24"/>
  <c r="E442" i="24"/>
  <c r="E278" i="24"/>
  <c r="E285" i="24"/>
  <c r="E281" i="24"/>
  <c r="E282" i="24"/>
  <c r="E351" i="24"/>
  <c r="E453" i="24"/>
  <c r="E324" i="24"/>
  <c r="E322" i="24"/>
  <c r="E319" i="24"/>
  <c r="E369" i="24"/>
  <c r="E440" i="24"/>
  <c r="E398" i="24"/>
  <c r="E308" i="24"/>
  <c r="E312" i="24"/>
  <c r="E402" i="24"/>
  <c r="E456" i="24"/>
  <c r="E372" i="24"/>
  <c r="E374" i="24"/>
  <c r="E434" i="24"/>
  <c r="E437" i="24"/>
  <c r="E274" i="24"/>
  <c r="E273" i="24"/>
  <c r="E361" i="24"/>
  <c r="E360" i="24"/>
  <c r="E359" i="24"/>
  <c r="E270" i="24"/>
  <c r="E307" i="24"/>
  <c r="E305" i="24"/>
  <c r="E449" i="24"/>
  <c r="E455" i="24"/>
  <c r="E271" i="24"/>
  <c r="E414" i="24"/>
  <c r="E386" i="24"/>
  <c r="E390" i="24"/>
  <c r="E382" i="24"/>
  <c r="E373" i="24"/>
  <c r="E375" i="24"/>
  <c r="E417" i="24"/>
  <c r="E439" i="24"/>
  <c r="E438" i="24"/>
  <c r="E292" i="24"/>
  <c r="E296" i="24"/>
  <c r="E293" i="24"/>
  <c r="E295" i="24"/>
  <c r="E100" i="23"/>
  <c r="E291" i="24"/>
  <c r="E294" i="24"/>
  <c r="E300" i="24"/>
  <c r="E400" i="24"/>
  <c r="E395" i="24"/>
  <c r="E401" i="24"/>
  <c r="E399" i="24"/>
  <c r="E396" i="24"/>
  <c r="E403" i="24"/>
  <c r="E397" i="24"/>
  <c r="E101" i="23"/>
  <c r="E5074" i="14"/>
  <c r="E5071" i="14"/>
  <c r="E5073" i="14"/>
  <c r="E5072" i="14"/>
  <c r="E18" i="24"/>
  <c r="E13" i="24"/>
  <c r="E244" i="24"/>
  <c r="E38" i="23" s="1"/>
  <c r="E227" i="24"/>
  <c r="E240" i="24"/>
  <c r="E239" i="24"/>
  <c r="E229" i="24"/>
  <c r="G23" i="23" s="1"/>
  <c r="E233" i="24"/>
  <c r="E230" i="24"/>
  <c r="G24" i="23" s="1"/>
  <c r="E226" i="24"/>
  <c r="G6" i="23" s="1"/>
  <c r="E228" i="24"/>
  <c r="E234" i="24"/>
  <c r="E232" i="24"/>
  <c r="G125" i="23" s="1"/>
  <c r="E225" i="24"/>
  <c r="E74" i="23"/>
  <c r="E245" i="24"/>
  <c r="E242" i="24"/>
  <c r="E247" i="24"/>
  <c r="E246" i="24"/>
  <c r="E111" i="23" s="1"/>
  <c r="E5058" i="14"/>
  <c r="AG41" i="84" s="1"/>
  <c r="E5047" i="14"/>
  <c r="E75" i="23"/>
  <c r="E73" i="23"/>
  <c r="E7" i="23"/>
  <c r="E78" i="23"/>
  <c r="E77" i="23"/>
  <c r="E79" i="23"/>
  <c r="E95" i="23"/>
  <c r="E93" i="23"/>
  <c r="E94" i="23"/>
  <c r="M169" i="58"/>
  <c r="M177" i="58"/>
  <c r="M182" i="58"/>
  <c r="M171" i="58"/>
  <c r="M200" i="58"/>
  <c r="M197" i="58"/>
  <c r="M204" i="58"/>
  <c r="M175" i="58"/>
  <c r="M170" i="58"/>
  <c r="M190" i="58"/>
  <c r="M189" i="58"/>
  <c r="M198" i="58"/>
  <c r="M180" i="58"/>
  <c r="M203" i="58"/>
  <c r="M194" i="58"/>
  <c r="M191" i="58"/>
  <c r="M176" i="58"/>
  <c r="M185" i="58"/>
  <c r="M196" i="58"/>
  <c r="M195" i="58"/>
  <c r="M199" i="58"/>
  <c r="M172" i="58"/>
  <c r="M178" i="58"/>
  <c r="M181" i="58"/>
  <c r="M188" i="58"/>
  <c r="M186" i="58"/>
  <c r="M202" i="58"/>
  <c r="M173" i="58"/>
  <c r="M184" i="58"/>
  <c r="M192" i="58"/>
  <c r="M179" i="58"/>
  <c r="M193" i="58"/>
  <c r="M183" i="58"/>
  <c r="M174" i="58"/>
  <c r="M205" i="58"/>
  <c r="M201" i="58"/>
  <c r="M187" i="58"/>
  <c r="M26" i="12"/>
  <c r="C213" i="58"/>
  <c r="C147" i="58" s="1"/>
  <c r="E17" i="24"/>
  <c r="E19" i="24"/>
  <c r="E22" i="24"/>
  <c r="E16" i="24"/>
  <c r="G76" i="23" s="1"/>
  <c r="E15" i="24"/>
  <c r="E20" i="24"/>
  <c r="E21" i="24"/>
  <c r="E1897" i="35" l="1"/>
  <c r="E1944" i="35"/>
  <c r="E1945" i="35" s="1"/>
  <c r="E1946" i="35" s="1"/>
  <c r="E853" i="35"/>
  <c r="E854" i="35" s="1"/>
  <c r="E855" i="35" s="1"/>
  <c r="E1328" i="35"/>
  <c r="E237" i="35"/>
  <c r="E1802" i="35"/>
  <c r="E1803" i="35" s="1"/>
  <c r="E1804" i="35" s="1"/>
  <c r="E1233" i="35"/>
  <c r="E1234" i="35" s="1"/>
  <c r="E1235" i="35" s="1"/>
  <c r="E48" i="35"/>
  <c r="E1470" i="35"/>
  <c r="E948" i="35"/>
  <c r="E949" i="35" s="1"/>
  <c r="E950" i="35" s="1"/>
  <c r="E332" i="35"/>
  <c r="E1090" i="35"/>
  <c r="E1091" i="35" s="1"/>
  <c r="E1092" i="35" s="1"/>
  <c r="E1659" i="35"/>
  <c r="E1660" i="35" s="1"/>
  <c r="E1661" i="35" s="1"/>
  <c r="E1137" i="35"/>
  <c r="E1138" i="35" s="1"/>
  <c r="E1139" i="35" s="1"/>
  <c r="E5069" i="14"/>
  <c r="AG41" i="85" s="1"/>
  <c r="E1706" i="35"/>
  <c r="E1707" i="35" s="1"/>
  <c r="E1708" i="35" s="1"/>
  <c r="E2228" i="35"/>
  <c r="E2229" i="35" s="1"/>
  <c r="E2230" i="35" s="1"/>
  <c r="E2275" i="35"/>
  <c r="E2276" i="35" s="1"/>
  <c r="E2277" i="35" s="1"/>
  <c r="E25" i="23"/>
  <c r="E23" i="35" s="1"/>
  <c r="G21" i="23"/>
  <c r="E21" i="23" s="1"/>
  <c r="E1723" i="35" s="1"/>
  <c r="E2181" i="35"/>
  <c r="E474" i="35"/>
  <c r="E475" i="35" s="1"/>
  <c r="E476" i="35" s="1"/>
  <c r="E568" i="35"/>
  <c r="E569" i="35" s="1"/>
  <c r="E570" i="35" s="1"/>
  <c r="E1612" i="35"/>
  <c r="E1613" i="35" s="1"/>
  <c r="E1614" i="35" s="1"/>
  <c r="E1043" i="35"/>
  <c r="E1044" i="35" s="1"/>
  <c r="E1045" i="35" s="1"/>
  <c r="E521" i="35"/>
  <c r="E522" i="35" s="1"/>
  <c r="E523" i="35" s="1"/>
  <c r="E1375" i="35"/>
  <c r="E190" i="35"/>
  <c r="E1422" i="35"/>
  <c r="E1423" i="35" s="1"/>
  <c r="E1424" i="35" s="1"/>
  <c r="E1991" i="35"/>
  <c r="E1992" i="35" s="1"/>
  <c r="E1993" i="35" s="1"/>
  <c r="E759" i="35"/>
  <c r="E284" i="35"/>
  <c r="E285" i="35" s="1"/>
  <c r="E286" i="35" s="1"/>
  <c r="E2039" i="35"/>
  <c r="E901" i="35"/>
  <c r="E2086" i="35"/>
  <c r="E2087" i="35" s="1"/>
  <c r="E2088" i="35" s="1"/>
  <c r="E1517" i="35"/>
  <c r="E1518" i="35" s="1"/>
  <c r="E1519" i="35" s="1"/>
  <c r="E1564" i="35"/>
  <c r="E1565" i="35" s="1"/>
  <c r="E1566" i="35" s="1"/>
  <c r="E426" i="35"/>
  <c r="E427" i="35" s="1"/>
  <c r="E428" i="35" s="1"/>
  <c r="G5" i="23"/>
  <c r="E5" i="23" s="1"/>
  <c r="E711" i="35"/>
  <c r="E712" i="35" s="1"/>
  <c r="E713" i="35" s="1"/>
  <c r="E617" i="35"/>
  <c r="E664" i="35"/>
  <c r="E665" i="35" s="1"/>
  <c r="E666" i="35" s="1"/>
  <c r="E1755" i="35"/>
  <c r="E1186" i="35"/>
  <c r="E1280" i="35"/>
  <c r="E1281" i="35" s="1"/>
  <c r="E1282" i="35" s="1"/>
  <c r="G92" i="23"/>
  <c r="E92" i="23" s="1"/>
  <c r="E5794" i="14" s="1"/>
  <c r="G9" i="23"/>
  <c r="E9" i="23" s="1"/>
  <c r="G22" i="23"/>
  <c r="E22" i="23" s="1"/>
  <c r="E5807" i="14"/>
  <c r="E5050" i="14"/>
  <c r="E7636" i="14"/>
  <c r="M151" i="73" s="1"/>
  <c r="E7637" i="14"/>
  <c r="E5100" i="14"/>
  <c r="E5102" i="14" s="1"/>
  <c r="E5678" i="14" s="1"/>
  <c r="E5038" i="14"/>
  <c r="E5833" i="14"/>
  <c r="E5062" i="14"/>
  <c r="E5820" i="14"/>
  <c r="E592" i="35"/>
  <c r="E1208" i="35"/>
  <c r="E1209" i="35" s="1"/>
  <c r="E1824" i="35"/>
  <c r="E1825" i="35" s="1"/>
  <c r="E117" i="35"/>
  <c r="E1255" i="35"/>
  <c r="E1256" i="35" s="1"/>
  <c r="E70" i="35"/>
  <c r="E1730" i="35"/>
  <c r="E639" i="35"/>
  <c r="E640" i="35" s="1"/>
  <c r="E1777" i="35"/>
  <c r="E1778" i="35" s="1"/>
  <c r="AG41" i="83"/>
  <c r="E125" i="23"/>
  <c r="E5040" i="14"/>
  <c r="E5037" i="14"/>
  <c r="E5039" i="14"/>
  <c r="E5051" i="14"/>
  <c r="E5052" i="14"/>
  <c r="E5049" i="14"/>
  <c r="E28" i="23"/>
  <c r="E27" i="23"/>
  <c r="E26" i="23"/>
  <c r="E24" i="23"/>
  <c r="E5061" i="14"/>
  <c r="E5063" i="14"/>
  <c r="E5060" i="14"/>
  <c r="E5817" i="14"/>
  <c r="E110" i="23"/>
  <c r="E96" i="23"/>
  <c r="E23" i="23"/>
  <c r="E5377" i="14"/>
  <c r="E5357" i="14"/>
  <c r="E5367" i="14"/>
  <c r="E5093" i="14"/>
  <c r="E5095" i="14" s="1"/>
  <c r="E5107" i="14"/>
  <c r="T11" i="83"/>
  <c r="E76" i="23"/>
  <c r="E5363" i="14"/>
  <c r="E5767" i="14"/>
  <c r="E5769" i="14" s="1"/>
  <c r="E5634" i="14"/>
  <c r="E5636" i="14" s="1"/>
  <c r="E5722" i="14"/>
  <c r="E5766" i="14"/>
  <c r="E5723" i="14"/>
  <c r="E5725" i="14" s="1"/>
  <c r="E5633" i="14"/>
  <c r="E85" i="8"/>
  <c r="E5364" i="14"/>
  <c r="E5366" i="14" s="1"/>
  <c r="AK98" i="84"/>
  <c r="E5086" i="14"/>
  <c r="E5088" i="14" s="1"/>
  <c r="E7675" i="14"/>
  <c r="E7676" i="14" s="1"/>
  <c r="E6" i="23"/>
  <c r="E16" i="35" l="1"/>
  <c r="E5079" i="14"/>
  <c r="E1402" i="36" s="1"/>
  <c r="E1404" i="36" s="1"/>
  <c r="E1161" i="35"/>
  <c r="E686" i="35"/>
  <c r="E687" i="35" s="1"/>
  <c r="E703" i="35" s="1"/>
  <c r="E585" i="35"/>
  <c r="E632" i="35"/>
  <c r="E633" i="35" s="1"/>
  <c r="E655" i="35" s="1"/>
  <c r="E1154" i="35"/>
  <c r="E110" i="35"/>
  <c r="E1248" i="35"/>
  <c r="E1249" i="35" s="1"/>
  <c r="E1271" i="35" s="1"/>
  <c r="E1817" i="35"/>
  <c r="E1818" i="35" s="1"/>
  <c r="E1840" i="35" s="1"/>
  <c r="E1770" i="35"/>
  <c r="E1771" i="35" s="1"/>
  <c r="E1201" i="35"/>
  <c r="E1202" i="35" s="1"/>
  <c r="E1203" i="35" s="1"/>
  <c r="E63" i="35"/>
  <c r="E679" i="35"/>
  <c r="E680" i="35" s="1"/>
  <c r="E702" i="35" s="1"/>
  <c r="AK99" i="84"/>
  <c r="E5816" i="14"/>
  <c r="E1390" i="35"/>
  <c r="E1391" i="35" s="1"/>
  <c r="E1392" i="35" s="1"/>
  <c r="E774" i="35"/>
  <c r="E775" i="35" s="1"/>
  <c r="E797" i="35" s="1"/>
  <c r="E205" i="35"/>
  <c r="E727" i="35"/>
  <c r="E821" i="35"/>
  <c r="E822" i="35" s="1"/>
  <c r="E844" i="35" s="1"/>
  <c r="E158" i="35"/>
  <c r="E1912" i="35"/>
  <c r="E1913" i="35" s="1"/>
  <c r="E1296" i="35"/>
  <c r="E1959" i="35"/>
  <c r="E1960" i="35" s="1"/>
  <c r="E1982" i="35" s="1"/>
  <c r="E1865" i="35"/>
  <c r="E1343" i="35"/>
  <c r="E252" i="35"/>
  <c r="E253" i="35" s="1"/>
  <c r="E275" i="35" s="1"/>
  <c r="E7662" i="14"/>
  <c r="E1413" i="36"/>
  <c r="E7661" i="14"/>
  <c r="E5667" i="14"/>
  <c r="E5668" i="14" s="1"/>
  <c r="E5679" i="14"/>
  <c r="E5109" i="14"/>
  <c r="E5656" i="14"/>
  <c r="E5657" i="14" s="1"/>
  <c r="E5613" i="14"/>
  <c r="E5343" i="14"/>
  <c r="E5344" i="14"/>
  <c r="E5346" i="14" s="1"/>
  <c r="E7578" i="14"/>
  <c r="E7499" i="14"/>
  <c r="AG48" i="84" s="1"/>
  <c r="E7554" i="14"/>
  <c r="AG48" i="85" s="1"/>
  <c r="E7389" i="14"/>
  <c r="AG48" i="31" s="1"/>
  <c r="E7444" i="14"/>
  <c r="AG48" i="83" s="1"/>
  <c r="E1794" i="35"/>
  <c r="E1781" i="35"/>
  <c r="E1782" i="35" s="1"/>
  <c r="E1819" i="35"/>
  <c r="E1841" i="35"/>
  <c r="E1828" i="35"/>
  <c r="E1829" i="35" s="1"/>
  <c r="E656" i="35"/>
  <c r="E643" i="35"/>
  <c r="E644" i="35" s="1"/>
  <c r="E1225" i="35"/>
  <c r="E1212" i="35"/>
  <c r="E1213" i="35" s="1"/>
  <c r="E681" i="35"/>
  <c r="E634" i="35"/>
  <c r="E1272" i="35"/>
  <c r="E1259" i="35"/>
  <c r="E1260" i="35" s="1"/>
  <c r="E1793" i="35"/>
  <c r="E1772" i="35"/>
  <c r="Z16" i="31"/>
  <c r="Z42" i="31" s="1"/>
  <c r="T16" i="31"/>
  <c r="AA16" i="31"/>
  <c r="AA42" i="31" s="1"/>
  <c r="AB16" i="31"/>
  <c r="E828" i="35"/>
  <c r="E829" i="35" s="1"/>
  <c r="E734" i="35"/>
  <c r="E1397" i="35"/>
  <c r="E1398" i="35" s="1"/>
  <c r="E1919" i="35"/>
  <c r="E1920" i="35" s="1"/>
  <c r="E781" i="35"/>
  <c r="E782" i="35" s="1"/>
  <c r="E212" i="35"/>
  <c r="E1872" i="35"/>
  <c r="E1303" i="35"/>
  <c r="E1350" i="35"/>
  <c r="E1966" i="35"/>
  <c r="E1967" i="35" s="1"/>
  <c r="E165" i="35"/>
  <c r="E259" i="35"/>
  <c r="E260" i="35" s="1"/>
  <c r="E307" i="35"/>
  <c r="E923" i="35"/>
  <c r="E924" i="35" s="1"/>
  <c r="E876" i="35"/>
  <c r="E2061" i="35"/>
  <c r="E2062" i="35" s="1"/>
  <c r="E1539" i="35"/>
  <c r="E1540" i="35" s="1"/>
  <c r="E970" i="35"/>
  <c r="E971" i="35" s="1"/>
  <c r="E1445" i="35"/>
  <c r="E2108" i="35"/>
  <c r="E2109" i="35" s="1"/>
  <c r="E2014" i="35"/>
  <c r="E1492" i="35"/>
  <c r="E1493" i="35" s="1"/>
  <c r="E401" i="35"/>
  <c r="E402" i="35" s="1"/>
  <c r="E354" i="35"/>
  <c r="E394" i="35"/>
  <c r="E395" i="35" s="1"/>
  <c r="E347" i="35"/>
  <c r="E2007" i="35"/>
  <c r="E2101" i="35"/>
  <c r="E2102" i="35" s="1"/>
  <c r="E1438" i="35"/>
  <c r="E2054" i="35"/>
  <c r="E2055" i="35" s="1"/>
  <c r="E1532" i="35"/>
  <c r="E1533" i="35" s="1"/>
  <c r="E869" i="35"/>
  <c r="E916" i="35"/>
  <c r="E917" i="35" s="1"/>
  <c r="E1485" i="35"/>
  <c r="E1486" i="35" s="1"/>
  <c r="E963" i="35"/>
  <c r="E964" i="35" s="1"/>
  <c r="E300" i="35"/>
  <c r="E2149" i="35"/>
  <c r="E2243" i="35"/>
  <c r="E2244" i="35" s="1"/>
  <c r="E1011" i="35"/>
  <c r="E1012" i="35" s="1"/>
  <c r="E1105" i="35"/>
  <c r="E1106" i="35" s="1"/>
  <c r="E2196" i="35"/>
  <c r="E2197" i="35" s="1"/>
  <c r="E1627" i="35"/>
  <c r="E1628" i="35" s="1"/>
  <c r="E489" i="35"/>
  <c r="E490" i="35" s="1"/>
  <c r="E1580" i="35"/>
  <c r="E1581" i="35" s="1"/>
  <c r="E1674" i="35"/>
  <c r="E1675" i="35" s="1"/>
  <c r="E1058" i="35"/>
  <c r="E1059" i="35" s="1"/>
  <c r="E536" i="35"/>
  <c r="E537" i="35" s="1"/>
  <c r="E442" i="35"/>
  <c r="E443" i="35" s="1"/>
  <c r="E543" i="35"/>
  <c r="E544" i="35" s="1"/>
  <c r="E1065" i="35"/>
  <c r="E1066" i="35" s="1"/>
  <c r="E1587" i="35"/>
  <c r="E1588" i="35" s="1"/>
  <c r="E1112" i="35"/>
  <c r="E1113" i="35" s="1"/>
  <c r="E2156" i="35"/>
  <c r="E2203" i="35"/>
  <c r="E2204" i="35" s="1"/>
  <c r="E1018" i="35"/>
  <c r="E1019" i="35" s="1"/>
  <c r="E2250" i="35"/>
  <c r="E2251" i="35" s="1"/>
  <c r="E1681" i="35"/>
  <c r="E1682" i="35" s="1"/>
  <c r="E1634" i="35"/>
  <c r="E1635" i="35" s="1"/>
  <c r="E449" i="35"/>
  <c r="E450" i="35" s="1"/>
  <c r="E496" i="35"/>
  <c r="E497" i="35" s="1"/>
  <c r="E1935" i="35"/>
  <c r="E1914" i="35"/>
  <c r="T16" i="84"/>
  <c r="T42" i="84" s="1"/>
  <c r="AB16" i="84"/>
  <c r="AB42" i="84" s="1"/>
  <c r="T16" i="83"/>
  <c r="P16" i="83"/>
  <c r="AB16" i="83"/>
  <c r="T16" i="85"/>
  <c r="T42" i="85" s="1"/>
  <c r="P16" i="85"/>
  <c r="P42" i="85" s="1"/>
  <c r="AA16" i="83"/>
  <c r="AA16" i="85"/>
  <c r="AA42" i="85" s="1"/>
  <c r="AA16" i="84"/>
  <c r="AA42" i="84" s="1"/>
  <c r="P16" i="84"/>
  <c r="P42" i="84" s="1"/>
  <c r="AB16" i="85"/>
  <c r="AB42" i="85" s="1"/>
  <c r="E84" i="8"/>
  <c r="E5804" i="14"/>
  <c r="E5806" i="14" s="1"/>
  <c r="E5803" i="14"/>
  <c r="E5819" i="14"/>
  <c r="E7681" i="14"/>
  <c r="AR105" i="31"/>
  <c r="AG50" i="85"/>
  <c r="E7523" i="14"/>
  <c r="AG50" i="84" s="1"/>
  <c r="E7468" i="14"/>
  <c r="E7401" i="14"/>
  <c r="AG49" i="31" s="1"/>
  <c r="E7535" i="14"/>
  <c r="AG51" i="84" s="1"/>
  <c r="E7480" i="14"/>
  <c r="E7425" i="14"/>
  <c r="AG51" i="31" s="1"/>
  <c r="E7566" i="14"/>
  <c r="AG49" i="85" s="1"/>
  <c r="E7511" i="14"/>
  <c r="AG49" i="84" s="1"/>
  <c r="E7456" i="14"/>
  <c r="E7413" i="14"/>
  <c r="AG50" i="31" s="1"/>
  <c r="E7590" i="14"/>
  <c r="AG51" i="85" s="1"/>
  <c r="T11" i="85"/>
  <c r="AA11" i="85"/>
  <c r="AB55" i="31"/>
  <c r="AB50" i="31"/>
  <c r="W55" i="83"/>
  <c r="P42" i="83"/>
  <c r="Z10" i="84"/>
  <c r="T55" i="31"/>
  <c r="Z11" i="84"/>
  <c r="X55" i="83"/>
  <c r="T37" i="83"/>
  <c r="T50" i="83" s="1"/>
  <c r="AB42" i="83"/>
  <c r="AB55" i="83" s="1"/>
  <c r="Z16" i="84"/>
  <c r="AR103" i="84"/>
  <c r="AA42" i="83"/>
  <c r="AA55" i="83" s="1"/>
  <c r="T42" i="83"/>
  <c r="T55" i="83" s="1"/>
  <c r="AA11" i="83"/>
  <c r="AA10" i="83"/>
  <c r="Z10" i="83"/>
  <c r="Z16" i="83"/>
  <c r="AR103" i="83"/>
  <c r="Z11" i="83"/>
  <c r="S11" i="83"/>
  <c r="X50" i="31"/>
  <c r="P55" i="31"/>
  <c r="AB11" i="84"/>
  <c r="AA11" i="84"/>
  <c r="AB11" i="85"/>
  <c r="AB11" i="83"/>
  <c r="T11" i="84"/>
  <c r="E5755" i="14"/>
  <c r="E5623" i="14"/>
  <c r="E5624" i="14"/>
  <c r="E5626" i="14" s="1"/>
  <c r="AK99" i="83"/>
  <c r="E5354" i="14"/>
  <c r="E5356" i="14" s="1"/>
  <c r="E5713" i="14"/>
  <c r="E5715" i="14" s="1"/>
  <c r="AK98" i="83"/>
  <c r="AK99" i="85"/>
  <c r="E5347" i="14"/>
  <c r="E5369" i="14"/>
  <c r="E5353" i="14"/>
  <c r="E5712" i="14"/>
  <c r="E5756" i="14"/>
  <c r="E5758" i="14" s="1"/>
  <c r="I174" i="73"/>
  <c r="I175" i="73"/>
  <c r="E5772" i="14"/>
  <c r="S16" i="83"/>
  <c r="O16" i="83"/>
  <c r="O42" i="83" s="1"/>
  <c r="O55" i="83" s="1"/>
  <c r="E5639" i="14"/>
  <c r="E83" i="8"/>
  <c r="E5614" i="14"/>
  <c r="E5616" i="14" s="1"/>
  <c r="E5745" i="14"/>
  <c r="E5747" i="14" s="1"/>
  <c r="AK101" i="31"/>
  <c r="AK100" i="31"/>
  <c r="E5744" i="14"/>
  <c r="E5703" i="14"/>
  <c r="E5705" i="14" s="1"/>
  <c r="E5702" i="14"/>
  <c r="E5790" i="14"/>
  <c r="E5791" i="14"/>
  <c r="E5793" i="14" s="1"/>
  <c r="M148" i="73"/>
  <c r="E254" i="35" l="1"/>
  <c r="E823" i="35"/>
  <c r="E1961" i="35"/>
  <c r="E1224" i="35"/>
  <c r="E1413" i="35"/>
  <c r="E690" i="35"/>
  <c r="E691" i="35" s="1"/>
  <c r="E776" i="35"/>
  <c r="E1250" i="35"/>
  <c r="E5829" i="14"/>
  <c r="E5777" i="14"/>
  <c r="E5830" i="14"/>
  <c r="E5832" i="14" s="1"/>
  <c r="E86" i="8"/>
  <c r="E5373" i="14"/>
  <c r="E5733" i="14"/>
  <c r="E5735" i="14" s="1"/>
  <c r="E5643" i="14"/>
  <c r="E5644" i="14"/>
  <c r="E5646" i="14" s="1"/>
  <c r="AK98" i="85"/>
  <c r="E5778" i="14"/>
  <c r="E5780" i="14" s="1"/>
  <c r="E5783" i="14" s="1"/>
  <c r="E5374" i="14"/>
  <c r="E5376" i="14" s="1"/>
  <c r="E5379" i="14" s="1"/>
  <c r="E5732" i="14"/>
  <c r="E5773" i="14"/>
  <c r="E88" i="8"/>
  <c r="E90" i="8"/>
  <c r="E5689" i="14"/>
  <c r="E5690" i="14" s="1"/>
  <c r="E89" i="8"/>
  <c r="E60" i="8"/>
  <c r="E5497" i="14"/>
  <c r="E5498" i="14" s="1"/>
  <c r="E5619" i="14"/>
  <c r="E23" i="73"/>
  <c r="P16" i="31"/>
  <c r="AG49" i="83"/>
  <c r="AG51" i="83"/>
  <c r="AG50" i="83"/>
  <c r="H54" i="87" s="1"/>
  <c r="E500" i="35"/>
  <c r="E501" i="35" s="1"/>
  <c r="E513" i="35"/>
  <c r="E2254" i="35"/>
  <c r="E2255" i="35" s="1"/>
  <c r="E2267" i="35"/>
  <c r="E1116" i="35"/>
  <c r="E1117" i="35" s="1"/>
  <c r="E1129" i="35"/>
  <c r="E465" i="35"/>
  <c r="E444" i="35"/>
  <c r="E1603" i="35"/>
  <c r="E1582" i="35"/>
  <c r="E1128" i="35"/>
  <c r="E1107" i="35"/>
  <c r="E2103" i="35"/>
  <c r="E2124" i="35"/>
  <c r="E2112" i="35"/>
  <c r="E2113" i="35" s="1"/>
  <c r="E2125" i="35"/>
  <c r="E2065" i="35"/>
  <c r="E2066" i="35" s="1"/>
  <c r="E2078" i="35"/>
  <c r="E276" i="35"/>
  <c r="E263" i="35"/>
  <c r="E264" i="35" s="1"/>
  <c r="E1923" i="35"/>
  <c r="E1924" i="35" s="1"/>
  <c r="E1936" i="35"/>
  <c r="E466" i="35"/>
  <c r="E453" i="35"/>
  <c r="E454" i="35" s="1"/>
  <c r="E1022" i="35"/>
  <c r="E1023" i="35" s="1"/>
  <c r="E1035" i="35"/>
  <c r="E1591" i="35"/>
  <c r="E1592" i="35" s="1"/>
  <c r="E1604" i="35"/>
  <c r="E559" i="35"/>
  <c r="E538" i="35"/>
  <c r="E491" i="35"/>
  <c r="E512" i="35"/>
  <c r="E1034" i="35"/>
  <c r="E1013" i="35"/>
  <c r="E986" i="35"/>
  <c r="E965" i="35"/>
  <c r="E1555" i="35"/>
  <c r="E1534" i="35"/>
  <c r="E405" i="35"/>
  <c r="E406" i="35" s="1"/>
  <c r="E418" i="35"/>
  <c r="E1401" i="35"/>
  <c r="E1402" i="35" s="1"/>
  <c r="E1414" i="35"/>
  <c r="E1638" i="35"/>
  <c r="E1639" i="35" s="1"/>
  <c r="E1651" i="35"/>
  <c r="E2207" i="35"/>
  <c r="E2208" i="35" s="1"/>
  <c r="E2220" i="35"/>
  <c r="E1069" i="35"/>
  <c r="E1070" i="35" s="1"/>
  <c r="E1082" i="35"/>
  <c r="E1060" i="35"/>
  <c r="E1081" i="35"/>
  <c r="E1650" i="35"/>
  <c r="E1629" i="35"/>
  <c r="E2266" i="35"/>
  <c r="E2245" i="35"/>
  <c r="E1487" i="35"/>
  <c r="E1508" i="35"/>
  <c r="E2077" i="35"/>
  <c r="E2056" i="35"/>
  <c r="E1496" i="35"/>
  <c r="E1497" i="35" s="1"/>
  <c r="E1509" i="35"/>
  <c r="E974" i="35"/>
  <c r="E975" i="35" s="1"/>
  <c r="E987" i="35"/>
  <c r="E927" i="35"/>
  <c r="E928" i="35" s="1"/>
  <c r="E940" i="35"/>
  <c r="E1983" i="35"/>
  <c r="E1970" i="35"/>
  <c r="E1971" i="35" s="1"/>
  <c r="E1685" i="35"/>
  <c r="E1686" i="35" s="1"/>
  <c r="E1698" i="35"/>
  <c r="E547" i="35"/>
  <c r="E548" i="35" s="1"/>
  <c r="E560" i="35"/>
  <c r="E1676" i="35"/>
  <c r="E1697" i="35"/>
  <c r="E2198" i="35"/>
  <c r="E2219" i="35"/>
  <c r="E918" i="35"/>
  <c r="E939" i="35"/>
  <c r="E396" i="35"/>
  <c r="E417" i="35"/>
  <c r="E1543" i="35"/>
  <c r="E1544" i="35" s="1"/>
  <c r="E1556" i="35"/>
  <c r="E785" i="35"/>
  <c r="E786" i="35" s="1"/>
  <c r="E798" i="35"/>
  <c r="E832" i="35"/>
  <c r="E833" i="35" s="1"/>
  <c r="E845" i="35"/>
  <c r="S16" i="85"/>
  <c r="S42" i="85" s="1"/>
  <c r="S16" i="84"/>
  <c r="S42" i="84" s="1"/>
  <c r="O16" i="85"/>
  <c r="W55" i="31"/>
  <c r="X55" i="31"/>
  <c r="E65" i="8"/>
  <c r="E5821" i="14"/>
  <c r="E7683" i="14"/>
  <c r="T37" i="85"/>
  <c r="AB37" i="85"/>
  <c r="AA37" i="85"/>
  <c r="AA10" i="85"/>
  <c r="AB37" i="84"/>
  <c r="T10" i="84"/>
  <c r="T37" i="84"/>
  <c r="E5359" i="14"/>
  <c r="W50" i="83"/>
  <c r="S11" i="84"/>
  <c r="AA37" i="84"/>
  <c r="P10" i="84"/>
  <c r="AB10" i="85"/>
  <c r="AB10" i="84"/>
  <c r="AA10" i="84"/>
  <c r="AB37" i="83"/>
  <c r="AB50" i="83" s="1"/>
  <c r="T50" i="31"/>
  <c r="X50" i="83"/>
  <c r="S37" i="83"/>
  <c r="S50" i="83" s="1"/>
  <c r="Y16" i="83"/>
  <c r="Z42" i="83"/>
  <c r="Z55" i="83" s="1"/>
  <c r="AA37" i="83"/>
  <c r="AA50" i="83" s="1"/>
  <c r="Z37" i="84"/>
  <c r="Y11" i="84"/>
  <c r="Z36" i="84"/>
  <c r="T10" i="83"/>
  <c r="S11" i="85"/>
  <c r="Z37" i="83"/>
  <c r="Z50" i="83" s="1"/>
  <c r="AA36" i="83"/>
  <c r="AA49" i="83" s="1"/>
  <c r="P10" i="83"/>
  <c r="P10" i="85"/>
  <c r="Y16" i="84"/>
  <c r="Z42" i="84"/>
  <c r="Y16" i="31"/>
  <c r="Y42" i="31" s="1"/>
  <c r="AB10" i="83"/>
  <c r="Y11" i="83"/>
  <c r="Z36" i="83"/>
  <c r="Z49" i="83" s="1"/>
  <c r="Y11" i="31"/>
  <c r="Y37" i="31" s="1"/>
  <c r="S42" i="83"/>
  <c r="S55" i="83" s="1"/>
  <c r="E5761" i="14"/>
  <c r="E5629" i="14"/>
  <c r="E5349" i="14"/>
  <c r="E5750" i="14"/>
  <c r="M27" i="12"/>
  <c r="E5554" i="14" l="1"/>
  <c r="E5555" i="14" s="1"/>
  <c r="E5577" i="14" s="1"/>
  <c r="E61" i="8"/>
  <c r="E5649" i="14"/>
  <c r="E5834" i="14" s="1"/>
  <c r="E5762" i="14"/>
  <c r="E5784" i="14"/>
  <c r="E91" i="8"/>
  <c r="E59" i="8"/>
  <c r="E5440" i="14"/>
  <c r="E5441" i="14" s="1"/>
  <c r="E5564" i="14"/>
  <c r="E5546" i="14"/>
  <c r="E5537" i="14"/>
  <c r="E5524" i="14"/>
  <c r="E5542" i="14"/>
  <c r="E5533" i="14"/>
  <c r="E5550" i="14"/>
  <c r="E5511" i="14"/>
  <c r="E5507" i="14"/>
  <c r="E5529" i="14"/>
  <c r="E5503" i="14"/>
  <c r="E5516" i="14"/>
  <c r="E5520" i="14"/>
  <c r="E5383" i="14"/>
  <c r="E5384" i="14" s="1"/>
  <c r="E5402" i="14" s="1"/>
  <c r="E58" i="8"/>
  <c r="O42" i="85"/>
  <c r="E2844" i="14"/>
  <c r="E2846" i="14" s="1"/>
  <c r="E2852" i="14"/>
  <c r="E2854" i="14" s="1"/>
  <c r="E2836" i="14"/>
  <c r="E2838" i="14" s="1"/>
  <c r="E64" i="8"/>
  <c r="E5808" i="14"/>
  <c r="E5795" i="14"/>
  <c r="E63" i="8"/>
  <c r="E5751" i="14"/>
  <c r="E73" i="8"/>
  <c r="T10" i="85"/>
  <c r="AB36" i="85"/>
  <c r="AA36" i="85"/>
  <c r="AB49" i="31"/>
  <c r="P36" i="85"/>
  <c r="AB36" i="84"/>
  <c r="W50" i="31"/>
  <c r="T36" i="84"/>
  <c r="S37" i="84"/>
  <c r="S10" i="84"/>
  <c r="P36" i="83"/>
  <c r="Y10" i="84"/>
  <c r="Y36" i="84" s="1"/>
  <c r="P36" i="84"/>
  <c r="AA36" i="84"/>
  <c r="S37" i="85"/>
  <c r="Y37" i="84"/>
  <c r="Y42" i="83"/>
  <c r="Y10" i="83"/>
  <c r="AB36" i="83"/>
  <c r="AB49" i="83" s="1"/>
  <c r="Y37" i="83"/>
  <c r="Y42" i="84"/>
  <c r="T36" i="83"/>
  <c r="T49" i="83" s="1"/>
  <c r="O10" i="85"/>
  <c r="P49" i="31"/>
  <c r="S10" i="83"/>
  <c r="O10" i="83"/>
  <c r="O36" i="83" s="1"/>
  <c r="O49" i="83" s="1"/>
  <c r="E74" i="8"/>
  <c r="E76" i="8"/>
  <c r="E75" i="8"/>
  <c r="Y10" i="31"/>
  <c r="Y36" i="31" s="1"/>
  <c r="E5599" i="14" l="1"/>
  <c r="E5590" i="14"/>
  <c r="E5573" i="14"/>
  <c r="E5568" i="14"/>
  <c r="X60" i="85" s="1"/>
  <c r="E5586" i="14"/>
  <c r="E5594" i="14"/>
  <c r="E5560" i="14"/>
  <c r="E5603" i="14"/>
  <c r="AA60" i="85" s="1"/>
  <c r="E5581" i="14"/>
  <c r="P60" i="85" s="1"/>
  <c r="E5607" i="14"/>
  <c r="AB60" i="85" s="1"/>
  <c r="E66" i="8"/>
  <c r="X60" i="84"/>
  <c r="P60" i="84"/>
  <c r="AB60" i="84"/>
  <c r="T60" i="84"/>
  <c r="O60" i="85"/>
  <c r="S60" i="84"/>
  <c r="AA60" i="84"/>
  <c r="W60" i="85"/>
  <c r="W60" i="84"/>
  <c r="Z60" i="84"/>
  <c r="S60" i="85"/>
  <c r="T60" i="85"/>
  <c r="E5393" i="14"/>
  <c r="E5397" i="14"/>
  <c r="E5389" i="14"/>
  <c r="E804" i="8"/>
  <c r="V60" i="84"/>
  <c r="E1029" i="8"/>
  <c r="V60" i="85"/>
  <c r="E5428" i="14"/>
  <c r="E5432" i="14"/>
  <c r="E5423" i="14"/>
  <c r="E5436" i="14"/>
  <c r="E5415" i="14"/>
  <c r="E5419" i="14"/>
  <c r="S60" i="31" s="1"/>
  <c r="E916" i="8"/>
  <c r="R60" i="84"/>
  <c r="E1197" i="8"/>
  <c r="Z60" i="85"/>
  <c r="O60" i="84"/>
  <c r="E878" i="8"/>
  <c r="N60" i="85"/>
  <c r="E60" i="85" s="1"/>
  <c r="E1085" i="8"/>
  <c r="E5467" i="14"/>
  <c r="E5480" i="14"/>
  <c r="E5489" i="14"/>
  <c r="E5485" i="14"/>
  <c r="E5493" i="14"/>
  <c r="E5450" i="14"/>
  <c r="E5463" i="14"/>
  <c r="E5454" i="14"/>
  <c r="E5476" i="14"/>
  <c r="E5459" i="14"/>
  <c r="E5472" i="14"/>
  <c r="E5446" i="14"/>
  <c r="E860" i="8"/>
  <c r="N60" i="84"/>
  <c r="E60" i="84" s="1"/>
  <c r="E1141" i="8"/>
  <c r="R60" i="85"/>
  <c r="Z60" i="31"/>
  <c r="E5406" i="14"/>
  <c r="E5410" i="14"/>
  <c r="N60" i="31"/>
  <c r="E423" i="8"/>
  <c r="I129" i="73"/>
  <c r="E3017" i="14"/>
  <c r="E3019" i="14" s="1"/>
  <c r="E3049" i="14"/>
  <c r="E3051" i="14" s="1"/>
  <c r="I127" i="73"/>
  <c r="I128" i="73"/>
  <c r="E2860" i="14"/>
  <c r="T36" i="85"/>
  <c r="O36" i="85"/>
  <c r="S36" i="84"/>
  <c r="W49" i="83"/>
  <c r="T49" i="31"/>
  <c r="X49" i="83"/>
  <c r="S10" i="85"/>
  <c r="Y36" i="83"/>
  <c r="S36" i="83"/>
  <c r="S49" i="83" s="1"/>
  <c r="M28" i="12"/>
  <c r="W49" i="31"/>
  <c r="M29" i="12"/>
  <c r="E525" i="8" l="1"/>
  <c r="O60" i="83"/>
  <c r="AA60" i="83"/>
  <c r="T60" i="31"/>
  <c r="X60" i="83"/>
  <c r="O60" i="31"/>
  <c r="W60" i="83"/>
  <c r="T60" i="83"/>
  <c r="AA60" i="31"/>
  <c r="Z60" i="83"/>
  <c r="AB60" i="31"/>
  <c r="W60" i="31"/>
  <c r="I130" i="73"/>
  <c r="S60" i="83"/>
  <c r="AB60" i="83"/>
  <c r="P60" i="83"/>
  <c r="R60" i="31"/>
  <c r="X60" i="31"/>
  <c r="E500" i="8"/>
  <c r="P60" i="31"/>
  <c r="E448" i="8"/>
  <c r="E648" i="8"/>
  <c r="V60" i="83"/>
  <c r="R60" i="83"/>
  <c r="E724" i="8"/>
  <c r="N60" i="83"/>
  <c r="E686" i="8"/>
  <c r="V60" i="31"/>
  <c r="E60" i="31" s="1"/>
  <c r="E346" i="8"/>
  <c r="E3027" i="14"/>
  <c r="E3029" i="14" s="1"/>
  <c r="E3033" i="14"/>
  <c r="E3035" i="14" s="1"/>
  <c r="E3043" i="14"/>
  <c r="E3045" i="14" s="1"/>
  <c r="E3053" i="14" s="1"/>
  <c r="E3011" i="14"/>
  <c r="E3013" i="14" s="1"/>
  <c r="E3021" i="14" s="1"/>
  <c r="AO16" i="83"/>
  <c r="X49" i="31"/>
  <c r="S36" i="85"/>
  <c r="E3037" i="14" l="1"/>
  <c r="M129" i="73"/>
  <c r="M128" i="73" l="1"/>
  <c r="M127" i="73"/>
  <c r="E3059" i="14"/>
  <c r="M130" i="73" l="1"/>
  <c r="AO16" i="84"/>
  <c r="M58" i="12"/>
  <c r="M40" i="12"/>
  <c r="M42" i="12"/>
  <c r="M32" i="12"/>
  <c r="M47" i="12"/>
  <c r="M50" i="12"/>
  <c r="M37" i="12"/>
  <c r="M60" i="12"/>
  <c r="M36" i="12"/>
  <c r="M34" i="12"/>
  <c r="M51" i="12"/>
  <c r="M44" i="12"/>
  <c r="M45" i="12"/>
  <c r="M41" i="12"/>
  <c r="M43" i="12"/>
  <c r="M56" i="12"/>
  <c r="M62" i="12"/>
  <c r="M53" i="12"/>
  <c r="M52" i="12"/>
  <c r="M54" i="12"/>
  <c r="M57" i="12"/>
  <c r="M31" i="12"/>
  <c r="M63" i="12"/>
  <c r="M59" i="12"/>
  <c r="M33" i="12"/>
  <c r="M48" i="12"/>
  <c r="M49" i="12"/>
  <c r="M38" i="12"/>
  <c r="M30" i="12"/>
  <c r="M55" i="12"/>
  <c r="M46" i="12"/>
  <c r="M35" i="12"/>
  <c r="M39" i="12"/>
  <c r="M61" i="12"/>
  <c r="C71" i="12"/>
  <c r="C5" i="12" s="1"/>
  <c r="D43" i="1"/>
  <c r="E3739" i="14" l="1"/>
  <c r="E3742" i="14" s="1"/>
  <c r="E3734" i="14"/>
  <c r="E3737" i="14" s="1"/>
  <c r="E52" i="8" l="1"/>
  <c r="E44" i="8"/>
  <c r="E36" i="8"/>
  <c r="E32" i="8"/>
  <c r="E28" i="8"/>
  <c r="E54" i="8"/>
  <c r="E51" i="8"/>
  <c r="E47" i="8"/>
  <c r="E43" i="8"/>
  <c r="E39" i="8"/>
  <c r="E31" i="8"/>
  <c r="E50" i="8"/>
  <c r="E46" i="8"/>
  <c r="E34" i="8"/>
  <c r="E30" i="8"/>
  <c r="E53" i="8"/>
  <c r="E49" i="8"/>
  <c r="E45" i="8"/>
  <c r="E41" i="8"/>
  <c r="E37" i="8"/>
  <c r="E33" i="8"/>
  <c r="E55" i="8"/>
  <c r="E147" i="73"/>
  <c r="E3736" i="14"/>
  <c r="E144" i="73" s="1"/>
  <c r="E148" i="73"/>
  <c r="E3741" i="14"/>
  <c r="E3746" i="14" l="1"/>
  <c r="E7645" i="14" s="1"/>
  <c r="E145" i="73"/>
  <c r="J26" i="33"/>
  <c r="K26" i="33" s="1"/>
  <c r="L26" i="33" s="1"/>
  <c r="L27" i="33" s="1"/>
  <c r="J99" i="33"/>
  <c r="K99" i="33" s="1"/>
  <c r="L99" i="33" s="1"/>
  <c r="L100" i="33" s="1"/>
  <c r="J101" i="33"/>
  <c r="K101" i="33" s="1"/>
  <c r="J28" i="33"/>
  <c r="K28" i="33" s="1"/>
  <c r="J106" i="33"/>
  <c r="K106" i="33" s="1"/>
  <c r="J33" i="33"/>
  <c r="K33" i="33" s="1"/>
  <c r="J50" i="33"/>
  <c r="K50" i="33" s="1"/>
  <c r="J123" i="33"/>
  <c r="K123" i="33" s="1"/>
  <c r="J46" i="33"/>
  <c r="K46" i="33" s="1"/>
  <c r="J119" i="33"/>
  <c r="K119" i="33" s="1"/>
  <c r="J42" i="33"/>
  <c r="K42" i="33" s="1"/>
  <c r="J115" i="33"/>
  <c r="K115" i="33" s="1"/>
  <c r="J34" i="33"/>
  <c r="K34" i="33" s="1"/>
  <c r="J107" i="33"/>
  <c r="K107" i="33" s="1"/>
  <c r="J125" i="33"/>
  <c r="K125" i="33" s="1"/>
  <c r="J52" i="33"/>
  <c r="K52" i="33" s="1"/>
  <c r="J121" i="33"/>
  <c r="K121" i="33" s="1"/>
  <c r="J48" i="33"/>
  <c r="K48" i="33" s="1"/>
  <c r="J117" i="33"/>
  <c r="K117" i="33" s="1"/>
  <c r="J44" i="33"/>
  <c r="K44" i="33" s="1"/>
  <c r="J113" i="33"/>
  <c r="K113" i="33" s="1"/>
  <c r="J40" i="33"/>
  <c r="K40" i="33" s="1"/>
  <c r="J109" i="33"/>
  <c r="K109" i="33" s="1"/>
  <c r="J36" i="33"/>
  <c r="K36" i="33" s="1"/>
  <c r="J31" i="33"/>
  <c r="K31" i="33" s="1"/>
  <c r="J104" i="33"/>
  <c r="K104" i="33" s="1"/>
  <c r="J47" i="33"/>
  <c r="K47" i="33" s="1"/>
  <c r="J120" i="33"/>
  <c r="K120" i="33" s="1"/>
  <c r="J110" i="33"/>
  <c r="K110" i="33" s="1"/>
  <c r="J37" i="33"/>
  <c r="K37" i="33" s="1"/>
  <c r="J102" i="33"/>
  <c r="J29" i="33"/>
  <c r="K29" i="33" s="1"/>
  <c r="J39" i="33"/>
  <c r="K39" i="33" s="1"/>
  <c r="J112" i="33"/>
  <c r="K112" i="33" s="1"/>
  <c r="J38" i="33"/>
  <c r="K38" i="33" s="1"/>
  <c r="J111" i="33"/>
  <c r="K111" i="33" s="1"/>
  <c r="J30" i="33"/>
  <c r="K30" i="33" s="1"/>
  <c r="J103" i="33"/>
  <c r="J43" i="33"/>
  <c r="K43" i="33" s="1"/>
  <c r="J116" i="33"/>
  <c r="K116" i="33" s="1"/>
  <c r="J105" i="33"/>
  <c r="K105" i="33" s="1"/>
  <c r="J32" i="33"/>
  <c r="K32" i="33" s="1"/>
  <c r="J126" i="33"/>
  <c r="K126" i="33" s="1"/>
  <c r="J53" i="33"/>
  <c r="K53" i="33" s="1"/>
  <c r="J122" i="33"/>
  <c r="K122" i="33" s="1"/>
  <c r="J49" i="33"/>
  <c r="K49" i="33" s="1"/>
  <c r="J118" i="33"/>
  <c r="K118" i="33" s="1"/>
  <c r="J45" i="33"/>
  <c r="K45" i="33" s="1"/>
  <c r="J114" i="33"/>
  <c r="K114" i="33" s="1"/>
  <c r="J41" i="33"/>
  <c r="K41" i="33" s="1"/>
  <c r="J35" i="33"/>
  <c r="K35" i="33" s="1"/>
  <c r="J108" i="33"/>
  <c r="K108" i="33" s="1"/>
  <c r="J51" i="33"/>
  <c r="K51" i="33" s="1"/>
  <c r="J124" i="33"/>
  <c r="K124" i="33" s="1"/>
  <c r="E3747" i="14"/>
  <c r="L28" i="33" l="1"/>
  <c r="L29" i="33" s="1"/>
  <c r="L30" i="33" s="1"/>
  <c r="L31" i="33" s="1"/>
  <c r="L32" i="33" s="1"/>
  <c r="L33" i="33" s="1"/>
  <c r="L34" i="33" s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L101" i="33"/>
  <c r="E7668" i="14"/>
  <c r="E7677" i="14" s="1"/>
  <c r="M145" i="73"/>
  <c r="M23" i="33" l="1"/>
  <c r="E7678" i="14"/>
  <c r="E1143" i="8" l="1"/>
  <c r="E1144" i="8"/>
  <c r="AG5" i="31"/>
  <c r="AG5" i="83"/>
  <c r="AG5" i="85"/>
  <c r="M152" i="73"/>
  <c r="AG5" i="84"/>
  <c r="K103" i="33" l="1"/>
  <c r="K102" i="33"/>
  <c r="L102" i="33" s="1"/>
  <c r="AS76" i="84" l="1"/>
  <c r="L103" i="33"/>
  <c r="L104" i="33" s="1"/>
  <c r="L105" i="33" s="1"/>
  <c r="L106" i="33" s="1"/>
  <c r="L107" i="33" s="1"/>
  <c r="L108" i="33" s="1"/>
  <c r="L109" i="33" s="1"/>
  <c r="L110" i="33" s="1"/>
  <c r="L111" i="33" s="1"/>
  <c r="L112" i="33" s="1"/>
  <c r="L113" i="33" s="1"/>
  <c r="L114" i="33" s="1"/>
  <c r="L115" i="33" s="1"/>
  <c r="L116" i="33" s="1"/>
  <c r="L117" i="33" s="1"/>
  <c r="L118" i="33" s="1"/>
  <c r="L119" i="33" s="1"/>
  <c r="L120" i="33" s="1"/>
  <c r="L121" i="33" s="1"/>
  <c r="L122" i="33" s="1"/>
  <c r="L123" i="33" s="1"/>
  <c r="L124" i="33" s="1"/>
  <c r="L125" i="33" s="1"/>
  <c r="L126" i="33" s="1"/>
  <c r="L127" i="33" s="1"/>
  <c r="L128" i="33" s="1"/>
  <c r="L129" i="33" s="1"/>
  <c r="L130" i="33" s="1"/>
  <c r="L131" i="33" s="1"/>
  <c r="L132" i="33" s="1"/>
  <c r="L133" i="33" s="1"/>
  <c r="L134" i="33" s="1"/>
  <c r="L135" i="33" s="1"/>
  <c r="L136" i="33" s="1"/>
  <c r="O96" i="33"/>
  <c r="M96" i="33"/>
  <c r="P96" i="33"/>
  <c r="N96" i="33"/>
  <c r="M59" i="33"/>
  <c r="E230" i="30"/>
  <c r="F230" i="30" s="1"/>
  <c r="E32" i="30" s="1"/>
  <c r="E2384" i="14" l="1"/>
  <c r="E2323" i="14"/>
  <c r="E2299" i="14"/>
  <c r="E2326" i="14"/>
  <c r="P98" i="33"/>
  <c r="N98" i="33"/>
  <c r="O98" i="33"/>
  <c r="M97" i="33"/>
  <c r="P97" i="33"/>
  <c r="M98" i="33"/>
  <c r="N97" i="33"/>
  <c r="O97" i="33"/>
  <c r="M99" i="33"/>
  <c r="O99" i="33"/>
  <c r="M26" i="33"/>
  <c r="P99" i="33"/>
  <c r="M24" i="33"/>
  <c r="N99" i="33"/>
  <c r="N124" i="33"/>
  <c r="M120" i="33"/>
  <c r="N119" i="33"/>
  <c r="N125" i="33"/>
  <c r="P116" i="33"/>
  <c r="M128" i="33"/>
  <c r="O130" i="33"/>
  <c r="P126" i="33"/>
  <c r="P110" i="33"/>
  <c r="M115" i="33"/>
  <c r="N116" i="33"/>
  <c r="M131" i="33"/>
  <c r="O118" i="33"/>
  <c r="P122" i="33"/>
  <c r="N109" i="33"/>
  <c r="M109" i="33"/>
  <c r="P114" i="33"/>
  <c r="O128" i="33"/>
  <c r="O127" i="33"/>
  <c r="M100" i="33"/>
  <c r="M125" i="33"/>
  <c r="P136" i="33"/>
  <c r="P129" i="33"/>
  <c r="P124" i="33"/>
  <c r="P111" i="33"/>
  <c r="O111" i="33"/>
  <c r="N133" i="33"/>
  <c r="N100" i="33"/>
  <c r="O103" i="33"/>
  <c r="M129" i="33"/>
  <c r="O135" i="33"/>
  <c r="N102" i="33"/>
  <c r="M132" i="33"/>
  <c r="M122" i="33"/>
  <c r="O100" i="33"/>
  <c r="O102" i="33"/>
  <c r="M117" i="33"/>
  <c r="M104" i="33"/>
  <c r="P131" i="33"/>
  <c r="N132" i="33"/>
  <c r="M124" i="33"/>
  <c r="M123" i="33"/>
  <c r="O121" i="33"/>
  <c r="P108" i="33"/>
  <c r="O105" i="33"/>
  <c r="P105" i="33"/>
  <c r="M126" i="33"/>
  <c r="P127" i="33"/>
  <c r="M127" i="33"/>
  <c r="O101" i="33"/>
  <c r="N110" i="33"/>
  <c r="N135" i="33"/>
  <c r="M136" i="33"/>
  <c r="N115" i="33"/>
  <c r="M133" i="33"/>
  <c r="O110" i="33"/>
  <c r="O120" i="33"/>
  <c r="M108" i="33"/>
  <c r="M130" i="33"/>
  <c r="P117" i="33"/>
  <c r="M116" i="33"/>
  <c r="O106" i="33"/>
  <c r="N114" i="33"/>
  <c r="N120" i="33"/>
  <c r="O122" i="33"/>
  <c r="N123" i="33"/>
  <c r="M119" i="33"/>
  <c r="O114" i="33"/>
  <c r="P118" i="33"/>
  <c r="O116" i="33"/>
  <c r="O132" i="33"/>
  <c r="O125" i="33"/>
  <c r="P102" i="33"/>
  <c r="P123" i="33"/>
  <c r="O136" i="33"/>
  <c r="N121" i="33"/>
  <c r="O133" i="33"/>
  <c r="M114" i="33"/>
  <c r="M101" i="33"/>
  <c r="N105" i="33"/>
  <c r="N107" i="33"/>
  <c r="P121" i="33"/>
  <c r="M107" i="33"/>
  <c r="N112" i="33"/>
  <c r="N108" i="33"/>
  <c r="M106" i="33"/>
  <c r="P125" i="33"/>
  <c r="P115" i="33"/>
  <c r="N101" i="33"/>
  <c r="N106" i="33"/>
  <c r="P104" i="33"/>
  <c r="N122" i="33"/>
  <c r="O109" i="33"/>
  <c r="M112" i="33"/>
  <c r="N111" i="33"/>
  <c r="O124" i="33"/>
  <c r="P113" i="33"/>
  <c r="O115" i="33"/>
  <c r="O134" i="33"/>
  <c r="N126" i="33"/>
  <c r="O117" i="33"/>
  <c r="P128" i="33"/>
  <c r="P112" i="33"/>
  <c r="P135" i="33"/>
  <c r="P103" i="33"/>
  <c r="N129" i="33"/>
  <c r="P101" i="33"/>
  <c r="M111" i="33"/>
  <c r="P120" i="33"/>
  <c r="O112" i="33"/>
  <c r="N131" i="33"/>
  <c r="O131" i="33"/>
  <c r="M121" i="33"/>
  <c r="P109" i="33"/>
  <c r="P133" i="33"/>
  <c r="N134" i="33"/>
  <c r="P130" i="33"/>
  <c r="O126" i="33"/>
  <c r="P134" i="33"/>
  <c r="N127" i="33"/>
  <c r="O108" i="33"/>
  <c r="P106" i="33"/>
  <c r="P132" i="33"/>
  <c r="O104" i="33"/>
  <c r="O129" i="33"/>
  <c r="M113" i="33"/>
  <c r="M135" i="33"/>
  <c r="M103" i="33"/>
  <c r="N118" i="33"/>
  <c r="O119" i="33"/>
  <c r="N136" i="33"/>
  <c r="N104" i="33"/>
  <c r="N113" i="33"/>
  <c r="M105" i="33"/>
  <c r="N103" i="33"/>
  <c r="N128" i="33"/>
  <c r="N130" i="33"/>
  <c r="M110" i="33"/>
  <c r="M102" i="33"/>
  <c r="M118" i="33"/>
  <c r="O107" i="33"/>
  <c r="P119" i="33"/>
  <c r="P100" i="33"/>
  <c r="N117" i="33"/>
  <c r="M134" i="33"/>
  <c r="O113" i="33"/>
  <c r="O123" i="33"/>
  <c r="P107" i="33"/>
  <c r="M27" i="33"/>
  <c r="M34" i="33"/>
  <c r="M52" i="33"/>
  <c r="M43" i="33"/>
  <c r="M57" i="33"/>
  <c r="M62" i="33"/>
  <c r="M25" i="33"/>
  <c r="M49" i="33"/>
  <c r="M61" i="33"/>
  <c r="M41" i="33"/>
  <c r="M55" i="33"/>
  <c r="M33" i="33"/>
  <c r="M51" i="33"/>
  <c r="M56" i="33"/>
  <c r="M28" i="33"/>
  <c r="M58" i="33"/>
  <c r="M32" i="33"/>
  <c r="M45" i="33"/>
  <c r="M30" i="33"/>
  <c r="M46" i="33"/>
  <c r="M47" i="33"/>
  <c r="M36" i="33"/>
  <c r="M37" i="33"/>
  <c r="M38" i="33"/>
  <c r="M35" i="33"/>
  <c r="M31" i="33"/>
  <c r="M54" i="33"/>
  <c r="M48" i="33"/>
  <c r="M42" i="33"/>
  <c r="M29" i="33"/>
  <c r="M44" i="33"/>
  <c r="M63" i="33"/>
  <c r="M40" i="33"/>
  <c r="M39" i="33"/>
  <c r="M53" i="33"/>
  <c r="M60" i="33"/>
  <c r="C71" i="33"/>
  <c r="C5" i="33" s="1"/>
  <c r="M50" i="33"/>
  <c r="C144" i="33"/>
  <c r="C78" i="33" s="1"/>
  <c r="E2329" i="14" l="1"/>
  <c r="E2327" i="14"/>
  <c r="E2320" i="14"/>
  <c r="E2321" i="14" l="1"/>
  <c r="E2324" i="14"/>
  <c r="AK192" i="83" l="1"/>
  <c r="AK193" i="84"/>
  <c r="AK185" i="84" l="1"/>
  <c r="P12" i="85" l="1"/>
  <c r="AB12" i="85"/>
  <c r="P12" i="83"/>
  <c r="AA12" i="83"/>
  <c r="AB12" i="83"/>
  <c r="Z12" i="83"/>
  <c r="E3571" i="14"/>
  <c r="E3575" i="14"/>
  <c r="E3537" i="14"/>
  <c r="E3541" i="14"/>
  <c r="E2069" i="35" l="1"/>
  <c r="E2070" i="35" s="1"/>
  <c r="E1927" i="35"/>
  <c r="E1928" i="35" s="1"/>
  <c r="E931" i="35"/>
  <c r="E789" i="35"/>
  <c r="T12" i="85"/>
  <c r="AB38" i="85"/>
  <c r="AA12" i="85"/>
  <c r="AB51" i="31"/>
  <c r="P38" i="85"/>
  <c r="P51" i="31"/>
  <c r="T12" i="84"/>
  <c r="W51" i="83"/>
  <c r="P12" i="84"/>
  <c r="P38" i="83"/>
  <c r="AB12" i="84"/>
  <c r="AA12" i="84"/>
  <c r="T51" i="31"/>
  <c r="Y12" i="83"/>
  <c r="Z38" i="83"/>
  <c r="Z51" i="83" s="1"/>
  <c r="T12" i="83"/>
  <c r="X51" i="83"/>
  <c r="AA38" i="83"/>
  <c r="AA51" i="83" s="1"/>
  <c r="AB38" i="83"/>
  <c r="AB51" i="83" s="1"/>
  <c r="E2079" i="35" l="1"/>
  <c r="E1937" i="35"/>
  <c r="E932" i="35"/>
  <c r="E941" i="35"/>
  <c r="E790" i="35"/>
  <c r="E799" i="35"/>
  <c r="E3719" i="14"/>
  <c r="E3709" i="14"/>
  <c r="E3710" i="14"/>
  <c r="E3702" i="14"/>
  <c r="E3706" i="14"/>
  <c r="E3689" i="14"/>
  <c r="E3692" i="14"/>
  <c r="E3693" i="14"/>
  <c r="E3691" i="14"/>
  <c r="E3685" i="14"/>
  <c r="X51" i="31"/>
  <c r="T38" i="85"/>
  <c r="E3723" i="14"/>
  <c r="AB38" i="84"/>
  <c r="E3676" i="14"/>
  <c r="AA38" i="85"/>
  <c r="E3726" i="14"/>
  <c r="E3727" i="14"/>
  <c r="T38" i="84"/>
  <c r="AA38" i="84"/>
  <c r="E3668" i="14"/>
  <c r="P38" i="84"/>
  <c r="S13" i="85"/>
  <c r="S39" i="85" s="1"/>
  <c r="AA13" i="31"/>
  <c r="AA39" i="31" s="1"/>
  <c r="E3675" i="14"/>
  <c r="E3672" i="14"/>
  <c r="Y38" i="83"/>
  <c r="T38" i="83"/>
  <c r="T51" i="83" s="1"/>
  <c r="Z12" i="84"/>
  <c r="E3674" i="14"/>
  <c r="S12" i="84"/>
  <c r="S38" i="84" s="1"/>
  <c r="E3708" i="14"/>
  <c r="E3718" i="14"/>
  <c r="E3684" i="14"/>
  <c r="E3705" i="14"/>
  <c r="E3688" i="14"/>
  <c r="E3722" i="14"/>
  <c r="E2222" i="35" l="1"/>
  <c r="E2269" i="35"/>
  <c r="E2080" i="35"/>
  <c r="E2081" i="35" s="1"/>
  <c r="E2127" i="35"/>
  <c r="AA8" i="83"/>
  <c r="Z8" i="83"/>
  <c r="AB8" i="83"/>
  <c r="T8" i="83"/>
  <c r="S8" i="83"/>
  <c r="W14" i="85"/>
  <c r="W40" i="85" s="1"/>
  <c r="E1938" i="35"/>
  <c r="E1939" i="35" s="1"/>
  <c r="E1985" i="35"/>
  <c r="P13" i="31"/>
  <c r="E1653" i="35"/>
  <c r="E1558" i="35"/>
  <c r="E1700" i="35"/>
  <c r="E1511" i="35"/>
  <c r="E1606" i="35"/>
  <c r="E1416" i="35"/>
  <c r="E942" i="35"/>
  <c r="E943" i="35" s="1"/>
  <c r="E1084" i="35"/>
  <c r="E847" i="35"/>
  <c r="E989" i="35"/>
  <c r="E1037" i="35"/>
  <c r="E1131" i="35"/>
  <c r="E800" i="35"/>
  <c r="E801" i="35" s="1"/>
  <c r="E468" i="35"/>
  <c r="E515" i="35"/>
  <c r="E420" i="35"/>
  <c r="E562" i="35"/>
  <c r="E278" i="35"/>
  <c r="T13" i="84"/>
  <c r="P13" i="84"/>
  <c r="P39" i="84" s="1"/>
  <c r="AB13" i="84"/>
  <c r="AA13" i="84"/>
  <c r="AA39" i="84" s="1"/>
  <c r="AB13" i="85"/>
  <c r="Z13" i="31"/>
  <c r="Z39" i="31" s="1"/>
  <c r="P13" i="85"/>
  <c r="S12" i="85"/>
  <c r="T13" i="83"/>
  <c r="Y12" i="84"/>
  <c r="Z38" i="84"/>
  <c r="P13" i="83"/>
  <c r="AB13" i="83"/>
  <c r="AA13" i="83"/>
  <c r="Z13" i="83"/>
  <c r="AO14" i="83" l="1"/>
  <c r="Z9" i="83"/>
  <c r="Z26" i="83" s="1"/>
  <c r="Y8" i="83"/>
  <c r="Y34" i="83" s="1"/>
  <c r="AB9" i="83"/>
  <c r="AB26" i="83" s="1"/>
  <c r="AA9" i="83"/>
  <c r="AA26" i="83" s="1"/>
  <c r="S9" i="83"/>
  <c r="T9" i="83"/>
  <c r="P8" i="83"/>
  <c r="X8" i="83"/>
  <c r="E408" i="36"/>
  <c r="W8" i="83"/>
  <c r="E380" i="36"/>
  <c r="O8" i="83"/>
  <c r="X14" i="85"/>
  <c r="X40" i="85" s="1"/>
  <c r="O13" i="85"/>
  <c r="O39" i="85" s="1"/>
  <c r="P14" i="83"/>
  <c r="AA14" i="31"/>
  <c r="AA40" i="31" s="1"/>
  <c r="AB13" i="31"/>
  <c r="T13" i="31"/>
  <c r="P14" i="31"/>
  <c r="P15" i="83"/>
  <c r="T13" i="85"/>
  <c r="T39" i="84"/>
  <c r="AB39" i="85"/>
  <c r="S38" i="85"/>
  <c r="P39" i="85"/>
  <c r="AB14" i="85"/>
  <c r="T14" i="84"/>
  <c r="AB39" i="84"/>
  <c r="AB52" i="31"/>
  <c r="AA13" i="85"/>
  <c r="AA14" i="84"/>
  <c r="P14" i="84"/>
  <c r="W52" i="83"/>
  <c r="AB14" i="84"/>
  <c r="S14" i="85"/>
  <c r="S40" i="85" s="1"/>
  <c r="T39" i="83"/>
  <c r="T52" i="83" s="1"/>
  <c r="P14" i="85"/>
  <c r="P39" i="83"/>
  <c r="T14" i="83"/>
  <c r="P41" i="83"/>
  <c r="P40" i="83"/>
  <c r="Z13" i="84"/>
  <c r="Z39" i="84" s="1"/>
  <c r="O12" i="85"/>
  <c r="Y38" i="84"/>
  <c r="T52" i="31"/>
  <c r="X52" i="83"/>
  <c r="AB39" i="83"/>
  <c r="AB52" i="83" s="1"/>
  <c r="Z39" i="83"/>
  <c r="Z52" i="83" s="1"/>
  <c r="AA39" i="83"/>
  <c r="AA52" i="83" s="1"/>
  <c r="Y13" i="83"/>
  <c r="AB14" i="83"/>
  <c r="AA14" i="83"/>
  <c r="AR101" i="83"/>
  <c r="Z14" i="83"/>
  <c r="P52" i="31"/>
  <c r="O13" i="83"/>
  <c r="O39" i="83" s="1"/>
  <c r="O52" i="83" s="1"/>
  <c r="S13" i="83"/>
  <c r="S39" i="83" s="1"/>
  <c r="S13" i="84"/>
  <c r="S39" i="84" s="1"/>
  <c r="S12" i="83"/>
  <c r="O12" i="83"/>
  <c r="O38" i="83" s="1"/>
  <c r="Z27" i="83" l="1"/>
  <c r="AB22" i="83"/>
  <c r="AB29" i="83"/>
  <c r="AB24" i="83"/>
  <c r="AB23" i="83"/>
  <c r="AB25" i="83"/>
  <c r="Z22" i="83"/>
  <c r="Y9" i="83"/>
  <c r="Y26" i="83" s="1"/>
  <c r="Z23" i="83"/>
  <c r="Z29" i="83"/>
  <c r="Z24" i="83"/>
  <c r="Z25" i="83"/>
  <c r="AA22" i="83"/>
  <c r="AA29" i="83"/>
  <c r="AA23" i="83"/>
  <c r="AA24" i="83"/>
  <c r="AA25" i="83"/>
  <c r="T22" i="83"/>
  <c r="T29" i="83"/>
  <c r="T24" i="83"/>
  <c r="T23" i="83"/>
  <c r="T25" i="83"/>
  <c r="S22" i="83"/>
  <c r="S24" i="83"/>
  <c r="S29" i="83"/>
  <c r="S23" i="83"/>
  <c r="T26" i="83"/>
  <c r="O9" i="83"/>
  <c r="O26" i="83" s="1"/>
  <c r="E420" i="36"/>
  <c r="E427" i="36"/>
  <c r="X9" i="83"/>
  <c r="X27" i="83" s="1"/>
  <c r="W9" i="83"/>
  <c r="W28" i="83" s="1"/>
  <c r="E399" i="36"/>
  <c r="E392" i="36"/>
  <c r="P9" i="83"/>
  <c r="X14" i="84"/>
  <c r="X40" i="84" s="1"/>
  <c r="P17" i="31"/>
  <c r="AB14" i="31"/>
  <c r="Z14" i="31"/>
  <c r="Z40" i="31" s="1"/>
  <c r="T14" i="31"/>
  <c r="P78" i="83"/>
  <c r="P67" i="83" s="1"/>
  <c r="Z79" i="31"/>
  <c r="Z69" i="31" s="1"/>
  <c r="Y69" i="31" s="1"/>
  <c r="S15" i="85"/>
  <c r="S41" i="85" s="1"/>
  <c r="AR103" i="31"/>
  <c r="T39" i="85"/>
  <c r="T14" i="85"/>
  <c r="AB40" i="85"/>
  <c r="P40" i="85"/>
  <c r="T40" i="84"/>
  <c r="AA14" i="85"/>
  <c r="AB15" i="85"/>
  <c r="T15" i="84"/>
  <c r="AB53" i="31"/>
  <c r="O38" i="85"/>
  <c r="AB40" i="84"/>
  <c r="AA39" i="85"/>
  <c r="Y13" i="84"/>
  <c r="Y39" i="84" s="1"/>
  <c r="W53" i="83"/>
  <c r="AB15" i="84"/>
  <c r="P15" i="84"/>
  <c r="P40" i="84"/>
  <c r="W54" i="83"/>
  <c r="AA15" i="84"/>
  <c r="AA40" i="84"/>
  <c r="Y13" i="31"/>
  <c r="Y39" i="31" s="1"/>
  <c r="O14" i="85"/>
  <c r="O40" i="85" s="1"/>
  <c r="T27" i="83"/>
  <c r="T40" i="83"/>
  <c r="T53" i="83" s="1"/>
  <c r="T15" i="83"/>
  <c r="P15" i="85"/>
  <c r="Z14" i="84"/>
  <c r="AR101" i="84"/>
  <c r="X53" i="83"/>
  <c r="Y39" i="83"/>
  <c r="AA40" i="83"/>
  <c r="AA53" i="83" s="1"/>
  <c r="AA27" i="83"/>
  <c r="T53" i="31"/>
  <c r="AB40" i="83"/>
  <c r="AB53" i="83" s="1"/>
  <c r="AB27" i="83"/>
  <c r="AB15" i="83"/>
  <c r="AA15" i="83"/>
  <c r="Z40" i="83"/>
  <c r="Z53" i="83" s="1"/>
  <c r="Y14" i="83"/>
  <c r="Z15" i="83"/>
  <c r="Z28" i="83" s="1"/>
  <c r="S25" i="83"/>
  <c r="S38" i="83"/>
  <c r="S51" i="83" s="1"/>
  <c r="P53" i="31"/>
  <c r="X54" i="31"/>
  <c r="O51" i="83"/>
  <c r="S14" i="83"/>
  <c r="S40" i="83" s="1"/>
  <c r="S14" i="84"/>
  <c r="S40" i="84" s="1"/>
  <c r="S52" i="83"/>
  <c r="S26" i="83"/>
  <c r="O14" i="83"/>
  <c r="O25" i="83" l="1"/>
  <c r="W27" i="83"/>
  <c r="Y22" i="83"/>
  <c r="Y35" i="83"/>
  <c r="Y52" i="83" s="1"/>
  <c r="Y24" i="83"/>
  <c r="Y29" i="83"/>
  <c r="Y23" i="83"/>
  <c r="Y25" i="83"/>
  <c r="O22" i="83"/>
  <c r="O24" i="83"/>
  <c r="O29" i="83"/>
  <c r="O23" i="83"/>
  <c r="P35" i="83"/>
  <c r="P24" i="83"/>
  <c r="P22" i="83"/>
  <c r="P29" i="83"/>
  <c r="P23" i="83"/>
  <c r="P25" i="83"/>
  <c r="P28" i="83"/>
  <c r="P26" i="83"/>
  <c r="P27" i="83"/>
  <c r="W22" i="83"/>
  <c r="W29" i="83"/>
  <c r="W24" i="83"/>
  <c r="W23" i="83"/>
  <c r="W25" i="83"/>
  <c r="W26" i="83"/>
  <c r="X22" i="83"/>
  <c r="X29" i="83"/>
  <c r="X24" i="83"/>
  <c r="X23" i="83"/>
  <c r="X25" i="83"/>
  <c r="X26" i="83"/>
  <c r="W73" i="85"/>
  <c r="T17" i="31"/>
  <c r="AA17" i="31"/>
  <c r="AA43" i="31" s="1"/>
  <c r="S17" i="85"/>
  <c r="S43" i="85" s="1"/>
  <c r="AB17" i="31"/>
  <c r="Z15" i="84"/>
  <c r="Z41" i="84" s="1"/>
  <c r="O15" i="85"/>
  <c r="O41" i="85" s="1"/>
  <c r="P73" i="83"/>
  <c r="P72" i="83" s="1"/>
  <c r="S78" i="83"/>
  <c r="O78" i="83"/>
  <c r="O67" i="83" s="1"/>
  <c r="S78" i="84"/>
  <c r="S78" i="85"/>
  <c r="Z79" i="84"/>
  <c r="Z69" i="84" s="1"/>
  <c r="Y69" i="84" s="1"/>
  <c r="T15" i="85"/>
  <c r="T40" i="85"/>
  <c r="AB41" i="85"/>
  <c r="AB54" i="31"/>
  <c r="T17" i="84"/>
  <c r="AA40" i="85"/>
  <c r="P41" i="85"/>
  <c r="AA15" i="85"/>
  <c r="AB41" i="84"/>
  <c r="T41" i="84"/>
  <c r="AB78" i="85"/>
  <c r="AB17" i="85"/>
  <c r="AA41" i="84"/>
  <c r="P17" i="84"/>
  <c r="AA17" i="84"/>
  <c r="AB78" i="84"/>
  <c r="AB17" i="84"/>
  <c r="P41" i="84"/>
  <c r="Z78" i="84"/>
  <c r="T41" i="83"/>
  <c r="T54" i="83" s="1"/>
  <c r="T28" i="83"/>
  <c r="T17" i="83"/>
  <c r="P17" i="85"/>
  <c r="Z40" i="84"/>
  <c r="Y14" i="84"/>
  <c r="T54" i="31"/>
  <c r="X54" i="83"/>
  <c r="X28" i="83"/>
  <c r="AA41" i="83"/>
  <c r="AA54" i="83" s="1"/>
  <c r="AA28" i="83"/>
  <c r="Y40" i="83"/>
  <c r="Y27" i="83"/>
  <c r="AB41" i="83"/>
  <c r="AB54" i="83" s="1"/>
  <c r="AB28" i="83"/>
  <c r="AB78" i="83"/>
  <c r="AB17" i="83"/>
  <c r="AA17" i="83"/>
  <c r="Z41" i="83"/>
  <c r="Z54" i="83" s="1"/>
  <c r="Y15" i="83"/>
  <c r="AO15" i="83"/>
  <c r="AR105" i="83"/>
  <c r="Z17" i="83"/>
  <c r="Z30" i="83" s="1"/>
  <c r="T78" i="31"/>
  <c r="O40" i="83"/>
  <c r="O53" i="83" s="1"/>
  <c r="P17" i="83"/>
  <c r="P54" i="31"/>
  <c r="P78" i="31"/>
  <c r="P67" i="31" s="1"/>
  <c r="P73" i="31" s="1"/>
  <c r="X56" i="31"/>
  <c r="O27" i="83"/>
  <c r="S15" i="83"/>
  <c r="S41" i="83" s="1"/>
  <c r="S15" i="84"/>
  <c r="S41" i="84" s="1"/>
  <c r="S53" i="83"/>
  <c r="S27" i="83"/>
  <c r="O15" i="83"/>
  <c r="Y12" i="31"/>
  <c r="Y38" i="31" s="1"/>
  <c r="Y53" i="83" l="1"/>
  <c r="Y48" i="83"/>
  <c r="Y50" i="83"/>
  <c r="Y55" i="83"/>
  <c r="Y49" i="83"/>
  <c r="Y51" i="83"/>
  <c r="P48" i="83"/>
  <c r="P50" i="83"/>
  <c r="P55" i="83"/>
  <c r="P49" i="83"/>
  <c r="P51" i="83"/>
  <c r="P54" i="83"/>
  <c r="P53" i="83"/>
  <c r="P52" i="83"/>
  <c r="Z67" i="84"/>
  <c r="W72" i="85"/>
  <c r="W74" i="85"/>
  <c r="AB67" i="83"/>
  <c r="AB73" i="83" s="1"/>
  <c r="AB67" i="85"/>
  <c r="AB73" i="85" s="1"/>
  <c r="S67" i="83"/>
  <c r="S73" i="83" s="1"/>
  <c r="AB67" i="84"/>
  <c r="AB73" i="84" s="1"/>
  <c r="S67" i="85"/>
  <c r="S73" i="85" s="1"/>
  <c r="S67" i="84"/>
  <c r="S73" i="84" s="1"/>
  <c r="Y15" i="84"/>
  <c r="Y41" i="84" s="1"/>
  <c r="AR105" i="84"/>
  <c r="O17" i="85"/>
  <c r="O43" i="85" s="1"/>
  <c r="AO15" i="84"/>
  <c r="P74" i="83"/>
  <c r="T67" i="31"/>
  <c r="T73" i="31" s="1"/>
  <c r="O73" i="83"/>
  <c r="X73" i="31"/>
  <c r="AA78" i="84"/>
  <c r="P78" i="84"/>
  <c r="P67" i="84" s="1"/>
  <c r="O78" i="85"/>
  <c r="O67" i="85" s="1"/>
  <c r="T78" i="84"/>
  <c r="P72" i="31"/>
  <c r="P74" i="31"/>
  <c r="P78" i="85"/>
  <c r="P67" i="85" s="1"/>
  <c r="T78" i="83"/>
  <c r="Z78" i="83"/>
  <c r="Z67" i="83" s="1"/>
  <c r="AA78" i="83"/>
  <c r="Z17" i="84"/>
  <c r="Z43" i="84" s="1"/>
  <c r="T17" i="85"/>
  <c r="T41" i="85"/>
  <c r="AB43" i="85"/>
  <c r="AA17" i="85"/>
  <c r="AA41" i="85"/>
  <c r="AB56" i="31"/>
  <c r="AB43" i="84"/>
  <c r="P43" i="85"/>
  <c r="T43" i="84"/>
  <c r="Y40" i="84"/>
  <c r="AA43" i="84"/>
  <c r="P43" i="84"/>
  <c r="W56" i="83"/>
  <c r="W30" i="83"/>
  <c r="P30" i="83"/>
  <c r="P43" i="83"/>
  <c r="P56" i="83" s="1"/>
  <c r="T43" i="83"/>
  <c r="T56" i="83" s="1"/>
  <c r="T30" i="83"/>
  <c r="Y41" i="83"/>
  <c r="Y54" i="83" s="1"/>
  <c r="Y28" i="83"/>
  <c r="T56" i="31"/>
  <c r="AB43" i="83"/>
  <c r="AB56" i="83" s="1"/>
  <c r="AB30" i="83"/>
  <c r="AA43" i="83"/>
  <c r="AA56" i="83" s="1"/>
  <c r="AA30" i="83"/>
  <c r="X56" i="83"/>
  <c r="X30" i="83"/>
  <c r="Z43" i="83"/>
  <c r="Z56" i="83" s="1"/>
  <c r="Y17" i="83"/>
  <c r="O41" i="83"/>
  <c r="O54" i="83" s="1"/>
  <c r="P56" i="31"/>
  <c r="O28" i="83"/>
  <c r="S17" i="84"/>
  <c r="S43" i="84" s="1"/>
  <c r="S17" i="83"/>
  <c r="S43" i="83" s="1"/>
  <c r="S54" i="83"/>
  <c r="S28" i="83"/>
  <c r="Y14" i="31"/>
  <c r="Y40" i="31" s="1"/>
  <c r="S72" i="83" l="1"/>
  <c r="S74" i="83"/>
  <c r="S74" i="84"/>
  <c r="S72" i="84"/>
  <c r="AB74" i="85"/>
  <c r="AB72" i="85"/>
  <c r="S74" i="85"/>
  <c r="S72" i="85"/>
  <c r="AB72" i="83"/>
  <c r="AB74" i="83"/>
  <c r="AB72" i="84"/>
  <c r="AB74" i="84"/>
  <c r="X73" i="85"/>
  <c r="X73" i="83"/>
  <c r="AA67" i="83"/>
  <c r="AA73" i="83" s="1"/>
  <c r="AA67" i="84"/>
  <c r="Y67" i="84" s="1"/>
  <c r="Y68" i="84" s="1"/>
  <c r="T67" i="83"/>
  <c r="T73" i="83" s="1"/>
  <c r="T67" i="84"/>
  <c r="T73" i="84" s="1"/>
  <c r="X74" i="31"/>
  <c r="X72" i="31"/>
  <c r="O74" i="83"/>
  <c r="O72" i="83"/>
  <c r="T74" i="31"/>
  <c r="T72" i="31"/>
  <c r="P73" i="84"/>
  <c r="P73" i="85"/>
  <c r="O73" i="85"/>
  <c r="AA78" i="85"/>
  <c r="Z73" i="84"/>
  <c r="T78" i="85"/>
  <c r="Z73" i="83"/>
  <c r="Y17" i="84"/>
  <c r="Y43" i="84" s="1"/>
  <c r="T43" i="85"/>
  <c r="AA43" i="85"/>
  <c r="Y43" i="83"/>
  <c r="Y56" i="83" s="1"/>
  <c r="Y30" i="83"/>
  <c r="O17" i="83"/>
  <c r="S56" i="83"/>
  <c r="S30" i="83"/>
  <c r="AA72" i="83" l="1"/>
  <c r="AA74" i="83"/>
  <c r="X74" i="83"/>
  <c r="X72" i="83"/>
  <c r="X72" i="85"/>
  <c r="X74" i="85"/>
  <c r="Y67" i="83"/>
  <c r="Y68" i="83" s="1"/>
  <c r="Y73" i="83" s="1"/>
  <c r="Y72" i="83" s="1"/>
  <c r="T72" i="84"/>
  <c r="T74" i="84"/>
  <c r="T74" i="83"/>
  <c r="T72" i="83"/>
  <c r="T67" i="85"/>
  <c r="T73" i="85" s="1"/>
  <c r="X73" i="84"/>
  <c r="AA73" i="84"/>
  <c r="AA67" i="85"/>
  <c r="AA73" i="85" s="1"/>
  <c r="O72" i="85"/>
  <c r="O74" i="85"/>
  <c r="P74" i="85"/>
  <c r="P72" i="85"/>
  <c r="Y73" i="84"/>
  <c r="Y72" i="84" s="1"/>
  <c r="P74" i="84"/>
  <c r="P72" i="84"/>
  <c r="Z74" i="84"/>
  <c r="Z72" i="84"/>
  <c r="Z74" i="83"/>
  <c r="Z72" i="83"/>
  <c r="O43" i="83"/>
  <c r="O56" i="83" s="1"/>
  <c r="O30" i="83"/>
  <c r="T74" i="85" l="1"/>
  <c r="T72" i="85"/>
  <c r="X74" i="84"/>
  <c r="X72" i="84"/>
  <c r="AA72" i="85"/>
  <c r="AA74" i="85"/>
  <c r="AA74" i="84"/>
  <c r="AA72" i="84"/>
  <c r="Y74" i="84"/>
  <c r="Y74" i="83"/>
  <c r="AB78" i="31" l="1"/>
  <c r="AA78" i="31"/>
  <c r="Z78" i="31"/>
  <c r="Z67" i="31" s="1"/>
  <c r="AA67" i="31" l="1"/>
  <c r="AA73" i="31" s="1"/>
  <c r="AB67" i="31"/>
  <c r="AB73" i="31" s="1"/>
  <c r="Z73" i="31"/>
  <c r="Y67" i="31" l="1"/>
  <c r="Y68" i="31" s="1"/>
  <c r="AA74" i="31"/>
  <c r="AA72" i="31"/>
  <c r="AB74" i="31"/>
  <c r="AB72" i="31"/>
  <c r="Z74" i="31"/>
  <c r="Z72" i="31"/>
  <c r="Y73" i="31" l="1"/>
  <c r="Y72" i="31" s="1"/>
  <c r="Y74" i="31" l="1"/>
  <c r="AK196" i="31"/>
  <c r="E2713" i="14" l="1"/>
  <c r="E2715" i="14" s="1"/>
  <c r="E2697" i="14"/>
  <c r="E2699" i="14" s="1"/>
  <c r="E2703" i="14"/>
  <c r="E2705" i="14" s="1"/>
  <c r="E2725" i="14" l="1"/>
  <c r="E2727" i="14" s="1"/>
  <c r="E2747" i="14"/>
  <c r="E2749" i="14" s="1"/>
  <c r="E2741" i="14"/>
  <c r="E2743" i="14" s="1"/>
  <c r="E2735" i="14"/>
  <c r="E2737" i="14" s="1"/>
  <c r="E2691" i="14"/>
  <c r="E2693" i="14" s="1"/>
  <c r="E2707" i="14" s="1"/>
  <c r="E2719" i="14"/>
  <c r="E2721" i="14" s="1"/>
  <c r="E2729" i="14" l="1"/>
  <c r="E2751" i="14"/>
  <c r="E2173" i="14" l="1"/>
  <c r="E2174" i="14" s="1"/>
  <c r="E2168" i="14" l="1"/>
  <c r="E2171" i="14"/>
  <c r="E2140" i="14"/>
  <c r="E2165" i="14" s="1"/>
  <c r="E2169" i="14" s="1"/>
  <c r="E2166" i="14" l="1"/>
  <c r="E2172" i="14"/>
  <c r="E2176" i="14"/>
  <c r="E427" i="8" l="1"/>
  <c r="E129" i="73" l="1"/>
  <c r="E127" i="73"/>
  <c r="E128" i="73"/>
  <c r="E429" i="8"/>
  <c r="E2757" i="14" l="1"/>
  <c r="AS80" i="31"/>
  <c r="E130" i="73" l="1"/>
  <c r="AO16" i="31"/>
  <c r="E143" i="35" l="1"/>
  <c r="E144" i="35" s="1"/>
  <c r="E111" i="35"/>
  <c r="E118" i="35"/>
  <c r="E96" i="35"/>
  <c r="E97" i="35" s="1"/>
  <c r="E64" i="35"/>
  <c r="E71" i="35"/>
  <c r="E65" i="35" l="1"/>
  <c r="E86" i="35"/>
  <c r="E134" i="35"/>
  <c r="E121" i="35"/>
  <c r="E122" i="35" s="1"/>
  <c r="E87" i="35"/>
  <c r="E74" i="35"/>
  <c r="E75" i="35" s="1"/>
  <c r="E133" i="35"/>
  <c r="E112" i="35"/>
  <c r="E1842" i="35" l="1"/>
  <c r="E1795" i="35"/>
  <c r="AK188" i="31"/>
  <c r="E135" i="35" l="1"/>
  <c r="E1797" i="35"/>
  <c r="E1844" i="35"/>
  <c r="E88" i="35"/>
  <c r="E704" i="35"/>
  <c r="E657" i="35"/>
  <c r="E1273" i="35"/>
  <c r="E1226" i="35"/>
  <c r="E267" i="36" l="1"/>
  <c r="T8" i="31"/>
  <c r="AB8" i="31"/>
  <c r="E1275" i="35"/>
  <c r="E706" i="35"/>
  <c r="E137" i="35"/>
  <c r="E659" i="35"/>
  <c r="E279" i="36" l="1"/>
  <c r="E286" i="36"/>
  <c r="Z8" i="31"/>
  <c r="Z34" i="31" s="1"/>
  <c r="AB9" i="31"/>
  <c r="AA8" i="31"/>
  <c r="AA8" i="85"/>
  <c r="AA34" i="85" s="1"/>
  <c r="P8" i="84"/>
  <c r="P34" i="84" s="1"/>
  <c r="AB8" i="85"/>
  <c r="AB34" i="85" s="1"/>
  <c r="S8" i="85"/>
  <c r="S34" i="85" s="1"/>
  <c r="X8" i="85"/>
  <c r="X34" i="85" s="1"/>
  <c r="E975" i="36"/>
  <c r="AA8" i="84"/>
  <c r="AA34" i="84" s="1"/>
  <c r="E1003" i="36"/>
  <c r="AB8" i="84"/>
  <c r="AB34" i="84" s="1"/>
  <c r="S8" i="84"/>
  <c r="S34" i="84" s="1"/>
  <c r="T8" i="84"/>
  <c r="T34" i="84" s="1"/>
  <c r="W8" i="84"/>
  <c r="W34" i="84" s="1"/>
  <c r="T8" i="85"/>
  <c r="T34" i="85" s="1"/>
  <c r="O8" i="85"/>
  <c r="O34" i="85" s="1"/>
  <c r="P8" i="85"/>
  <c r="P34" i="85" s="1"/>
  <c r="W8" i="85"/>
  <c r="W34" i="85" s="1"/>
  <c r="X8" i="84"/>
  <c r="X34" i="84" s="1"/>
  <c r="Z8" i="84"/>
  <c r="Z9" i="31"/>
  <c r="Z35" i="31" s="1"/>
  <c r="AA9" i="31"/>
  <c r="W8" i="31"/>
  <c r="E40" i="36"/>
  <c r="P8" i="31"/>
  <c r="X8" i="31"/>
  <c r="E68" i="36"/>
  <c r="X52" i="31"/>
  <c r="E76" i="36"/>
  <c r="E48" i="36"/>
  <c r="Y8" i="31" l="1"/>
  <c r="Y34" i="31" s="1"/>
  <c r="Z48" i="31"/>
  <c r="Z55" i="31"/>
  <c r="Z49" i="31"/>
  <c r="Z50" i="31"/>
  <c r="Z52" i="31"/>
  <c r="Z51" i="31"/>
  <c r="Z53" i="31"/>
  <c r="Z54" i="31"/>
  <c r="Z56" i="31"/>
  <c r="T9" i="31"/>
  <c r="T29" i="31" s="1"/>
  <c r="AO14" i="31"/>
  <c r="Z34" i="84"/>
  <c r="Y8" i="84"/>
  <c r="Y34" i="84" s="1"/>
  <c r="X9" i="84"/>
  <c r="P9" i="85"/>
  <c r="W9" i="84"/>
  <c r="W26" i="84" s="1"/>
  <c r="T9" i="84"/>
  <c r="X9" i="85"/>
  <c r="S9" i="85"/>
  <c r="P9" i="84"/>
  <c r="E987" i="36"/>
  <c r="E994" i="36"/>
  <c r="AA9" i="84"/>
  <c r="AB9" i="85"/>
  <c r="E959" i="36"/>
  <c r="E966" i="36"/>
  <c r="Z9" i="84"/>
  <c r="AO14" i="84"/>
  <c r="E1022" i="36"/>
  <c r="E1015" i="36"/>
  <c r="AB9" i="84"/>
  <c r="W9" i="85"/>
  <c r="O9" i="85"/>
  <c r="T9" i="85"/>
  <c r="S9" i="84"/>
  <c r="AA9" i="85"/>
  <c r="AB22" i="31"/>
  <c r="AB24" i="31"/>
  <c r="AB29" i="31"/>
  <c r="AB23" i="31"/>
  <c r="AB25" i="31"/>
  <c r="AB26" i="31"/>
  <c r="AB27" i="31"/>
  <c r="AB28" i="31"/>
  <c r="AB30" i="31"/>
  <c r="AA35" i="31"/>
  <c r="AA22" i="31"/>
  <c r="AA29" i="31"/>
  <c r="AA24" i="31"/>
  <c r="AA23" i="31"/>
  <c r="AA25" i="31"/>
  <c r="AA26" i="31"/>
  <c r="AA27" i="31"/>
  <c r="AA28" i="31"/>
  <c r="AA30" i="31"/>
  <c r="Y9" i="31"/>
  <c r="Z22" i="31"/>
  <c r="Z24" i="31"/>
  <c r="Z29" i="31"/>
  <c r="Z23" i="31"/>
  <c r="Z26" i="31"/>
  <c r="Z25" i="31"/>
  <c r="Z27" i="31"/>
  <c r="E87" i="36"/>
  <c r="X9" i="31"/>
  <c r="E80" i="36"/>
  <c r="P9" i="31"/>
  <c r="W9" i="31"/>
  <c r="W25" i="31" s="1"/>
  <c r="E59" i="36"/>
  <c r="E52" i="36"/>
  <c r="W14" i="84"/>
  <c r="W40" i="84" s="1"/>
  <c r="W14" i="31"/>
  <c r="X14" i="31"/>
  <c r="W52" i="31"/>
  <c r="W51" i="31"/>
  <c r="E1140" i="8"/>
  <c r="E1142" i="8"/>
  <c r="X53" i="31"/>
  <c r="E422" i="8"/>
  <c r="E8207" i="14" l="1"/>
  <c r="E8210" i="14" s="1"/>
  <c r="T22" i="31"/>
  <c r="T30" i="31"/>
  <c r="T25" i="31"/>
  <c r="T28" i="31"/>
  <c r="T23" i="31"/>
  <c r="T27" i="31"/>
  <c r="T24" i="31"/>
  <c r="T26" i="31"/>
  <c r="W26" i="31"/>
  <c r="W25" i="84"/>
  <c r="E8146" i="14"/>
  <c r="T22" i="85"/>
  <c r="T35" i="85"/>
  <c r="T29" i="85"/>
  <c r="T24" i="85"/>
  <c r="T23" i="85"/>
  <c r="T25" i="85"/>
  <c r="T26" i="85"/>
  <c r="T27" i="85"/>
  <c r="T28" i="85"/>
  <c r="T30" i="85"/>
  <c r="O35" i="85"/>
  <c r="O24" i="85"/>
  <c r="O22" i="85"/>
  <c r="O29" i="85"/>
  <c r="O23" i="85"/>
  <c r="O26" i="85"/>
  <c r="O25" i="85"/>
  <c r="O28" i="85"/>
  <c r="O27" i="85"/>
  <c r="O30" i="85"/>
  <c r="W35" i="85"/>
  <c r="W22" i="85"/>
  <c r="W29" i="85"/>
  <c r="W24" i="85"/>
  <c r="W23" i="85"/>
  <c r="W25" i="85"/>
  <c r="W26" i="85"/>
  <c r="W27" i="85"/>
  <c r="W28" i="85"/>
  <c r="W30" i="85"/>
  <c r="X35" i="84"/>
  <c r="X22" i="84"/>
  <c r="X29" i="84"/>
  <c r="X24" i="84"/>
  <c r="X23" i="84"/>
  <c r="X25" i="84"/>
  <c r="X26" i="84"/>
  <c r="X27" i="84"/>
  <c r="X28" i="84"/>
  <c r="X30" i="84"/>
  <c r="S35" i="84"/>
  <c r="S22" i="84"/>
  <c r="S29" i="84"/>
  <c r="S24" i="84"/>
  <c r="S23" i="84"/>
  <c r="S25" i="84"/>
  <c r="S26" i="84"/>
  <c r="S27" i="84"/>
  <c r="S28" i="84"/>
  <c r="S30" i="84"/>
  <c r="Y9" i="84"/>
  <c r="Z35" i="84"/>
  <c r="Z22" i="84"/>
  <c r="Z29" i="84"/>
  <c r="Z24" i="84"/>
  <c r="Z23" i="84"/>
  <c r="Z25" i="84"/>
  <c r="Z28" i="84"/>
  <c r="Z26" i="84"/>
  <c r="Z27" i="84"/>
  <c r="Z30" i="84"/>
  <c r="S35" i="85"/>
  <c r="S22" i="85"/>
  <c r="S29" i="85"/>
  <c r="S24" i="85"/>
  <c r="S23" i="85"/>
  <c r="S25" i="85"/>
  <c r="S26" i="85"/>
  <c r="S27" i="85"/>
  <c r="S28" i="85"/>
  <c r="S30" i="85"/>
  <c r="P35" i="85"/>
  <c r="P22" i="85"/>
  <c r="P24" i="85"/>
  <c r="P29" i="85"/>
  <c r="P23" i="85"/>
  <c r="P25" i="85"/>
  <c r="P26" i="85"/>
  <c r="P27" i="85"/>
  <c r="P28" i="85"/>
  <c r="P30" i="85"/>
  <c r="AB35" i="84"/>
  <c r="AB22" i="84"/>
  <c r="AB29" i="84"/>
  <c r="AB24" i="84"/>
  <c r="AB23" i="84"/>
  <c r="AB25" i="84"/>
  <c r="AB26" i="84"/>
  <c r="AB27" i="84"/>
  <c r="AB28" i="84"/>
  <c r="AB30" i="84"/>
  <c r="AA35" i="84"/>
  <c r="AA22" i="84"/>
  <c r="AA29" i="84"/>
  <c r="AA24" i="84"/>
  <c r="AA23" i="84"/>
  <c r="AA25" i="84"/>
  <c r="AA26" i="84"/>
  <c r="AA27" i="84"/>
  <c r="AA28" i="84"/>
  <c r="AA30" i="84"/>
  <c r="T35" i="84"/>
  <c r="T22" i="84"/>
  <c r="T29" i="84"/>
  <c r="T24" i="84"/>
  <c r="T23" i="84"/>
  <c r="T25" i="84"/>
  <c r="T26" i="84"/>
  <c r="T27" i="84"/>
  <c r="T28" i="84"/>
  <c r="T30" i="84"/>
  <c r="AA35" i="85"/>
  <c r="AA22" i="85"/>
  <c r="AA29" i="85"/>
  <c r="AA24" i="85"/>
  <c r="AA23" i="85"/>
  <c r="AA25" i="85"/>
  <c r="AA26" i="85"/>
  <c r="AA27" i="85"/>
  <c r="AA28" i="85"/>
  <c r="AA30" i="85"/>
  <c r="AB35" i="85"/>
  <c r="AB22" i="85"/>
  <c r="AB29" i="85"/>
  <c r="AB24" i="85"/>
  <c r="AB23" i="85"/>
  <c r="AB25" i="85"/>
  <c r="AB26" i="85"/>
  <c r="AB27" i="85"/>
  <c r="AB28" i="85"/>
  <c r="AB30" i="85"/>
  <c r="P24" i="84"/>
  <c r="P35" i="84"/>
  <c r="P22" i="84"/>
  <c r="P29" i="84"/>
  <c r="P23" i="84"/>
  <c r="P25" i="84"/>
  <c r="P26" i="84"/>
  <c r="P27" i="84"/>
  <c r="P28" i="84"/>
  <c r="P30" i="84"/>
  <c r="X35" i="85"/>
  <c r="X22" i="85"/>
  <c r="X29" i="85"/>
  <c r="X24" i="85"/>
  <c r="X23" i="85"/>
  <c r="X25" i="85"/>
  <c r="X26" i="85"/>
  <c r="X27" i="85"/>
  <c r="X28" i="85"/>
  <c r="X30" i="85"/>
  <c r="W35" i="84"/>
  <c r="W22" i="84"/>
  <c r="W29" i="84"/>
  <c r="W24" i="84"/>
  <c r="W23" i="84"/>
  <c r="Y35" i="31"/>
  <c r="Y22" i="31"/>
  <c r="Y24" i="31"/>
  <c r="Y29" i="31"/>
  <c r="Y23" i="31"/>
  <c r="Y26" i="31"/>
  <c r="Y25" i="31"/>
  <c r="Y27" i="31"/>
  <c r="AA48" i="31"/>
  <c r="AA55" i="31"/>
  <c r="AA49" i="31"/>
  <c r="AA50" i="31"/>
  <c r="AA51" i="31"/>
  <c r="AA52" i="31"/>
  <c r="AA53" i="31"/>
  <c r="AA54" i="31"/>
  <c r="AA56" i="31"/>
  <c r="P22" i="31"/>
  <c r="P24" i="31"/>
  <c r="P29" i="31"/>
  <c r="P23" i="31"/>
  <c r="P25" i="31"/>
  <c r="P26" i="31"/>
  <c r="P27" i="31"/>
  <c r="P28" i="31"/>
  <c r="P30" i="31"/>
  <c r="X22" i="31"/>
  <c r="X29" i="31"/>
  <c r="X24" i="31"/>
  <c r="X23" i="31"/>
  <c r="X25" i="31"/>
  <c r="X26" i="31"/>
  <c r="X27" i="31"/>
  <c r="X28" i="31"/>
  <c r="X30" i="31"/>
  <c r="W22" i="31"/>
  <c r="W24" i="31"/>
  <c r="W29" i="31"/>
  <c r="W23" i="31"/>
  <c r="W53" i="31"/>
  <c r="W27" i="31"/>
  <c r="E8095" i="14"/>
  <c r="E425" i="8"/>
  <c r="P48" i="84" l="1"/>
  <c r="P50" i="84"/>
  <c r="P55" i="84"/>
  <c r="P49" i="84"/>
  <c r="P51" i="84"/>
  <c r="P52" i="84"/>
  <c r="P53" i="84"/>
  <c r="P54" i="84"/>
  <c r="P56" i="84"/>
  <c r="AA48" i="84"/>
  <c r="AA55" i="84"/>
  <c r="AA50" i="84"/>
  <c r="AA49" i="84"/>
  <c r="AA51" i="84"/>
  <c r="AA52" i="84"/>
  <c r="AA53" i="84"/>
  <c r="AA54" i="84"/>
  <c r="AA56" i="84"/>
  <c r="AB48" i="84"/>
  <c r="AB55" i="84"/>
  <c r="AB50" i="84"/>
  <c r="AB49" i="84"/>
  <c r="AB51" i="84"/>
  <c r="AB52" i="84"/>
  <c r="AB53" i="84"/>
  <c r="AB54" i="84"/>
  <c r="AB56" i="84"/>
  <c r="S48" i="85"/>
  <c r="S55" i="85"/>
  <c r="S50" i="85"/>
  <c r="S49" i="85"/>
  <c r="S52" i="85"/>
  <c r="S51" i="85"/>
  <c r="S53" i="85"/>
  <c r="S54" i="85"/>
  <c r="S56" i="85"/>
  <c r="Z48" i="84"/>
  <c r="Z55" i="84"/>
  <c r="Z49" i="84"/>
  <c r="Z50" i="84"/>
  <c r="Z51" i="84"/>
  <c r="Z52" i="84"/>
  <c r="Z53" i="84"/>
  <c r="Z54" i="84"/>
  <c r="Z56" i="84"/>
  <c r="W48" i="84"/>
  <c r="W55" i="84"/>
  <c r="W50" i="84"/>
  <c r="W49" i="84"/>
  <c r="W51" i="84"/>
  <c r="W52" i="84"/>
  <c r="AA48" i="85"/>
  <c r="AA55" i="85"/>
  <c r="AA50" i="85"/>
  <c r="AA49" i="85"/>
  <c r="AA51" i="85"/>
  <c r="AA52" i="85"/>
  <c r="AA53" i="85"/>
  <c r="AA54" i="85"/>
  <c r="AA56" i="85"/>
  <c r="T48" i="84"/>
  <c r="T55" i="84"/>
  <c r="T50" i="84"/>
  <c r="T49" i="84"/>
  <c r="T51" i="84"/>
  <c r="T52" i="84"/>
  <c r="T53" i="84"/>
  <c r="T54" i="84"/>
  <c r="T56" i="84"/>
  <c r="Y35" i="84"/>
  <c r="Y22" i="84"/>
  <c r="Y24" i="84"/>
  <c r="Y23" i="84"/>
  <c r="Y29" i="84"/>
  <c r="Y25" i="84"/>
  <c r="Y26" i="84"/>
  <c r="Y27" i="84"/>
  <c r="Y28" i="84"/>
  <c r="Y30" i="84"/>
  <c r="X48" i="84"/>
  <c r="X55" i="84"/>
  <c r="X50" i="84"/>
  <c r="X49" i="84"/>
  <c r="X51" i="84"/>
  <c r="X52" i="84"/>
  <c r="X53" i="84"/>
  <c r="X54" i="84"/>
  <c r="X56" i="84"/>
  <c r="AB48" i="85"/>
  <c r="AB55" i="85"/>
  <c r="AB50" i="85"/>
  <c r="AB49" i="85"/>
  <c r="AB51" i="85"/>
  <c r="AB52" i="85"/>
  <c r="AB53" i="85"/>
  <c r="AB54" i="85"/>
  <c r="AB56" i="85"/>
  <c r="P50" i="85"/>
  <c r="P48" i="85"/>
  <c r="P55" i="85"/>
  <c r="P49" i="85"/>
  <c r="P51" i="85"/>
  <c r="P52" i="85"/>
  <c r="P53" i="85"/>
  <c r="P54" i="85"/>
  <c r="P56" i="85"/>
  <c r="O50" i="85"/>
  <c r="O48" i="85"/>
  <c r="O55" i="85"/>
  <c r="O49" i="85"/>
  <c r="O52" i="85"/>
  <c r="O53" i="85"/>
  <c r="O54" i="85"/>
  <c r="O51" i="85"/>
  <c r="O56" i="85"/>
  <c r="X48" i="85"/>
  <c r="X55" i="85"/>
  <c r="X50" i="85"/>
  <c r="X49" i="85"/>
  <c r="X51" i="85"/>
  <c r="X52" i="85"/>
  <c r="X53" i="85"/>
  <c r="X54" i="85"/>
  <c r="X56" i="85"/>
  <c r="S48" i="84"/>
  <c r="S55" i="84"/>
  <c r="S50" i="84"/>
  <c r="S49" i="84"/>
  <c r="S51" i="84"/>
  <c r="S52" i="84"/>
  <c r="S53" i="84"/>
  <c r="S54" i="84"/>
  <c r="S56" i="84"/>
  <c r="W48" i="85"/>
  <c r="W55" i="85"/>
  <c r="W50" i="85"/>
  <c r="W49" i="85"/>
  <c r="W51" i="85"/>
  <c r="W52" i="85"/>
  <c r="W53" i="85"/>
  <c r="W54" i="85"/>
  <c r="W56" i="85"/>
  <c r="T48" i="85"/>
  <c r="T55" i="85"/>
  <c r="T50" i="85"/>
  <c r="T49" i="85"/>
  <c r="T51" i="85"/>
  <c r="T52" i="85"/>
  <c r="T53" i="85"/>
  <c r="T54" i="85"/>
  <c r="T56" i="85"/>
  <c r="Y48" i="31"/>
  <c r="Y55" i="31"/>
  <c r="Y50" i="31"/>
  <c r="Y49" i="31"/>
  <c r="Y52" i="31"/>
  <c r="Y51" i="31"/>
  <c r="Y53" i="31"/>
  <c r="Y54" i="31"/>
  <c r="Y56" i="31"/>
  <c r="W54" i="31"/>
  <c r="W28" i="31"/>
  <c r="W53" i="84"/>
  <c r="W27" i="84"/>
  <c r="W54" i="84"/>
  <c r="W28" i="84"/>
  <c r="Y48" i="84" l="1"/>
  <c r="Y49" i="84"/>
  <c r="Y50" i="84"/>
  <c r="Y55" i="84"/>
  <c r="Y51" i="84"/>
  <c r="Y52" i="84"/>
  <c r="Y53" i="84"/>
  <c r="Y54" i="84"/>
  <c r="Y56" i="84"/>
  <c r="W56" i="31"/>
  <c r="W30" i="31"/>
  <c r="W56" i="84"/>
  <c r="W30" i="84"/>
  <c r="W73" i="83" l="1"/>
  <c r="W72" i="83" l="1"/>
  <c r="W74" i="83"/>
  <c r="AK120" i="31" l="1"/>
  <c r="AG120" i="31" s="1"/>
  <c r="AO15" i="31" l="1"/>
  <c r="AR107" i="31"/>
  <c r="Z17" i="31"/>
  <c r="Z15" i="31"/>
  <c r="Z41" i="31" l="1"/>
  <c r="Y15" i="31"/>
  <c r="Z28" i="31"/>
  <c r="Z43" i="31"/>
  <c r="Y17" i="31"/>
  <c r="Z30" i="31"/>
  <c r="Y41" i="31" l="1"/>
  <c r="Y28" i="31"/>
  <c r="Y43" i="31"/>
  <c r="Y30" i="31"/>
  <c r="W73" i="31" l="1"/>
  <c r="W74" i="31" s="1"/>
  <c r="W73" i="84"/>
  <c r="W74" i="84" s="1"/>
  <c r="E1228" i="35"/>
  <c r="E90" i="35"/>
  <c r="E3559" i="14"/>
  <c r="E1547" i="35" s="1"/>
  <c r="E1557" i="35" s="1"/>
  <c r="E1559" i="35" s="1"/>
  <c r="E3545" i="14"/>
  <c r="E1073" i="35" s="1"/>
  <c r="E1083" i="35" s="1"/>
  <c r="E1085" i="35" s="1"/>
  <c r="E3527" i="14"/>
  <c r="E457" i="35" s="1"/>
  <c r="E467" i="35" s="1"/>
  <c r="E469" i="35" s="1"/>
  <c r="E3555" i="14"/>
  <c r="E1405" i="35" s="1"/>
  <c r="E3525" i="14"/>
  <c r="E409" i="35" s="1"/>
  <c r="E3546" i="14"/>
  <c r="E1120" i="35" s="1"/>
  <c r="E3529" i="14"/>
  <c r="E551" i="35" s="1"/>
  <c r="E3542" i="14"/>
  <c r="E978" i="35" s="1"/>
  <c r="E3563" i="14"/>
  <c r="E1689" i="35" s="1"/>
  <c r="E3521" i="14"/>
  <c r="E267" i="35" s="1"/>
  <c r="E3561" i="14"/>
  <c r="E1595" i="35" s="1"/>
  <c r="E1605" i="35" s="1"/>
  <c r="E1607" i="35" s="1"/>
  <c r="E3562" i="14"/>
  <c r="E1642" i="35" s="1"/>
  <c r="E1652" i="35" s="1"/>
  <c r="E1654" i="35" s="1"/>
  <c r="E3538" i="14"/>
  <c r="E836" i="35" s="1"/>
  <c r="E3528" i="14"/>
  <c r="E504" i="35" s="1"/>
  <c r="E3544" i="14"/>
  <c r="E1026" i="35" s="1"/>
  <c r="E3558" i="14"/>
  <c r="E1500" i="35" s="1"/>
  <c r="E1510" i="35" s="1"/>
  <c r="E1512" i="35" s="1"/>
  <c r="E3579" i="14"/>
  <c r="E2211" i="35" s="1"/>
  <c r="E2221" i="35" s="1"/>
  <c r="E2223" i="35" s="1"/>
  <c r="E3572" i="14"/>
  <c r="E1974" i="35" s="1"/>
  <c r="E1984" i="35" s="1"/>
  <c r="E1986" i="35" s="1"/>
  <c r="E3580" i="14"/>
  <c r="E2258" i="35" s="1"/>
  <c r="E2268" i="35" s="1"/>
  <c r="E2270" i="35" s="1"/>
  <c r="E3576" i="14"/>
  <c r="E2116" i="35" s="1"/>
  <c r="E5721" i="14"/>
  <c r="E5731" i="14"/>
  <c r="E5711" i="14"/>
  <c r="E5718" i="14" s="1"/>
  <c r="E5701" i="14"/>
  <c r="E5708" i="14" s="1"/>
  <c r="E68" i="8" s="1"/>
  <c r="E1643" i="35" l="1"/>
  <c r="E1074" i="35"/>
  <c r="E1596" i="35"/>
  <c r="W72" i="84"/>
  <c r="E1548" i="35"/>
  <c r="E514" i="35"/>
  <c r="E516" i="35" s="1"/>
  <c r="E505" i="35"/>
  <c r="E6161" i="14"/>
  <c r="E6162" i="14" s="1"/>
  <c r="E6153" i="14"/>
  <c r="E6154" i="14" s="1"/>
  <c r="E6169" i="14"/>
  <c r="E6170" i="14" s="1"/>
  <c r="E2126" i="35"/>
  <c r="E2128" i="35" s="1"/>
  <c r="E2117" i="35"/>
  <c r="E561" i="35"/>
  <c r="E563" i="35" s="1"/>
  <c r="E552" i="35"/>
  <c r="E846" i="35"/>
  <c r="E848" i="35" s="1"/>
  <c r="E837" i="35"/>
  <c r="E277" i="35"/>
  <c r="E279" i="35" s="1"/>
  <c r="E268" i="35"/>
  <c r="E419" i="35"/>
  <c r="E421" i="35" s="1"/>
  <c r="E410" i="35"/>
  <c r="E1036" i="35"/>
  <c r="E1038" i="35" s="1"/>
  <c r="E1027" i="35"/>
  <c r="E1699" i="35"/>
  <c r="E1701" i="35" s="1"/>
  <c r="E1690" i="35"/>
  <c r="E1130" i="35"/>
  <c r="E1132" i="35" s="1"/>
  <c r="E1121" i="35"/>
  <c r="E988" i="35"/>
  <c r="E990" i="35" s="1"/>
  <c r="E979" i="35"/>
  <c r="E2212" i="35"/>
  <c r="E458" i="35"/>
  <c r="W72" i="31"/>
  <c r="E2259" i="35"/>
  <c r="E1501" i="35"/>
  <c r="E5738" i="14"/>
  <c r="E1975" i="35"/>
  <c r="E1415" i="35"/>
  <c r="E1417" i="35" s="1"/>
  <c r="E1406" i="35"/>
  <c r="E5809" i="14"/>
  <c r="E5811" i="14" s="1"/>
  <c r="E69" i="8"/>
  <c r="E5796" i="14"/>
  <c r="E5798" i="14" s="1"/>
  <c r="E5728" i="14"/>
  <c r="E5835" i="14" l="1"/>
  <c r="E5837" i="14" s="1"/>
  <c r="E81" i="8" s="1"/>
  <c r="E71" i="8"/>
  <c r="AO7" i="84"/>
  <c r="E6164" i="14"/>
  <c r="AO6" i="84" s="1"/>
  <c r="AO7" i="85"/>
  <c r="E6172" i="14"/>
  <c r="E6174" i="14" s="1"/>
  <c r="E6156" i="14"/>
  <c r="AO5" i="31" s="1"/>
  <c r="AO7" i="31"/>
  <c r="E70" i="8"/>
  <c r="E5822" i="14"/>
  <c r="E5824" i="14" s="1"/>
  <c r="E79" i="8"/>
  <c r="E5812" i="14"/>
  <c r="E78" i="8"/>
  <c r="E5799" i="14"/>
  <c r="E6158" i="14" l="1"/>
  <c r="AO5" i="85"/>
  <c r="AO6" i="85"/>
  <c r="AO6" i="31"/>
  <c r="E5838" i="14"/>
  <c r="E6166" i="14"/>
  <c r="AO5" i="84"/>
  <c r="E5825" i="14"/>
  <c r="E80" i="8"/>
  <c r="I189" i="73" l="1"/>
  <c r="E2549" i="14" l="1"/>
  <c r="E2551" i="14" s="1"/>
  <c r="E2493" i="14"/>
  <c r="E2495" i="14" s="1"/>
  <c r="E6180" i="14"/>
  <c r="E2515" i="14"/>
  <c r="E2517" i="14" s="1"/>
  <c r="E2543" i="14"/>
  <c r="E2545" i="14" s="1"/>
  <c r="E2820" i="14"/>
  <c r="E2822" i="14" s="1"/>
  <c r="E2499" i="14"/>
  <c r="E2501" i="14" s="1"/>
  <c r="E6187" i="14"/>
  <c r="E2527" i="14"/>
  <c r="E2529" i="14" s="1"/>
  <c r="E2804" i="14"/>
  <c r="E2806" i="14" s="1"/>
  <c r="E2537" i="14"/>
  <c r="E2539" i="14" s="1"/>
  <c r="E2796" i="14"/>
  <c r="E2798" i="14" s="1"/>
  <c r="E2828" i="14"/>
  <c r="E2830" i="14" s="1"/>
  <c r="E2505" i="14"/>
  <c r="E2507" i="14" s="1"/>
  <c r="E6207" i="14"/>
  <c r="E2521" i="14"/>
  <c r="E2523" i="14" s="1"/>
  <c r="E2553" i="14" l="1"/>
  <c r="E1593" i="14"/>
  <c r="E343" i="8" s="1"/>
  <c r="E1590" i="14"/>
  <c r="E342" i="8" s="1"/>
  <c r="E2659" i="14"/>
  <c r="E2661" i="14" s="1"/>
  <c r="E2905" i="14"/>
  <c r="E2907" i="14" s="1"/>
  <c r="E2883" i="14"/>
  <c r="E2885" i="14" s="1"/>
  <c r="E2873" i="14"/>
  <c r="E2875" i="14" s="1"/>
  <c r="E6746" i="14"/>
  <c r="E6221" i="14"/>
  <c r="E6208" i="14"/>
  <c r="E350" i="8" s="1"/>
  <c r="E6504" i="14"/>
  <c r="E2647" i="14"/>
  <c r="E2649" i="14" s="1"/>
  <c r="E123" i="73"/>
  <c r="E2669" i="14"/>
  <c r="E2671" i="14" s="1"/>
  <c r="E2899" i="14"/>
  <c r="E2901" i="14" s="1"/>
  <c r="E2909" i="14" s="1"/>
  <c r="E2780" i="14"/>
  <c r="E2782" i="14" s="1"/>
  <c r="E2631" i="14"/>
  <c r="E2633" i="14" s="1"/>
  <c r="E6465" i="14"/>
  <c r="E2681" i="14"/>
  <c r="E2683" i="14" s="1"/>
  <c r="I117" i="73"/>
  <c r="I110" i="73"/>
  <c r="E2675" i="14"/>
  <c r="E2677" i="14" s="1"/>
  <c r="E2772" i="14"/>
  <c r="E2774" i="14" s="1"/>
  <c r="E8" i="35"/>
  <c r="E2299" i="35" s="1"/>
  <c r="I116" i="73"/>
  <c r="E2531" i="14"/>
  <c r="E6458" i="14"/>
  <c r="E2625" i="14"/>
  <c r="E2627" i="14" s="1"/>
  <c r="E2889" i="14"/>
  <c r="E2891" i="14" s="1"/>
  <c r="E6183" i="14"/>
  <c r="E2812" i="14"/>
  <c r="E2814" i="14" s="1"/>
  <c r="E2788" i="14"/>
  <c r="E2790" i="14" s="1"/>
  <c r="E6739" i="14"/>
  <c r="E2867" i="14"/>
  <c r="E2869" i="14" s="1"/>
  <c r="E6511" i="14"/>
  <c r="E2653" i="14"/>
  <c r="E2655" i="14" s="1"/>
  <c r="I111" i="73"/>
  <c r="E3120" i="14"/>
  <c r="E3122" i="14" s="1"/>
  <c r="E6201" i="14"/>
  <c r="E6188" i="14"/>
  <c r="E349" i="8" s="1"/>
  <c r="E2637" i="14"/>
  <c r="E2639" i="14" s="1"/>
  <c r="E2509" i="14"/>
  <c r="E2877" i="14" l="1"/>
  <c r="M121" i="73" s="1"/>
  <c r="E1595" i="14"/>
  <c r="I109" i="73"/>
  <c r="E3152" i="14"/>
  <c r="E3154" i="14" s="1"/>
  <c r="E339" i="35"/>
  <c r="E512" i="8" s="1"/>
  <c r="E1658" i="14"/>
  <c r="E496" i="8" s="1"/>
  <c r="E1661" i="14"/>
  <c r="E497" i="8" s="1"/>
  <c r="E6203" i="14"/>
  <c r="E351" i="8" s="1"/>
  <c r="E861" i="35"/>
  <c r="E2306" i="35" s="1"/>
  <c r="E719" i="35"/>
  <c r="E2305" i="35" s="1"/>
  <c r="E1794" i="14"/>
  <c r="E802" i="8" s="1"/>
  <c r="E2921" i="14"/>
  <c r="E2923" i="14" s="1"/>
  <c r="E6825" i="14"/>
  <c r="E2985" i="14"/>
  <c r="E2987" i="14" s="1"/>
  <c r="E6512" i="14"/>
  <c r="E528" i="8" s="1"/>
  <c r="E6525" i="14"/>
  <c r="E3194" i="14"/>
  <c r="E3196" i="14" s="1"/>
  <c r="E2858" i="14"/>
  <c r="E2969" i="14"/>
  <c r="E2971" i="14" s="1"/>
  <c r="E6904" i="14"/>
  <c r="I122" i="73"/>
  <c r="E6844" i="14"/>
  <c r="E2931" i="14"/>
  <c r="E2933" i="14" s="1"/>
  <c r="E292" i="35"/>
  <c r="E2301" i="35" s="1"/>
  <c r="E2995" i="14"/>
  <c r="E2997" i="14" s="1"/>
  <c r="E2685" i="14"/>
  <c r="E2615" i="14"/>
  <c r="E2617" i="14" s="1"/>
  <c r="E3146" i="14"/>
  <c r="E3148" i="14" s="1"/>
  <c r="E2953" i="14"/>
  <c r="E2955" i="14" s="1"/>
  <c r="E6818" i="14"/>
  <c r="E2915" i="14"/>
  <c r="E2917" i="14" s="1"/>
  <c r="E206" i="36"/>
  <c r="E341" i="35"/>
  <c r="E340" i="35"/>
  <c r="S58" i="31" s="1"/>
  <c r="S59" i="31" s="1"/>
  <c r="E1669" i="14"/>
  <c r="E3200" i="14"/>
  <c r="E3202" i="14" s="1"/>
  <c r="E6742" i="14"/>
  <c r="E2641" i="14"/>
  <c r="E1844" i="14"/>
  <c r="E3178" i="14"/>
  <c r="E3180" i="14" s="1"/>
  <c r="E6479" i="14"/>
  <c r="E6466" i="14"/>
  <c r="E503" i="8" s="1"/>
  <c r="M123" i="73"/>
  <c r="E6507" i="14"/>
  <c r="E6760" i="14"/>
  <c r="E6747" i="14"/>
  <c r="E806" i="8" s="1"/>
  <c r="E1146" i="35"/>
  <c r="E2309" i="35" s="1"/>
  <c r="E2947" i="14"/>
  <c r="E2949" i="14" s="1"/>
  <c r="E3168" i="14"/>
  <c r="E3170" i="14" s="1"/>
  <c r="E577" i="35"/>
  <c r="E2304" i="35" s="1"/>
  <c r="E2288" i="35" s="1"/>
  <c r="E2764" i="14"/>
  <c r="E2766" i="14" s="1"/>
  <c r="E6461" i="14"/>
  <c r="E6897" i="14"/>
  <c r="E2963" i="14"/>
  <c r="E2965" i="14" s="1"/>
  <c r="E3184" i="14"/>
  <c r="E3186" i="14" s="1"/>
  <c r="I123" i="73"/>
  <c r="E6223" i="14"/>
  <c r="E352" i="8" s="1"/>
  <c r="E3114" i="14"/>
  <c r="E3116" i="14" s="1"/>
  <c r="E3124" i="14" s="1"/>
  <c r="E340" i="8"/>
  <c r="E1672" i="14"/>
  <c r="E522" i="8" s="1"/>
  <c r="E3162" i="14"/>
  <c r="E3164" i="14" s="1"/>
  <c r="E121" i="73"/>
  <c r="E2754" i="14"/>
  <c r="E2979" i="14"/>
  <c r="E2981" i="14" s="1"/>
  <c r="E2859" i="14"/>
  <c r="I115" i="73"/>
  <c r="E122" i="73"/>
  <c r="E333" i="8"/>
  <c r="V64" i="31"/>
  <c r="U64" i="31" s="1"/>
  <c r="E3279" i="14"/>
  <c r="E8" i="36"/>
  <c r="E9" i="35"/>
  <c r="V58" i="31" s="1"/>
  <c r="E1998" i="14"/>
  <c r="E7" i="36"/>
  <c r="E10" i="35"/>
  <c r="E1996" i="14"/>
  <c r="E7143" i="14"/>
  <c r="E2937" i="14"/>
  <c r="E2939" i="14" s="1"/>
  <c r="E6851" i="14"/>
  <c r="E3001" i="14"/>
  <c r="E3003" i="14" s="1"/>
  <c r="E3130" i="14"/>
  <c r="E3132" i="14" s="1"/>
  <c r="E2663" i="14"/>
  <c r="E7136" i="14"/>
  <c r="E339" i="8"/>
  <c r="AS68" i="31"/>
  <c r="E3136" i="14"/>
  <c r="E3138" i="14" s="1"/>
  <c r="E2893" i="14"/>
  <c r="E432" i="36" l="1"/>
  <c r="N5" i="83" s="1"/>
  <c r="E3288" i="14"/>
  <c r="E205" i="36"/>
  <c r="S64" i="31"/>
  <c r="E2973" i="14"/>
  <c r="E1796" i="14"/>
  <c r="E3304" i="14"/>
  <c r="E3156" i="14"/>
  <c r="E494" i="8"/>
  <c r="E3300" i="14"/>
  <c r="E518" i="36"/>
  <c r="R6" i="83" s="1"/>
  <c r="Q6" i="83" s="1"/>
  <c r="E718" i="8"/>
  <c r="R64" i="83"/>
  <c r="Q64" i="83" s="1"/>
  <c r="E863" i="35"/>
  <c r="E875" i="35" s="1"/>
  <c r="E877" i="35" s="1"/>
  <c r="E517" i="36"/>
  <c r="R5" i="83" s="1"/>
  <c r="E862" i="35"/>
  <c r="R58" i="83" s="1"/>
  <c r="R59" i="83" s="1"/>
  <c r="Q59" i="83" s="1"/>
  <c r="E1663" i="14"/>
  <c r="AS76" i="31" s="1"/>
  <c r="E2957" i="14"/>
  <c r="E1335" i="35"/>
  <c r="E1336" i="35" s="1"/>
  <c r="O58" i="84" s="1"/>
  <c r="O59" i="84" s="1"/>
  <c r="E2925" i="14"/>
  <c r="M109" i="73" s="1"/>
  <c r="E720" i="35"/>
  <c r="N58" i="83" s="1"/>
  <c r="N59" i="83" s="1"/>
  <c r="M59" i="83" s="1"/>
  <c r="N64" i="83"/>
  <c r="M64" i="83" s="1"/>
  <c r="E433" i="36"/>
  <c r="E434" i="36" s="1"/>
  <c r="E680" i="8"/>
  <c r="E721" i="35"/>
  <c r="E758" i="35" s="1"/>
  <c r="E760" i="35" s="1"/>
  <c r="E761" i="35" s="1"/>
  <c r="E452" i="36" s="1"/>
  <c r="E3172" i="14"/>
  <c r="E2989" i="14"/>
  <c r="M116" i="73" s="1"/>
  <c r="E3140" i="14"/>
  <c r="E1921" i="14"/>
  <c r="E1083" i="8" s="1"/>
  <c r="E6762" i="14"/>
  <c r="E807" i="8" s="1"/>
  <c r="E1827" i="14"/>
  <c r="E2000" i="14"/>
  <c r="E2030" i="14" s="1"/>
  <c r="E2031" i="14" s="1"/>
  <c r="E1946" i="14"/>
  <c r="E1948" i="14" s="1"/>
  <c r="E1846" i="14"/>
  <c r="E914" i="8"/>
  <c r="AK16" i="31"/>
  <c r="E124" i="73"/>
  <c r="E3082" i="14"/>
  <c r="E3084" i="14" s="1"/>
  <c r="E3232" i="14"/>
  <c r="E3234" i="14" s="1"/>
  <c r="E3104" i="14"/>
  <c r="E3106" i="14" s="1"/>
  <c r="E2100" i="14"/>
  <c r="E3248" i="14"/>
  <c r="E3250" i="14" s="1"/>
  <c r="E2603" i="14"/>
  <c r="E2605" i="14" s="1"/>
  <c r="E117" i="73"/>
  <c r="E1857" i="35"/>
  <c r="E2315" i="35" s="1"/>
  <c r="E6826" i="14"/>
  <c r="E862" i="8" s="1"/>
  <c r="E6839" i="14"/>
  <c r="E2571" i="14"/>
  <c r="E2573" i="14" s="1"/>
  <c r="E6852" i="14"/>
  <c r="E880" i="8" s="1"/>
  <c r="E6865" i="14"/>
  <c r="E7139" i="14"/>
  <c r="E7144" i="14"/>
  <c r="E7157" i="14"/>
  <c r="E9" i="36"/>
  <c r="V5" i="31"/>
  <c r="E7057" i="14"/>
  <c r="E3066" i="14"/>
  <c r="E3068" i="14" s="1"/>
  <c r="E3210" i="14"/>
  <c r="E3212" i="14" s="1"/>
  <c r="E7294" i="14"/>
  <c r="Q109" i="73"/>
  <c r="E6900" i="14"/>
  <c r="E2857" i="14"/>
  <c r="I121" i="73"/>
  <c r="E1999" i="35"/>
  <c r="E2316" i="35" s="1"/>
  <c r="M111" i="73"/>
  <c r="E6365" i="14"/>
  <c r="E2581" i="14"/>
  <c r="E2583" i="14" s="1"/>
  <c r="E3098" i="14"/>
  <c r="E3100" i="14" s="1"/>
  <c r="E521" i="8"/>
  <c r="E1674" i="14"/>
  <c r="S5" i="31"/>
  <c r="E207" i="36"/>
  <c r="E2609" i="14"/>
  <c r="E2611" i="14" s="1"/>
  <c r="E6847" i="14"/>
  <c r="E6918" i="14"/>
  <c r="E6905" i="14"/>
  <c r="E918" i="8" s="1"/>
  <c r="E1288" i="35"/>
  <c r="E493" i="8"/>
  <c r="E22" i="35"/>
  <c r="E24" i="35" s="1"/>
  <c r="E47" i="35"/>
  <c r="E49" i="35" s="1"/>
  <c r="E50" i="35" s="1"/>
  <c r="E27" i="36" s="1"/>
  <c r="E15" i="35"/>
  <c r="E17" i="35" s="1"/>
  <c r="V6" i="31"/>
  <c r="I118" i="73"/>
  <c r="AG21" i="83"/>
  <c r="M122" i="73"/>
  <c r="E116" i="73"/>
  <c r="E6326" i="14"/>
  <c r="E2565" i="14"/>
  <c r="E2567" i="14" s="1"/>
  <c r="E150" i="35"/>
  <c r="E2035" i="14"/>
  <c r="E2036" i="14" s="1"/>
  <c r="V77" i="31"/>
  <c r="V66" i="31" s="1"/>
  <c r="E1715" i="35"/>
  <c r="E2314" i="35" s="1"/>
  <c r="E7064" i="14"/>
  <c r="E3072" i="14"/>
  <c r="E3074" i="14" s="1"/>
  <c r="E3216" i="14"/>
  <c r="E3218" i="14" s="1"/>
  <c r="E7301" i="14"/>
  <c r="E868" i="35"/>
  <c r="E870" i="35" s="1"/>
  <c r="E3088" i="14"/>
  <c r="E3090" i="14" s="1"/>
  <c r="E3296" i="14"/>
  <c r="E579" i="35"/>
  <c r="E642" i="8"/>
  <c r="E348" i="36"/>
  <c r="E7868" i="14"/>
  <c r="E578" i="35"/>
  <c r="V58" i="83" s="1"/>
  <c r="V64" i="83"/>
  <c r="U64" i="83" s="1"/>
  <c r="E347" i="36"/>
  <c r="E3313" i="14"/>
  <c r="E688" i="36"/>
  <c r="E1147" i="35"/>
  <c r="V58" i="84" s="1"/>
  <c r="E795" i="8"/>
  <c r="V64" i="84"/>
  <c r="U64" i="84" s="1"/>
  <c r="E2181" i="14"/>
  <c r="E687" i="36"/>
  <c r="E1148" i="35"/>
  <c r="E6372" i="14"/>
  <c r="E2587" i="14"/>
  <c r="E2589" i="14" s="1"/>
  <c r="E197" i="35"/>
  <c r="E353" i="35"/>
  <c r="E355" i="35" s="1"/>
  <c r="E346" i="35"/>
  <c r="E348" i="35" s="1"/>
  <c r="E378" i="35"/>
  <c r="E380" i="35" s="1"/>
  <c r="E381" i="35" s="1"/>
  <c r="E225" i="36" s="1"/>
  <c r="S77" i="31"/>
  <c r="S66" i="31" s="1"/>
  <c r="S6" i="31"/>
  <c r="E6821" i="14"/>
  <c r="E3287" i="14"/>
  <c r="E178" i="36"/>
  <c r="R64" i="31"/>
  <c r="E293" i="35"/>
  <c r="R58" i="31" s="1"/>
  <c r="E2090" i="14"/>
  <c r="E487" i="8"/>
  <c r="E2088" i="14"/>
  <c r="E177" i="36"/>
  <c r="E294" i="35"/>
  <c r="E1430" i="35"/>
  <c r="E2311" i="35" s="1"/>
  <c r="I112" i="73"/>
  <c r="AG16" i="83"/>
  <c r="E3204" i="14"/>
  <c r="E1819" i="14"/>
  <c r="E800" i="8"/>
  <c r="AS67" i="84"/>
  <c r="E6319" i="14"/>
  <c r="E2559" i="14"/>
  <c r="E2561" i="14" s="1"/>
  <c r="E2033" i="14"/>
  <c r="V59" i="31"/>
  <c r="U58" i="31"/>
  <c r="E58" i="31"/>
  <c r="M115" i="73"/>
  <c r="Q58" i="83"/>
  <c r="E3226" i="14"/>
  <c r="E3228" i="14" s="1"/>
  <c r="E6392" i="14"/>
  <c r="E2593" i="14"/>
  <c r="E2595" i="14" s="1"/>
  <c r="E6481" i="14"/>
  <c r="E505" i="8" s="1"/>
  <c r="E3188" i="14"/>
  <c r="E2756" i="14"/>
  <c r="E115" i="73"/>
  <c r="E2098" i="14"/>
  <c r="E3242" i="14"/>
  <c r="E3244" i="14" s="1"/>
  <c r="Q111" i="73"/>
  <c r="E3005" i="14"/>
  <c r="E2941" i="14"/>
  <c r="E3056" i="14"/>
  <c r="E6527" i="14"/>
  <c r="E530" i="8" s="1"/>
  <c r="E2295" i="35" l="1"/>
  <c r="E2293" i="35"/>
  <c r="E2310" i="35"/>
  <c r="E2289" i="35" s="1"/>
  <c r="E2300" i="35"/>
  <c r="Q64" i="31"/>
  <c r="E1087" i="8"/>
  <c r="E519" i="36"/>
  <c r="R7" i="83" s="1"/>
  <c r="Q7" i="83" s="1"/>
  <c r="Q33" i="83" s="1"/>
  <c r="E726" i="35"/>
  <c r="E728" i="35" s="1"/>
  <c r="E750" i="35" s="1"/>
  <c r="N6" i="83"/>
  <c r="M6" i="83" s="1"/>
  <c r="M32" i="83" s="1"/>
  <c r="E900" i="35"/>
  <c r="E902" i="35" s="1"/>
  <c r="E903" i="35" s="1"/>
  <c r="E801" i="36"/>
  <c r="R77" i="83"/>
  <c r="R66" i="83" s="1"/>
  <c r="Q66" i="83" s="1"/>
  <c r="Q32" i="83"/>
  <c r="E2227" i="14"/>
  <c r="E2229" i="14" s="1"/>
  <c r="E2231" i="14" s="1"/>
  <c r="E1139" i="8"/>
  <c r="N77" i="83"/>
  <c r="N66" i="83" s="1"/>
  <c r="M66" i="83" s="1"/>
  <c r="E519" i="8"/>
  <c r="O64" i="84"/>
  <c r="Q110" i="73"/>
  <c r="E1337" i="35"/>
  <c r="E1342" i="35" s="1"/>
  <c r="E1344" i="35" s="1"/>
  <c r="E3318" i="14"/>
  <c r="L64" i="83"/>
  <c r="E869" i="8"/>
  <c r="O77" i="84" s="1"/>
  <c r="O66" i="84" s="1"/>
  <c r="E733" i="35"/>
  <c r="E735" i="35" s="1"/>
  <c r="E738" i="35" s="1"/>
  <c r="E739" i="35" s="1"/>
  <c r="E441" i="36" s="1"/>
  <c r="N11" i="83" s="1"/>
  <c r="M11" i="83" s="1"/>
  <c r="M37" i="83" s="1"/>
  <c r="E800" i="36"/>
  <c r="M58" i="83"/>
  <c r="Q115" i="73"/>
  <c r="E2002" i="14"/>
  <c r="E2003" i="14" s="1"/>
  <c r="E2141" i="35"/>
  <c r="E2317" i="35" s="1"/>
  <c r="E2296" i="35" s="1"/>
  <c r="E1829" i="14"/>
  <c r="E874" i="8" s="1"/>
  <c r="E3256" i="14"/>
  <c r="AG16" i="85" s="1"/>
  <c r="E1923" i="14"/>
  <c r="E1081" i="8" s="1"/>
  <c r="E1624" i="14"/>
  <c r="E3108" i="14"/>
  <c r="E1638" i="14"/>
  <c r="E445" i="8" s="1"/>
  <c r="E3236" i="14"/>
  <c r="E7159" i="14"/>
  <c r="E3252" i="14"/>
  <c r="Q129" i="73" s="1"/>
  <c r="E876" i="8"/>
  <c r="E2575" i="14"/>
  <c r="E1896" i="14"/>
  <c r="E1027" i="8" s="1"/>
  <c r="E1635" i="14"/>
  <c r="E444" i="8" s="1"/>
  <c r="E3220" i="14"/>
  <c r="E1627" i="14"/>
  <c r="E420" i="8" s="1"/>
  <c r="R31" i="83"/>
  <c r="Q5" i="83"/>
  <c r="Q31" i="83" s="1"/>
  <c r="R32" i="83"/>
  <c r="E3321" i="14"/>
  <c r="E907" i="8"/>
  <c r="E857" i="36"/>
  <c r="E1431" i="35"/>
  <c r="R58" i="84" s="1"/>
  <c r="E2257" i="14"/>
  <c r="R64" i="84"/>
  <c r="Q64" i="84" s="1"/>
  <c r="E858" i="36"/>
  <c r="E1432" i="35"/>
  <c r="E2212" i="14"/>
  <c r="E7065" i="14"/>
  <c r="E1031" i="8" s="1"/>
  <c r="E7078" i="14"/>
  <c r="E3334" i="14"/>
  <c r="E2372" i="14"/>
  <c r="E1113" i="36"/>
  <c r="E1859" i="35"/>
  <c r="E1076" i="8"/>
  <c r="E1858" i="35"/>
  <c r="N58" i="85" s="1"/>
  <c r="E1112" i="36"/>
  <c r="N64" i="85"/>
  <c r="M64" i="85" s="1"/>
  <c r="AO103" i="83"/>
  <c r="N16" i="83"/>
  <c r="M16" i="83" s="1"/>
  <c r="M42" i="83" s="1"/>
  <c r="AK16" i="84"/>
  <c r="M124" i="73"/>
  <c r="E1821" i="14"/>
  <c r="E858" i="8"/>
  <c r="R77" i="31"/>
  <c r="R66" i="31" s="1"/>
  <c r="S16" i="31"/>
  <c r="S42" i="31" s="1"/>
  <c r="E7888" i="14"/>
  <c r="E7899" i="14" s="1"/>
  <c r="E7977" i="14" s="1"/>
  <c r="E2183" i="14"/>
  <c r="E2185" i="14" s="1"/>
  <c r="V77" i="84"/>
  <c r="V66" i="84" s="1"/>
  <c r="U58" i="83"/>
  <c r="V59" i="83"/>
  <c r="U59" i="83" s="1"/>
  <c r="V77" i="83"/>
  <c r="V66" i="83" s="1"/>
  <c r="E893" i="35"/>
  <c r="E880" i="35"/>
  <c r="E881" i="35" s="1"/>
  <c r="E526" i="36" s="1"/>
  <c r="R11" i="83" s="1"/>
  <c r="Q11" i="83" s="1"/>
  <c r="Q37" i="83" s="1"/>
  <c r="E7302" i="14"/>
  <c r="E1199" i="8" s="1"/>
  <c r="E7315" i="14"/>
  <c r="V16" i="31"/>
  <c r="V42" i="31" s="1"/>
  <c r="E42" i="31" s="1"/>
  <c r="AQ105" i="31"/>
  <c r="E3317" i="14"/>
  <c r="E772" i="36"/>
  <c r="E1289" i="35"/>
  <c r="N58" i="84" s="1"/>
  <c r="N64" i="84"/>
  <c r="E773" i="36"/>
  <c r="E851" i="8"/>
  <c r="E1290" i="35"/>
  <c r="E2219" i="14"/>
  <c r="E6920" i="14"/>
  <c r="E919" i="8" s="1"/>
  <c r="S32" i="31"/>
  <c r="S31" i="31"/>
  <c r="E2597" i="14"/>
  <c r="E3262" i="14"/>
  <c r="I124" i="73"/>
  <c r="AK16" i="83"/>
  <c r="N7" i="83"/>
  <c r="M7" i="83" s="1"/>
  <c r="M33" i="83" s="1"/>
  <c r="E7060" i="14"/>
  <c r="E6841" i="14"/>
  <c r="E863" i="8" s="1"/>
  <c r="E2619" i="14"/>
  <c r="AG21" i="31"/>
  <c r="E118" i="73"/>
  <c r="Q116" i="73"/>
  <c r="Q117" i="73"/>
  <c r="E179" i="36"/>
  <c r="R5" i="31"/>
  <c r="E2127" i="14"/>
  <c r="E2128" i="14" s="1"/>
  <c r="U58" i="84"/>
  <c r="V59" i="84"/>
  <c r="U59" i="84" s="1"/>
  <c r="E6" i="31"/>
  <c r="U6" i="31"/>
  <c r="E3338" i="14"/>
  <c r="E1197" i="36"/>
  <c r="E2000" i="35"/>
  <c r="R58" i="85" s="1"/>
  <c r="E1132" i="8"/>
  <c r="R64" i="85"/>
  <c r="Q64" i="85" s="1"/>
  <c r="E2001" i="35"/>
  <c r="E2410" i="14"/>
  <c r="E1198" i="36"/>
  <c r="Q127" i="73"/>
  <c r="M110" i="73"/>
  <c r="E3057" i="14"/>
  <c r="E2102" i="14"/>
  <c r="E2104" i="14" s="1"/>
  <c r="E2105" i="14" s="1"/>
  <c r="E2034" i="14"/>
  <c r="E2038" i="14" s="1"/>
  <c r="E6322" i="14"/>
  <c r="E306" i="35"/>
  <c r="E308" i="35" s="1"/>
  <c r="E331" i="35"/>
  <c r="E333" i="35" s="1"/>
  <c r="E334" i="35" s="1"/>
  <c r="E197" i="36" s="1"/>
  <c r="E299" i="35"/>
  <c r="E301" i="35" s="1"/>
  <c r="Q58" i="31"/>
  <c r="R59" i="31"/>
  <c r="Q59" i="31" s="1"/>
  <c r="E370" i="35"/>
  <c r="E349" i="35"/>
  <c r="E213" i="36" s="1"/>
  <c r="E1153" i="35"/>
  <c r="E1155" i="35" s="1"/>
  <c r="E1185" i="35"/>
  <c r="E1187" i="35" s="1"/>
  <c r="E1188" i="35" s="1"/>
  <c r="E707" i="36" s="1"/>
  <c r="E1160" i="35"/>
  <c r="E1162" i="35" s="1"/>
  <c r="E616" i="35"/>
  <c r="E618" i="35" s="1"/>
  <c r="E619" i="35" s="1"/>
  <c r="E367" i="36" s="1"/>
  <c r="E591" i="35"/>
  <c r="E593" i="35" s="1"/>
  <c r="E584" i="35"/>
  <c r="E586" i="35" s="1"/>
  <c r="E892" i="35"/>
  <c r="E871" i="35"/>
  <c r="E525" i="36" s="1"/>
  <c r="U66" i="31"/>
  <c r="AK118" i="31"/>
  <c r="E410" i="8"/>
  <c r="E3283" i="14"/>
  <c r="N64" i="31"/>
  <c r="E151" i="35"/>
  <c r="N58" i="31" s="1"/>
  <c r="E93" i="36"/>
  <c r="E92" i="36"/>
  <c r="E152" i="35"/>
  <c r="E7848" i="14"/>
  <c r="E7856" i="14" s="1"/>
  <c r="E7936" i="14" s="1"/>
  <c r="E40" i="35"/>
  <c r="E27" i="35"/>
  <c r="E28" i="35" s="1"/>
  <c r="E518" i="8"/>
  <c r="AS77" i="31"/>
  <c r="E6368" i="14"/>
  <c r="M5" i="83"/>
  <c r="M31" i="83" s="1"/>
  <c r="N31" i="83"/>
  <c r="Q112" i="73"/>
  <c r="E7297" i="14"/>
  <c r="V32" i="31"/>
  <c r="E32" i="31" s="1"/>
  <c r="U5" i="31"/>
  <c r="V31" i="31"/>
  <c r="E31" i="31" s="1"/>
  <c r="E5" i="31"/>
  <c r="M117" i="73"/>
  <c r="E3058" i="14"/>
  <c r="E371" i="35"/>
  <c r="E358" i="35"/>
  <c r="E359" i="35" s="1"/>
  <c r="E214" i="36" s="1"/>
  <c r="S11" i="31" s="1"/>
  <c r="S37" i="31" s="1"/>
  <c r="E7877" i="14"/>
  <c r="E7956" i="14" s="1"/>
  <c r="E7885" i="14"/>
  <c r="E7964" i="14" s="1"/>
  <c r="E7880" i="14"/>
  <c r="E7959" i="14" s="1"/>
  <c r="E7872" i="14"/>
  <c r="E7951" i="14" s="1"/>
  <c r="E7883" i="14"/>
  <c r="E7962" i="14" s="1"/>
  <c r="E7876" i="14"/>
  <c r="E7955" i="14" s="1"/>
  <c r="E7884" i="14"/>
  <c r="E7963" i="14" s="1"/>
  <c r="E7881" i="14"/>
  <c r="E7960" i="14" s="1"/>
  <c r="E7873" i="14"/>
  <c r="E7952" i="14" s="1"/>
  <c r="E7875" i="14"/>
  <c r="E7954" i="14" s="1"/>
  <c r="E7879" i="14"/>
  <c r="E7958" i="14" s="1"/>
  <c r="E6393" i="14"/>
  <c r="E452" i="8" s="1"/>
  <c r="E6406" i="14"/>
  <c r="U59" i="31"/>
  <c r="E59" i="31"/>
  <c r="E2125" i="14"/>
  <c r="R6" i="31"/>
  <c r="Q6" i="31" s="1"/>
  <c r="Q32" i="31" s="1"/>
  <c r="E2092" i="14"/>
  <c r="E3284" i="14"/>
  <c r="O64" i="31"/>
  <c r="E435" i="8"/>
  <c r="E2052" i="14"/>
  <c r="E198" i="35"/>
  <c r="O58" i="31" s="1"/>
  <c r="O59" i="31" s="1"/>
  <c r="E121" i="36"/>
  <c r="E120" i="36"/>
  <c r="E199" i="35"/>
  <c r="E6373" i="14"/>
  <c r="E451" i="8" s="1"/>
  <c r="E6386" i="14"/>
  <c r="E689" i="36"/>
  <c r="V5" i="84"/>
  <c r="V6" i="84"/>
  <c r="V5" i="83"/>
  <c r="E1635" i="36"/>
  <c r="E349" i="36"/>
  <c r="E7871" i="14"/>
  <c r="E1636" i="36"/>
  <c r="V6" i="83"/>
  <c r="U6" i="83" s="1"/>
  <c r="E1971" i="14"/>
  <c r="E3330" i="14"/>
  <c r="E1020" i="8"/>
  <c r="E1716" i="35"/>
  <c r="V58" i="85" s="1"/>
  <c r="E1028" i="36"/>
  <c r="E1027" i="36"/>
  <c r="V64" i="85"/>
  <c r="U64" i="85" s="1"/>
  <c r="E1717" i="35"/>
  <c r="E6327" i="14"/>
  <c r="E426" i="8" s="1"/>
  <c r="E6340" i="14"/>
  <c r="E18" i="35"/>
  <c r="E39" i="35"/>
  <c r="S7" i="31"/>
  <c r="S33" i="31" s="1"/>
  <c r="E3257" i="14"/>
  <c r="E3076" i="14"/>
  <c r="V7" i="31"/>
  <c r="V33" i="31" s="1"/>
  <c r="E33" i="31" s="1"/>
  <c r="E6867" i="14"/>
  <c r="E881" i="8" s="1"/>
  <c r="E3092" i="14"/>
  <c r="E729" i="35"/>
  <c r="E440" i="36" s="1"/>
  <c r="E912" i="8"/>
  <c r="AS75" i="84"/>
  <c r="E1137" i="8"/>
  <c r="AS75" i="85"/>
  <c r="E2290" i="35" l="1"/>
  <c r="E2294" i="35"/>
  <c r="E2287" i="35"/>
  <c r="E2284" i="35" s="1"/>
  <c r="E1349" i="35"/>
  <c r="E1351" i="35" s="1"/>
  <c r="E1354" i="35" s="1"/>
  <c r="E1355" i="35" s="1"/>
  <c r="E809" i="36" s="1"/>
  <c r="O11" i="84" s="1"/>
  <c r="O37" i="84" s="1"/>
  <c r="E3342" i="14"/>
  <c r="E1898" i="14"/>
  <c r="AS67" i="85" s="1"/>
  <c r="E1374" i="35"/>
  <c r="E1376" i="35" s="1"/>
  <c r="E1377" i="35" s="1"/>
  <c r="E820" i="36" s="1"/>
  <c r="O16" i="84" s="1"/>
  <c r="O42" i="84" s="1"/>
  <c r="O6" i="84"/>
  <c r="O32" i="84" s="1"/>
  <c r="E802" i="36"/>
  <c r="O7" i="84" s="1"/>
  <c r="O33" i="84" s="1"/>
  <c r="N32" i="83"/>
  <c r="E15" i="36"/>
  <c r="V10" i="31" s="1"/>
  <c r="E16" i="36"/>
  <c r="V11" i="31" s="1"/>
  <c r="E537" i="36"/>
  <c r="E1655" i="36" s="1"/>
  <c r="E1088" i="8"/>
  <c r="AS72" i="84"/>
  <c r="E751" i="35"/>
  <c r="N42" i="83"/>
  <c r="E2044" i="14"/>
  <c r="Z64" i="85"/>
  <c r="Y64" i="85" s="1"/>
  <c r="L64" i="85" s="1"/>
  <c r="M64" i="84"/>
  <c r="L64" i="84" s="1"/>
  <c r="E2142" i="35"/>
  <c r="Z58" i="85" s="1"/>
  <c r="Z59" i="85" s="1"/>
  <c r="Y59" i="85" s="1"/>
  <c r="E2448" i="14"/>
  <c r="E2479" i="14" s="1"/>
  <c r="E2412" i="14"/>
  <c r="E2438" i="14" s="1"/>
  <c r="E2259" i="14"/>
  <c r="E2285" i="14" s="1"/>
  <c r="Q128" i="73"/>
  <c r="E2374" i="14"/>
  <c r="E2400" i="14" s="1"/>
  <c r="AS71" i="85"/>
  <c r="E2027" i="14"/>
  <c r="E2028" i="14" s="1"/>
  <c r="E1283" i="36"/>
  <c r="O5" i="84"/>
  <c r="O31" i="84" s="1"/>
  <c r="E109" i="73"/>
  <c r="E6342" i="14"/>
  <c r="E6388" i="14"/>
  <c r="E453" i="8" s="1"/>
  <c r="E2143" i="35"/>
  <c r="E2180" i="35" s="1"/>
  <c r="E2182" i="35" s="1"/>
  <c r="E2183" i="35" s="1"/>
  <c r="E1302" i="36" s="1"/>
  <c r="E1282" i="36"/>
  <c r="E7908" i="14"/>
  <c r="E7911" i="14" s="1"/>
  <c r="E7988" i="14" s="1"/>
  <c r="E1188" i="8"/>
  <c r="Z77" i="85" s="1"/>
  <c r="Z66" i="85" s="1"/>
  <c r="E2334" i="14"/>
  <c r="Q123" i="73"/>
  <c r="E3258" i="14"/>
  <c r="Q130" i="73" s="1"/>
  <c r="E1629" i="14"/>
  <c r="E1522" i="36"/>
  <c r="M74" i="73" s="1"/>
  <c r="E1672" i="36"/>
  <c r="M38" i="73" s="1"/>
  <c r="E1640" i="14"/>
  <c r="E419" i="8"/>
  <c r="E442" i="8"/>
  <c r="E2054" i="14"/>
  <c r="E2056" i="14" s="1"/>
  <c r="E2058" i="14" s="1"/>
  <c r="E2059" i="14" s="1"/>
  <c r="E2042" i="14"/>
  <c r="E1673" i="36"/>
  <c r="E6408" i="14"/>
  <c r="E454" i="8" s="1"/>
  <c r="E7895" i="14"/>
  <c r="E7973" i="14" s="1"/>
  <c r="N33" i="83"/>
  <c r="E2206" i="14"/>
  <c r="E2186" i="14"/>
  <c r="E2232" i="14"/>
  <c r="V6" i="85"/>
  <c r="E1448" i="36"/>
  <c r="E74" i="73" s="1"/>
  <c r="V59" i="85"/>
  <c r="U59" i="85" s="1"/>
  <c r="U58" i="85"/>
  <c r="I39" i="73"/>
  <c r="V7" i="83"/>
  <c r="U7" i="83" s="1"/>
  <c r="U5" i="84"/>
  <c r="V31" i="84"/>
  <c r="E211" i="35"/>
  <c r="E213" i="35" s="1"/>
  <c r="E204" i="35"/>
  <c r="E206" i="35" s="1"/>
  <c r="E236" i="35"/>
  <c r="E238" i="35" s="1"/>
  <c r="E239" i="35" s="1"/>
  <c r="E140" i="36" s="1"/>
  <c r="E2122" i="14"/>
  <c r="E2094" i="14"/>
  <c r="U31" i="31"/>
  <c r="N5" i="31"/>
  <c r="E1484" i="36"/>
  <c r="E94" i="36"/>
  <c r="E1598" i="36"/>
  <c r="E3346" i="14"/>
  <c r="N77" i="31"/>
  <c r="N66" i="31" s="1"/>
  <c r="E1366" i="35"/>
  <c r="E1345" i="35"/>
  <c r="E808" i="36" s="1"/>
  <c r="AQ103" i="84"/>
  <c r="V16" i="84"/>
  <c r="E324" i="35"/>
  <c r="E311" i="35"/>
  <c r="E312" i="35" s="1"/>
  <c r="E186" i="36" s="1"/>
  <c r="AG16" i="84"/>
  <c r="M112" i="73"/>
  <c r="E2441" i="14"/>
  <c r="R77" i="85"/>
  <c r="R66" i="85" s="1"/>
  <c r="R31" i="31"/>
  <c r="R32" i="31"/>
  <c r="Q5" i="31"/>
  <c r="Q31" i="31" s="1"/>
  <c r="E2250" i="14"/>
  <c r="N6" i="84"/>
  <c r="E2221" i="14"/>
  <c r="E2247" i="14" s="1"/>
  <c r="L59" i="83"/>
  <c r="E59" i="83"/>
  <c r="Q66" i="31"/>
  <c r="E3263" i="14"/>
  <c r="E1114" i="36"/>
  <c r="N5" i="85"/>
  <c r="E1871" i="35"/>
  <c r="E1873" i="35" s="1"/>
  <c r="E1864" i="35"/>
  <c r="E1866" i="35" s="1"/>
  <c r="E1896" i="35"/>
  <c r="E1898" i="35" s="1"/>
  <c r="E1899" i="35" s="1"/>
  <c r="N6" i="85"/>
  <c r="R6" i="84"/>
  <c r="E2288" i="14"/>
  <c r="R37" i="83"/>
  <c r="R33" i="83"/>
  <c r="Q122" i="73"/>
  <c r="Q118" i="73"/>
  <c r="AG21" i="85"/>
  <c r="E3255" i="14"/>
  <c r="Q121" i="73"/>
  <c r="E2336" i="14"/>
  <c r="E2362" i="14" s="1"/>
  <c r="I38" i="73"/>
  <c r="E1637" i="36"/>
  <c r="V7" i="84"/>
  <c r="O5" i="31"/>
  <c r="E122" i="36"/>
  <c r="E2126" i="14"/>
  <c r="E2130" i="14" s="1"/>
  <c r="N37" i="83"/>
  <c r="E7864" i="14"/>
  <c r="E7944" i="14" s="1"/>
  <c r="E7852" i="14"/>
  <c r="E7932" i="14" s="1"/>
  <c r="E7863" i="14"/>
  <c r="E7943" i="14" s="1"/>
  <c r="E7861" i="14"/>
  <c r="E7941" i="14" s="1"/>
  <c r="E7853" i="14"/>
  <c r="E7933" i="14" s="1"/>
  <c r="E7857" i="14"/>
  <c r="E7937" i="14" s="1"/>
  <c r="E7865" i="14"/>
  <c r="E7945" i="14" s="1"/>
  <c r="E7851" i="14"/>
  <c r="E7860" i="14"/>
  <c r="E7940" i="14" s="1"/>
  <c r="E7859" i="14"/>
  <c r="E7939" i="14" s="1"/>
  <c r="E7855" i="14"/>
  <c r="E7935" i="14" s="1"/>
  <c r="AG118" i="31"/>
  <c r="R10" i="83"/>
  <c r="E587" i="35"/>
  <c r="E355" i="36" s="1"/>
  <c r="E608" i="35"/>
  <c r="E1177" i="35"/>
  <c r="E1156" i="35"/>
  <c r="Q58" i="85"/>
  <c r="R59" i="85"/>
  <c r="Q59" i="85" s="1"/>
  <c r="R7" i="31"/>
  <c r="Q7" i="31" s="1"/>
  <c r="Q33" i="31" s="1"/>
  <c r="AS16" i="83"/>
  <c r="E110" i="73"/>
  <c r="E1295" i="35"/>
  <c r="E1297" i="35" s="1"/>
  <c r="E1327" i="35"/>
  <c r="E1329" i="35" s="1"/>
  <c r="E1330" i="35" s="1"/>
  <c r="E1302" i="35"/>
  <c r="E1304" i="35" s="1"/>
  <c r="E7317" i="14"/>
  <c r="E1200" i="8" s="1"/>
  <c r="L58" i="83"/>
  <c r="E58" i="83"/>
  <c r="U66" i="84"/>
  <c r="E856" i="8"/>
  <c r="AS71" i="84"/>
  <c r="E2403" i="14"/>
  <c r="R59" i="84"/>
  <c r="Q59" i="84" s="1"/>
  <c r="Q58" i="84"/>
  <c r="N10" i="83"/>
  <c r="E1029" i="36"/>
  <c r="V5" i="85"/>
  <c r="V77" i="85"/>
  <c r="V66" i="85" s="1"/>
  <c r="L6" i="83"/>
  <c r="L32" i="83" s="1"/>
  <c r="U32" i="83"/>
  <c r="E32" i="83" s="1"/>
  <c r="E6" i="83"/>
  <c r="E7886" i="14"/>
  <c r="E7950" i="14"/>
  <c r="E7965" i="14" s="1"/>
  <c r="V31" i="83"/>
  <c r="V32" i="83"/>
  <c r="U5" i="83"/>
  <c r="U6" i="84"/>
  <c r="V32" i="84"/>
  <c r="O6" i="31"/>
  <c r="AG21" i="84"/>
  <c r="M118" i="73"/>
  <c r="E164" i="35"/>
  <c r="E166" i="35" s="1"/>
  <c r="E157" i="35"/>
  <c r="E159" i="35" s="1"/>
  <c r="E189" i="35"/>
  <c r="E191" i="35" s="1"/>
  <c r="E192" i="35" s="1"/>
  <c r="E112" i="36" s="1"/>
  <c r="E1485" i="36"/>
  <c r="I74" i="73" s="1"/>
  <c r="N6" i="31"/>
  <c r="E1599" i="36"/>
  <c r="E1367" i="35"/>
  <c r="E609" i="35"/>
  <c r="E596" i="35"/>
  <c r="E597" i="35" s="1"/>
  <c r="E356" i="36" s="1"/>
  <c r="S10" i="31"/>
  <c r="S36" i="31" s="1"/>
  <c r="E323" i="35"/>
  <c r="E302" i="35"/>
  <c r="E185" i="36" s="1"/>
  <c r="E2006" i="35"/>
  <c r="E2008" i="35" s="1"/>
  <c r="E2013" i="35"/>
  <c r="E2015" i="35" s="1"/>
  <c r="E2038" i="35"/>
  <c r="E2040" i="35" s="1"/>
  <c r="E2041" i="35" s="1"/>
  <c r="R5" i="85"/>
  <c r="E1199" i="36"/>
  <c r="U32" i="31"/>
  <c r="E3268" i="14"/>
  <c r="N59" i="84"/>
  <c r="M58" i="84"/>
  <c r="E58" i="84"/>
  <c r="E16" i="31"/>
  <c r="U16" i="31"/>
  <c r="E2209" i="14"/>
  <c r="N59" i="85"/>
  <c r="M58" i="85"/>
  <c r="E58" i="85"/>
  <c r="E2213" i="14"/>
  <c r="R5" i="84"/>
  <c r="E859" i="36"/>
  <c r="E2755" i="14"/>
  <c r="U7" i="31"/>
  <c r="E7" i="31"/>
  <c r="E1754" i="35"/>
  <c r="E1756" i="35" s="1"/>
  <c r="E1757" i="35" s="1"/>
  <c r="E1047" i="36" s="1"/>
  <c r="E1729" i="35"/>
  <c r="E1731" i="35" s="1"/>
  <c r="E1722" i="35"/>
  <c r="E1724" i="35" s="1"/>
  <c r="E1195" i="8"/>
  <c r="E1973" i="14"/>
  <c r="O77" i="31"/>
  <c r="O66" i="31" s="1"/>
  <c r="M58" i="31"/>
  <c r="L58" i="31" s="1"/>
  <c r="N59" i="31"/>
  <c r="M59" i="31" s="1"/>
  <c r="L59" i="31" s="1"/>
  <c r="M64" i="31"/>
  <c r="L64" i="31" s="1"/>
  <c r="V16" i="83"/>
  <c r="U16" i="83" s="1"/>
  <c r="AQ103" i="83"/>
  <c r="E1178" i="35"/>
  <c r="E1165" i="35"/>
  <c r="E1166" i="35" s="1"/>
  <c r="AP105" i="31"/>
  <c r="R16" i="31"/>
  <c r="Q16" i="31" s="1"/>
  <c r="Q42" i="31" s="1"/>
  <c r="E2119" i="14"/>
  <c r="R6" i="85"/>
  <c r="Y58" i="85"/>
  <c r="E1521" i="36"/>
  <c r="E111" i="73"/>
  <c r="I140" i="73"/>
  <c r="E322" i="8"/>
  <c r="F74" i="30"/>
  <c r="N77" i="84"/>
  <c r="N66" i="84" s="1"/>
  <c r="N5" i="84"/>
  <c r="E774" i="36"/>
  <c r="U66" i="83"/>
  <c r="E7904" i="14"/>
  <c r="E7982" i="14" s="1"/>
  <c r="E7903" i="14"/>
  <c r="E7981" i="14" s="1"/>
  <c r="E7905" i="14"/>
  <c r="E7983" i="14" s="1"/>
  <c r="E7897" i="14"/>
  <c r="E7975" i="14" s="1"/>
  <c r="E7892" i="14"/>
  <c r="E7970" i="14" s="1"/>
  <c r="E7893" i="14"/>
  <c r="E7971" i="14" s="1"/>
  <c r="E7900" i="14"/>
  <c r="E7978" i="14" s="1"/>
  <c r="E7901" i="14"/>
  <c r="E7979" i="14" s="1"/>
  <c r="E7896" i="14"/>
  <c r="E7974" i="14" s="1"/>
  <c r="E7891" i="14"/>
  <c r="N77" i="85"/>
  <c r="N66" i="85" s="1"/>
  <c r="E7080" i="14"/>
  <c r="E1444" i="35"/>
  <c r="E1446" i="35" s="1"/>
  <c r="E1437" i="35"/>
  <c r="E1439" i="35" s="1"/>
  <c r="E1469" i="35"/>
  <c r="E1471" i="35" s="1"/>
  <c r="E1472" i="35" s="1"/>
  <c r="R77" i="84"/>
  <c r="R66" i="84" s="1"/>
  <c r="E1447" i="36"/>
  <c r="E2376" i="14" l="1"/>
  <c r="E2377" i="14" s="1"/>
  <c r="E1025" i="8"/>
  <c r="E2414" i="14"/>
  <c r="E2415" i="14" s="1"/>
  <c r="E7924" i="14"/>
  <c r="E8001" i="14" s="1"/>
  <c r="E695" i="36"/>
  <c r="E877" i="36"/>
  <c r="AP103" i="84" s="1"/>
  <c r="E1217" i="36"/>
  <c r="E1132" i="36"/>
  <c r="N16" i="85" s="1"/>
  <c r="AP103" i="83"/>
  <c r="R16" i="83"/>
  <c r="E696" i="36"/>
  <c r="V11" i="84" s="1"/>
  <c r="E792" i="36"/>
  <c r="N16" i="84" s="1"/>
  <c r="E2450" i="14"/>
  <c r="E2476" i="14" s="1"/>
  <c r="E428" i="8"/>
  <c r="E1032" i="8"/>
  <c r="E7913" i="14"/>
  <c r="E7990" i="14" s="1"/>
  <c r="E7915" i="14"/>
  <c r="E7992" i="14" s="1"/>
  <c r="E7925" i="14"/>
  <c r="E8002" i="14" s="1"/>
  <c r="E7916" i="14"/>
  <c r="E7993" i="14" s="1"/>
  <c r="E7919" i="14"/>
  <c r="E7996" i="14" s="1"/>
  <c r="E7912" i="14"/>
  <c r="E7989" i="14" s="1"/>
  <c r="E7917" i="14"/>
  <c r="E7994" i="14" s="1"/>
  <c r="E7923" i="14"/>
  <c r="E8000" i="14" s="1"/>
  <c r="E7920" i="14"/>
  <c r="E7997" i="14" s="1"/>
  <c r="E7921" i="14"/>
  <c r="E7998" i="14" s="1"/>
  <c r="E1368" i="36"/>
  <c r="E1710" i="36"/>
  <c r="E1559" i="36"/>
  <c r="Q74" i="73" s="1"/>
  <c r="E1284" i="36"/>
  <c r="Z6" i="85"/>
  <c r="Z32" i="85" s="1"/>
  <c r="E2261" i="14"/>
  <c r="E2262" i="14" s="1"/>
  <c r="E2081" i="14"/>
  <c r="E2082" i="14" s="1"/>
  <c r="E417" i="8"/>
  <c r="AO16" i="85"/>
  <c r="E1367" i="36"/>
  <c r="E4" i="73" s="1"/>
  <c r="E1467" i="36"/>
  <c r="E91" i="73" s="1"/>
  <c r="E2365" i="14"/>
  <c r="E2366" i="14" s="1"/>
  <c r="E2368" i="14" s="1"/>
  <c r="E2148" i="35"/>
  <c r="E2150" i="35" s="1"/>
  <c r="E2172" i="35" s="1"/>
  <c r="E441" i="8"/>
  <c r="E2155" i="35"/>
  <c r="E2157" i="35" s="1"/>
  <c r="E2173" i="35" s="1"/>
  <c r="AS73" i="31"/>
  <c r="AS72" i="31"/>
  <c r="E416" i="8"/>
  <c r="E2123" i="14"/>
  <c r="E1709" i="36"/>
  <c r="Q38" i="73" s="1"/>
  <c r="Z5" i="85"/>
  <c r="Z31" i="85" s="1"/>
  <c r="E1558" i="36"/>
  <c r="E2207" i="14"/>
  <c r="E3269" i="14"/>
  <c r="V33" i="83"/>
  <c r="M39" i="73"/>
  <c r="E2046" i="14"/>
  <c r="E2048" i="14" s="1"/>
  <c r="E1674" i="36"/>
  <c r="E5261" i="14" s="1"/>
  <c r="E2079" i="14"/>
  <c r="AS16" i="84"/>
  <c r="L58" i="84"/>
  <c r="M6" i="31"/>
  <c r="I74" i="30"/>
  <c r="K74" i="30" s="1"/>
  <c r="H74" i="30"/>
  <c r="M73" i="73"/>
  <c r="E1523" i="36"/>
  <c r="E16" i="83"/>
  <c r="U42" i="83"/>
  <c r="E42" i="83" s="1"/>
  <c r="Y66" i="85"/>
  <c r="R16" i="85"/>
  <c r="AP103" i="85"/>
  <c r="E39" i="73"/>
  <c r="E181" i="35"/>
  <c r="E160" i="35"/>
  <c r="E100" i="36" s="1"/>
  <c r="E5" i="83"/>
  <c r="L5" i="83"/>
  <c r="L31" i="83" s="1"/>
  <c r="U31" i="83"/>
  <c r="E31" i="83" s="1"/>
  <c r="V42" i="83"/>
  <c r="V10" i="83"/>
  <c r="E1643" i="36"/>
  <c r="E7866" i="14"/>
  <c r="E7931" i="14"/>
  <c r="E7946" i="14" s="1"/>
  <c r="N7" i="85"/>
  <c r="E2435" i="14"/>
  <c r="E2439" i="14" s="1"/>
  <c r="O10" i="84"/>
  <c r="O36" i="84" s="1"/>
  <c r="E3367" i="14"/>
  <c r="E3395" i="14"/>
  <c r="E3403" i="14"/>
  <c r="E3386" i="14"/>
  <c r="E3437" i="14"/>
  <c r="E3381" i="14"/>
  <c r="E3374" i="14"/>
  <c r="E3419" i="14"/>
  <c r="E3397" i="14"/>
  <c r="E3389" i="14"/>
  <c r="E3423" i="14"/>
  <c r="E3391" i="14"/>
  <c r="E3393" i="14"/>
  <c r="E3394" i="14"/>
  <c r="E3411" i="14"/>
  <c r="E3377" i="14"/>
  <c r="E3373" i="14"/>
  <c r="E3445" i="14" s="1"/>
  <c r="E3372" i="14"/>
  <c r="E3429" i="14"/>
  <c r="E3401" i="14"/>
  <c r="E3416" i="14"/>
  <c r="E3488" i="14" s="1"/>
  <c r="E3380" i="14"/>
  <c r="E3435" i="14"/>
  <c r="E3385" i="14"/>
  <c r="E3398" i="14"/>
  <c r="E3470" i="14" s="1"/>
  <c r="E3406" i="14"/>
  <c r="E3431" i="14"/>
  <c r="E3408" i="14"/>
  <c r="E3427" i="14"/>
  <c r="E3499" i="14" s="1"/>
  <c r="E3570" i="14" s="1"/>
  <c r="E1880" i="35" s="1"/>
  <c r="E3384" i="14"/>
  <c r="E3382" i="14"/>
  <c r="E3378" i="14"/>
  <c r="E3420" i="14"/>
  <c r="E3492" i="14" s="1"/>
  <c r="E3428" i="14"/>
  <c r="E3432" i="14"/>
  <c r="E3436" i="14"/>
  <c r="E3351" i="14"/>
  <c r="E3354" i="14" s="1"/>
  <c r="E3402" i="14"/>
  <c r="E3412" i="14"/>
  <c r="E3414" i="14"/>
  <c r="E3407" i="14"/>
  <c r="E3479" i="14" s="1"/>
  <c r="E3424" i="14"/>
  <c r="E3418" i="14"/>
  <c r="E3425" i="14"/>
  <c r="E3415" i="14"/>
  <c r="E3487" i="14" s="1"/>
  <c r="E3399" i="14"/>
  <c r="E3410" i="14"/>
  <c r="E3390" i="14"/>
  <c r="E3376" i="14"/>
  <c r="E3448" i="14" s="1"/>
  <c r="E3519" i="14" s="1"/>
  <c r="E173" i="35" s="1"/>
  <c r="E3433" i="14"/>
  <c r="N31" i="31"/>
  <c r="N32" i="31"/>
  <c r="M5" i="31"/>
  <c r="E2095" i="14"/>
  <c r="E2120" i="14" s="1"/>
  <c r="E2480" i="14"/>
  <c r="E2482" i="14" s="1"/>
  <c r="E1462" i="35"/>
  <c r="E1449" i="35"/>
  <c r="E1450" i="35" s="1"/>
  <c r="M66" i="85"/>
  <c r="AK115" i="85"/>
  <c r="E7906" i="14"/>
  <c r="E7969" i="14"/>
  <c r="E7984" i="14" s="1"/>
  <c r="AK115" i="83"/>
  <c r="N7" i="84"/>
  <c r="U11" i="31"/>
  <c r="E11" i="31"/>
  <c r="V37" i="31"/>
  <c r="E37" i="31" s="1"/>
  <c r="E1746" i="35"/>
  <c r="E1725" i="35"/>
  <c r="E1035" i="36" s="1"/>
  <c r="AG16" i="31"/>
  <c r="E3267" i="14"/>
  <c r="E112" i="73"/>
  <c r="E3261" i="14"/>
  <c r="E2215" i="14"/>
  <c r="E59" i="85"/>
  <c r="M59" i="85"/>
  <c r="L59" i="85" s="1"/>
  <c r="R7" i="85"/>
  <c r="E2031" i="35"/>
  <c r="E2018" i="35"/>
  <c r="E2019" i="35" s="1"/>
  <c r="E182" i="35"/>
  <c r="E169" i="35"/>
  <c r="E170" i="35" s="1"/>
  <c r="E101" i="36" s="1"/>
  <c r="AG115" i="83"/>
  <c r="U5" i="85"/>
  <c r="V31" i="85"/>
  <c r="E2397" i="14"/>
  <c r="E2401" i="14" s="1"/>
  <c r="E1319" i="35"/>
  <c r="E1298" i="35"/>
  <c r="V10" i="84"/>
  <c r="O7" i="31"/>
  <c r="O33" i="31" s="1"/>
  <c r="E2289" i="14"/>
  <c r="E2291" i="14" s="1"/>
  <c r="M6" i="85"/>
  <c r="M32" i="85" s="1"/>
  <c r="N32" i="85"/>
  <c r="E32" i="85" s="1"/>
  <c r="E6" i="85"/>
  <c r="E1888" i="35"/>
  <c r="E1867" i="35"/>
  <c r="E6" i="84"/>
  <c r="M6" i="84"/>
  <c r="M32" i="84" s="1"/>
  <c r="N32" i="84"/>
  <c r="E32" i="84" s="1"/>
  <c r="E2251" i="14"/>
  <c r="E2253" i="14" s="1"/>
  <c r="V42" i="84"/>
  <c r="U16" i="84"/>
  <c r="O16" i="31"/>
  <c r="O42" i="31" s="1"/>
  <c r="U31" i="84"/>
  <c r="E1461" i="35"/>
  <c r="E1440" i="35"/>
  <c r="E1449" i="36"/>
  <c r="E73" i="73"/>
  <c r="Q66" i="84"/>
  <c r="E5" i="84"/>
  <c r="M5" i="84"/>
  <c r="M31" i="84" s="1"/>
  <c r="N31" i="84"/>
  <c r="E31" i="84" s="1"/>
  <c r="R32" i="85"/>
  <c r="Q6" i="85"/>
  <c r="Q32" i="85" s="1"/>
  <c r="I56" i="73"/>
  <c r="E1747" i="35"/>
  <c r="E1734" i="35"/>
  <c r="E1735" i="35" s="1"/>
  <c r="E1036" i="36" s="1"/>
  <c r="U33" i="31"/>
  <c r="R7" i="84"/>
  <c r="U118" i="73"/>
  <c r="E2030" i="35"/>
  <c r="E2009" i="35"/>
  <c r="R10" i="31"/>
  <c r="V11" i="83"/>
  <c r="E1644" i="36"/>
  <c r="I46" i="73" s="1"/>
  <c r="E8030" i="14"/>
  <c r="AK186" i="83" s="1"/>
  <c r="E8034" i="14"/>
  <c r="AK189" i="83" s="1"/>
  <c r="E8026" i="14"/>
  <c r="AK183" i="83" s="1"/>
  <c r="U66" i="85"/>
  <c r="V7" i="85"/>
  <c r="M10" i="83"/>
  <c r="M36" i="83" s="1"/>
  <c r="N36" i="83"/>
  <c r="Q10" i="83"/>
  <c r="Q36" i="83" s="1"/>
  <c r="R36" i="83"/>
  <c r="E1889" i="35"/>
  <c r="E1876" i="35"/>
  <c r="E1877" i="35" s="1"/>
  <c r="M140" i="73"/>
  <c r="E323" i="8"/>
  <c r="F88" i="30"/>
  <c r="E2223" i="14"/>
  <c r="R42" i="31"/>
  <c r="E2442" i="14"/>
  <c r="E2444" i="14"/>
  <c r="R11" i="31"/>
  <c r="E1600" i="36"/>
  <c r="E5150" i="14" s="1"/>
  <c r="E38" i="73"/>
  <c r="E1486" i="36"/>
  <c r="I73" i="73"/>
  <c r="E228" i="35"/>
  <c r="E207" i="35"/>
  <c r="E128" i="36" s="1"/>
  <c r="U33" i="83"/>
  <c r="E33" i="83" s="1"/>
  <c r="L7" i="83"/>
  <c r="L33" i="83" s="1"/>
  <c r="E7" i="83"/>
  <c r="R16" i="84"/>
  <c r="M66" i="84"/>
  <c r="AK115" i="84"/>
  <c r="E1193" i="8"/>
  <c r="AS79" i="85"/>
  <c r="V16" i="85"/>
  <c r="AQ103" i="85"/>
  <c r="Q5" i="84"/>
  <c r="Q31" i="84" s="1"/>
  <c r="R31" i="84"/>
  <c r="U42" i="31"/>
  <c r="M59" i="84"/>
  <c r="L59" i="84" s="1"/>
  <c r="E59" i="84"/>
  <c r="AR103" i="85"/>
  <c r="Z16" i="85"/>
  <c r="E1578" i="36"/>
  <c r="R31" i="85"/>
  <c r="Q5" i="85"/>
  <c r="Q31" i="85" s="1"/>
  <c r="AO105" i="31"/>
  <c r="N16" i="31"/>
  <c r="E1618" i="36"/>
  <c r="U32" i="84"/>
  <c r="E2404" i="14"/>
  <c r="E2406" i="14" s="1"/>
  <c r="E1320" i="35"/>
  <c r="E1307" i="35"/>
  <c r="E1308" i="35" s="1"/>
  <c r="L66" i="83"/>
  <c r="O31" i="31"/>
  <c r="O32" i="31"/>
  <c r="U7" i="84"/>
  <c r="V33" i="84"/>
  <c r="E5209" i="14"/>
  <c r="E5205" i="14"/>
  <c r="E5215" i="14"/>
  <c r="E5214" i="14"/>
  <c r="E5212" i="14"/>
  <c r="E5208" i="14"/>
  <c r="E5206" i="14"/>
  <c r="I40" i="73"/>
  <c r="E5211" i="14"/>
  <c r="E5213" i="14"/>
  <c r="E5210" i="14"/>
  <c r="E520" i="36" s="1"/>
  <c r="E5207" i="14"/>
  <c r="E435" i="36" s="1"/>
  <c r="E2338" i="14"/>
  <c r="AK16" i="85"/>
  <c r="E3264" i="14"/>
  <c r="Q124" i="73"/>
  <c r="E3266" i="14"/>
  <c r="R32" i="84"/>
  <c r="Q6" i="84"/>
  <c r="Q32" i="84" s="1"/>
  <c r="E5" i="85"/>
  <c r="N31" i="85"/>
  <c r="E31" i="85" s="1"/>
  <c r="M5" i="85"/>
  <c r="M31" i="85" s="1"/>
  <c r="R33" i="31"/>
  <c r="Q66" i="85"/>
  <c r="M66" i="31"/>
  <c r="N7" i="31"/>
  <c r="E229" i="35"/>
  <c r="E216" i="35"/>
  <c r="E217" i="35" s="1"/>
  <c r="E129" i="36" s="1"/>
  <c r="O11" i="31" s="1"/>
  <c r="O37" i="31" s="1"/>
  <c r="E5204" i="14"/>
  <c r="L58" i="85"/>
  <c r="E10" i="31"/>
  <c r="U10" i="31"/>
  <c r="V36" i="31"/>
  <c r="E36" i="31" s="1"/>
  <c r="U6" i="85"/>
  <c r="V32" i="85"/>
  <c r="E2210" i="14"/>
  <c r="E1692" i="36" l="1"/>
  <c r="E1729" i="36"/>
  <c r="AO103" i="84"/>
  <c r="E1541" i="36"/>
  <c r="M91" i="73" s="1"/>
  <c r="E1504" i="36"/>
  <c r="I91" i="73" s="1"/>
  <c r="E1456" i="36"/>
  <c r="E81" i="73" s="1"/>
  <c r="AO103" i="85"/>
  <c r="E1387" i="36"/>
  <c r="E18" i="73" s="1"/>
  <c r="E781" i="36"/>
  <c r="N11" i="84" s="1"/>
  <c r="E11" i="84" s="1"/>
  <c r="E1205" i="36"/>
  <c r="E1120" i="36"/>
  <c r="E1121" i="36"/>
  <c r="N11" i="85" s="1"/>
  <c r="M11" i="85" s="1"/>
  <c r="M37" i="85" s="1"/>
  <c r="E780" i="36"/>
  <c r="E1206" i="36"/>
  <c r="R11" i="85" s="1"/>
  <c r="E866" i="36"/>
  <c r="R11" i="84" s="1"/>
  <c r="Q16" i="83"/>
  <c r="R42" i="83"/>
  <c r="E865" i="36"/>
  <c r="Y6" i="85"/>
  <c r="Y32" i="85" s="1"/>
  <c r="Y5" i="85"/>
  <c r="Y31" i="85" s="1"/>
  <c r="E1560" i="36"/>
  <c r="E2282" i="14"/>
  <c r="E2286" i="14" s="1"/>
  <c r="E1711" i="36"/>
  <c r="E5319" i="14" s="1"/>
  <c r="E2452" i="14"/>
  <c r="E2453" i="14" s="1"/>
  <c r="E8003" i="14"/>
  <c r="E8072" i="14" s="1"/>
  <c r="AK193" i="85" s="1"/>
  <c r="Q73" i="73"/>
  <c r="E7926" i="14"/>
  <c r="E2151" i="35"/>
  <c r="E3465" i="14"/>
  <c r="E3536" i="14" s="1"/>
  <c r="E742" i="35" s="1"/>
  <c r="E752" i="35" s="1"/>
  <c r="E5271" i="14"/>
  <c r="E5" i="73"/>
  <c r="E2160" i="35"/>
  <c r="E2161" i="35" s="1"/>
  <c r="Q39" i="73"/>
  <c r="E1369" i="36"/>
  <c r="Z7" i="85"/>
  <c r="Z33" i="85" s="1"/>
  <c r="E3469" i="14"/>
  <c r="E3540" i="14" s="1"/>
  <c r="E5269" i="14"/>
  <c r="E5267" i="14"/>
  <c r="E5262" i="14"/>
  <c r="E3509" i="14"/>
  <c r="E5270" i="14"/>
  <c r="U130" i="73"/>
  <c r="E2080" i="14"/>
  <c r="E2084" i="14" s="1"/>
  <c r="E5265" i="14"/>
  <c r="E5151" i="14"/>
  <c r="E123" i="36" s="1"/>
  <c r="M40" i="73"/>
  <c r="E5268" i="14"/>
  <c r="E5272" i="14"/>
  <c r="E5264" i="14"/>
  <c r="E5263" i="14"/>
  <c r="E5266" i="14"/>
  <c r="E1529" i="36"/>
  <c r="M80" i="73" s="1"/>
  <c r="E3505" i="14"/>
  <c r="E3471" i="14"/>
  <c r="E3496" i="14"/>
  <c r="E2076" i="14"/>
  <c r="E179" i="30"/>
  <c r="F179" i="30" s="1"/>
  <c r="M16" i="31"/>
  <c r="M42" i="31" s="1"/>
  <c r="M7" i="31"/>
  <c r="M33" i="31" s="1"/>
  <c r="E3462" i="14"/>
  <c r="E3497" i="14"/>
  <c r="E3486" i="14"/>
  <c r="E3557" i="14" s="1"/>
  <c r="E3508" i="14"/>
  <c r="E3450" i="14"/>
  <c r="E3482" i="14"/>
  <c r="E3553" i="14" s="1"/>
  <c r="E1311" i="35" s="1"/>
  <c r="E1321" i="35" s="1"/>
  <c r="E3490" i="14"/>
  <c r="E3484" i="14"/>
  <c r="E3504" i="14"/>
  <c r="E3454" i="14"/>
  <c r="E3503" i="14"/>
  <c r="E3574" i="14" s="1"/>
  <c r="E2022" i="35" s="1"/>
  <c r="E2032" i="35" s="1"/>
  <c r="E3507" i="14"/>
  <c r="E3578" i="14" s="1"/>
  <c r="E2164" i="35" s="1"/>
  <c r="E2174" i="35" s="1"/>
  <c r="E3501" i="14"/>
  <c r="E3446" i="14"/>
  <c r="E3475" i="14"/>
  <c r="E2436" i="14"/>
  <c r="E3474" i="14"/>
  <c r="E3500" i="14"/>
  <c r="E3456" i="14"/>
  <c r="E3478" i="14"/>
  <c r="E3549" i="14" s="1"/>
  <c r="E3452" i="14"/>
  <c r="E3523" i="14" s="1"/>
  <c r="E3466" i="14"/>
  <c r="E3461" i="14"/>
  <c r="E3532" i="14" s="1"/>
  <c r="E600" i="35" s="1"/>
  <c r="E601" i="35" s="1"/>
  <c r="E357" i="36" s="1"/>
  <c r="E3453" i="14"/>
  <c r="E3524" i="14" s="1"/>
  <c r="E362" i="35" s="1"/>
  <c r="E363" i="35" s="1"/>
  <c r="E215" i="36" s="1"/>
  <c r="E3467" i="14"/>
  <c r="M32" i="31"/>
  <c r="L6" i="31"/>
  <c r="L32" i="31" s="1"/>
  <c r="E2398" i="14"/>
  <c r="E3480" i="14"/>
  <c r="E3457" i="14"/>
  <c r="E3473" i="14"/>
  <c r="E3449" i="14"/>
  <c r="E3520" i="14" s="1"/>
  <c r="E220" i="35" s="1"/>
  <c r="E221" i="35" s="1"/>
  <c r="E130" i="36" s="1"/>
  <c r="O12" i="31" s="1"/>
  <c r="O38" i="31" s="1"/>
  <c r="E3463" i="14"/>
  <c r="E5217" i="14"/>
  <c r="E350" i="36"/>
  <c r="E1115" i="36"/>
  <c r="E775" i="36"/>
  <c r="E95" i="36"/>
  <c r="E324" i="8"/>
  <c r="Q140" i="73"/>
  <c r="F102" i="30"/>
  <c r="N8" i="83"/>
  <c r="E437" i="36"/>
  <c r="E5318" i="14"/>
  <c r="R10" i="85"/>
  <c r="N10" i="84"/>
  <c r="U31" i="85"/>
  <c r="E321" i="8"/>
  <c r="E140" i="73"/>
  <c r="E3271" i="14"/>
  <c r="F60" i="30"/>
  <c r="F46" i="30"/>
  <c r="V10" i="85"/>
  <c r="M7" i="84"/>
  <c r="M33" i="84" s="1"/>
  <c r="E7" i="84"/>
  <c r="N33" i="84"/>
  <c r="E33" i="84" s="1"/>
  <c r="L66" i="85"/>
  <c r="E1455" i="36"/>
  <c r="E8014" i="14"/>
  <c r="AK191" i="31" s="1"/>
  <c r="E8018" i="14"/>
  <c r="AK194" i="31" s="1"/>
  <c r="E8013" i="14"/>
  <c r="AK190" i="31" s="1"/>
  <c r="E8009" i="14"/>
  <c r="AK187" i="31" s="1"/>
  <c r="E8017" i="14"/>
  <c r="AK193" i="31" s="1"/>
  <c r="U36" i="31"/>
  <c r="M56" i="73"/>
  <c r="AS16" i="85"/>
  <c r="R8" i="83"/>
  <c r="E522" i="36"/>
  <c r="N37" i="84"/>
  <c r="E37" i="84" s="1"/>
  <c r="E56" i="73"/>
  <c r="Q91" i="73"/>
  <c r="Q56" i="73"/>
  <c r="O10" i="31"/>
  <c r="O36" i="31" s="1"/>
  <c r="I75" i="73"/>
  <c r="E5155" i="14"/>
  <c r="E5148" i="14"/>
  <c r="E5152" i="14"/>
  <c r="E5157" i="14"/>
  <c r="E5156" i="14"/>
  <c r="E1285" i="36" s="1"/>
  <c r="E5149" i="14"/>
  <c r="E5158" i="14"/>
  <c r="E40" i="73"/>
  <c r="E5154" i="14"/>
  <c r="E208" i="36" s="1"/>
  <c r="E5147" i="14"/>
  <c r="E5153" i="14"/>
  <c r="E2244" i="14"/>
  <c r="E2248" i="14" s="1"/>
  <c r="E2224" i="14"/>
  <c r="E2049" i="14"/>
  <c r="U11" i="83"/>
  <c r="V37" i="83"/>
  <c r="L5" i="84"/>
  <c r="L31" i="84" s="1"/>
  <c r="AG115" i="84"/>
  <c r="N11" i="31"/>
  <c r="E1607" i="36"/>
  <c r="E46" i="73" s="1"/>
  <c r="R33" i="85"/>
  <c r="Q7" i="85"/>
  <c r="Q33" i="85" s="1"/>
  <c r="U37" i="31"/>
  <c r="M31" i="31"/>
  <c r="L5" i="31"/>
  <c r="L31" i="31" s="1"/>
  <c r="E8064" i="14"/>
  <c r="AK187" i="85" s="1"/>
  <c r="R42" i="85"/>
  <c r="Q16" i="85"/>
  <c r="Q42" i="85" s="1"/>
  <c r="E326" i="8"/>
  <c r="M23" i="73"/>
  <c r="M30" i="73"/>
  <c r="U32" i="85"/>
  <c r="U124" i="73"/>
  <c r="E2359" i="14"/>
  <c r="E2363" i="14" s="1"/>
  <c r="E2339" i="14"/>
  <c r="U33" i="84"/>
  <c r="L6" i="84"/>
  <c r="L32" i="84" s="1"/>
  <c r="Z42" i="85"/>
  <c r="Y16" i="85"/>
  <c r="Y42" i="85" s="1"/>
  <c r="V42" i="85"/>
  <c r="U16" i="85"/>
  <c r="U11" i="84"/>
  <c r="V37" i="84"/>
  <c r="L66" i="84"/>
  <c r="R42" i="84"/>
  <c r="Q16" i="84"/>
  <c r="Q42" i="84" s="1"/>
  <c r="I88" i="30"/>
  <c r="K88" i="30" s="1"/>
  <c r="H88" i="30"/>
  <c r="V33" i="85"/>
  <c r="U7" i="85"/>
  <c r="Q10" i="31"/>
  <c r="Q36" i="31" s="1"/>
  <c r="R36" i="31"/>
  <c r="Q7" i="84"/>
  <c r="Q33" i="84" s="1"/>
  <c r="R33" i="84"/>
  <c r="R10" i="84"/>
  <c r="M4" i="73"/>
  <c r="U42" i="84"/>
  <c r="AG115" i="85"/>
  <c r="U10" i="84"/>
  <c r="V36" i="84"/>
  <c r="R37" i="85"/>
  <c r="Q11" i="85"/>
  <c r="Q37" i="85" s="1"/>
  <c r="U112" i="73"/>
  <c r="Q11" i="84"/>
  <c r="Q37" i="84" s="1"/>
  <c r="R37" i="84"/>
  <c r="N42" i="31"/>
  <c r="N33" i="31"/>
  <c r="E3444" i="14"/>
  <c r="E3515" i="14" s="1"/>
  <c r="E31" i="35" s="1"/>
  <c r="E3439" i="14"/>
  <c r="E3483" i="14"/>
  <c r="E3554" i="14" s="1"/>
  <c r="E1358" i="35" s="1"/>
  <c r="E3495" i="14"/>
  <c r="E3566" i="14" s="1"/>
  <c r="E3491" i="14"/>
  <c r="E3458" i="14"/>
  <c r="N33" i="85"/>
  <c r="E33" i="85" s="1"/>
  <c r="M7" i="85"/>
  <c r="M33" i="85" s="1"/>
  <c r="E7" i="85"/>
  <c r="I45" i="73"/>
  <c r="E1492" i="36"/>
  <c r="N10" i="31"/>
  <c r="E1606" i="36"/>
  <c r="L66" i="31"/>
  <c r="Q75" i="73"/>
  <c r="E5320" i="14"/>
  <c r="Q11" i="31"/>
  <c r="Q37" i="31" s="1"/>
  <c r="R37" i="31"/>
  <c r="V11" i="85"/>
  <c r="E75" i="73"/>
  <c r="E6" i="73"/>
  <c r="N10" i="85"/>
  <c r="E1680" i="36"/>
  <c r="E2073" i="14"/>
  <c r="AS16" i="31"/>
  <c r="E8048" i="14"/>
  <c r="AK188" i="84" s="1"/>
  <c r="E8047" i="14"/>
  <c r="AK187" i="84" s="1"/>
  <c r="E8043" i="14"/>
  <c r="AK184" i="84" s="1"/>
  <c r="E8051" i="14"/>
  <c r="AK190" i="84" s="1"/>
  <c r="E183" i="35"/>
  <c r="E174" i="35"/>
  <c r="E102" i="36" s="1"/>
  <c r="E3356" i="14"/>
  <c r="E3357" i="14" s="1"/>
  <c r="E3355" i="14"/>
  <c r="E3361" i="14"/>
  <c r="E3362" i="14" s="1"/>
  <c r="E1890" i="35"/>
  <c r="E1881" i="35"/>
  <c r="E1122" i="36" s="1"/>
  <c r="N12" i="85" s="1"/>
  <c r="N42" i="85"/>
  <c r="E42" i="85" s="1"/>
  <c r="E16" i="85"/>
  <c r="M16" i="85"/>
  <c r="M42" i="85" s="1"/>
  <c r="U10" i="83"/>
  <c r="V36" i="83"/>
  <c r="N42" i="84"/>
  <c r="E42" i="84" s="1"/>
  <c r="E16" i="84"/>
  <c r="M16" i="84"/>
  <c r="M42" i="84" s="1"/>
  <c r="M75" i="73"/>
  <c r="M11" i="84" l="1"/>
  <c r="M37" i="84" s="1"/>
  <c r="E1681" i="36"/>
  <c r="M46" i="73" s="1"/>
  <c r="E2077" i="14"/>
  <c r="E11" i="85"/>
  <c r="L7" i="31"/>
  <c r="L33" i="31" s="1"/>
  <c r="E2473" i="14"/>
  <c r="E5327" i="14"/>
  <c r="E5324" i="14"/>
  <c r="E5326" i="14"/>
  <c r="L5" i="85"/>
  <c r="L31" i="85" s="1"/>
  <c r="Q40" i="73"/>
  <c r="N37" i="85"/>
  <c r="E37" i="85" s="1"/>
  <c r="E1493" i="36"/>
  <c r="I81" i="73" s="1"/>
  <c r="L6" i="85"/>
  <c r="L32" i="85" s="1"/>
  <c r="E1530" i="36"/>
  <c r="M81" i="73" s="1"/>
  <c r="E2283" i="14"/>
  <c r="Q42" i="83"/>
  <c r="L16" i="83"/>
  <c r="L42" i="83" s="1"/>
  <c r="E1291" i="36"/>
  <c r="E1290" i="36"/>
  <c r="E5325" i="14"/>
  <c r="E5329" i="14"/>
  <c r="E8060" i="14"/>
  <c r="AK184" i="85" s="1"/>
  <c r="E5321" i="14"/>
  <c r="E5328" i="14"/>
  <c r="E5322" i="14"/>
  <c r="E8068" i="14"/>
  <c r="AK190" i="85" s="1"/>
  <c r="E5323" i="14"/>
  <c r="E315" i="35"/>
  <c r="E316" i="35" s="1"/>
  <c r="E187" i="36" s="1"/>
  <c r="R12" i="31" s="1"/>
  <c r="E1169" i="35"/>
  <c r="E1179" i="35" s="1"/>
  <c r="E1453" i="35"/>
  <c r="E1463" i="35" s="1"/>
  <c r="E884" i="35"/>
  <c r="E1738" i="35"/>
  <c r="E1748" i="35" s="1"/>
  <c r="E5274" i="14"/>
  <c r="M5" i="73"/>
  <c r="Y7" i="85"/>
  <c r="Y33" i="85" s="1"/>
  <c r="E743" i="35"/>
  <c r="E803" i="36"/>
  <c r="E1487" i="36" s="1"/>
  <c r="E230" i="35"/>
  <c r="E2165" i="35"/>
  <c r="E1292" i="36" s="1"/>
  <c r="E1568" i="36" s="1"/>
  <c r="Q82" i="73" s="1"/>
  <c r="E2023" i="35"/>
  <c r="E1207" i="36" s="1"/>
  <c r="R12" i="85" s="1"/>
  <c r="Q12" i="85" s="1"/>
  <c r="Q38" i="85" s="1"/>
  <c r="L16" i="31"/>
  <c r="L42" i="31" s="1"/>
  <c r="E610" i="35"/>
  <c r="E1312" i="35"/>
  <c r="E782" i="36" s="1"/>
  <c r="N12" i="84" s="1"/>
  <c r="E12" i="84" s="1"/>
  <c r="E2360" i="14"/>
  <c r="E372" i="35"/>
  <c r="E193" i="30"/>
  <c r="F193" i="30" s="1"/>
  <c r="E2074" i="14"/>
  <c r="E1739" i="35"/>
  <c r="E1037" i="36" s="1"/>
  <c r="M18" i="73"/>
  <c r="E5160" i="14"/>
  <c r="E10" i="36"/>
  <c r="E690" i="36"/>
  <c r="E1030" i="36"/>
  <c r="Q8" i="83"/>
  <c r="Q34" i="83" s="1"/>
  <c r="R34" i="83"/>
  <c r="E80" i="73"/>
  <c r="E319" i="8"/>
  <c r="N8" i="85"/>
  <c r="E1117" i="36"/>
  <c r="E45" i="73"/>
  <c r="E3360" i="14"/>
  <c r="E3358" i="14"/>
  <c r="M10" i="85"/>
  <c r="M36" i="85" s="1"/>
  <c r="N36" i="85"/>
  <c r="E36" i="85" s="1"/>
  <c r="E10" i="85"/>
  <c r="M10" i="31"/>
  <c r="N36" i="31"/>
  <c r="E1368" i="35"/>
  <c r="E1359" i="35"/>
  <c r="E810" i="36" s="1"/>
  <c r="L16" i="84"/>
  <c r="L42" i="84" s="1"/>
  <c r="R36" i="84"/>
  <c r="Q10" i="84"/>
  <c r="Q36" i="84" s="1"/>
  <c r="U33" i="85"/>
  <c r="L7" i="85"/>
  <c r="L33" i="85" s="1"/>
  <c r="AJ4" i="89"/>
  <c r="E11" i="83"/>
  <c r="L11" i="83"/>
  <c r="L37" i="83" s="1"/>
  <c r="U37" i="83"/>
  <c r="E37" i="83" s="1"/>
  <c r="E2245" i="14"/>
  <c r="S8" i="31"/>
  <c r="S34" i="31" s="1"/>
  <c r="E210" i="36"/>
  <c r="V36" i="85"/>
  <c r="U10" i="85"/>
  <c r="H60" i="30"/>
  <c r="I60" i="30"/>
  <c r="K60" i="30" s="1"/>
  <c r="N9" i="83"/>
  <c r="AG14" i="83"/>
  <c r="E678" i="8"/>
  <c r="E681" i="8" s="1"/>
  <c r="V8" i="83"/>
  <c r="E1638" i="36"/>
  <c r="E352" i="36"/>
  <c r="O8" i="31"/>
  <c r="O34" i="31" s="1"/>
  <c r="E125" i="36"/>
  <c r="V12" i="83"/>
  <c r="U140" i="73"/>
  <c r="E12" i="85"/>
  <c r="N38" i="85"/>
  <c r="E38" i="85" s="1"/>
  <c r="M12" i="85"/>
  <c r="M38" i="85" s="1"/>
  <c r="N12" i="31"/>
  <c r="M45" i="73"/>
  <c r="V37" i="85"/>
  <c r="U11" i="85"/>
  <c r="U36" i="84"/>
  <c r="L11" i="84"/>
  <c r="L37" i="84" s="1"/>
  <c r="U37" i="84"/>
  <c r="M11" i="31"/>
  <c r="N37" i="31"/>
  <c r="E1561" i="36"/>
  <c r="Z8" i="85"/>
  <c r="E1287" i="36"/>
  <c r="R9" i="83"/>
  <c r="E716" i="8"/>
  <c r="E719" i="8" s="1"/>
  <c r="AG19" i="83"/>
  <c r="S12" i="31"/>
  <c r="S38" i="31" s="1"/>
  <c r="M10" i="84"/>
  <c r="M36" i="84" s="1"/>
  <c r="E10" i="84"/>
  <c r="N36" i="84"/>
  <c r="E36" i="84" s="1"/>
  <c r="M8" i="83"/>
  <c r="M34" i="83" s="1"/>
  <c r="N34" i="83"/>
  <c r="N8" i="31"/>
  <c r="E97" i="36"/>
  <c r="U36" i="83"/>
  <c r="E36" i="83" s="1"/>
  <c r="E10" i="83"/>
  <c r="L10" i="83"/>
  <c r="L36" i="83" s="1"/>
  <c r="M6" i="73"/>
  <c r="E3584" i="14"/>
  <c r="E25" i="39"/>
  <c r="I80" i="73"/>
  <c r="E32" i="35"/>
  <c r="E17" i="36" s="1"/>
  <c r="E41" i="35"/>
  <c r="U42" i="85"/>
  <c r="L16" i="85"/>
  <c r="L42" i="85" s="1"/>
  <c r="L7" i="84"/>
  <c r="L33" i="84" s="1"/>
  <c r="E180" i="36"/>
  <c r="E1200" i="36"/>
  <c r="E860" i="36"/>
  <c r="H46" i="30"/>
  <c r="I46" i="30"/>
  <c r="K46" i="30" s="1"/>
  <c r="R36" i="85"/>
  <c r="Q10" i="85"/>
  <c r="Q36" i="85" s="1"/>
  <c r="H102" i="30"/>
  <c r="I102" i="30"/>
  <c r="K102" i="30" s="1"/>
  <c r="N8" i="84"/>
  <c r="E777" i="36"/>
  <c r="E2477" i="14" l="1"/>
  <c r="E2474" i="14"/>
  <c r="R38" i="85"/>
  <c r="E325" i="35"/>
  <c r="E5331" i="14"/>
  <c r="E1170" i="35"/>
  <c r="E697" i="36" s="1"/>
  <c r="V12" i="84" s="1"/>
  <c r="V38" i="84" s="1"/>
  <c r="E1717" i="36"/>
  <c r="Q45" i="73" s="1"/>
  <c r="E1566" i="36"/>
  <c r="Q80" i="73" s="1"/>
  <c r="E1375" i="36"/>
  <c r="Z10" i="85"/>
  <c r="Z11" i="85"/>
  <c r="E1376" i="36"/>
  <c r="E11" i="73" s="1"/>
  <c r="E1718" i="36"/>
  <c r="Q46" i="73" s="1"/>
  <c r="E1567" i="36"/>
  <c r="Q81" i="73" s="1"/>
  <c r="E442" i="36"/>
  <c r="N12" i="83" s="1"/>
  <c r="M12" i="83" s="1"/>
  <c r="M38" i="83" s="1"/>
  <c r="N38" i="84"/>
  <c r="E38" i="84" s="1"/>
  <c r="O8" i="84"/>
  <c r="O34" i="84" s="1"/>
  <c r="E1454" i="35"/>
  <c r="E805" i="36"/>
  <c r="E885" i="35"/>
  <c r="E894" i="35"/>
  <c r="Z12" i="85"/>
  <c r="Z38" i="85" s="1"/>
  <c r="E1494" i="36"/>
  <c r="I82" i="73" s="1"/>
  <c r="E165" i="30"/>
  <c r="F165" i="30" s="1"/>
  <c r="E207" i="30"/>
  <c r="F207" i="30" s="1"/>
  <c r="AJ3" i="89"/>
  <c r="E151" i="30"/>
  <c r="F151" i="30" s="1"/>
  <c r="N34" i="84"/>
  <c r="E34" i="84" s="1"/>
  <c r="E8" i="84"/>
  <c r="N9" i="31"/>
  <c r="E408" i="8"/>
  <c r="E411" i="8" s="1"/>
  <c r="AG14" i="31"/>
  <c r="Z9" i="85"/>
  <c r="AO14" i="85"/>
  <c r="E1186" i="8"/>
  <c r="E1189" i="8" s="1"/>
  <c r="M12" i="31"/>
  <c r="M38" i="31" s="1"/>
  <c r="N38" i="31"/>
  <c r="I41" i="73"/>
  <c r="E1640" i="36"/>
  <c r="O12" i="84"/>
  <c r="N9" i="85"/>
  <c r="AG14" i="85"/>
  <c r="E1074" i="8"/>
  <c r="E1077" i="8" s="1"/>
  <c r="E1370" i="36"/>
  <c r="V8" i="31"/>
  <c r="E1601" i="36"/>
  <c r="E1450" i="36"/>
  <c r="E12" i="36"/>
  <c r="R8" i="84"/>
  <c r="E862" i="36"/>
  <c r="E27" i="39"/>
  <c r="I76" i="73"/>
  <c r="E1489" i="36"/>
  <c r="Y8" i="85"/>
  <c r="Y34" i="85" s="1"/>
  <c r="Z34" i="85"/>
  <c r="U12" i="84"/>
  <c r="O9" i="31"/>
  <c r="E433" i="8"/>
  <c r="E436" i="8" s="1"/>
  <c r="U8" i="83"/>
  <c r="V34" i="83"/>
  <c r="N34" i="85"/>
  <c r="E34" i="85" s="1"/>
  <c r="M8" i="85"/>
  <c r="M34" i="85" s="1"/>
  <c r="E8" i="85"/>
  <c r="N9" i="84"/>
  <c r="E849" i="8"/>
  <c r="E852" i="8" s="1"/>
  <c r="N38" i="83"/>
  <c r="R8" i="85"/>
  <c r="E1202" i="36"/>
  <c r="V12" i="31"/>
  <c r="E1608" i="36"/>
  <c r="E1457" i="36"/>
  <c r="E3607" i="14"/>
  <c r="E3628" i="14"/>
  <c r="E3632" i="14"/>
  <c r="E3649" i="14"/>
  <c r="E3615" i="14"/>
  <c r="E3653" i="14"/>
  <c r="E3624" i="14"/>
  <c r="E3594" i="14"/>
  <c r="E3611" i="14"/>
  <c r="E3641" i="14"/>
  <c r="E3645" i="14"/>
  <c r="E3629" i="14"/>
  <c r="E3595" i="14"/>
  <c r="E3599" i="14"/>
  <c r="E3602" i="14"/>
  <c r="E462" i="35" s="1"/>
  <c r="E3637" i="14"/>
  <c r="E1647" i="35" s="1"/>
  <c r="E3616" i="14"/>
  <c r="E936" i="35" s="1"/>
  <c r="E3598" i="14"/>
  <c r="E3647" i="14"/>
  <c r="E1979" i="35" s="1"/>
  <c r="E3590" i="14"/>
  <c r="E3619" i="14"/>
  <c r="E1031" i="35" s="1"/>
  <c r="E3604" i="14"/>
  <c r="E556" i="35" s="1"/>
  <c r="E3646" i="14"/>
  <c r="E1932" i="35" s="1"/>
  <c r="E3603" i="14"/>
  <c r="E509" i="35" s="1"/>
  <c r="E3636" i="14"/>
  <c r="E1600" i="35" s="1"/>
  <c r="E3617" i="14"/>
  <c r="E983" i="35" s="1"/>
  <c r="E3608" i="14"/>
  <c r="E652" i="35" s="1"/>
  <c r="E3643" i="14"/>
  <c r="E1837" i="35" s="1"/>
  <c r="E3591" i="14"/>
  <c r="E83" i="35" s="1"/>
  <c r="E3630" i="14"/>
  <c r="E1410" i="35" s="1"/>
  <c r="E3620" i="14"/>
  <c r="E1078" i="35" s="1"/>
  <c r="E3613" i="14"/>
  <c r="E841" i="35" s="1"/>
  <c r="E3638" i="14"/>
  <c r="E1694" i="35" s="1"/>
  <c r="E3596" i="14"/>
  <c r="E272" i="35" s="1"/>
  <c r="E3612" i="14"/>
  <c r="E794" i="35" s="1"/>
  <c r="E3633" i="14"/>
  <c r="E1505" i="35" s="1"/>
  <c r="E3621" i="14"/>
  <c r="E1125" i="35" s="1"/>
  <c r="E3626" i="14"/>
  <c r="E1268" i="35" s="1"/>
  <c r="E3651" i="14"/>
  <c r="E2121" i="35" s="1"/>
  <c r="E3655" i="14"/>
  <c r="E2263" i="35" s="1"/>
  <c r="E3600" i="14"/>
  <c r="E414" i="35" s="1"/>
  <c r="E3625" i="14"/>
  <c r="E1221" i="35" s="1"/>
  <c r="E3592" i="14"/>
  <c r="E130" i="35" s="1"/>
  <c r="E3634" i="14"/>
  <c r="E1552" i="35" s="1"/>
  <c r="E3609" i="14"/>
  <c r="E699" i="35" s="1"/>
  <c r="E3642" i="14"/>
  <c r="E1790" i="35" s="1"/>
  <c r="E3650" i="14"/>
  <c r="E2074" i="35" s="1"/>
  <c r="E3654" i="14"/>
  <c r="E2216" i="35" s="1"/>
  <c r="M8" i="31"/>
  <c r="M34" i="31" s="1"/>
  <c r="N34" i="31"/>
  <c r="Q76" i="73"/>
  <c r="E1563" i="36"/>
  <c r="L10" i="84"/>
  <c r="L36" i="84" s="1"/>
  <c r="Q12" i="31"/>
  <c r="Q38" i="31" s="1"/>
  <c r="R38" i="31"/>
  <c r="AK14" i="83"/>
  <c r="E640" i="8"/>
  <c r="E643" i="8" s="1"/>
  <c r="V9" i="83"/>
  <c r="M36" i="31"/>
  <c r="L10" i="31"/>
  <c r="L36" i="31" s="1"/>
  <c r="V8" i="85"/>
  <c r="E1712" i="36"/>
  <c r="E1032" i="36"/>
  <c r="V12" i="85"/>
  <c r="E1719" i="36"/>
  <c r="R8" i="31"/>
  <c r="E1524" i="36"/>
  <c r="E182" i="36"/>
  <c r="R22" i="83"/>
  <c r="R23" i="83"/>
  <c r="R24" i="83"/>
  <c r="R29" i="83"/>
  <c r="Q9" i="83"/>
  <c r="R35" i="83"/>
  <c r="M37" i="31"/>
  <c r="L11" i="31"/>
  <c r="L37" i="31" s="1"/>
  <c r="U37" i="85"/>
  <c r="U12" i="83"/>
  <c r="V38" i="83"/>
  <c r="N23" i="83"/>
  <c r="M9" i="83"/>
  <c r="N29" i="83"/>
  <c r="N25" i="83"/>
  <c r="N22" i="83"/>
  <c r="N24" i="83"/>
  <c r="N35" i="83"/>
  <c r="U36" i="85"/>
  <c r="S9" i="31"/>
  <c r="E510" i="8"/>
  <c r="E513" i="8" s="1"/>
  <c r="E1675" i="36"/>
  <c r="V8" i="84"/>
  <c r="E692" i="36"/>
  <c r="O9" i="84" l="1"/>
  <c r="O35" i="84" s="1"/>
  <c r="M8" i="84"/>
  <c r="M34" i="84" s="1"/>
  <c r="E867" i="36"/>
  <c r="M11" i="73"/>
  <c r="Z36" i="85"/>
  <c r="Y10" i="85"/>
  <c r="Z37" i="85"/>
  <c r="Y11" i="85"/>
  <c r="E10" i="73"/>
  <c r="E34" i="38"/>
  <c r="E16" i="38"/>
  <c r="E527" i="36"/>
  <c r="AG14" i="84"/>
  <c r="E867" i="8"/>
  <c r="E870" i="8" s="1"/>
  <c r="Y12" i="85"/>
  <c r="Y38" i="85" s="1"/>
  <c r="Q47" i="73"/>
  <c r="AS14" i="83"/>
  <c r="Q77" i="73"/>
  <c r="E1579" i="36"/>
  <c r="Q92" i="73" s="1"/>
  <c r="E1885" i="35"/>
  <c r="E1123" i="36" s="1"/>
  <c r="E3717" i="14"/>
  <c r="E1891" i="35" s="1"/>
  <c r="E1892" i="35" s="1"/>
  <c r="E1174" i="35"/>
  <c r="E698" i="36" s="1"/>
  <c r="E3696" i="14"/>
  <c r="E1180" i="35" s="1"/>
  <c r="E1181" i="35" s="1"/>
  <c r="E1458" i="35"/>
  <c r="E868" i="36" s="1"/>
  <c r="E3704" i="14"/>
  <c r="E1464" i="35" s="1"/>
  <c r="E1465" i="35" s="1"/>
  <c r="U12" i="31"/>
  <c r="E12" i="31"/>
  <c r="V38" i="31"/>
  <c r="E38" i="31" s="1"/>
  <c r="E8" i="83"/>
  <c r="U34" i="83"/>
  <c r="E34" i="83" s="1"/>
  <c r="L8" i="83"/>
  <c r="L34" i="83" s="1"/>
  <c r="O29" i="31"/>
  <c r="O22" i="31"/>
  <c r="O24" i="31"/>
  <c r="O23" i="31"/>
  <c r="O25" i="31"/>
  <c r="O35" i="31"/>
  <c r="E41" i="73"/>
  <c r="E1603" i="36"/>
  <c r="O38" i="84"/>
  <c r="M12" i="84"/>
  <c r="M38" i="84" s="1"/>
  <c r="R48" i="83"/>
  <c r="R55" i="83"/>
  <c r="R49" i="83"/>
  <c r="R50" i="83"/>
  <c r="R9" i="31"/>
  <c r="E485" i="8"/>
  <c r="E488" i="8" s="1"/>
  <c r="AG19" i="31"/>
  <c r="V38" i="85"/>
  <c r="U12" i="85"/>
  <c r="V34" i="85"/>
  <c r="U8" i="85"/>
  <c r="E320" i="35"/>
  <c r="E188" i="36" s="1"/>
  <c r="E3670" i="14"/>
  <c r="E326" i="35" s="1"/>
  <c r="E327" i="35" s="1"/>
  <c r="E367" i="35"/>
  <c r="E216" i="36" s="1"/>
  <c r="E3671" i="14"/>
  <c r="E373" i="35" s="1"/>
  <c r="E374" i="35" s="1"/>
  <c r="E1743" i="35"/>
  <c r="E1038" i="36" s="1"/>
  <c r="E3713" i="14"/>
  <c r="E1749" i="35" s="1"/>
  <c r="E1750" i="35" s="1"/>
  <c r="E2169" i="35"/>
  <c r="E1293" i="36" s="1"/>
  <c r="E3725" i="14"/>
  <c r="E2175" i="35" s="1"/>
  <c r="E2176" i="35" s="1"/>
  <c r="E1316" i="35"/>
  <c r="E783" i="36" s="1"/>
  <c r="E3700" i="14"/>
  <c r="E1322" i="35" s="1"/>
  <c r="E1323" i="35" s="1"/>
  <c r="E82" i="73"/>
  <c r="U38" i="84"/>
  <c r="E331" i="8"/>
  <c r="E334" i="8" s="1"/>
  <c r="AK14" i="31"/>
  <c r="V9" i="31"/>
  <c r="U8" i="31"/>
  <c r="E8" i="31"/>
  <c r="V34" i="31"/>
  <c r="E34" i="31" s="1"/>
  <c r="Q41" i="73"/>
  <c r="E1714" i="36"/>
  <c r="S22" i="31"/>
  <c r="S29" i="31"/>
  <c r="S23" i="31"/>
  <c r="S24" i="31"/>
  <c r="S25" i="31"/>
  <c r="S35" i="31"/>
  <c r="V9" i="84"/>
  <c r="AK14" i="84"/>
  <c r="E793" i="8"/>
  <c r="E796" i="8" s="1"/>
  <c r="Q22" i="83"/>
  <c r="Q23" i="83"/>
  <c r="Q29" i="83"/>
  <c r="Q35" i="83"/>
  <c r="Q24" i="83"/>
  <c r="M76" i="73"/>
  <c r="E1526" i="36"/>
  <c r="V22" i="83"/>
  <c r="U9" i="83"/>
  <c r="V25" i="83"/>
  <c r="V23" i="83"/>
  <c r="V29" i="83"/>
  <c r="V24" i="83"/>
  <c r="V35" i="83"/>
  <c r="E225" i="35"/>
  <c r="E131" i="36" s="1"/>
  <c r="E3667" i="14"/>
  <c r="E231" i="35" s="1"/>
  <c r="E232" i="35" s="1"/>
  <c r="E747" i="35"/>
  <c r="E443" i="36" s="1"/>
  <c r="E3683" i="14"/>
  <c r="E753" i="35" s="1"/>
  <c r="E754" i="35" s="1"/>
  <c r="E889" i="35"/>
  <c r="E528" i="36" s="1"/>
  <c r="E3687" i="14"/>
  <c r="E895" i="35" s="1"/>
  <c r="E896" i="35" s="1"/>
  <c r="E605" i="35"/>
  <c r="E358" i="36" s="1"/>
  <c r="E3679" i="14"/>
  <c r="E611" i="35" s="1"/>
  <c r="E612" i="35" s="1"/>
  <c r="E47" i="73"/>
  <c r="R9" i="85"/>
  <c r="AG19" i="85"/>
  <c r="E1130" i="8"/>
  <c r="E1133" i="8" s="1"/>
  <c r="N24" i="84"/>
  <c r="E24" i="84" s="1"/>
  <c r="E9" i="84"/>
  <c r="N23" i="84"/>
  <c r="E23" i="84" s="1"/>
  <c r="N22" i="84"/>
  <c r="E22" i="84" s="1"/>
  <c r="N35" i="84"/>
  <c r="N25" i="84"/>
  <c r="E25" i="84" s="1"/>
  <c r="N29" i="84"/>
  <c r="E29" i="84" s="1"/>
  <c r="AG118" i="85"/>
  <c r="I77" i="73"/>
  <c r="E1505" i="36"/>
  <c r="I92" i="73" s="1"/>
  <c r="O23" i="84"/>
  <c r="O25" i="84"/>
  <c r="R9" i="84"/>
  <c r="AG19" i="84"/>
  <c r="E905" i="8"/>
  <c r="E908" i="8" s="1"/>
  <c r="E76" i="73"/>
  <c r="E1452" i="36"/>
  <c r="E7" i="73"/>
  <c r="E1372" i="36"/>
  <c r="N22" i="85"/>
  <c r="E22" i="85" s="1"/>
  <c r="M9" i="85"/>
  <c r="N29" i="85"/>
  <c r="E29" i="85" s="1"/>
  <c r="E9" i="85"/>
  <c r="N25" i="85"/>
  <c r="E25" i="85" s="1"/>
  <c r="N35" i="85"/>
  <c r="N24" i="85"/>
  <c r="E24" i="85" s="1"/>
  <c r="N23" i="85"/>
  <c r="E23" i="85" s="1"/>
  <c r="E301" i="8"/>
  <c r="F71" i="30"/>
  <c r="I42" i="73"/>
  <c r="E1656" i="36"/>
  <c r="I57" i="73" s="1"/>
  <c r="Z23" i="85"/>
  <c r="Y9" i="85"/>
  <c r="Z22" i="85"/>
  <c r="Z35" i="85"/>
  <c r="Z24" i="85"/>
  <c r="Z29" i="85"/>
  <c r="Z25" i="85"/>
  <c r="M41" i="73"/>
  <c r="E1677" i="36"/>
  <c r="M35" i="83"/>
  <c r="M25" i="83"/>
  <c r="M24" i="83"/>
  <c r="M23" i="83"/>
  <c r="M22" i="83"/>
  <c r="M29" i="83"/>
  <c r="Q8" i="31"/>
  <c r="Q34" i="31" s="1"/>
  <c r="R34" i="31"/>
  <c r="V34" i="84"/>
  <c r="U8" i="84"/>
  <c r="N55" i="83"/>
  <c r="N49" i="83"/>
  <c r="N48" i="83"/>
  <c r="N50" i="83"/>
  <c r="N51" i="83"/>
  <c r="E12" i="83"/>
  <c r="U38" i="83"/>
  <c r="E38" i="83" s="1"/>
  <c r="V9" i="85"/>
  <c r="AK14" i="85"/>
  <c r="E1018" i="8"/>
  <c r="E1021" i="8" s="1"/>
  <c r="E36" i="35"/>
  <c r="E18" i="36" s="1"/>
  <c r="E3662" i="14"/>
  <c r="E42" i="35" s="1"/>
  <c r="E43" i="35" s="1"/>
  <c r="E1363" i="35"/>
  <c r="E811" i="36" s="1"/>
  <c r="E3701" i="14"/>
  <c r="E1369" i="35" s="1"/>
  <c r="E1370" i="35" s="1"/>
  <c r="E178" i="35"/>
  <c r="E103" i="36" s="1"/>
  <c r="E3666" i="14"/>
  <c r="E184" i="35" s="1"/>
  <c r="E185" i="35" s="1"/>
  <c r="E2027" i="35"/>
  <c r="E1208" i="36" s="1"/>
  <c r="E3721" i="14"/>
  <c r="E2033" i="35" s="1"/>
  <c r="E2034" i="35" s="1"/>
  <c r="Q8" i="85"/>
  <c r="Q34" i="85" s="1"/>
  <c r="R34" i="85"/>
  <c r="R34" i="84"/>
  <c r="Q8" i="84"/>
  <c r="Q34" i="84" s="1"/>
  <c r="N23" i="31"/>
  <c r="N29" i="31"/>
  <c r="N22" i="31"/>
  <c r="M9" i="31"/>
  <c r="N25" i="31"/>
  <c r="N24" i="31"/>
  <c r="N35" i="31"/>
  <c r="AG118" i="84"/>
  <c r="O24" i="84" l="1"/>
  <c r="M9" i="84"/>
  <c r="O22" i="84"/>
  <c r="O29" i="84"/>
  <c r="R12" i="83"/>
  <c r="E1645" i="36"/>
  <c r="I47" i="73" s="1"/>
  <c r="E1531" i="36"/>
  <c r="M82" i="73" s="1"/>
  <c r="E1377" i="36"/>
  <c r="E12" i="73" s="1"/>
  <c r="M12" i="73" s="1"/>
  <c r="Y37" i="85"/>
  <c r="L11" i="85"/>
  <c r="L37" i="85" s="1"/>
  <c r="Y36" i="85"/>
  <c r="L10" i="85"/>
  <c r="L36" i="85" s="1"/>
  <c r="R12" i="84"/>
  <c r="R25" i="84" s="1"/>
  <c r="E1682" i="36"/>
  <c r="M47" i="73" s="1"/>
  <c r="E14" i="39"/>
  <c r="E17" i="39"/>
  <c r="M10" i="73"/>
  <c r="E1512" i="36"/>
  <c r="I98" i="73" s="1"/>
  <c r="E1664" i="36"/>
  <c r="I64" i="73" s="1"/>
  <c r="I65" i="73" s="1"/>
  <c r="N13" i="31"/>
  <c r="E1495" i="36"/>
  <c r="E105" i="36"/>
  <c r="V13" i="31"/>
  <c r="V26" i="31" s="1"/>
  <c r="E26" i="31" s="1"/>
  <c r="E1378" i="36"/>
  <c r="E1609" i="36"/>
  <c r="E1458" i="36"/>
  <c r="E20" i="36"/>
  <c r="AS14" i="85"/>
  <c r="M49" i="83"/>
  <c r="M48" i="83"/>
  <c r="M51" i="83"/>
  <c r="M55" i="83"/>
  <c r="M50" i="83"/>
  <c r="Y22" i="85"/>
  <c r="Y23" i="85"/>
  <c r="Y25" i="85"/>
  <c r="Y24" i="85"/>
  <c r="Y29" i="85"/>
  <c r="Y35" i="85"/>
  <c r="Q55" i="83"/>
  <c r="Q50" i="83"/>
  <c r="Q48" i="83"/>
  <c r="Q49" i="83"/>
  <c r="S50" i="31"/>
  <c r="S51" i="31"/>
  <c r="S48" i="31"/>
  <c r="S49" i="31"/>
  <c r="S55" i="31"/>
  <c r="U34" i="31"/>
  <c r="L8" i="31"/>
  <c r="L34" i="31" s="1"/>
  <c r="N13" i="84"/>
  <c r="E785" i="36"/>
  <c r="V13" i="85"/>
  <c r="V26" i="85" s="1"/>
  <c r="E1720" i="36"/>
  <c r="E1040" i="36"/>
  <c r="R13" i="31"/>
  <c r="R26" i="31" s="1"/>
  <c r="E1532" i="36"/>
  <c r="E190" i="36"/>
  <c r="U34" i="85"/>
  <c r="L8" i="85"/>
  <c r="L34" i="85" s="1"/>
  <c r="E6750" i="14"/>
  <c r="E6751" i="14" s="1"/>
  <c r="E6740" i="14"/>
  <c r="E6741" i="14" s="1"/>
  <c r="E1586" i="36"/>
  <c r="E302" i="8"/>
  <c r="E1701" i="36"/>
  <c r="M64" i="73" s="1"/>
  <c r="F85" i="30"/>
  <c r="M42" i="73"/>
  <c r="E1693" i="36"/>
  <c r="M57" i="73" s="1"/>
  <c r="Z49" i="85"/>
  <c r="Z51" i="85"/>
  <c r="Z48" i="85"/>
  <c r="Z50" i="85"/>
  <c r="Z55" i="85"/>
  <c r="H71" i="30"/>
  <c r="I71" i="30"/>
  <c r="K71" i="30" s="1"/>
  <c r="N51" i="85"/>
  <c r="E51" i="85" s="1"/>
  <c r="E35" i="85"/>
  <c r="N50" i="85"/>
  <c r="E50" i="85" s="1"/>
  <c r="N55" i="85"/>
  <c r="E55" i="85" s="1"/>
  <c r="N49" i="85"/>
  <c r="E49" i="85" s="1"/>
  <c r="N48" i="85"/>
  <c r="E48" i="85" s="1"/>
  <c r="R23" i="84"/>
  <c r="R24" i="84"/>
  <c r="R35" i="84"/>
  <c r="R22" i="84"/>
  <c r="Q9" i="84"/>
  <c r="R29" i="84"/>
  <c r="N51" i="84"/>
  <c r="E51" i="84" s="1"/>
  <c r="N49" i="84"/>
  <c r="E49" i="84" s="1"/>
  <c r="E35" i="84"/>
  <c r="N55" i="84"/>
  <c r="E55" i="84" s="1"/>
  <c r="N50" i="84"/>
  <c r="E50" i="84" s="1"/>
  <c r="N48" i="84"/>
  <c r="E48" i="84" s="1"/>
  <c r="M35" i="84"/>
  <c r="M29" i="84"/>
  <c r="M22" i="84"/>
  <c r="M25" i="84"/>
  <c r="M24" i="84"/>
  <c r="M23" i="84"/>
  <c r="E1646" i="36"/>
  <c r="V13" i="83"/>
  <c r="E360" i="36"/>
  <c r="N13" i="83"/>
  <c r="E445" i="36"/>
  <c r="V55" i="83"/>
  <c r="V49" i="83"/>
  <c r="V50" i="83"/>
  <c r="V51" i="83"/>
  <c r="V48" i="83"/>
  <c r="L9" i="83"/>
  <c r="U25" i="83"/>
  <c r="E25" i="83" s="1"/>
  <c r="U22" i="83"/>
  <c r="E22" i="83" s="1"/>
  <c r="U35" i="83"/>
  <c r="E9" i="83"/>
  <c r="U29" i="83"/>
  <c r="E29" i="83" s="1"/>
  <c r="U23" i="83"/>
  <c r="E23" i="83" s="1"/>
  <c r="U24" i="83"/>
  <c r="E24" i="83" s="1"/>
  <c r="AS14" i="84"/>
  <c r="U9" i="31"/>
  <c r="E9" i="31"/>
  <c r="V23" i="31"/>
  <c r="E23" i="31" s="1"/>
  <c r="V29" i="31"/>
  <c r="E29" i="31" s="1"/>
  <c r="V24" i="31"/>
  <c r="E24" i="31" s="1"/>
  <c r="V25" i="31"/>
  <c r="E25" i="31" s="1"/>
  <c r="V22" i="31"/>
  <c r="E22" i="31" s="1"/>
  <c r="V35" i="31"/>
  <c r="E7305" i="14"/>
  <c r="E7306" i="14" s="1"/>
  <c r="E7295" i="14"/>
  <c r="E7296" i="14" s="1"/>
  <c r="E6505" i="14"/>
  <c r="E6506" i="14" s="1"/>
  <c r="E6515" i="14"/>
  <c r="E6516" i="14" s="1"/>
  <c r="L12" i="31"/>
  <c r="L38" i="31" s="1"/>
  <c r="U38" i="31"/>
  <c r="E1683" i="36"/>
  <c r="V13" i="84"/>
  <c r="V26" i="84" s="1"/>
  <c r="E700" i="36"/>
  <c r="R13" i="85"/>
  <c r="R26" i="85" s="1"/>
  <c r="E1210" i="36"/>
  <c r="O13" i="84"/>
  <c r="E813" i="36"/>
  <c r="U9" i="85"/>
  <c r="V22" i="85"/>
  <c r="V23" i="85"/>
  <c r="V29" i="85"/>
  <c r="V25" i="85"/>
  <c r="V24" i="85"/>
  <c r="V35" i="85"/>
  <c r="U34" i="84"/>
  <c r="L8" i="84"/>
  <c r="L34" i="84" s="1"/>
  <c r="F43" i="30"/>
  <c r="E298" i="8"/>
  <c r="E15" i="38"/>
  <c r="E1420" i="36"/>
  <c r="E26" i="73" s="1"/>
  <c r="E1414" i="36"/>
  <c r="E1416" i="36" s="1"/>
  <c r="E25" i="73" s="1"/>
  <c r="E1396" i="36"/>
  <c r="E1398" i="36" s="1"/>
  <c r="E8" i="73"/>
  <c r="E1408" i="36"/>
  <c r="E1410" i="36" s="1"/>
  <c r="E77" i="73"/>
  <c r="E1468" i="36"/>
  <c r="E92" i="73" s="1"/>
  <c r="E1475" i="36"/>
  <c r="E6366" i="14"/>
  <c r="E6367" i="14" s="1"/>
  <c r="E6376" i="14"/>
  <c r="E6377" i="14" s="1"/>
  <c r="E6396" i="14"/>
  <c r="E6397" i="14" s="1"/>
  <c r="E1549" i="36"/>
  <c r="M77" i="73"/>
  <c r="E1542" i="36"/>
  <c r="M92" i="73" s="1"/>
  <c r="V25" i="84"/>
  <c r="V29" i="84"/>
  <c r="U9" i="84"/>
  <c r="V22" i="84"/>
  <c r="V24" i="84"/>
  <c r="V23" i="84"/>
  <c r="V35" i="84"/>
  <c r="E303" i="8"/>
  <c r="E1737" i="36"/>
  <c r="Q64" i="73" s="1"/>
  <c r="F99" i="30"/>
  <c r="Q42" i="73"/>
  <c r="E1730" i="36"/>
  <c r="Q57" i="73" s="1"/>
  <c r="AS14" i="31"/>
  <c r="Z13" i="85"/>
  <c r="E1569" i="36"/>
  <c r="E1295" i="36"/>
  <c r="S13" i="31"/>
  <c r="E218" i="36"/>
  <c r="U38" i="85"/>
  <c r="L12" i="85"/>
  <c r="L38" i="85" s="1"/>
  <c r="E300" i="8"/>
  <c r="F57" i="30"/>
  <c r="E1627" i="36"/>
  <c r="E64" i="73" s="1"/>
  <c r="E42" i="73"/>
  <c r="E1619" i="36"/>
  <c r="E57" i="73" s="1"/>
  <c r="AG118" i="83"/>
  <c r="E6898" i="14"/>
  <c r="E6899" i="14" s="1"/>
  <c r="E6908" i="14"/>
  <c r="E6909" i="14" s="1"/>
  <c r="E7137" i="14"/>
  <c r="E7138" i="14" s="1"/>
  <c r="E7147" i="14"/>
  <c r="E7148" i="14" s="1"/>
  <c r="N48" i="31"/>
  <c r="N49" i="31"/>
  <c r="N51" i="31"/>
  <c r="N50" i="31"/>
  <c r="N55" i="31"/>
  <c r="E6855" i="14"/>
  <c r="E6856" i="14" s="1"/>
  <c r="E6845" i="14"/>
  <c r="E6846" i="14" s="1"/>
  <c r="M29" i="31"/>
  <c r="M35" i="31"/>
  <c r="M23" i="31"/>
  <c r="M22" i="31"/>
  <c r="M25" i="31"/>
  <c r="M24" i="31"/>
  <c r="E6330" i="14"/>
  <c r="E6331" i="14" s="1"/>
  <c r="E6320" i="14"/>
  <c r="E6321" i="14" s="1"/>
  <c r="E6181" i="14"/>
  <c r="E6182" i="14" s="1"/>
  <c r="E6211" i="14"/>
  <c r="E6212" i="14" s="1"/>
  <c r="E6191" i="14"/>
  <c r="E6192" i="14" s="1"/>
  <c r="M25" i="85"/>
  <c r="M23" i="85"/>
  <c r="M29" i="85"/>
  <c r="M22" i="85"/>
  <c r="M35" i="85"/>
  <c r="M24" i="85"/>
  <c r="M7" i="73"/>
  <c r="O51" i="84"/>
  <c r="O55" i="84"/>
  <c r="O48" i="84"/>
  <c r="O49" i="84"/>
  <c r="O50" i="84"/>
  <c r="Q9" i="85"/>
  <c r="R23" i="85"/>
  <c r="R24" i="85"/>
  <c r="R25" i="85"/>
  <c r="R22" i="85"/>
  <c r="R35" i="85"/>
  <c r="R29" i="85"/>
  <c r="R13" i="83"/>
  <c r="E530" i="36"/>
  <c r="O13" i="31"/>
  <c r="E133" i="36"/>
  <c r="E6819" i="14"/>
  <c r="E6820" i="14" s="1"/>
  <c r="E6829" i="14"/>
  <c r="E6830" i="14" s="1"/>
  <c r="E7058" i="14"/>
  <c r="E7059" i="14" s="1"/>
  <c r="E7068" i="14"/>
  <c r="E7069" i="14" s="1"/>
  <c r="E6459" i="14"/>
  <c r="E6460" i="14" s="1"/>
  <c r="E6469" i="14"/>
  <c r="E6470" i="14" s="1"/>
  <c r="R22" i="31"/>
  <c r="R25" i="31"/>
  <c r="Q9" i="31"/>
  <c r="R23" i="31"/>
  <c r="R29" i="31"/>
  <c r="R24" i="31"/>
  <c r="R35" i="31"/>
  <c r="O48" i="31"/>
  <c r="O51" i="31"/>
  <c r="O49" i="31"/>
  <c r="O50" i="31"/>
  <c r="O55" i="31"/>
  <c r="R13" i="84"/>
  <c r="E870" i="36"/>
  <c r="N13" i="85"/>
  <c r="E1125" i="36"/>
  <c r="R38" i="84" l="1"/>
  <c r="Q12" i="84"/>
  <c r="Q25" i="84" s="1"/>
  <c r="R25" i="83"/>
  <c r="Q12" i="83"/>
  <c r="R38" i="83"/>
  <c r="R51" i="83" s="1"/>
  <c r="E176" i="30"/>
  <c r="F176" i="30" s="1"/>
  <c r="Q35" i="31"/>
  <c r="Q24" i="31"/>
  <c r="Q23" i="31"/>
  <c r="Q22" i="31"/>
  <c r="Q25" i="31"/>
  <c r="Q29" i="31"/>
  <c r="E725" i="8"/>
  <c r="AP101" i="83"/>
  <c r="R14" i="83"/>
  <c r="E726" i="8"/>
  <c r="R79" i="83" s="1"/>
  <c r="R69" i="83" s="1"/>
  <c r="Q69" i="83" s="1"/>
  <c r="E533" i="36"/>
  <c r="E6213" i="14"/>
  <c r="E348" i="8" s="1"/>
  <c r="E6216" i="14"/>
  <c r="E6218" i="14" s="1"/>
  <c r="E345" i="8" s="1"/>
  <c r="U64" i="73"/>
  <c r="E65" i="73"/>
  <c r="AR101" i="85"/>
  <c r="E1201" i="8"/>
  <c r="Z14" i="85"/>
  <c r="E1202" i="8"/>
  <c r="Z79" i="85" s="1"/>
  <c r="Z69" i="85" s="1"/>
  <c r="Y69" i="85" s="1"/>
  <c r="E1298" i="36"/>
  <c r="Q65" i="73"/>
  <c r="M98" i="73"/>
  <c r="E6381" i="14"/>
  <c r="E6383" i="14" s="1"/>
  <c r="E446" i="8" s="1"/>
  <c r="E6378" i="14"/>
  <c r="E449" i="8" s="1"/>
  <c r="E98" i="73"/>
  <c r="I30" i="73"/>
  <c r="I17" i="73"/>
  <c r="M8" i="73"/>
  <c r="I8" i="73"/>
  <c r="I23" i="73"/>
  <c r="I18" i="73"/>
  <c r="I11" i="73"/>
  <c r="I10" i="73"/>
  <c r="E13" i="39"/>
  <c r="H43" i="30"/>
  <c r="I43" i="30"/>
  <c r="K43" i="30" s="1"/>
  <c r="E882" i="8"/>
  <c r="E883" i="8"/>
  <c r="O79" i="84" s="1"/>
  <c r="O69" i="84" s="1"/>
  <c r="O14" i="84"/>
  <c r="E816" i="36"/>
  <c r="M48" i="73"/>
  <c r="E1685" i="36"/>
  <c r="E7310" i="14"/>
  <c r="E7312" i="14" s="1"/>
  <c r="E1196" i="8" s="1"/>
  <c r="E7307" i="14"/>
  <c r="E1198" i="8" s="1"/>
  <c r="V50" i="31"/>
  <c r="E50" i="31" s="1"/>
  <c r="V49" i="31"/>
  <c r="E49" i="31" s="1"/>
  <c r="V55" i="31"/>
  <c r="E55" i="31" s="1"/>
  <c r="V48" i="31"/>
  <c r="E48" i="31" s="1"/>
  <c r="V51" i="31"/>
  <c r="E51" i="31" s="1"/>
  <c r="E35" i="31"/>
  <c r="U13" i="83"/>
  <c r="V39" i="83"/>
  <c r="V52" i="83" s="1"/>
  <c r="V26" i="83"/>
  <c r="H85" i="30"/>
  <c r="I85" i="30"/>
  <c r="K85" i="30" s="1"/>
  <c r="Q13" i="31"/>
  <c r="Q39" i="31" s="1"/>
  <c r="R39" i="31"/>
  <c r="R52" i="31" s="1"/>
  <c r="E864" i="8"/>
  <c r="AO101" i="84"/>
  <c r="E865" i="8"/>
  <c r="N79" i="84" s="1"/>
  <c r="N69" i="84" s="1"/>
  <c r="N14" i="84"/>
  <c r="E788" i="36"/>
  <c r="E25" i="38"/>
  <c r="E27" i="38" s="1"/>
  <c r="E13" i="73"/>
  <c r="E9" i="39"/>
  <c r="E1380" i="36"/>
  <c r="M13" i="31"/>
  <c r="N39" i="31"/>
  <c r="N52" i="31" s="1"/>
  <c r="N26" i="31"/>
  <c r="Q13" i="84"/>
  <c r="Q39" i="84" s="1"/>
  <c r="R39" i="84"/>
  <c r="R52" i="84" s="1"/>
  <c r="E7149" i="14"/>
  <c r="E1086" i="8" s="1"/>
  <c r="E7152" i="14"/>
  <c r="E7154" i="14" s="1"/>
  <c r="E1084" i="8" s="1"/>
  <c r="H57" i="30"/>
  <c r="I57" i="30"/>
  <c r="K57" i="30" s="1"/>
  <c r="Q83" i="73"/>
  <c r="E1571" i="36"/>
  <c r="U35" i="84"/>
  <c r="U22" i="84"/>
  <c r="L9" i="84"/>
  <c r="U23" i="84"/>
  <c r="U29" i="84"/>
  <c r="U25" i="84"/>
  <c r="U24" i="84"/>
  <c r="E1736" i="36"/>
  <c r="E1626" i="36"/>
  <c r="E1422" i="36"/>
  <c r="E1700" i="36"/>
  <c r="E1663" i="36"/>
  <c r="E22" i="73"/>
  <c r="V48" i="85"/>
  <c r="V51" i="85"/>
  <c r="V50" i="85"/>
  <c r="V49" i="85"/>
  <c r="V55" i="85"/>
  <c r="O39" i="84"/>
  <c r="O52" i="84" s="1"/>
  <c r="O26" i="84"/>
  <c r="E6520" i="14"/>
  <c r="E6522" i="14" s="1"/>
  <c r="E523" i="8" s="1"/>
  <c r="E6517" i="14"/>
  <c r="E526" i="8" s="1"/>
  <c r="AO101" i="83"/>
  <c r="E687" i="8"/>
  <c r="N14" i="83"/>
  <c r="E688" i="8"/>
  <c r="N79" i="83" s="1"/>
  <c r="N69" i="83" s="1"/>
  <c r="M69" i="83" s="1"/>
  <c r="E448" i="36"/>
  <c r="I48" i="73"/>
  <c r="E1648" i="36"/>
  <c r="M49" i="84"/>
  <c r="M51" i="84"/>
  <c r="M55" i="84"/>
  <c r="M48" i="84"/>
  <c r="M50" i="84"/>
  <c r="Q22" i="84"/>
  <c r="Q23" i="84"/>
  <c r="Q29" i="84"/>
  <c r="Q24" i="84"/>
  <c r="Q35" i="84"/>
  <c r="R26" i="84"/>
  <c r="M65" i="73"/>
  <c r="E6752" i="14"/>
  <c r="E805" i="8" s="1"/>
  <c r="E6755" i="14"/>
  <c r="E6757" i="14" s="1"/>
  <c r="E803" i="8" s="1"/>
  <c r="V14" i="85"/>
  <c r="E1033" i="8"/>
  <c r="E1034" i="8"/>
  <c r="V79" i="85" s="1"/>
  <c r="V69" i="85" s="1"/>
  <c r="U69" i="85" s="1"/>
  <c r="AQ101" i="85"/>
  <c r="E1043" i="36"/>
  <c r="M13" i="84"/>
  <c r="E13" i="84"/>
  <c r="N39" i="84"/>
  <c r="N26" i="84"/>
  <c r="E26" i="84" s="1"/>
  <c r="E353" i="8"/>
  <c r="AQ103" i="31"/>
  <c r="V14" i="31"/>
  <c r="E354" i="8"/>
  <c r="V79" i="31" s="1"/>
  <c r="V69" i="31" s="1"/>
  <c r="E23" i="36"/>
  <c r="U13" i="31"/>
  <c r="U26" i="31" s="1"/>
  <c r="E13" i="31"/>
  <c r="V39" i="31"/>
  <c r="E39" i="31" s="1"/>
  <c r="AO101" i="85"/>
  <c r="E1089" i="8"/>
  <c r="N14" i="85"/>
  <c r="E1090" i="8"/>
  <c r="N79" i="85" s="1"/>
  <c r="N69" i="85" s="1"/>
  <c r="E1128" i="36"/>
  <c r="R51" i="31"/>
  <c r="R50" i="31"/>
  <c r="R55" i="31"/>
  <c r="R49" i="31"/>
  <c r="R48" i="31"/>
  <c r="E7073" i="14"/>
  <c r="E7075" i="14" s="1"/>
  <c r="E1028" i="8" s="1"/>
  <c r="E7070" i="14"/>
  <c r="E1030" i="8" s="1"/>
  <c r="Q13" i="83"/>
  <c r="R39" i="83"/>
  <c r="R52" i="83" s="1"/>
  <c r="R26" i="83"/>
  <c r="M55" i="31"/>
  <c r="M49" i="31"/>
  <c r="M51" i="31"/>
  <c r="M48" i="31"/>
  <c r="M50" i="31"/>
  <c r="E13" i="85"/>
  <c r="N39" i="85"/>
  <c r="M13" i="85"/>
  <c r="N26" i="85"/>
  <c r="E26" i="85" s="1"/>
  <c r="O14" i="31"/>
  <c r="E455" i="8"/>
  <c r="E456" i="8"/>
  <c r="O79" i="31" s="1"/>
  <c r="O69" i="31" s="1"/>
  <c r="E136" i="36"/>
  <c r="E532" i="8"/>
  <c r="S14" i="31"/>
  <c r="E533" i="8"/>
  <c r="S79" i="31" s="1"/>
  <c r="S69" i="31" s="1"/>
  <c r="E221" i="36"/>
  <c r="Y13" i="85"/>
  <c r="Z39" i="85"/>
  <c r="Z52" i="85" s="1"/>
  <c r="Z26" i="85"/>
  <c r="H99" i="30"/>
  <c r="I99" i="30"/>
  <c r="K99" i="30" s="1"/>
  <c r="V48" i="84"/>
  <c r="V51" i="84"/>
  <c r="V49" i="84"/>
  <c r="V55" i="84"/>
  <c r="V50" i="84"/>
  <c r="M25" i="73"/>
  <c r="I25" i="73"/>
  <c r="R14" i="85"/>
  <c r="E1145" i="8"/>
  <c r="AP101" i="85"/>
  <c r="E1146" i="8"/>
  <c r="R79" i="85" s="1"/>
  <c r="R69" i="85" s="1"/>
  <c r="Q69" i="85" s="1"/>
  <c r="E1213" i="36"/>
  <c r="AQ101" i="84"/>
  <c r="E808" i="8"/>
  <c r="E809" i="8"/>
  <c r="V79" i="84" s="1"/>
  <c r="V69" i="84" s="1"/>
  <c r="U69" i="84" s="1"/>
  <c r="V14" i="84"/>
  <c r="E703" i="36"/>
  <c r="U51" i="83"/>
  <c r="E51" i="83" s="1"/>
  <c r="U49" i="83"/>
  <c r="E49" i="83" s="1"/>
  <c r="U48" i="83"/>
  <c r="E48" i="83" s="1"/>
  <c r="U55" i="83"/>
  <c r="E55" i="83" s="1"/>
  <c r="U50" i="83"/>
  <c r="E50" i="83" s="1"/>
  <c r="E35" i="83"/>
  <c r="M13" i="83"/>
  <c r="N39" i="83"/>
  <c r="N52" i="83" s="1"/>
  <c r="N26" i="83"/>
  <c r="E507" i="8"/>
  <c r="AP103" i="31"/>
  <c r="R14" i="31"/>
  <c r="E508" i="8"/>
  <c r="R79" i="31" s="1"/>
  <c r="R69" i="31" s="1"/>
  <c r="E193" i="36"/>
  <c r="Q48" i="73"/>
  <c r="E1722" i="36"/>
  <c r="E83" i="73"/>
  <c r="E1460" i="36"/>
  <c r="AO103" i="31"/>
  <c r="E430" i="8"/>
  <c r="N14" i="31"/>
  <c r="E431" i="8"/>
  <c r="N79" i="31" s="1"/>
  <c r="N69" i="31" s="1"/>
  <c r="E108" i="36"/>
  <c r="AP101" i="84"/>
  <c r="E920" i="8"/>
  <c r="R14" i="84"/>
  <c r="E921" i="8"/>
  <c r="R79" i="84" s="1"/>
  <c r="R69" i="84" s="1"/>
  <c r="Q69" i="84" s="1"/>
  <c r="E873" i="36"/>
  <c r="E6474" i="14"/>
  <c r="E6476" i="14" s="1"/>
  <c r="E498" i="8" s="1"/>
  <c r="E6471" i="14"/>
  <c r="E501" i="8" s="1"/>
  <c r="E6834" i="14"/>
  <c r="E6836" i="14" s="1"/>
  <c r="E859" i="8" s="1"/>
  <c r="E6831" i="14"/>
  <c r="E861" i="8" s="1"/>
  <c r="O39" i="31"/>
  <c r="O52" i="31" s="1"/>
  <c r="O26" i="31"/>
  <c r="R51" i="85"/>
  <c r="R48" i="85"/>
  <c r="R55" i="85"/>
  <c r="R50" i="85"/>
  <c r="R49" i="85"/>
  <c r="Q29" i="85"/>
  <c r="Q25" i="85"/>
  <c r="Q24" i="85"/>
  <c r="Q23" i="85"/>
  <c r="Q22" i="85"/>
  <c r="Q35" i="85"/>
  <c r="M49" i="85"/>
  <c r="M55" i="85"/>
  <c r="M48" i="85"/>
  <c r="M50" i="85"/>
  <c r="M51" i="85"/>
  <c r="I66" i="73"/>
  <c r="E6193" i="14"/>
  <c r="E347" i="8" s="1"/>
  <c r="E6196" i="14"/>
  <c r="E6198" i="14" s="1"/>
  <c r="E344" i="8" s="1"/>
  <c r="E6335" i="14"/>
  <c r="E6337" i="14" s="1"/>
  <c r="E421" i="8" s="1"/>
  <c r="E6332" i="14"/>
  <c r="E424" i="8" s="1"/>
  <c r="E6860" i="14"/>
  <c r="E6862" i="14" s="1"/>
  <c r="E877" i="8" s="1"/>
  <c r="E6857" i="14"/>
  <c r="E879" i="8" s="1"/>
  <c r="E6913" i="14"/>
  <c r="E6915" i="14" s="1"/>
  <c r="E915" i="8" s="1"/>
  <c r="E6910" i="14"/>
  <c r="E917" i="8" s="1"/>
  <c r="S39" i="31"/>
  <c r="S52" i="31" s="1"/>
  <c r="S26" i="31"/>
  <c r="E6401" i="14"/>
  <c r="E6403" i="14" s="1"/>
  <c r="E447" i="8" s="1"/>
  <c r="E6398" i="14"/>
  <c r="E450" i="8" s="1"/>
  <c r="E24" i="73"/>
  <c r="E1476" i="36"/>
  <c r="E99" i="73" s="1"/>
  <c r="E1587" i="36"/>
  <c r="Q99" i="73" s="1"/>
  <c r="E1513" i="36"/>
  <c r="E1550" i="36"/>
  <c r="M99" i="73" s="1"/>
  <c r="I26" i="73"/>
  <c r="M26" i="73"/>
  <c r="U23" i="85"/>
  <c r="U35" i="85"/>
  <c r="U22" i="85"/>
  <c r="U25" i="85"/>
  <c r="L9" i="85"/>
  <c r="U29" i="85"/>
  <c r="U24" i="85"/>
  <c r="Q13" i="85"/>
  <c r="Q39" i="85" s="1"/>
  <c r="R39" i="85"/>
  <c r="R52" i="85" s="1"/>
  <c r="U13" i="84"/>
  <c r="U26" i="84" s="1"/>
  <c r="V39" i="84"/>
  <c r="V52" i="84" s="1"/>
  <c r="U25" i="31"/>
  <c r="U24" i="31"/>
  <c r="U23" i="31"/>
  <c r="U35" i="31"/>
  <c r="U29" i="31"/>
  <c r="L9" i="31"/>
  <c r="U22" i="31"/>
  <c r="L24" i="83"/>
  <c r="L29" i="83"/>
  <c r="L23" i="83"/>
  <c r="L35" i="83"/>
  <c r="L22" i="83"/>
  <c r="E649" i="8"/>
  <c r="V14" i="83"/>
  <c r="AQ101" i="83"/>
  <c r="E650" i="8"/>
  <c r="V79" i="83" s="1"/>
  <c r="V69" i="83" s="1"/>
  <c r="U69" i="83" s="1"/>
  <c r="AK118" i="83" s="1"/>
  <c r="E363" i="36"/>
  <c r="R50" i="84"/>
  <c r="R55" i="84"/>
  <c r="R51" i="84"/>
  <c r="R48" i="84"/>
  <c r="R49" i="84"/>
  <c r="Q98" i="73"/>
  <c r="M83" i="73"/>
  <c r="E1534" i="36"/>
  <c r="U13" i="85"/>
  <c r="V39" i="85"/>
  <c r="V52" i="85" s="1"/>
  <c r="Y50" i="85"/>
  <c r="Y48" i="85"/>
  <c r="Y51" i="85"/>
  <c r="Y49" i="85"/>
  <c r="Y55" i="85"/>
  <c r="E48" i="73"/>
  <c r="E1611" i="36"/>
  <c r="I83" i="73"/>
  <c r="E1497" i="36"/>
  <c r="I12" i="73"/>
  <c r="Q38" i="83" l="1"/>
  <c r="Q51" i="83" s="1"/>
  <c r="Q25" i="83"/>
  <c r="L12" i="83"/>
  <c r="Q38" i="84"/>
  <c r="Q51" i="84" s="1"/>
  <c r="L12" i="84"/>
  <c r="L38" i="84" s="1"/>
  <c r="M69" i="31"/>
  <c r="Q69" i="31"/>
  <c r="E8177" i="14"/>
  <c r="E8202" i="14"/>
  <c r="E8205" i="14" s="1"/>
  <c r="E8212" i="14"/>
  <c r="E8215" i="14" s="1"/>
  <c r="E8182" i="14"/>
  <c r="E8185" i="14" s="1"/>
  <c r="E8178" i="14"/>
  <c r="E8197" i="14"/>
  <c r="E190" i="30"/>
  <c r="F190" i="30" s="1"/>
  <c r="E148" i="30"/>
  <c r="F148" i="30" s="1"/>
  <c r="E204" i="30"/>
  <c r="F204" i="30" s="1"/>
  <c r="Q49" i="85"/>
  <c r="Q52" i="85"/>
  <c r="Q55" i="85"/>
  <c r="Q51" i="85"/>
  <c r="Q48" i="85"/>
  <c r="Q50" i="85"/>
  <c r="R15" i="84"/>
  <c r="E880" i="36"/>
  <c r="E874" i="36"/>
  <c r="AK121" i="31"/>
  <c r="U69" i="31"/>
  <c r="E39" i="84"/>
  <c r="N52" i="84"/>
  <c r="E52" i="84" s="1"/>
  <c r="V40" i="85"/>
  <c r="V53" i="85" s="1"/>
  <c r="U14" i="85"/>
  <c r="V27" i="85"/>
  <c r="M66" i="73"/>
  <c r="I49" i="73"/>
  <c r="E1651" i="36"/>
  <c r="I22" i="73"/>
  <c r="M22" i="73"/>
  <c r="E1629" i="36"/>
  <c r="E63" i="73"/>
  <c r="E14" i="73"/>
  <c r="E1383" i="36"/>
  <c r="O15" i="84"/>
  <c r="E823" i="36"/>
  <c r="E817" i="36"/>
  <c r="M100" i="73"/>
  <c r="Y14" i="85"/>
  <c r="Z40" i="85"/>
  <c r="Z53" i="85" s="1"/>
  <c r="Z27" i="85"/>
  <c r="Q26" i="31"/>
  <c r="I84" i="73"/>
  <c r="E1500" i="36"/>
  <c r="I99" i="73"/>
  <c r="U99" i="73" s="1"/>
  <c r="E1515" i="36"/>
  <c r="Y39" i="85"/>
  <c r="Y52" i="85" s="1"/>
  <c r="Y26" i="85"/>
  <c r="AK118" i="85"/>
  <c r="M69" i="85"/>
  <c r="L69" i="85" s="1"/>
  <c r="V15" i="83"/>
  <c r="E370" i="36"/>
  <c r="E364" i="36"/>
  <c r="M14" i="31"/>
  <c r="N40" i="31"/>
  <c r="N53" i="31" s="1"/>
  <c r="N27" i="31"/>
  <c r="E84" i="73"/>
  <c r="E1463" i="36"/>
  <c r="R15" i="31"/>
  <c r="E200" i="36"/>
  <c r="E194" i="36"/>
  <c r="U14" i="84"/>
  <c r="V40" i="84"/>
  <c r="V53" i="84" s="1"/>
  <c r="V27" i="84"/>
  <c r="S15" i="31"/>
  <c r="E228" i="36"/>
  <c r="E222" i="36"/>
  <c r="S40" i="31"/>
  <c r="S53" i="31" s="1"/>
  <c r="S27" i="31"/>
  <c r="O40" i="31"/>
  <c r="O53" i="31" s="1"/>
  <c r="O27" i="31"/>
  <c r="E39" i="85"/>
  <c r="N52" i="85"/>
  <c r="E52" i="85" s="1"/>
  <c r="M14" i="85"/>
  <c r="E14" i="85"/>
  <c r="N40" i="85"/>
  <c r="N27" i="85"/>
  <c r="E27" i="85" s="1"/>
  <c r="E14" i="31"/>
  <c r="U14" i="31"/>
  <c r="V40" i="31"/>
  <c r="V27" i="31"/>
  <c r="E27" i="31" s="1"/>
  <c r="E8123" i="14"/>
  <c r="E8172" i="14"/>
  <c r="M14" i="83"/>
  <c r="N40" i="83"/>
  <c r="N53" i="83" s="1"/>
  <c r="N27" i="83"/>
  <c r="E8110" i="14"/>
  <c r="E8155" i="14"/>
  <c r="E1666" i="36"/>
  <c r="I63" i="73"/>
  <c r="Q63" i="73"/>
  <c r="E1739" i="36"/>
  <c r="N15" i="84"/>
  <c r="E795" i="36"/>
  <c r="E789" i="36"/>
  <c r="L13" i="83"/>
  <c r="U39" i="83"/>
  <c r="E13" i="83"/>
  <c r="U26" i="83"/>
  <c r="E26" i="83" s="1"/>
  <c r="E1552" i="36"/>
  <c r="Z15" i="85"/>
  <c r="E1305" i="36"/>
  <c r="E1299" i="36"/>
  <c r="Q100" i="73"/>
  <c r="M39" i="85"/>
  <c r="M52" i="85" s="1"/>
  <c r="M26" i="85"/>
  <c r="L23" i="31"/>
  <c r="L25" i="31"/>
  <c r="L22" i="31"/>
  <c r="L24" i="31"/>
  <c r="L29" i="31"/>
  <c r="L35" i="31"/>
  <c r="U49" i="85"/>
  <c r="U50" i="85"/>
  <c r="U55" i="85"/>
  <c r="U48" i="85"/>
  <c r="U51" i="85"/>
  <c r="E8153" i="14"/>
  <c r="E8108" i="14"/>
  <c r="E49" i="73"/>
  <c r="E1614" i="36"/>
  <c r="E8148" i="14"/>
  <c r="E8097" i="14"/>
  <c r="R40" i="84"/>
  <c r="R53" i="84" s="1"/>
  <c r="Q14" i="84"/>
  <c r="R27" i="84"/>
  <c r="M39" i="83"/>
  <c r="M52" i="83" s="1"/>
  <c r="M26" i="83"/>
  <c r="E1220" i="36"/>
  <c r="R15" i="85"/>
  <c r="E1214" i="36"/>
  <c r="Q39" i="83"/>
  <c r="Q52" i="83" s="1"/>
  <c r="Q26" i="83"/>
  <c r="U39" i="31"/>
  <c r="U52" i="31" s="1"/>
  <c r="L13" i="31"/>
  <c r="L39" i="31" s="1"/>
  <c r="M39" i="84"/>
  <c r="M52" i="84" s="1"/>
  <c r="M26" i="84"/>
  <c r="Q26" i="84"/>
  <c r="N15" i="83"/>
  <c r="E455" i="36"/>
  <c r="E449" i="36"/>
  <c r="M63" i="73"/>
  <c r="E1703" i="36"/>
  <c r="U49" i="84"/>
  <c r="U55" i="84"/>
  <c r="U50" i="84"/>
  <c r="U48" i="84"/>
  <c r="U51" i="84"/>
  <c r="E162" i="30"/>
  <c r="F162" i="30" s="1"/>
  <c r="I13" i="73"/>
  <c r="M13" i="73"/>
  <c r="N40" i="84"/>
  <c r="M14" i="84"/>
  <c r="E14" i="84"/>
  <c r="N27" i="84"/>
  <c r="E27" i="84" s="1"/>
  <c r="M49" i="73"/>
  <c r="E1688" i="36"/>
  <c r="O40" i="84"/>
  <c r="O53" i="84" s="1"/>
  <c r="O27" i="84"/>
  <c r="E20" i="39"/>
  <c r="U98" i="73"/>
  <c r="E100" i="73"/>
  <c r="Q66" i="73"/>
  <c r="E8138" i="14"/>
  <c r="E8081" i="14"/>
  <c r="Q14" i="83"/>
  <c r="R40" i="83"/>
  <c r="R53" i="83" s="1"/>
  <c r="R27" i="83"/>
  <c r="U48" i="31"/>
  <c r="U51" i="31"/>
  <c r="U50" i="31"/>
  <c r="U55" i="31"/>
  <c r="U49" i="31"/>
  <c r="L13" i="84"/>
  <c r="L39" i="84" s="1"/>
  <c r="U39" i="84"/>
  <c r="U52" i="84" s="1"/>
  <c r="E8080" i="14"/>
  <c r="E8137" i="14"/>
  <c r="L13" i="85"/>
  <c r="L39" i="85" s="1"/>
  <c r="U39" i="85"/>
  <c r="U52" i="85" s="1"/>
  <c r="U14" i="83"/>
  <c r="V40" i="83"/>
  <c r="V53" i="83" s="1"/>
  <c r="V27" i="83"/>
  <c r="U26" i="85"/>
  <c r="L25" i="85"/>
  <c r="L24" i="85"/>
  <c r="L29" i="85"/>
  <c r="L23" i="85"/>
  <c r="L35" i="85"/>
  <c r="L22" i="85"/>
  <c r="M84" i="73"/>
  <c r="E1537" i="36"/>
  <c r="E1589" i="36"/>
  <c r="L49" i="83"/>
  <c r="L48" i="83"/>
  <c r="L50" i="83"/>
  <c r="L55" i="83"/>
  <c r="M24" i="73"/>
  <c r="I24" i="73"/>
  <c r="E8145" i="14"/>
  <c r="E8094" i="14"/>
  <c r="Q26" i="85"/>
  <c r="N15" i="31"/>
  <c r="E115" i="36"/>
  <c r="E109" i="36"/>
  <c r="Q49" i="73"/>
  <c r="E1725" i="36"/>
  <c r="Q14" i="31"/>
  <c r="R40" i="31"/>
  <c r="R53" i="31" s="1"/>
  <c r="R27" i="31"/>
  <c r="V15" i="84"/>
  <c r="E710" i="36"/>
  <c r="E704" i="36"/>
  <c r="R40" i="85"/>
  <c r="R53" i="85" s="1"/>
  <c r="Q14" i="85"/>
  <c r="R27" i="85"/>
  <c r="O15" i="31"/>
  <c r="E143" i="36"/>
  <c r="E137" i="36"/>
  <c r="N15" i="85"/>
  <c r="E1135" i="36"/>
  <c r="E1129" i="36"/>
  <c r="V15" i="31"/>
  <c r="E30" i="36"/>
  <c r="E24" i="36"/>
  <c r="V15" i="85"/>
  <c r="E1050" i="36"/>
  <c r="E1044" i="36"/>
  <c r="Q49" i="84"/>
  <c r="Q50" i="84"/>
  <c r="Q52" i="84"/>
  <c r="Q55" i="84"/>
  <c r="Q48" i="84"/>
  <c r="L69" i="83"/>
  <c r="E27" i="73"/>
  <c r="L24" i="84"/>
  <c r="L29" i="84"/>
  <c r="L23" i="84"/>
  <c r="L25" i="84"/>
  <c r="L35" i="84"/>
  <c r="L22" i="84"/>
  <c r="Q84" i="73"/>
  <c r="E1574" i="36"/>
  <c r="M39" i="31"/>
  <c r="M52" i="31" s="1"/>
  <c r="M26" i="31"/>
  <c r="M69" i="84"/>
  <c r="L69" i="84" s="1"/>
  <c r="AK118" i="84"/>
  <c r="V52" i="31"/>
  <c r="E52" i="31" s="1"/>
  <c r="E1478" i="36"/>
  <c r="E8147" i="14"/>
  <c r="E8096" i="14"/>
  <c r="E66" i="73"/>
  <c r="R15" i="83"/>
  <c r="E540" i="36"/>
  <c r="E534" i="36"/>
  <c r="Q48" i="31"/>
  <c r="Q55" i="31"/>
  <c r="Q50" i="31"/>
  <c r="Q51" i="31"/>
  <c r="Q49" i="31"/>
  <c r="Q52" i="31"/>
  <c r="L69" i="31" l="1"/>
  <c r="L38" i="83"/>
  <c r="L51" i="83" s="1"/>
  <c r="L25" i="83"/>
  <c r="E8217" i="14"/>
  <c r="E8200" i="14"/>
  <c r="E8180" i="14"/>
  <c r="L26" i="85"/>
  <c r="L26" i="84"/>
  <c r="E8159" i="14"/>
  <c r="E15" i="31"/>
  <c r="U15" i="31"/>
  <c r="V41" i="31"/>
  <c r="V28" i="31"/>
  <c r="E28" i="31" s="1"/>
  <c r="Q40" i="85"/>
  <c r="Q53" i="85" s="1"/>
  <c r="Q27" i="85"/>
  <c r="E1733" i="36"/>
  <c r="Q52" i="73"/>
  <c r="E1726" i="36"/>
  <c r="Q53" i="73" s="1"/>
  <c r="N17" i="31"/>
  <c r="AO107" i="31"/>
  <c r="AO109" i="31"/>
  <c r="E409" i="8"/>
  <c r="AG15" i="31"/>
  <c r="E116" i="36"/>
  <c r="E1545" i="36"/>
  <c r="M87" i="73"/>
  <c r="E1538" i="36"/>
  <c r="M88" i="73" s="1"/>
  <c r="E8169" i="14"/>
  <c r="E8143" i="14"/>
  <c r="E8219" i="14"/>
  <c r="E101" i="73"/>
  <c r="E40" i="84"/>
  <c r="N53" i="84"/>
  <c r="E53" i="84" s="1"/>
  <c r="E52" i="73"/>
  <c r="E1615" i="36"/>
  <c r="E53" i="73" s="1"/>
  <c r="E1622" i="36"/>
  <c r="L50" i="31"/>
  <c r="L51" i="31"/>
  <c r="L55" i="31"/>
  <c r="L49" i="31"/>
  <c r="L52" i="31"/>
  <c r="L48" i="31"/>
  <c r="Z41" i="85"/>
  <c r="Z54" i="85" s="1"/>
  <c r="Y15" i="85"/>
  <c r="Z28" i="85"/>
  <c r="E39" i="83"/>
  <c r="U52" i="83"/>
  <c r="E52" i="83" s="1"/>
  <c r="AO107" i="84"/>
  <c r="N17" i="84"/>
  <c r="E850" i="8"/>
  <c r="AO105" i="84"/>
  <c r="AG15" i="84"/>
  <c r="E796" i="36"/>
  <c r="E40" i="31"/>
  <c r="V53" i="31"/>
  <c r="E53" i="31" s="1"/>
  <c r="E40" i="85"/>
  <c r="N53" i="85"/>
  <c r="E53" i="85" s="1"/>
  <c r="Q15" i="31"/>
  <c r="R41" i="31"/>
  <c r="R54" i="31" s="1"/>
  <c r="R28" i="31"/>
  <c r="E1471" i="36"/>
  <c r="E87" i="73"/>
  <c r="E1464" i="36"/>
  <c r="E88" i="73" s="1"/>
  <c r="U15" i="83"/>
  <c r="V41" i="83"/>
  <c r="V54" i="83" s="1"/>
  <c r="V28" i="83"/>
  <c r="I85" i="73"/>
  <c r="I14" i="73"/>
  <c r="M14" i="73"/>
  <c r="AP105" i="84"/>
  <c r="AP107" i="84"/>
  <c r="R17" i="84"/>
  <c r="AG20" i="84"/>
  <c r="E906" i="8"/>
  <c r="E881" i="36"/>
  <c r="E1582" i="36"/>
  <c r="Q87" i="73"/>
  <c r="E1575" i="36"/>
  <c r="Q88" i="73" s="1"/>
  <c r="I27" i="73"/>
  <c r="M27" i="73"/>
  <c r="U15" i="85"/>
  <c r="V41" i="85"/>
  <c r="V54" i="85" s="1"/>
  <c r="V28" i="85"/>
  <c r="AO107" i="85"/>
  <c r="AO105" i="85"/>
  <c r="E1075" i="8"/>
  <c r="AG15" i="85"/>
  <c r="N17" i="85"/>
  <c r="E1136" i="36"/>
  <c r="AQ105" i="84"/>
  <c r="AQ107" i="84"/>
  <c r="AK15" i="84"/>
  <c r="V17" i="84"/>
  <c r="E794" i="8"/>
  <c r="E711" i="36"/>
  <c r="M15" i="31"/>
  <c r="N41" i="31"/>
  <c r="N54" i="31" s="1"/>
  <c r="N28" i="31"/>
  <c r="M85" i="73"/>
  <c r="L14" i="83"/>
  <c r="U40" i="83"/>
  <c r="E14" i="83"/>
  <c r="U27" i="83"/>
  <c r="E27" i="83" s="1"/>
  <c r="E8087" i="14"/>
  <c r="E8090" i="14" s="1"/>
  <c r="U100" i="73"/>
  <c r="E1696" i="36"/>
  <c r="M52" i="73"/>
  <c r="E1689" i="36"/>
  <c r="M53" i="73" s="1"/>
  <c r="R41" i="85"/>
  <c r="R54" i="85" s="1"/>
  <c r="Q15" i="85"/>
  <c r="R28" i="85"/>
  <c r="E50" i="73"/>
  <c r="L39" i="83"/>
  <c r="L52" i="83" s="1"/>
  <c r="L26" i="83"/>
  <c r="M15" i="84"/>
  <c r="N41" i="84"/>
  <c r="E15" i="84"/>
  <c r="N28" i="84"/>
  <c r="E28" i="84" s="1"/>
  <c r="U40" i="31"/>
  <c r="U53" i="31" s="1"/>
  <c r="L14" i="31"/>
  <c r="U27" i="31"/>
  <c r="E511" i="8"/>
  <c r="S17" i="31"/>
  <c r="E229" i="36"/>
  <c r="U40" i="84"/>
  <c r="U53" i="84" s="1"/>
  <c r="L14" i="84"/>
  <c r="U27" i="84"/>
  <c r="E85" i="73"/>
  <c r="M40" i="31"/>
  <c r="M53" i="31" s="1"/>
  <c r="M27" i="31"/>
  <c r="I100" i="73"/>
  <c r="Y40" i="85"/>
  <c r="Y53" i="85" s="1"/>
  <c r="Y27" i="85"/>
  <c r="U63" i="73"/>
  <c r="U65" i="73" s="1"/>
  <c r="E1659" i="36"/>
  <c r="I52" i="73"/>
  <c r="E1652" i="36"/>
  <c r="I53" i="73" s="1"/>
  <c r="AG20" i="83"/>
  <c r="R17" i="83"/>
  <c r="AP105" i="83"/>
  <c r="AP107" i="83"/>
  <c r="E717" i="8"/>
  <c r="E541" i="36"/>
  <c r="L52" i="84"/>
  <c r="L48" i="84"/>
  <c r="L55" i="84"/>
  <c r="L49" i="84"/>
  <c r="L50" i="84"/>
  <c r="L51" i="84"/>
  <c r="M15" i="85"/>
  <c r="E15" i="85"/>
  <c r="N41" i="85"/>
  <c r="N28" i="85"/>
  <c r="E28" i="85" s="1"/>
  <c r="O17" i="31"/>
  <c r="E434" i="8"/>
  <c r="E144" i="36"/>
  <c r="Q50" i="73"/>
  <c r="E8101" i="14"/>
  <c r="E8104" i="14" s="1"/>
  <c r="AO105" i="83"/>
  <c r="N17" i="83"/>
  <c r="AO107" i="83"/>
  <c r="E679" i="8"/>
  <c r="AG15" i="83"/>
  <c r="E456" i="36"/>
  <c r="AP107" i="85"/>
  <c r="R17" i="85"/>
  <c r="AP105" i="85"/>
  <c r="E1131" i="8"/>
  <c r="AG20" i="85"/>
  <c r="E1221" i="36"/>
  <c r="AR107" i="85"/>
  <c r="Z17" i="85"/>
  <c r="AR105" i="85"/>
  <c r="E1187" i="8"/>
  <c r="AO15" i="85"/>
  <c r="E1306" i="36"/>
  <c r="E8192" i="14"/>
  <c r="E8175" i="14"/>
  <c r="AG108" i="31"/>
  <c r="AG109" i="31" s="1"/>
  <c r="AG114" i="31"/>
  <c r="M40" i="85"/>
  <c r="M53" i="85" s="1"/>
  <c r="M27" i="85"/>
  <c r="S41" i="31"/>
  <c r="S54" i="31" s="1"/>
  <c r="S28" i="31"/>
  <c r="AQ107" i="83"/>
  <c r="AQ105" i="83"/>
  <c r="E641" i="8"/>
  <c r="AK15" i="83"/>
  <c r="V17" i="83"/>
  <c r="E371" i="36"/>
  <c r="M101" i="73"/>
  <c r="E868" i="8"/>
  <c r="O17" i="84"/>
  <c r="E824" i="36"/>
  <c r="I50" i="73"/>
  <c r="AG121" i="31"/>
  <c r="R41" i="84"/>
  <c r="R54" i="84" s="1"/>
  <c r="Q15" i="84"/>
  <c r="R28" i="84"/>
  <c r="Q15" i="83"/>
  <c r="R41" i="83"/>
  <c r="R54" i="83" s="1"/>
  <c r="R28" i="83"/>
  <c r="Q85" i="73"/>
  <c r="V17" i="85"/>
  <c r="AQ105" i="85"/>
  <c r="AQ107" i="85"/>
  <c r="AK15" i="85"/>
  <c r="E1019" i="8"/>
  <c r="E1051" i="36"/>
  <c r="AQ107" i="31"/>
  <c r="AQ109" i="31"/>
  <c r="V17" i="31"/>
  <c r="E332" i="8"/>
  <c r="AK15" i="31"/>
  <c r="E31" i="36"/>
  <c r="O41" i="31"/>
  <c r="O54" i="31" s="1"/>
  <c r="O28" i="31"/>
  <c r="V41" i="84"/>
  <c r="V54" i="84" s="1"/>
  <c r="U15" i="84"/>
  <c r="V28" i="84"/>
  <c r="Q40" i="31"/>
  <c r="Q53" i="31" s="1"/>
  <c r="Q27" i="31"/>
  <c r="E8151" i="14"/>
  <c r="L49" i="85"/>
  <c r="L55" i="85"/>
  <c r="L50" i="85"/>
  <c r="L52" i="85"/>
  <c r="L48" i="85"/>
  <c r="L51" i="85"/>
  <c r="Q40" i="83"/>
  <c r="Q53" i="83" s="1"/>
  <c r="Q27" i="83"/>
  <c r="M50" i="73"/>
  <c r="M40" i="84"/>
  <c r="M53" i="84" s="1"/>
  <c r="M27" i="84"/>
  <c r="M15" i="83"/>
  <c r="N41" i="83"/>
  <c r="N54" i="83" s="1"/>
  <c r="N28" i="83"/>
  <c r="Q40" i="84"/>
  <c r="Q53" i="84" s="1"/>
  <c r="Q27" i="84"/>
  <c r="E8115" i="14"/>
  <c r="E8118" i="14" s="1"/>
  <c r="L26" i="31"/>
  <c r="Q101" i="73"/>
  <c r="M40" i="83"/>
  <c r="M53" i="83" s="1"/>
  <c r="M27" i="83"/>
  <c r="E8127" i="14"/>
  <c r="E8130" i="14" s="1"/>
  <c r="AP109" i="31"/>
  <c r="E486" i="8"/>
  <c r="AP107" i="31"/>
  <c r="R17" i="31"/>
  <c r="AG20" i="31"/>
  <c r="E201" i="36"/>
  <c r="E1508" i="36"/>
  <c r="I87" i="73"/>
  <c r="E1501" i="36"/>
  <c r="I88" i="73" s="1"/>
  <c r="O41" i="84"/>
  <c r="O54" i="84" s="1"/>
  <c r="O28" i="84"/>
  <c r="E16" i="73"/>
  <c r="E1384" i="36"/>
  <c r="E1390" i="36"/>
  <c r="L14" i="85"/>
  <c r="U40" i="85"/>
  <c r="U53" i="85" s="1"/>
  <c r="U27" i="85"/>
  <c r="E8116" i="14" l="1"/>
  <c r="E8119" i="14" s="1"/>
  <c r="E8102" i="14"/>
  <c r="E8105" i="14" s="1"/>
  <c r="AS15" i="31"/>
  <c r="Q41" i="84"/>
  <c r="Q54" i="84" s="1"/>
  <c r="Q28" i="84"/>
  <c r="AS15" i="83"/>
  <c r="E682" i="8"/>
  <c r="N78" i="83" s="1"/>
  <c r="N67" i="83" s="1"/>
  <c r="N70" i="83"/>
  <c r="M70" i="83"/>
  <c r="Q70" i="83"/>
  <c r="R70" i="83"/>
  <c r="E720" i="8"/>
  <c r="R78" i="83" s="1"/>
  <c r="R67" i="83" s="1"/>
  <c r="Q17" i="83"/>
  <c r="R43" i="83"/>
  <c r="R56" i="83" s="1"/>
  <c r="R30" i="83"/>
  <c r="E1668" i="36"/>
  <c r="E308" i="8"/>
  <c r="I60" i="73"/>
  <c r="E1660" i="36"/>
  <c r="F72" i="30"/>
  <c r="Q41" i="85"/>
  <c r="Q54" i="85" s="1"/>
  <c r="Q28" i="85"/>
  <c r="E309" i="8"/>
  <c r="E1705" i="36"/>
  <c r="F86" i="30"/>
  <c r="M60" i="73"/>
  <c r="E1697" i="36"/>
  <c r="E40" i="83"/>
  <c r="U53" i="83"/>
  <c r="E53" i="83" s="1"/>
  <c r="M41" i="31"/>
  <c r="M54" i="31" s="1"/>
  <c r="M28" i="31"/>
  <c r="N70" i="84"/>
  <c r="AK119" i="84" s="1"/>
  <c r="M70" i="84"/>
  <c r="E853" i="8"/>
  <c r="N78" i="84" s="1"/>
  <c r="N67" i="84" s="1"/>
  <c r="E310" i="8"/>
  <c r="E1741" i="36"/>
  <c r="E1734" i="36"/>
  <c r="Q60" i="73"/>
  <c r="F100" i="30"/>
  <c r="E305" i="8"/>
  <c r="F44" i="30"/>
  <c r="E1391" i="36"/>
  <c r="E20" i="73"/>
  <c r="E1425" i="36"/>
  <c r="L40" i="85"/>
  <c r="L53" i="85" s="1"/>
  <c r="L27" i="85"/>
  <c r="Q70" i="31"/>
  <c r="R70" i="31"/>
  <c r="E489" i="8"/>
  <c r="R78" i="31" s="1"/>
  <c r="R67" i="31" s="1"/>
  <c r="U70" i="31"/>
  <c r="V70" i="31"/>
  <c r="AK122" i="31" s="1"/>
  <c r="AG123" i="31" s="1"/>
  <c r="E335" i="8"/>
  <c r="V78" i="31" s="1"/>
  <c r="V67" i="31" s="1"/>
  <c r="O43" i="84"/>
  <c r="O56" i="84" s="1"/>
  <c r="O30" i="84"/>
  <c r="V70" i="83"/>
  <c r="E644" i="8"/>
  <c r="V78" i="83" s="1"/>
  <c r="V67" i="83" s="1"/>
  <c r="U70" i="83"/>
  <c r="AK119" i="83" s="1"/>
  <c r="E41" i="85"/>
  <c r="N54" i="85"/>
  <c r="E54" i="85" s="1"/>
  <c r="U66" i="73"/>
  <c r="L40" i="84"/>
  <c r="L53" i="84" s="1"/>
  <c r="L27" i="84"/>
  <c r="S43" i="31"/>
  <c r="S56" i="31" s="1"/>
  <c r="S30" i="31"/>
  <c r="L40" i="31"/>
  <c r="L53" i="31" s="1"/>
  <c r="L27" i="31"/>
  <c r="E41" i="84"/>
  <c r="N54" i="84"/>
  <c r="E54" i="84" s="1"/>
  <c r="E8088" i="14"/>
  <c r="E8091" i="14" s="1"/>
  <c r="L40" i="83"/>
  <c r="L53" i="83" s="1"/>
  <c r="L27" i="83"/>
  <c r="AS15" i="84"/>
  <c r="N70" i="85"/>
  <c r="AK119" i="85" s="1"/>
  <c r="M70" i="85"/>
  <c r="E1078" i="8"/>
  <c r="N78" i="85" s="1"/>
  <c r="N67" i="85" s="1"/>
  <c r="U41" i="85"/>
  <c r="U54" i="85" s="1"/>
  <c r="L15" i="85"/>
  <c r="U28" i="85"/>
  <c r="R43" i="84"/>
  <c r="R56" i="84" s="1"/>
  <c r="Q17" i="84"/>
  <c r="R30" i="84"/>
  <c r="E1480" i="36"/>
  <c r="E95" i="73"/>
  <c r="E1472" i="36"/>
  <c r="AG111" i="85"/>
  <c r="AG114" i="85"/>
  <c r="AG106" i="85"/>
  <c r="M17" i="84"/>
  <c r="N43" i="84"/>
  <c r="E17" i="84"/>
  <c r="N30" i="84"/>
  <c r="E30" i="84" s="1"/>
  <c r="M17" i="31"/>
  <c r="N43" i="31"/>
  <c r="N56" i="31" s="1"/>
  <c r="N30" i="31"/>
  <c r="I16" i="73"/>
  <c r="M16" i="73"/>
  <c r="E1517" i="36"/>
  <c r="I95" i="73"/>
  <c r="E1509" i="36"/>
  <c r="U41" i="84"/>
  <c r="U54" i="84" s="1"/>
  <c r="L15" i="84"/>
  <c r="U28" i="84"/>
  <c r="V70" i="85"/>
  <c r="U70" i="85"/>
  <c r="E1022" i="8"/>
  <c r="V78" i="85" s="1"/>
  <c r="V67" i="85" s="1"/>
  <c r="V43" i="85"/>
  <c r="V56" i="85" s="1"/>
  <c r="U17" i="85"/>
  <c r="V30" i="85"/>
  <c r="Q41" i="83"/>
  <c r="Q54" i="83" s="1"/>
  <c r="Q28" i="83"/>
  <c r="O70" i="84"/>
  <c r="E871" i="8"/>
  <c r="O78" i="84" s="1"/>
  <c r="O67" i="84" s="1"/>
  <c r="O73" i="84" s="1"/>
  <c r="U17" i="83"/>
  <c r="V43" i="83"/>
  <c r="V56" i="83" s="1"/>
  <c r="V30" i="83"/>
  <c r="Y70" i="85"/>
  <c r="Z70" i="85"/>
  <c r="E1190" i="8"/>
  <c r="Z78" i="85" s="1"/>
  <c r="Z67" i="85" s="1"/>
  <c r="Z43" i="85"/>
  <c r="Z56" i="85" s="1"/>
  <c r="Y17" i="85"/>
  <c r="Z30" i="85"/>
  <c r="Q70" i="85"/>
  <c r="R70" i="85"/>
  <c r="E1134" i="8"/>
  <c r="R78" i="85" s="1"/>
  <c r="R67" i="85" s="1"/>
  <c r="Q17" i="85"/>
  <c r="R43" i="85"/>
  <c r="R56" i="85" s="1"/>
  <c r="R30" i="85"/>
  <c r="M17" i="83"/>
  <c r="N43" i="83"/>
  <c r="N56" i="83" s="1"/>
  <c r="N30" i="83"/>
  <c r="O70" i="31"/>
  <c r="E437" i="8"/>
  <c r="O78" i="31" s="1"/>
  <c r="O67" i="31" s="1"/>
  <c r="O73" i="31" s="1"/>
  <c r="O43" i="31"/>
  <c r="O56" i="31" s="1"/>
  <c r="O30" i="31"/>
  <c r="I101" i="73"/>
  <c r="M41" i="84"/>
  <c r="M54" i="84" s="1"/>
  <c r="M28" i="84"/>
  <c r="U101" i="73"/>
  <c r="V70" i="84"/>
  <c r="U70" i="84"/>
  <c r="E797" i="8"/>
  <c r="V78" i="84" s="1"/>
  <c r="V67" i="84" s="1"/>
  <c r="E17" i="85"/>
  <c r="M17" i="85"/>
  <c r="N43" i="85"/>
  <c r="N30" i="85"/>
  <c r="E30" i="85" s="1"/>
  <c r="L15" i="83"/>
  <c r="U41" i="83"/>
  <c r="E15" i="83"/>
  <c r="U28" i="83"/>
  <c r="E28" i="83" s="1"/>
  <c r="Y41" i="85"/>
  <c r="Y54" i="85" s="1"/>
  <c r="Y28" i="85"/>
  <c r="E307" i="8"/>
  <c r="E1631" i="36"/>
  <c r="F58" i="30"/>
  <c r="E1623" i="36"/>
  <c r="E60" i="73"/>
  <c r="AG114" i="84"/>
  <c r="AG106" i="84"/>
  <c r="AG111" i="84"/>
  <c r="E1554" i="36"/>
  <c r="M95" i="73"/>
  <c r="E1546" i="36"/>
  <c r="E41" i="31"/>
  <c r="V54" i="31"/>
  <c r="E54" i="31" s="1"/>
  <c r="Q17" i="31"/>
  <c r="R43" i="31"/>
  <c r="R56" i="31" s="1"/>
  <c r="R30" i="31"/>
  <c r="E8128" i="14"/>
  <c r="E8131" i="14" s="1"/>
  <c r="M41" i="83"/>
  <c r="M54" i="83" s="1"/>
  <c r="M28" i="83"/>
  <c r="U17" i="31"/>
  <c r="E17" i="31"/>
  <c r="V43" i="31"/>
  <c r="V30" i="31"/>
  <c r="E30" i="31" s="1"/>
  <c r="AS15" i="85"/>
  <c r="M41" i="85"/>
  <c r="M54" i="85" s="1"/>
  <c r="M28" i="85"/>
  <c r="S70" i="31"/>
  <c r="E514" i="8"/>
  <c r="S78" i="31" s="1"/>
  <c r="S67" i="31" s="1"/>
  <c r="S73" i="31" s="1"/>
  <c r="V43" i="84"/>
  <c r="V56" i="84" s="1"/>
  <c r="U17" i="84"/>
  <c r="V30" i="84"/>
  <c r="E1591" i="36"/>
  <c r="Q95" i="73"/>
  <c r="E1583" i="36"/>
  <c r="R70" i="84"/>
  <c r="Q70" i="84"/>
  <c r="E909" i="8"/>
  <c r="R78" i="84" s="1"/>
  <c r="R67" i="84" s="1"/>
  <c r="Q41" i="31"/>
  <c r="Q54" i="31" s="1"/>
  <c r="Q28" i="31"/>
  <c r="N70" i="31"/>
  <c r="E412" i="8"/>
  <c r="N78" i="31" s="1"/>
  <c r="N67" i="31" s="1"/>
  <c r="M70" i="31"/>
  <c r="L15" i="31"/>
  <c r="U41" i="31"/>
  <c r="U54" i="31" s="1"/>
  <c r="U28" i="31"/>
  <c r="L70" i="31" l="1"/>
  <c r="L41" i="31"/>
  <c r="L54" i="31" s="1"/>
  <c r="L28" i="31"/>
  <c r="H58" i="30"/>
  <c r="O74" i="31"/>
  <c r="O72" i="31"/>
  <c r="Y43" i="85"/>
  <c r="Y56" i="85" s="1"/>
  <c r="Y30" i="85"/>
  <c r="L17" i="83"/>
  <c r="U43" i="83"/>
  <c r="E17" i="83"/>
  <c r="U30" i="83"/>
  <c r="E30" i="83" s="1"/>
  <c r="L41" i="84"/>
  <c r="L54" i="84" s="1"/>
  <c r="L28" i="84"/>
  <c r="I96" i="73"/>
  <c r="M43" i="84"/>
  <c r="M56" i="84" s="1"/>
  <c r="M30" i="84"/>
  <c r="F113" i="30"/>
  <c r="E102" i="73"/>
  <c r="E1481" i="36"/>
  <c r="AK116" i="85"/>
  <c r="M67" i="85"/>
  <c r="N73" i="85"/>
  <c r="U67" i="83"/>
  <c r="V73" i="83"/>
  <c r="Q67" i="31"/>
  <c r="R73" i="31"/>
  <c r="AG111" i="83"/>
  <c r="AG114" i="83"/>
  <c r="AG106" i="83"/>
  <c r="H72" i="30"/>
  <c r="L70" i="83"/>
  <c r="M67" i="31"/>
  <c r="N73" i="31"/>
  <c r="Q67" i="84"/>
  <c r="R73" i="84"/>
  <c r="Q96" i="73"/>
  <c r="U43" i="31"/>
  <c r="U56" i="31" s="1"/>
  <c r="L17" i="31"/>
  <c r="U30" i="31"/>
  <c r="Q43" i="31"/>
  <c r="Q56" i="31" s="1"/>
  <c r="Q30" i="31"/>
  <c r="M96" i="73"/>
  <c r="AG107" i="84"/>
  <c r="AG108" i="84" s="1"/>
  <c r="AG109" i="84" s="1"/>
  <c r="AG110" i="84" s="1"/>
  <c r="AG119" i="84" s="1"/>
  <c r="E41" i="83"/>
  <c r="U54" i="83"/>
  <c r="E54" i="83" s="1"/>
  <c r="E43" i="85"/>
  <c r="N56" i="85"/>
  <c r="E56" i="85" s="1"/>
  <c r="Q43" i="85"/>
  <c r="Q56" i="85" s="1"/>
  <c r="Q30" i="85"/>
  <c r="U67" i="85"/>
  <c r="V73" i="85"/>
  <c r="L70" i="85"/>
  <c r="E312" i="8"/>
  <c r="E1426" i="36"/>
  <c r="E1435" i="36"/>
  <c r="F45" i="30"/>
  <c r="E29" i="73"/>
  <c r="Q61" i="73"/>
  <c r="I100" i="30"/>
  <c r="K100" i="30" s="1"/>
  <c r="M67" i="84"/>
  <c r="AK116" i="84"/>
  <c r="N73" i="84"/>
  <c r="H86" i="30"/>
  <c r="I61" i="73"/>
  <c r="I72" i="30"/>
  <c r="K72" i="30" s="1"/>
  <c r="E315" i="8"/>
  <c r="F73" i="30"/>
  <c r="I67" i="73"/>
  <c r="E1669" i="36"/>
  <c r="Q102" i="73"/>
  <c r="F116" i="30"/>
  <c r="E1592" i="36"/>
  <c r="U43" i="84"/>
  <c r="U56" i="84" s="1"/>
  <c r="L17" i="84"/>
  <c r="U30" i="84"/>
  <c r="E67" i="73"/>
  <c r="F59" i="30"/>
  <c r="E314" i="8"/>
  <c r="E1632" i="36"/>
  <c r="L41" i="83"/>
  <c r="L54" i="83" s="1"/>
  <c r="L28" i="83"/>
  <c r="M43" i="85"/>
  <c r="M56" i="85" s="1"/>
  <c r="M30" i="85"/>
  <c r="Q67" i="85"/>
  <c r="R73" i="85"/>
  <c r="Y67" i="85"/>
  <c r="Z73" i="85"/>
  <c r="I102" i="73"/>
  <c r="F114" i="30"/>
  <c r="E1518" i="36"/>
  <c r="AG107" i="85"/>
  <c r="AG108" i="85" s="1"/>
  <c r="AG109" i="85" s="1"/>
  <c r="AG110" i="85" s="1"/>
  <c r="AG119" i="85" s="1"/>
  <c r="E96" i="73"/>
  <c r="L41" i="85"/>
  <c r="L54" i="85" s="1"/>
  <c r="L28" i="85"/>
  <c r="M20" i="73"/>
  <c r="I20" i="73"/>
  <c r="I44" i="30"/>
  <c r="K44" i="30" s="1"/>
  <c r="E317" i="8"/>
  <c r="F101" i="30"/>
  <c r="Q67" i="73"/>
  <c r="E1742" i="36"/>
  <c r="L70" i="84"/>
  <c r="E1706" i="36"/>
  <c r="E316" i="8"/>
  <c r="F87" i="30"/>
  <c r="M67" i="73"/>
  <c r="Q43" i="83"/>
  <c r="Q56" i="83" s="1"/>
  <c r="Q30" i="83"/>
  <c r="M67" i="83"/>
  <c r="N73" i="83"/>
  <c r="S72" i="31"/>
  <c r="S74" i="31"/>
  <c r="E43" i="31"/>
  <c r="V56" i="31"/>
  <c r="E56" i="31" s="1"/>
  <c r="F115" i="30"/>
  <c r="M102" i="73"/>
  <c r="E1555" i="36"/>
  <c r="E61" i="73"/>
  <c r="I58" i="30"/>
  <c r="U67" i="84"/>
  <c r="V73" i="84"/>
  <c r="M43" i="83"/>
  <c r="M56" i="83" s="1"/>
  <c r="M30" i="83"/>
  <c r="O74" i="84"/>
  <c r="O72" i="84"/>
  <c r="L17" i="85"/>
  <c r="U43" i="85"/>
  <c r="U56" i="85" s="1"/>
  <c r="U30" i="85"/>
  <c r="M43" i="31"/>
  <c r="M56" i="31" s="1"/>
  <c r="M83" i="31"/>
  <c r="M30" i="31"/>
  <c r="E43" i="84"/>
  <c r="N56" i="84"/>
  <c r="E56" i="84" s="1"/>
  <c r="Q43" i="84"/>
  <c r="Q56" i="84" s="1"/>
  <c r="Q30" i="84"/>
  <c r="U67" i="31"/>
  <c r="AK119" i="31"/>
  <c r="V73" i="31"/>
  <c r="H44" i="30"/>
  <c r="H100" i="30"/>
  <c r="I86" i="30"/>
  <c r="K86" i="30" s="1"/>
  <c r="M61" i="73"/>
  <c r="Q67" i="83"/>
  <c r="R73" i="83"/>
  <c r="E205" i="30" l="1"/>
  <c r="F205" i="30" s="1"/>
  <c r="E149" i="30"/>
  <c r="F149" i="30" s="1"/>
  <c r="E191" i="30"/>
  <c r="F191" i="30" s="1"/>
  <c r="R74" i="83"/>
  <c r="R72" i="83"/>
  <c r="V74" i="31"/>
  <c r="V72" i="31"/>
  <c r="K58" i="30"/>
  <c r="E163" i="30" s="1"/>
  <c r="F163" i="30" s="1"/>
  <c r="M68" i="73"/>
  <c r="I87" i="30"/>
  <c r="K87" i="30" s="1"/>
  <c r="U67" i="73"/>
  <c r="I116" i="30"/>
  <c r="K116" i="30" s="1"/>
  <c r="Q103" i="73"/>
  <c r="I73" i="30"/>
  <c r="K73" i="30" s="1"/>
  <c r="I68" i="73"/>
  <c r="L67" i="84"/>
  <c r="M68" i="84"/>
  <c r="M73" i="84" s="1"/>
  <c r="L83" i="31"/>
  <c r="L43" i="31"/>
  <c r="L56" i="31" s="1"/>
  <c r="L30" i="31"/>
  <c r="Q68" i="84"/>
  <c r="Q73" i="84" s="1"/>
  <c r="N74" i="31"/>
  <c r="N72" i="31"/>
  <c r="AG107" i="83"/>
  <c r="AG108" i="83" s="1"/>
  <c r="AG109" i="83" s="1"/>
  <c r="AG110" i="83" s="1"/>
  <c r="AG119" i="83" s="1"/>
  <c r="Q68" i="31"/>
  <c r="Q73" i="31" s="1"/>
  <c r="N74" i="85"/>
  <c r="N72" i="85"/>
  <c r="U102" i="73"/>
  <c r="AG110" i="31"/>
  <c r="AG119" i="31"/>
  <c r="L43" i="85"/>
  <c r="L56" i="85" s="1"/>
  <c r="L30" i="85"/>
  <c r="I115" i="30"/>
  <c r="K115" i="30" s="1"/>
  <c r="M103" i="73"/>
  <c r="H87" i="30"/>
  <c r="Z72" i="85"/>
  <c r="Z74" i="85"/>
  <c r="R74" i="85"/>
  <c r="R72" i="85"/>
  <c r="H59" i="30"/>
  <c r="H116" i="30"/>
  <c r="I29" i="73"/>
  <c r="M29" i="73"/>
  <c r="V72" i="85"/>
  <c r="V74" i="85"/>
  <c r="L67" i="31"/>
  <c r="M68" i="31"/>
  <c r="M73" i="31" s="1"/>
  <c r="V72" i="83"/>
  <c r="V74" i="83"/>
  <c r="L67" i="85"/>
  <c r="M68" i="85"/>
  <c r="M73" i="85" s="1"/>
  <c r="H113" i="30"/>
  <c r="E43" i="83"/>
  <c r="U56" i="83"/>
  <c r="E56" i="83" s="1"/>
  <c r="U68" i="31"/>
  <c r="U73" i="31" s="1"/>
  <c r="V72" i="84"/>
  <c r="V74" i="84"/>
  <c r="N74" i="83"/>
  <c r="N72" i="83"/>
  <c r="H101" i="30"/>
  <c r="I114" i="30"/>
  <c r="K114" i="30" s="1"/>
  <c r="I103" i="73"/>
  <c r="Y68" i="85"/>
  <c r="Y73" i="85" s="1"/>
  <c r="Q68" i="85"/>
  <c r="Q73" i="85" s="1"/>
  <c r="E68" i="73"/>
  <c r="I59" i="30"/>
  <c r="K59" i="30" s="1"/>
  <c r="H73" i="30"/>
  <c r="N74" i="84"/>
  <c r="N72" i="84"/>
  <c r="H45" i="30"/>
  <c r="U68" i="85"/>
  <c r="U73" i="85" s="1"/>
  <c r="E177" i="30"/>
  <c r="F177" i="30" s="1"/>
  <c r="AK116" i="83"/>
  <c r="U68" i="83"/>
  <c r="AK117" i="83" s="1"/>
  <c r="L43" i="83"/>
  <c r="L56" i="83" s="1"/>
  <c r="L30" i="83"/>
  <c r="Q68" i="83"/>
  <c r="Q73" i="83" s="1"/>
  <c r="U68" i="84"/>
  <c r="U73" i="84" s="1"/>
  <c r="H115" i="30"/>
  <c r="L67" i="83"/>
  <c r="M68" i="83"/>
  <c r="I101" i="30"/>
  <c r="K101" i="30" s="1"/>
  <c r="Q68" i="73"/>
  <c r="H114" i="30"/>
  <c r="L43" i="84"/>
  <c r="L56" i="84" s="1"/>
  <c r="L30" i="84"/>
  <c r="E1438" i="36"/>
  <c r="E32" i="73" s="1"/>
  <c r="E31" i="73"/>
  <c r="I45" i="30"/>
  <c r="K45" i="30" s="1"/>
  <c r="R72" i="84"/>
  <c r="R74" i="84"/>
  <c r="R72" i="31"/>
  <c r="R74" i="31"/>
  <c r="I113" i="30"/>
  <c r="K113" i="30" s="1"/>
  <c r="E103" i="73"/>
  <c r="AH5" i="89" l="1"/>
  <c r="E192" i="30"/>
  <c r="F192" i="30" s="1"/>
  <c r="E23" i="30" s="1"/>
  <c r="E178" i="30"/>
  <c r="F178" i="30" s="1"/>
  <c r="E20" i="30" s="1"/>
  <c r="AH4" i="89"/>
  <c r="E221" i="30"/>
  <c r="F221" i="30" s="1"/>
  <c r="AJ5" i="89"/>
  <c r="E219" i="30"/>
  <c r="F219" i="30" s="1"/>
  <c r="E220" i="30"/>
  <c r="F220" i="30" s="1"/>
  <c r="E1441" i="36"/>
  <c r="E8" i="39" s="1"/>
  <c r="E206" i="30"/>
  <c r="F206" i="30" s="1"/>
  <c r="E26" i="30" s="1"/>
  <c r="L68" i="83"/>
  <c r="L73" i="83" s="1"/>
  <c r="E164" i="30"/>
  <c r="F164" i="30" s="1"/>
  <c r="E17" i="30" s="1"/>
  <c r="Q72" i="83"/>
  <c r="Q74" i="83"/>
  <c r="Q74" i="84"/>
  <c r="Q72" i="84"/>
  <c r="Q72" i="31"/>
  <c r="Q74" i="31"/>
  <c r="U74" i="85"/>
  <c r="U72" i="85"/>
  <c r="U74" i="84"/>
  <c r="U72" i="84"/>
  <c r="U74" i="31"/>
  <c r="U72" i="31"/>
  <c r="M73" i="83"/>
  <c r="AH3" i="89"/>
  <c r="Q72" i="85"/>
  <c r="Q74" i="85"/>
  <c r="E218" i="30"/>
  <c r="F218" i="30" s="1"/>
  <c r="M72" i="31"/>
  <c r="M74" i="31"/>
  <c r="I32" i="73"/>
  <c r="M32" i="73"/>
  <c r="U73" i="83"/>
  <c r="L68" i="31"/>
  <c r="L73" i="31" s="1"/>
  <c r="AG111" i="31"/>
  <c r="AG112" i="31" s="1"/>
  <c r="L68" i="84"/>
  <c r="L73" i="84" s="1"/>
  <c r="E150" i="30"/>
  <c r="F150" i="30" s="1"/>
  <c r="E14" i="30" s="1"/>
  <c r="Y74" i="85"/>
  <c r="Y72" i="85"/>
  <c r="M74" i="85"/>
  <c r="M72" i="85"/>
  <c r="U103" i="73"/>
  <c r="M74" i="84"/>
  <c r="M72" i="84"/>
  <c r="I31" i="73"/>
  <c r="M31" i="73"/>
  <c r="L68" i="85"/>
  <c r="L73" i="85" s="1"/>
  <c r="U68" i="73"/>
  <c r="E33" i="73" l="1"/>
  <c r="M33" i="73" s="1"/>
  <c r="E1442" i="36"/>
  <c r="E29" i="30"/>
  <c r="E49" i="38"/>
  <c r="E51" i="38" s="1"/>
  <c r="L74" i="85"/>
  <c r="L72" i="85"/>
  <c r="M72" i="83"/>
  <c r="M74" i="83"/>
  <c r="L74" i="31"/>
  <c r="L72" i="31"/>
  <c r="U72" i="83"/>
  <c r="U74" i="83"/>
  <c r="E11" i="39"/>
  <c r="L74" i="84"/>
  <c r="L72" i="84"/>
  <c r="L72" i="83"/>
  <c r="L74" i="83"/>
  <c r="I33" i="73" l="1"/>
  <c r="E22" i="39"/>
  <c r="E31" i="39" l="1"/>
  <c r="E36" i="39"/>
  <c r="E33" i="39" l="1"/>
  <c r="E35" i="38"/>
  <c r="E38" i="38" l="1"/>
  <c r="E37" i="39"/>
  <c r="E39" i="39" l="1"/>
  <c r="E42" i="38"/>
  <c r="E9" i="38" l="1"/>
  <c r="E14" i="38"/>
  <c r="E20" i="38" l="1"/>
  <c r="E29" i="38" l="1"/>
  <c r="E8" i="38" l="1"/>
  <c r="E7" i="38" s="1"/>
</calcChain>
</file>

<file path=xl/comments1.xml><?xml version="1.0" encoding="utf-8"?>
<comments xmlns="http://schemas.openxmlformats.org/spreadsheetml/2006/main">
  <authors>
    <author>BTS London IT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BTS London IT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3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4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4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5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5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35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BTS London IT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5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5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BTS User</author>
  </authors>
  <commentList>
    <comment ref="E3354" authorId="0" shapeId="0">
      <text>
        <r>
          <rPr>
            <b/>
            <sz val="9"/>
            <color indexed="81"/>
            <rFont val="Tahoma"/>
            <family val="2"/>
          </rPr>
          <t>BTS User:</t>
        </r>
        <r>
          <rPr>
            <sz val="9"/>
            <color indexed="81"/>
            <rFont val="Tahoma"/>
            <family val="2"/>
          </rPr>
          <t xml:space="preserve">
IF formula that adds automatically adds production units so that the utilization rate is below 100%</t>
        </r>
      </text>
    </comment>
  </commentList>
</comments>
</file>

<file path=xl/sharedStrings.xml><?xml version="1.0" encoding="utf-8"?>
<sst xmlns="http://schemas.openxmlformats.org/spreadsheetml/2006/main" count="32057" uniqueCount="14086">
  <si>
    <t>core_FilePrefix</t>
  </si>
  <si>
    <t>This is used by the "Filename" macro, to determine what to name files as when saving</t>
  </si>
  <si>
    <t>this specifies what named ranges the tool reset decision macros search for</t>
  </si>
  <si>
    <t>e.g. if the named range on the dec page is "decTeamName" then the reset macro will look for [dec_toolInputPrefix &amp; "TeamName"]</t>
  </si>
  <si>
    <t>Decisions</t>
  </si>
  <si>
    <t>Team 1</t>
  </si>
  <si>
    <t>dec_Names</t>
  </si>
  <si>
    <t>Paste. Leave This Row Blank</t>
  </si>
  <si>
    <t>dec_Paste</t>
  </si>
  <si>
    <t>Team Name</t>
  </si>
  <si>
    <t>decTeamName</t>
  </si>
  <si>
    <t>Round</t>
  </si>
  <si>
    <t>xxRound</t>
  </si>
  <si>
    <t>dec_TeamName</t>
  </si>
  <si>
    <t>Total</t>
  </si>
  <si>
    <t>Team Number</t>
  </si>
  <si>
    <t>decTeamNumber</t>
  </si>
  <si>
    <t>dec_TeamNumber</t>
  </si>
  <si>
    <t>Connect this to tlTeamName on Intro page</t>
  </si>
  <si>
    <t>dec_Round</t>
  </si>
  <si>
    <t>Connect this to xxRound on your Controls page</t>
  </si>
  <si>
    <t>Constants</t>
  </si>
  <si>
    <t>Opening Balances</t>
  </si>
  <si>
    <t>KPIs</t>
  </si>
  <si>
    <t>End of Opening Balances</t>
  </si>
  <si>
    <t>obal_End</t>
  </si>
  <si>
    <t>Closing Balances</t>
  </si>
  <si>
    <t>cbal_Paste</t>
  </si>
  <si>
    <t>Outputs</t>
  </si>
  <si>
    <t>Inputs</t>
  </si>
  <si>
    <t>Year</t>
  </si>
  <si>
    <t>Revenue</t>
  </si>
  <si>
    <t>Calculations</t>
  </si>
  <si>
    <t>hood_OnHoodCloseGoTo</t>
  </si>
  <si>
    <t>hood_ToolPrefix</t>
  </si>
  <si>
    <t>Screen</t>
  </si>
  <si>
    <t>xxSim0Tool1</t>
  </si>
  <si>
    <t>xxIndexTeam</t>
  </si>
  <si>
    <t>HideRows</t>
  </si>
  <si>
    <t>SI_AvailableProgramDropDown</t>
  </si>
  <si>
    <t xml:space="preserve">Use the above cell to create a drop-down menu for SIs in the sim by using data validation to read from a list.  </t>
  </si>
  <si>
    <t>In the list source, type "=indirect(SI_AvailableProgramDropDown)".</t>
  </si>
  <si>
    <t>Example:</t>
  </si>
  <si>
    <t>SP1: Six Sigma</t>
  </si>
  <si>
    <t>Separator</t>
  </si>
  <si>
    <t>:</t>
  </si>
  <si>
    <t>This impacts the cells in the "Displayed Name" column</t>
  </si>
  <si>
    <t>SI_selectedSeparator</t>
  </si>
  <si>
    <t>Index</t>
  </si>
  <si>
    <t>Code</t>
  </si>
  <si>
    <t>Name</t>
  </si>
  <si>
    <t>Displayed Name</t>
  </si>
  <si>
    <t>Available from Round</t>
  </si>
  <si>
    <t>Available this Year</t>
  </si>
  <si>
    <t>Name Valid</t>
  </si>
  <si>
    <t>Previously Selected</t>
  </si>
  <si>
    <t>Other Valid Conditions</t>
  </si>
  <si>
    <t xml:space="preserve">Available </t>
  </si>
  <si>
    <t>Available Count</t>
  </si>
  <si>
    <t>List of Available</t>
  </si>
  <si>
    <t>Select Project</t>
  </si>
  <si>
    <t>SI_DisplayedName</t>
  </si>
  <si>
    <t>SI_AvailableCount</t>
  </si>
  <si>
    <t>Sheet Name</t>
  </si>
  <si>
    <t>SI_WorksheetName</t>
  </si>
  <si>
    <t>Available SIs</t>
  </si>
  <si>
    <t>SI_TotalAvailable</t>
  </si>
  <si>
    <t>Strategic Initiatives</t>
  </si>
  <si>
    <t>Initiative 1</t>
  </si>
  <si>
    <t>Initiative 2</t>
  </si>
  <si>
    <t>Glossary</t>
  </si>
  <si>
    <t>English</t>
  </si>
  <si>
    <t>Language 2</t>
  </si>
  <si>
    <t>Language 3</t>
  </si>
  <si>
    <t>glossary_Language</t>
  </si>
  <si>
    <t>nmTeamName</t>
  </si>
  <si>
    <t>nmTeamNumber</t>
  </si>
  <si>
    <t>nmRound</t>
  </si>
  <si>
    <t>nmInitiatives</t>
  </si>
  <si>
    <t>SI Chosen</t>
  </si>
  <si>
    <t>SI Index</t>
  </si>
  <si>
    <t>SI Code</t>
  </si>
  <si>
    <t>SI_Code</t>
  </si>
  <si>
    <t>FTEs</t>
  </si>
  <si>
    <t>Link this to the current sim round</t>
  </si>
  <si>
    <t>SI_currentRound</t>
  </si>
  <si>
    <t>cnstMillion</t>
  </si>
  <si>
    <t>Initiative (Code) - R1 #1</t>
  </si>
  <si>
    <t>Initiative (Code) - R1 #2</t>
  </si>
  <si>
    <t>Initiative 3</t>
  </si>
  <si>
    <t>Initiative 4</t>
  </si>
  <si>
    <t>Initiative 5</t>
  </si>
  <si>
    <t>Initiative (Code) - R1 #3</t>
  </si>
  <si>
    <t>Initiative (Code) - R1 #4</t>
  </si>
  <si>
    <t>Initiative (Code) - R1 #5</t>
  </si>
  <si>
    <t>Initiative (Code) - R2 #1</t>
  </si>
  <si>
    <t>Initiative (Code) - R2 #2</t>
  </si>
  <si>
    <t>Initiative (Code) - R2 #3</t>
  </si>
  <si>
    <t>Initiative (Code) - R2 #4</t>
  </si>
  <si>
    <t>Initiative (Code) - R2 #5</t>
  </si>
  <si>
    <t>Initiative (Code) - R3 #1</t>
  </si>
  <si>
    <t>Initiative (Code) - R3 #2</t>
  </si>
  <si>
    <t>Initiative (Code) - R3 #3</t>
  </si>
  <si>
    <t>Initiative (Code) - R3 #4</t>
  </si>
  <si>
    <t>Initiative (Code) - R3 #5</t>
  </si>
  <si>
    <t>calcSI1Code</t>
  </si>
  <si>
    <t>calcSI2Code</t>
  </si>
  <si>
    <t>calcSI3Code</t>
  </si>
  <si>
    <t>calcSI4Code</t>
  </si>
  <si>
    <t>calcSI5Code</t>
  </si>
  <si>
    <t>obalSI1CodeR1</t>
  </si>
  <si>
    <t>obalSI2CodeR1</t>
  </si>
  <si>
    <t>obalSI3CodeR1</t>
  </si>
  <si>
    <t>obalSI4CodeR1</t>
  </si>
  <si>
    <t>obalSI5CodeR1</t>
  </si>
  <si>
    <t>obalSI1CodeR2</t>
  </si>
  <si>
    <t>obalSI2CodeR2</t>
  </si>
  <si>
    <t>obalSI3CodeR2</t>
  </si>
  <si>
    <t>obalSI4CodeR2</t>
  </si>
  <si>
    <t>obalSI5CodeR2</t>
  </si>
  <si>
    <t>obalSI1CodeR3</t>
  </si>
  <si>
    <t>obalSI2CodeR3</t>
  </si>
  <si>
    <t>obalSI3CodeR3</t>
  </si>
  <si>
    <t>obalSI4CodeR3</t>
  </si>
  <si>
    <t>obalSI5CodeR3</t>
  </si>
  <si>
    <t>cbalSI1CodeR1</t>
  </si>
  <si>
    <t>cbalSI2CodeR1</t>
  </si>
  <si>
    <t>cbalSI3CodeR1</t>
  </si>
  <si>
    <t>cbalSI4CodeR1</t>
  </si>
  <si>
    <t>cbalSI5CodeR1</t>
  </si>
  <si>
    <t>cbalSI1CodeR2</t>
  </si>
  <si>
    <t>cbalSI2CodeR2</t>
  </si>
  <si>
    <t>cbalSI3CodeR2</t>
  </si>
  <si>
    <t>cbalSI4CodeR2</t>
  </si>
  <si>
    <t>cbalSI5CodeR2</t>
  </si>
  <si>
    <t>cbalSI1CodeR3</t>
  </si>
  <si>
    <t>cbalSI2CodeR3</t>
  </si>
  <si>
    <t>cbalSI3CodeR3</t>
  </si>
  <si>
    <t>cbalSI4CodeR3</t>
  </si>
  <si>
    <t>cbalSI5CodeR3</t>
  </si>
  <si>
    <t>Feedback</t>
  </si>
  <si>
    <t>feedback_FeedbackSheetName</t>
  </si>
  <si>
    <t>FeedbackTS</t>
  </si>
  <si>
    <t>feedback_TimeSeriesFeedbackSheetName</t>
  </si>
  <si>
    <t>feedback_FeedbackFileName</t>
  </si>
  <si>
    <t>Instructions</t>
  </si>
  <si>
    <t>sim_OnResetGoTo</t>
  </si>
  <si>
    <t>This named range determines which page to go to once the sim has been reset; by default it goes to the "Instructions" page you have just created</t>
  </si>
  <si>
    <t>Leave this blank if you do not want to specify a page to go to</t>
  </si>
  <si>
    <t>nmProd1</t>
  </si>
  <si>
    <t>nmPrice</t>
  </si>
  <si>
    <t>Price</t>
  </si>
  <si>
    <t>nmForecast</t>
  </si>
  <si>
    <t>Forecast</t>
  </si>
  <si>
    <t>nmMarketing</t>
  </si>
  <si>
    <t>Marketing</t>
  </si>
  <si>
    <t>nmRevenue</t>
  </si>
  <si>
    <t>COGS</t>
  </si>
  <si>
    <t>nmCOGS</t>
  </si>
  <si>
    <t>nmGrossProfit</t>
  </si>
  <si>
    <t>Gross Profit</t>
  </si>
  <si>
    <t>nmGrossMargin</t>
  </si>
  <si>
    <t>Gross Margin</t>
  </si>
  <si>
    <t>nmMillion</t>
  </si>
  <si>
    <t>Mn</t>
  </si>
  <si>
    <t>Names</t>
  </si>
  <si>
    <t>Controls</t>
  </si>
  <si>
    <t>this specifices which sheets the hood close macro acts upon</t>
  </si>
  <si>
    <t>after the hood is closed, which sheet should be navigated to (must begin with the prefix specified in hood_ToolPrefix)</t>
  </si>
  <si>
    <t>This is the name of the feedback file - whatever you enter here will be what the macro searches for when updating feedbacks</t>
  </si>
  <si>
    <t>nmProgramTitle</t>
  </si>
  <si>
    <t>nmProgramSubtitle</t>
  </si>
  <si>
    <t>A1:Q19</t>
  </si>
  <si>
    <t>dec_ToolInputPrefix</t>
  </si>
  <si>
    <t>This determines how many tools to create</t>
  </si>
  <si>
    <t>xxNumOfTeams</t>
  </si>
  <si>
    <t>Parameters</t>
  </si>
  <si>
    <t>#</t>
  </si>
  <si>
    <t>A/R</t>
  </si>
  <si>
    <t>Base Value</t>
  </si>
  <si>
    <t>Named Range</t>
  </si>
  <si>
    <t>Must be in numerical order</t>
  </si>
  <si>
    <t>Initiatives</t>
  </si>
  <si>
    <t>A</t>
  </si>
  <si>
    <t>R</t>
  </si>
  <si>
    <t>End of Params</t>
  </si>
  <si>
    <t>Adjustments</t>
  </si>
  <si>
    <t>Parameter #</t>
  </si>
  <si>
    <t>Parameter Name</t>
  </si>
  <si>
    <t>FTE Code</t>
  </si>
  <si>
    <t>adj_FTECode</t>
  </si>
  <si>
    <t>Cost Code</t>
  </si>
  <si>
    <t>adj_CostCode</t>
  </si>
  <si>
    <t>Costs</t>
  </si>
  <si>
    <t>If not chosen</t>
  </si>
  <si>
    <t>1st Round</t>
  </si>
  <si>
    <t>2nd Round</t>
  </si>
  <si>
    <t>3rd Round</t>
  </si>
  <si>
    <t>4th Round</t>
  </si>
  <si>
    <t>SI Name</t>
  </si>
  <si>
    <t>Launched?</t>
  </si>
  <si>
    <t>Rounds into launch</t>
  </si>
  <si>
    <t>SI_Name</t>
  </si>
  <si>
    <t>Strategic Initiatves History</t>
  </si>
  <si>
    <t>RL</t>
  </si>
  <si>
    <t>RIL</t>
  </si>
  <si>
    <t>RL = Round Launched</t>
  </si>
  <si>
    <t>RIL = Rounds into launch</t>
  </si>
  <si>
    <t>Launched</t>
  </si>
  <si>
    <t>Rounds into Launch</t>
  </si>
  <si>
    <t>SI_Index</t>
  </si>
  <si>
    <t>adj_IndexTeam</t>
  </si>
  <si>
    <t>xxToolPrefix</t>
  </si>
  <si>
    <t>CONFIGURATION - These MAY be set up by the developer at the beginning of the development; You are unlikely to need to modify these</t>
  </si>
  <si>
    <t>STATE - These are modified by macros, or may be manually adjusted by the developer for testing purposes</t>
  </si>
  <si>
    <t>SET UP - These MUST be set up by the developer at the beginning of the development</t>
  </si>
  <si>
    <t>SETTINGS - These may be modified by the developer or consultant</t>
  </si>
  <si>
    <t>Connect this to xxToolPrefix on your controls page</t>
  </si>
  <si>
    <t xml:space="preserve">  Formula cell.  Developer may modify.</t>
  </si>
  <si>
    <t>Legend</t>
  </si>
  <si>
    <t>For support contact:</t>
  </si>
  <si>
    <t>core_SimType</t>
  </si>
  <si>
    <t>This is used to determine what kind of solution you are creating</t>
  </si>
  <si>
    <t>CarlsbergVM</t>
  </si>
  <si>
    <t>BA1</t>
  </si>
  <si>
    <t>nmProd2</t>
  </si>
  <si>
    <t>nmProd3</t>
  </si>
  <si>
    <t>nmProd4</t>
  </si>
  <si>
    <t>nmSeg1</t>
  </si>
  <si>
    <t>nmSeg2</t>
  </si>
  <si>
    <t>nmSeg3</t>
  </si>
  <si>
    <t>nmSeg4</t>
  </si>
  <si>
    <t>nmCh1</t>
  </si>
  <si>
    <t>nmCh2</t>
  </si>
  <si>
    <t>nmCh3</t>
  </si>
  <si>
    <t>nmCh4</t>
  </si>
  <si>
    <t>cnstDaysPYear</t>
  </si>
  <si>
    <t>Greensberg</t>
  </si>
  <si>
    <t>Harken</t>
  </si>
  <si>
    <t>Kara</t>
  </si>
  <si>
    <t>Brew Master</t>
  </si>
  <si>
    <t>Making a Statement</t>
  </si>
  <si>
    <t>Celebrating &amp; Fun</t>
  </si>
  <si>
    <t>Connecting &amp; Bonding</t>
  </si>
  <si>
    <t>Hypermarkets</t>
  </si>
  <si>
    <t>Discounters</t>
  </si>
  <si>
    <t>On-Trade</t>
  </si>
  <si>
    <t>Data Page</t>
  </si>
  <si>
    <t>ModuleFactory@bts.com</t>
  </si>
  <si>
    <t>Input Cell Types</t>
  </si>
  <si>
    <t>Calculation Cell Types</t>
  </si>
  <si>
    <t xml:space="preserve">  Hard-coded cell.  Developer may modify.</t>
  </si>
  <si>
    <t xml:space="preserve">  Calculated cell. User must not modify.</t>
  </si>
  <si>
    <t xml:space="preserve">  Cell must be linked to another worksheet.</t>
  </si>
  <si>
    <t>Set Up</t>
  </si>
  <si>
    <t xml:space="preserve">Number of Teams </t>
  </si>
  <si>
    <t>dataNumTeams</t>
  </si>
  <si>
    <t>**Link from xxNumOfTeams</t>
  </si>
  <si>
    <t>Balancing</t>
  </si>
  <si>
    <t>Round 0</t>
  </si>
  <si>
    <t>Round 1</t>
  </si>
  <si>
    <t>Round 2</t>
  </si>
  <si>
    <t>Round 3</t>
  </si>
  <si>
    <t>**Example only; alter as needed</t>
  </si>
  <si>
    <t>COGs</t>
  </si>
  <si>
    <t>**Link to market model balancing if applicable</t>
  </si>
  <si>
    <t>**Output applicable data to case study chart tool</t>
  </si>
  <si>
    <t>Research and Development</t>
  </si>
  <si>
    <t>R&amp;D %</t>
  </si>
  <si>
    <t>Marketing and Sales</t>
  </si>
  <si>
    <t>M&amp;S %</t>
  </si>
  <si>
    <t>General and Administrative</t>
  </si>
  <si>
    <t>G&amp;A %</t>
  </si>
  <si>
    <t>Operating Profit</t>
  </si>
  <si>
    <t>Operating Margin</t>
  </si>
  <si>
    <t>Single Team Volumes</t>
  </si>
  <si>
    <t>CAGR</t>
  </si>
  <si>
    <t>% Growth Round-on-Round</t>
  </si>
  <si>
    <t>Whole Market Volumes</t>
  </si>
  <si>
    <t>**Output to FinCalc page</t>
  </si>
  <si>
    <t>Market Model Drivers (for Volume Split)</t>
  </si>
  <si>
    <t>Driver</t>
  </si>
  <si>
    <t>Direction</t>
  </si>
  <si>
    <t>Direction: +1 = the higher the score the better; -1 = the lower the score the better</t>
  </si>
  <si>
    <t>Fixed Expenses</t>
  </si>
  <si>
    <t>Total Desired Expense from Category</t>
  </si>
  <si>
    <t>R&amp;D</t>
  </si>
  <si>
    <t>M&amp;S</t>
  </si>
  <si>
    <t>G&amp;A</t>
  </si>
  <si>
    <t>% Fixed Expense from Category</t>
  </si>
  <si>
    <t>dataFixedRDExp</t>
  </si>
  <si>
    <t>**Link to fin page</t>
  </si>
  <si>
    <t>dataFixedMSExp</t>
  </si>
  <si>
    <t>**Link to param page base as base values if adjustments required</t>
  </si>
  <si>
    <t>dataFixedGAExp</t>
  </si>
  <si>
    <t>Volume</t>
  </si>
  <si>
    <t>Active String</t>
  </si>
  <si>
    <t>String</t>
  </si>
  <si>
    <t>Dashboard 5</t>
  </si>
  <si>
    <t>Dashboard 4</t>
  </si>
  <si>
    <t>Dashboard 3</t>
  </si>
  <si>
    <t>Dashboard 2</t>
  </si>
  <si>
    <t>Dashboard 1</t>
  </si>
  <si>
    <t>DB_SubWhiteSpace</t>
  </si>
  <si>
    <t>Sub Value Space</t>
  </si>
  <si>
    <t>DB_LargeWhiteSpace</t>
  </si>
  <si>
    <t>Large White Space</t>
  </si>
  <si>
    <t>DB_WhiteSpace</t>
  </si>
  <si>
    <t xml:space="preserve">White Space </t>
  </si>
  <si>
    <t>DB_ArrayDash5Values</t>
  </si>
  <si>
    <t>DB_ArrayDash5Names</t>
  </si>
  <si>
    <t>Formatted Sub Raw Value</t>
  </si>
  <si>
    <t>Sub Raw Value</t>
  </si>
  <si>
    <t>Formatted Value</t>
  </si>
  <si>
    <t>Raw Value</t>
  </si>
  <si>
    <t>Active</t>
  </si>
  <si>
    <t>KPI Name</t>
  </si>
  <si>
    <t>DB_ArrayDash4Values</t>
  </si>
  <si>
    <t>DB_ArrayDash4Names</t>
  </si>
  <si>
    <t>DB_ArrayDash3Values</t>
  </si>
  <si>
    <t>DB_ArrayDash3Names</t>
  </si>
  <si>
    <t>DB_ArrayDash2Values</t>
  </si>
  <si>
    <t>DB_ArrayDash2Names</t>
  </si>
  <si>
    <t>DB_ArrayDash1Values</t>
  </si>
  <si>
    <t>DB_ArrayDash1Names</t>
  </si>
  <si>
    <t>EBIT</t>
  </si>
  <si>
    <t>DB_SubWhiteSpaceLength</t>
  </si>
  <si>
    <t>Sub Value Space Length</t>
  </si>
  <si>
    <t>DB_LargeWhiteSpaceLength</t>
  </si>
  <si>
    <t>Large White Space Length</t>
  </si>
  <si>
    <t>DB_WhiteSpaceLength</t>
  </si>
  <si>
    <t>White Space Length</t>
  </si>
  <si>
    <t>DB_Dashboard5</t>
  </si>
  <si>
    <t>DB_Dashboard4</t>
  </si>
  <si>
    <t>DB_Dashboard3</t>
  </si>
  <si>
    <t>DB_Dashboard2</t>
  </si>
  <si>
    <t>DB_Dashboard1</t>
  </si>
  <si>
    <t>DashBoard</t>
  </si>
  <si>
    <t>Value Management Accelerator</t>
  </si>
  <si>
    <t>Package Innovation</t>
  </si>
  <si>
    <t>Pack_AvailableProgramDropDown</t>
  </si>
  <si>
    <t>Pack_currentRound</t>
  </si>
  <si>
    <t>Pack_selectedSeparator</t>
  </si>
  <si>
    <t>Pack_Index</t>
  </si>
  <si>
    <t>Pack_Code</t>
  </si>
  <si>
    <t>Pack_Name</t>
  </si>
  <si>
    <t>Pack_DisplayedName</t>
  </si>
  <si>
    <t>Pack_AvailableCount</t>
  </si>
  <si>
    <t>Pack_WorksheetName</t>
  </si>
  <si>
    <t>Pack_TotalAvailable</t>
  </si>
  <si>
    <t>Select Pack</t>
  </si>
  <si>
    <t>33cl Can</t>
  </si>
  <si>
    <t>25cl Can</t>
  </si>
  <si>
    <t>50cl Can</t>
  </si>
  <si>
    <t>50cl PET</t>
  </si>
  <si>
    <t>1.5Ltr Pet</t>
  </si>
  <si>
    <t>Pack Data</t>
  </si>
  <si>
    <t>Pack size</t>
  </si>
  <si>
    <t>Channel Fit</t>
  </si>
  <si>
    <t>1 = Poor Fit</t>
  </si>
  <si>
    <t>5 = Great Fit</t>
  </si>
  <si>
    <t>Brand Fit</t>
  </si>
  <si>
    <t>Demand Space Fit</t>
  </si>
  <si>
    <t>Pack</t>
  </si>
  <si>
    <t>Packages</t>
  </si>
  <si>
    <t>PackAvailable_AvailableProgramDropDown</t>
  </si>
  <si>
    <t>PackAvailable_currentRound</t>
  </si>
  <si>
    <t>PackAvailable_selectedSeparator</t>
  </si>
  <si>
    <t>PackAvailable_Index</t>
  </si>
  <si>
    <t>PackAvailable_Code</t>
  </si>
  <si>
    <t>PackAvailable_Name</t>
  </si>
  <si>
    <t>PackAvailable_DisplayedName</t>
  </si>
  <si>
    <t>PackAvailable_AvailableCount</t>
  </si>
  <si>
    <t>PackAvailable_WorksheetName</t>
  </si>
  <si>
    <t>PackAvailable_TotalAvailable</t>
  </si>
  <si>
    <t>3: Project 3</t>
  </si>
  <si>
    <t>Available Packs</t>
  </si>
  <si>
    <t>In the list source, type "=indirect(PackAvailable_AvailableProgramDropDown)".</t>
  </si>
  <si>
    <t>In the list source, type "=indirect(Pack_AvailableProgramDropDown)".</t>
  </si>
  <si>
    <t>Slot 1</t>
  </si>
  <si>
    <t>dataPackPrice</t>
  </si>
  <si>
    <t>Promotion Plan</t>
  </si>
  <si>
    <t>Promotion Plans</t>
  </si>
  <si>
    <t>Promotion Plans Available</t>
  </si>
  <si>
    <t>Plan 1</t>
  </si>
  <si>
    <t>Plan 2</t>
  </si>
  <si>
    <t>Plan 3</t>
  </si>
  <si>
    <t>Plan 4</t>
  </si>
  <si>
    <t>Plan 5</t>
  </si>
  <si>
    <t>Plan 6</t>
  </si>
  <si>
    <t>Plan 7</t>
  </si>
  <si>
    <t>Expected Promotion Share</t>
  </si>
  <si>
    <t>Average Promo Price Discount</t>
  </si>
  <si>
    <t>Sales Forecast</t>
  </si>
  <si>
    <t>Slot 2</t>
  </si>
  <si>
    <t>Slot 3</t>
  </si>
  <si>
    <t>CarlsbergVMFeedback.xlsm</t>
  </si>
  <si>
    <t>Total COGS P Unit</t>
  </si>
  <si>
    <t>Depreciation</t>
  </si>
  <si>
    <t>Labor</t>
  </si>
  <si>
    <t>Materials</t>
  </si>
  <si>
    <t>Total Materials Cost</t>
  </si>
  <si>
    <t>Variable</t>
  </si>
  <si>
    <t>Fixed</t>
  </si>
  <si>
    <t>Cost of Revenue</t>
  </si>
  <si>
    <t>Total Equity</t>
  </si>
  <si>
    <t>Retained earnings</t>
  </si>
  <si>
    <t>Common stock</t>
  </si>
  <si>
    <t>Equity</t>
  </si>
  <si>
    <t>Total Liabilities</t>
  </si>
  <si>
    <t>Long-Term Debt</t>
  </si>
  <si>
    <t>Total Current Liabilities</t>
  </si>
  <si>
    <t>Other Current Liabilities</t>
  </si>
  <si>
    <t>Special Loans</t>
  </si>
  <si>
    <t>Accounts Payable</t>
  </si>
  <si>
    <t>Current Liabilities</t>
  </si>
  <si>
    <t>Liabilities</t>
  </si>
  <si>
    <t>Total Assets</t>
  </si>
  <si>
    <t>Total Plant</t>
  </si>
  <si>
    <t>PP&amp;E</t>
  </si>
  <si>
    <t>Plant</t>
  </si>
  <si>
    <t>Goodwill</t>
  </si>
  <si>
    <t>Total Current Assets</t>
  </si>
  <si>
    <t>Cash</t>
  </si>
  <si>
    <t>Current Assets</t>
  </si>
  <si>
    <t>Assets</t>
  </si>
  <si>
    <t>Total Liabilities + Equity</t>
  </si>
  <si>
    <t>Balanced?</t>
  </si>
  <si>
    <t>Balance Sheet</t>
  </si>
  <si>
    <t>Closing Balance of Cash</t>
  </si>
  <si>
    <t>Net Cash Flow</t>
  </si>
  <si>
    <t>Free Cash Flow</t>
  </si>
  <si>
    <t>Cash Flow Metrics</t>
  </si>
  <si>
    <t>Net Cash from Financing</t>
  </si>
  <si>
    <t>Inc(-)/dec(+) in Special Loans</t>
  </si>
  <si>
    <t>Inc(-)/dec(+) in Long Term Debt</t>
  </si>
  <si>
    <t>Cash From Financing Activities</t>
  </si>
  <si>
    <t>Net Cash used in Investing</t>
  </si>
  <si>
    <t>PP&amp;E Invest (-)</t>
  </si>
  <si>
    <t>Cash Used in Investing Activities</t>
  </si>
  <si>
    <t>Net Cash from Operating Activities</t>
  </si>
  <si>
    <t>Change in Working Capital</t>
  </si>
  <si>
    <t>Inc(+)/dec(-) in Other Current Liab</t>
  </si>
  <si>
    <t>Inc(+)/dec(-) in Accounts Payable</t>
  </si>
  <si>
    <t>Inc(+)/dec(-) in WIP</t>
  </si>
  <si>
    <t>Inc(+)/dec(-) in Finished Goods</t>
  </si>
  <si>
    <t>Inc(+)/dec(-) in Materials</t>
  </si>
  <si>
    <t>Inc(-)/dec(+) in Accounts Receivable</t>
  </si>
  <si>
    <t>Cash from Operating Activities</t>
  </si>
  <si>
    <t>Depreciation PP&amp;E</t>
  </si>
  <si>
    <t>Plant Depreciation</t>
  </si>
  <si>
    <t>Opening Balance of Cash</t>
  </si>
  <si>
    <t>Cash Flow Statement</t>
  </si>
  <si>
    <t>fin Module - Income Statement</t>
  </si>
  <si>
    <t>fin Module - Opening Balance Sheet</t>
  </si>
  <si>
    <t>finBSOpen_Paste</t>
  </si>
  <si>
    <t>finBSOpenCash</t>
  </si>
  <si>
    <t>finBSOpenProd1AR</t>
  </si>
  <si>
    <t>finBSOpenProd1Mat</t>
  </si>
  <si>
    <t>finBSOpenProd1WIP</t>
  </si>
  <si>
    <t>finBSOpenProd1FG</t>
  </si>
  <si>
    <t>finBSOpenCurrentAssets</t>
  </si>
  <si>
    <t>finBSOpenGoodwill</t>
  </si>
  <si>
    <t>finBSOpenPPEValue</t>
  </si>
  <si>
    <t>finBSOpenPlantValue</t>
  </si>
  <si>
    <t>finBSOpenAssets</t>
  </si>
  <si>
    <t>finBSOpenAP</t>
  </si>
  <si>
    <t>finBSOpenSpecialLoans</t>
  </si>
  <si>
    <t>finBSOpenOtherCurrLiab</t>
  </si>
  <si>
    <t>finBSOpenCurrentLiab</t>
  </si>
  <si>
    <t>finBSOpenLongTermLiab</t>
  </si>
  <si>
    <t>finBSOpenLiab</t>
  </si>
  <si>
    <t>finBSOpenStock</t>
  </si>
  <si>
    <t>finBSOpenRetainedEarnings</t>
  </si>
  <si>
    <t>finBSOpenNetEarnings</t>
  </si>
  <si>
    <t>finBSOpenEquity</t>
  </si>
  <si>
    <t>fin Module - Closing Balance Sheet</t>
  </si>
  <si>
    <t>finBSClose_Paste</t>
  </si>
  <si>
    <t>finBSCloseCash</t>
  </si>
  <si>
    <t>finBSCloseProd1AR</t>
  </si>
  <si>
    <t>finBSCloseProd1Mat</t>
  </si>
  <si>
    <t>finBSCloseProd1WIP</t>
  </si>
  <si>
    <t>finBSCloseProd1FG</t>
  </si>
  <si>
    <t>finBSCloseCurrentAssets</t>
  </si>
  <si>
    <t>finBSCloseGoodwill</t>
  </si>
  <si>
    <t>finBSClosePPEValue</t>
  </si>
  <si>
    <t>finBSClosePlantValue</t>
  </si>
  <si>
    <t>finBSCloseAssets</t>
  </si>
  <si>
    <t>finBSCloseAP</t>
  </si>
  <si>
    <t>finBSCloseSpecialLoans</t>
  </si>
  <si>
    <t>finBSCloseOtherCurrLiab</t>
  </si>
  <si>
    <t>finBSCloseCurrentLiab</t>
  </si>
  <si>
    <t>finBSCloseLongTermLiab</t>
  </si>
  <si>
    <t>finBSCloseLiab</t>
  </si>
  <si>
    <t>finBSCloseStock</t>
  </si>
  <si>
    <t>finBSCloseRetainedEarnings</t>
  </si>
  <si>
    <t>finBSCloseNetEarnings</t>
  </si>
  <si>
    <t>finBSCloseEquity</t>
  </si>
  <si>
    <t>fin Module - Cash Flow Statement</t>
  </si>
  <si>
    <t>finCFOpening</t>
  </si>
  <si>
    <t>finCFWorkingCap</t>
  </si>
  <si>
    <t>finCFOperating</t>
  </si>
  <si>
    <t>finCFInvesting</t>
  </si>
  <si>
    <t>finCFLongTermDebt</t>
  </si>
  <si>
    <t>finCFSpecialLoans</t>
  </si>
  <si>
    <t>finCFFinancing</t>
  </si>
  <si>
    <t>finCFFCF</t>
  </si>
  <si>
    <t>finCFNetCF</t>
  </si>
  <si>
    <t>finCFClosing</t>
  </si>
  <si>
    <t>fin Module - Calculations</t>
  </si>
  <si>
    <t>WIP</t>
  </si>
  <si>
    <t>FG</t>
  </si>
  <si>
    <t>Accounts Receivable</t>
  </si>
  <si>
    <t>Machinery</t>
  </si>
  <si>
    <t>Total Machinery Cost</t>
  </si>
  <si>
    <t>Average</t>
  </si>
  <si>
    <t>League</t>
  </si>
  <si>
    <t>Customer Profit</t>
  </si>
  <si>
    <t>Total Materials Cos per Unit</t>
  </si>
  <si>
    <t>Logistics</t>
  </si>
  <si>
    <t>Gross Profit after Logistics</t>
  </si>
  <si>
    <t>GPaL</t>
  </si>
  <si>
    <t>GPaL %</t>
  </si>
  <si>
    <t>PNL On SKU level</t>
  </si>
  <si>
    <t>COGS impacts from SI</t>
  </si>
  <si>
    <t>dataPackMatExp</t>
  </si>
  <si>
    <t>Materials Cost per New Unit (Pack/brand)</t>
  </si>
  <si>
    <t>Total Hours Required</t>
  </si>
  <si>
    <t>CalcPlant1HoursReq</t>
  </si>
  <si>
    <t>CalcPlant1UnitsEnd</t>
  </si>
  <si>
    <t>CalcPlant1UnitsAvail</t>
  </si>
  <si>
    <t>CalcPlant1HoursAvail</t>
  </si>
  <si>
    <t>Utilization</t>
  </si>
  <si>
    <t>CalcPlant1Utiliz</t>
  </si>
  <si>
    <t>Resets Pct of Capacity</t>
  </si>
  <si>
    <t>CalcPlant1ResetPct</t>
  </si>
  <si>
    <t>At Maximum Capacity?</t>
  </si>
  <si>
    <t>CalcPlant1AtMaximum</t>
  </si>
  <si>
    <t>Total Investment cost</t>
  </si>
  <si>
    <t>CalcPlant1Investment</t>
  </si>
  <si>
    <t>Divestment Value</t>
  </si>
  <si>
    <t>CalcPlant1DivestmentValue</t>
  </si>
  <si>
    <t>CalcPlant1DivestmentRevenue</t>
  </si>
  <si>
    <t>CalcPlant1CapitalLoss</t>
  </si>
  <si>
    <t>Plant Machinery Operating Cost</t>
  </si>
  <si>
    <t>CalcPlant1MachCost</t>
  </si>
  <si>
    <t>% Allocated</t>
  </si>
  <si>
    <t>Depreciation per Product</t>
  </si>
  <si>
    <t>Brewery</t>
  </si>
  <si>
    <t>Maufacturing hrs/l</t>
  </si>
  <si>
    <t>paramPlant1InvCost</t>
  </si>
  <si>
    <t>paramPlant1Emp9Req</t>
  </si>
  <si>
    <t>paramPlant1MachHrsPUnit</t>
  </si>
  <si>
    <t>paramPlant1MachCostPHr</t>
  </si>
  <si>
    <t>paramPlant1DepRate</t>
  </si>
  <si>
    <t>paramPlant1RampUpPct</t>
  </si>
  <si>
    <t>paramPlant1DivRevenue</t>
  </si>
  <si>
    <t>paramPlant1MaxUtiliz</t>
  </si>
  <si>
    <t xml:space="preserve">Cuhlia </t>
  </si>
  <si>
    <t>Pre investment utilization</t>
  </si>
  <si>
    <t>obalPlant1Units</t>
  </si>
  <si>
    <t>obalEmp1</t>
  </si>
  <si>
    <t>CalcPlant1InvestCostNewUnit</t>
  </si>
  <si>
    <t>Cuhlia lifecycle days</t>
  </si>
  <si>
    <t>paramPlant1LifecycleDays</t>
  </si>
  <si>
    <t>paramPlant1ResetTime</t>
  </si>
  <si>
    <t>Chulia Reset Time</t>
  </si>
  <si>
    <t>CalcPlant1HoursAvailPreInvest</t>
  </si>
  <si>
    <t>CalcPlant1UnitsAvailPreInvest</t>
  </si>
  <si>
    <t>CalcPlant1UtilizPreInvest</t>
  </si>
  <si>
    <t>Machinery Cost per new Volume Unit</t>
  </si>
  <si>
    <t>cbalPlant1Units</t>
  </si>
  <si>
    <t>cbalEmp1</t>
  </si>
  <si>
    <t>nmPlant1</t>
  </si>
  <si>
    <t>nmEmp1</t>
  </si>
  <si>
    <t>Labour</t>
  </si>
  <si>
    <t>CalcPlant1Dep</t>
  </si>
  <si>
    <t>Total Demanded Volume Units</t>
  </si>
  <si>
    <t>Invest Cost New Plant Units</t>
  </si>
  <si>
    <t>Revenue from plant units sold</t>
  </si>
  <si>
    <t>Loss on Sale of Plant Units</t>
  </si>
  <si>
    <t>Pack type</t>
  </si>
  <si>
    <t>Active Slots</t>
  </si>
  <si>
    <t>Range name - active</t>
  </si>
  <si>
    <t>33cl Bottle</t>
  </si>
  <si>
    <t>Forecasted marketshare (%)</t>
  </si>
  <si>
    <t>DS 1</t>
  </si>
  <si>
    <t xml:space="preserve">DS 2 </t>
  </si>
  <si>
    <t>DS 3</t>
  </si>
  <si>
    <t>DS 4</t>
  </si>
  <si>
    <t>Round -3</t>
  </si>
  <si>
    <t>Round -2</t>
  </si>
  <si>
    <t>Round -1</t>
  </si>
  <si>
    <t>dataCh1Prod1Volume</t>
  </si>
  <si>
    <t>dataCh1Prod1MarketVolume</t>
  </si>
  <si>
    <t>Prod 2 &amp; 3 volume allocation (%)</t>
  </si>
  <si>
    <t>Prod 2 &amp; 3 volume allocation</t>
  </si>
  <si>
    <t>Prod 1 volume allocation</t>
  </si>
  <si>
    <t>Prod 1 volume allocation (%)</t>
  </si>
  <si>
    <t>Prod 2 &amp; 3 volume</t>
  </si>
  <si>
    <t>Prod 1 volume</t>
  </si>
  <si>
    <t>Prod 4 volume</t>
  </si>
  <si>
    <t>Prod 4 Total volume</t>
  </si>
  <si>
    <t>Prod 4 volume allocation (%)</t>
  </si>
  <si>
    <t>Prod 4 volume allocation</t>
  </si>
  <si>
    <t>Prod 1 Total volume</t>
  </si>
  <si>
    <t>Prod 2 &amp; 3 Total volume</t>
  </si>
  <si>
    <t>dataCh1Prod4Volume</t>
  </si>
  <si>
    <t>dataCh1Prod4MarketVolume</t>
  </si>
  <si>
    <t>dataCh1Prod2n3MarketVolume</t>
  </si>
  <si>
    <t>dataCh1Prod2n3Volume</t>
  </si>
  <si>
    <t>dataCh2Prod1Volume</t>
  </si>
  <si>
    <t>dataCh2Prod1MarketVolume</t>
  </si>
  <si>
    <t>dataCh2Prod2n3Volume</t>
  </si>
  <si>
    <t>dataCh2Prod2n3MarketVolume</t>
  </si>
  <si>
    <t>dataCh2Prod4Volume</t>
  </si>
  <si>
    <t>dataCh2Prod4MarketVolume</t>
  </si>
  <si>
    <t>dataCh3Prod1Volume</t>
  </si>
  <si>
    <t>dataCh3Prod1MarketVolume</t>
  </si>
  <si>
    <t>dataCh3Prod2n3Volume</t>
  </si>
  <si>
    <t>dataCh3Prod2n3MarketVolume</t>
  </si>
  <si>
    <t>dataCh3Prod4Volume</t>
  </si>
  <si>
    <t>dataCh3Prod4MarketVolume</t>
  </si>
  <si>
    <t>dataCh4Prod1Volume</t>
  </si>
  <si>
    <t>dataCh4Prod1MarketVolume</t>
  </si>
  <si>
    <t>dataCh4Prod2n3Volume</t>
  </si>
  <si>
    <t>dataCh4Prod2n3MarketVolume</t>
  </si>
  <si>
    <t>dataCh4Prod4Volume</t>
  </si>
  <si>
    <t>dataCh4Prod4MarketVolume</t>
  </si>
  <si>
    <t>Volume forecast per product</t>
  </si>
  <si>
    <t>Volume forecast per slot</t>
  </si>
  <si>
    <t>calcCh1Prod1VolForecastProd</t>
  </si>
  <si>
    <t>calcCh1Prod2VolForecastProd</t>
  </si>
  <si>
    <t>calcCh1Prod3VolForecastProd</t>
  </si>
  <si>
    <t>calcCh1Prod4VolForecastProd</t>
  </si>
  <si>
    <t>calcCh2Prod1VolForecastProd</t>
  </si>
  <si>
    <t>calcCh2Prod2VolForecastProd</t>
  </si>
  <si>
    <t>calcCh2Prod3VolForecastProd</t>
  </si>
  <si>
    <t>calcCh2Prod4VolForecastProd</t>
  </si>
  <si>
    <t>calcCh3Prod1VolForecastProd</t>
  </si>
  <si>
    <t>calcCh3Prod2VolForecastProd</t>
  </si>
  <si>
    <t>calcCh3Prod3VolForecastProd</t>
  </si>
  <si>
    <t>calcCh3Prod4VolForecastProd</t>
  </si>
  <si>
    <t>calcCh4Prod1VolForecastProd</t>
  </si>
  <si>
    <t>calcCh4Prod2VolForecastProd</t>
  </si>
  <si>
    <t>calcCh4Prod3VolForecastProd</t>
  </si>
  <si>
    <t>calcCh4Prod4VolForecastProd</t>
  </si>
  <si>
    <t>calcCh1Prod1Slot1VolForecastSlot</t>
  </si>
  <si>
    <t>calcCh1Prod1Slot2VolForecastSlot</t>
  </si>
  <si>
    <t>calcCh1Prod1Slot3VolForecastSlot</t>
  </si>
  <si>
    <t>calcCh1Prod2Slot1VolForecastSlot</t>
  </si>
  <si>
    <t>calcCh1Prod2Slot2VolForecastSlot</t>
  </si>
  <si>
    <t>calcCh1Prod2Slot3VolForecastSlot</t>
  </si>
  <si>
    <t>calcCh1Prod3Slot1VolForecastSlot</t>
  </si>
  <si>
    <t>calcCh1Prod3Slot2VolForecastSlot</t>
  </si>
  <si>
    <t>calcCh1Prod3Slot3VolForecastSlot</t>
  </si>
  <si>
    <t>calcCh1Prod4Slot1VolForecastSlot</t>
  </si>
  <si>
    <t>calcCh1Prod4Slot2VolForecastSlot</t>
  </si>
  <si>
    <t>calcCh1Prod4Slot3VolForecastSlot</t>
  </si>
  <si>
    <t>calcCh2Prod1Slot1VolForecastSlot</t>
  </si>
  <si>
    <t>calcCh2Prod1Slot2VolForecastSlot</t>
  </si>
  <si>
    <t>calcCh2Prod1Slot3VolForecastSlot</t>
  </si>
  <si>
    <t>calcCh2Prod2Slot1VolForecastSlot</t>
  </si>
  <si>
    <t>calcCh2Prod2Slot2VolForecastSlot</t>
  </si>
  <si>
    <t>calcCh2Prod2Slot3VolForecastSlot</t>
  </si>
  <si>
    <t>calcCh2Prod3Slot1VolForecastSlot</t>
  </si>
  <si>
    <t>calcCh2Prod3Slot2VolForecastSlot</t>
  </si>
  <si>
    <t>calcCh2Prod3Slot3VolForecastSlot</t>
  </si>
  <si>
    <t>calcCh2Prod4Slot1VolForecastSlot</t>
  </si>
  <si>
    <t>calcCh2Prod4Slot2VolForecastSlot</t>
  </si>
  <si>
    <t>calcCh2Prod4Slot3VolForecastSlot</t>
  </si>
  <si>
    <t>calcCh3Prod1Slot1VolForecastSlot</t>
  </si>
  <si>
    <t>calcCh3Prod1Slot2VolForecastSlot</t>
  </si>
  <si>
    <t>calcCh3Prod1Slot3VolForecastSlot</t>
  </si>
  <si>
    <t>calcCh3Prod2Slot1VolForecastSlot</t>
  </si>
  <si>
    <t>calcCh3Prod2Slot2VolForecastSlot</t>
  </si>
  <si>
    <t>calcCh3Prod2Slot3VolForecastSlot</t>
  </si>
  <si>
    <t>calcCh3Prod3Slot1VolForecastSlot</t>
  </si>
  <si>
    <t>calcCh3Prod3Slot2VolForecastSlot</t>
  </si>
  <si>
    <t>calcCh3Prod3Slot3VolForecastSlot</t>
  </si>
  <si>
    <t>calcCh3Prod4Slot1VolForecastSlot</t>
  </si>
  <si>
    <t>calcCh3Prod4Slot2VolForecastSlot</t>
  </si>
  <si>
    <t>calcCh3Prod4Slot3VolForecastSlot</t>
  </si>
  <si>
    <t>calcCh4Prod1Slot1VolForecastSlot</t>
  </si>
  <si>
    <t>calcCh4Prod1Slot2VolForecastSlot</t>
  </si>
  <si>
    <t>calcCh4Prod1Slot3VolForecastSlot</t>
  </si>
  <si>
    <t>calcCh4Prod2Slot1VolForecastSlot</t>
  </si>
  <si>
    <t>calcCh4Prod2Slot2VolForecastSlot</t>
  </si>
  <si>
    <t>calcCh4Prod2Slot3VolForecastSlot</t>
  </si>
  <si>
    <t>calcCh4Prod3Slot1VolForecastSlot</t>
  </si>
  <si>
    <t>calcCh4Prod3Slot2VolForecastSlot</t>
  </si>
  <si>
    <t>calcCh4Prod3Slot3VolForecastSlot</t>
  </si>
  <si>
    <t>calcCh4Prod4Slot1VolForecastSlot</t>
  </si>
  <si>
    <t>calcCh4Prod4Slot2VolForecastSlot</t>
  </si>
  <si>
    <t>Gross Sales</t>
  </si>
  <si>
    <t>decCh1Prod1Slot1Active</t>
  </si>
  <si>
    <t>decCh1Prod1Slot2Active</t>
  </si>
  <si>
    <t>decCh1Prod1Slot3Active</t>
  </si>
  <si>
    <t>decCh1Prod2Slot1Active</t>
  </si>
  <si>
    <t>decCh1Prod2Slot2Active</t>
  </si>
  <si>
    <t>decCh1Prod2Slot3Active</t>
  </si>
  <si>
    <t>decCh1Prod3Slot1Active</t>
  </si>
  <si>
    <t>decCh1Prod3Slot2Active</t>
  </si>
  <si>
    <t>decCh1Prod3Slot3Active</t>
  </si>
  <si>
    <t>decCh1Prod4Slot1Active</t>
  </si>
  <si>
    <t>decCh1Prod4Slot2Active</t>
  </si>
  <si>
    <t>decCh1Prod4Slot3Active</t>
  </si>
  <si>
    <t>decCh2Prod1Slot1Active</t>
  </si>
  <si>
    <t>decCh2Prod1Slot2Active</t>
  </si>
  <si>
    <t>decCh2Prod1Slot3Active</t>
  </si>
  <si>
    <t>decCh2Prod2Slot1Active</t>
  </si>
  <si>
    <t>decCh2Prod2Slot2Active</t>
  </si>
  <si>
    <t>decCh2Prod2Slot3Active</t>
  </si>
  <si>
    <t>decCh2Prod3Slot1Active</t>
  </si>
  <si>
    <t>decCh2Prod3Slot2Active</t>
  </si>
  <si>
    <t>decCh2Prod3Slot3Active</t>
  </si>
  <si>
    <t>decCh2Prod4Slot1Active</t>
  </si>
  <si>
    <t>decCh2Prod4Slot2Active</t>
  </si>
  <si>
    <t>decCh2Prod4Slot3Active</t>
  </si>
  <si>
    <t>decCh3Prod1Slot1Active</t>
  </si>
  <si>
    <t>decCh3Prod1Slot2Active</t>
  </si>
  <si>
    <t>decCh3Prod1Slot3Active</t>
  </si>
  <si>
    <t>decCh3Prod2Slot1Active</t>
  </si>
  <si>
    <t>decCh3Prod2Slot2Active</t>
  </si>
  <si>
    <t>decCh3Prod2Slot3Active</t>
  </si>
  <si>
    <t>decCh3Prod3Slot1Active</t>
  </si>
  <si>
    <t>decCh3Prod3Slot2Active</t>
  </si>
  <si>
    <t>decCh3Prod3Slot3Active</t>
  </si>
  <si>
    <t>decCh3Prod4Slot1Active</t>
  </si>
  <si>
    <t>decCh3Prod4Slot2Active</t>
  </si>
  <si>
    <t>decCh3Prod4Slot3Active</t>
  </si>
  <si>
    <t>decCh4Prod1Slot1Active</t>
  </si>
  <si>
    <t>decCh4Prod1Slot2Active</t>
  </si>
  <si>
    <t>decCh4Prod1Slot3Active</t>
  </si>
  <si>
    <t>decCh4Prod2Slot1Active</t>
  </si>
  <si>
    <t>decCh4Prod2Slot2Active</t>
  </si>
  <si>
    <t>decCh4Prod2Slot3Active</t>
  </si>
  <si>
    <t>decCh4Prod3Slot1Active</t>
  </si>
  <si>
    <t>decCh4Prod3Slot2Active</t>
  </si>
  <si>
    <t>decCh4Prod3Slot3Active</t>
  </si>
  <si>
    <t>decCh4Prod4Slot1Active</t>
  </si>
  <si>
    <t>decCh4Prod4Slot2Active</t>
  </si>
  <si>
    <t>decCh4Prod4Slot3Active</t>
  </si>
  <si>
    <t>Pack Innovation</t>
  </si>
  <si>
    <t>Innovation 1</t>
  </si>
  <si>
    <t>Innovation 2</t>
  </si>
  <si>
    <t>decPackInnovation1</t>
  </si>
  <si>
    <t>decPackInnovation2</t>
  </si>
  <si>
    <t>Expense</t>
  </si>
  <si>
    <t>MTUs</t>
  </si>
  <si>
    <t>paramSIEmp1</t>
  </si>
  <si>
    <t>paramSIExp</t>
  </si>
  <si>
    <t>Year 1</t>
  </si>
  <si>
    <t>Year 2</t>
  </si>
  <si>
    <t>Year 3</t>
  </si>
  <si>
    <t>Number</t>
  </si>
  <si>
    <t>Pack selected</t>
  </si>
  <si>
    <t>calcPackInnovation1</t>
  </si>
  <si>
    <t>calcPackInnovation2</t>
  </si>
  <si>
    <t>R&amp;D Expense</t>
  </si>
  <si>
    <t>dataPackInnovation</t>
  </si>
  <si>
    <t>calcPackInnovation1Exp</t>
  </si>
  <si>
    <t>Total Innovation Expense</t>
  </si>
  <si>
    <t>calcPackInnovation2Exp</t>
  </si>
  <si>
    <t>calcPackInnovationExpTot</t>
  </si>
  <si>
    <t>CalcEmp1Req</t>
  </si>
  <si>
    <t>CalcEmp1Att</t>
  </si>
  <si>
    <t>CalcEmp1End</t>
  </si>
  <si>
    <t>CalcEmp1Utiliz</t>
  </si>
  <si>
    <t>CalcEmp1Exp</t>
  </si>
  <si>
    <t>CalcEmp1RecDismExp</t>
  </si>
  <si>
    <t>CalcEmp1AdminExp</t>
  </si>
  <si>
    <t>CalcEmp1Unassigned</t>
  </si>
  <si>
    <t>paramemp1AttRate</t>
  </si>
  <si>
    <t>paramemp1RecRate</t>
  </si>
  <si>
    <t>paramemp1Exp</t>
  </si>
  <si>
    <t>paramemp1RecDismCost</t>
  </si>
  <si>
    <t>paramemp1AdminCostPct</t>
  </si>
  <si>
    <t>calcEmp1Open</t>
  </si>
  <si>
    <t>calcEmp1Rec</t>
  </si>
  <si>
    <t>Promotions</t>
  </si>
  <si>
    <t>calcPackInnovation1Emp1Req</t>
  </si>
  <si>
    <t>calcPackInnovation2Emp1Req</t>
  </si>
  <si>
    <t>calcPackInnovationEmp1ReqTot</t>
  </si>
  <si>
    <t>SI Expense</t>
  </si>
  <si>
    <t>Select Plan</t>
  </si>
  <si>
    <t>Marketing Plans</t>
  </si>
  <si>
    <t>dataMarketingPlansExp</t>
  </si>
  <si>
    <t>dataMarketingPlansList</t>
  </si>
  <si>
    <t>Plan selected</t>
  </si>
  <si>
    <t>decCh1MarkPlan</t>
  </si>
  <si>
    <t>decCh2MarkPlan</t>
  </si>
  <si>
    <t>decCh3MarkPlan</t>
  </si>
  <si>
    <t>decCh4MarkPlan</t>
  </si>
  <si>
    <t>Total Marketing Plans Expense</t>
  </si>
  <si>
    <t>calcCh1MarkPlan</t>
  </si>
  <si>
    <t>calcCh1MarkPlanEmp1Req</t>
  </si>
  <si>
    <t>calcCh1MarkPlanExp</t>
  </si>
  <si>
    <t>calcCh2MarkPlan</t>
  </si>
  <si>
    <t>calcCh2MarkPlanEmp1Req</t>
  </si>
  <si>
    <t>calcCh2MarkPlanExp</t>
  </si>
  <si>
    <t>calcCh3MarkPlan</t>
  </si>
  <si>
    <t>calcCh3MarkPlanEmp1Req</t>
  </si>
  <si>
    <t>calcCh3MarkPlanExp</t>
  </si>
  <si>
    <t>calcCh4MarkPlan</t>
  </si>
  <si>
    <t>calcCh4MarkPlanEmp1Req</t>
  </si>
  <si>
    <t>calcCh4MarkPlanExp</t>
  </si>
  <si>
    <t>Trade Marketing</t>
  </si>
  <si>
    <t>nmSi</t>
  </si>
  <si>
    <t>calcMarkPlanEmp1ReqTot</t>
  </si>
  <si>
    <t>calcMarkPlanExpTot</t>
  </si>
  <si>
    <t>Units Sold</t>
  </si>
  <si>
    <t>Visibility</t>
  </si>
  <si>
    <t>dataMMCh1Prod1Seg2</t>
  </si>
  <si>
    <t>dataMMCh1Prod1Seg1</t>
  </si>
  <si>
    <t>dataMMCh1Prod1Seg4</t>
  </si>
  <si>
    <t>dataMMCh1Prod1Seg3</t>
  </si>
  <si>
    <t>dataMMCh1Prod23Seg1</t>
  </si>
  <si>
    <t>dataMMCh1Prod23Seg2</t>
  </si>
  <si>
    <t>dataMMCh1Prod23Seg3</t>
  </si>
  <si>
    <t>dataMMCh1Prod23Seg4</t>
  </si>
  <si>
    <t>nmProd23</t>
  </si>
  <si>
    <t>Local Power</t>
  </si>
  <si>
    <t>dataMMCh1Prod4Seg1</t>
  </si>
  <si>
    <t>dataMMCh1Prod4Seg2</t>
  </si>
  <si>
    <t>dataMMCh1Prod4Seg3</t>
  </si>
  <si>
    <t>dataMMCh1Prod4Seg4</t>
  </si>
  <si>
    <t>dataMMCh2Prod1Seg1</t>
  </si>
  <si>
    <t>dataMMCh2Prod1Seg2</t>
  </si>
  <si>
    <t>dataMMCh2Prod1Seg3</t>
  </si>
  <si>
    <t>dataMMCh2Prod1Seg4</t>
  </si>
  <si>
    <t>dataMMCh2Prod23Seg1</t>
  </si>
  <si>
    <t>dataMMCh2Prod23Seg2</t>
  </si>
  <si>
    <t>dataMMCh2Prod23Seg3</t>
  </si>
  <si>
    <t>dataMMCh2Prod23Seg4</t>
  </si>
  <si>
    <t>dataMMCh2Prod4Seg1</t>
  </si>
  <si>
    <t>dataMMCh2Prod4Seg2</t>
  </si>
  <si>
    <t>dataMMCh2Prod4Seg3</t>
  </si>
  <si>
    <t>dataMMCh2Prod4Seg4</t>
  </si>
  <si>
    <t>dataMMCh3Prod1Seg1</t>
  </si>
  <si>
    <t>dataMMCh3Prod1Seg2</t>
  </si>
  <si>
    <t>dataMMCh3Prod1Seg3</t>
  </si>
  <si>
    <t>dataMMCh3Prod1Seg4</t>
  </si>
  <si>
    <t>dataMMCh3Prod23Seg1</t>
  </si>
  <si>
    <t>dataMMCh3Prod23Seg2</t>
  </si>
  <si>
    <t>dataMMCh3Prod23Seg3</t>
  </si>
  <si>
    <t>dataMMCh3Prod23Seg4</t>
  </si>
  <si>
    <t>dataMMCh3Prod4Seg1</t>
  </si>
  <si>
    <t>dataMMCh3Prod4Seg2</t>
  </si>
  <si>
    <t>dataMMCh3Prod4Seg3</t>
  </si>
  <si>
    <t>dataMMCh3Prod4Seg4</t>
  </si>
  <si>
    <t>dataMMCh4Prod1Seg1</t>
  </si>
  <si>
    <t>dataMMCh4Prod1Seg2</t>
  </si>
  <si>
    <t>dataMMCh4Prod1Seg3</t>
  </si>
  <si>
    <t>dataMMCh4Prod1Seg4</t>
  </si>
  <si>
    <t>dataMMCh4Prod23Seg1</t>
  </si>
  <si>
    <t>dataMMCh4Prod23Seg2</t>
  </si>
  <si>
    <t>dataMMCh4Prod23Seg3</t>
  </si>
  <si>
    <t>dataMMCh4Prod23Seg4</t>
  </si>
  <si>
    <t>dataMMCh4Prod4Seg1</t>
  </si>
  <si>
    <t>dataMMCh4Prod4Seg2</t>
  </si>
  <si>
    <t>dataMMCh4Prod4Seg3</t>
  </si>
  <si>
    <t>dataMMCh4Prod4Seg4</t>
  </si>
  <si>
    <t>Colour labes</t>
  </si>
  <si>
    <t>Packs Available</t>
  </si>
  <si>
    <t>obalPack1Avail</t>
  </si>
  <si>
    <t>obalPack2Avail</t>
  </si>
  <si>
    <t>obalPack3Avail</t>
  </si>
  <si>
    <t>obalPack4Avail</t>
  </si>
  <si>
    <t>obalPack5Avail</t>
  </si>
  <si>
    <t>obalPack6Avail</t>
  </si>
  <si>
    <t>obalPack7Avail</t>
  </si>
  <si>
    <t>obalPack8Avail</t>
  </si>
  <si>
    <t>obalPack9Avail</t>
  </si>
  <si>
    <t>obalPack10Avail</t>
  </si>
  <si>
    <t>obalPack11Avail</t>
  </si>
  <si>
    <t>obalPack12Avail</t>
  </si>
  <si>
    <t>obalPack13Avail</t>
  </si>
  <si>
    <t>obalPack14Avail</t>
  </si>
  <si>
    <t>obalPack15Avail</t>
  </si>
  <si>
    <t>obalPack16Avail</t>
  </si>
  <si>
    <t>obalPack17Avail</t>
  </si>
  <si>
    <t>obalPack18Avail</t>
  </si>
  <si>
    <t>obalPack19Avail</t>
  </si>
  <si>
    <t>obalPack20Avail</t>
  </si>
  <si>
    <t>obalPack21Avail</t>
  </si>
  <si>
    <t>obalPack22Avail</t>
  </si>
  <si>
    <t>obalPack23Avail</t>
  </si>
  <si>
    <t>obalPack24Avail</t>
  </si>
  <si>
    <t>obalPack25Avail</t>
  </si>
  <si>
    <t>obalPack26Avail</t>
  </si>
  <si>
    <t>obalPack27Avail</t>
  </si>
  <si>
    <t>obalPack28Avail</t>
  </si>
  <si>
    <t>obalPack29Avail</t>
  </si>
  <si>
    <t>obalPack30Avail</t>
  </si>
  <si>
    <t>cbalPack1Avail</t>
  </si>
  <si>
    <t>cbalPack2Avail</t>
  </si>
  <si>
    <t>cbalPack3Avail</t>
  </si>
  <si>
    <t>cbalPack4Avail</t>
  </si>
  <si>
    <t>cbalPack5Avail</t>
  </si>
  <si>
    <t>cbalPack6Avail</t>
  </si>
  <si>
    <t>cbalPack7Avail</t>
  </si>
  <si>
    <t>cbalPack8Avail</t>
  </si>
  <si>
    <t>cbalPack9Avail</t>
  </si>
  <si>
    <t>cbalPack10Avail</t>
  </si>
  <si>
    <t>cbalPack11Avail</t>
  </si>
  <si>
    <t>cbalPack12Avail</t>
  </si>
  <si>
    <t>cbalPack13Avail</t>
  </si>
  <si>
    <t>cbalPack14Avail</t>
  </si>
  <si>
    <t>cbalPack15Avail</t>
  </si>
  <si>
    <t>cbalPack16Avail</t>
  </si>
  <si>
    <t>cbalPack17Avail</t>
  </si>
  <si>
    <t>cbalPack18Avail</t>
  </si>
  <si>
    <t>cbalPack19Avail</t>
  </si>
  <si>
    <t>cbalPack20Avail</t>
  </si>
  <si>
    <t>cbalPack21Avail</t>
  </si>
  <si>
    <t>cbalPack22Avail</t>
  </si>
  <si>
    <t>cbalPack23Avail</t>
  </si>
  <si>
    <t>cbalPack24Avail</t>
  </si>
  <si>
    <t>cbalPack25Avail</t>
  </si>
  <si>
    <t>cbalPack26Avail</t>
  </si>
  <si>
    <t>cbalPack27Avail</t>
  </si>
  <si>
    <t>cbalPack28Avail</t>
  </si>
  <si>
    <t>cbalPack29Avail</t>
  </si>
  <si>
    <t>cbalPack30Avail</t>
  </si>
  <si>
    <t>nmPack1</t>
  </si>
  <si>
    <t>nmPack2</t>
  </si>
  <si>
    <t>nmPack3</t>
  </si>
  <si>
    <t>nmPack4</t>
  </si>
  <si>
    <t>nmPack5</t>
  </si>
  <si>
    <t>nmPack6</t>
  </si>
  <si>
    <t>nmPack7</t>
  </si>
  <si>
    <t>nmPack8</t>
  </si>
  <si>
    <t>nmPack9</t>
  </si>
  <si>
    <t>nmPack10</t>
  </si>
  <si>
    <t>nmPack11</t>
  </si>
  <si>
    <t>nmPack12</t>
  </si>
  <si>
    <t>nmPack13</t>
  </si>
  <si>
    <t>nmPack14</t>
  </si>
  <si>
    <t>nmPack15</t>
  </si>
  <si>
    <t>nmPack16</t>
  </si>
  <si>
    <t>nmPack17</t>
  </si>
  <si>
    <t>nmPack18</t>
  </si>
  <si>
    <t>nmPack19</t>
  </si>
  <si>
    <t>nmPack20</t>
  </si>
  <si>
    <t>nmPack21</t>
  </si>
  <si>
    <t>nmPack22</t>
  </si>
  <si>
    <t>nmPack23</t>
  </si>
  <si>
    <t>nmPack24</t>
  </si>
  <si>
    <t>nmPack25</t>
  </si>
  <si>
    <t>nmPack26</t>
  </si>
  <si>
    <t>nmPack27</t>
  </si>
  <si>
    <t>nmPack28</t>
  </si>
  <si>
    <t>nmPack29</t>
  </si>
  <si>
    <t>nmPack30</t>
  </si>
  <si>
    <t>finCalcCh1Prod1Slot1VolSold</t>
  </si>
  <si>
    <t>finCalcCh1Prod1Slot1DepExp</t>
  </si>
  <si>
    <t>finCalcCh1Prod1Slot1COGSPUnit</t>
  </si>
  <si>
    <t>dataPackMaterialExp</t>
  </si>
  <si>
    <t>Material expense/l</t>
  </si>
  <si>
    <t>Forecast adjustment</t>
  </si>
  <si>
    <t>Forecast sensitivity: Material</t>
  </si>
  <si>
    <t>Diff between forecast &amp; demand</t>
  </si>
  <si>
    <t>Forecast sensitivity: labour</t>
  </si>
  <si>
    <t>dataForecastImpactMatCost</t>
  </si>
  <si>
    <t>dataForecastImpactLabCost</t>
  </si>
  <si>
    <t>Forecast accuracy</t>
  </si>
  <si>
    <t>finCalcCh1Prod1Slot1ForcastAcc</t>
  </si>
  <si>
    <t>labout hrs/l</t>
  </si>
  <si>
    <t>Labor Hours Needed Per volume (pack/brand)</t>
  </si>
  <si>
    <t>dataPackLabourHrs</t>
  </si>
  <si>
    <t>Labour Cost per hour</t>
  </si>
  <si>
    <t>paramLabourCostPerHr</t>
  </si>
  <si>
    <t>New Units Labour Cost</t>
  </si>
  <si>
    <t>Labour Cost Per Hour</t>
  </si>
  <si>
    <t>Slot 1 Plant Hours Required</t>
  </si>
  <si>
    <t>Slot 2 Plant Hours Required</t>
  </si>
  <si>
    <t>Slot 3 Plant Hours Required</t>
  </si>
  <si>
    <t>CalcPlant1Ch1Prod1Slot1Alloc</t>
  </si>
  <si>
    <t>CalcPlant1Ch1Prod1Slot1HoursReq</t>
  </si>
  <si>
    <t>CalcPlant1Ch1Prod1Slot2HoursReq</t>
  </si>
  <si>
    <t>CalcPlant1Ch1Prod1Slot3HoursReq</t>
  </si>
  <si>
    <t>CalcPlant1Ch1Prod2Slot1HoursReq</t>
  </si>
  <si>
    <t>CalcPlant1Ch1Prod2Slot2HoursReq</t>
  </si>
  <si>
    <t>CalcPlant1Ch1Prod2Slot3HoursReq</t>
  </si>
  <si>
    <t>CalcPlant1Ch1Prod3Slot1HoursReq</t>
  </si>
  <si>
    <t>CalcPlant1Ch1Prod3Slot2HoursReq</t>
  </si>
  <si>
    <t>CalcPlant1Ch1Prod3Slot3HoursReq</t>
  </si>
  <si>
    <t>CalcPlant1Ch1Prod4Slot1HoursReq</t>
  </si>
  <si>
    <t>CalcPlant1Ch1Prod4Slot2HoursReq</t>
  </si>
  <si>
    <t>CalcPlant1Ch1Prod4Slot3HoursReq</t>
  </si>
  <si>
    <t>CalcPlant1Ch2Prod1Slot1HoursReq</t>
  </si>
  <si>
    <t>CalcPlant1Ch2Prod1Slot2HoursReq</t>
  </si>
  <si>
    <t>CalcPlant1Ch2Prod1Slot3HoursReq</t>
  </si>
  <si>
    <t>CalcPlant1Ch2Prod2Slot1HoursReq</t>
  </si>
  <si>
    <t>CalcPlant1Ch2Prod2Slot2HoursReq</t>
  </si>
  <si>
    <t>CalcPlant1Ch2Prod2Slot3HoursReq</t>
  </si>
  <si>
    <t>CalcPlant1Ch2Prod3Slot1HoursReq</t>
  </si>
  <si>
    <t>CalcPlant1Ch2Prod3Slot2HoursReq</t>
  </si>
  <si>
    <t>CalcPlant1Ch2Prod3Slot3HoursReq</t>
  </si>
  <si>
    <t>CalcPlant1Ch2Prod4Slot1HoursReq</t>
  </si>
  <si>
    <t>CalcPlant1Ch2Prod4Slot2HoursReq</t>
  </si>
  <si>
    <t>CalcPlant1Ch2Prod4Slot3HoursReq</t>
  </si>
  <si>
    <t>CalcPlant1Ch3Prod1Slot1HoursReq</t>
  </si>
  <si>
    <t>CalcPlant1Ch3Prod1Slot2HoursReq</t>
  </si>
  <si>
    <t>CalcPlant1Ch3Prod1Slot3HoursReq</t>
  </si>
  <si>
    <t>CalcPlant1Ch3Prod2Slot1HoursReq</t>
  </si>
  <si>
    <t>CalcPlant1Ch3Prod2Slot2HoursReq</t>
  </si>
  <si>
    <t>CalcPlant1Ch3Prod2Slot3HoursReq</t>
  </si>
  <si>
    <t>CalcPlant1Ch3Prod3Slot1HoursReq</t>
  </si>
  <si>
    <t>CalcPlant1Ch3Prod3Slot2HoursReq</t>
  </si>
  <si>
    <t>CalcPlant1Ch3Prod3Slot3HoursReq</t>
  </si>
  <si>
    <t>CalcPlant1Ch3Prod4Slot1HoursReq</t>
  </si>
  <si>
    <t>CalcPlant1Ch3Prod4Slot2HoursReq</t>
  </si>
  <si>
    <t>CalcPlant1Ch3Prod4Slot3HoursReq</t>
  </si>
  <si>
    <t>CalcPlant1Ch4Prod1Slot1HoursReq</t>
  </si>
  <si>
    <t>CalcPlant1Ch4Prod1Slot2HoursReq</t>
  </si>
  <si>
    <t>CalcPlant1Ch4Prod1Slot3HoursReq</t>
  </si>
  <si>
    <t>CalcPlant1Ch4Prod2Slot1HoursReq</t>
  </si>
  <si>
    <t>CalcPlant1Ch4Prod2Slot2HoursReq</t>
  </si>
  <si>
    <t>CalcPlant1Ch4Prod2Slot3HoursReq</t>
  </si>
  <si>
    <t>CalcPlant1Ch4Prod3Slot1HoursReq</t>
  </si>
  <si>
    <t>CalcPlant1Ch4Prod3Slot2HoursReq</t>
  </si>
  <si>
    <t>CalcPlant1Ch4Prod3Slot3HoursReq</t>
  </si>
  <si>
    <t>CalcPlant1Ch4Prod4Slot1HoursReq</t>
  </si>
  <si>
    <t>CalcPlant1Ch4Prod4Slot2HoursReq</t>
  </si>
  <si>
    <t>CalcPlant1Ch4Prod4Slot3HoursReq</t>
  </si>
  <si>
    <t>CalcPlant1Ch1Prod1Slot2Alloc</t>
  </si>
  <si>
    <t>CalcPlant1Ch1Prod1Slot3Alloc</t>
  </si>
  <si>
    <t>CalcPlant1Ch1Prod2Slot1Alloc</t>
  </si>
  <si>
    <t>CalcPlant1Ch1Prod2Slot2Alloc</t>
  </si>
  <si>
    <t>CalcPlant1Ch1Prod2Slot3Alloc</t>
  </si>
  <si>
    <t>CalcPlant1Ch1Prod3Slot1Alloc</t>
  </si>
  <si>
    <t>CalcPlant1Ch1Prod3Slot2Alloc</t>
  </si>
  <si>
    <t>CalcPlant1Ch1Prod3Slot3Alloc</t>
  </si>
  <si>
    <t>CalcPlant1Ch1Prod4Slot1Alloc</t>
  </si>
  <si>
    <t>CalcPlant1Ch1Prod4Slot2Alloc</t>
  </si>
  <si>
    <t>CalcPlant1Ch1Prod4Slot3Alloc</t>
  </si>
  <si>
    <t>CalcPlant1Ch2Prod1Slot1Alloc</t>
  </si>
  <si>
    <t>CalcPlant1Ch2Prod1Slot2Alloc</t>
  </si>
  <si>
    <t>CalcPlant1Ch2Prod1Slot3Alloc</t>
  </si>
  <si>
    <t>CalcPlant1Ch2Prod2Slot1Alloc</t>
  </si>
  <si>
    <t>CalcPlant1Ch2Prod2Slot2Alloc</t>
  </si>
  <si>
    <t>CalcPlant1Ch2Prod2Slot3Alloc</t>
  </si>
  <si>
    <t>CalcPlant1Ch2Prod3Slot1Alloc</t>
  </si>
  <si>
    <t>CalcPlant1Ch2Prod3Slot2Alloc</t>
  </si>
  <si>
    <t>CalcPlant1Ch2Prod3Slot3Alloc</t>
  </si>
  <si>
    <t>CalcPlant1Ch2Prod4Slot1Alloc</t>
  </si>
  <si>
    <t>CalcPlant1Ch2Prod4Slot2Alloc</t>
  </si>
  <si>
    <t>CalcPlant1Ch2Prod4Slot3Alloc</t>
  </si>
  <si>
    <t>CalcPlant1Ch3Prod1Slot1Alloc</t>
  </si>
  <si>
    <t>CalcPlant1Ch3Prod1Slot2Alloc</t>
  </si>
  <si>
    <t>CalcPlant1Ch3Prod1Slot3Alloc</t>
  </si>
  <si>
    <t>CalcPlant1Ch3Prod2Slot1Alloc</t>
  </si>
  <si>
    <t>CalcPlant1Ch3Prod2Slot2Alloc</t>
  </si>
  <si>
    <t>CalcPlant1Ch3Prod2Slot3Alloc</t>
  </si>
  <si>
    <t>CalcPlant1Ch3Prod3Slot1Alloc</t>
  </si>
  <si>
    <t>CalcPlant1Ch3Prod3Slot2Alloc</t>
  </si>
  <si>
    <t>CalcPlant1Ch3Prod3Slot3Alloc</t>
  </si>
  <si>
    <t>CalcPlant1Ch3Prod4Slot1Alloc</t>
  </si>
  <si>
    <t>CalcPlant1Ch3Prod4Slot2Alloc</t>
  </si>
  <si>
    <t>CalcPlant1Ch3Prod4Slot3Alloc</t>
  </si>
  <si>
    <t>CalcPlant1Ch4Prod1Slot1Alloc</t>
  </si>
  <si>
    <t>CalcPlant1Ch4Prod1Slot2Alloc</t>
  </si>
  <si>
    <t>CalcPlant1Ch4Prod1Slot3Alloc</t>
  </si>
  <si>
    <t>CalcPlant1Ch4Prod2Slot1Alloc</t>
  </si>
  <si>
    <t>CalcPlant1Ch4Prod2Slot2Alloc</t>
  </si>
  <si>
    <t>CalcPlant1Ch4Prod2Slot3Alloc</t>
  </si>
  <si>
    <t>CalcPlant1Ch4Prod3Slot1Alloc</t>
  </si>
  <si>
    <t>CalcPlant1Ch4Prod3Slot2Alloc</t>
  </si>
  <si>
    <t>CalcPlant1Ch4Prod3Slot3Alloc</t>
  </si>
  <si>
    <t>CalcPlant1Ch4Prod4Slot1Alloc</t>
  </si>
  <si>
    <t>CalcPlant1Ch4Prod4Slot2Alloc</t>
  </si>
  <si>
    <t>CalcPlant1Ch4Prod4Slot3Alloc</t>
  </si>
  <si>
    <t>CalcPlant1Ch1Prod1Slot1ManufacturingCost</t>
  </si>
  <si>
    <t>CalcPlant1Ch1Prod1Slot2ManufacturingCost</t>
  </si>
  <si>
    <t>CalcPlant1Ch1Prod1Slot3ManufacturingCost</t>
  </si>
  <si>
    <t>CalcPlant1Ch1Prod2Slot1ManufacturingCost</t>
  </si>
  <si>
    <t>CalcPlant1Ch1Prod2Slot2ManufacturingCost</t>
  </si>
  <si>
    <t>CalcPlant1Ch1Prod2Slot3ManufacturingCost</t>
  </si>
  <si>
    <t>CalcPlant1Ch1Prod3Slot1ManufacturingCost</t>
  </si>
  <si>
    <t>CalcPlant1Ch1Prod3Slot2ManufacturingCost</t>
  </si>
  <si>
    <t>CalcPlant1Ch1Prod3Slot3ManufacturingCost</t>
  </si>
  <si>
    <t>CalcPlant1Ch1Prod4Slot1ManufacturingCost</t>
  </si>
  <si>
    <t>CalcPlant1Ch1Prod4Slot2ManufacturingCost</t>
  </si>
  <si>
    <t>CalcPlant1Ch1Prod4Slot3ManufacturingCost</t>
  </si>
  <si>
    <t>CalcPlant1Ch2Prod1Slot1ManufacturingCost</t>
  </si>
  <si>
    <t>CalcPlant1Ch2Prod1Slot2ManufacturingCost</t>
  </si>
  <si>
    <t>CalcPlant1Ch2Prod1Slot3ManufacturingCost</t>
  </si>
  <si>
    <t>CalcPlant1Ch2Prod2Slot1ManufacturingCost</t>
  </si>
  <si>
    <t>CalcPlant1Ch2Prod2Slot2ManufacturingCost</t>
  </si>
  <si>
    <t>CalcPlant1Ch2Prod2Slot3ManufacturingCost</t>
  </si>
  <si>
    <t>CalcPlant1Ch2Prod3Slot1ManufacturingCost</t>
  </si>
  <si>
    <t>CalcPlant1Ch2Prod3Slot2ManufacturingCost</t>
  </si>
  <si>
    <t>CalcPlant1Ch2Prod3Slot3ManufacturingCost</t>
  </si>
  <si>
    <t>CalcPlant1Ch2Prod4Slot1ManufacturingCost</t>
  </si>
  <si>
    <t>CalcPlant1Ch2Prod4Slot2ManufacturingCost</t>
  </si>
  <si>
    <t>CalcPlant1Ch2Prod4Slot3ManufacturingCost</t>
  </si>
  <si>
    <t>CalcPlant1Ch3Prod1Slot1ManufacturingCost</t>
  </si>
  <si>
    <t>CalcPlant1Ch3Prod1Slot2ManufacturingCost</t>
  </si>
  <si>
    <t>CalcPlant1Ch3Prod1Slot3ManufacturingCost</t>
  </si>
  <si>
    <t>CalcPlant1Ch3Prod2Slot1ManufacturingCost</t>
  </si>
  <si>
    <t>CalcPlant1Ch3Prod2Slot2ManufacturingCost</t>
  </si>
  <si>
    <t>CalcPlant1Ch3Prod2Slot3ManufacturingCost</t>
  </si>
  <si>
    <t>CalcPlant1Ch3Prod3Slot1ManufacturingCost</t>
  </si>
  <si>
    <t>CalcPlant1Ch3Prod3Slot2ManufacturingCost</t>
  </si>
  <si>
    <t>CalcPlant1Ch3Prod3Slot3ManufacturingCost</t>
  </si>
  <si>
    <t>CalcPlant1Ch3Prod4Slot1ManufacturingCost</t>
  </si>
  <si>
    <t>CalcPlant1Ch3Prod4Slot2ManufacturingCost</t>
  </si>
  <si>
    <t>CalcPlant1Ch3Prod4Slot3ManufacturingCost</t>
  </si>
  <si>
    <t>CalcPlant1Ch4Prod1Slot1ManufacturingCost</t>
  </si>
  <si>
    <t>CalcPlant1Ch4Prod1Slot2ManufacturingCost</t>
  </si>
  <si>
    <t>CalcPlant1Ch4Prod1Slot3ManufacturingCost</t>
  </si>
  <si>
    <t>CalcPlant1Ch4Prod2Slot1ManufacturingCost</t>
  </si>
  <si>
    <t>CalcPlant1Ch4Prod2Slot2ManufacturingCost</t>
  </si>
  <si>
    <t>CalcPlant1Ch4Prod2Slot3ManufacturingCost</t>
  </si>
  <si>
    <t>CalcPlant1Ch4Prod3Slot1ManufacturingCost</t>
  </si>
  <si>
    <t>CalcPlant1Ch4Prod3Slot2ManufacturingCost</t>
  </si>
  <si>
    <t>CalcPlant1Ch4Prod3Slot3ManufacturingCost</t>
  </si>
  <si>
    <t>CalcPlant1Ch4Prod4Slot1ManufacturingCost</t>
  </si>
  <si>
    <t>CalcPlant1Ch4Prod4Slot2ManufacturingCost</t>
  </si>
  <si>
    <t>CalcPlant1Ch4Prod4Slot3ManufacturingCost</t>
  </si>
  <si>
    <t>Machinery Cost Per Slot</t>
  </si>
  <si>
    <t>Machinery Cost Per Volume Unit</t>
  </si>
  <si>
    <t>CalcCh1Prod1Slot1ManufacturingCostPUnit</t>
  </si>
  <si>
    <t>CalcCh1Prod1Slot2ManufacturingCostPUnit</t>
  </si>
  <si>
    <t>CalcCh1Prod1Slot3ManufacturingCostPUnit</t>
  </si>
  <si>
    <t>CalcCh1Prod2Slot1ManufacturingCostPUnit</t>
  </si>
  <si>
    <t>CalcCh1Prod2Slot2ManufacturingCostPUnit</t>
  </si>
  <si>
    <t>CalcCh1Prod2Slot3ManufacturingCostPUnit</t>
  </si>
  <si>
    <t>CalcCh1Prod3Slot1ManufacturingCostPUnit</t>
  </si>
  <si>
    <t>CalcCh1Prod3Slot2ManufacturingCostPUnit</t>
  </si>
  <si>
    <t>CalcCh1Prod3Slot3ManufacturingCostPUnit</t>
  </si>
  <si>
    <t>CalcCh1Prod4Slot1ManufacturingCostPUnit</t>
  </si>
  <si>
    <t>CalcCh1Prod4Slot2ManufacturingCostPUnit</t>
  </si>
  <si>
    <t>CalcCh1Prod4Slot3ManufacturingCostPUnit</t>
  </si>
  <si>
    <t>CalcCh2Prod1Slot1ManufacturingCostPUnit</t>
  </si>
  <si>
    <t>CalcCh2Prod1Slot2ManufacturingCostPUnit</t>
  </si>
  <si>
    <t>CalcCh2Prod1Slot3ManufacturingCostPUnit</t>
  </si>
  <si>
    <t>CalcCh2Prod2Slot1ManufacturingCostPUnit</t>
  </si>
  <si>
    <t>CalcCh2Prod2Slot2ManufacturingCostPUnit</t>
  </si>
  <si>
    <t>CalcCh2Prod2Slot3ManufacturingCostPUnit</t>
  </si>
  <si>
    <t>CalcCh2Prod3Slot1ManufacturingCostPUnit</t>
  </si>
  <si>
    <t>CalcCh2Prod3Slot2ManufacturingCostPUnit</t>
  </si>
  <si>
    <t>CalcCh2Prod3Slot3ManufacturingCostPUnit</t>
  </si>
  <si>
    <t>CalcCh2Prod4Slot1ManufacturingCostPUnit</t>
  </si>
  <si>
    <t>CalcCh2Prod4Slot2ManufacturingCostPUnit</t>
  </si>
  <si>
    <t>CalcCh2Prod4Slot3ManufacturingCostPUnit</t>
  </si>
  <si>
    <t>CalcCh3Prod1Slot1ManufacturingCostPUnit</t>
  </si>
  <si>
    <t>CalcCh3Prod1Slot2ManufacturingCostPUnit</t>
  </si>
  <si>
    <t>CalcCh3Prod1Slot3ManufacturingCostPUnit</t>
  </si>
  <si>
    <t>CalcCh3Prod2Slot1ManufacturingCostPUnit</t>
  </si>
  <si>
    <t>CalcCh3Prod2Slot2ManufacturingCostPUnit</t>
  </si>
  <si>
    <t>CalcCh3Prod2Slot3ManufacturingCostPUnit</t>
  </si>
  <si>
    <t>CalcCh3Prod3Slot1ManufacturingCostPUnit</t>
  </si>
  <si>
    <t>CalcCh3Prod3Slot2ManufacturingCostPUnit</t>
  </si>
  <si>
    <t>CalcCh3Prod3Slot3ManufacturingCostPUnit</t>
  </si>
  <si>
    <t>CalcCh3Prod4Slot1ManufacturingCostPUnit</t>
  </si>
  <si>
    <t>CalcCh3Prod4Slot2ManufacturingCostPUnit</t>
  </si>
  <si>
    <t>CalcCh3Prod4Slot3ManufacturingCostPUnit</t>
  </si>
  <si>
    <t>CalcCh4Prod1Slot1ManufacturingCostPUnit</t>
  </si>
  <si>
    <t>CalcCh4Prod1Slot2ManufacturingCostPUnit</t>
  </si>
  <si>
    <t>CalcCh4Prod1Slot3ManufacturingCostPUnit</t>
  </si>
  <si>
    <t>CalcCh4Prod2Slot1ManufacturingCostPUnit</t>
  </si>
  <si>
    <t>CalcCh4Prod2Slot2ManufacturingCostPUnit</t>
  </si>
  <si>
    <t>CalcCh4Prod2Slot3ManufacturingCostPUnit</t>
  </si>
  <si>
    <t>CalcCh4Prod3Slot1ManufacturingCostPUnit</t>
  </si>
  <si>
    <t>CalcCh4Prod3Slot2ManufacturingCostPUnit</t>
  </si>
  <si>
    <t>CalcCh4Prod3Slot3ManufacturingCostPUnit</t>
  </si>
  <si>
    <t>CalcCh4Prod4Slot1ManufacturingCostPUnit</t>
  </si>
  <si>
    <t>CalcCh4Prod4Slot2ManufacturingCostPUnit</t>
  </si>
  <si>
    <t>CalcCh4Prod4Slot3ManufacturingCostPUnit</t>
  </si>
  <si>
    <t>CalcCh1Prod1Slot1Depreciation</t>
  </si>
  <si>
    <t>CalcCh1Prod1Slot2Depreciation</t>
  </si>
  <si>
    <t>CalcCh1Prod1Slot3Depreciation</t>
  </si>
  <si>
    <t>CalcCh1Prod2Slot1Depreciation</t>
  </si>
  <si>
    <t>CalcCh1Prod2Slot2Depreciation</t>
  </si>
  <si>
    <t>CalcCh1Prod2Slot3Depreciation</t>
  </si>
  <si>
    <t>CalcCh1Prod3Slot1Depreciation</t>
  </si>
  <si>
    <t>CalcCh1Prod3Slot2Depreciation</t>
  </si>
  <si>
    <t>CalcCh1Prod3Slot3Depreciation</t>
  </si>
  <si>
    <t>CalcCh1Prod4Slot1Depreciation</t>
  </si>
  <si>
    <t>CalcCh1Prod4Slot2Depreciation</t>
  </si>
  <si>
    <t>CalcCh1Prod4Slot3Depreciation</t>
  </si>
  <si>
    <t>CalcCh2Prod1Slot1Depreciation</t>
  </si>
  <si>
    <t>CalcCh2Prod1Slot2Depreciation</t>
  </si>
  <si>
    <t>CalcCh2Prod1Slot3Depreciation</t>
  </si>
  <si>
    <t>CalcCh2Prod2Slot1Depreciation</t>
  </si>
  <si>
    <t>CalcCh2Prod2Slot2Depreciation</t>
  </si>
  <si>
    <t>CalcCh2Prod2Slot3Depreciation</t>
  </si>
  <si>
    <t>CalcCh2Prod3Slot1Depreciation</t>
  </si>
  <si>
    <t>CalcCh2Prod3Slot2Depreciation</t>
  </si>
  <si>
    <t>CalcCh2Prod3Slot3Depreciation</t>
  </si>
  <si>
    <t>CalcCh2Prod4Slot1Depreciation</t>
  </si>
  <si>
    <t>CalcCh2Prod4Slot2Depreciation</t>
  </si>
  <si>
    <t>CalcCh2Prod4Slot3Depreciation</t>
  </si>
  <si>
    <t>CalcCh3Prod1Slot1Depreciation</t>
  </si>
  <si>
    <t>CalcCh3Prod1Slot2Depreciation</t>
  </si>
  <si>
    <t>CalcCh3Prod1Slot3Depreciation</t>
  </si>
  <si>
    <t>CalcCh3Prod2Slot1Depreciation</t>
  </si>
  <si>
    <t>CalcCh3Prod2Slot2Depreciation</t>
  </si>
  <si>
    <t>CalcCh3Prod2Slot3Depreciation</t>
  </si>
  <si>
    <t>CalcCh3Prod3Slot1Depreciation</t>
  </si>
  <si>
    <t>CalcCh3Prod3Slot2Depreciation</t>
  </si>
  <si>
    <t>CalcCh3Prod3Slot3Depreciation</t>
  </si>
  <si>
    <t>CalcCh3Prod4Slot1Depreciation</t>
  </si>
  <si>
    <t>CalcCh3Prod4Slot2Depreciation</t>
  </si>
  <si>
    <t>CalcCh3Prod4Slot3Depreciation</t>
  </si>
  <si>
    <t>CalcCh4Prod1Slot1Depreciation</t>
  </si>
  <si>
    <t>CalcCh4Prod1Slot2Depreciation</t>
  </si>
  <si>
    <t>CalcCh4Prod1Slot3Depreciation</t>
  </si>
  <si>
    <t>CalcCh4Prod2Slot1Depreciation</t>
  </si>
  <si>
    <t>CalcCh4Prod2Slot2Depreciation</t>
  </si>
  <si>
    <t>CalcCh4Prod2Slot3Depreciation</t>
  </si>
  <si>
    <t>CalcCh4Prod3Slot1Depreciation</t>
  </si>
  <si>
    <t>CalcCh4Prod3Slot2Depreciation</t>
  </si>
  <si>
    <t>CalcCh4Prod3Slot3Depreciation</t>
  </si>
  <si>
    <t>CalcCh4Prod4Slot1Depreciation</t>
  </si>
  <si>
    <t>CalcCh4Prod4Slot2Depreciation</t>
  </si>
  <si>
    <t>CalcCh4Prod4Slot3Depreciation</t>
  </si>
  <si>
    <t>CalcCh1Prod1Slot1DepreciationPUnit</t>
  </si>
  <si>
    <t>CalcCh1Prod1Slot2DepreciationPUnit</t>
  </si>
  <si>
    <t>CalcCh1Prod1Slot3DepreciationPUnit</t>
  </si>
  <si>
    <t>CalcCh1Prod2Slot1DepreciationPUnit</t>
  </si>
  <si>
    <t>CalcCh1Prod2Slot2DepreciationPUnit</t>
  </si>
  <si>
    <t>CalcCh1Prod2Slot3DepreciationPUnit</t>
  </si>
  <si>
    <t>CalcCh1Prod3Slot1DepreciationPUnit</t>
  </si>
  <si>
    <t>CalcCh1Prod3Slot2DepreciationPUnit</t>
  </si>
  <si>
    <t>CalcCh1Prod3Slot3DepreciationPUnit</t>
  </si>
  <si>
    <t>CalcCh1Prod4Slot1DepreciationPUnit</t>
  </si>
  <si>
    <t>CalcCh1Prod4Slot2DepreciationPUnit</t>
  </si>
  <si>
    <t>CalcCh1Prod4Slot3DepreciationPUnit</t>
  </si>
  <si>
    <t>CalcCh2Prod1Slot1DepreciationPUnit</t>
  </si>
  <si>
    <t>CalcCh2Prod1Slot2DepreciationPUnit</t>
  </si>
  <si>
    <t>CalcCh2Prod1Slot3DepreciationPUnit</t>
  </si>
  <si>
    <t>CalcCh2Prod2Slot1DepreciationPUnit</t>
  </si>
  <si>
    <t>CalcCh2Prod2Slot2DepreciationPUnit</t>
  </si>
  <si>
    <t>CalcCh2Prod2Slot3DepreciationPUnit</t>
  </si>
  <si>
    <t>CalcCh2Prod3Slot1DepreciationPUnit</t>
  </si>
  <si>
    <t>CalcCh2Prod3Slot2DepreciationPUnit</t>
  </si>
  <si>
    <t>CalcCh2Prod3Slot3DepreciationPUnit</t>
  </si>
  <si>
    <t>CalcCh2Prod4Slot1DepreciationPUnit</t>
  </si>
  <si>
    <t>CalcCh2Prod4Slot2DepreciationPUnit</t>
  </si>
  <si>
    <t>CalcCh2Prod4Slot3DepreciationPUnit</t>
  </si>
  <si>
    <t>CalcCh3Prod1Slot1DepreciationPUnit</t>
  </si>
  <si>
    <t>CalcCh3Prod1Slot2DepreciationPUnit</t>
  </si>
  <si>
    <t>CalcCh3Prod1Slot3DepreciationPUnit</t>
  </si>
  <si>
    <t>CalcCh3Prod2Slot1DepreciationPUnit</t>
  </si>
  <si>
    <t>CalcCh3Prod2Slot2DepreciationPUnit</t>
  </si>
  <si>
    <t>CalcCh3Prod2Slot3DepreciationPUnit</t>
  </si>
  <si>
    <t>CalcCh3Prod3Slot1DepreciationPUnit</t>
  </si>
  <si>
    <t>CalcCh3Prod3Slot2DepreciationPUnit</t>
  </si>
  <si>
    <t>CalcCh3Prod3Slot3DepreciationPUnit</t>
  </si>
  <si>
    <t>CalcCh3Prod4Slot1DepreciationPUnit</t>
  </si>
  <si>
    <t>CalcCh3Prod4Slot2DepreciationPUnit</t>
  </si>
  <si>
    <t>CalcCh3Prod4Slot3DepreciationPUnit</t>
  </si>
  <si>
    <t>CalcCh4Prod1Slot1DepreciationPUnit</t>
  </si>
  <si>
    <t>CalcCh4Prod1Slot2DepreciationPUnit</t>
  </si>
  <si>
    <t>CalcCh4Prod1Slot3DepreciationPUnit</t>
  </si>
  <si>
    <t>CalcCh4Prod2Slot1DepreciationPUnit</t>
  </si>
  <si>
    <t>CalcCh4Prod2Slot2DepreciationPUnit</t>
  </si>
  <si>
    <t>CalcCh4Prod2Slot3DepreciationPUnit</t>
  </si>
  <si>
    <t>CalcCh4Prod3Slot1DepreciationPUnit</t>
  </si>
  <si>
    <t>CalcCh4Prod3Slot2DepreciationPUnit</t>
  </si>
  <si>
    <t>CalcCh4Prod3Slot3DepreciationPUnit</t>
  </si>
  <si>
    <t>CalcCh4Prod4Slot1DepreciationPUnit</t>
  </si>
  <si>
    <t>CalcCh4Prod4Slot2DepreciationPUnit</t>
  </si>
  <si>
    <t>CalcCh4Prod4Slot3DepreciationPUnit</t>
  </si>
  <si>
    <t>Depreciation per Volume Unit</t>
  </si>
  <si>
    <t>Total Net Revenue</t>
  </si>
  <si>
    <t>finPNLCh1Prod1Slot1TotalRev</t>
  </si>
  <si>
    <t>finPNLCh1Prod1Slot1MatExp</t>
  </si>
  <si>
    <t>finPNLCh1Prod1Slot1LabourExp</t>
  </si>
  <si>
    <t>finPNLCh1Prod1Slot1MachExp</t>
  </si>
  <si>
    <t>finPNLCh1Prod1Slot1DeprExp</t>
  </si>
  <si>
    <t>finPNLCh1Prod1Slot1TotalCOGs</t>
  </si>
  <si>
    <t>finPNLCh1Prod1Slot1GP</t>
  </si>
  <si>
    <t>finPNLCh1Prod1Slot1GM</t>
  </si>
  <si>
    <t>finPNLCh1Prod1Slot1GPaL</t>
  </si>
  <si>
    <t>finPNLCh1Prod1Slot1GPaLMargin</t>
  </si>
  <si>
    <t>Logistics Cost/l</t>
  </si>
  <si>
    <t>dataPackLogisticsCost</t>
  </si>
  <si>
    <t>Forecast sensitivity: logistics</t>
  </si>
  <si>
    <t>dataForecastImpactLogisticsCost</t>
  </si>
  <si>
    <t>Total Logistics Cost</t>
  </si>
  <si>
    <t>finCalcCh1Prod1Slot1LogisticsCost</t>
  </si>
  <si>
    <t>Logistics Cost per sold volume unit</t>
  </si>
  <si>
    <t>Brewery MTUs Needed Per Unit</t>
  </si>
  <si>
    <t>nmValDriv1</t>
  </si>
  <si>
    <t>nmValDriv2</t>
  </si>
  <si>
    <t>nmValDriv3</t>
  </si>
  <si>
    <t>nmValDriv4</t>
  </si>
  <si>
    <t>nmValDriv5</t>
  </si>
  <si>
    <t>Distribution</t>
  </si>
  <si>
    <t>Floor Space</t>
  </si>
  <si>
    <t>Levels Available</t>
  </si>
  <si>
    <t>Level 1</t>
  </si>
  <si>
    <t>Level 2</t>
  </si>
  <si>
    <t>Level 3</t>
  </si>
  <si>
    <t>Level 4</t>
  </si>
  <si>
    <t>Level 5</t>
  </si>
  <si>
    <t>dataLevels1to5</t>
  </si>
  <si>
    <t>dataValDrivExp</t>
  </si>
  <si>
    <t>Value Drivers</t>
  </si>
  <si>
    <t>decCh1ValDriv1</t>
  </si>
  <si>
    <t>decCh1ValDriv2</t>
  </si>
  <si>
    <t>decCh1ValDriv3</t>
  </si>
  <si>
    <t>decCh1ValDriv4</t>
  </si>
  <si>
    <t>decCh1ValDriv5</t>
  </si>
  <si>
    <t>decCh2ValDriv1</t>
  </si>
  <si>
    <t>decCh2ValDriv2</t>
  </si>
  <si>
    <t>decCh2ValDriv3</t>
  </si>
  <si>
    <t>decCh2ValDriv4</t>
  </si>
  <si>
    <t>decCh2ValDriv5</t>
  </si>
  <si>
    <t>decCh3ValDriv1</t>
  </si>
  <si>
    <t>decCh3ValDriv2</t>
  </si>
  <si>
    <t>decCh3ValDriv3</t>
  </si>
  <si>
    <t>decCh3ValDriv4</t>
  </si>
  <si>
    <t>decCh3ValDriv5</t>
  </si>
  <si>
    <t>decCh4ValDriv1</t>
  </si>
  <si>
    <t>decCh4ValDriv2</t>
  </si>
  <si>
    <t>decCh4ValDriv3</t>
  </si>
  <si>
    <t>decCh4ValDriv4</t>
  </si>
  <si>
    <t>decCh4ValDriv5</t>
  </si>
  <si>
    <t>Level Selected</t>
  </si>
  <si>
    <t>Total Value Drivers Expense</t>
  </si>
  <si>
    <t>calcCh1ValDriv1</t>
  </si>
  <si>
    <t>calcCh1ValDriv1Emp1Req</t>
  </si>
  <si>
    <t>calcCh1ValDriv1Exp</t>
  </si>
  <si>
    <t>calcCh1ValDriv5</t>
  </si>
  <si>
    <t>calcCh1ValDriv5Emp1Req</t>
  </si>
  <si>
    <t>calcCh1ValDriv5Exp</t>
  </si>
  <si>
    <t>calcCh1ValDriv4</t>
  </si>
  <si>
    <t>calcCh1ValDriv4Emp1Req</t>
  </si>
  <si>
    <t>calcCh1ValDriv4Exp</t>
  </si>
  <si>
    <t>calcCh1ValDriv3</t>
  </si>
  <si>
    <t>calcCh1ValDriv3Emp1Req</t>
  </si>
  <si>
    <t>calcCh1ValDriv3Exp</t>
  </si>
  <si>
    <t>calcCh1ValDriv2</t>
  </si>
  <si>
    <t>calcCh1ValDriv2Emp1Req</t>
  </si>
  <si>
    <t>calcCh1ValDriv2Exp</t>
  </si>
  <si>
    <t>calcCh4ValDriv1</t>
  </si>
  <si>
    <t>calcCh4ValDriv1Emp1Req</t>
  </si>
  <si>
    <t>calcCh4ValDriv1Exp</t>
  </si>
  <si>
    <t>calcCh4ValDriv2</t>
  </si>
  <si>
    <t>calcCh4ValDriv2Emp1Req</t>
  </si>
  <si>
    <t>calcCh4ValDriv2Exp</t>
  </si>
  <si>
    <t>calcCh4ValDriv3</t>
  </si>
  <si>
    <t>calcCh4ValDriv3Emp1Req</t>
  </si>
  <si>
    <t>calcCh4ValDriv3Exp</t>
  </si>
  <si>
    <t>calcCh4ValDriv4</t>
  </si>
  <si>
    <t>calcCh4ValDriv4Emp1Req</t>
  </si>
  <si>
    <t>calcCh4ValDriv4Exp</t>
  </si>
  <si>
    <t>calcCh4ValDriv5</t>
  </si>
  <si>
    <t>calcCh4ValDriv5Emp1Req</t>
  </si>
  <si>
    <t>calcCh4ValDriv5Exp</t>
  </si>
  <si>
    <t>calcCh3ValDriv1</t>
  </si>
  <si>
    <t>calcCh3ValDriv1Emp1Req</t>
  </si>
  <si>
    <t>calcCh3ValDriv1Exp</t>
  </si>
  <si>
    <t>calcCh3ValDriv2</t>
  </si>
  <si>
    <t>calcCh3ValDriv2Emp1Req</t>
  </si>
  <si>
    <t>calcCh3ValDriv2Exp</t>
  </si>
  <si>
    <t>calcCh3ValDriv3</t>
  </si>
  <si>
    <t>calcCh3ValDriv3Emp1Req</t>
  </si>
  <si>
    <t>calcCh3ValDriv3Exp</t>
  </si>
  <si>
    <t>calcCh3ValDriv4</t>
  </si>
  <si>
    <t>calcCh3ValDriv4Emp1Req</t>
  </si>
  <si>
    <t>calcCh3ValDriv4Exp</t>
  </si>
  <si>
    <t>calcCh3ValDriv5</t>
  </si>
  <si>
    <t>calcCh3ValDriv5Emp1Req</t>
  </si>
  <si>
    <t>calcCh3ValDriv5Exp</t>
  </si>
  <si>
    <t>calcCh2ValDriv1</t>
  </si>
  <si>
    <t>calcCh2ValDriv1Emp1Req</t>
  </si>
  <si>
    <t>calcCh2ValDriv1Exp</t>
  </si>
  <si>
    <t>calcCh2ValDriv2</t>
  </si>
  <si>
    <t>calcCh2ValDriv2Emp1Req</t>
  </si>
  <si>
    <t>calcCh2ValDriv2Exp</t>
  </si>
  <si>
    <t>calcCh2ValDriv3</t>
  </si>
  <si>
    <t>calcCh2ValDriv3Emp1Req</t>
  </si>
  <si>
    <t>calcCh2ValDriv3Exp</t>
  </si>
  <si>
    <t>calcCh2ValDriv4</t>
  </si>
  <si>
    <t>calcCh2ValDriv4Emp1Req</t>
  </si>
  <si>
    <t>calcCh2ValDriv4Exp</t>
  </si>
  <si>
    <t>calcCh2ValDriv5</t>
  </si>
  <si>
    <t>calcCh2ValDriv5Emp1Req</t>
  </si>
  <si>
    <t>calcCh2ValDriv5Exp</t>
  </si>
  <si>
    <t>calcCh1ValDrivEmp1ReqTot</t>
  </si>
  <si>
    <t>calcCh2ValDrivEmp1ReqTot</t>
  </si>
  <si>
    <t>calcCh3ValDrivEmp1ReqTot</t>
  </si>
  <si>
    <t>calcCh4ValDrivEmp1ReqTot</t>
  </si>
  <si>
    <t>Forecasting</t>
  </si>
  <si>
    <t>Forecasted Share</t>
  </si>
  <si>
    <t>Volume Forecast</t>
  </si>
  <si>
    <t>GBC</t>
  </si>
  <si>
    <t>Turnover</t>
  </si>
  <si>
    <t>Excise</t>
  </si>
  <si>
    <t>Discounts</t>
  </si>
  <si>
    <t>Net Sales</t>
  </si>
  <si>
    <t>Material</t>
  </si>
  <si>
    <t>Manufacturing</t>
  </si>
  <si>
    <t>Per Liter</t>
  </si>
  <si>
    <t>Customer Margin</t>
  </si>
  <si>
    <t>Conditional Trade Inv.</t>
  </si>
  <si>
    <t>Un-conditional Trade Inv.</t>
  </si>
  <si>
    <t>Add New Slot</t>
  </si>
  <si>
    <t>A1:AK121</t>
  </si>
  <si>
    <t>WD</t>
  </si>
  <si>
    <t>Overhead</t>
  </si>
  <si>
    <t>Mainstream</t>
  </si>
  <si>
    <t>Premium</t>
  </si>
  <si>
    <t>Conditionality</t>
  </si>
  <si>
    <t>Shelf Space</t>
  </si>
  <si>
    <t>nmValDrivCond</t>
  </si>
  <si>
    <t>Decision</t>
  </si>
  <si>
    <t>Opening</t>
  </si>
  <si>
    <t>Closing</t>
  </si>
  <si>
    <t>calcCh1CondShare</t>
  </si>
  <si>
    <t>calcCh4CondShare</t>
  </si>
  <si>
    <t>calcCh3CondShare</t>
  </si>
  <si>
    <t>calcCh2CondShare</t>
  </si>
  <si>
    <t>Benefit Factor</t>
  </si>
  <si>
    <t>calcCh1ValDriv2AccEnd</t>
  </si>
  <si>
    <t>calcCh4ValDriv2AccEnd</t>
  </si>
  <si>
    <t>calcCh3ValDriv2AccEnd</t>
  </si>
  <si>
    <t>calcCh2ValDriv2AccEnd</t>
  </si>
  <si>
    <t>New Slots Available</t>
  </si>
  <si>
    <t>Maximum Slots Available</t>
  </si>
  <si>
    <t>Slots Available</t>
  </si>
  <si>
    <t>Open Slots</t>
  </si>
  <si>
    <t>Reached Maximum?</t>
  </si>
  <si>
    <t>dataCh1SlotsAvailable</t>
  </si>
  <si>
    <t>dataCh4SlotsAvailable</t>
  </si>
  <si>
    <t>dataCh3SlotsAvailable</t>
  </si>
  <si>
    <t>dataCh2SlotsAvailable</t>
  </si>
  <si>
    <t>Slots Active</t>
  </si>
  <si>
    <t>calcCh1Prod1Slot1Active</t>
  </si>
  <si>
    <t>calcCh1Prod1Slot2Active</t>
  </si>
  <si>
    <t>calcCh1Prod1Slot3Active</t>
  </si>
  <si>
    <t>calcCh1Prod2Slot1Active</t>
  </si>
  <si>
    <t>calcCh1Prod2Slot2Active</t>
  </si>
  <si>
    <t>calcCh1Prod2Slot3Active</t>
  </si>
  <si>
    <t>calcCh1Prod3Slot1Active</t>
  </si>
  <si>
    <t>calcCh1Prod3Slot2Active</t>
  </si>
  <si>
    <t>calcCh1Prod3Slot3Active</t>
  </si>
  <si>
    <t>calcCh1Prod4Slot1Active</t>
  </si>
  <si>
    <t>calcCh1Prod4Slot2Active</t>
  </si>
  <si>
    <t>calcCh1Prod4Slot3Active</t>
  </si>
  <si>
    <t>calcCh2Prod1Slot1Active</t>
  </si>
  <si>
    <t>calcCh2Prod1Slot2Active</t>
  </si>
  <si>
    <t>calcCh2Prod1Slot3Active</t>
  </si>
  <si>
    <t>calcCh2Prod2Slot1Active</t>
  </si>
  <si>
    <t>calcCh2Prod2Slot2Active</t>
  </si>
  <si>
    <t>calcCh2Prod2Slot3Active</t>
  </si>
  <si>
    <t>calcCh2Prod3Slot1Active</t>
  </si>
  <si>
    <t>calcCh2Prod3Slot2Active</t>
  </si>
  <si>
    <t>calcCh2Prod3Slot3Active</t>
  </si>
  <si>
    <t>calcCh2Prod4Slot1Active</t>
  </si>
  <si>
    <t>calcCh2Prod4Slot2Active</t>
  </si>
  <si>
    <t>calcCh2Prod4Slot3Active</t>
  </si>
  <si>
    <t>calcCh3Prod1Slot1Active</t>
  </si>
  <si>
    <t>calcCh3Prod1Slot2Active</t>
  </si>
  <si>
    <t>calcCh3Prod1Slot3Active</t>
  </si>
  <si>
    <t>calcCh3Prod2Slot1Active</t>
  </si>
  <si>
    <t>calcCh3Prod2Slot2Active</t>
  </si>
  <si>
    <t>calcCh3Prod2Slot3Active</t>
  </si>
  <si>
    <t>calcCh3Prod3Slot1Active</t>
  </si>
  <si>
    <t>calcCh3Prod3Slot2Active</t>
  </si>
  <si>
    <t>calcCh3Prod3Slot3Active</t>
  </si>
  <si>
    <t>calcCh3Prod4Slot1Active</t>
  </si>
  <si>
    <t>calcCh3Prod4Slot2Active</t>
  </si>
  <si>
    <t>calcCh3Prod4Slot3Active</t>
  </si>
  <si>
    <t>calcCh4Prod1Slot1Active</t>
  </si>
  <si>
    <t>calcCh4Prod1Slot2Active</t>
  </si>
  <si>
    <t>calcCh4Prod1Slot3Active</t>
  </si>
  <si>
    <t>calcCh4Prod2Slot1Active</t>
  </si>
  <si>
    <t>calcCh4Prod2Slot2Active</t>
  </si>
  <si>
    <t>calcCh4Prod2Slot3Active</t>
  </si>
  <si>
    <t>calcCh4Prod3Slot1Active</t>
  </si>
  <si>
    <t>calcCh4Prod3Slot2Active</t>
  </si>
  <si>
    <t>calcCh4Prod3Slot3Active</t>
  </si>
  <si>
    <t>calcCh4Prod4Slot1Active</t>
  </si>
  <si>
    <t>calcCh4Prod4Slot2Active</t>
  </si>
  <si>
    <t>calcCh4Prod4Slot3Active</t>
  </si>
  <si>
    <t>Totals Per Brand</t>
  </si>
  <si>
    <t>calcCh1Prod1SlotTotActive</t>
  </si>
  <si>
    <t>calcCh1Prod2SlotTotActive</t>
  </si>
  <si>
    <t>calcCh1Prod3SlotTotActive</t>
  </si>
  <si>
    <t>calcCh1Prod4SlotTotActive</t>
  </si>
  <si>
    <t>calcCh1SlotTotActive</t>
  </si>
  <si>
    <t>calcCh2Prod1SlotTotActive</t>
  </si>
  <si>
    <t>calcCh2Prod2SlotTotActive</t>
  </si>
  <si>
    <t>calcCh2Prod3SlotTotActive</t>
  </si>
  <si>
    <t>calcCh2Prod4SlotTotActive</t>
  </si>
  <si>
    <t>calcCh2SlotTotActive</t>
  </si>
  <si>
    <t>calcCh3Prod1SlotTotActive</t>
  </si>
  <si>
    <t>calcCh3Prod2SlotTotActive</t>
  </si>
  <si>
    <t>calcCh3Prod3SlotTotActive</t>
  </si>
  <si>
    <t>calcCh3Prod4SlotTotActive</t>
  </si>
  <si>
    <t>calcCh3SlotTotActive</t>
  </si>
  <si>
    <t>calcCh4Prod1SlotTotActive</t>
  </si>
  <si>
    <t>calcCh4Prod2SlotTotActive</t>
  </si>
  <si>
    <t>calcCh4Prod3SlotTotActive</t>
  </si>
  <si>
    <t>calcCh4Prod4SlotTotActive</t>
  </si>
  <si>
    <t>calcCh4SlotTotActive</t>
  </si>
  <si>
    <t>calcProd1SlotTotActive</t>
  </si>
  <si>
    <t>calcProd2SlotTotActive</t>
  </si>
  <si>
    <t>calcProd3SlotTotActive</t>
  </si>
  <si>
    <t>calcProd4SlotTotActive</t>
  </si>
  <si>
    <t>calcCh1SlotMaxReached</t>
  </si>
  <si>
    <t>calcCh1AddSlotAvailable</t>
  </si>
  <si>
    <t>calcCh4AddSlotAvailable</t>
  </si>
  <si>
    <t>calcCh4SlotMaxReached</t>
  </si>
  <si>
    <t>calcCh3AddSlotAvailable</t>
  </si>
  <si>
    <t>calcCh3SlotMaxReached</t>
  </si>
  <si>
    <t>calcCh2AddSlotAvailable</t>
  </si>
  <si>
    <t>calcCh2SlotMaxReached</t>
  </si>
  <si>
    <t>calcCh4ValDriv2AccStart</t>
  </si>
  <si>
    <t>calcCh1ValDriv2AccStart</t>
  </si>
  <si>
    <t>calcCh2ValDriv2AccStart</t>
  </si>
  <si>
    <t>calcCh3ValDriv2AccStart</t>
  </si>
  <si>
    <t>obalCh1ValDriv2</t>
  </si>
  <si>
    <t>obalCh1ValDriv3</t>
  </si>
  <si>
    <t>obalCh2ValDriv2</t>
  </si>
  <si>
    <t>obalCh3ValDriv2</t>
  </si>
  <si>
    <t>obalCh4ValDriv2</t>
  </si>
  <si>
    <t>cbalCh1ValDriv2</t>
  </si>
  <si>
    <t>cbalCh2ValDriv2</t>
  </si>
  <si>
    <t>cbalCh3ValDriv2</t>
  </si>
  <si>
    <t>cbalCh4ValDriv2</t>
  </si>
  <si>
    <t>calcCh1ValDriv3AccStart</t>
  </si>
  <si>
    <t>calcCh1ValDriv3AccEnd</t>
  </si>
  <si>
    <t>calcCh2ValDriv3AccStart</t>
  </si>
  <si>
    <t>calcCh2ValDriv3AccEnd</t>
  </si>
  <si>
    <t>calcCh3ValDriv3AccStart</t>
  </si>
  <si>
    <t>calcCh3ValDriv3AccEnd</t>
  </si>
  <si>
    <t>calcCh4ValDriv3AccStart</t>
  </si>
  <si>
    <t>calcCh4ValDriv3AccEnd</t>
  </si>
  <si>
    <t>obalCh2ValDriv3</t>
  </si>
  <si>
    <t>obalCh3ValDriv3</t>
  </si>
  <si>
    <t>obalCh4ValDriv3</t>
  </si>
  <si>
    <t>cbalCh1ValDriv3</t>
  </si>
  <si>
    <t>cbalCh2ValDriv3</t>
  </si>
  <si>
    <t>cbalCh3ValDriv3</t>
  </si>
  <si>
    <t>cbalCh4ValDriv3</t>
  </si>
  <si>
    <t>Promotion Budget</t>
  </si>
  <si>
    <t>Trade Expense</t>
  </si>
  <si>
    <t>calcCh4Prod4Slot3VolForecastSlot</t>
  </si>
  <si>
    <t>obalCh1Prod1Slot1Active</t>
  </si>
  <si>
    <t>obalCh1Prod1Slot2Active</t>
  </si>
  <si>
    <t>obalCh1Prod1Slot3Active</t>
  </si>
  <si>
    <t>obalCh1Prod1SlotTotActive</t>
  </si>
  <si>
    <t>obalCh1Prod2Slot1Active</t>
  </si>
  <si>
    <t>obalCh1Prod2Slot2Active</t>
  </si>
  <si>
    <t>obalCh1Prod2Slot3Active</t>
  </si>
  <si>
    <t>obalCh1Prod2SlotTotActive</t>
  </si>
  <si>
    <t>obalCh1Prod3Slot1Active</t>
  </si>
  <si>
    <t>obalCh1Prod3Slot2Active</t>
  </si>
  <si>
    <t>obalCh1Prod3Slot3Active</t>
  </si>
  <si>
    <t>obalCh1Prod3SlotTotActive</t>
  </si>
  <si>
    <t>obalCh1Prod4Slot1Active</t>
  </si>
  <si>
    <t>obalCh1Prod4Slot2Active</t>
  </si>
  <si>
    <t>obalCh1Prod4Slot3Active</t>
  </si>
  <si>
    <t>obalCh1Prod4SlotTotActive</t>
  </si>
  <si>
    <t>obalCh1SlotTotActive</t>
  </si>
  <si>
    <t>obalCh2Prod1Slot1Active</t>
  </si>
  <si>
    <t>obalCh2Prod1Slot2Active</t>
  </si>
  <si>
    <t>obalCh2Prod1Slot3Active</t>
  </si>
  <si>
    <t>obalCh2Prod1SlotTotActive</t>
  </si>
  <si>
    <t>obalCh2Prod2Slot1Active</t>
  </si>
  <si>
    <t>obalCh2Prod2Slot2Active</t>
  </si>
  <si>
    <t>obalCh2Prod2Slot3Active</t>
  </si>
  <si>
    <t>obalCh2Prod2SlotTotActive</t>
  </si>
  <si>
    <t>obalCh2Prod3Slot1Active</t>
  </si>
  <si>
    <t>obalCh2Prod3Slot2Active</t>
  </si>
  <si>
    <t>obalCh2Prod3Slot3Active</t>
  </si>
  <si>
    <t>obalCh2Prod3SlotTotActive</t>
  </si>
  <si>
    <t>obalCh2Prod4Slot1Active</t>
  </si>
  <si>
    <t>obalCh2Prod4Slot2Active</t>
  </si>
  <si>
    <t>obalCh2Prod4Slot3Active</t>
  </si>
  <si>
    <t>obalCh2Prod4SlotTotActive</t>
  </si>
  <si>
    <t>obalCh2SlotTotActive</t>
  </si>
  <si>
    <t>obalCh3Prod1Slot1Active</t>
  </si>
  <si>
    <t>obalCh3Prod1Slot2Active</t>
  </si>
  <si>
    <t>obalCh3Prod1Slot3Active</t>
  </si>
  <si>
    <t>obalCh3Prod1SlotTotActive</t>
  </si>
  <si>
    <t>obalCh3Prod2Slot1Active</t>
  </si>
  <si>
    <t>obalCh3Prod2Slot2Active</t>
  </si>
  <si>
    <t>obalCh3Prod2Slot3Active</t>
  </si>
  <si>
    <t>obalCh3Prod2SlotTotActive</t>
  </si>
  <si>
    <t>obalCh3Prod3Slot1Active</t>
  </si>
  <si>
    <t>obalCh3Prod3Slot2Active</t>
  </si>
  <si>
    <t>obalCh3Prod3Slot3Active</t>
  </si>
  <si>
    <t>obalCh3Prod3SlotTotActive</t>
  </si>
  <si>
    <t>obalCh3Prod4Slot1Active</t>
  </si>
  <si>
    <t>obalCh3Prod4Slot2Active</t>
  </si>
  <si>
    <t>obalCh3Prod4Slot3Active</t>
  </si>
  <si>
    <t>obalCh3Prod4SlotTotActive</t>
  </si>
  <si>
    <t>obalCh3SlotTotActive</t>
  </si>
  <si>
    <t>obalCh4Prod1Slot1Active</t>
  </si>
  <si>
    <t>obalCh4Prod1Slot2Active</t>
  </si>
  <si>
    <t>obalCh4Prod1Slot3Active</t>
  </si>
  <si>
    <t>obalCh4Prod1SlotTotActive</t>
  </si>
  <si>
    <t>obalCh4Prod2Slot1Active</t>
  </si>
  <si>
    <t>obalCh4Prod2Slot2Active</t>
  </si>
  <si>
    <t>obalCh4Prod2Slot3Active</t>
  </si>
  <si>
    <t>obalCh4Prod2SlotTotActive</t>
  </si>
  <si>
    <t>obalCh4Prod3Slot1Active</t>
  </si>
  <si>
    <t>obalCh4Prod3Slot2Active</t>
  </si>
  <si>
    <t>obalCh4Prod3Slot3Active</t>
  </si>
  <si>
    <t>obalCh4Prod3SlotTotActive</t>
  </si>
  <si>
    <t>obalCh4Prod4Slot1Active</t>
  </si>
  <si>
    <t>obalCh4Prod4Slot2Active</t>
  </si>
  <si>
    <t>obalCh4Prod4Slot3Active</t>
  </si>
  <si>
    <t>obalCh4Prod4SlotTotActive</t>
  </si>
  <si>
    <t>obalCh4SlotTotActive</t>
  </si>
  <si>
    <t>obalProd1SlotTotActive</t>
  </si>
  <si>
    <t>obalProd2SlotTotActive</t>
  </si>
  <si>
    <t>obalProd3SlotTotActive</t>
  </si>
  <si>
    <t>obalProd4SlotTotActive</t>
  </si>
  <si>
    <t>cbalCh1Prod1Slot1Active</t>
  </si>
  <si>
    <t>cbalCh1Prod1Slot2Active</t>
  </si>
  <si>
    <t>cbalCh1Prod1Slot3Active</t>
  </si>
  <si>
    <t>cbalCh1Prod1SlotTotActive</t>
  </si>
  <si>
    <t>cbalCh1Prod2Slot1Active</t>
  </si>
  <si>
    <t>cbalCh1Prod2Slot2Active</t>
  </si>
  <si>
    <t>cbalCh1Prod2Slot3Active</t>
  </si>
  <si>
    <t>cbalCh1Prod2SlotTotActive</t>
  </si>
  <si>
    <t>cbalCh1Prod3Slot1Active</t>
  </si>
  <si>
    <t>cbalCh1Prod3Slot2Active</t>
  </si>
  <si>
    <t>cbalCh1Prod3Slot3Active</t>
  </si>
  <si>
    <t>cbalCh1Prod3SlotTotActive</t>
  </si>
  <si>
    <t>cbalCh1Prod4Slot1Active</t>
  </si>
  <si>
    <t>cbalCh1Prod4Slot2Active</t>
  </si>
  <si>
    <t>cbalCh1Prod4Slot3Active</t>
  </si>
  <si>
    <t>cbalCh1Prod4SlotTotActive</t>
  </si>
  <si>
    <t>cbalCh1SlotTotActive</t>
  </si>
  <si>
    <t>cbalCh2Prod1Slot1Active</t>
  </si>
  <si>
    <t>cbalCh2Prod1Slot2Active</t>
  </si>
  <si>
    <t>cbalCh2Prod1Slot3Active</t>
  </si>
  <si>
    <t>cbalCh2Prod1SlotTotActive</t>
  </si>
  <si>
    <t>cbalCh2Prod2Slot1Active</t>
  </si>
  <si>
    <t>cbalCh2Prod2Slot2Active</t>
  </si>
  <si>
    <t>cbalCh2Prod2Slot3Active</t>
  </si>
  <si>
    <t>cbalCh2Prod2SlotTotActive</t>
  </si>
  <si>
    <t>cbalCh2Prod3Slot1Active</t>
  </si>
  <si>
    <t>cbalCh2Prod3Slot2Active</t>
  </si>
  <si>
    <t>cbalCh2Prod3Slot3Active</t>
  </si>
  <si>
    <t>cbalCh2Prod3SlotTotActive</t>
  </si>
  <si>
    <t>cbalCh2Prod4Slot1Active</t>
  </si>
  <si>
    <t>cbalCh2Prod4Slot2Active</t>
  </si>
  <si>
    <t>cbalCh2Prod4Slot3Active</t>
  </si>
  <si>
    <t>cbalCh2Prod4SlotTotActive</t>
  </si>
  <si>
    <t>cbalCh2SlotTotActive</t>
  </si>
  <si>
    <t>cbalCh3Prod1Slot1Active</t>
  </si>
  <si>
    <t>cbalCh3Prod1Slot2Active</t>
  </si>
  <si>
    <t>cbalCh3Prod1Slot3Active</t>
  </si>
  <si>
    <t>cbalCh3Prod1SlotTotActive</t>
  </si>
  <si>
    <t>cbalCh3Prod2Slot1Active</t>
  </si>
  <si>
    <t>cbalCh3Prod2Slot2Active</t>
  </si>
  <si>
    <t>cbalCh3Prod2Slot3Active</t>
  </si>
  <si>
    <t>cbalCh3Prod2SlotTotActive</t>
  </si>
  <si>
    <t>cbalCh3Prod3Slot1Active</t>
  </si>
  <si>
    <t>cbalCh3Prod3Slot2Active</t>
  </si>
  <si>
    <t>cbalCh3Prod3Slot3Active</t>
  </si>
  <si>
    <t>cbalCh3Prod3SlotTotActive</t>
  </si>
  <si>
    <t>cbalCh3Prod4Slot1Active</t>
  </si>
  <si>
    <t>cbalCh3Prod4Slot2Active</t>
  </si>
  <si>
    <t>cbalCh3Prod4Slot3Active</t>
  </si>
  <si>
    <t>cbalCh3Prod4SlotTotActive</t>
  </si>
  <si>
    <t>cbalCh3SlotTotActive</t>
  </si>
  <si>
    <t>cbalCh4Prod1Slot1Active</t>
  </si>
  <si>
    <t>cbalCh4Prod1Slot2Active</t>
  </si>
  <si>
    <t>cbalCh4Prod1Slot3Active</t>
  </si>
  <si>
    <t>cbalCh4Prod1SlotTotActive</t>
  </si>
  <si>
    <t>cbalCh4Prod2Slot1Active</t>
  </si>
  <si>
    <t>cbalCh4Prod2Slot2Active</t>
  </si>
  <si>
    <t>cbalCh4Prod2Slot3Active</t>
  </si>
  <si>
    <t>cbalCh4Prod2SlotTotActive</t>
  </si>
  <si>
    <t>cbalCh4Prod3Slot1Active</t>
  </si>
  <si>
    <t>cbalCh4Prod3Slot2Active</t>
  </si>
  <si>
    <t>cbalCh4Prod3Slot3Active</t>
  </si>
  <si>
    <t>cbalCh4Prod3SlotTotActive</t>
  </si>
  <si>
    <t>cbalCh4Prod4Slot1Active</t>
  </si>
  <si>
    <t>cbalCh4Prod4Slot2Active</t>
  </si>
  <si>
    <t>cbalCh4Prod4Slot3Active</t>
  </si>
  <si>
    <t>cbalCh4Prod4SlotTotActive</t>
  </si>
  <si>
    <t>cbalCh4SlotTotActive</t>
  </si>
  <si>
    <t>cbalProd1SlotTotActive</t>
  </si>
  <si>
    <t>cbalProd2SlotTotActive</t>
  </si>
  <si>
    <t>cbalProd3SlotTotActive</t>
  </si>
  <si>
    <t>cbalProd4SlotTotActive</t>
  </si>
  <si>
    <t>finPNLCh1Prod1Slot1LogExp</t>
  </si>
  <si>
    <t>Total Logistics Cost per Unit</t>
  </si>
  <si>
    <t>PNL On Aggregated Level</t>
  </si>
  <si>
    <t>Sales</t>
  </si>
  <si>
    <t>General &amp; Administration</t>
  </si>
  <si>
    <t>EBIT %</t>
  </si>
  <si>
    <t>Financial net</t>
  </si>
  <si>
    <t>EBT</t>
  </si>
  <si>
    <t>Taxes</t>
  </si>
  <si>
    <t>Corporate tax</t>
  </si>
  <si>
    <t>Net Income</t>
  </si>
  <si>
    <t>Net Income %</t>
  </si>
  <si>
    <t>Trade marketing</t>
  </si>
  <si>
    <t>Brand marketing</t>
  </si>
  <si>
    <t>Overhead Expenses</t>
  </si>
  <si>
    <t>Total overhead expense</t>
  </si>
  <si>
    <t>Cost categories for PnL</t>
  </si>
  <si>
    <t>Fixed sales expense</t>
  </si>
  <si>
    <t>paramFixedSalesExp</t>
  </si>
  <si>
    <t>paramFixedTradeMktExp</t>
  </si>
  <si>
    <t>paramFixedBrandMktExp</t>
  </si>
  <si>
    <t>General &amp; administration exp (% of revenue)</t>
  </si>
  <si>
    <t>Fixed trade marketing expense</t>
  </si>
  <si>
    <t>Variable sales expense</t>
  </si>
  <si>
    <t>paramVariableSalesExp</t>
  </si>
  <si>
    <t>Fixed brand marketing expense</t>
  </si>
  <si>
    <t>Variable brand marketing expense</t>
  </si>
  <si>
    <t>paramVariableBrandMktExp</t>
  </si>
  <si>
    <t>Trade Marketing Expense</t>
  </si>
  <si>
    <t>Fixed R&amp;D Expense</t>
  </si>
  <si>
    <t>paramFixedRnDExp</t>
  </si>
  <si>
    <t>Lending interest rate</t>
  </si>
  <si>
    <t>Borrowing interest rate</t>
  </si>
  <si>
    <t>paramFixedAdminExp</t>
  </si>
  <si>
    <t>paramLendIntRate</t>
  </si>
  <si>
    <t>paramBorrowIntRate</t>
  </si>
  <si>
    <t>Income</t>
  </si>
  <si>
    <t>Expenses</t>
  </si>
  <si>
    <t>Corporate Tax Rate</t>
  </si>
  <si>
    <t>paramCorpTaxRate</t>
  </si>
  <si>
    <t>finPNLNetRevTot</t>
  </si>
  <si>
    <t>finPNLMatExpTot</t>
  </si>
  <si>
    <t>finPNLLabExpTot</t>
  </si>
  <si>
    <t>finPNLMachExpTot</t>
  </si>
  <si>
    <t>finPNLDepExpTot</t>
  </si>
  <si>
    <t>finPNLCostRevTot</t>
  </si>
  <si>
    <t>finPNLGroProfitTot</t>
  </si>
  <si>
    <t>finPNLLogExpTot</t>
  </si>
  <si>
    <t>finPNLGPaLTot</t>
  </si>
  <si>
    <t>finPNLFixSalesExp</t>
  </si>
  <si>
    <t>finPNLVarSalesExp</t>
  </si>
  <si>
    <t>finPNLSalesExpTot</t>
  </si>
  <si>
    <t>finPNLFixTMktExp</t>
  </si>
  <si>
    <t>finPNLVarTMktExp</t>
  </si>
  <si>
    <t>finPNLTMktExpTot</t>
  </si>
  <si>
    <t>finPNLFixBMktExp</t>
  </si>
  <si>
    <t>finPNLVarBMktExp</t>
  </si>
  <si>
    <t>finPNLBMktExpTot</t>
  </si>
  <si>
    <t>finPNLFixRnDExp</t>
  </si>
  <si>
    <t>finPNLVarRnDExp</t>
  </si>
  <si>
    <t>finPNLRnDExpTot</t>
  </si>
  <si>
    <t>finPNLGnAdminExp</t>
  </si>
  <si>
    <t>finPNLOverheadExpTot</t>
  </si>
  <si>
    <t>finPNLEbitTot</t>
  </si>
  <si>
    <t>finPNLFinNetTot</t>
  </si>
  <si>
    <t>finPNLEbtTot</t>
  </si>
  <si>
    <t>finPNLCTaxTot</t>
  </si>
  <si>
    <t>finPNLNetIncTot</t>
  </si>
  <si>
    <t>Excice</t>
  </si>
  <si>
    <t>Total Net Sales</t>
  </si>
  <si>
    <t>Customer Price</t>
  </si>
  <si>
    <t>Transactions (Units)</t>
  </si>
  <si>
    <t>Pack Size</t>
  </si>
  <si>
    <t>dataPackSize</t>
  </si>
  <si>
    <t>Pack Size (l)</t>
  </si>
  <si>
    <t>paramExciseProd1</t>
  </si>
  <si>
    <t>paramExciseProd2</t>
  </si>
  <si>
    <t>paramExciseProd3</t>
  </si>
  <si>
    <t>paramExciseProd4</t>
  </si>
  <si>
    <t>Customer price</t>
  </si>
  <si>
    <t>decCh1Prod1Slot1CustPrice</t>
  </si>
  <si>
    <t>decCh1Prod1Slot2CustPrice</t>
  </si>
  <si>
    <t>decCh1Prod1Slot3CustPrice</t>
  </si>
  <si>
    <t>decCh1Prod2Slot1CustPrice</t>
  </si>
  <si>
    <t>decCh1Prod2Slot2CustPrice</t>
  </si>
  <si>
    <t>decCh1Prod2Slot3CustPrice</t>
  </si>
  <si>
    <t>decCh1Prod3Slot1CustPrice</t>
  </si>
  <si>
    <t>decCh1Prod3Slot2CustPrice</t>
  </si>
  <si>
    <t>decCh1Prod3Slot3CustPrice</t>
  </si>
  <si>
    <t>decCh1Prod4Slot1CustPrice</t>
  </si>
  <si>
    <t>decCh1Prod4Slot2CustPrice</t>
  </si>
  <si>
    <t>decCh1Prod4Slot3CustPrice</t>
  </si>
  <si>
    <t>decCh2Prod1Slot1CustPrice</t>
  </si>
  <si>
    <t>decCh2Prod1Slot2CustPrice</t>
  </si>
  <si>
    <t>decCh2Prod1Slot3CustPrice</t>
  </si>
  <si>
    <t>decCh2Prod2Slot1CustPrice</t>
  </si>
  <si>
    <t>decCh2Prod2Slot2CustPrice</t>
  </si>
  <si>
    <t>decCh2Prod2Slot3CustPrice</t>
  </si>
  <si>
    <t>decCh2Prod3Slot1CustPrice</t>
  </si>
  <si>
    <t>decCh2Prod3Slot2CustPrice</t>
  </si>
  <si>
    <t>decCh2Prod3Slot3CustPrice</t>
  </si>
  <si>
    <t>decCh2Prod4Slot1CustPrice</t>
  </si>
  <si>
    <t>decCh2Prod4Slot2CustPrice</t>
  </si>
  <si>
    <t>decCh2Prod4Slot3CustPrice</t>
  </si>
  <si>
    <t>decCh3Prod1Slot1CustPrice</t>
  </si>
  <si>
    <t>decCh3Prod1Slot2CustPrice</t>
  </si>
  <si>
    <t>decCh3Prod1Slot3CustPrice</t>
  </si>
  <si>
    <t>decCh3Prod2Slot1CustPrice</t>
  </si>
  <si>
    <t>decCh3Prod2Slot2CustPrice</t>
  </si>
  <si>
    <t>decCh3Prod2Slot3CustPrice</t>
  </si>
  <si>
    <t>decCh3Prod3Slot1CustPrice</t>
  </si>
  <si>
    <t>decCh3Prod3Slot2CustPrice</t>
  </si>
  <si>
    <t>decCh3Prod3Slot3CustPrice</t>
  </si>
  <si>
    <t>decCh3Prod4Slot1CustPrice</t>
  </si>
  <si>
    <t>decCh3Prod4Slot2CustPrice</t>
  </si>
  <si>
    <t>decCh3Prod4Slot3CustPrice</t>
  </si>
  <si>
    <t>decCh4Prod1Slot1CustPrice</t>
  </si>
  <si>
    <t>decCh4Prod1Slot2CustPrice</t>
  </si>
  <si>
    <t>decCh4Prod1Slot3CustPrice</t>
  </si>
  <si>
    <t>decCh4Prod2Slot1CustPrice</t>
  </si>
  <si>
    <t>decCh4Prod2Slot2CustPrice</t>
  </si>
  <si>
    <t>decCh4Prod2Slot3CustPrice</t>
  </si>
  <si>
    <t>decCh4Prod3Slot1CustPrice</t>
  </si>
  <si>
    <t>decCh4Prod3Slot2CustPrice</t>
  </si>
  <si>
    <t>decCh4Prod3Slot3CustPrice</t>
  </si>
  <si>
    <t>decCh4Prod4Slot1CustPrice</t>
  </si>
  <si>
    <t>decCh4Prod4Slot2CustPrice</t>
  </si>
  <si>
    <t>decCh4Prod4Slot3CustPrice</t>
  </si>
  <si>
    <t>Total Volume Sold</t>
  </si>
  <si>
    <t>finCalcCh1Prod1Slot1UnitSold</t>
  </si>
  <si>
    <t>Average selling price</t>
  </si>
  <si>
    <t>calcCh1Prod1Slot1CustPrice</t>
  </si>
  <si>
    <t>calcCh1Prod1Slot1AvgSalePrice</t>
  </si>
  <si>
    <t>Recommended retail price</t>
  </si>
  <si>
    <t>finCalcCh1Prod1Slot2VolSold</t>
  </si>
  <si>
    <t>finCalcCh1Prod1Slot2UnitSold</t>
  </si>
  <si>
    <t>finCalcCh1Prod1Slot2ForcastAcc</t>
  </si>
  <si>
    <t>finCalcCh1Prod1Slot2DepExp</t>
  </si>
  <si>
    <t>finCalcCh1Prod1Slot2COGSPUnit</t>
  </si>
  <si>
    <t>finCalcCh1Prod1Slot2LogisticsCost</t>
  </si>
  <si>
    <t>finCalcCh1Prod1Slot3VolSold</t>
  </si>
  <si>
    <t>finCalcCh1Prod1Slot3UnitSold</t>
  </si>
  <si>
    <t>finCalcCh1Prod1Slot3ForcastAcc</t>
  </si>
  <si>
    <t>finCalcCh1Prod1Slot3DepExp</t>
  </si>
  <si>
    <t>finCalcCh1Prod1Slot3COGSPUnit</t>
  </si>
  <si>
    <t>finCalcCh1Prod1Slot3LogisticsCost</t>
  </si>
  <si>
    <t>finCalcCh1Prod2Slot1VolSold</t>
  </si>
  <si>
    <t>finCalcCh1Prod2Slot1UnitSold</t>
  </si>
  <si>
    <t>finCalcCh1Prod2Slot1ForcastAcc</t>
  </si>
  <si>
    <t>finCalcCh1Prod2Slot1DepExp</t>
  </si>
  <si>
    <t>finCalcCh1Prod2Slot1COGSPUnit</t>
  </si>
  <si>
    <t>finCalcCh1Prod2Slot1LogisticsCost</t>
  </si>
  <si>
    <t>finCalcCh1Prod2Slot2VolSold</t>
  </si>
  <si>
    <t>finCalcCh1Prod2Slot2UnitSold</t>
  </si>
  <si>
    <t>finCalcCh1Prod2Slot2ForcastAcc</t>
  </si>
  <si>
    <t>finCalcCh1Prod2Slot2DepExp</t>
  </si>
  <si>
    <t>finCalcCh1Prod2Slot2COGSPUnit</t>
  </si>
  <si>
    <t>finCalcCh1Prod2Slot2LogisticsCost</t>
  </si>
  <si>
    <t>finCalcCh1Prod2Slot3VolSold</t>
  </si>
  <si>
    <t>finCalcCh1Prod2Slot3UnitSold</t>
  </si>
  <si>
    <t>finCalcCh1Prod2Slot3ForcastAcc</t>
  </si>
  <si>
    <t>finCalcCh1Prod2Slot3DepExp</t>
  </si>
  <si>
    <t>finCalcCh1Prod2Slot3COGSPUnit</t>
  </si>
  <si>
    <t>finCalcCh1Prod2Slot3LogisticsCost</t>
  </si>
  <si>
    <t>finCalcCh1Prod3Slot1VolSold</t>
  </si>
  <si>
    <t>finCalcCh1Prod3Slot1UnitSold</t>
  </si>
  <si>
    <t>finCalcCh1Prod3Slot1ForcastAcc</t>
  </si>
  <si>
    <t>finCalcCh1Prod3Slot1DepExp</t>
  </si>
  <si>
    <t>finCalcCh1Prod3Slot1COGSPUnit</t>
  </si>
  <si>
    <t>finCalcCh1Prod3Slot1LogisticsCost</t>
  </si>
  <si>
    <t>finCalcCh1Prod3Slot2VolSold</t>
  </si>
  <si>
    <t>finCalcCh1Prod3Slot2UnitSold</t>
  </si>
  <si>
    <t>finCalcCh1Prod3Slot2ForcastAcc</t>
  </si>
  <si>
    <t>finCalcCh1Prod3Slot2DepExp</t>
  </si>
  <si>
    <t>finCalcCh1Prod3Slot2COGSPUnit</t>
  </si>
  <si>
    <t>finCalcCh1Prod3Slot2LogisticsCost</t>
  </si>
  <si>
    <t>finCalcCh1Prod3Slot3VolSold</t>
  </si>
  <si>
    <t>finCalcCh1Prod3Slot3UnitSold</t>
  </si>
  <si>
    <t>finCalcCh1Prod3Slot3ForcastAcc</t>
  </si>
  <si>
    <t>finCalcCh1Prod3Slot3DepExp</t>
  </si>
  <si>
    <t>finCalcCh1Prod3Slot3COGSPUnit</t>
  </si>
  <si>
    <t>finCalcCh1Prod3Slot3LogisticsCost</t>
  </si>
  <si>
    <t>finCalcCh1Prod4Slot3VolSold</t>
  </si>
  <si>
    <t>finCalcCh1Prod4Slot3UnitSold</t>
  </si>
  <si>
    <t>finCalcCh1Prod4Slot3ForcastAcc</t>
  </si>
  <si>
    <t>finCalcCh1Prod4Slot3DepExp</t>
  </si>
  <si>
    <t>finCalcCh1Prod4Slot3COGSPUnit</t>
  </si>
  <si>
    <t>finCalcCh1Prod4Slot3LogisticsCost</t>
  </si>
  <si>
    <t>finCalcCh1Prod4Slot1VolSold</t>
  </si>
  <si>
    <t>finCalcCh1Prod4Slot1UnitSold</t>
  </si>
  <si>
    <t>finCalcCh1Prod4Slot1ForcastAcc</t>
  </si>
  <si>
    <t>finCalcCh1Prod4Slot1DepExp</t>
  </si>
  <si>
    <t>finCalcCh1Prod4Slot1COGSPUnit</t>
  </si>
  <si>
    <t>finCalcCh1Prod4Slot1LogisticsCost</t>
  </si>
  <si>
    <t>finCalcCh1Prod4Slot2VolSold</t>
  </si>
  <si>
    <t>finCalcCh1Prod4Slot2UnitSold</t>
  </si>
  <si>
    <t>finCalcCh1Prod4Slot2ForcastAcc</t>
  </si>
  <si>
    <t>finCalcCh1Prod4Slot2DepExp</t>
  </si>
  <si>
    <t>finCalcCh1Prod4Slot2COGSPUnit</t>
  </si>
  <si>
    <t>finCalcCh1Prod4Slot2LogisticsCost</t>
  </si>
  <si>
    <t>finCalcCh2Prod1Slot1VolSold</t>
  </si>
  <si>
    <t>finCalcCh2Prod1Slot1UnitSold</t>
  </si>
  <si>
    <t>finCalcCh2Prod1Slot1ForcastAcc</t>
  </si>
  <si>
    <t>finCalcCh2Prod1Slot1DepExp</t>
  </si>
  <si>
    <t>finCalcCh2Prod1Slot1COGSPUnit</t>
  </si>
  <si>
    <t>finCalcCh2Prod1Slot1LogisticsCost</t>
  </si>
  <si>
    <t>finCalcCh2Prod1Slot2VolSold</t>
  </si>
  <si>
    <t>finCalcCh2Prod1Slot2UnitSold</t>
  </si>
  <si>
    <t>finCalcCh2Prod1Slot2ForcastAcc</t>
  </si>
  <si>
    <t>finCalcCh2Prod1Slot2DepExp</t>
  </si>
  <si>
    <t>finCalcCh2Prod1Slot2COGSPUnit</t>
  </si>
  <si>
    <t>finCalcCh2Prod1Slot2LogisticsCost</t>
  </si>
  <si>
    <t>finCalcCh2Prod1Slot3VolSold</t>
  </si>
  <si>
    <t>finCalcCh2Prod1Slot3UnitSold</t>
  </si>
  <si>
    <t>finCalcCh2Prod1Slot3ForcastAcc</t>
  </si>
  <si>
    <t>finCalcCh2Prod1Slot3DepExp</t>
  </si>
  <si>
    <t>finCalcCh2Prod1Slot3COGSPUnit</t>
  </si>
  <si>
    <t>finCalcCh2Prod1Slot3LogisticsCost</t>
  </si>
  <si>
    <t>finCalcCh2Prod2Slot1VolSold</t>
  </si>
  <si>
    <t>finCalcCh2Prod2Slot1UnitSold</t>
  </si>
  <si>
    <t>finCalcCh2Prod2Slot1ForcastAcc</t>
  </si>
  <si>
    <t>finCalcCh2Prod2Slot1DepExp</t>
  </si>
  <si>
    <t>finCalcCh2Prod2Slot1COGSPUnit</t>
  </si>
  <si>
    <t>finCalcCh2Prod2Slot1LogisticsCost</t>
  </si>
  <si>
    <t>finCalcCh2Prod2Slot2VolSold</t>
  </si>
  <si>
    <t>finCalcCh2Prod2Slot2UnitSold</t>
  </si>
  <si>
    <t>finCalcCh2Prod2Slot2ForcastAcc</t>
  </si>
  <si>
    <t>finCalcCh2Prod2Slot2DepExp</t>
  </si>
  <si>
    <t>finCalcCh2Prod2Slot2COGSPUnit</t>
  </si>
  <si>
    <t>finCalcCh2Prod2Slot2LogisticsCost</t>
  </si>
  <si>
    <t>finCalcCh2Prod2Slot3VolSold</t>
  </si>
  <si>
    <t>finCalcCh2Prod2Slot3UnitSold</t>
  </si>
  <si>
    <t>finCalcCh2Prod2Slot3ForcastAcc</t>
  </si>
  <si>
    <t>finCalcCh2Prod2Slot3DepExp</t>
  </si>
  <si>
    <t>finCalcCh2Prod2Slot3COGSPUnit</t>
  </si>
  <si>
    <t>finCalcCh2Prod2Slot3LogisticsCost</t>
  </si>
  <si>
    <t>finCalcCh2Prod3Slot1VolSold</t>
  </si>
  <si>
    <t>finCalcCh2Prod3Slot1UnitSold</t>
  </si>
  <si>
    <t>finCalcCh2Prod3Slot1ForcastAcc</t>
  </si>
  <si>
    <t>finCalcCh2Prod3Slot1DepExp</t>
  </si>
  <si>
    <t>finCalcCh2Prod3Slot1COGSPUnit</t>
  </si>
  <si>
    <t>finCalcCh2Prod3Slot1LogisticsCost</t>
  </si>
  <si>
    <t>finCalcCh2Prod3Slot2VolSold</t>
  </si>
  <si>
    <t>finCalcCh2Prod3Slot2UnitSold</t>
  </si>
  <si>
    <t>finCalcCh2Prod3Slot2ForcastAcc</t>
  </si>
  <si>
    <t>finCalcCh2Prod3Slot2DepExp</t>
  </si>
  <si>
    <t>finCalcCh2Prod3Slot2COGSPUnit</t>
  </si>
  <si>
    <t>finCalcCh2Prod3Slot2LogisticsCost</t>
  </si>
  <si>
    <t>finCalcCh2Prod3Slot3VolSold</t>
  </si>
  <si>
    <t>finCalcCh2Prod3Slot3UnitSold</t>
  </si>
  <si>
    <t>finCalcCh2Prod3Slot3ForcastAcc</t>
  </si>
  <si>
    <t>finCalcCh2Prod3Slot3DepExp</t>
  </si>
  <si>
    <t>finCalcCh2Prod3Slot3COGSPUnit</t>
  </si>
  <si>
    <t>finCalcCh2Prod3Slot3LogisticsCost</t>
  </si>
  <si>
    <t>finCalcCh2Prod4Slot1VolSold</t>
  </si>
  <si>
    <t>finCalcCh2Prod4Slot1UnitSold</t>
  </si>
  <si>
    <t>finCalcCh2Prod4Slot1ForcastAcc</t>
  </si>
  <si>
    <t>finCalcCh2Prod4Slot1DepExp</t>
  </si>
  <si>
    <t>finCalcCh2Prod4Slot1COGSPUnit</t>
  </si>
  <si>
    <t>finCalcCh2Prod4Slot1LogisticsCost</t>
  </si>
  <si>
    <t>finCalcCh2Prod4Slot2VolSold</t>
  </si>
  <si>
    <t>finCalcCh2Prod4Slot2UnitSold</t>
  </si>
  <si>
    <t>finCalcCh2Prod4Slot2ForcastAcc</t>
  </si>
  <si>
    <t>finCalcCh2Prod4Slot2DepExp</t>
  </si>
  <si>
    <t>finCalcCh2Prod4Slot2COGSPUnit</t>
  </si>
  <si>
    <t>finCalcCh2Prod4Slot2LogisticsCost</t>
  </si>
  <si>
    <t>finCalcCh2Prod4Slot3VolSold</t>
  </si>
  <si>
    <t>finCalcCh2Prod4Slot3UnitSold</t>
  </si>
  <si>
    <t>finCalcCh2Prod4Slot3ForcastAcc</t>
  </si>
  <si>
    <t>finCalcCh2Prod4Slot3DepExp</t>
  </si>
  <si>
    <t>finCalcCh2Prod4Slot3COGSPUnit</t>
  </si>
  <si>
    <t>finCalcCh2Prod4Slot3LogisticsCost</t>
  </si>
  <si>
    <t>finCalcCh3Prod1Slot1VolSold</t>
  </si>
  <si>
    <t>finCalcCh3Prod1Slot1UnitSold</t>
  </si>
  <si>
    <t>finCalcCh3Prod1Slot1ForcastAcc</t>
  </si>
  <si>
    <t>finCalcCh3Prod1Slot1DepExp</t>
  </si>
  <si>
    <t>finCalcCh3Prod1Slot1COGSPUnit</t>
  </si>
  <si>
    <t>finCalcCh3Prod1Slot1LogisticsCost</t>
  </si>
  <si>
    <t>finCalcCh3Prod1Slot2VolSold</t>
  </si>
  <si>
    <t>finCalcCh3Prod1Slot2UnitSold</t>
  </si>
  <si>
    <t>finCalcCh3Prod1Slot2ForcastAcc</t>
  </si>
  <si>
    <t>finCalcCh3Prod1Slot2DepExp</t>
  </si>
  <si>
    <t>finCalcCh3Prod1Slot2COGSPUnit</t>
  </si>
  <si>
    <t>finCalcCh3Prod1Slot2LogisticsCost</t>
  </si>
  <si>
    <t>finCalcCh3Prod1Slot3VolSold</t>
  </si>
  <si>
    <t>finCalcCh3Prod1Slot3UnitSold</t>
  </si>
  <si>
    <t>finCalcCh3Prod1Slot3ForcastAcc</t>
  </si>
  <si>
    <t>finCalcCh3Prod1Slot3DepExp</t>
  </si>
  <si>
    <t>finCalcCh3Prod1Slot3COGSPUnit</t>
  </si>
  <si>
    <t>finCalcCh3Prod1Slot3LogisticsCost</t>
  </si>
  <si>
    <t>finCalcCh3Prod2Slot1VolSold</t>
  </si>
  <si>
    <t>finCalcCh3Prod2Slot1UnitSold</t>
  </si>
  <si>
    <t>finCalcCh3Prod2Slot1ForcastAcc</t>
  </si>
  <si>
    <t>finCalcCh3Prod2Slot1DepExp</t>
  </si>
  <si>
    <t>finCalcCh3Prod2Slot1COGSPUnit</t>
  </si>
  <si>
    <t>finCalcCh3Prod2Slot1LogisticsCost</t>
  </si>
  <si>
    <t>finCalcCh3Prod2Slot2VolSold</t>
  </si>
  <si>
    <t>finCalcCh3Prod2Slot2UnitSold</t>
  </si>
  <si>
    <t>finCalcCh3Prod2Slot2ForcastAcc</t>
  </si>
  <si>
    <t>finCalcCh3Prod2Slot2DepExp</t>
  </si>
  <si>
    <t>finCalcCh3Prod2Slot2COGSPUnit</t>
  </si>
  <si>
    <t>finCalcCh3Prod2Slot2LogisticsCost</t>
  </si>
  <si>
    <t>finCalcCh3Prod2Slot3VolSold</t>
  </si>
  <si>
    <t>finCalcCh3Prod2Slot3UnitSold</t>
  </si>
  <si>
    <t>finCalcCh3Prod2Slot3ForcastAcc</t>
  </si>
  <si>
    <t>finCalcCh3Prod2Slot3DepExp</t>
  </si>
  <si>
    <t>finCalcCh3Prod2Slot3COGSPUnit</t>
  </si>
  <si>
    <t>finCalcCh3Prod2Slot3LogisticsCost</t>
  </si>
  <si>
    <t>finCalcCh3Prod3Slot1VolSold</t>
  </si>
  <si>
    <t>finCalcCh3Prod3Slot1UnitSold</t>
  </si>
  <si>
    <t>finCalcCh3Prod3Slot1ForcastAcc</t>
  </si>
  <si>
    <t>finCalcCh3Prod3Slot1DepExp</t>
  </si>
  <si>
    <t>finCalcCh3Prod3Slot1COGSPUnit</t>
  </si>
  <si>
    <t>finCalcCh3Prod3Slot1LogisticsCost</t>
  </si>
  <si>
    <t>finCalcCh3Prod3Slot2VolSold</t>
  </si>
  <si>
    <t>finCalcCh3Prod3Slot2UnitSold</t>
  </si>
  <si>
    <t>finCalcCh3Prod3Slot2ForcastAcc</t>
  </si>
  <si>
    <t>finCalcCh3Prod3Slot2DepExp</t>
  </si>
  <si>
    <t>finCalcCh3Prod3Slot2COGSPUnit</t>
  </si>
  <si>
    <t>finCalcCh3Prod3Slot2LogisticsCost</t>
  </si>
  <si>
    <t>finCalcCh3Prod3Slot3VolSold</t>
  </si>
  <si>
    <t>finCalcCh3Prod3Slot3UnitSold</t>
  </si>
  <si>
    <t>finCalcCh3Prod3Slot3ForcastAcc</t>
  </si>
  <si>
    <t>finCalcCh3Prod3Slot3DepExp</t>
  </si>
  <si>
    <t>finCalcCh3Prod3Slot3COGSPUnit</t>
  </si>
  <si>
    <t>finCalcCh3Prod3Slot3LogisticsCost</t>
  </si>
  <si>
    <t>finCalcCh3Prod4Slot1VolSold</t>
  </si>
  <si>
    <t>finCalcCh3Prod4Slot1UnitSold</t>
  </si>
  <si>
    <t>finCalcCh3Prod4Slot1ForcastAcc</t>
  </si>
  <si>
    <t>finCalcCh3Prod4Slot1DepExp</t>
  </si>
  <si>
    <t>finCalcCh3Prod4Slot1COGSPUnit</t>
  </si>
  <si>
    <t>finCalcCh3Prod4Slot1LogisticsCost</t>
  </si>
  <si>
    <t>finCalcCh3Prod4Slot2VolSold</t>
  </si>
  <si>
    <t>finCalcCh3Prod4Slot2UnitSold</t>
  </si>
  <si>
    <t>finCalcCh3Prod4Slot2ForcastAcc</t>
  </si>
  <si>
    <t>finCalcCh3Prod4Slot2DepExp</t>
  </si>
  <si>
    <t>finCalcCh3Prod4Slot2COGSPUnit</t>
  </si>
  <si>
    <t>finCalcCh3Prod4Slot2LogisticsCost</t>
  </si>
  <si>
    <t>finCalcCh3Prod4Slot3VolSold</t>
  </si>
  <si>
    <t>finCalcCh3Prod4Slot3UnitSold</t>
  </si>
  <si>
    <t>finCalcCh3Prod4Slot3ForcastAcc</t>
  </si>
  <si>
    <t>finCalcCh3Prod4Slot3DepExp</t>
  </si>
  <si>
    <t>finCalcCh3Prod4Slot3COGSPUnit</t>
  </si>
  <si>
    <t>finCalcCh3Prod4Slot3LogisticsCost</t>
  </si>
  <si>
    <t>finCalcCh4Prod1Slot1VolSold</t>
  </si>
  <si>
    <t>finCalcCh4Prod1Slot1UnitSold</t>
  </si>
  <si>
    <t>finCalcCh4Prod1Slot1ForcastAcc</t>
  </si>
  <si>
    <t>finCalcCh4Prod1Slot1DepExp</t>
  </si>
  <si>
    <t>finCalcCh4Prod1Slot1COGSPUnit</t>
  </si>
  <si>
    <t>finCalcCh4Prod1Slot1LogisticsCost</t>
  </si>
  <si>
    <t>finCalcCh4Prod1Slot2VolSold</t>
  </si>
  <si>
    <t>finCalcCh4Prod1Slot2UnitSold</t>
  </si>
  <si>
    <t>finCalcCh4Prod1Slot2ForcastAcc</t>
  </si>
  <si>
    <t>finCalcCh4Prod1Slot2DepExp</t>
  </si>
  <si>
    <t>finCalcCh4Prod1Slot2COGSPUnit</t>
  </si>
  <si>
    <t>finCalcCh4Prod1Slot2LogisticsCost</t>
  </si>
  <si>
    <t>finCalcCh4Prod1Slot3VolSold</t>
  </si>
  <si>
    <t>finCalcCh4Prod1Slot3UnitSold</t>
  </si>
  <si>
    <t>finCalcCh4Prod1Slot3ForcastAcc</t>
  </si>
  <si>
    <t>finCalcCh4Prod1Slot3DepExp</t>
  </si>
  <si>
    <t>finCalcCh4Prod1Slot3COGSPUnit</t>
  </si>
  <si>
    <t>finCalcCh4Prod1Slot3LogisticsCost</t>
  </si>
  <si>
    <t>finCalcCh4Prod2Slot1VolSold</t>
  </si>
  <si>
    <t>finCalcCh4Prod2Slot1UnitSold</t>
  </si>
  <si>
    <t>finCalcCh4Prod2Slot1ForcastAcc</t>
  </si>
  <si>
    <t>finCalcCh4Prod2Slot1DepExp</t>
  </si>
  <si>
    <t>finCalcCh4Prod2Slot1COGSPUnit</t>
  </si>
  <si>
    <t>finCalcCh4Prod2Slot1LogisticsCost</t>
  </si>
  <si>
    <t>finCalcCh4Prod2Slot2VolSold</t>
  </si>
  <si>
    <t>finCalcCh4Prod2Slot2UnitSold</t>
  </si>
  <si>
    <t>finCalcCh4Prod2Slot2ForcastAcc</t>
  </si>
  <si>
    <t>finCalcCh4Prod2Slot2DepExp</t>
  </si>
  <si>
    <t>finCalcCh4Prod2Slot2COGSPUnit</t>
  </si>
  <si>
    <t>finCalcCh4Prod2Slot2LogisticsCost</t>
  </si>
  <si>
    <t>finCalcCh4Prod2Slot3VolSold</t>
  </si>
  <si>
    <t>finCalcCh4Prod2Slot3UnitSold</t>
  </si>
  <si>
    <t>finCalcCh4Prod2Slot3ForcastAcc</t>
  </si>
  <si>
    <t>finCalcCh4Prod2Slot3DepExp</t>
  </si>
  <si>
    <t>finCalcCh4Prod2Slot3COGSPUnit</t>
  </si>
  <si>
    <t>finCalcCh4Prod2Slot3LogisticsCost</t>
  </si>
  <si>
    <t>finCalcCh4Prod3Slot1VolSold</t>
  </si>
  <si>
    <t>finCalcCh4Prod3Slot1UnitSold</t>
  </si>
  <si>
    <t>finCalcCh4Prod3Slot1ForcastAcc</t>
  </si>
  <si>
    <t>finCalcCh4Prod3Slot1DepExp</t>
  </si>
  <si>
    <t>finCalcCh4Prod3Slot1COGSPUnit</t>
  </si>
  <si>
    <t>finCalcCh4Prod3Slot1LogisticsCost</t>
  </si>
  <si>
    <t>finCalcCh4Prod3Slot2VolSold</t>
  </si>
  <si>
    <t>finCalcCh4Prod3Slot2UnitSold</t>
  </si>
  <si>
    <t>finCalcCh4Prod3Slot2ForcastAcc</t>
  </si>
  <si>
    <t>finCalcCh4Prod3Slot2DepExp</t>
  </si>
  <si>
    <t>finCalcCh4Prod3Slot2COGSPUnit</t>
  </si>
  <si>
    <t>finCalcCh4Prod3Slot2LogisticsCost</t>
  </si>
  <si>
    <t>finCalcCh4Prod3Slot3VolSold</t>
  </si>
  <si>
    <t>finCalcCh4Prod3Slot3UnitSold</t>
  </si>
  <si>
    <t>finCalcCh4Prod3Slot3ForcastAcc</t>
  </si>
  <si>
    <t>finCalcCh4Prod3Slot3DepExp</t>
  </si>
  <si>
    <t>finCalcCh4Prod3Slot3COGSPUnit</t>
  </si>
  <si>
    <t>finCalcCh4Prod3Slot3LogisticsCost</t>
  </si>
  <si>
    <t>finCalcCh4Prod4Slot1VolSold</t>
  </si>
  <si>
    <t>finCalcCh4Prod4Slot1UnitSold</t>
  </si>
  <si>
    <t>finCalcCh4Prod4Slot1ForcastAcc</t>
  </si>
  <si>
    <t>finCalcCh4Prod4Slot1DepExp</t>
  </si>
  <si>
    <t>finCalcCh4Prod4Slot1COGSPUnit</t>
  </si>
  <si>
    <t>finCalcCh4Prod4Slot1LogisticsCost</t>
  </si>
  <si>
    <t>finCalcCh4Prod4Slot2VolSold</t>
  </si>
  <si>
    <t>finCalcCh4Prod4Slot2UnitSold</t>
  </si>
  <si>
    <t>finCalcCh4Prod4Slot2ForcastAcc</t>
  </si>
  <si>
    <t>finCalcCh4Prod4Slot2DepExp</t>
  </si>
  <si>
    <t>finCalcCh4Prod4Slot2COGSPUnit</t>
  </si>
  <si>
    <t>finCalcCh4Prod4Slot2LogisticsCost</t>
  </si>
  <si>
    <t>finCalcCh4Prod4Slot3VolSold</t>
  </si>
  <si>
    <t>finCalcCh4Prod4Slot3UnitSold</t>
  </si>
  <si>
    <t>finCalcCh4Prod4Slot3ForcastAcc</t>
  </si>
  <si>
    <t>finCalcCh4Prod4Slot3DepExp</t>
  </si>
  <si>
    <t>finCalcCh4Prod4Slot3COGSPUnit</t>
  </si>
  <si>
    <t>finCalcCh4Prod4Slot3LogisticsCost</t>
  </si>
  <si>
    <t>50cl Bottle</t>
  </si>
  <si>
    <t>66cl Bottle</t>
  </si>
  <si>
    <t>calcCh1Prod1Slot2CustPrice</t>
  </si>
  <si>
    <t>calcCh1Prod1Slot2AvgSalePrice</t>
  </si>
  <si>
    <t>calcCh1Prod1Slot3CustPrice</t>
  </si>
  <si>
    <t>calcCh1Prod1Slot3AvgSalePrice</t>
  </si>
  <si>
    <t>calcCh1Prod2Slot1CustPrice</t>
  </si>
  <si>
    <t>calcCh1Prod2Slot1AvgSalePrice</t>
  </si>
  <si>
    <t>calcCh1Prod2Slot2CustPrice</t>
  </si>
  <si>
    <t>calcCh1Prod2Slot2AvgSalePrice</t>
  </si>
  <si>
    <t>calcCh1Prod2Slot3CustPrice</t>
  </si>
  <si>
    <t>calcCh1Prod2Slot3AvgSalePrice</t>
  </si>
  <si>
    <t>calcCh1Prod3Slot1CustPrice</t>
  </si>
  <si>
    <t>calcCh1Prod3Slot1AvgSalePrice</t>
  </si>
  <si>
    <t>calcCh1Prod3Slot2CustPrice</t>
  </si>
  <si>
    <t>calcCh1Prod3Slot2AvgSalePrice</t>
  </si>
  <si>
    <t>calcCh1Prod3Slot3CustPrice</t>
  </si>
  <si>
    <t>calcCh1Prod3Slot3AvgSalePrice</t>
  </si>
  <si>
    <t>calcCh1Prod4Slot1CustPrice</t>
  </si>
  <si>
    <t>calcCh1Prod4Slot1AvgSalePrice</t>
  </si>
  <si>
    <t>calcCh1Prod4Slot2CustPrice</t>
  </si>
  <si>
    <t>calcCh1Prod4Slot2AvgSalePrice</t>
  </si>
  <si>
    <t>calcCh1Prod4Slot3CustPrice</t>
  </si>
  <si>
    <t>calcCh1Prod4Slot3AvgSalePrice</t>
  </si>
  <si>
    <t>calcCh2Prod1Slot1CustPrice</t>
  </si>
  <si>
    <t>calcCh2Prod1Slot1AvgSalePrice</t>
  </si>
  <si>
    <t>calcCh2Prod1Slot2CustPrice</t>
  </si>
  <si>
    <t>calcCh2Prod1Slot2AvgSalePrice</t>
  </si>
  <si>
    <t>calcCh2Prod1Slot3CustPrice</t>
  </si>
  <si>
    <t>calcCh2Prod1Slot3AvgSalePrice</t>
  </si>
  <si>
    <t>calcCh2Prod2Slot1CustPrice</t>
  </si>
  <si>
    <t>calcCh2Prod2Slot1AvgSalePrice</t>
  </si>
  <si>
    <t>calcCh2Prod2Slot2CustPrice</t>
  </si>
  <si>
    <t>calcCh2Prod2Slot2AvgSalePrice</t>
  </si>
  <si>
    <t>calcCh2Prod2Slot3CustPrice</t>
  </si>
  <si>
    <t>calcCh2Prod2Slot3AvgSalePrice</t>
  </si>
  <si>
    <t>calcCh2Prod3Slot1CustPrice</t>
  </si>
  <si>
    <t>calcCh2Prod3Slot1AvgSalePrice</t>
  </si>
  <si>
    <t>calcCh2Prod3Slot2CustPrice</t>
  </si>
  <si>
    <t>calcCh2Prod3Slot2AvgSalePrice</t>
  </si>
  <si>
    <t>calcCh2Prod3Slot3CustPrice</t>
  </si>
  <si>
    <t>calcCh2Prod3Slot3AvgSalePrice</t>
  </si>
  <si>
    <t>calcCh2Prod4Slot1CustPrice</t>
  </si>
  <si>
    <t>calcCh2Prod4Slot1AvgSalePrice</t>
  </si>
  <si>
    <t>calcCh2Prod4Slot2CustPrice</t>
  </si>
  <si>
    <t>calcCh2Prod4Slot2AvgSalePrice</t>
  </si>
  <si>
    <t>calcCh2Prod4Slot3CustPrice</t>
  </si>
  <si>
    <t>calcCh2Prod4Slot3AvgSalePrice</t>
  </si>
  <si>
    <t>calcCh3Prod1Slot1CustPrice</t>
  </si>
  <si>
    <t>calcCh3Prod1Slot1AvgSalePrice</t>
  </si>
  <si>
    <t>calcCh3Prod1Slot2CustPrice</t>
  </si>
  <si>
    <t>calcCh3Prod1Slot2AvgSalePrice</t>
  </si>
  <si>
    <t>calcCh3Prod1Slot3CustPrice</t>
  </si>
  <si>
    <t>calcCh3Prod1Slot3AvgSalePrice</t>
  </si>
  <si>
    <t>calcCh3Prod2Slot1CustPrice</t>
  </si>
  <si>
    <t>calcCh3Prod2Slot1AvgSalePrice</t>
  </si>
  <si>
    <t>calcCh3Prod2Slot2CustPrice</t>
  </si>
  <si>
    <t>calcCh3Prod2Slot2AvgSalePrice</t>
  </si>
  <si>
    <t>calcCh3Prod2Slot3CustPrice</t>
  </si>
  <si>
    <t>calcCh3Prod2Slot3AvgSalePrice</t>
  </si>
  <si>
    <t>calcCh3Prod3Slot1CustPrice</t>
  </si>
  <si>
    <t>calcCh3Prod3Slot1AvgSalePrice</t>
  </si>
  <si>
    <t>calcCh3Prod3Slot2CustPrice</t>
  </si>
  <si>
    <t>calcCh3Prod3Slot2AvgSalePrice</t>
  </si>
  <si>
    <t>calcCh3Prod3Slot3CustPrice</t>
  </si>
  <si>
    <t>calcCh3Prod3Slot3AvgSalePrice</t>
  </si>
  <si>
    <t>calcCh3Prod4Slot1CustPrice</t>
  </si>
  <si>
    <t>calcCh3Prod4Slot1AvgSalePrice</t>
  </si>
  <si>
    <t>calcCh3Prod4Slot2CustPrice</t>
  </si>
  <si>
    <t>calcCh3Prod4Slot2AvgSalePrice</t>
  </si>
  <si>
    <t>calcCh3Prod4Slot3CustPrice</t>
  </si>
  <si>
    <t>calcCh3Prod4Slot3AvgSalePrice</t>
  </si>
  <si>
    <t>calcCh4Prod1Slot1CustPrice</t>
  </si>
  <si>
    <t>calcCh4Prod1Slot1AvgSalePrice</t>
  </si>
  <si>
    <t>calcCh4Prod1Slot2CustPrice</t>
  </si>
  <si>
    <t>calcCh4Prod1Slot2AvgSalePrice</t>
  </si>
  <si>
    <t>calcCh4Prod1Slot3CustPrice</t>
  </si>
  <si>
    <t>calcCh4Prod1Slot3AvgSalePrice</t>
  </si>
  <si>
    <t>calcCh4Prod2Slot1CustPrice</t>
  </si>
  <si>
    <t>calcCh4Prod2Slot1AvgSalePrice</t>
  </si>
  <si>
    <t>calcCh4Prod2Slot2CustPrice</t>
  </si>
  <si>
    <t>calcCh4Prod2Slot2AvgSalePrice</t>
  </si>
  <si>
    <t>calcCh4Prod2Slot3CustPrice</t>
  </si>
  <si>
    <t>calcCh4Prod2Slot3AvgSalePrice</t>
  </si>
  <si>
    <t>calcCh4Prod3Slot1CustPrice</t>
  </si>
  <si>
    <t>calcCh4Prod3Slot1AvgSalePrice</t>
  </si>
  <si>
    <t>calcCh4Prod3Slot2CustPrice</t>
  </si>
  <si>
    <t>calcCh4Prod3Slot2AvgSalePrice</t>
  </si>
  <si>
    <t>calcCh4Prod3Slot3CustPrice</t>
  </si>
  <si>
    <t>calcCh4Prod3Slot3AvgSalePrice</t>
  </si>
  <si>
    <t>calcCh4Prod4Slot1CustPrice</t>
  </si>
  <si>
    <t>calcCh4Prod4Slot1AvgSalePrice</t>
  </si>
  <si>
    <t>calcCh4Prod4Slot2CustPrice</t>
  </si>
  <si>
    <t>calcCh4Prod4Slot2AvgSalePrice</t>
  </si>
  <si>
    <t>calcCh4Prod4Slot3CustPrice</t>
  </si>
  <si>
    <t>calcCh4Prod4Slot3AvgSalePrice</t>
  </si>
  <si>
    <t>finPNLCh1Prod1Slot2TotalRev</t>
  </si>
  <si>
    <t>finPNLCh1Prod1Slot2MatExp</t>
  </si>
  <si>
    <t>finPNLCh1Prod1Slot2LabourExp</t>
  </si>
  <si>
    <t>finPNLCh1Prod1Slot2MachExp</t>
  </si>
  <si>
    <t>finPNLCh1Prod1Slot2DeprExp</t>
  </si>
  <si>
    <t>finPNLCh1Prod1Slot2TotalCOGs</t>
  </si>
  <si>
    <t>finPNLCh1Prod1Slot2GP</t>
  </si>
  <si>
    <t>finPNLCh1Prod1Slot2GM</t>
  </si>
  <si>
    <t>finPNLCh1Prod1Slot2LogExp</t>
  </si>
  <si>
    <t>finPNLCh1Prod1Slot2GPaL</t>
  </si>
  <si>
    <t>finPNLCh1Prod1Slot2GPaLMargin</t>
  </si>
  <si>
    <t>finPNLCh1Prod1Slot3TotalRev</t>
  </si>
  <si>
    <t>finPNLCh1Prod1Slot3MatExp</t>
  </si>
  <si>
    <t>finPNLCh1Prod1Slot3LabourExp</t>
  </si>
  <si>
    <t>finPNLCh1Prod1Slot3MachExp</t>
  </si>
  <si>
    <t>finPNLCh1Prod1Slot3DeprExp</t>
  </si>
  <si>
    <t>finPNLCh1Prod1Slot3TotalCOGs</t>
  </si>
  <si>
    <t>finPNLCh1Prod1Slot3GP</t>
  </si>
  <si>
    <t>finPNLCh1Prod1Slot3GM</t>
  </si>
  <si>
    <t>finPNLCh1Prod1Slot3LogExp</t>
  </si>
  <si>
    <t>finPNLCh1Prod1Slot3GPaL</t>
  </si>
  <si>
    <t>finPNLCh1Prod1Slot3GPaLMargin</t>
  </si>
  <si>
    <t>finPNLCh1Prod2Slot1TotalRev</t>
  </si>
  <si>
    <t>finPNLCh1Prod2Slot1MatExp</t>
  </si>
  <si>
    <t>finPNLCh1Prod2Slot1LabourExp</t>
  </si>
  <si>
    <t>finPNLCh1Prod2Slot1MachExp</t>
  </si>
  <si>
    <t>finPNLCh1Prod2Slot1DeprExp</t>
  </si>
  <si>
    <t>finPNLCh1Prod2Slot1TotalCOGs</t>
  </si>
  <si>
    <t>finPNLCh1Prod2Slot1GP</t>
  </si>
  <si>
    <t>finPNLCh1Prod2Slot1GM</t>
  </si>
  <si>
    <t>finPNLCh1Prod2Slot1LogExp</t>
  </si>
  <si>
    <t>finPNLCh1Prod2Slot1GPaL</t>
  </si>
  <si>
    <t>finPNLCh1Prod2Slot1GPaLMargin</t>
  </si>
  <si>
    <t>finPNLCh1Prod2Slot2TotalRev</t>
  </si>
  <si>
    <t>finPNLCh1Prod2Slot2MatExp</t>
  </si>
  <si>
    <t>finPNLCh1Prod2Slot2LabourExp</t>
  </si>
  <si>
    <t>finPNLCh1Prod2Slot2MachExp</t>
  </si>
  <si>
    <t>finPNLCh1Prod2Slot2DeprExp</t>
  </si>
  <si>
    <t>finPNLCh1Prod2Slot2TotalCOGs</t>
  </si>
  <si>
    <t>finPNLCh1Prod2Slot2GP</t>
  </si>
  <si>
    <t>finPNLCh1Prod2Slot2GM</t>
  </si>
  <si>
    <t>finPNLCh1Prod2Slot2LogExp</t>
  </si>
  <si>
    <t>finPNLCh1Prod2Slot2GPaL</t>
  </si>
  <si>
    <t>finPNLCh1Prod2Slot2GPaLMargin</t>
  </si>
  <si>
    <t>finPNLCh1Prod2Slot3TotalRev</t>
  </si>
  <si>
    <t>finPNLCh1Prod2Slot3MatExp</t>
  </si>
  <si>
    <t>finPNLCh1Prod2Slot3LabourExp</t>
  </si>
  <si>
    <t>finPNLCh1Prod2Slot3MachExp</t>
  </si>
  <si>
    <t>finPNLCh1Prod2Slot3DeprExp</t>
  </si>
  <si>
    <t>finPNLCh1Prod2Slot3TotalCOGs</t>
  </si>
  <si>
    <t>finPNLCh1Prod2Slot3GP</t>
  </si>
  <si>
    <t>finPNLCh1Prod2Slot3GM</t>
  </si>
  <si>
    <t>finPNLCh1Prod2Slot3LogExp</t>
  </si>
  <si>
    <t>finPNLCh1Prod2Slot3GPaL</t>
  </si>
  <si>
    <t>finPNLCh1Prod2Slot3GPaLMargin</t>
  </si>
  <si>
    <t>finPNLCh1Prod3Slot1TotalRev</t>
  </si>
  <si>
    <t>finPNLCh1Prod3Slot1MatExp</t>
  </si>
  <si>
    <t>finPNLCh1Prod3Slot1LabourExp</t>
  </si>
  <si>
    <t>finPNLCh1Prod3Slot1MachExp</t>
  </si>
  <si>
    <t>finPNLCh1Prod3Slot1DeprExp</t>
  </si>
  <si>
    <t>finPNLCh1Prod3Slot1TotalCOGs</t>
  </si>
  <si>
    <t>finPNLCh1Prod3Slot1GP</t>
  </si>
  <si>
    <t>finPNLCh1Prod3Slot1GM</t>
  </si>
  <si>
    <t>finPNLCh1Prod3Slot1LogExp</t>
  </si>
  <si>
    <t>finPNLCh1Prod3Slot1GPaL</t>
  </si>
  <si>
    <t>finPNLCh1Prod3Slot1GPaLMargin</t>
  </si>
  <si>
    <t>finPNLCh1Prod3Slot2TotalRev</t>
  </si>
  <si>
    <t>finPNLCh1Prod3Slot2MatExp</t>
  </si>
  <si>
    <t>finPNLCh1Prod3Slot2LabourExp</t>
  </si>
  <si>
    <t>finPNLCh1Prod3Slot2MachExp</t>
  </si>
  <si>
    <t>finPNLCh1Prod3Slot2DeprExp</t>
  </si>
  <si>
    <t>finPNLCh1Prod3Slot2TotalCOGs</t>
  </si>
  <si>
    <t>finPNLCh1Prod3Slot2GP</t>
  </si>
  <si>
    <t>finPNLCh1Prod3Slot2GM</t>
  </si>
  <si>
    <t>finPNLCh1Prod3Slot2LogExp</t>
  </si>
  <si>
    <t>finPNLCh1Prod3Slot2GPaL</t>
  </si>
  <si>
    <t>finPNLCh1Prod3Slot2GPaLMargin</t>
  </si>
  <si>
    <t>finPNLCh1Prod3Slot3TotalRev</t>
  </si>
  <si>
    <t>finPNLCh1Prod3Slot3MatExp</t>
  </si>
  <si>
    <t>finPNLCh1Prod3Slot3LabourExp</t>
  </si>
  <si>
    <t>finPNLCh1Prod3Slot3MachExp</t>
  </si>
  <si>
    <t>finPNLCh1Prod3Slot3DeprExp</t>
  </si>
  <si>
    <t>finPNLCh1Prod3Slot3TotalCOGs</t>
  </si>
  <si>
    <t>finPNLCh1Prod3Slot3GP</t>
  </si>
  <si>
    <t>finPNLCh1Prod3Slot3GM</t>
  </si>
  <si>
    <t>finPNLCh1Prod3Slot3LogExp</t>
  </si>
  <si>
    <t>finPNLCh1Prod3Slot3GPaL</t>
  </si>
  <si>
    <t>finPNLCh1Prod3Slot3GPaLMargin</t>
  </si>
  <si>
    <t>finPNLCh1Prod4Slot1TotalRev</t>
  </si>
  <si>
    <t>finPNLCh1Prod4Slot1MatExp</t>
  </si>
  <si>
    <t>finPNLCh1Prod4Slot1LabourExp</t>
  </si>
  <si>
    <t>finPNLCh1Prod4Slot1MachExp</t>
  </si>
  <si>
    <t>finPNLCh1Prod4Slot1DeprExp</t>
  </si>
  <si>
    <t>finPNLCh1Prod4Slot1TotalCOGs</t>
  </si>
  <si>
    <t>finPNLCh1Prod4Slot1GP</t>
  </si>
  <si>
    <t>finPNLCh1Prod4Slot1GM</t>
  </si>
  <si>
    <t>finPNLCh1Prod4Slot1LogExp</t>
  </si>
  <si>
    <t>finPNLCh1Prod4Slot1GPaL</t>
  </si>
  <si>
    <t>finPNLCh1Prod4Slot1GPaLMargin</t>
  </si>
  <si>
    <t>finPNLCh1Prod4Slot2TotalRev</t>
  </si>
  <si>
    <t>finPNLCh1Prod4Slot2MatExp</t>
  </si>
  <si>
    <t>finPNLCh1Prod4Slot2LabourExp</t>
  </si>
  <si>
    <t>finPNLCh1Prod4Slot2MachExp</t>
  </si>
  <si>
    <t>finPNLCh1Prod4Slot2DeprExp</t>
  </si>
  <si>
    <t>finPNLCh1Prod4Slot2TotalCOGs</t>
  </si>
  <si>
    <t>finPNLCh1Prod4Slot2GP</t>
  </si>
  <si>
    <t>finPNLCh1Prod4Slot2GM</t>
  </si>
  <si>
    <t>finPNLCh1Prod4Slot2LogExp</t>
  </si>
  <si>
    <t>finPNLCh1Prod4Slot2GPaL</t>
  </si>
  <si>
    <t>finPNLCh1Prod4Slot2GPaLMargin</t>
  </si>
  <si>
    <t>finPNLCh1Prod4Slot3TotalRev</t>
  </si>
  <si>
    <t>finPNLCh1Prod4Slot3MatExp</t>
  </si>
  <si>
    <t>finPNLCh1Prod4Slot3LabourExp</t>
  </si>
  <si>
    <t>finPNLCh1Prod4Slot3MachExp</t>
  </si>
  <si>
    <t>finPNLCh1Prod4Slot3DeprExp</t>
  </si>
  <si>
    <t>finPNLCh1Prod4Slot3TotalCOGs</t>
  </si>
  <si>
    <t>finPNLCh1Prod4Slot3GP</t>
  </si>
  <si>
    <t>finPNLCh1Prod4Slot3GM</t>
  </si>
  <si>
    <t>finPNLCh1Prod4Slot3LogExp</t>
  </si>
  <si>
    <t>finPNLCh1Prod4Slot3GPaL</t>
  </si>
  <si>
    <t>finPNLCh1Prod4Slot3GPaLMargin</t>
  </si>
  <si>
    <t>finPNLCh2Prod1Slot1TotalRev</t>
  </si>
  <si>
    <t>finPNLCh2Prod1Slot1MatExp</t>
  </si>
  <si>
    <t>finPNLCh2Prod1Slot1LabourExp</t>
  </si>
  <si>
    <t>finPNLCh2Prod1Slot1MachExp</t>
  </si>
  <si>
    <t>finPNLCh2Prod1Slot1DeprExp</t>
  </si>
  <si>
    <t>finPNLCh2Prod1Slot1TotalCOGs</t>
  </si>
  <si>
    <t>finPNLCh2Prod1Slot1GP</t>
  </si>
  <si>
    <t>finPNLCh2Prod1Slot1GM</t>
  </si>
  <si>
    <t>finPNLCh2Prod1Slot1LogExp</t>
  </si>
  <si>
    <t>finPNLCh2Prod1Slot1GPaL</t>
  </si>
  <si>
    <t>finPNLCh2Prod1Slot1GPaLMargin</t>
  </si>
  <si>
    <t>finPNLCh2Prod1Slot2TotalRev</t>
  </si>
  <si>
    <t>finPNLCh2Prod1Slot2MatExp</t>
  </si>
  <si>
    <t>finPNLCh2Prod1Slot2LabourExp</t>
  </si>
  <si>
    <t>finPNLCh2Prod1Slot2MachExp</t>
  </si>
  <si>
    <t>finPNLCh2Prod1Slot2DeprExp</t>
  </si>
  <si>
    <t>finPNLCh2Prod1Slot2TotalCOGs</t>
  </si>
  <si>
    <t>finPNLCh2Prod1Slot2GP</t>
  </si>
  <si>
    <t>finPNLCh2Prod1Slot2GM</t>
  </si>
  <si>
    <t>finPNLCh2Prod1Slot2LogExp</t>
  </si>
  <si>
    <t>finPNLCh2Prod1Slot2GPaL</t>
  </si>
  <si>
    <t>finPNLCh2Prod1Slot2GPaLMargin</t>
  </si>
  <si>
    <t>finPNLCh2Prod1Slot3TotalRev</t>
  </si>
  <si>
    <t>finPNLCh2Prod1Slot3MatExp</t>
  </si>
  <si>
    <t>finPNLCh2Prod1Slot3LabourExp</t>
  </si>
  <si>
    <t>finPNLCh2Prod1Slot3MachExp</t>
  </si>
  <si>
    <t>finPNLCh2Prod1Slot3DeprExp</t>
  </si>
  <si>
    <t>finPNLCh2Prod1Slot3TotalCOGs</t>
  </si>
  <si>
    <t>finPNLCh2Prod1Slot3GP</t>
  </si>
  <si>
    <t>finPNLCh2Prod1Slot3GM</t>
  </si>
  <si>
    <t>finPNLCh2Prod1Slot3LogExp</t>
  </si>
  <si>
    <t>finPNLCh2Prod1Slot3GPaL</t>
  </si>
  <si>
    <t>finPNLCh2Prod1Slot3GPaLMargin</t>
  </si>
  <si>
    <t>finPNLCh2Prod2Slot1TotalRev</t>
  </si>
  <si>
    <t>finPNLCh2Prod2Slot1MatExp</t>
  </si>
  <si>
    <t>finPNLCh2Prod2Slot1LabourExp</t>
  </si>
  <si>
    <t>finPNLCh2Prod2Slot1MachExp</t>
  </si>
  <si>
    <t>finPNLCh2Prod2Slot1DeprExp</t>
  </si>
  <si>
    <t>finPNLCh2Prod2Slot1TotalCOGs</t>
  </si>
  <si>
    <t>finPNLCh2Prod2Slot1GP</t>
  </si>
  <si>
    <t>finPNLCh2Prod2Slot1GM</t>
  </si>
  <si>
    <t>finPNLCh2Prod2Slot1LogExp</t>
  </si>
  <si>
    <t>finPNLCh2Prod2Slot1GPaL</t>
  </si>
  <si>
    <t>finPNLCh2Prod2Slot1GPaLMargin</t>
  </si>
  <si>
    <t>finPNLCh2Prod2Slot2TotalRev</t>
  </si>
  <si>
    <t>finPNLCh2Prod2Slot2MatExp</t>
  </si>
  <si>
    <t>finPNLCh2Prod2Slot2LabourExp</t>
  </si>
  <si>
    <t>finPNLCh2Prod2Slot2MachExp</t>
  </si>
  <si>
    <t>finPNLCh2Prod2Slot2DeprExp</t>
  </si>
  <si>
    <t>finPNLCh2Prod2Slot2TotalCOGs</t>
  </si>
  <si>
    <t>finPNLCh2Prod2Slot2GP</t>
  </si>
  <si>
    <t>finPNLCh2Prod2Slot2GM</t>
  </si>
  <si>
    <t>finPNLCh2Prod2Slot2LogExp</t>
  </si>
  <si>
    <t>finPNLCh2Prod2Slot2GPaL</t>
  </si>
  <si>
    <t>finPNLCh2Prod2Slot2GPaLMargin</t>
  </si>
  <si>
    <t>finPNLCh2Prod2Slot3TotalRev</t>
  </si>
  <si>
    <t>finPNLCh2Prod2Slot3MatExp</t>
  </si>
  <si>
    <t>finPNLCh2Prod2Slot3LabourExp</t>
  </si>
  <si>
    <t>finPNLCh2Prod2Slot3MachExp</t>
  </si>
  <si>
    <t>finPNLCh2Prod2Slot3DeprExp</t>
  </si>
  <si>
    <t>finPNLCh2Prod2Slot3TotalCOGs</t>
  </si>
  <si>
    <t>finPNLCh2Prod2Slot3GP</t>
  </si>
  <si>
    <t>finPNLCh2Prod2Slot3GM</t>
  </si>
  <si>
    <t>finPNLCh2Prod2Slot3LogExp</t>
  </si>
  <si>
    <t>finPNLCh2Prod2Slot3GPaL</t>
  </si>
  <si>
    <t>finPNLCh2Prod2Slot3GPaLMargin</t>
  </si>
  <si>
    <t>finPNLCh2Prod3Slot1TotalRev</t>
  </si>
  <si>
    <t>finPNLCh2Prod3Slot1MatExp</t>
  </si>
  <si>
    <t>finPNLCh2Prod3Slot1LabourExp</t>
  </si>
  <si>
    <t>finPNLCh2Prod3Slot1MachExp</t>
  </si>
  <si>
    <t>finPNLCh2Prod3Slot1DeprExp</t>
  </si>
  <si>
    <t>finPNLCh2Prod3Slot1TotalCOGs</t>
  </si>
  <si>
    <t>finPNLCh2Prod3Slot1GP</t>
  </si>
  <si>
    <t>finPNLCh2Prod3Slot1GM</t>
  </si>
  <si>
    <t>finPNLCh2Prod3Slot1LogExp</t>
  </si>
  <si>
    <t>finPNLCh2Prod3Slot1GPaL</t>
  </si>
  <si>
    <t>finPNLCh2Prod3Slot1GPaLMargin</t>
  </si>
  <si>
    <t>finPNLCh2Prod3Slot2TotalRev</t>
  </si>
  <si>
    <t>finPNLCh2Prod3Slot2MatExp</t>
  </si>
  <si>
    <t>finPNLCh2Prod3Slot2LabourExp</t>
  </si>
  <si>
    <t>finPNLCh2Prod3Slot2MachExp</t>
  </si>
  <si>
    <t>finPNLCh2Prod3Slot2DeprExp</t>
  </si>
  <si>
    <t>finPNLCh2Prod3Slot2TotalCOGs</t>
  </si>
  <si>
    <t>finPNLCh2Prod3Slot2GP</t>
  </si>
  <si>
    <t>finPNLCh2Prod3Slot2GM</t>
  </si>
  <si>
    <t>finPNLCh2Prod3Slot2LogExp</t>
  </si>
  <si>
    <t>finPNLCh2Prod3Slot2GPaL</t>
  </si>
  <si>
    <t>finPNLCh2Prod3Slot2GPaLMargin</t>
  </si>
  <si>
    <t>finPNLCh2Prod3Slot3TotalRev</t>
  </si>
  <si>
    <t>finPNLCh2Prod3Slot3MatExp</t>
  </si>
  <si>
    <t>finPNLCh2Prod3Slot3LabourExp</t>
  </si>
  <si>
    <t>finPNLCh2Prod3Slot3MachExp</t>
  </si>
  <si>
    <t>finPNLCh2Prod3Slot3DeprExp</t>
  </si>
  <si>
    <t>finPNLCh2Prod3Slot3TotalCOGs</t>
  </si>
  <si>
    <t>finPNLCh2Prod3Slot3GP</t>
  </si>
  <si>
    <t>finPNLCh2Prod3Slot3GM</t>
  </si>
  <si>
    <t>finPNLCh2Prod3Slot3LogExp</t>
  </si>
  <si>
    <t>finPNLCh2Prod3Slot3GPaL</t>
  </si>
  <si>
    <t>finPNLCh2Prod3Slot3GPaLMargin</t>
  </si>
  <si>
    <t>finPNLCh2Prod4Slot1TotalRev</t>
  </si>
  <si>
    <t>finPNLCh2Prod4Slot1MatExp</t>
  </si>
  <si>
    <t>finPNLCh2Prod4Slot1LabourExp</t>
  </si>
  <si>
    <t>finPNLCh2Prod4Slot1MachExp</t>
  </si>
  <si>
    <t>finPNLCh2Prod4Slot1DeprExp</t>
  </si>
  <si>
    <t>finPNLCh2Prod4Slot1TotalCOGs</t>
  </si>
  <si>
    <t>finPNLCh2Prod4Slot1GP</t>
  </si>
  <si>
    <t>finPNLCh2Prod4Slot1GM</t>
  </si>
  <si>
    <t>finPNLCh2Prod4Slot1LogExp</t>
  </si>
  <si>
    <t>finPNLCh2Prod4Slot1GPaL</t>
  </si>
  <si>
    <t>finPNLCh2Prod4Slot1GPaLMargin</t>
  </si>
  <si>
    <t>finPNLCh2Prod4Slot2TotalRev</t>
  </si>
  <si>
    <t>finPNLCh2Prod4Slot2MatExp</t>
  </si>
  <si>
    <t>finPNLCh2Prod4Slot2LabourExp</t>
  </si>
  <si>
    <t>finPNLCh2Prod4Slot2MachExp</t>
  </si>
  <si>
    <t>finPNLCh2Prod4Slot2DeprExp</t>
  </si>
  <si>
    <t>finPNLCh2Prod4Slot2TotalCOGs</t>
  </si>
  <si>
    <t>finPNLCh2Prod4Slot2GP</t>
  </si>
  <si>
    <t>finPNLCh2Prod4Slot2GM</t>
  </si>
  <si>
    <t>finPNLCh2Prod4Slot2LogExp</t>
  </si>
  <si>
    <t>finPNLCh2Prod4Slot2GPaL</t>
  </si>
  <si>
    <t>finPNLCh2Prod4Slot2GPaLMargin</t>
  </si>
  <si>
    <t>finPNLCh2Prod4Slot3TotalRev</t>
  </si>
  <si>
    <t>finPNLCh2Prod4Slot3MatExp</t>
  </si>
  <si>
    <t>finPNLCh2Prod4Slot3LabourExp</t>
  </si>
  <si>
    <t>finPNLCh2Prod4Slot3MachExp</t>
  </si>
  <si>
    <t>finPNLCh2Prod4Slot3DeprExp</t>
  </si>
  <si>
    <t>finPNLCh2Prod4Slot3TotalCOGs</t>
  </si>
  <si>
    <t>finPNLCh2Prod4Slot3GP</t>
  </si>
  <si>
    <t>finPNLCh2Prod4Slot3GM</t>
  </si>
  <si>
    <t>finPNLCh2Prod4Slot3LogExp</t>
  </si>
  <si>
    <t>finPNLCh2Prod4Slot3GPaL</t>
  </si>
  <si>
    <t>finPNLCh2Prod4Slot3GPaLMargin</t>
  </si>
  <si>
    <t>finPNLCh3Prod1Slot1TotalRev</t>
  </si>
  <si>
    <t>finPNLCh3Prod1Slot1MatExp</t>
  </si>
  <si>
    <t>finPNLCh3Prod1Slot1LabourExp</t>
  </si>
  <si>
    <t>finPNLCh3Prod1Slot1MachExp</t>
  </si>
  <si>
    <t>finPNLCh3Prod1Slot1DeprExp</t>
  </si>
  <si>
    <t>finPNLCh3Prod1Slot1TotalCOGs</t>
  </si>
  <si>
    <t>finPNLCh3Prod1Slot1GP</t>
  </si>
  <si>
    <t>finPNLCh3Prod1Slot1GM</t>
  </si>
  <si>
    <t>finPNLCh3Prod1Slot1LogExp</t>
  </si>
  <si>
    <t>finPNLCh3Prod1Slot1GPaL</t>
  </si>
  <si>
    <t>finPNLCh3Prod1Slot1GPaLMargin</t>
  </si>
  <si>
    <t>finPNLCh3Prod1Slot2TotalRev</t>
  </si>
  <si>
    <t>finPNLCh3Prod1Slot2MatExp</t>
  </si>
  <si>
    <t>finPNLCh3Prod1Slot2LabourExp</t>
  </si>
  <si>
    <t>finPNLCh3Prod1Slot2MachExp</t>
  </si>
  <si>
    <t>finPNLCh3Prod1Slot2DeprExp</t>
  </si>
  <si>
    <t>finPNLCh3Prod1Slot2TotalCOGs</t>
  </si>
  <si>
    <t>finPNLCh3Prod1Slot2GP</t>
  </si>
  <si>
    <t>finPNLCh3Prod1Slot2GM</t>
  </si>
  <si>
    <t>finPNLCh3Prod1Slot2LogExp</t>
  </si>
  <si>
    <t>finPNLCh3Prod1Slot2GPaL</t>
  </si>
  <si>
    <t>finPNLCh3Prod1Slot2GPaLMargin</t>
  </si>
  <si>
    <t>finPNLCh3Prod1Slot3TotalRev</t>
  </si>
  <si>
    <t>finPNLCh3Prod1Slot3MatExp</t>
  </si>
  <si>
    <t>finPNLCh3Prod1Slot3LabourExp</t>
  </si>
  <si>
    <t>finPNLCh3Prod1Slot3MachExp</t>
  </si>
  <si>
    <t>finPNLCh3Prod1Slot3DeprExp</t>
  </si>
  <si>
    <t>finPNLCh3Prod1Slot3TotalCOGs</t>
  </si>
  <si>
    <t>finPNLCh3Prod1Slot3GP</t>
  </si>
  <si>
    <t>finPNLCh3Prod1Slot3GM</t>
  </si>
  <si>
    <t>finPNLCh3Prod1Slot3LogExp</t>
  </si>
  <si>
    <t>finPNLCh3Prod1Slot3GPaL</t>
  </si>
  <si>
    <t>finPNLCh3Prod1Slot3GPaLMargin</t>
  </si>
  <si>
    <t>finPNLCh3Prod2Slot1TotalRev</t>
  </si>
  <si>
    <t>finPNLCh3Prod2Slot1MatExp</t>
  </si>
  <si>
    <t>finPNLCh3Prod2Slot1LabourExp</t>
  </si>
  <si>
    <t>finPNLCh3Prod2Slot1MachExp</t>
  </si>
  <si>
    <t>finPNLCh3Prod2Slot1DeprExp</t>
  </si>
  <si>
    <t>finPNLCh3Prod2Slot1TotalCOGs</t>
  </si>
  <si>
    <t>finPNLCh3Prod2Slot1GP</t>
  </si>
  <si>
    <t>finPNLCh3Prod2Slot1GM</t>
  </si>
  <si>
    <t>finPNLCh3Prod2Slot1LogExp</t>
  </si>
  <si>
    <t>finPNLCh3Prod2Slot1GPaL</t>
  </si>
  <si>
    <t>finPNLCh3Prod2Slot1GPaLMargin</t>
  </si>
  <si>
    <t>finPNLCh3Prod2Slot2TotalRev</t>
  </si>
  <si>
    <t>finPNLCh3Prod2Slot2MatExp</t>
  </si>
  <si>
    <t>finPNLCh3Prod2Slot2LabourExp</t>
  </si>
  <si>
    <t>finPNLCh3Prod2Slot2MachExp</t>
  </si>
  <si>
    <t>finPNLCh3Prod2Slot2DeprExp</t>
  </si>
  <si>
    <t>finPNLCh3Prod2Slot2TotalCOGs</t>
  </si>
  <si>
    <t>finPNLCh3Prod2Slot2GP</t>
  </si>
  <si>
    <t>finPNLCh3Prod2Slot2GM</t>
  </si>
  <si>
    <t>finPNLCh3Prod2Slot2LogExp</t>
  </si>
  <si>
    <t>finPNLCh3Prod2Slot2GPaL</t>
  </si>
  <si>
    <t>finPNLCh3Prod2Slot2GPaLMargin</t>
  </si>
  <si>
    <t>finPNLCh3Prod2Slot3TotalRev</t>
  </si>
  <si>
    <t>finPNLCh3Prod2Slot3MatExp</t>
  </si>
  <si>
    <t>finPNLCh3Prod2Slot3LabourExp</t>
  </si>
  <si>
    <t>finPNLCh3Prod2Slot3MachExp</t>
  </si>
  <si>
    <t>finPNLCh3Prod2Slot3DeprExp</t>
  </si>
  <si>
    <t>finPNLCh3Prod2Slot3TotalCOGs</t>
  </si>
  <si>
    <t>finPNLCh3Prod2Slot3GP</t>
  </si>
  <si>
    <t>finPNLCh3Prod2Slot3GM</t>
  </si>
  <si>
    <t>finPNLCh3Prod2Slot3LogExp</t>
  </si>
  <si>
    <t>finPNLCh3Prod2Slot3GPaL</t>
  </si>
  <si>
    <t>finPNLCh3Prod2Slot3GPaLMargin</t>
  </si>
  <si>
    <t>finPNLCh3Prod3Slot1TotalRev</t>
  </si>
  <si>
    <t>finPNLCh3Prod3Slot1MatExp</t>
  </si>
  <si>
    <t>finPNLCh3Prod3Slot1LabourExp</t>
  </si>
  <si>
    <t>finPNLCh3Prod3Slot1MachExp</t>
  </si>
  <si>
    <t>finPNLCh3Prod3Slot1DeprExp</t>
  </si>
  <si>
    <t>finPNLCh3Prod3Slot1TotalCOGs</t>
  </si>
  <si>
    <t>finPNLCh3Prod3Slot1GP</t>
  </si>
  <si>
    <t>finPNLCh3Prod3Slot1GM</t>
  </si>
  <si>
    <t>finPNLCh3Prod3Slot1LogExp</t>
  </si>
  <si>
    <t>finPNLCh3Prod3Slot1GPaL</t>
  </si>
  <si>
    <t>finPNLCh3Prod3Slot1GPaLMargin</t>
  </si>
  <si>
    <t>finPNLCh3Prod3Slot2TotalRev</t>
  </si>
  <si>
    <t>finPNLCh3Prod3Slot2MatExp</t>
  </si>
  <si>
    <t>finPNLCh3Prod3Slot2LabourExp</t>
  </si>
  <si>
    <t>finPNLCh3Prod3Slot2MachExp</t>
  </si>
  <si>
    <t>finPNLCh3Prod3Slot2DeprExp</t>
  </si>
  <si>
    <t>finPNLCh3Prod3Slot2TotalCOGs</t>
  </si>
  <si>
    <t>finPNLCh3Prod3Slot2GP</t>
  </si>
  <si>
    <t>finPNLCh3Prod3Slot2GM</t>
  </si>
  <si>
    <t>finPNLCh3Prod3Slot2LogExp</t>
  </si>
  <si>
    <t>finPNLCh3Prod3Slot2GPaL</t>
  </si>
  <si>
    <t>finPNLCh3Prod3Slot2GPaLMargin</t>
  </si>
  <si>
    <t>finPNLCh3Prod3Slot3TotalRev</t>
  </si>
  <si>
    <t>finPNLCh3Prod3Slot3MatExp</t>
  </si>
  <si>
    <t>finPNLCh3Prod3Slot3LabourExp</t>
  </si>
  <si>
    <t>finPNLCh3Prod3Slot3MachExp</t>
  </si>
  <si>
    <t>finPNLCh3Prod3Slot3DeprExp</t>
  </si>
  <si>
    <t>finPNLCh3Prod3Slot3TotalCOGs</t>
  </si>
  <si>
    <t>finPNLCh3Prod3Slot3GP</t>
  </si>
  <si>
    <t>finPNLCh3Prod3Slot3GM</t>
  </si>
  <si>
    <t>finPNLCh3Prod3Slot3LogExp</t>
  </si>
  <si>
    <t>finPNLCh3Prod3Slot3GPaL</t>
  </si>
  <si>
    <t>finPNLCh3Prod3Slot3GPaLMargin</t>
  </si>
  <si>
    <t>finPNLCh3Prod4Slot1TotalRev</t>
  </si>
  <si>
    <t>finPNLCh3Prod4Slot1MatExp</t>
  </si>
  <si>
    <t>finPNLCh3Prod4Slot1LabourExp</t>
  </si>
  <si>
    <t>finPNLCh3Prod4Slot1MachExp</t>
  </si>
  <si>
    <t>finPNLCh3Prod4Slot1DeprExp</t>
  </si>
  <si>
    <t>finPNLCh3Prod4Slot1TotalCOGs</t>
  </si>
  <si>
    <t>finPNLCh3Prod4Slot1GP</t>
  </si>
  <si>
    <t>finPNLCh3Prod4Slot1GM</t>
  </si>
  <si>
    <t>finPNLCh3Prod4Slot1LogExp</t>
  </si>
  <si>
    <t>finPNLCh3Prod4Slot1GPaL</t>
  </si>
  <si>
    <t>finPNLCh3Prod4Slot1GPaLMargin</t>
  </si>
  <si>
    <t>finPNLCh3Prod4Slot2TotalRev</t>
  </si>
  <si>
    <t>finPNLCh3Prod4Slot2MatExp</t>
  </si>
  <si>
    <t>finPNLCh3Prod4Slot2LabourExp</t>
  </si>
  <si>
    <t>finPNLCh3Prod4Slot2MachExp</t>
  </si>
  <si>
    <t>finPNLCh3Prod4Slot2DeprExp</t>
  </si>
  <si>
    <t>finPNLCh3Prod4Slot2TotalCOGs</t>
  </si>
  <si>
    <t>finPNLCh3Prod4Slot2GP</t>
  </si>
  <si>
    <t>finPNLCh3Prod4Slot2GM</t>
  </si>
  <si>
    <t>finPNLCh3Prod4Slot2LogExp</t>
  </si>
  <si>
    <t>finPNLCh3Prod4Slot2GPaL</t>
  </si>
  <si>
    <t>finPNLCh3Prod4Slot2GPaLMargin</t>
  </si>
  <si>
    <t>finPNLCh3Prod4Slot3TotalRev</t>
  </si>
  <si>
    <t>finPNLCh3Prod4Slot3MatExp</t>
  </si>
  <si>
    <t>finPNLCh3Prod4Slot3LabourExp</t>
  </si>
  <si>
    <t>finPNLCh3Prod4Slot3MachExp</t>
  </si>
  <si>
    <t>finPNLCh3Prod4Slot3DeprExp</t>
  </si>
  <si>
    <t>finPNLCh3Prod4Slot3TotalCOGs</t>
  </si>
  <si>
    <t>finPNLCh3Prod4Slot3GP</t>
  </si>
  <si>
    <t>finPNLCh3Prod4Slot3GM</t>
  </si>
  <si>
    <t>finPNLCh3Prod4Slot3LogExp</t>
  </si>
  <si>
    <t>finPNLCh3Prod4Slot3GPaL</t>
  </si>
  <si>
    <t>finPNLCh3Prod4Slot3GPaLMargin</t>
  </si>
  <si>
    <t>finPNLCh4Prod1Slot1TotalRev</t>
  </si>
  <si>
    <t>finPNLCh4Prod1Slot1MatExp</t>
  </si>
  <si>
    <t>finPNLCh4Prod1Slot1LabourExp</t>
  </si>
  <si>
    <t>finPNLCh4Prod1Slot1MachExp</t>
  </si>
  <si>
    <t>finPNLCh4Prod1Slot1DeprExp</t>
  </si>
  <si>
    <t>finPNLCh4Prod1Slot1TotalCOGs</t>
  </si>
  <si>
    <t>finPNLCh4Prod1Slot1GP</t>
  </si>
  <si>
    <t>finPNLCh4Prod1Slot1GM</t>
  </si>
  <si>
    <t>finPNLCh4Prod1Slot1LogExp</t>
  </si>
  <si>
    <t>finPNLCh4Prod1Slot1GPaL</t>
  </si>
  <si>
    <t>finPNLCh4Prod1Slot1GPaLMargin</t>
  </si>
  <si>
    <t>finPNLCh4Prod1Slot2TotalRev</t>
  </si>
  <si>
    <t>finPNLCh4Prod1Slot2MatExp</t>
  </si>
  <si>
    <t>finPNLCh4Prod1Slot2LabourExp</t>
  </si>
  <si>
    <t>finPNLCh4Prod1Slot2MachExp</t>
  </si>
  <si>
    <t>finPNLCh4Prod1Slot2DeprExp</t>
  </si>
  <si>
    <t>finPNLCh4Prod1Slot2TotalCOGs</t>
  </si>
  <si>
    <t>finPNLCh4Prod1Slot2GP</t>
  </si>
  <si>
    <t>finPNLCh4Prod1Slot2GM</t>
  </si>
  <si>
    <t>finPNLCh4Prod1Slot2LogExp</t>
  </si>
  <si>
    <t>finPNLCh4Prod1Slot2GPaL</t>
  </si>
  <si>
    <t>finPNLCh4Prod1Slot2GPaLMargin</t>
  </si>
  <si>
    <t>finPNLCh4Prod1Slot3TotalRev</t>
  </si>
  <si>
    <t>finPNLCh4Prod1Slot3MatExp</t>
  </si>
  <si>
    <t>finPNLCh4Prod1Slot3LabourExp</t>
  </si>
  <si>
    <t>finPNLCh4Prod1Slot3MachExp</t>
  </si>
  <si>
    <t>finPNLCh4Prod1Slot3DeprExp</t>
  </si>
  <si>
    <t>finPNLCh4Prod1Slot3TotalCOGs</t>
  </si>
  <si>
    <t>finPNLCh4Prod1Slot3GP</t>
  </si>
  <si>
    <t>finPNLCh4Prod1Slot3GM</t>
  </si>
  <si>
    <t>finPNLCh4Prod1Slot3LogExp</t>
  </si>
  <si>
    <t>finPNLCh4Prod1Slot3GPaL</t>
  </si>
  <si>
    <t>finPNLCh4Prod1Slot3GPaLMargin</t>
  </si>
  <si>
    <t>finPNLCh4Prod2Slot1TotalRev</t>
  </si>
  <si>
    <t>finPNLCh4Prod2Slot1MatExp</t>
  </si>
  <si>
    <t>finPNLCh4Prod2Slot1LabourExp</t>
  </si>
  <si>
    <t>finPNLCh4Prod2Slot1MachExp</t>
  </si>
  <si>
    <t>finPNLCh4Prod2Slot1DeprExp</t>
  </si>
  <si>
    <t>finPNLCh4Prod2Slot1TotalCOGs</t>
  </si>
  <si>
    <t>finPNLCh4Prod2Slot1GP</t>
  </si>
  <si>
    <t>finPNLCh4Prod2Slot1GM</t>
  </si>
  <si>
    <t>finPNLCh4Prod2Slot1LogExp</t>
  </si>
  <si>
    <t>finPNLCh4Prod2Slot1GPaL</t>
  </si>
  <si>
    <t>finPNLCh4Prod2Slot1GPaLMargin</t>
  </si>
  <si>
    <t>finPNLCh4Prod2Slot2TotalRev</t>
  </si>
  <si>
    <t>finPNLCh4Prod2Slot2MatExp</t>
  </si>
  <si>
    <t>finPNLCh4Prod2Slot2LabourExp</t>
  </si>
  <si>
    <t>finPNLCh4Prod2Slot2MachExp</t>
  </si>
  <si>
    <t>finPNLCh4Prod2Slot2DeprExp</t>
  </si>
  <si>
    <t>finPNLCh4Prod2Slot2TotalCOGs</t>
  </si>
  <si>
    <t>finPNLCh4Prod2Slot2GP</t>
  </si>
  <si>
    <t>finPNLCh4Prod2Slot2GM</t>
  </si>
  <si>
    <t>finPNLCh4Prod2Slot2LogExp</t>
  </si>
  <si>
    <t>finPNLCh4Prod2Slot2GPaL</t>
  </si>
  <si>
    <t>finPNLCh4Prod2Slot2GPaLMargin</t>
  </si>
  <si>
    <t>finPNLCh4Prod2Slot3TotalRev</t>
  </si>
  <si>
    <t>finPNLCh4Prod2Slot3MatExp</t>
  </si>
  <si>
    <t>finPNLCh4Prod2Slot3LabourExp</t>
  </si>
  <si>
    <t>finPNLCh4Prod2Slot3MachExp</t>
  </si>
  <si>
    <t>finPNLCh4Prod2Slot3DeprExp</t>
  </si>
  <si>
    <t>finPNLCh4Prod2Slot3TotalCOGs</t>
  </si>
  <si>
    <t>finPNLCh4Prod2Slot3GP</t>
  </si>
  <si>
    <t>finPNLCh4Prod2Slot3GM</t>
  </si>
  <si>
    <t>finPNLCh4Prod2Slot3LogExp</t>
  </si>
  <si>
    <t>finPNLCh4Prod2Slot3GPaL</t>
  </si>
  <si>
    <t>finPNLCh4Prod2Slot3GPaLMargin</t>
  </si>
  <si>
    <t>finPNLCh4Prod3Slot1TotalRev</t>
  </si>
  <si>
    <t>finPNLCh4Prod3Slot1MatExp</t>
  </si>
  <si>
    <t>finPNLCh4Prod3Slot1LabourExp</t>
  </si>
  <si>
    <t>finPNLCh4Prod3Slot1MachExp</t>
  </si>
  <si>
    <t>finPNLCh4Prod3Slot1DeprExp</t>
  </si>
  <si>
    <t>finPNLCh4Prod3Slot1TotalCOGs</t>
  </si>
  <si>
    <t>finPNLCh4Prod3Slot1GP</t>
  </si>
  <si>
    <t>finPNLCh4Prod3Slot1GM</t>
  </si>
  <si>
    <t>finPNLCh4Prod3Slot1LogExp</t>
  </si>
  <si>
    <t>finPNLCh4Prod3Slot1GPaL</t>
  </si>
  <si>
    <t>finPNLCh4Prod3Slot1GPaLMargin</t>
  </si>
  <si>
    <t>finPNLCh4Prod3Slot2TotalRev</t>
  </si>
  <si>
    <t>finPNLCh4Prod3Slot2MatExp</t>
  </si>
  <si>
    <t>finPNLCh4Prod3Slot2LabourExp</t>
  </si>
  <si>
    <t>finPNLCh4Prod3Slot2MachExp</t>
  </si>
  <si>
    <t>finPNLCh4Prod3Slot2DeprExp</t>
  </si>
  <si>
    <t>finPNLCh4Prod3Slot2TotalCOGs</t>
  </si>
  <si>
    <t>finPNLCh4Prod3Slot2GP</t>
  </si>
  <si>
    <t>finPNLCh4Prod3Slot2GM</t>
  </si>
  <si>
    <t>finPNLCh4Prod3Slot2LogExp</t>
  </si>
  <si>
    <t>finPNLCh4Prod3Slot2GPaL</t>
  </si>
  <si>
    <t>finPNLCh4Prod3Slot2GPaLMargin</t>
  </si>
  <si>
    <t>finPNLCh4Prod3Slot3TotalRev</t>
  </si>
  <si>
    <t>finPNLCh4Prod3Slot3MatExp</t>
  </si>
  <si>
    <t>finPNLCh4Prod3Slot3LabourExp</t>
  </si>
  <si>
    <t>finPNLCh4Prod3Slot3MachExp</t>
  </si>
  <si>
    <t>finPNLCh4Prod3Slot3DeprExp</t>
  </si>
  <si>
    <t>finPNLCh4Prod3Slot3TotalCOGs</t>
  </si>
  <si>
    <t>finPNLCh4Prod3Slot3GP</t>
  </si>
  <si>
    <t>finPNLCh4Prod3Slot3GM</t>
  </si>
  <si>
    <t>finPNLCh4Prod3Slot3LogExp</t>
  </si>
  <si>
    <t>finPNLCh4Prod3Slot3GPaL</t>
  </si>
  <si>
    <t>finPNLCh4Prod3Slot3GPaLMargin</t>
  </si>
  <si>
    <t>finPNLCh4Prod4Slot1TotalRev</t>
  </si>
  <si>
    <t>finPNLCh4Prod4Slot1MatExp</t>
  </si>
  <si>
    <t>finPNLCh4Prod4Slot1LabourExp</t>
  </si>
  <si>
    <t>finPNLCh4Prod4Slot1MachExp</t>
  </si>
  <si>
    <t>finPNLCh4Prod4Slot1DeprExp</t>
  </si>
  <si>
    <t>finPNLCh4Prod4Slot1TotalCOGs</t>
  </si>
  <si>
    <t>finPNLCh4Prod4Slot1GP</t>
  </si>
  <si>
    <t>finPNLCh4Prod4Slot1GM</t>
  </si>
  <si>
    <t>finPNLCh4Prod4Slot1LogExp</t>
  </si>
  <si>
    <t>finPNLCh4Prod4Slot1GPaL</t>
  </si>
  <si>
    <t>finPNLCh4Prod4Slot1GPaLMargin</t>
  </si>
  <si>
    <t>finPNLCh4Prod4Slot2TotalRev</t>
  </si>
  <si>
    <t>finPNLCh4Prod4Slot2MatExp</t>
  </si>
  <si>
    <t>finPNLCh4Prod4Slot2LabourExp</t>
  </si>
  <si>
    <t>finPNLCh4Prod4Slot2MachExp</t>
  </si>
  <si>
    <t>finPNLCh4Prod4Slot2DeprExp</t>
  </si>
  <si>
    <t>finPNLCh4Prod4Slot2TotalCOGs</t>
  </si>
  <si>
    <t>finPNLCh4Prod4Slot2GP</t>
  </si>
  <si>
    <t>finPNLCh4Prod4Slot2GM</t>
  </si>
  <si>
    <t>finPNLCh4Prod4Slot2LogExp</t>
  </si>
  <si>
    <t>finPNLCh4Prod4Slot2GPaL</t>
  </si>
  <si>
    <t>finPNLCh4Prod4Slot2GPaLMargin</t>
  </si>
  <si>
    <t>finPNLCh4Prod4Slot3TotalRev</t>
  </si>
  <si>
    <t>finPNLCh4Prod4Slot3MatExp</t>
  </si>
  <si>
    <t>finPNLCh4Prod4Slot3LabourExp</t>
  </si>
  <si>
    <t>finPNLCh4Prod4Slot3MachExp</t>
  </si>
  <si>
    <t>finPNLCh4Prod4Slot3DeprExp</t>
  </si>
  <si>
    <t>finPNLCh4Prod4Slot3TotalCOGs</t>
  </si>
  <si>
    <t>finPNLCh4Prod4Slot3GP</t>
  </si>
  <si>
    <t>finPNLCh4Prod4Slot3GM</t>
  </si>
  <si>
    <t>finPNLCh4Prod4Slot3LogExp</t>
  </si>
  <si>
    <t>finPNLCh4Prod4Slot3GPaL</t>
  </si>
  <si>
    <t>finPNLCh4Prod4Slot3GPaLMargin</t>
  </si>
  <si>
    <t>finPNLCh1Prod1Slot1Turn</t>
  </si>
  <si>
    <t>finPNLCh1Prod1Slot1Excise</t>
  </si>
  <si>
    <t>finPNLCh1Prod1Slot1GrossSales</t>
  </si>
  <si>
    <t>finPNLCh1Prod1Slot1Discounts</t>
  </si>
  <si>
    <t>finPNLCh1Prod1Slot2Turn</t>
  </si>
  <si>
    <t>finPNLCh1Prod1Slot2Excise</t>
  </si>
  <si>
    <t>finPNLCh1Prod1Slot2GrossSales</t>
  </si>
  <si>
    <t>finPNLCh1Prod1Slot2Discounts</t>
  </si>
  <si>
    <t>finPNLCh1Prod1Slot3Turn</t>
  </si>
  <si>
    <t>finPNLCh1Prod1Slot3Excise</t>
  </si>
  <si>
    <t>finPNLCh1Prod1Slot3GrossSales</t>
  </si>
  <si>
    <t>finPNLCh1Prod1Slot3Discounts</t>
  </si>
  <si>
    <t>finPNLCh1Prod2Slot1Turn</t>
  </si>
  <si>
    <t>finPNLCh1Prod2Slot1Excise</t>
  </si>
  <si>
    <t>finPNLCh1Prod2Slot1GrossSales</t>
  </si>
  <si>
    <t>finPNLCh1Prod2Slot1Discounts</t>
  </si>
  <si>
    <t>finPNLCh1Prod2Slot2Turn</t>
  </si>
  <si>
    <t>finPNLCh1Prod2Slot2Excise</t>
  </si>
  <si>
    <t>finPNLCh1Prod2Slot2GrossSales</t>
  </si>
  <si>
    <t>finPNLCh1Prod2Slot2Discounts</t>
  </si>
  <si>
    <t>finPNLCh1Prod2Slot3Turn</t>
  </si>
  <si>
    <t>finPNLCh1Prod2Slot3Excise</t>
  </si>
  <si>
    <t>finPNLCh1Prod2Slot3GrossSales</t>
  </si>
  <si>
    <t>finPNLCh1Prod2Slot3Discounts</t>
  </si>
  <si>
    <t>finPNLCh1Prod3Slot1Turn</t>
  </si>
  <si>
    <t>finPNLCh1Prod3Slot1Excise</t>
  </si>
  <si>
    <t>finPNLCh1Prod3Slot1GrossSales</t>
  </si>
  <si>
    <t>finPNLCh1Prod3Slot1Discounts</t>
  </si>
  <si>
    <t>finPNLCh1Prod3Slot2Turn</t>
  </si>
  <si>
    <t>finPNLCh1Prod3Slot2Excise</t>
  </si>
  <si>
    <t>finPNLCh1Prod3Slot2GrossSales</t>
  </si>
  <si>
    <t>finPNLCh1Prod3Slot2Discounts</t>
  </si>
  <si>
    <t>finPNLCh1Prod3Slot3Turn</t>
  </si>
  <si>
    <t>finPNLCh1Prod3Slot3Excise</t>
  </si>
  <si>
    <t>finPNLCh1Prod3Slot3GrossSales</t>
  </si>
  <si>
    <t>finPNLCh1Prod3Slot3Discounts</t>
  </si>
  <si>
    <t>finPNLCh1Prod4Slot3Turn</t>
  </si>
  <si>
    <t>finPNLCh1Prod4Slot3Excise</t>
  </si>
  <si>
    <t>finPNLCh1Prod4Slot3GrossSales</t>
  </si>
  <si>
    <t>finPNLCh1Prod4Slot3Discounts</t>
  </si>
  <si>
    <t>finPNLCh1Prod4Slot1Turn</t>
  </si>
  <si>
    <t>finPNLCh1Prod4Slot1Excise</t>
  </si>
  <si>
    <t>finPNLCh1Prod4Slot1GrossSales</t>
  </si>
  <si>
    <t>finPNLCh1Prod4Slot1Discounts</t>
  </si>
  <si>
    <t>finPNLCh1Prod4Slot2Turn</t>
  </si>
  <si>
    <t>finPNLCh1Prod4Slot2Excise</t>
  </si>
  <si>
    <t>finPNLCh1Prod4Slot2GrossSales</t>
  </si>
  <si>
    <t>finPNLCh1Prod4Slot2Discounts</t>
  </si>
  <si>
    <t>finPNLCh2Prod4Slot3Turn</t>
  </si>
  <si>
    <t>finPNLCh2Prod4Slot3Excise</t>
  </si>
  <si>
    <t>finPNLCh2Prod4Slot3GrossSales</t>
  </si>
  <si>
    <t>finPNLCh2Prod4Slot3Discounts</t>
  </si>
  <si>
    <t>finPNLCh2Prod1Slot3Turn</t>
  </si>
  <si>
    <t>finPNLCh2Prod1Slot3Excise</t>
  </si>
  <si>
    <t>finPNLCh2Prod1Slot3GrossSales</t>
  </si>
  <si>
    <t>finPNLCh2Prod1Slot3Discounts</t>
  </si>
  <si>
    <t>finPNLCh2Prod1Slot1Turn</t>
  </si>
  <si>
    <t>finPNLCh2Prod1Slot1Excise</t>
  </si>
  <si>
    <t>finPNLCh2Prod1Slot1GrossSales</t>
  </si>
  <si>
    <t>finPNLCh2Prod1Slot1Discounts</t>
  </si>
  <si>
    <t>finPNLCh2Prod1Slot2Turn</t>
  </si>
  <si>
    <t>finPNLCh2Prod1Slot2Excise</t>
  </si>
  <si>
    <t>finPNLCh2Prod1Slot2GrossSales</t>
  </si>
  <si>
    <t>finPNLCh2Prod1Slot2Discounts</t>
  </si>
  <si>
    <t>finPNLCh2Prod2Slot3Turn</t>
  </si>
  <si>
    <t>finPNLCh2Prod2Slot3Excise</t>
  </si>
  <si>
    <t>finPNLCh2Prod2Slot3GrossSales</t>
  </si>
  <si>
    <t>finPNLCh2Prod2Slot3Discounts</t>
  </si>
  <si>
    <t>finPNLCh2Prod2Slot1Turn</t>
  </si>
  <si>
    <t>finPNLCh2Prod2Slot1Excise</t>
  </si>
  <si>
    <t>finPNLCh2Prod2Slot1GrossSales</t>
  </si>
  <si>
    <t>finPNLCh2Prod2Slot1Discounts</t>
  </si>
  <si>
    <t>finPNLCh2Prod2Slot2Turn</t>
  </si>
  <si>
    <t>finPNLCh2Prod2Slot2Excise</t>
  </si>
  <si>
    <t>finPNLCh2Prod2Slot2GrossSales</t>
  </si>
  <si>
    <t>finPNLCh2Prod2Slot2Discounts</t>
  </si>
  <si>
    <t>finPNLCh2Prod3Slot3Turn</t>
  </si>
  <si>
    <t>finPNLCh2Prod3Slot3Excise</t>
  </si>
  <si>
    <t>finPNLCh2Prod3Slot3GrossSales</t>
  </si>
  <si>
    <t>finPNLCh2Prod3Slot3Discounts</t>
  </si>
  <si>
    <t>finPNLCh2Prod3Slot1Turn</t>
  </si>
  <si>
    <t>finPNLCh2Prod3Slot1Excise</t>
  </si>
  <si>
    <t>finPNLCh2Prod3Slot1GrossSales</t>
  </si>
  <si>
    <t>finPNLCh2Prod3Slot1Discounts</t>
  </si>
  <si>
    <t>finPNLCh2Prod3Slot2Turn</t>
  </si>
  <si>
    <t>finPNLCh2Prod3Slot2Excise</t>
  </si>
  <si>
    <t>finPNLCh2Prod3Slot2GrossSales</t>
  </si>
  <si>
    <t>finPNLCh2Prod3Slot2Discounts</t>
  </si>
  <si>
    <t>finPNLCh2Prod4Slot1Turn</t>
  </si>
  <si>
    <t>finPNLCh2Prod4Slot1Excise</t>
  </si>
  <si>
    <t>finPNLCh2Prod4Slot1GrossSales</t>
  </si>
  <si>
    <t>finPNLCh2Prod4Slot1Discounts</t>
  </si>
  <si>
    <t>finPNLCh2Prod4Slot2Turn</t>
  </si>
  <si>
    <t>finPNLCh2Prod4Slot2Excise</t>
  </si>
  <si>
    <t>finPNLCh2Prod4Slot2GrossSales</t>
  </si>
  <si>
    <t>finPNLCh2Prod4Slot2Discounts</t>
  </si>
  <si>
    <t>finPNLCh3Prod4Slot3Turn</t>
  </si>
  <si>
    <t>finPNLCh3Prod4Slot3Excise</t>
  </si>
  <si>
    <t>finPNLCh3Prod4Slot3GrossSales</t>
  </si>
  <si>
    <t>finPNLCh3Prod4Slot3Discounts</t>
  </si>
  <si>
    <t>finPNLCh3Prod1Slot3Turn</t>
  </si>
  <si>
    <t>finPNLCh3Prod1Slot3Excise</t>
  </si>
  <si>
    <t>finPNLCh3Prod1Slot3GrossSales</t>
  </si>
  <si>
    <t>finPNLCh3Prod1Slot3Discounts</t>
  </si>
  <si>
    <t>finPNLCh3Prod1Slot1Turn</t>
  </si>
  <si>
    <t>finPNLCh3Prod1Slot1Excise</t>
  </si>
  <si>
    <t>finPNLCh3Prod1Slot1GrossSales</t>
  </si>
  <si>
    <t>finPNLCh3Prod1Slot1Discounts</t>
  </si>
  <si>
    <t>finPNLCh3Prod1Slot2Turn</t>
  </si>
  <si>
    <t>finPNLCh3Prod1Slot2Excise</t>
  </si>
  <si>
    <t>finPNLCh3Prod1Slot2GrossSales</t>
  </si>
  <si>
    <t>finPNLCh3Prod1Slot2Discounts</t>
  </si>
  <si>
    <t>finPNLCh3Prod2Slot1Turn</t>
  </si>
  <si>
    <t>finPNLCh3Prod2Slot1Excise</t>
  </si>
  <si>
    <t>finPNLCh3Prod2Slot1GrossSales</t>
  </si>
  <si>
    <t>finPNLCh3Prod2Slot1Discounts</t>
  </si>
  <si>
    <t>finPNLCh3Prod2Slot2Turn</t>
  </si>
  <si>
    <t>finPNLCh3Prod2Slot2Excise</t>
  </si>
  <si>
    <t>finPNLCh3Prod2Slot2GrossSales</t>
  </si>
  <si>
    <t>finPNLCh3Prod2Slot2Discounts</t>
  </si>
  <si>
    <t>finPNLCh3Prod2Slot3Turn</t>
  </si>
  <si>
    <t>finPNLCh3Prod2Slot3Excise</t>
  </si>
  <si>
    <t>finPNLCh3Prod2Slot3GrossSales</t>
  </si>
  <si>
    <t>finPNLCh3Prod2Slot3Discounts</t>
  </si>
  <si>
    <t>finPNLCh3Prod3Slot3Turn</t>
  </si>
  <si>
    <t>finPNLCh3Prod3Slot3Excise</t>
  </si>
  <si>
    <t>finPNLCh3Prod3Slot3GrossSales</t>
  </si>
  <si>
    <t>finPNLCh3Prod3Slot3Discounts</t>
  </si>
  <si>
    <t>finPNLCh3Prod3Slot1Turn</t>
  </si>
  <si>
    <t>finPNLCh3Prod3Slot1Excise</t>
  </si>
  <si>
    <t>finPNLCh3Prod3Slot1GrossSales</t>
  </si>
  <si>
    <t>finPNLCh3Prod3Slot1Discounts</t>
  </si>
  <si>
    <t>finPNLCh3Prod3Slot2Turn</t>
  </si>
  <si>
    <t>finPNLCh3Prod3Slot2Excise</t>
  </si>
  <si>
    <t>finPNLCh3Prod3Slot2GrossSales</t>
  </si>
  <si>
    <t>finPNLCh3Prod3Slot2Discounts</t>
  </si>
  <si>
    <t>finPNLCh3Prod4Slot1Turn</t>
  </si>
  <si>
    <t>finPNLCh3Prod4Slot1Excise</t>
  </si>
  <si>
    <t>finPNLCh3Prod4Slot1GrossSales</t>
  </si>
  <si>
    <t>finPNLCh3Prod4Slot1Discounts</t>
  </si>
  <si>
    <t>finPNLCh3Prod4Slot2Turn</t>
  </si>
  <si>
    <t>finPNLCh3Prod4Slot2Excise</t>
  </si>
  <si>
    <t>finPNLCh3Prod4Slot2GrossSales</t>
  </si>
  <si>
    <t>finPNLCh3Prod4Slot2Discounts</t>
  </si>
  <si>
    <t>finPNLCh4Prod4Slot3Turn</t>
  </si>
  <si>
    <t>finPNLCh4Prod4Slot3Excise</t>
  </si>
  <si>
    <t>finPNLCh4Prod4Slot3GrossSales</t>
  </si>
  <si>
    <t>finPNLCh4Prod4Slot3Discounts</t>
  </si>
  <si>
    <t>finPNLCh4Prod1Slot3Turn</t>
  </si>
  <si>
    <t>finPNLCh4Prod1Slot3Excise</t>
  </si>
  <si>
    <t>finPNLCh4Prod1Slot3GrossSales</t>
  </si>
  <si>
    <t>finPNLCh4Prod1Slot3Discounts</t>
  </si>
  <si>
    <t>finPNLCh4Prod1Slot1Turn</t>
  </si>
  <si>
    <t>finPNLCh4Prod1Slot1Excise</t>
  </si>
  <si>
    <t>finPNLCh4Prod1Slot1GrossSales</t>
  </si>
  <si>
    <t>finPNLCh4Prod1Slot1Discounts</t>
  </si>
  <si>
    <t>finPNLCh4Prod1Slot2Turn</t>
  </si>
  <si>
    <t>finPNLCh4Prod1Slot2Excise</t>
  </si>
  <si>
    <t>finPNLCh4Prod1Slot2GrossSales</t>
  </si>
  <si>
    <t>finPNLCh4Prod1Slot2Discounts</t>
  </si>
  <si>
    <t>finPNLCh4Prod2Slot1Turn</t>
  </si>
  <si>
    <t>finPNLCh4Prod2Slot1Excise</t>
  </si>
  <si>
    <t>finPNLCh4Prod2Slot1GrossSales</t>
  </si>
  <si>
    <t>finPNLCh4Prod2Slot1Discounts</t>
  </si>
  <si>
    <t>finPNLCh4Prod2Slot2Turn</t>
  </si>
  <si>
    <t>finPNLCh4Prod2Slot2Excise</t>
  </si>
  <si>
    <t>finPNLCh4Prod2Slot2GrossSales</t>
  </si>
  <si>
    <t>finPNLCh4Prod2Slot2Discounts</t>
  </si>
  <si>
    <t>finPNLCh4Prod2Slot3Turn</t>
  </si>
  <si>
    <t>finPNLCh4Prod2Slot3Excise</t>
  </si>
  <si>
    <t>finPNLCh4Prod2Slot3GrossSales</t>
  </si>
  <si>
    <t>finPNLCh4Prod2Slot3Discounts</t>
  </si>
  <si>
    <t>finPNLCh4Prod3Slot3Turn</t>
  </si>
  <si>
    <t>finPNLCh4Prod3Slot3Excise</t>
  </si>
  <si>
    <t>finPNLCh4Prod3Slot3GrossSales</t>
  </si>
  <si>
    <t>finPNLCh4Prod3Slot3Discounts</t>
  </si>
  <si>
    <t>finPNLCh4Prod3Slot1Turn</t>
  </si>
  <si>
    <t>finPNLCh4Prod3Slot1Excise</t>
  </si>
  <si>
    <t>finPNLCh4Prod3Slot1GrossSales</t>
  </si>
  <si>
    <t>finPNLCh4Prod3Slot1Discounts</t>
  </si>
  <si>
    <t>finPNLCh4Prod3Slot2Turn</t>
  </si>
  <si>
    <t>finPNLCh4Prod3Slot2Excise</t>
  </si>
  <si>
    <t>finPNLCh4Prod3Slot2GrossSales</t>
  </si>
  <si>
    <t>finPNLCh4Prod3Slot2Discounts</t>
  </si>
  <si>
    <t>finPNLCh4Prod4Slot1Turn</t>
  </si>
  <si>
    <t>finPNLCh4Prod4Slot1Excise</t>
  </si>
  <si>
    <t>finPNLCh4Prod4Slot1GrossSales</t>
  </si>
  <si>
    <t>finPNLCh4Prod4Slot1Discounts</t>
  </si>
  <si>
    <t>finPNLCh4Prod4Slot2Turn</t>
  </si>
  <si>
    <t>finPNLCh4Prod4Slot2Excise</t>
  </si>
  <si>
    <t>finPNLCh4Prod4Slot2GrossSales</t>
  </si>
  <si>
    <t>finPNLCh4Prod4Slot2Discounts</t>
  </si>
  <si>
    <t>Total Hours Available</t>
  </si>
  <si>
    <t>Hours Available excl. Reset time</t>
  </si>
  <si>
    <t>paramCreditDays</t>
  </si>
  <si>
    <t>Corporate</t>
  </si>
  <si>
    <t>Average AP days</t>
  </si>
  <si>
    <t>paramAPDays</t>
  </si>
  <si>
    <t>FinBSOpen_End</t>
  </si>
  <si>
    <t>finCalcCh1Prod1Slot1LogExpPerUnit</t>
  </si>
  <si>
    <t>finCalcCh1Prod2Slot1LogExpPerUnit</t>
  </si>
  <si>
    <t>finCalcCh1Prod1Slot2LogExpPerUnit</t>
  </si>
  <si>
    <t>finCalcCh1Prod1Slot3LogExpPerUnit</t>
  </si>
  <si>
    <t>finCalcCh1Prod2Slot2LogExpPerUnit</t>
  </si>
  <si>
    <t>finCalcCh1Prod2Slot3LogExpPerUnit</t>
  </si>
  <si>
    <t>finCalcCh1Prod3Slot1LogExpPerUnit</t>
  </si>
  <si>
    <t>finCalcCh1Prod3Slot2LogExpPerUnit</t>
  </si>
  <si>
    <t>finCalcCh1Prod3Slot3LogExpPerUnit</t>
  </si>
  <si>
    <t>finCalcCh1Prod4Slot1LogExpPerUnit</t>
  </si>
  <si>
    <t>finCalcCh1Prod4Slot2LogExpPerUnit</t>
  </si>
  <si>
    <t>finCalcCh1Prod4Slot3LogExpPerUnit</t>
  </si>
  <si>
    <t>finCalcCh2Prod1Slot1LogExpPerUnit</t>
  </si>
  <si>
    <t>finCalcCh2Prod1Slot2LogExpPerUnit</t>
  </si>
  <si>
    <t>finCalcCh2Prod1Slot3LogExpPerUnit</t>
  </si>
  <si>
    <t>finCalcCh2Prod2Slot1LogExpPerUnit</t>
  </si>
  <si>
    <t>finCalcCh2Prod2Slot2LogExpPerUnit</t>
  </si>
  <si>
    <t>finCalcCh2Prod2Slot3LogExpPerUnit</t>
  </si>
  <si>
    <t>finCalcCh2Prod3Slot1LogExpPerUnit</t>
  </si>
  <si>
    <t>finCalcCh2Prod3Slot2LogExpPerUnit</t>
  </si>
  <si>
    <t>finCalcCh2Prod3Slot3LogExpPerUnit</t>
  </si>
  <si>
    <t>finCalcCh2Prod4Slot1LogExpPerUnit</t>
  </si>
  <si>
    <t>finCalcCh2Prod4Slot2LogExpPerUnit</t>
  </si>
  <si>
    <t>finCalcCh2Prod4Slot3LogExpPerUnit</t>
  </si>
  <si>
    <t>finCalcCh3Prod1Slot1LogExpPerUnit</t>
  </si>
  <si>
    <t>finCalcCh3Prod1Slot2LogExpPerUnit</t>
  </si>
  <si>
    <t>finCalcCh3Prod1Slot3LogExpPerUnit</t>
  </si>
  <si>
    <t>finCalcCh3Prod2Slot1LogExpPerUnit</t>
  </si>
  <si>
    <t>finCalcCh3Prod2Slot2LogExpPerUnit</t>
  </si>
  <si>
    <t>finCalcCh3Prod2Slot3LogExpPerUnit</t>
  </si>
  <si>
    <t>finCalcCh3Prod3Slot1LogExpPerUnit</t>
  </si>
  <si>
    <t>finCalcCh3Prod3Slot2LogExpPerUnit</t>
  </si>
  <si>
    <t>finCalcCh3Prod3Slot3LogExpPerUnit</t>
  </si>
  <si>
    <t>finCalcCh3Prod4Slot1LogExpPerUnit</t>
  </si>
  <si>
    <t>finCalcCh3Prod4Slot2LogExpPerUnit</t>
  </si>
  <si>
    <t>finCalcCh3Prod4Slot3LogExpPerUnit</t>
  </si>
  <si>
    <t>finCalcCh4Prod1Slot1LogExpPerUnit</t>
  </si>
  <si>
    <t>finCalcCh4Prod1Slot2LogExpPerUnit</t>
  </si>
  <si>
    <t>finCalcCh4Prod1Slot3LogExpPerUnit</t>
  </si>
  <si>
    <t>finCalcCh4Prod2Slot1LogExpPerUnit</t>
  </si>
  <si>
    <t>finCalcCh4Prod2Slot2LogExpPerUnit</t>
  </si>
  <si>
    <t>finCalcCh4Prod2Slot3LogExpPerUnit</t>
  </si>
  <si>
    <t>finCalcCh4Prod3Slot1LogExpPerUnit</t>
  </si>
  <si>
    <t>finCalcCh4Prod3Slot2LogExpPerUnit</t>
  </si>
  <si>
    <t>finCalcCh4Prod3Slot3LogExpPerUnit</t>
  </si>
  <si>
    <t>finCalcCh4Prod4Slot1LogExpPerUnit</t>
  </si>
  <si>
    <t>finCalcCh4Prod4Slot2LogExpPerUnit</t>
  </si>
  <si>
    <t>finCalcCh4Prod4Slot3LogExpPerUnit</t>
  </si>
  <si>
    <t>WIP level of completion</t>
  </si>
  <si>
    <t>paramPlant1WIPLevComp</t>
  </si>
  <si>
    <t>Number of credit days</t>
  </si>
  <si>
    <t>% of forecast to Finished Goods</t>
  </si>
  <si>
    <t>paramPlant1toFG</t>
  </si>
  <si>
    <t>GCC</t>
  </si>
  <si>
    <t>GBC %</t>
  </si>
  <si>
    <t>GCC %</t>
  </si>
  <si>
    <t>Promotion Share</t>
  </si>
  <si>
    <t>tlInputCh1ValDriv1</t>
  </si>
  <si>
    <t>tlInputCh1ValDriv2</t>
  </si>
  <si>
    <t>tlInputCh1ValDriv3</t>
  </si>
  <si>
    <t>tlInputCh1ValDriv4</t>
  </si>
  <si>
    <t>tlInputCh1ValDriv5</t>
  </si>
  <si>
    <t>tlInputCh1ValDrivCond</t>
  </si>
  <si>
    <t>tlinputCh1Prod1Slot1Pack</t>
  </si>
  <si>
    <t>tlinputCh1Prod1Slot2Pack</t>
  </si>
  <si>
    <t>tlinputCh1Prod1Slot3Pack</t>
  </si>
  <si>
    <t>tlinputCh1Prod1Slot1CustPrice</t>
  </si>
  <si>
    <t>tlinputCh1Prod1Slot3CustPrice</t>
  </si>
  <si>
    <t>tlinputCh1Prod1Slot2CustPrice</t>
  </si>
  <si>
    <t>tlinputCh1Prod1Slot1Forecast</t>
  </si>
  <si>
    <t>tlinputCh1Prod1Slot3Forecast</t>
  </si>
  <si>
    <t>tlinputCh1Prod1Slot2Forecast</t>
  </si>
  <si>
    <t>tlinputCh1Prod4Slot1Pack</t>
  </si>
  <si>
    <t>tlinputCh1Prod4Slot1CustPrice</t>
  </si>
  <si>
    <t>tlinputCh1Prod4Slot1Forecast</t>
  </si>
  <si>
    <t>tlinputCh1Prod4Slot2Pack</t>
  </si>
  <si>
    <t>tlinputCh1Prod4Slot2CustPrice</t>
  </si>
  <si>
    <t>tlinputCh1Prod4Slot2Forecast</t>
  </si>
  <si>
    <t>tlinputCh1Prod4Slot3Pack</t>
  </si>
  <si>
    <t>tlinputCh1Prod4Slot3CustPrice</t>
  </si>
  <si>
    <t>tlinputCh1Prod4Slot3Forecast</t>
  </si>
  <si>
    <t>tlinputCh1Prod3Slot1Pack</t>
  </si>
  <si>
    <t>tlinputCh1Prod3Slot1CustPrice</t>
  </si>
  <si>
    <t>tlinputCh1Prod3Slot1Forecast</t>
  </si>
  <si>
    <t>tlinputCh1Prod3Slot2Pack</t>
  </si>
  <si>
    <t>tlinputCh1Prod3Slot2CustPrice</t>
  </si>
  <si>
    <t>tlinputCh1Prod3Slot2Forecast</t>
  </si>
  <si>
    <t>tlinputCh1Prod3Slot3Pack</t>
  </si>
  <si>
    <t>tlinputCh1Prod3Slot3CustPrice</t>
  </si>
  <si>
    <t>tlinputCh1Prod3Slot3Forecast</t>
  </si>
  <si>
    <t>tlinputCh1Prod2Slot1Pack</t>
  </si>
  <si>
    <t>tlinputCh1Prod2Slot1CustPrice</t>
  </si>
  <si>
    <t>tlinputCh1Prod2Slot1Forecast</t>
  </si>
  <si>
    <t>tlinputCh1Prod2Slot2Pack</t>
  </si>
  <si>
    <t>tlinputCh1Prod2Slot2CustPrice</t>
  </si>
  <si>
    <t>tlinputCh1Prod2Slot2Forecast</t>
  </si>
  <si>
    <t>tlinputCh1Prod2Slot3Pack</t>
  </si>
  <si>
    <t>tlinputCh1Prod2Slot3CustPrice</t>
  </si>
  <si>
    <t>tlinputCh1Prod2Slot3Forecast</t>
  </si>
  <si>
    <t>tlInputCh1Prod2Forecast</t>
  </si>
  <si>
    <t>tlInputCh1Prod3Forecast</t>
  </si>
  <si>
    <t>tlInputCh1Prod4Forecast</t>
  </si>
  <si>
    <t>tlInputCh1Prod1Slot1Active</t>
  </si>
  <si>
    <t>tlInputCh1Prod1Slot2Active</t>
  </si>
  <si>
    <t>tlInputCh1Prod1Slot3Active</t>
  </si>
  <si>
    <t>tlInputCh1Prod2Slot1Active</t>
  </si>
  <si>
    <t>tlInputCh1Prod2Slot2Active</t>
  </si>
  <si>
    <t>tlInputCh1Prod2Slot3Active</t>
  </si>
  <si>
    <t>tlInputCh1Prod3Slot1Active</t>
  </si>
  <si>
    <t>tlInputCh1Prod3Slot2Active</t>
  </si>
  <si>
    <t>tlInputCh1Prod3Slot3Active</t>
  </si>
  <si>
    <t>tlInputCh1Prod4Slot1Active</t>
  </si>
  <si>
    <t>tlInputCh1Prod4Slot2Active</t>
  </si>
  <si>
    <t>tlInputCh1Prod4Slot3Active</t>
  </si>
  <si>
    <t>tlInputCh4Prod2Forecast</t>
  </si>
  <si>
    <t>tlInputCh4Prod3Forecast</t>
  </si>
  <si>
    <t>tlInputCh4Prod4Forecast</t>
  </si>
  <si>
    <t>tlinputCh4Prod1Slot1Pack</t>
  </si>
  <si>
    <t>tlinputCh4Prod1Slot1CustPrice</t>
  </si>
  <si>
    <t>tlinputCh4Prod1Slot1Forecast</t>
  </si>
  <si>
    <t>tlinputCh4Prod1Slot2Pack</t>
  </si>
  <si>
    <t>tlinputCh4Prod1Slot2CustPrice</t>
  </si>
  <si>
    <t>tlinputCh4Prod1Slot2Forecast</t>
  </si>
  <si>
    <t>tlinputCh4Prod1Slot3Pack</t>
  </si>
  <si>
    <t>tlinputCh4Prod1Slot3CustPrice</t>
  </si>
  <si>
    <t>tlinputCh4Prod1Slot3Forecast</t>
  </si>
  <si>
    <t>tlinputCh4Prod2Slot1Pack</t>
  </si>
  <si>
    <t>tlinputCh4Prod2Slot1CustPrice</t>
  </si>
  <si>
    <t>tlinputCh4Prod2Slot1Forecast</t>
  </si>
  <si>
    <t>tlinputCh4Prod2Slot2Pack</t>
  </si>
  <si>
    <t>tlinputCh4Prod2Slot2CustPrice</t>
  </si>
  <si>
    <t>tlinputCh4Prod2Slot2Forecast</t>
  </si>
  <si>
    <t>tlinputCh4Prod2Slot3Pack</t>
  </si>
  <si>
    <t>tlinputCh4Prod2Slot3CustPrice</t>
  </si>
  <si>
    <t>tlinputCh4Prod2Slot3Forecast</t>
  </si>
  <si>
    <t>tlinputCh4Prod3Slot1Pack</t>
  </si>
  <si>
    <t>tlinputCh4Prod3Slot1CustPrice</t>
  </si>
  <si>
    <t>tlinputCh4Prod3Slot1Forecast</t>
  </si>
  <si>
    <t>tlinputCh4Prod3Slot2Pack</t>
  </si>
  <si>
    <t>tlinputCh4Prod3Slot2CustPrice</t>
  </si>
  <si>
    <t>tlinputCh4Prod3Slot2Forecast</t>
  </si>
  <si>
    <t>tlinputCh4Prod3Slot3Pack</t>
  </si>
  <si>
    <t>tlinputCh4Prod3Slot3CustPrice</t>
  </si>
  <si>
    <t>tlinputCh4Prod3Slot3Forecast</t>
  </si>
  <si>
    <t>tlinputCh4Prod4Slot1Pack</t>
  </si>
  <si>
    <t>tlinputCh4Prod4Slot1CustPrice</t>
  </si>
  <si>
    <t>tlinputCh4Prod4Slot1Forecast</t>
  </si>
  <si>
    <t>tlinputCh4Prod4Slot2Pack</t>
  </si>
  <si>
    <t>tlinputCh4Prod4Slot2CustPrice</t>
  </si>
  <si>
    <t>tlinputCh4Prod4Slot2Forecast</t>
  </si>
  <si>
    <t>tlinputCh4Prod4Slot3Pack</t>
  </si>
  <si>
    <t>tlinputCh4Prod4Slot3CustPrice</t>
  </si>
  <si>
    <t>tlinputCh4Prod4Slot3Forecast</t>
  </si>
  <si>
    <t>tlInputCh4Prod1Slot1Active</t>
  </si>
  <si>
    <t>tlInputCh4Prod1Slot2Active</t>
  </si>
  <si>
    <t>tlInputCh4Prod1Slot3Active</t>
  </si>
  <si>
    <t>tlInputCh4Prod2Slot1Active</t>
  </si>
  <si>
    <t>tlInputCh4Prod2Slot2Active</t>
  </si>
  <si>
    <t>tlInputCh4Prod2Slot3Active</t>
  </si>
  <si>
    <t>tlInputCh4Prod3Slot1Active</t>
  </si>
  <si>
    <t>tlInputCh4Prod3Slot2Active</t>
  </si>
  <si>
    <t>tlInputCh4Prod3Slot3Active</t>
  </si>
  <si>
    <t>tlInputCh4Prod4Slot1Active</t>
  </si>
  <si>
    <t>tlInputCh4Prod4Slot2Active</t>
  </si>
  <si>
    <t>tlInputCh4Prod4Slot3Active</t>
  </si>
  <si>
    <t>tlInputCh3Prod2Forecast</t>
  </si>
  <si>
    <t>tlInputCh3Prod3Forecast</t>
  </si>
  <si>
    <t>tlinputCh3Prod1Slot1Pack</t>
  </si>
  <si>
    <t>tlinputCh3Prod1Slot1CustPrice</t>
  </si>
  <si>
    <t>tlinputCh3Prod1Slot1Forecast</t>
  </si>
  <si>
    <t>tlinputCh3Prod1Slot2Pack</t>
  </si>
  <si>
    <t>tlinputCh3Prod1Slot2CustPrice</t>
  </si>
  <si>
    <t>tlinputCh3Prod1Slot2Forecast</t>
  </si>
  <si>
    <t>tlinputCh3Prod1Slot3Pack</t>
  </si>
  <si>
    <t>tlinputCh3Prod1Slot3CustPrice</t>
  </si>
  <si>
    <t>tlinputCh3Prod1Slot3Forecast</t>
  </si>
  <si>
    <t>tlinputCh3Prod2Slot1Pack</t>
  </si>
  <si>
    <t>tlinputCh3Prod2Slot1CustPrice</t>
  </si>
  <si>
    <t>tlinputCh3Prod2Slot1Forecast</t>
  </si>
  <si>
    <t>tlinputCh3Prod2Slot2Pack</t>
  </si>
  <si>
    <t>tlinputCh3Prod2Slot2CustPrice</t>
  </si>
  <si>
    <t>tlinputCh3Prod2Slot2Forecast</t>
  </si>
  <si>
    <t>tlinputCh3Prod2Slot3Pack</t>
  </si>
  <si>
    <t>tlinputCh3Prod2Slot3CustPrice</t>
  </si>
  <si>
    <t>tlinputCh3Prod2Slot3Forecast</t>
  </si>
  <si>
    <t>tlinputCh3Prod3Slot1Pack</t>
  </si>
  <si>
    <t>tlinputCh3Prod3Slot1CustPrice</t>
  </si>
  <si>
    <t>tlinputCh3Prod3Slot1Forecast</t>
  </si>
  <si>
    <t>tlinputCh3Prod3Slot2Pack</t>
  </si>
  <si>
    <t>tlinputCh3Prod3Slot2CustPrice</t>
  </si>
  <si>
    <t>tlinputCh3Prod3Slot2Forecast</t>
  </si>
  <si>
    <t>tlinputCh3Prod3Slot3Pack</t>
  </si>
  <si>
    <t>tlinputCh3Prod3Slot3CustPrice</t>
  </si>
  <si>
    <t>tlinputCh3Prod3Slot3Forecast</t>
  </si>
  <si>
    <t>tlinputCh3Prod4Slot1Pack</t>
  </si>
  <si>
    <t>tlinputCh3Prod4Slot1CustPrice</t>
  </si>
  <si>
    <t>tlinputCh3Prod4Slot1Forecast</t>
  </si>
  <si>
    <t>tlinputCh3Prod4Slot2Pack</t>
  </si>
  <si>
    <t>tlinputCh3Prod4Slot2CustPrice</t>
  </si>
  <si>
    <t>tlinputCh3Prod4Slot2Forecast</t>
  </si>
  <si>
    <t>tlinputCh3Prod4Slot3Pack</t>
  </si>
  <si>
    <t>tlinputCh3Prod4Slot3CustPrice</t>
  </si>
  <si>
    <t>tlinputCh3Prod4Slot3Forecast</t>
  </si>
  <si>
    <t>tlInputCh3Prod1Slot1Active</t>
  </si>
  <si>
    <t>tlInputCh3Prod1Slot2Active</t>
  </si>
  <si>
    <t>tlInputCh3Prod1Slot3Active</t>
  </si>
  <si>
    <t>tlInputCh3Prod2Slot1Active</t>
  </si>
  <si>
    <t>tlInputCh3Prod2Slot2Active</t>
  </si>
  <si>
    <t>tlInputCh3Prod2Slot3Active</t>
  </si>
  <si>
    <t>tlInputCh3Prod3Slot1Active</t>
  </si>
  <si>
    <t>tlInputCh3Prod3Slot2Active</t>
  </si>
  <si>
    <t>tlInputCh3Prod3Slot3Active</t>
  </si>
  <si>
    <t>tlInputCh3Prod4Slot1Active</t>
  </si>
  <si>
    <t>tlInputCh3Prod4Slot2Active</t>
  </si>
  <si>
    <t>tlInputCh3Prod4Slot3Active</t>
  </si>
  <si>
    <t>tlInputCh2Prod2Forecast</t>
  </si>
  <si>
    <t>tlInputCh2Prod3Forecast</t>
  </si>
  <si>
    <t>tlinputCh2Prod1Slot1Pack</t>
  </si>
  <si>
    <t>tlinputCh2Prod1Slot1CustPrice</t>
  </si>
  <si>
    <t>tlinputCh2Prod1Slot1Forecast</t>
  </si>
  <si>
    <t>tlinputCh2Prod1Slot2Pack</t>
  </si>
  <si>
    <t>tlinputCh2Prod1Slot2CustPrice</t>
  </si>
  <si>
    <t>tlinputCh2Prod1Slot2Forecast</t>
  </si>
  <si>
    <t>tlinputCh2Prod1Slot3Pack</t>
  </si>
  <si>
    <t>tlinputCh2Prod1Slot3CustPrice</t>
  </si>
  <si>
    <t>tlinputCh2Prod1Slot3Forecast</t>
  </si>
  <si>
    <t>tlinputCh2Prod2Slot1Pack</t>
  </si>
  <si>
    <t>tlinputCh2Prod2Slot1CustPrice</t>
  </si>
  <si>
    <t>tlinputCh2Prod2Slot1Forecast</t>
  </si>
  <si>
    <t>tlinputCh2Prod2Slot2Pack</t>
  </si>
  <si>
    <t>tlinputCh2Prod2Slot2CustPrice</t>
  </si>
  <si>
    <t>tlinputCh2Prod2Slot2Forecast</t>
  </si>
  <si>
    <t>tlinputCh2Prod2Slot3Pack</t>
  </si>
  <si>
    <t>tlinputCh2Prod2Slot3CustPrice</t>
  </si>
  <si>
    <t>tlinputCh2Prod2Slot3Forecast</t>
  </si>
  <si>
    <t>tlinputCh2Prod3Slot1Pack</t>
  </si>
  <si>
    <t>tlinputCh2Prod3Slot1CustPrice</t>
  </si>
  <si>
    <t>tlinputCh2Prod3Slot1Forecast</t>
  </si>
  <si>
    <t>tlinputCh2Prod3Slot2Pack</t>
  </si>
  <si>
    <t>tlinputCh2Prod3Slot2CustPrice</t>
  </si>
  <si>
    <t>tlinputCh2Prod3Slot2Forecast</t>
  </si>
  <si>
    <t>tlinputCh2Prod3Slot3Pack</t>
  </si>
  <si>
    <t>tlinputCh2Prod3Slot3CustPrice</t>
  </si>
  <si>
    <t>tlinputCh2Prod3Slot3Forecast</t>
  </si>
  <si>
    <t>tlinputCh2Prod4Slot1Pack</t>
  </si>
  <si>
    <t>tlinputCh2Prod4Slot1CustPrice</t>
  </si>
  <si>
    <t>tlinputCh2Prod4Slot1Forecast</t>
  </si>
  <si>
    <t>tlinputCh2Prod4Slot2Pack</t>
  </si>
  <si>
    <t>tlinputCh2Prod4Slot2CustPrice</t>
  </si>
  <si>
    <t>tlinputCh2Prod4Slot2Forecast</t>
  </si>
  <si>
    <t>tlinputCh2Prod4Slot3Pack</t>
  </si>
  <si>
    <t>tlinputCh2Prod4Slot3CustPrice</t>
  </si>
  <si>
    <t>tlinputCh2Prod4Slot3Forecast</t>
  </si>
  <si>
    <t>tlInputCh2Prod1Slot1Active</t>
  </si>
  <si>
    <t>tlInputCh2Prod1Slot2Active</t>
  </si>
  <si>
    <t>tlInputCh2Prod1Slot3Active</t>
  </si>
  <si>
    <t>tlInputCh2Prod2Slot1Active</t>
  </si>
  <si>
    <t>tlInputCh2Prod2Slot2Active</t>
  </si>
  <si>
    <t>tlInputCh2Prod2Slot3Active</t>
  </si>
  <si>
    <t>tlInputCh2Prod3Slot1Active</t>
  </si>
  <si>
    <t>tlInputCh2Prod3Slot2Active</t>
  </si>
  <si>
    <t>tlInputCh2Prod3Slot3Active</t>
  </si>
  <si>
    <t>tlInputCh2Prod4Slot1Active</t>
  </si>
  <si>
    <t>tlInputCh2Prod4Slot2Active</t>
  </si>
  <si>
    <t>tlInputCh2Prod4Slot3Active</t>
  </si>
  <si>
    <t>decCh1Prod1Slot1Forecast</t>
  </si>
  <si>
    <t>decCh1Prod1Slot2Forecast</t>
  </si>
  <si>
    <t>decCh1Prod1Slot3Forecast</t>
  </si>
  <si>
    <t>decCh1Prod2Slot1Forecast</t>
  </si>
  <si>
    <t>decCh1Prod2Slot2Forecast</t>
  </si>
  <si>
    <t>decCh1Prod2Slot3Forecast</t>
  </si>
  <si>
    <t>decCh1Prod3Slot1Forecast</t>
  </si>
  <si>
    <t>decCh1Prod3Slot2Forecast</t>
  </si>
  <si>
    <t>decCh1Prod3Slot3Forecast</t>
  </si>
  <si>
    <t>decCh1Prod4Slot1Forecast</t>
  </si>
  <si>
    <t>decCh1Prod4Slot2Forecast</t>
  </si>
  <si>
    <t>decCh1Prod4Slot3Forecast</t>
  </si>
  <si>
    <t>decCh2Prod1Slot1Forecast</t>
  </si>
  <si>
    <t>decCh2Prod1Slot2Forecast</t>
  </si>
  <si>
    <t>decCh2Prod1Slot3Forecast</t>
  </si>
  <si>
    <t>decCh2Prod2Slot1Forecast</t>
  </si>
  <si>
    <t>decCh2Prod2Slot2Forecast</t>
  </si>
  <si>
    <t>decCh2Prod2Slot3Forecast</t>
  </si>
  <si>
    <t>decCh2Prod3Slot1Forecast</t>
  </si>
  <si>
    <t>decCh2Prod3Slot2Forecast</t>
  </si>
  <si>
    <t>decCh2Prod3Slot3Forecast</t>
  </si>
  <si>
    <t>decCh2Prod4Slot1Forecast</t>
  </si>
  <si>
    <t>decCh2Prod4Slot2Forecast</t>
  </si>
  <si>
    <t>decCh2Prod4Slot3Forecast</t>
  </si>
  <si>
    <t>decCh3Prod1Slot1Forecast</t>
  </si>
  <si>
    <t>decCh3Prod1Slot2Forecast</t>
  </si>
  <si>
    <t>decCh3Prod1Slot3Forecast</t>
  </si>
  <si>
    <t>decCh3Prod2Slot1Forecast</t>
  </si>
  <si>
    <t>decCh3Prod2Slot2Forecast</t>
  </si>
  <si>
    <t>decCh3Prod2Slot3Forecast</t>
  </si>
  <si>
    <t>decCh3Prod3Slot1Forecast</t>
  </si>
  <si>
    <t>decCh3Prod3Slot2Forecast</t>
  </si>
  <si>
    <t>decCh3Prod3Slot3Forecast</t>
  </si>
  <si>
    <t>decCh3Prod4Slot1Forecast</t>
  </si>
  <si>
    <t>decCh3Prod4Slot2Forecast</t>
  </si>
  <si>
    <t>decCh3Prod4Slot3Forecast</t>
  </si>
  <si>
    <t>decCh4Prod1Slot1Forecast</t>
  </si>
  <si>
    <t>decCh4Prod1Slot2Forecast</t>
  </si>
  <si>
    <t>decCh4Prod1Slot3Forecast</t>
  </si>
  <si>
    <t>decCh4Prod2Slot1Forecast</t>
  </si>
  <si>
    <t>decCh4Prod2Slot2Forecast</t>
  </si>
  <si>
    <t>decCh4Prod2Slot3Forecast</t>
  </si>
  <si>
    <t>decCh4Prod3Slot1Forecast</t>
  </si>
  <si>
    <t>decCh4Prod3Slot2Forecast</t>
  </si>
  <si>
    <t>decCh4Prod3Slot3Forecast</t>
  </si>
  <si>
    <t>decCh4Prod4Slot1Forecast</t>
  </si>
  <si>
    <t>decCh4Prod4Slot2Forecast</t>
  </si>
  <si>
    <t>decCh4Prod4Slot3Forecast</t>
  </si>
  <si>
    <t>decCh1Prod1Slot1Pack</t>
  </si>
  <si>
    <t>decCh1Prod1Slot2Pack</t>
  </si>
  <si>
    <t>decCh1Prod1Slot3Pack</t>
  </si>
  <si>
    <t>decCh1Prod2Slot1Pack</t>
  </si>
  <si>
    <t>decCh1Prod2Slot2Pack</t>
  </si>
  <si>
    <t>decCh1Prod2Slot3Pack</t>
  </si>
  <si>
    <t>decCh1Prod3Slot1Pack</t>
  </si>
  <si>
    <t>decCh1Prod3Slot2Pack</t>
  </si>
  <si>
    <t>decCh1Prod3Slot3Pack</t>
  </si>
  <si>
    <t>decCh1Prod4Slot1Pack</t>
  </si>
  <si>
    <t>decCh1Prod4Slot2Pack</t>
  </si>
  <si>
    <t>decCh1Prod4Slot3Pack</t>
  </si>
  <si>
    <t>decCh2Prod1Slot1Pack</t>
  </si>
  <si>
    <t>decCh2Prod1Slot2Pack</t>
  </si>
  <si>
    <t>decCh2Prod1Slot3Pack</t>
  </si>
  <si>
    <t>decCh2Prod2Slot1Pack</t>
  </si>
  <si>
    <t>decCh2Prod2Slot2Pack</t>
  </si>
  <si>
    <t>decCh2Prod2Slot3Pack</t>
  </si>
  <si>
    <t>decCh2Prod3Slot1Pack</t>
  </si>
  <si>
    <t>decCh2Prod3Slot2Pack</t>
  </si>
  <si>
    <t>decCh2Prod3Slot3Pack</t>
  </si>
  <si>
    <t>decCh2Prod4Slot1Pack</t>
  </si>
  <si>
    <t>decCh2Prod4Slot2Pack</t>
  </si>
  <si>
    <t>decCh2Prod4Slot3Pack</t>
  </si>
  <si>
    <t>decCh3Prod1Slot1Pack</t>
  </si>
  <si>
    <t>decCh3Prod1Slot2Pack</t>
  </si>
  <si>
    <t>decCh3Prod1Slot3Pack</t>
  </si>
  <si>
    <t>decCh3Prod2Slot1Pack</t>
  </si>
  <si>
    <t>decCh3Prod2Slot2Pack</t>
  </si>
  <si>
    <t>decCh3Prod2Slot3Pack</t>
  </si>
  <si>
    <t>decCh3Prod3Slot1Pack</t>
  </si>
  <si>
    <t>decCh3Prod3Slot2Pack</t>
  </si>
  <si>
    <t>decCh3Prod3Slot3Pack</t>
  </si>
  <si>
    <t>decCh3Prod4Slot1Pack</t>
  </si>
  <si>
    <t>decCh3Prod4Slot2Pack</t>
  </si>
  <si>
    <t>decCh3Prod4Slot3Pack</t>
  </si>
  <si>
    <t>decCh4Prod1Slot1Pack</t>
  </si>
  <si>
    <t>decCh4Prod1Slot2Pack</t>
  </si>
  <si>
    <t>decCh4Prod1Slot3Pack</t>
  </si>
  <si>
    <t>decCh4Prod2Slot1Pack</t>
  </si>
  <si>
    <t>decCh4Prod2Slot2Pack</t>
  </si>
  <si>
    <t>decCh4Prod2Slot3Pack</t>
  </si>
  <si>
    <t>decCh4Prod3Slot1Pack</t>
  </si>
  <si>
    <t>decCh4Prod3Slot2Pack</t>
  </si>
  <si>
    <t>decCh4Prod3Slot3Pack</t>
  </si>
  <si>
    <t>decCh4Prod4Slot1Pack</t>
  </si>
  <si>
    <t>decCh4Prod4Slot2Pack</t>
  </si>
  <si>
    <t>decCh4Prod4Slot3Pack</t>
  </si>
  <si>
    <t>decCh1ValDrivCond</t>
  </si>
  <si>
    <t>decCh4ValDrivCond</t>
  </si>
  <si>
    <t>decCh3ValDrivCond</t>
  </si>
  <si>
    <t>decCh2ValDrivCond</t>
  </si>
  <si>
    <t>Promotion Plan Expense</t>
  </si>
  <si>
    <t>Promo Plans Expense</t>
  </si>
  <si>
    <t>calcCh1ValDrivCond</t>
  </si>
  <si>
    <t>calcCh1ValDrivCondEmp1Req</t>
  </si>
  <si>
    <t>calcCh1ValDrivCondExp</t>
  </si>
  <si>
    <t>calcCh4ValDrivCond</t>
  </si>
  <si>
    <t>calcCh4ValDrivCondEmp1Req</t>
  </si>
  <si>
    <t>calcCh4ValDrivCondExp</t>
  </si>
  <si>
    <t>calcCh3ValDrivCond</t>
  </si>
  <si>
    <t>calcCh3ValDrivCondEmp1Req</t>
  </si>
  <si>
    <t>calcCh3ValDrivCondExp</t>
  </si>
  <si>
    <t>calcCh2ValDrivCond</t>
  </si>
  <si>
    <t>calcCh2ValDrivCondEmp1Req</t>
  </si>
  <si>
    <t>calcCh2ValDrivCondExp</t>
  </si>
  <si>
    <t>Forecasting &amp; Trade Terms</t>
  </si>
  <si>
    <t>Reports</t>
  </si>
  <si>
    <t>SKU decisions</t>
  </si>
  <si>
    <t>obalCh1ValDrivCond</t>
  </si>
  <si>
    <t>obalCh2ValDrivCond</t>
  </si>
  <si>
    <t>obalCh3ValDrivCond</t>
  </si>
  <si>
    <t>obalCh4ValDrivCond</t>
  </si>
  <si>
    <t>cbalCh1ValDrivCond</t>
  </si>
  <si>
    <t>cbalCh2ValDrivCond</t>
  </si>
  <si>
    <t>cbalCh3ValDrivCond</t>
  </si>
  <si>
    <t>cbalCh4ValDrivCond</t>
  </si>
  <si>
    <t>dataValDrivCond</t>
  </si>
  <si>
    <t>Conditionality Increase</t>
  </si>
  <si>
    <t>paramCh1ValDrivCondSI</t>
  </si>
  <si>
    <t>paramCh4ValDrivCondSI</t>
  </si>
  <si>
    <t>paramCh3ValDrivCondSI</t>
  </si>
  <si>
    <t>paramCh2ValDrivCondSI</t>
  </si>
  <si>
    <t>Unconditional Benefit</t>
  </si>
  <si>
    <t>paramCh1ValDriv2UnCondFactor</t>
  </si>
  <si>
    <t>paramCh2ValDriv2UnCondFactor</t>
  </si>
  <si>
    <t>paramCh3ValDriv2UnCondFactor</t>
  </si>
  <si>
    <t>paramCh4ValDriv2UnCondFactor</t>
  </si>
  <si>
    <t>paramCh1ValDriv3UnCondFactor</t>
  </si>
  <si>
    <t>paramCh2ValDriv3UnCondFactor</t>
  </si>
  <si>
    <t>paramCh3ValDriv3UnCondFactor</t>
  </si>
  <si>
    <t>paramCh4ValDriv3UnCondFactor</t>
  </si>
  <si>
    <t>calcCh3ValDrivExpTot</t>
  </si>
  <si>
    <t>calcCh4ValDrivExpTot</t>
  </si>
  <si>
    <t>calcCh2ValDrivExpTot</t>
  </si>
  <si>
    <t>calcCh1ValDrivExpTot</t>
  </si>
  <si>
    <t>Market Demand (Vol)</t>
  </si>
  <si>
    <t>Pack Offered</t>
  </si>
  <si>
    <t>calcCh1Prod1Slot1Pack</t>
  </si>
  <si>
    <t>dataPackChFit</t>
  </si>
  <si>
    <t>dataPackProdFit</t>
  </si>
  <si>
    <t>dataPackSegFit</t>
  </si>
  <si>
    <t>Base Fit</t>
  </si>
  <si>
    <t>calcCh1Prod1Slot1PackFitBase</t>
  </si>
  <si>
    <t>calcCh1Prod1Slot1Seg1PackFit</t>
  </si>
  <si>
    <t>calcCh1Prod1Slot1Seg4PackFit</t>
  </si>
  <si>
    <t>calcCh1Prod1Slot1Seg3PackFit</t>
  </si>
  <si>
    <t>calcCh1Prod1Slot1Seg2PackFit</t>
  </si>
  <si>
    <t>calcCh1Prod1Slot2Pack</t>
  </si>
  <si>
    <t>calcCh1Prod1Slot2PackFitBase</t>
  </si>
  <si>
    <t>calcCh1Prod1Slot2Seg1PackFit</t>
  </si>
  <si>
    <t>calcCh1Prod1Slot2Seg2PackFit</t>
  </si>
  <si>
    <t>calcCh1Prod1Slot2Seg3PackFit</t>
  </si>
  <si>
    <t>calcCh1Prod1Slot2Seg4PackFit</t>
  </si>
  <si>
    <t>calcCh1Prod1Slot3Pack</t>
  </si>
  <si>
    <t>calcCh1Prod1Slot3PackFitBase</t>
  </si>
  <si>
    <t>calcCh1Prod1Slot3Seg1PackFit</t>
  </si>
  <si>
    <t>calcCh1Prod1Slot3Seg2PackFit</t>
  </si>
  <si>
    <t>calcCh1Prod1Slot3Seg3PackFit</t>
  </si>
  <si>
    <t>calcCh1Prod1Slot3Seg4PackFit</t>
  </si>
  <si>
    <t>calcCh1Prod2Slot1Pack</t>
  </si>
  <si>
    <t>calcCh1Prod2Slot1PackFitBase</t>
  </si>
  <si>
    <t>calcCh1Prod2Slot1Seg1PackFit</t>
  </si>
  <si>
    <t>calcCh1Prod2Slot1Seg2PackFit</t>
  </si>
  <si>
    <t>calcCh1Prod2Slot1Seg3PackFit</t>
  </si>
  <si>
    <t>calcCh1Prod2Slot1Seg4PackFit</t>
  </si>
  <si>
    <t>calcCh1Prod2Slot2Pack</t>
  </si>
  <si>
    <t>calcCh1Prod2Slot2PackFitBase</t>
  </si>
  <si>
    <t>calcCh1Prod2Slot2Seg1PackFit</t>
  </si>
  <si>
    <t>calcCh1Prod2Slot2Seg2PackFit</t>
  </si>
  <si>
    <t>calcCh1Prod2Slot2Seg3PackFit</t>
  </si>
  <si>
    <t>calcCh1Prod2Slot2Seg4PackFit</t>
  </si>
  <si>
    <t>calcCh1Prod2Slot3Pack</t>
  </si>
  <si>
    <t>calcCh1Prod2Slot3PackFitBase</t>
  </si>
  <si>
    <t>calcCh1Prod2Slot3Seg1PackFit</t>
  </si>
  <si>
    <t>calcCh1Prod2Slot3Seg2PackFit</t>
  </si>
  <si>
    <t>calcCh1Prod2Slot3Seg3PackFit</t>
  </si>
  <si>
    <t>calcCh1Prod2Slot3Seg4PackFit</t>
  </si>
  <si>
    <t>calcCh1Prod4Slot1Pack</t>
  </si>
  <si>
    <t>calcCh1Prod4Slot1PackFitBase</t>
  </si>
  <si>
    <t>calcCh1Prod4Slot1Seg1PackFit</t>
  </si>
  <si>
    <t>calcCh1Prod4Slot1Seg2PackFit</t>
  </si>
  <si>
    <t>calcCh1Prod4Slot1Seg3PackFit</t>
  </si>
  <si>
    <t>calcCh1Prod4Slot1Seg4PackFit</t>
  </si>
  <si>
    <t>calcCh1Prod4Slot2Pack</t>
  </si>
  <si>
    <t>calcCh1Prod4Slot2PackFitBase</t>
  </si>
  <si>
    <t>calcCh1Prod4Slot2Seg1PackFit</t>
  </si>
  <si>
    <t>calcCh1Prod4Slot2Seg2PackFit</t>
  </si>
  <si>
    <t>calcCh1Prod4Slot2Seg3PackFit</t>
  </si>
  <si>
    <t>calcCh1Prod4Slot2Seg4PackFit</t>
  </si>
  <si>
    <t>calcCh1Prod4Slot3Pack</t>
  </si>
  <si>
    <t>calcCh1Prod4Slot3PackFitBase</t>
  </si>
  <si>
    <t>calcCh1Prod4Slot3Seg1PackFit</t>
  </si>
  <si>
    <t>calcCh1Prod4Slot3Seg2PackFit</t>
  </si>
  <si>
    <t>calcCh1Prod4Slot3Seg3PackFit</t>
  </si>
  <si>
    <t>calcCh1Prod4Slot3Seg4PackFit</t>
  </si>
  <si>
    <t>calcCh1Prod3Slot1Pack</t>
  </si>
  <si>
    <t>calcCh1Prod3Slot1PackFitBase</t>
  </si>
  <si>
    <t>calcCh1Prod3Slot1Seg1PackFit</t>
  </si>
  <si>
    <t>calcCh1Prod3Slot1Seg2PackFit</t>
  </si>
  <si>
    <t>calcCh1Prod3Slot1Seg3PackFit</t>
  </si>
  <si>
    <t>calcCh1Prod3Slot1Seg4PackFit</t>
  </si>
  <si>
    <t>calcCh1Prod3Slot2Pack</t>
  </si>
  <si>
    <t>calcCh1Prod3Slot2PackFitBase</t>
  </si>
  <si>
    <t>calcCh1Prod3Slot2Seg1PackFit</t>
  </si>
  <si>
    <t>calcCh1Prod3Slot2Seg2PackFit</t>
  </si>
  <si>
    <t>calcCh1Prod3Slot2Seg3PackFit</t>
  </si>
  <si>
    <t>calcCh1Prod3Slot2Seg4PackFit</t>
  </si>
  <si>
    <t>calcCh1Prod3Slot3Pack</t>
  </si>
  <si>
    <t>calcCh1Prod3Slot3PackFitBase</t>
  </si>
  <si>
    <t>calcCh1Prod3Slot3Seg1PackFit</t>
  </si>
  <si>
    <t>calcCh1Prod3Slot3Seg2PackFit</t>
  </si>
  <si>
    <t>calcCh1Prod3Slot3Seg3PackFit</t>
  </si>
  <si>
    <t>calcCh1Prod3Slot3Seg4PackFit</t>
  </si>
  <si>
    <t>calcCh4Prod1Slot1Pack</t>
  </si>
  <si>
    <t>calcCh4Prod1Slot1PackFitBase</t>
  </si>
  <si>
    <t>calcCh4Prod1Slot1Seg1PackFit</t>
  </si>
  <si>
    <t>calcCh4Prod1Slot1Seg2PackFit</t>
  </si>
  <si>
    <t>calcCh4Prod1Slot1Seg3PackFit</t>
  </si>
  <si>
    <t>calcCh4Prod1Slot1Seg4PackFit</t>
  </si>
  <si>
    <t>calcCh4Prod1Slot2Pack</t>
  </si>
  <si>
    <t>calcCh4Prod1Slot2PackFitBase</t>
  </si>
  <si>
    <t>calcCh4Prod1Slot2Seg1PackFit</t>
  </si>
  <si>
    <t>calcCh4Prod1Slot2Seg2PackFit</t>
  </si>
  <si>
    <t>calcCh4Prod1Slot2Seg3PackFit</t>
  </si>
  <si>
    <t>calcCh4Prod1Slot2Seg4PackFit</t>
  </si>
  <si>
    <t>calcCh4Prod1Slot3Pack</t>
  </si>
  <si>
    <t>calcCh4Prod1Slot3PackFitBase</t>
  </si>
  <si>
    <t>calcCh4Prod1Slot3Seg1PackFit</t>
  </si>
  <si>
    <t>calcCh4Prod1Slot3Seg2PackFit</t>
  </si>
  <si>
    <t>calcCh4Prod1Slot3Seg3PackFit</t>
  </si>
  <si>
    <t>calcCh4Prod1Slot3Seg4PackFit</t>
  </si>
  <si>
    <t>calcCh4Prod2Slot1Pack</t>
  </si>
  <si>
    <t>calcCh4Prod2Slot1PackFitBase</t>
  </si>
  <si>
    <t>calcCh4Prod2Slot1Seg1PackFit</t>
  </si>
  <si>
    <t>calcCh4Prod2Slot1Seg2PackFit</t>
  </si>
  <si>
    <t>calcCh4Prod2Slot1Seg3PackFit</t>
  </si>
  <si>
    <t>calcCh4Prod2Slot1Seg4PackFit</t>
  </si>
  <si>
    <t>calcCh4Prod2Slot2Pack</t>
  </si>
  <si>
    <t>calcCh4Prod2Slot2PackFitBase</t>
  </si>
  <si>
    <t>calcCh4Prod2Slot2Seg1PackFit</t>
  </si>
  <si>
    <t>calcCh4Prod2Slot2Seg2PackFit</t>
  </si>
  <si>
    <t>calcCh4Prod2Slot2Seg3PackFit</t>
  </si>
  <si>
    <t>calcCh4Prod2Slot2Seg4PackFit</t>
  </si>
  <si>
    <t>calcCh4Prod2Slot3Pack</t>
  </si>
  <si>
    <t>calcCh4Prod2Slot3PackFitBase</t>
  </si>
  <si>
    <t>calcCh4Prod2Slot3Seg1PackFit</t>
  </si>
  <si>
    <t>calcCh4Prod2Slot3Seg2PackFit</t>
  </si>
  <si>
    <t>calcCh4Prod2Slot3Seg3PackFit</t>
  </si>
  <si>
    <t>calcCh4Prod2Slot3Seg4PackFit</t>
  </si>
  <si>
    <t>calcCh4Prod3Slot1Pack</t>
  </si>
  <si>
    <t>calcCh4Prod3Slot1PackFitBase</t>
  </si>
  <si>
    <t>calcCh4Prod3Slot1Seg1PackFit</t>
  </si>
  <si>
    <t>calcCh4Prod3Slot1Seg2PackFit</t>
  </si>
  <si>
    <t>calcCh4Prod3Slot1Seg3PackFit</t>
  </si>
  <si>
    <t>calcCh4Prod3Slot1Seg4PackFit</t>
  </si>
  <si>
    <t>calcCh4Prod3Slot2Pack</t>
  </si>
  <si>
    <t>calcCh4Prod3Slot2PackFitBase</t>
  </si>
  <si>
    <t>calcCh4Prod3Slot2Seg1PackFit</t>
  </si>
  <si>
    <t>calcCh4Prod3Slot2Seg2PackFit</t>
  </si>
  <si>
    <t>calcCh4Prod3Slot2Seg3PackFit</t>
  </si>
  <si>
    <t>calcCh4Prod3Slot2Seg4PackFit</t>
  </si>
  <si>
    <t>calcCh4Prod3Slot3Pack</t>
  </si>
  <si>
    <t>calcCh4Prod3Slot3PackFitBase</t>
  </si>
  <si>
    <t>calcCh4Prod3Slot3Seg1PackFit</t>
  </si>
  <si>
    <t>calcCh4Prod3Slot3Seg2PackFit</t>
  </si>
  <si>
    <t>calcCh4Prod3Slot3Seg3PackFit</t>
  </si>
  <si>
    <t>calcCh4Prod3Slot3Seg4PackFit</t>
  </si>
  <si>
    <t>calcCh4Prod4Slot1Pack</t>
  </si>
  <si>
    <t>calcCh4Prod4Slot1PackFitBase</t>
  </si>
  <si>
    <t>calcCh4Prod4Slot1Seg1PackFit</t>
  </si>
  <si>
    <t>calcCh4Prod4Slot1Seg2PackFit</t>
  </si>
  <si>
    <t>calcCh4Prod4Slot1Seg3PackFit</t>
  </si>
  <si>
    <t>calcCh4Prod4Slot1Seg4PackFit</t>
  </si>
  <si>
    <t>calcCh4Prod4Slot2Pack</t>
  </si>
  <si>
    <t>calcCh4Prod4Slot2PackFitBase</t>
  </si>
  <si>
    <t>calcCh4Prod4Slot2Seg1PackFit</t>
  </si>
  <si>
    <t>calcCh4Prod4Slot2Seg2PackFit</t>
  </si>
  <si>
    <t>calcCh4Prod4Slot2Seg3PackFit</t>
  </si>
  <si>
    <t>calcCh4Prod4Slot2Seg4PackFit</t>
  </si>
  <si>
    <t>calcCh4Prod4Slot3Pack</t>
  </si>
  <si>
    <t>calcCh4Prod4Slot3PackFitBase</t>
  </si>
  <si>
    <t>calcCh4Prod4Slot3Seg1PackFit</t>
  </si>
  <si>
    <t>calcCh4Prod4Slot3Seg2PackFit</t>
  </si>
  <si>
    <t>calcCh4Prod4Slot3Seg3PackFit</t>
  </si>
  <si>
    <t>calcCh4Prod4Slot3Seg4PackFit</t>
  </si>
  <si>
    <t>calcCh3Prod1Slot1Pack</t>
  </si>
  <si>
    <t>calcCh3Prod1Slot1PackFitBase</t>
  </si>
  <si>
    <t>calcCh3Prod1Slot1Seg1PackFit</t>
  </si>
  <si>
    <t>calcCh3Prod1Slot1Seg2PackFit</t>
  </si>
  <si>
    <t>calcCh3Prod1Slot1Seg3PackFit</t>
  </si>
  <si>
    <t>calcCh3Prod1Slot1Seg4PackFit</t>
  </si>
  <si>
    <t>calcCh3Prod1Slot2Pack</t>
  </si>
  <si>
    <t>calcCh3Prod1Slot2PackFitBase</t>
  </si>
  <si>
    <t>calcCh3Prod1Slot2Seg1PackFit</t>
  </si>
  <si>
    <t>calcCh3Prod1Slot2Seg2PackFit</t>
  </si>
  <si>
    <t>calcCh3Prod1Slot2Seg3PackFit</t>
  </si>
  <si>
    <t>calcCh3Prod1Slot2Seg4PackFit</t>
  </si>
  <si>
    <t>calcCh3Prod1Slot3Pack</t>
  </si>
  <si>
    <t>calcCh3Prod1Slot3PackFitBase</t>
  </si>
  <si>
    <t>calcCh3Prod1Slot3Seg1PackFit</t>
  </si>
  <si>
    <t>calcCh3Prod1Slot3Seg2PackFit</t>
  </si>
  <si>
    <t>calcCh3Prod1Slot3Seg3PackFit</t>
  </si>
  <si>
    <t>calcCh3Prod1Slot3Seg4PackFit</t>
  </si>
  <si>
    <t>calcCh3Prod2Slot1Pack</t>
  </si>
  <si>
    <t>calcCh3Prod2Slot1PackFitBase</t>
  </si>
  <si>
    <t>calcCh3Prod2Slot1Seg1PackFit</t>
  </si>
  <si>
    <t>calcCh3Prod2Slot1Seg2PackFit</t>
  </si>
  <si>
    <t>calcCh3Prod2Slot1Seg3PackFit</t>
  </si>
  <si>
    <t>calcCh3Prod2Slot1Seg4PackFit</t>
  </si>
  <si>
    <t>calcCh3Prod2Slot2Pack</t>
  </si>
  <si>
    <t>calcCh3Prod2Slot2PackFitBase</t>
  </si>
  <si>
    <t>calcCh3Prod2Slot2Seg1PackFit</t>
  </si>
  <si>
    <t>calcCh3Prod2Slot2Seg2PackFit</t>
  </si>
  <si>
    <t>calcCh3Prod2Slot2Seg3PackFit</t>
  </si>
  <si>
    <t>calcCh3Prod2Slot2Seg4PackFit</t>
  </si>
  <si>
    <t>calcCh3Prod2Slot3Pack</t>
  </si>
  <si>
    <t>calcCh3Prod2Slot3PackFitBase</t>
  </si>
  <si>
    <t>calcCh3Prod2Slot3Seg1PackFit</t>
  </si>
  <si>
    <t>calcCh3Prod2Slot3Seg2PackFit</t>
  </si>
  <si>
    <t>calcCh3Prod2Slot3Seg3PackFit</t>
  </si>
  <si>
    <t>calcCh3Prod2Slot3Seg4PackFit</t>
  </si>
  <si>
    <t>calcCh3Prod3Slot1Pack</t>
  </si>
  <si>
    <t>calcCh3Prod3Slot1PackFitBase</t>
  </si>
  <si>
    <t>calcCh3Prod3Slot1Seg1PackFit</t>
  </si>
  <si>
    <t>calcCh3Prod3Slot1Seg2PackFit</t>
  </si>
  <si>
    <t>calcCh3Prod3Slot1Seg3PackFit</t>
  </si>
  <si>
    <t>calcCh3Prod3Slot1Seg4PackFit</t>
  </si>
  <si>
    <t>calcCh3Prod3Slot2Pack</t>
  </si>
  <si>
    <t>calcCh3Prod3Slot2PackFitBase</t>
  </si>
  <si>
    <t>calcCh3Prod3Slot2Seg1PackFit</t>
  </si>
  <si>
    <t>calcCh3Prod3Slot2Seg2PackFit</t>
  </si>
  <si>
    <t>calcCh3Prod3Slot2Seg3PackFit</t>
  </si>
  <si>
    <t>calcCh3Prod3Slot2Seg4PackFit</t>
  </si>
  <si>
    <t>calcCh3Prod3Slot3Pack</t>
  </si>
  <si>
    <t>calcCh3Prod3Slot3PackFitBase</t>
  </si>
  <si>
    <t>calcCh3Prod3Slot3Seg1PackFit</t>
  </si>
  <si>
    <t>calcCh3Prod3Slot3Seg2PackFit</t>
  </si>
  <si>
    <t>calcCh3Prod3Slot3Seg3PackFit</t>
  </si>
  <si>
    <t>calcCh3Prod3Slot3Seg4PackFit</t>
  </si>
  <si>
    <t>calcCh3Prod4Slot1Pack</t>
  </si>
  <si>
    <t>calcCh3Prod4Slot1PackFitBase</t>
  </si>
  <si>
    <t>calcCh3Prod4Slot1Seg1PackFit</t>
  </si>
  <si>
    <t>calcCh3Prod4Slot1Seg2PackFit</t>
  </si>
  <si>
    <t>calcCh3Prod4Slot1Seg3PackFit</t>
  </si>
  <si>
    <t>calcCh3Prod4Slot1Seg4PackFit</t>
  </si>
  <si>
    <t>calcCh3Prod4Slot2Pack</t>
  </si>
  <si>
    <t>calcCh3Prod4Slot2PackFitBase</t>
  </si>
  <si>
    <t>calcCh3Prod4Slot2Seg1PackFit</t>
  </si>
  <si>
    <t>calcCh3Prod4Slot2Seg2PackFit</t>
  </si>
  <si>
    <t>calcCh3Prod4Slot2Seg3PackFit</t>
  </si>
  <si>
    <t>calcCh3Prod4Slot2Seg4PackFit</t>
  </si>
  <si>
    <t>calcCh3Prod4Slot3Pack</t>
  </si>
  <si>
    <t>calcCh3Prod4Slot3PackFitBase</t>
  </si>
  <si>
    <t>calcCh3Prod4Slot3Seg1PackFit</t>
  </si>
  <si>
    <t>calcCh3Prod4Slot3Seg2PackFit</t>
  </si>
  <si>
    <t>calcCh3Prod4Slot3Seg3PackFit</t>
  </si>
  <si>
    <t>calcCh3Prod4Slot3Seg4PackFit</t>
  </si>
  <si>
    <t>calcCh2Prod1Slot1Pack</t>
  </si>
  <si>
    <t>calcCh2Prod1Slot1PackFitBase</t>
  </si>
  <si>
    <t>calcCh2Prod1Slot1Seg1PackFit</t>
  </si>
  <si>
    <t>calcCh2Prod1Slot1Seg2PackFit</t>
  </si>
  <si>
    <t>calcCh2Prod1Slot1Seg3PackFit</t>
  </si>
  <si>
    <t>calcCh2Prod1Slot1Seg4PackFit</t>
  </si>
  <si>
    <t>calcCh2Prod1Slot2Pack</t>
  </si>
  <si>
    <t>calcCh2Prod1Slot2PackFitBase</t>
  </si>
  <si>
    <t>calcCh2Prod1Slot2Seg1PackFit</t>
  </si>
  <si>
    <t>calcCh2Prod1Slot2Seg2PackFit</t>
  </si>
  <si>
    <t>calcCh2Prod1Slot2Seg3PackFit</t>
  </si>
  <si>
    <t>calcCh2Prod1Slot2Seg4PackFit</t>
  </si>
  <si>
    <t>calcCh2Prod1Slot3Pack</t>
  </si>
  <si>
    <t>calcCh2Prod1Slot3PackFitBase</t>
  </si>
  <si>
    <t>calcCh2Prod1Slot3Seg1PackFit</t>
  </si>
  <si>
    <t>calcCh2Prod1Slot3Seg2PackFit</t>
  </si>
  <si>
    <t>calcCh2Prod1Slot3Seg3PackFit</t>
  </si>
  <si>
    <t>calcCh2Prod1Slot3Seg4PackFit</t>
  </si>
  <si>
    <t>calcCh2Prod2Slot1Pack</t>
  </si>
  <si>
    <t>calcCh2Prod2Slot1PackFitBase</t>
  </si>
  <si>
    <t>calcCh2Prod2Slot1Seg1PackFit</t>
  </si>
  <si>
    <t>calcCh2Prod2Slot1Seg2PackFit</t>
  </si>
  <si>
    <t>calcCh2Prod2Slot1Seg3PackFit</t>
  </si>
  <si>
    <t>calcCh2Prod2Slot1Seg4PackFit</t>
  </si>
  <si>
    <t>calcCh2Prod2Slot2Pack</t>
  </si>
  <si>
    <t>calcCh2Prod2Slot2PackFitBase</t>
  </si>
  <si>
    <t>calcCh2Prod2Slot2Seg1PackFit</t>
  </si>
  <si>
    <t>calcCh2Prod2Slot2Seg2PackFit</t>
  </si>
  <si>
    <t>calcCh2Prod2Slot2Seg3PackFit</t>
  </si>
  <si>
    <t>calcCh2Prod2Slot2Seg4PackFit</t>
  </si>
  <si>
    <t>calcCh2Prod2Slot3Pack</t>
  </si>
  <si>
    <t>calcCh2Prod2Slot3PackFitBase</t>
  </si>
  <si>
    <t>calcCh2Prod2Slot3Seg1PackFit</t>
  </si>
  <si>
    <t>calcCh2Prod2Slot3Seg2PackFit</t>
  </si>
  <si>
    <t>calcCh2Prod2Slot3Seg3PackFit</t>
  </si>
  <si>
    <t>calcCh2Prod2Slot3Seg4PackFit</t>
  </si>
  <si>
    <t>calcCh2Prod3Slot1Pack</t>
  </si>
  <si>
    <t>calcCh2Prod3Slot1PackFitBase</t>
  </si>
  <si>
    <t>calcCh2Prod3Slot1Seg1PackFit</t>
  </si>
  <si>
    <t>calcCh2Prod3Slot1Seg2PackFit</t>
  </si>
  <si>
    <t>calcCh2Prod3Slot1Seg3PackFit</t>
  </si>
  <si>
    <t>calcCh2Prod3Slot1Seg4PackFit</t>
  </si>
  <si>
    <t>calcCh2Prod3Slot2Pack</t>
  </si>
  <si>
    <t>calcCh2Prod3Slot2PackFitBase</t>
  </si>
  <si>
    <t>calcCh2Prod3Slot2Seg1PackFit</t>
  </si>
  <si>
    <t>calcCh2Prod3Slot2Seg2PackFit</t>
  </si>
  <si>
    <t>calcCh2Prod3Slot2Seg3PackFit</t>
  </si>
  <si>
    <t>calcCh2Prod3Slot2Seg4PackFit</t>
  </si>
  <si>
    <t>calcCh2Prod3Slot3Pack</t>
  </si>
  <si>
    <t>calcCh2Prod3Slot3PackFitBase</t>
  </si>
  <si>
    <t>calcCh2Prod3Slot3Seg1PackFit</t>
  </si>
  <si>
    <t>calcCh2Prod3Slot3Seg2PackFit</t>
  </si>
  <si>
    <t>calcCh2Prod3Slot3Seg3PackFit</t>
  </si>
  <si>
    <t>calcCh2Prod3Slot3Seg4PackFit</t>
  </si>
  <si>
    <t>calcCh2Prod4Slot1Pack</t>
  </si>
  <si>
    <t>calcCh2Prod4Slot1PackFitBase</t>
  </si>
  <si>
    <t>calcCh2Prod4Slot1Seg1PackFit</t>
  </si>
  <si>
    <t>calcCh2Prod4Slot1Seg2PackFit</t>
  </si>
  <si>
    <t>calcCh2Prod4Slot1Seg3PackFit</t>
  </si>
  <si>
    <t>calcCh2Prod4Slot1Seg4PackFit</t>
  </si>
  <si>
    <t>calcCh2Prod4Slot2Pack</t>
  </si>
  <si>
    <t>calcCh2Prod4Slot2PackFitBase</t>
  </si>
  <si>
    <t>calcCh2Prod4Slot2Seg1PackFit</t>
  </si>
  <si>
    <t>calcCh2Prod4Slot2Seg2PackFit</t>
  </si>
  <si>
    <t>calcCh2Prod4Slot2Seg3PackFit</t>
  </si>
  <si>
    <t>calcCh2Prod4Slot2Seg4PackFit</t>
  </si>
  <si>
    <t>calcCh2Prod4Slot3Pack</t>
  </si>
  <si>
    <t>calcCh2Prod4Slot3PackFitBase</t>
  </si>
  <si>
    <t>calcCh2Prod4Slot3Seg1PackFit</t>
  </si>
  <si>
    <t>calcCh2Prod4Slot3Seg2PackFit</t>
  </si>
  <si>
    <t>calcCh2Prod4Slot3Seg3PackFit</t>
  </si>
  <si>
    <t>calcCh2Prod4Slot3Seg4PackFit</t>
  </si>
  <si>
    <t>calcCh1Prod1Seg1AssortmentFit</t>
  </si>
  <si>
    <t>calcCh1Prod1Seg2AssortmentFit</t>
  </si>
  <si>
    <t>calcCh1Prod1Seg3AssortmentFit</t>
  </si>
  <si>
    <t>calcCh1Prod1Seg4AssortmentFit</t>
  </si>
  <si>
    <t>calcCh1Prod4Seg1AssortmentFit</t>
  </si>
  <si>
    <t>calcCh1Prod4Seg2AssortmentFit</t>
  </si>
  <si>
    <t>calcCh1Prod4Seg3AssortmentFit</t>
  </si>
  <si>
    <t>calcCh1Prod4Seg4AssortmentFit</t>
  </si>
  <si>
    <t>calcCh4Prod1Seg1AssortmentFit</t>
  </si>
  <si>
    <t>calcCh4Prod1Seg2AssortmentFit</t>
  </si>
  <si>
    <t>calcCh4Prod1Seg3AssortmentFit</t>
  </si>
  <si>
    <t>calcCh4Prod1Seg4AssortmentFit</t>
  </si>
  <si>
    <t>calcCh4Prod4Seg1AssortmentFit</t>
  </si>
  <si>
    <t>calcCh4Prod4Seg2AssortmentFit</t>
  </si>
  <si>
    <t>calcCh4Prod4Seg3AssortmentFit</t>
  </si>
  <si>
    <t>calcCh4Prod4Seg4AssortmentFit</t>
  </si>
  <si>
    <t>calcCh3Prod1Seg1AssortmentFit</t>
  </si>
  <si>
    <t>calcCh3Prod1Seg2AssortmentFit</t>
  </si>
  <si>
    <t>calcCh3Prod1Seg3AssortmentFit</t>
  </si>
  <si>
    <t>calcCh3Prod1Seg4AssortmentFit</t>
  </si>
  <si>
    <t>calcCh3Prod4Seg1AssortmentFit</t>
  </si>
  <si>
    <t>calcCh3Prod4Seg2AssortmentFit</t>
  </si>
  <si>
    <t>calcCh3Prod4Seg3AssortmentFit</t>
  </si>
  <si>
    <t>calcCh3Prod4Seg4AssortmentFit</t>
  </si>
  <si>
    <t>calcCh2Prod1Seg1AssortmentFit</t>
  </si>
  <si>
    <t>calcCh2Prod1Seg2AssortmentFit</t>
  </si>
  <si>
    <t>calcCh2Prod1Seg3AssortmentFit</t>
  </si>
  <si>
    <t>calcCh2Prod1Seg4AssortmentFit</t>
  </si>
  <si>
    <t>calcCh2Prod4Seg1AssortmentFit</t>
  </si>
  <si>
    <t>calcCh2Prod4Seg2AssortmentFit</t>
  </si>
  <si>
    <t>calcCh2Prod4Seg3AssortmentFit</t>
  </si>
  <si>
    <t>calcCh2Prod4Seg4AssortmentFit</t>
  </si>
  <si>
    <t>calcCh1ValDriv1AccStart</t>
  </si>
  <si>
    <t>calcCh1ValDriv1AccEnd</t>
  </si>
  <si>
    <t>obalCh1ValDriv1</t>
  </si>
  <si>
    <t>obalCh2ValDriv1</t>
  </si>
  <si>
    <t>obalCh3ValDriv1</t>
  </si>
  <si>
    <t>obalCh4ValDriv1</t>
  </si>
  <si>
    <t>cbalCh1ValDriv1</t>
  </si>
  <si>
    <t>cbalCh2ValDriv1</t>
  </si>
  <si>
    <t>cbalCh3ValDriv1</t>
  </si>
  <si>
    <t>cbalCh4ValDriv1</t>
  </si>
  <si>
    <t>paramCh1ValDriv1UnCondFactor</t>
  </si>
  <si>
    <t>paramCh2ValDriv1UnCondFactor</t>
  </si>
  <si>
    <t>paramCh3ValDriv1UnCondFactor</t>
  </si>
  <si>
    <t>paramCh4ValDriv1UnCondFactor</t>
  </si>
  <si>
    <t>calcCh2ValDriv1AccStart</t>
  </si>
  <si>
    <t>calcCh2ValDriv1AccEnd</t>
  </si>
  <si>
    <t>calcCh3ValDriv1AccStart</t>
  </si>
  <si>
    <t>calcCh3ValDriv1AccEnd</t>
  </si>
  <si>
    <t>calcCh4ValDriv1AccStart</t>
  </si>
  <si>
    <t>calcCh4ValDriv1AccEnd</t>
  </si>
  <si>
    <t>Weighted Distribution</t>
  </si>
  <si>
    <t>Baseline</t>
  </si>
  <si>
    <t>calcCh1Prod1Slot1WD</t>
  </si>
  <si>
    <t>dataCh1WdDecImpacts</t>
  </si>
  <si>
    <t>dataCh4WdDecImpacts</t>
  </si>
  <si>
    <t>dataCh3WdDecImpacts</t>
  </si>
  <si>
    <t>dataCh2WdDecImpacts</t>
  </si>
  <si>
    <t>dataCh1WdBaseline</t>
  </si>
  <si>
    <t>dataCh4WdBaseline</t>
  </si>
  <si>
    <t>dataCh3WdBaseline</t>
  </si>
  <si>
    <t>dataCh2WdBaseline</t>
  </si>
  <si>
    <t>calcCh1Prod1Slot2WD</t>
  </si>
  <si>
    <t>calcCh1Prod1Slot3WD</t>
  </si>
  <si>
    <t>calcCh1Prod4Slot1WD</t>
  </si>
  <si>
    <t>calcCh1Prod4Slot2WD</t>
  </si>
  <si>
    <t>calcCh1Prod4Slot3WD</t>
  </si>
  <si>
    <t>calcCh1Prod3Slot1WD</t>
  </si>
  <si>
    <t>calcCh1Prod3Slot2WD</t>
  </si>
  <si>
    <t>calcCh1Prod3Slot3WD</t>
  </si>
  <si>
    <t>calcCh1Prod2Slot1WD</t>
  </si>
  <si>
    <t>calcCh1Prod2Slot2WD</t>
  </si>
  <si>
    <t>calcCh1Prod2Slot3WD</t>
  </si>
  <si>
    <t>calcCh4Prod1Slot1WD</t>
  </si>
  <si>
    <t>calcCh4Prod1Slot2WD</t>
  </si>
  <si>
    <t>calcCh4Prod1Slot3WD</t>
  </si>
  <si>
    <t>calcCh4Prod2Slot1WD</t>
  </si>
  <si>
    <t>calcCh4Prod2Slot2WD</t>
  </si>
  <si>
    <t>calcCh4Prod2Slot3WD</t>
  </si>
  <si>
    <t>calcCh4Prod3Slot1WD</t>
  </si>
  <si>
    <t>calcCh4Prod3Slot2WD</t>
  </si>
  <si>
    <t>calcCh4Prod3Slot3WD</t>
  </si>
  <si>
    <t>calcCh4Prod4Slot1WD</t>
  </si>
  <si>
    <t>calcCh4Prod4Slot2WD</t>
  </si>
  <si>
    <t>calcCh4Prod4Slot3WD</t>
  </si>
  <si>
    <t>calcCh3Prod1Slot1WD</t>
  </si>
  <si>
    <t>calcCh3Prod1Slot2WD</t>
  </si>
  <si>
    <t>calcCh3Prod1Slot3WD</t>
  </si>
  <si>
    <t>calcCh3Prod2Slot1WD</t>
  </si>
  <si>
    <t>calcCh3Prod2Slot2WD</t>
  </si>
  <si>
    <t>calcCh3Prod2Slot3WD</t>
  </si>
  <si>
    <t>calcCh3Prod3Slot1WD</t>
  </si>
  <si>
    <t>calcCh3Prod3Slot2WD</t>
  </si>
  <si>
    <t>calcCh3Prod3Slot3WD</t>
  </si>
  <si>
    <t>calcCh3Prod4Slot1WD</t>
  </si>
  <si>
    <t>calcCh3Prod4Slot2WD</t>
  </si>
  <si>
    <t>calcCh3Prod4Slot3WD</t>
  </si>
  <si>
    <t>calcCh2Prod1Slot1WD</t>
  </si>
  <si>
    <t>calcCh2Prod1Slot2WD</t>
  </si>
  <si>
    <t>calcCh2Prod1Slot3WD</t>
  </si>
  <si>
    <t>calcCh2Prod2Slot1WD</t>
  </si>
  <si>
    <t>calcCh2Prod2Slot2WD</t>
  </si>
  <si>
    <t>calcCh2Prod2Slot3WD</t>
  </si>
  <si>
    <t>calcCh2Prod3Slot1WD</t>
  </si>
  <si>
    <t>calcCh2Prod3Slot2WD</t>
  </si>
  <si>
    <t>calcCh2Prod3Slot3WD</t>
  </si>
  <si>
    <t>calcCh2Prod4Slot1WD</t>
  </si>
  <si>
    <t>calcCh2Prod4Slot2WD</t>
  </si>
  <si>
    <t>calcCh2Prod4Slot3WD</t>
  </si>
  <si>
    <t>VTCh1_AvailableProgramDropDown</t>
  </si>
  <si>
    <t xml:space="preserve">Use the above cell to create a drop-down menu for VTCh1s in the VTCh1m by uVTCh1ng data validation to read from a list.  </t>
  </si>
  <si>
    <t>In the list source, type "=indirect(VTCh1_AvailableProgramDropDown)".</t>
  </si>
  <si>
    <t>VTCh1_currentRound</t>
  </si>
  <si>
    <t>VTCh1_selectedSeparator</t>
  </si>
  <si>
    <t>VTCh1_Index</t>
  </si>
  <si>
    <t>VTCh1_Code</t>
  </si>
  <si>
    <t>VTCh1_Name</t>
  </si>
  <si>
    <t>VTCh1_DisplayedName</t>
  </si>
  <si>
    <t>VTCh1_AvailableCount</t>
  </si>
  <si>
    <t>VTCh1_WorksheetName</t>
  </si>
  <si>
    <t>Available VTCh1s</t>
  </si>
  <si>
    <t>VTCh1_TotalAvailable</t>
  </si>
  <si>
    <t>Link this to the current round</t>
  </si>
  <si>
    <t>Variance Tracker</t>
  </si>
  <si>
    <t>Selected</t>
  </si>
  <si>
    <t>decCh1VT</t>
  </si>
  <si>
    <t>decCh2VT</t>
  </si>
  <si>
    <t>decCh3VT</t>
  </si>
  <si>
    <t>decCh4VT</t>
  </si>
  <si>
    <t>calcCh1VtCode</t>
  </si>
  <si>
    <t>calcCh1Vt</t>
  </si>
  <si>
    <t>calcCh4Vt</t>
  </si>
  <si>
    <t>calcCh4VtCode</t>
  </si>
  <si>
    <t>calcCh3Vt</t>
  </si>
  <si>
    <t>calcCh3VtCode</t>
  </si>
  <si>
    <t>calcCh2Vt</t>
  </si>
  <si>
    <t>calcCh2VtCode</t>
  </si>
  <si>
    <t>Column 1</t>
  </si>
  <si>
    <t>Totals</t>
  </si>
  <si>
    <t>Column 2</t>
  </si>
  <si>
    <t>Tot %</t>
  </si>
  <si>
    <t>Per Liter %</t>
  </si>
  <si>
    <t>4Ltr Keg</t>
  </si>
  <si>
    <t>25Ltr Keg</t>
  </si>
  <si>
    <t>Dashboard 6</t>
  </si>
  <si>
    <t>DB_ArrayDash6Names</t>
  </si>
  <si>
    <t>DB_ArrayDash6Values</t>
  </si>
  <si>
    <t>DB_Dashboard6</t>
  </si>
  <si>
    <t>Dashboard 7</t>
  </si>
  <si>
    <t>DB_ArrayDash7Names</t>
  </si>
  <si>
    <t>DB_ArrayDash7Values</t>
  </si>
  <si>
    <t>DB_Dashboard7</t>
  </si>
  <si>
    <t>Company:  Rev</t>
  </si>
  <si>
    <t>Company Decisions</t>
  </si>
  <si>
    <t>paramProd1MatExpSI</t>
  </si>
  <si>
    <t>paramProd2MatExpSI</t>
  </si>
  <si>
    <t>paramProd3MatExpSI</t>
  </si>
  <si>
    <t>paramProd4MatExpSI</t>
  </si>
  <si>
    <t>paramProd1LabourExpSI</t>
  </si>
  <si>
    <t>paramProd2LabourExpSI</t>
  </si>
  <si>
    <t>paramProd3LabourExpSI</t>
  </si>
  <si>
    <t>paramProd4LabourExpSI</t>
  </si>
  <si>
    <t>paramProd1LogExpSI</t>
  </si>
  <si>
    <t>paramProd2LogExpSI</t>
  </si>
  <si>
    <t>paramProd3LogExpSI</t>
  </si>
  <si>
    <t>paramProd4LogExpSI</t>
  </si>
  <si>
    <t>Cost of Goods Sold</t>
  </si>
  <si>
    <t>finCalcCh1Prod1Slot1MatExpPerUnitBase</t>
  </si>
  <si>
    <t>finCalcCh1Prod1Slot1MatExpPUnitTot</t>
  </si>
  <si>
    <t>finCalcCh1Prod1Slot1LabourCostPerHour</t>
  </si>
  <si>
    <t>Total Labour Hours Required</t>
  </si>
  <si>
    <t>finCalcCh1Prod1Slot1LabourHrsReqPVolBase</t>
  </si>
  <si>
    <t>Total hours Required per Volume</t>
  </si>
  <si>
    <t>finCalcCh1Prod1Slot1LabourHrsReqPVolFrcAdj</t>
  </si>
  <si>
    <t>finCalcCh1Prod1Slot1LabourHrsReqPVolSIAdj</t>
  </si>
  <si>
    <t>finCalcCh1Prod1Slot1LabourHrsReqPVolTot</t>
  </si>
  <si>
    <t>finCalcCh1Prod1Slot1LogExpSIAdj</t>
  </si>
  <si>
    <t>finCalcCh1Prod1Slot1LogExpFrcAdj</t>
  </si>
  <si>
    <t>finCalcCh1Prod1Slot1MatExpSIAdj</t>
  </si>
  <si>
    <t>finCalcCh1Prod1Slot1MatExpFrcAdj</t>
  </si>
  <si>
    <t>finCalcCh1Prod1Slot2MatExpPerUnitBase</t>
  </si>
  <si>
    <t>finCalcCh1Prod1Slot2MatExpFrcAdj</t>
  </si>
  <si>
    <t>finCalcCh1Prod1Slot2MatExpSIAdj</t>
  </si>
  <si>
    <t>finCalcCh1Prod1Slot2MatExpPUnitTot</t>
  </si>
  <si>
    <t>finCalcCh1Prod1Slot2LabourHrsReqPVolBase</t>
  </si>
  <si>
    <t>finCalcCh1Prod1Slot2LabourHrsReqPVolFrcAdj</t>
  </si>
  <si>
    <t>finCalcCh1Prod1Slot2LabourHrsReqPVolSIAdj</t>
  </si>
  <si>
    <t>finCalcCh1Prod1Slot2LabourHrsReqPVolTot</t>
  </si>
  <si>
    <t>finCalcCh1Prod1Slot2LabourCostPerHour</t>
  </si>
  <si>
    <t>finCalcCh1Prod1Slot2LogExpFrcAdj</t>
  </si>
  <si>
    <t>finCalcCh1Prod1Slot2LogExpSIAdj</t>
  </si>
  <si>
    <t>finCalcCh1Prod1Slot3MatExpPerUnitBase</t>
  </si>
  <si>
    <t>finCalcCh1Prod1Slot3MatExpFrcAdj</t>
  </si>
  <si>
    <t>finCalcCh1Prod1Slot3MatExpSIAdj</t>
  </si>
  <si>
    <t>finCalcCh1Prod1Slot3MatExpPUnitTot</t>
  </si>
  <si>
    <t>finCalcCh1Prod1Slot3LabourHrsReqPVolBase</t>
  </si>
  <si>
    <t>finCalcCh1Prod1Slot3LabourHrsReqPVolFrcAdj</t>
  </si>
  <si>
    <t>finCalcCh1Prod1Slot3LabourHrsReqPVolSIAdj</t>
  </si>
  <si>
    <t>finCalcCh1Prod1Slot3LabourHrsReqPVolTot</t>
  </si>
  <si>
    <t>finCalcCh1Prod1Slot3LabourCostPerHour</t>
  </si>
  <si>
    <t>finCalcCh1Prod1Slot3LogExpFrcAdj</t>
  </si>
  <si>
    <t>finCalcCh1Prod1Slot3LogExpSIAdj</t>
  </si>
  <si>
    <t>finCalcCh1Prod2Slot1MatExpPerUnitBase</t>
  </si>
  <si>
    <t>finCalcCh1Prod2Slot1MatExpFrcAdj</t>
  </si>
  <si>
    <t>finCalcCh1Prod2Slot1MatExpSIAdj</t>
  </si>
  <si>
    <t>finCalcCh1Prod2Slot1MatExpPUnitTot</t>
  </si>
  <si>
    <t>finCalcCh1Prod2Slot1LabourHrsReqPVolBase</t>
  </si>
  <si>
    <t>finCalcCh1Prod2Slot1LabourHrsReqPVolFrcAdj</t>
  </si>
  <si>
    <t>finCalcCh1Prod2Slot1LabourHrsReqPVolSIAdj</t>
  </si>
  <si>
    <t>finCalcCh1Prod2Slot1LabourHrsReqPVolTot</t>
  </si>
  <si>
    <t>finCalcCh1Prod2Slot1LabourCostPerHour</t>
  </si>
  <si>
    <t>finCalcCh1Prod2Slot1LogExpFrcAdj</t>
  </si>
  <si>
    <t>finCalcCh1Prod2Slot1LogExpSIAdj</t>
  </si>
  <si>
    <t>finCalcCh1Prod2Slot2MatExpPerUnitBase</t>
  </si>
  <si>
    <t>finCalcCh1Prod2Slot2MatExpFrcAdj</t>
  </si>
  <si>
    <t>finCalcCh1Prod2Slot2MatExpSIAdj</t>
  </si>
  <si>
    <t>finCalcCh1Prod2Slot2MatExpPUnitTot</t>
  </si>
  <si>
    <t>finCalcCh1Prod2Slot2LabourHrsReqPVolBase</t>
  </si>
  <si>
    <t>finCalcCh1Prod2Slot2LabourHrsReqPVolFrcAdj</t>
  </si>
  <si>
    <t>finCalcCh1Prod2Slot2LabourHrsReqPVolSIAdj</t>
  </si>
  <si>
    <t>finCalcCh1Prod2Slot2LabourHrsReqPVolTot</t>
  </si>
  <si>
    <t>finCalcCh1Prod2Slot2LabourCostPerHour</t>
  </si>
  <si>
    <t>finCalcCh1Prod2Slot2LogExpFrcAdj</t>
  </si>
  <si>
    <t>finCalcCh1Prod2Slot2LogExpSIAdj</t>
  </si>
  <si>
    <t>finCalcCh1Prod2Slot3MatExpPerUnitBase</t>
  </si>
  <si>
    <t>finCalcCh1Prod2Slot3MatExpFrcAdj</t>
  </si>
  <si>
    <t>finCalcCh1Prod2Slot3MatExpSIAdj</t>
  </si>
  <si>
    <t>finCalcCh1Prod2Slot3MatExpPUnitTot</t>
  </si>
  <si>
    <t>finCalcCh1Prod2Slot3LabourHrsReqPVolBase</t>
  </si>
  <si>
    <t>finCalcCh1Prod2Slot3LabourHrsReqPVolFrcAdj</t>
  </si>
  <si>
    <t>finCalcCh1Prod2Slot3LabourHrsReqPVolSIAdj</t>
  </si>
  <si>
    <t>finCalcCh1Prod2Slot3LabourHrsReqPVolTot</t>
  </si>
  <si>
    <t>finCalcCh1Prod2Slot3LabourCostPerHour</t>
  </si>
  <si>
    <t>finCalcCh1Prod2Slot3LogExpFrcAdj</t>
  </si>
  <si>
    <t>finCalcCh1Prod2Slot3LogExpSIAdj</t>
  </si>
  <si>
    <t>Slot2</t>
  </si>
  <si>
    <t>Slot1</t>
  </si>
  <si>
    <t>Slot3</t>
  </si>
  <si>
    <t>finCalcCh1Prod3Slot1MatExpPerUnitBase</t>
  </si>
  <si>
    <t>finCalcCh1Prod3Slot1MatExpFrcAdj</t>
  </si>
  <si>
    <t>finCalcCh1Prod3Slot1MatExpSIAdj</t>
  </si>
  <si>
    <t>finCalcCh1Prod3Slot1MatExpPUnitTot</t>
  </si>
  <si>
    <t>finCalcCh1Prod3Slot1LabourHrsReqPVolBase</t>
  </si>
  <si>
    <t>finCalcCh1Prod3Slot1LabourHrsReqPVolFrcAdj</t>
  </si>
  <si>
    <t>finCalcCh1Prod3Slot1LabourHrsReqPVolSIAdj</t>
  </si>
  <si>
    <t>finCalcCh1Prod3Slot1LabourHrsReqPVolTot</t>
  </si>
  <si>
    <t>finCalcCh1Prod3Slot1LabourCostPerHour</t>
  </si>
  <si>
    <t>finCalcCh1Prod3Slot1LogExpFrcAdj</t>
  </si>
  <si>
    <t>finCalcCh1Prod3Slot1LogExpSIAdj</t>
  </si>
  <si>
    <t>finCalcCh1Prod3Slot2MatExpPerUnitBase</t>
  </si>
  <si>
    <t>finCalcCh1Prod3Slot2MatExpFrcAdj</t>
  </si>
  <si>
    <t>finCalcCh1Prod3Slot2MatExpSIAdj</t>
  </si>
  <si>
    <t>finCalcCh1Prod3Slot2MatExpPUnitTot</t>
  </si>
  <si>
    <t>finCalcCh1Prod3Slot2LabourHrsReqPVolBase</t>
  </si>
  <si>
    <t>finCalcCh1Prod3Slot2LabourHrsReqPVolFrcAdj</t>
  </si>
  <si>
    <t>finCalcCh1Prod3Slot2LabourHrsReqPVolSIAdj</t>
  </si>
  <si>
    <t>finCalcCh1Prod3Slot2LabourHrsReqPVolTot</t>
  </si>
  <si>
    <t>finCalcCh1Prod3Slot2LabourCostPerHour</t>
  </si>
  <si>
    <t>finCalcCh1Prod3Slot2LogExpFrcAdj</t>
  </si>
  <si>
    <t>finCalcCh1Prod3Slot2LogExpSIAdj</t>
  </si>
  <si>
    <t>finCalcCh1Prod3Slot3MatExpPerUnitBase</t>
  </si>
  <si>
    <t>finCalcCh1Prod3Slot3MatExpFrcAdj</t>
  </si>
  <si>
    <t>finCalcCh1Prod3Slot3MatExpSIAdj</t>
  </si>
  <si>
    <t>finCalcCh1Prod3Slot3MatExpPUnitTot</t>
  </si>
  <si>
    <t>finCalcCh1Prod3Slot3LabourHrsReqPVolBase</t>
  </si>
  <si>
    <t>finCalcCh1Prod3Slot3LabourHrsReqPVolFrcAdj</t>
  </si>
  <si>
    <t>finCalcCh1Prod3Slot3LabourHrsReqPVolSIAdj</t>
  </si>
  <si>
    <t>finCalcCh1Prod3Slot3LabourHrsReqPVolTot</t>
  </si>
  <si>
    <t>finCalcCh1Prod3Slot3LabourCostPerHour</t>
  </si>
  <si>
    <t>finCalcCh1Prod3Slot3LogExpFrcAdj</t>
  </si>
  <si>
    <t>finCalcCh1Prod3Slot3LogExpSIAdj</t>
  </si>
  <si>
    <t>finCalcCh1Prod4Slot1MatExpPerUnitBase</t>
  </si>
  <si>
    <t>finCalcCh1Prod4Slot1MatExpFrcAdj</t>
  </si>
  <si>
    <t>finCalcCh1Prod4Slot1MatExpSIAdj</t>
  </si>
  <si>
    <t>finCalcCh1Prod4Slot1MatExpPUnitTot</t>
  </si>
  <si>
    <t>finCalcCh1Prod4Slot1LabourHrsReqPVolBase</t>
  </si>
  <si>
    <t>finCalcCh1Prod4Slot1LabourHrsReqPVolFrcAdj</t>
  </si>
  <si>
    <t>finCalcCh1Prod4Slot1LabourHrsReqPVolSIAdj</t>
  </si>
  <si>
    <t>finCalcCh1Prod4Slot1LabourHrsReqPVolTot</t>
  </si>
  <si>
    <t>finCalcCh1Prod4Slot1LabourCostPerHour</t>
  </si>
  <si>
    <t>finCalcCh1Prod4Slot1LogExpFrcAdj</t>
  </si>
  <si>
    <t>finCalcCh1Prod4Slot1LogExpSIAdj</t>
  </si>
  <si>
    <t>finCalcCh1Prod4Slot2MatExpPerUnitBase</t>
  </si>
  <si>
    <t>finCalcCh1Prod4Slot2MatExpFrcAdj</t>
  </si>
  <si>
    <t>finCalcCh1Prod4Slot2MatExpSIAdj</t>
  </si>
  <si>
    <t>finCalcCh1Prod4Slot2MatExpPUnitTot</t>
  </si>
  <si>
    <t>finCalcCh1Prod4Slot2LabourHrsReqPVolBase</t>
  </si>
  <si>
    <t>finCalcCh1Prod4Slot2LabourHrsReqPVolFrcAdj</t>
  </si>
  <si>
    <t>finCalcCh1Prod4Slot2LabourHrsReqPVolSIAdj</t>
  </si>
  <si>
    <t>finCalcCh1Prod4Slot2LabourHrsReqPVolTot</t>
  </si>
  <si>
    <t>finCalcCh1Prod4Slot2LabourCostPerHour</t>
  </si>
  <si>
    <t>finCalcCh1Prod4Slot2LogExpFrcAdj</t>
  </si>
  <si>
    <t>finCalcCh1Prod4Slot2LogExpSIAdj</t>
  </si>
  <si>
    <t>finCalcCh1Prod4Slot3MatExpPerUnitBase</t>
  </si>
  <si>
    <t>finCalcCh1Prod4Slot3MatExpFrcAdj</t>
  </si>
  <si>
    <t>finCalcCh1Prod4Slot3MatExpSIAdj</t>
  </si>
  <si>
    <t>finCalcCh1Prod4Slot3MatExpPUnitTot</t>
  </si>
  <si>
    <t>finCalcCh1Prod4Slot3LabourHrsReqPVolBase</t>
  </si>
  <si>
    <t>finCalcCh1Prod4Slot3LabourHrsReqPVolFrcAdj</t>
  </si>
  <si>
    <t>finCalcCh1Prod4Slot3LabourHrsReqPVolSIAdj</t>
  </si>
  <si>
    <t>finCalcCh1Prod4Slot3LabourHrsReqPVolTot</t>
  </si>
  <si>
    <t>finCalcCh1Prod4Slot3LabourCostPerHour</t>
  </si>
  <si>
    <t>finCalcCh1Prod4Slot3LogExpFrcAdj</t>
  </si>
  <si>
    <t>finCalcCh1Prod4Slot3LogExpSIAdj</t>
  </si>
  <si>
    <t>finCalcCh2Prod1Slot1MatExpPerUnitBase</t>
  </si>
  <si>
    <t>finCalcCh2Prod1Slot1MatExpFrcAdj</t>
  </si>
  <si>
    <t>finCalcCh2Prod1Slot1MatExpSIAdj</t>
  </si>
  <si>
    <t>finCalcCh2Prod1Slot1MatExpPUnitTot</t>
  </si>
  <si>
    <t>finCalcCh2Prod1Slot1LabourHrsReqPVolBase</t>
  </si>
  <si>
    <t>finCalcCh2Prod1Slot1LabourHrsReqPVolFrcAdj</t>
  </si>
  <si>
    <t>finCalcCh2Prod1Slot1LabourHrsReqPVolSIAdj</t>
  </si>
  <si>
    <t>finCalcCh2Prod1Slot1LabourHrsReqPVolTot</t>
  </si>
  <si>
    <t>finCalcCh2Prod1Slot1LabourCostPerHour</t>
  </si>
  <si>
    <t>finCalcCh2Prod1Slot1LogExpFrcAdj</t>
  </si>
  <si>
    <t>finCalcCh2Prod1Slot1LogExpSIAdj</t>
  </si>
  <si>
    <t>finCalcCh2Prod1Slot2MatExpPerUnitBase</t>
  </si>
  <si>
    <t>finCalcCh2Prod1Slot2MatExpFrcAdj</t>
  </si>
  <si>
    <t>finCalcCh2Prod1Slot2MatExpSIAdj</t>
  </si>
  <si>
    <t>finCalcCh2Prod1Slot2MatExpPUnitTot</t>
  </si>
  <si>
    <t>finCalcCh2Prod1Slot2LabourHrsReqPVolBase</t>
  </si>
  <si>
    <t>finCalcCh2Prod1Slot2LabourHrsReqPVolFrcAdj</t>
  </si>
  <si>
    <t>finCalcCh2Prod1Slot2LabourHrsReqPVolSIAdj</t>
  </si>
  <si>
    <t>finCalcCh2Prod1Slot2LabourHrsReqPVolTot</t>
  </si>
  <si>
    <t>finCalcCh2Prod1Slot2LabourCostPerHour</t>
  </si>
  <si>
    <t>finCalcCh2Prod1Slot2LogExpFrcAdj</t>
  </si>
  <si>
    <t>finCalcCh2Prod1Slot2LogExpSIAdj</t>
  </si>
  <si>
    <t>finCalcCh2Prod1Slot3MatExpPerUnitBase</t>
  </si>
  <si>
    <t>finCalcCh2Prod1Slot3MatExpFrcAdj</t>
  </si>
  <si>
    <t>finCalcCh2Prod1Slot3MatExpSIAdj</t>
  </si>
  <si>
    <t>finCalcCh2Prod1Slot3MatExpPUnitTot</t>
  </si>
  <si>
    <t>finCalcCh2Prod1Slot3LabourHrsReqPVolBase</t>
  </si>
  <si>
    <t>finCalcCh2Prod1Slot3LabourHrsReqPVolFrcAdj</t>
  </si>
  <si>
    <t>finCalcCh2Prod1Slot3LabourHrsReqPVolSIAdj</t>
  </si>
  <si>
    <t>finCalcCh2Prod1Slot3LabourHrsReqPVolTot</t>
  </si>
  <si>
    <t>finCalcCh2Prod1Slot3LabourCostPerHour</t>
  </si>
  <si>
    <t>finCalcCh2Prod1Slot3LogExpFrcAdj</t>
  </si>
  <si>
    <t>finCalcCh2Prod1Slot3LogExpSIAdj</t>
  </si>
  <si>
    <t>finCalcCh2Prod2Slot1MatExpPerUnitBase</t>
  </si>
  <si>
    <t>finCalcCh2Prod2Slot1MatExpFrcAdj</t>
  </si>
  <si>
    <t>finCalcCh2Prod2Slot1MatExpSIAdj</t>
  </si>
  <si>
    <t>finCalcCh2Prod2Slot1MatExpPUnitTot</t>
  </si>
  <si>
    <t>finCalcCh2Prod2Slot1LabourHrsReqPVolBase</t>
  </si>
  <si>
    <t>finCalcCh2Prod2Slot1LabourHrsReqPVolFrcAdj</t>
  </si>
  <si>
    <t>finCalcCh2Prod2Slot1LabourHrsReqPVolSIAdj</t>
  </si>
  <si>
    <t>finCalcCh2Prod2Slot1LabourHrsReqPVolTot</t>
  </si>
  <si>
    <t>finCalcCh2Prod2Slot1LabourCostPerHour</t>
  </si>
  <si>
    <t>finCalcCh2Prod2Slot1LogExpFrcAdj</t>
  </si>
  <si>
    <t>finCalcCh2Prod2Slot1LogExpSIAdj</t>
  </si>
  <si>
    <t>finCalcCh2Prod2Slot2MatExpPerUnitBase</t>
  </si>
  <si>
    <t>finCalcCh2Prod2Slot2MatExpFrcAdj</t>
  </si>
  <si>
    <t>finCalcCh2Prod2Slot2MatExpSIAdj</t>
  </si>
  <si>
    <t>finCalcCh2Prod2Slot2MatExpPUnitTot</t>
  </si>
  <si>
    <t>finCalcCh2Prod2Slot2LabourHrsReqPVolBase</t>
  </si>
  <si>
    <t>finCalcCh2Prod2Slot2LabourHrsReqPVolFrcAdj</t>
  </si>
  <si>
    <t>finCalcCh2Prod2Slot2LabourHrsReqPVolSIAdj</t>
  </si>
  <si>
    <t>finCalcCh2Prod2Slot2LabourHrsReqPVolTot</t>
  </si>
  <si>
    <t>finCalcCh2Prod2Slot2LabourCostPerHour</t>
  </si>
  <si>
    <t>finCalcCh2Prod2Slot2LogExpFrcAdj</t>
  </si>
  <si>
    <t>finCalcCh2Prod2Slot2LogExpSIAdj</t>
  </si>
  <si>
    <t>finCalcCh2Prod2Slot3MatExpPerUnitBase</t>
  </si>
  <si>
    <t>finCalcCh2Prod2Slot3MatExpFrcAdj</t>
  </si>
  <si>
    <t>finCalcCh2Prod2Slot3MatExpSIAdj</t>
  </si>
  <si>
    <t>finCalcCh2Prod2Slot3MatExpPUnitTot</t>
  </si>
  <si>
    <t>finCalcCh2Prod2Slot3LabourHrsReqPVolBase</t>
  </si>
  <si>
    <t>finCalcCh2Prod2Slot3LabourHrsReqPVolFrcAdj</t>
  </si>
  <si>
    <t>finCalcCh2Prod2Slot3LabourHrsReqPVolSIAdj</t>
  </si>
  <si>
    <t>finCalcCh2Prod2Slot3LabourHrsReqPVolTot</t>
  </si>
  <si>
    <t>finCalcCh2Prod2Slot3LabourCostPerHour</t>
  </si>
  <si>
    <t>finCalcCh2Prod2Slot3LogExpFrcAdj</t>
  </si>
  <si>
    <t>finCalcCh2Prod2Slot3LogExpSIAdj</t>
  </si>
  <si>
    <t>finCalcCh2Prod3Slot1MatExpPerUnitBase</t>
  </si>
  <si>
    <t>finCalcCh2Prod3Slot1MatExpFrcAdj</t>
  </si>
  <si>
    <t>finCalcCh2Prod3Slot1MatExpSIAdj</t>
  </si>
  <si>
    <t>finCalcCh2Prod3Slot1MatExpPUnitTot</t>
  </si>
  <si>
    <t>finCalcCh2Prod3Slot1LabourHrsReqPVolBase</t>
  </si>
  <si>
    <t>finCalcCh2Prod3Slot1LabourHrsReqPVolFrcAdj</t>
  </si>
  <si>
    <t>finCalcCh2Prod3Slot1LabourHrsReqPVolSIAdj</t>
  </si>
  <si>
    <t>finCalcCh2Prod3Slot1LabourHrsReqPVolTot</t>
  </si>
  <si>
    <t>finCalcCh2Prod3Slot1LabourCostPerHour</t>
  </si>
  <si>
    <t>finCalcCh2Prod3Slot1LogExpFrcAdj</t>
  </si>
  <si>
    <t>finCalcCh2Prod3Slot1LogExpSIAdj</t>
  </si>
  <si>
    <t>finCalcCh2Prod3Slot2MatExpPerUnitBase</t>
  </si>
  <si>
    <t>finCalcCh2Prod3Slot2MatExpFrcAdj</t>
  </si>
  <si>
    <t>finCalcCh2Prod3Slot2MatExpSIAdj</t>
  </si>
  <si>
    <t>finCalcCh2Prod3Slot2MatExpPUnitTot</t>
  </si>
  <si>
    <t>finCalcCh2Prod3Slot2LabourHrsReqPVolBase</t>
  </si>
  <si>
    <t>finCalcCh2Prod3Slot2LabourHrsReqPVolFrcAdj</t>
  </si>
  <si>
    <t>finCalcCh2Prod3Slot2LabourHrsReqPVolSIAdj</t>
  </si>
  <si>
    <t>finCalcCh2Prod3Slot2LabourHrsReqPVolTot</t>
  </si>
  <si>
    <t>finCalcCh2Prod3Slot2LabourCostPerHour</t>
  </si>
  <si>
    <t>finCalcCh2Prod3Slot2LogExpFrcAdj</t>
  </si>
  <si>
    <t>finCalcCh2Prod3Slot2LogExpSIAdj</t>
  </si>
  <si>
    <t>finCalcCh2Prod3Slot3MatExpPerUnitBase</t>
  </si>
  <si>
    <t>finCalcCh2Prod3Slot3MatExpFrcAdj</t>
  </si>
  <si>
    <t>finCalcCh2Prod3Slot3MatExpSIAdj</t>
  </si>
  <si>
    <t>finCalcCh2Prod3Slot3MatExpPUnitTot</t>
  </si>
  <si>
    <t>finCalcCh2Prod3Slot3LabourHrsReqPVolBase</t>
  </si>
  <si>
    <t>finCalcCh2Prod3Slot3LabourHrsReqPVolFrcAdj</t>
  </si>
  <si>
    <t>finCalcCh2Prod3Slot3LabourHrsReqPVolSIAdj</t>
  </si>
  <si>
    <t>finCalcCh2Prod3Slot3LabourHrsReqPVolTot</t>
  </si>
  <si>
    <t>finCalcCh2Prod3Slot3LabourCostPerHour</t>
  </si>
  <si>
    <t>finCalcCh2Prod3Slot3LogExpFrcAdj</t>
  </si>
  <si>
    <t>finCalcCh2Prod3Slot3LogExpSIAdj</t>
  </si>
  <si>
    <t>finCalcCh2Prod4Slot1MatExpPerUnitBase</t>
  </si>
  <si>
    <t>finCalcCh2Prod4Slot1MatExpFrcAdj</t>
  </si>
  <si>
    <t>finCalcCh2Prod4Slot1MatExpSIAdj</t>
  </si>
  <si>
    <t>finCalcCh2Prod4Slot1MatExpPUnitTot</t>
  </si>
  <si>
    <t>finCalcCh2Prod4Slot1LabourHrsReqPVolBase</t>
  </si>
  <si>
    <t>finCalcCh2Prod4Slot1LabourHrsReqPVolFrcAdj</t>
  </si>
  <si>
    <t>finCalcCh2Prod4Slot1LabourHrsReqPVolSIAdj</t>
  </si>
  <si>
    <t>finCalcCh2Prod4Slot1LabourHrsReqPVolTot</t>
  </si>
  <si>
    <t>finCalcCh2Prod4Slot1LabourCostPerHour</t>
  </si>
  <si>
    <t>finCalcCh2Prod4Slot1LogExpFrcAdj</t>
  </si>
  <si>
    <t>finCalcCh2Prod4Slot1LogExpSIAdj</t>
  </si>
  <si>
    <t>finCalcCh2Prod4Slot2MatExpPerUnitBase</t>
  </si>
  <si>
    <t>finCalcCh2Prod4Slot2MatExpFrcAdj</t>
  </si>
  <si>
    <t>finCalcCh2Prod4Slot2MatExpSIAdj</t>
  </si>
  <si>
    <t>finCalcCh2Prod4Slot2MatExpPUnitTot</t>
  </si>
  <si>
    <t>finCalcCh2Prod4Slot2LabourHrsReqPVolBase</t>
  </si>
  <si>
    <t>finCalcCh2Prod4Slot2LabourHrsReqPVolFrcAdj</t>
  </si>
  <si>
    <t>finCalcCh2Prod4Slot2LabourHrsReqPVolSIAdj</t>
  </si>
  <si>
    <t>finCalcCh2Prod4Slot2LabourHrsReqPVolTot</t>
  </si>
  <si>
    <t>finCalcCh2Prod4Slot2LabourCostPerHour</t>
  </si>
  <si>
    <t>finCalcCh2Prod4Slot2LogExpFrcAdj</t>
  </si>
  <si>
    <t>finCalcCh2Prod4Slot2LogExpSIAdj</t>
  </si>
  <si>
    <t>finCalcCh2Prod4Slot3MatExpPerUnitBase</t>
  </si>
  <si>
    <t>finCalcCh2Prod4Slot3MatExpFrcAdj</t>
  </si>
  <si>
    <t>finCalcCh2Prod4Slot3MatExpSIAdj</t>
  </si>
  <si>
    <t>finCalcCh2Prod4Slot3MatExpPUnitTot</t>
  </si>
  <si>
    <t>finCalcCh2Prod4Slot3LabourHrsReqPVolBase</t>
  </si>
  <si>
    <t>finCalcCh2Prod4Slot3LabourHrsReqPVolFrcAdj</t>
  </si>
  <si>
    <t>finCalcCh2Prod4Slot3LabourHrsReqPVolSIAdj</t>
  </si>
  <si>
    <t>finCalcCh2Prod4Slot3LabourHrsReqPVolTot</t>
  </si>
  <si>
    <t>finCalcCh2Prod4Slot3LabourCostPerHour</t>
  </si>
  <si>
    <t>finCalcCh2Prod4Slot3LogExpFrcAdj</t>
  </si>
  <si>
    <t>finCalcCh2Prod4Slot3LogExpSIAdj</t>
  </si>
  <si>
    <t>finCalcCh3Prod1Slot1MatExpPerUnitBase</t>
  </si>
  <si>
    <t>finCalcCh3Prod1Slot1MatExpFrcAdj</t>
  </si>
  <si>
    <t>finCalcCh3Prod1Slot1MatExpSIAdj</t>
  </si>
  <si>
    <t>finCalcCh3Prod1Slot1MatExpPUnitTot</t>
  </si>
  <si>
    <t>finCalcCh3Prod1Slot1LabourHrsReqPVolBase</t>
  </si>
  <si>
    <t>finCalcCh3Prod1Slot1LabourHrsReqPVolFrcAdj</t>
  </si>
  <si>
    <t>finCalcCh3Prod1Slot1LabourHrsReqPVolSIAdj</t>
  </si>
  <si>
    <t>finCalcCh3Prod1Slot1LabourHrsReqPVolTot</t>
  </si>
  <si>
    <t>finCalcCh3Prod1Slot1LabourCostPerHour</t>
  </si>
  <si>
    <t>finCalcCh3Prod1Slot1LogExpFrcAdj</t>
  </si>
  <si>
    <t>finCalcCh3Prod1Slot1LogExpSIAdj</t>
  </si>
  <si>
    <t>finCalcCh3Prod1Slot2MatExpPerUnitBase</t>
  </si>
  <si>
    <t>finCalcCh3Prod1Slot2MatExpFrcAdj</t>
  </si>
  <si>
    <t>finCalcCh3Prod1Slot2MatExpSIAdj</t>
  </si>
  <si>
    <t>finCalcCh3Prod1Slot2MatExpPUnitTot</t>
  </si>
  <si>
    <t>finCalcCh3Prod1Slot2LabourHrsReqPVolBase</t>
  </si>
  <si>
    <t>finCalcCh3Prod1Slot2LabourHrsReqPVolFrcAdj</t>
  </si>
  <si>
    <t>finCalcCh3Prod1Slot2LabourHrsReqPVolSIAdj</t>
  </si>
  <si>
    <t>finCalcCh3Prod1Slot2LabourHrsReqPVolTot</t>
  </si>
  <si>
    <t>finCalcCh3Prod1Slot2LabourCostPerHour</t>
  </si>
  <si>
    <t>finCalcCh3Prod1Slot2LogExpFrcAdj</t>
  </si>
  <si>
    <t>finCalcCh3Prod1Slot2LogExpSIAdj</t>
  </si>
  <si>
    <t>finCalcCh3Prod1Slot3MatExpPerUnitBase</t>
  </si>
  <si>
    <t>finCalcCh3Prod1Slot3MatExpFrcAdj</t>
  </si>
  <si>
    <t>finCalcCh3Prod1Slot3MatExpSIAdj</t>
  </si>
  <si>
    <t>finCalcCh3Prod1Slot3MatExpPUnitTot</t>
  </si>
  <si>
    <t>finCalcCh3Prod1Slot3LabourHrsReqPVolBase</t>
  </si>
  <si>
    <t>finCalcCh3Prod1Slot3LabourHrsReqPVolFrcAdj</t>
  </si>
  <si>
    <t>finCalcCh3Prod1Slot3LabourHrsReqPVolSIAdj</t>
  </si>
  <si>
    <t>finCalcCh3Prod1Slot3LabourHrsReqPVolTot</t>
  </si>
  <si>
    <t>finCalcCh3Prod1Slot3LabourCostPerHour</t>
  </si>
  <si>
    <t>finCalcCh3Prod1Slot3LogExpFrcAdj</t>
  </si>
  <si>
    <t>finCalcCh3Prod1Slot3LogExpSIAdj</t>
  </si>
  <si>
    <t>finCalcCh3Prod2Slot1MatExpPerUnitBase</t>
  </si>
  <si>
    <t>finCalcCh3Prod2Slot1MatExpFrcAdj</t>
  </si>
  <si>
    <t>finCalcCh3Prod2Slot1MatExpSIAdj</t>
  </si>
  <si>
    <t>finCalcCh3Prod2Slot1MatExpPUnitTot</t>
  </si>
  <si>
    <t>finCalcCh3Prod2Slot1LabourHrsReqPVolBase</t>
  </si>
  <si>
    <t>finCalcCh3Prod2Slot1LabourHrsReqPVolFrcAdj</t>
  </si>
  <si>
    <t>finCalcCh3Prod2Slot1LabourHrsReqPVolSIAdj</t>
  </si>
  <si>
    <t>finCalcCh3Prod2Slot1LabourHrsReqPVolTot</t>
  </si>
  <si>
    <t>finCalcCh3Prod2Slot1LabourCostPerHour</t>
  </si>
  <si>
    <t>finCalcCh3Prod2Slot1LogExpFrcAdj</t>
  </si>
  <si>
    <t>finCalcCh3Prod2Slot1LogExpSIAdj</t>
  </si>
  <si>
    <t>finCalcCh3Prod2Slot2MatExpPerUnitBase</t>
  </si>
  <si>
    <t>finCalcCh3Prod2Slot2MatExpFrcAdj</t>
  </si>
  <si>
    <t>finCalcCh3Prod2Slot2MatExpSIAdj</t>
  </si>
  <si>
    <t>finCalcCh3Prod2Slot2MatExpPUnitTot</t>
  </si>
  <si>
    <t>finCalcCh3Prod2Slot2LabourHrsReqPVolBase</t>
  </si>
  <si>
    <t>finCalcCh3Prod2Slot2LabourHrsReqPVolFrcAdj</t>
  </si>
  <si>
    <t>finCalcCh3Prod2Slot2LabourHrsReqPVolSIAdj</t>
  </si>
  <si>
    <t>finCalcCh3Prod2Slot2LabourHrsReqPVolTot</t>
  </si>
  <si>
    <t>finCalcCh3Prod2Slot2LabourCostPerHour</t>
  </si>
  <si>
    <t>finCalcCh3Prod2Slot2LogExpFrcAdj</t>
  </si>
  <si>
    <t>finCalcCh3Prod2Slot2LogExpSIAdj</t>
  </si>
  <si>
    <t>finCalcCh3Prod2Slot3MatExpPerUnitBase</t>
  </si>
  <si>
    <t>finCalcCh3Prod2Slot3MatExpFrcAdj</t>
  </si>
  <si>
    <t>finCalcCh3Prod2Slot3MatExpSIAdj</t>
  </si>
  <si>
    <t>finCalcCh3Prod2Slot3MatExpPUnitTot</t>
  </si>
  <si>
    <t>finCalcCh3Prod2Slot3LabourHrsReqPVolBase</t>
  </si>
  <si>
    <t>finCalcCh3Prod2Slot3LabourHrsReqPVolFrcAdj</t>
  </si>
  <si>
    <t>finCalcCh3Prod2Slot3LabourHrsReqPVolSIAdj</t>
  </si>
  <si>
    <t>finCalcCh3Prod2Slot3LabourHrsReqPVolTot</t>
  </si>
  <si>
    <t>finCalcCh3Prod2Slot3LabourCostPerHour</t>
  </si>
  <si>
    <t>finCalcCh3Prod2Slot3LogExpFrcAdj</t>
  </si>
  <si>
    <t>finCalcCh3Prod2Slot3LogExpSIAdj</t>
  </si>
  <si>
    <t>finCalcCh3Prod3Slot1MatExpPerUnitBase</t>
  </si>
  <si>
    <t>finCalcCh3Prod3Slot1MatExpFrcAdj</t>
  </si>
  <si>
    <t>finCalcCh3Prod3Slot1MatExpSIAdj</t>
  </si>
  <si>
    <t>finCalcCh3Prod3Slot1MatExpPUnitTot</t>
  </si>
  <si>
    <t>finCalcCh3Prod3Slot1LabourHrsReqPVolBase</t>
  </si>
  <si>
    <t>finCalcCh3Prod3Slot1LabourHrsReqPVolFrcAdj</t>
  </si>
  <si>
    <t>finCalcCh3Prod3Slot1LabourHrsReqPVolSIAdj</t>
  </si>
  <si>
    <t>finCalcCh3Prod3Slot1LabourHrsReqPVolTot</t>
  </si>
  <si>
    <t>finCalcCh3Prod3Slot1LabourCostPerHour</t>
  </si>
  <si>
    <t>finCalcCh3Prod3Slot1LogExpFrcAdj</t>
  </si>
  <si>
    <t>finCalcCh3Prod3Slot1LogExpSIAdj</t>
  </si>
  <si>
    <t>finCalcCh3Prod3Slot2MatExpPerUnitBase</t>
  </si>
  <si>
    <t>finCalcCh3Prod3Slot2MatExpFrcAdj</t>
  </si>
  <si>
    <t>finCalcCh3Prod3Slot2MatExpSIAdj</t>
  </si>
  <si>
    <t>finCalcCh3Prod3Slot2MatExpPUnitTot</t>
  </si>
  <si>
    <t>finCalcCh3Prod3Slot2LabourHrsReqPVolBase</t>
  </si>
  <si>
    <t>finCalcCh3Prod3Slot2LabourHrsReqPVolFrcAdj</t>
  </si>
  <si>
    <t>finCalcCh3Prod3Slot2LabourHrsReqPVolSIAdj</t>
  </si>
  <si>
    <t>finCalcCh3Prod3Slot2LabourHrsReqPVolTot</t>
  </si>
  <si>
    <t>finCalcCh3Prod3Slot2LabourCostPerHour</t>
  </si>
  <si>
    <t>finCalcCh3Prod3Slot2LogExpFrcAdj</t>
  </si>
  <si>
    <t>finCalcCh3Prod3Slot2LogExpSIAdj</t>
  </si>
  <si>
    <t>finCalcCh3Prod3Slot3MatExpPerUnitBase</t>
  </si>
  <si>
    <t>finCalcCh3Prod3Slot3MatExpFrcAdj</t>
  </si>
  <si>
    <t>finCalcCh3Prod3Slot3MatExpSIAdj</t>
  </si>
  <si>
    <t>finCalcCh3Prod3Slot3MatExpPUnitTot</t>
  </si>
  <si>
    <t>finCalcCh3Prod3Slot3LabourHrsReqPVolBase</t>
  </si>
  <si>
    <t>finCalcCh3Prod3Slot3LabourHrsReqPVolFrcAdj</t>
  </si>
  <si>
    <t>finCalcCh3Prod3Slot3LabourHrsReqPVolSIAdj</t>
  </si>
  <si>
    <t>finCalcCh3Prod3Slot3LabourHrsReqPVolTot</t>
  </si>
  <si>
    <t>finCalcCh3Prod3Slot3LabourCostPerHour</t>
  </si>
  <si>
    <t>finCalcCh3Prod3Slot3LogExpFrcAdj</t>
  </si>
  <si>
    <t>finCalcCh3Prod3Slot3LogExpSIAdj</t>
  </si>
  <si>
    <t>finCalcCh3Prod4Slot1MatExpPerUnitBase</t>
  </si>
  <si>
    <t>finCalcCh3Prod4Slot1MatExpFrcAdj</t>
  </si>
  <si>
    <t>finCalcCh3Prod4Slot1MatExpSIAdj</t>
  </si>
  <si>
    <t>finCalcCh3Prod4Slot1MatExpPUnitTot</t>
  </si>
  <si>
    <t>finCalcCh3Prod4Slot1LabourHrsReqPVolBase</t>
  </si>
  <si>
    <t>finCalcCh3Prod4Slot1LabourHrsReqPVolFrcAdj</t>
  </si>
  <si>
    <t>finCalcCh3Prod4Slot1LabourHrsReqPVolSIAdj</t>
  </si>
  <si>
    <t>finCalcCh3Prod4Slot1LabourHrsReqPVolTot</t>
  </si>
  <si>
    <t>finCalcCh3Prod4Slot1LabourCostPerHour</t>
  </si>
  <si>
    <t>finCalcCh3Prod4Slot1LogExpFrcAdj</t>
  </si>
  <si>
    <t>finCalcCh3Prod4Slot1LogExpSIAdj</t>
  </si>
  <si>
    <t>finCalcCh3Prod4Slot2MatExpPerUnitBase</t>
  </si>
  <si>
    <t>finCalcCh3Prod4Slot2MatExpFrcAdj</t>
  </si>
  <si>
    <t>finCalcCh3Prod4Slot2MatExpSIAdj</t>
  </si>
  <si>
    <t>finCalcCh3Prod4Slot2MatExpPUnitTot</t>
  </si>
  <si>
    <t>finCalcCh3Prod4Slot2LabourHrsReqPVolBase</t>
  </si>
  <si>
    <t>finCalcCh3Prod4Slot2LabourHrsReqPVolFrcAdj</t>
  </si>
  <si>
    <t>finCalcCh3Prod4Slot2LabourHrsReqPVolSIAdj</t>
  </si>
  <si>
    <t>finCalcCh3Prod4Slot2LabourHrsReqPVolTot</t>
  </si>
  <si>
    <t>finCalcCh3Prod4Slot2LabourCostPerHour</t>
  </si>
  <si>
    <t>finCalcCh3Prod4Slot2LogExpFrcAdj</t>
  </si>
  <si>
    <t>finCalcCh3Prod4Slot2LogExpSIAdj</t>
  </si>
  <si>
    <t>finCalcCh3Prod4Slot3MatExpPerUnitBase</t>
  </si>
  <si>
    <t>finCalcCh3Prod4Slot3MatExpFrcAdj</t>
  </si>
  <si>
    <t>finCalcCh3Prod4Slot3MatExpSIAdj</t>
  </si>
  <si>
    <t>finCalcCh3Prod4Slot3MatExpPUnitTot</t>
  </si>
  <si>
    <t>finCalcCh3Prod4Slot3LabourHrsReqPVolBase</t>
  </si>
  <si>
    <t>finCalcCh3Prod4Slot3LabourHrsReqPVolFrcAdj</t>
  </si>
  <si>
    <t>finCalcCh3Prod4Slot3LabourHrsReqPVolSIAdj</t>
  </si>
  <si>
    <t>finCalcCh3Prod4Slot3LabourHrsReqPVolTot</t>
  </si>
  <si>
    <t>finCalcCh3Prod4Slot3LabourCostPerHour</t>
  </si>
  <si>
    <t>finCalcCh3Prod4Slot3LogExpFrcAdj</t>
  </si>
  <si>
    <t>finCalcCh3Prod4Slot3LogExpSIAdj</t>
  </si>
  <si>
    <t>finCalcCh4Prod1Slot1MatExpPerUnitBase</t>
  </si>
  <si>
    <t>finCalcCh4Prod1Slot1MatExpFrcAdj</t>
  </si>
  <si>
    <t>finCalcCh4Prod1Slot1MatExpSIAdj</t>
  </si>
  <si>
    <t>finCalcCh4Prod1Slot1MatExpPUnitTot</t>
  </si>
  <si>
    <t>finCalcCh4Prod1Slot1LabourHrsReqPVolBase</t>
  </si>
  <si>
    <t>finCalcCh4Prod1Slot1LabourHrsReqPVolFrcAdj</t>
  </si>
  <si>
    <t>finCalcCh4Prod1Slot1LabourHrsReqPVolSIAdj</t>
  </si>
  <si>
    <t>finCalcCh4Prod1Slot1LabourHrsReqPVolTot</t>
  </si>
  <si>
    <t>finCalcCh4Prod1Slot1LabourCostPerHour</t>
  </si>
  <si>
    <t>finCalcCh4Prod1Slot1LogExpFrcAdj</t>
  </si>
  <si>
    <t>finCalcCh4Prod1Slot1LogExpSIAdj</t>
  </si>
  <si>
    <t>finCalcCh4Prod1Slot2MatExpPerUnitBase</t>
  </si>
  <si>
    <t>finCalcCh4Prod1Slot2MatExpFrcAdj</t>
  </si>
  <si>
    <t>finCalcCh4Prod1Slot2MatExpSIAdj</t>
  </si>
  <si>
    <t>finCalcCh4Prod1Slot2MatExpPUnitTot</t>
  </si>
  <si>
    <t>finCalcCh4Prod1Slot2LabourHrsReqPVolBase</t>
  </si>
  <si>
    <t>finCalcCh4Prod1Slot2LabourHrsReqPVolFrcAdj</t>
  </si>
  <si>
    <t>finCalcCh4Prod1Slot2LabourHrsReqPVolSIAdj</t>
  </si>
  <si>
    <t>finCalcCh4Prod1Slot2LabourHrsReqPVolTot</t>
  </si>
  <si>
    <t>finCalcCh4Prod1Slot2LabourCostPerHour</t>
  </si>
  <si>
    <t>finCalcCh4Prod1Slot2LogExpFrcAdj</t>
  </si>
  <si>
    <t>finCalcCh4Prod1Slot2LogExpSIAdj</t>
  </si>
  <si>
    <t>finCalcCh4Prod1Slot3MatExpPerUnitBase</t>
  </si>
  <si>
    <t>finCalcCh4Prod1Slot3MatExpFrcAdj</t>
  </si>
  <si>
    <t>finCalcCh4Prod1Slot3MatExpSIAdj</t>
  </si>
  <si>
    <t>finCalcCh4Prod1Slot3MatExpPUnitTot</t>
  </si>
  <si>
    <t>finCalcCh4Prod1Slot3LabourHrsReqPVolBase</t>
  </si>
  <si>
    <t>finCalcCh4Prod1Slot3LabourHrsReqPVolFrcAdj</t>
  </si>
  <si>
    <t>finCalcCh4Prod1Slot3LabourHrsReqPVolSIAdj</t>
  </si>
  <si>
    <t>finCalcCh4Prod1Slot3LabourHrsReqPVolTot</t>
  </si>
  <si>
    <t>finCalcCh4Prod1Slot3LabourCostPerHour</t>
  </si>
  <si>
    <t>finCalcCh4Prod1Slot3LogExpFrcAdj</t>
  </si>
  <si>
    <t>finCalcCh4Prod1Slot3LogExpSIAdj</t>
  </si>
  <si>
    <t>finCalcCh4Prod2Slot1MatExpPerUnitBase</t>
  </si>
  <si>
    <t>finCalcCh4Prod2Slot1MatExpFrcAdj</t>
  </si>
  <si>
    <t>finCalcCh4Prod2Slot1MatExpSIAdj</t>
  </si>
  <si>
    <t>finCalcCh4Prod2Slot1MatExpPUnitTot</t>
  </si>
  <si>
    <t>finCalcCh4Prod2Slot1LabourHrsReqPVolBase</t>
  </si>
  <si>
    <t>finCalcCh4Prod2Slot1LabourHrsReqPVolFrcAdj</t>
  </si>
  <si>
    <t>finCalcCh4Prod2Slot1LabourHrsReqPVolSIAdj</t>
  </si>
  <si>
    <t>finCalcCh4Prod2Slot1LabourHrsReqPVolTot</t>
  </si>
  <si>
    <t>finCalcCh4Prod2Slot1LabourCostPerHour</t>
  </si>
  <si>
    <t>finCalcCh4Prod2Slot1LogExpFrcAdj</t>
  </si>
  <si>
    <t>finCalcCh4Prod2Slot1LogExpSIAdj</t>
  </si>
  <si>
    <t>finCalcCh4Prod2Slot2MatExpPerUnitBase</t>
  </si>
  <si>
    <t>finCalcCh4Prod2Slot2MatExpFrcAdj</t>
  </si>
  <si>
    <t>finCalcCh4Prod2Slot2MatExpSIAdj</t>
  </si>
  <si>
    <t>finCalcCh4Prod2Slot2MatExpPUnitTot</t>
  </si>
  <si>
    <t>finCalcCh4Prod2Slot2LabourHrsReqPVolBase</t>
  </si>
  <si>
    <t>finCalcCh4Prod2Slot2LabourHrsReqPVolFrcAdj</t>
  </si>
  <si>
    <t>finCalcCh4Prod2Slot2LabourHrsReqPVolSIAdj</t>
  </si>
  <si>
    <t>finCalcCh4Prod2Slot2LabourHrsReqPVolTot</t>
  </si>
  <si>
    <t>finCalcCh4Prod2Slot2LabourCostPerHour</t>
  </si>
  <si>
    <t>finCalcCh4Prod2Slot2LogExpFrcAdj</t>
  </si>
  <si>
    <t>finCalcCh4Prod2Slot2LogExpSIAdj</t>
  </si>
  <si>
    <t>finCalcCh4Prod2Slot3MatExpPerUnitBase</t>
  </si>
  <si>
    <t>finCalcCh4Prod2Slot3MatExpFrcAdj</t>
  </si>
  <si>
    <t>finCalcCh4Prod2Slot3MatExpSIAdj</t>
  </si>
  <si>
    <t>finCalcCh4Prod2Slot3MatExpPUnitTot</t>
  </si>
  <si>
    <t>finCalcCh4Prod2Slot3LabourHrsReqPVolBase</t>
  </si>
  <si>
    <t>finCalcCh4Prod2Slot3LabourHrsReqPVolFrcAdj</t>
  </si>
  <si>
    <t>finCalcCh4Prod2Slot3LabourHrsReqPVolSIAdj</t>
  </si>
  <si>
    <t>finCalcCh4Prod2Slot3LabourHrsReqPVolTot</t>
  </si>
  <si>
    <t>finCalcCh4Prod2Slot3LabourCostPerHour</t>
  </si>
  <si>
    <t>finCalcCh4Prod2Slot3LogExpFrcAdj</t>
  </si>
  <si>
    <t>finCalcCh4Prod2Slot3LogExpSIAdj</t>
  </si>
  <si>
    <t>finCalcCh4Prod3Slot1MatExpPerUnitBase</t>
  </si>
  <si>
    <t>finCalcCh4Prod3Slot1MatExpFrcAdj</t>
  </si>
  <si>
    <t>finCalcCh4Prod3Slot1MatExpSIAdj</t>
  </si>
  <si>
    <t>finCalcCh4Prod3Slot1MatExpPUnitTot</t>
  </si>
  <si>
    <t>finCalcCh4Prod3Slot1LabourHrsReqPVolBase</t>
  </si>
  <si>
    <t>finCalcCh4Prod3Slot1LabourHrsReqPVolFrcAdj</t>
  </si>
  <si>
    <t>finCalcCh4Prod3Slot1LabourHrsReqPVolSIAdj</t>
  </si>
  <si>
    <t>finCalcCh4Prod3Slot1LabourHrsReqPVolTot</t>
  </si>
  <si>
    <t>finCalcCh4Prod3Slot1LabourCostPerHour</t>
  </si>
  <si>
    <t>finCalcCh4Prod3Slot1LogExpFrcAdj</t>
  </si>
  <si>
    <t>finCalcCh4Prod3Slot1LogExpSIAdj</t>
  </si>
  <si>
    <t>finCalcCh4Prod3Slot2MatExpPerUnitBase</t>
  </si>
  <si>
    <t>finCalcCh4Prod3Slot2MatExpFrcAdj</t>
  </si>
  <si>
    <t>finCalcCh4Prod3Slot2MatExpSIAdj</t>
  </si>
  <si>
    <t>finCalcCh4Prod3Slot2MatExpPUnitTot</t>
  </si>
  <si>
    <t>finCalcCh4Prod3Slot2LabourHrsReqPVolBase</t>
  </si>
  <si>
    <t>finCalcCh4Prod3Slot2LabourHrsReqPVolFrcAdj</t>
  </si>
  <si>
    <t>finCalcCh4Prod3Slot2LabourHrsReqPVolSIAdj</t>
  </si>
  <si>
    <t>finCalcCh4Prod3Slot2LabourHrsReqPVolTot</t>
  </si>
  <si>
    <t>finCalcCh4Prod3Slot2LabourCostPerHour</t>
  </si>
  <si>
    <t>finCalcCh4Prod3Slot2LogExpFrcAdj</t>
  </si>
  <si>
    <t>finCalcCh4Prod3Slot2LogExpSIAdj</t>
  </si>
  <si>
    <t>finCalcCh4Prod3Slot3MatExpPerUnitBase</t>
  </si>
  <si>
    <t>finCalcCh4Prod3Slot3MatExpFrcAdj</t>
  </si>
  <si>
    <t>finCalcCh4Prod3Slot3MatExpSIAdj</t>
  </si>
  <si>
    <t>finCalcCh4Prod3Slot3MatExpPUnitTot</t>
  </si>
  <si>
    <t>finCalcCh4Prod3Slot3LabourHrsReqPVolBase</t>
  </si>
  <si>
    <t>finCalcCh4Prod3Slot3LabourHrsReqPVolFrcAdj</t>
  </si>
  <si>
    <t>finCalcCh4Prod3Slot3LabourHrsReqPVolSIAdj</t>
  </si>
  <si>
    <t>finCalcCh4Prod3Slot3LabourHrsReqPVolTot</t>
  </si>
  <si>
    <t>finCalcCh4Prod3Slot3LabourCostPerHour</t>
  </si>
  <si>
    <t>finCalcCh4Prod3Slot3LogExpFrcAdj</t>
  </si>
  <si>
    <t>finCalcCh4Prod3Slot3LogExpSIAdj</t>
  </si>
  <si>
    <t>finCalcCh4Prod4Slot1MatExpPerUnitBase</t>
  </si>
  <si>
    <t>finCalcCh4Prod4Slot1MatExpFrcAdj</t>
  </si>
  <si>
    <t>finCalcCh4Prod4Slot1MatExpSIAdj</t>
  </si>
  <si>
    <t>finCalcCh4Prod4Slot1MatExpPUnitTot</t>
  </si>
  <si>
    <t>finCalcCh4Prod4Slot1LabourHrsReqPVolBase</t>
  </si>
  <si>
    <t>finCalcCh4Prod4Slot1LabourHrsReqPVolFrcAdj</t>
  </si>
  <si>
    <t>finCalcCh4Prod4Slot1LabourHrsReqPVolSIAdj</t>
  </si>
  <si>
    <t>finCalcCh4Prod4Slot1LabourHrsReqPVolTot</t>
  </si>
  <si>
    <t>finCalcCh4Prod4Slot1LabourCostPerHour</t>
  </si>
  <si>
    <t>finCalcCh4Prod4Slot1LogExpFrcAdj</t>
  </si>
  <si>
    <t>finCalcCh4Prod4Slot1LogExpSIAdj</t>
  </si>
  <si>
    <t>finCalcCh4Prod4Slot2MatExpPerUnitBase</t>
  </si>
  <si>
    <t>finCalcCh4Prod4Slot2MatExpFrcAdj</t>
  </si>
  <si>
    <t>finCalcCh4Prod4Slot2MatExpSIAdj</t>
  </si>
  <si>
    <t>finCalcCh4Prod4Slot2MatExpPUnitTot</t>
  </si>
  <si>
    <t>finCalcCh4Prod4Slot2LabourHrsReqPVolBase</t>
  </si>
  <si>
    <t>finCalcCh4Prod4Slot2LabourHrsReqPVolFrcAdj</t>
  </si>
  <si>
    <t>finCalcCh4Prod4Slot2LabourHrsReqPVolSIAdj</t>
  </si>
  <si>
    <t>finCalcCh4Prod4Slot2LabourHrsReqPVolTot</t>
  </si>
  <si>
    <t>finCalcCh4Prod4Slot2LabourCostPerHour</t>
  </si>
  <si>
    <t>finCalcCh4Prod4Slot2LogExpFrcAdj</t>
  </si>
  <si>
    <t>finCalcCh4Prod4Slot2LogExpSIAdj</t>
  </si>
  <si>
    <t>finCalcCh4Prod4Slot3MatExpPerUnitBase</t>
  </si>
  <si>
    <t>finCalcCh4Prod4Slot3MatExpFrcAdj</t>
  </si>
  <si>
    <t>finCalcCh4Prod4Slot3MatExpSIAdj</t>
  </si>
  <si>
    <t>finCalcCh4Prod4Slot3MatExpPUnitTot</t>
  </si>
  <si>
    <t>finCalcCh4Prod4Slot3LabourHrsReqPVolBase</t>
  </si>
  <si>
    <t>finCalcCh4Prod4Slot3LabourHrsReqPVolFrcAdj</t>
  </si>
  <si>
    <t>finCalcCh4Prod4Slot3LabourHrsReqPVolSIAdj</t>
  </si>
  <si>
    <t>finCalcCh4Prod4Slot3LabourHrsReqPVolTot</t>
  </si>
  <si>
    <t>finCalcCh4Prod4Slot3LabourCostPerHour</t>
  </si>
  <si>
    <t>finCalcCh4Prod4Slot3LogExpFrcAdj</t>
  </si>
  <si>
    <t>finCalcCh4Prod4Slot3LogExpSIAdj</t>
  </si>
  <si>
    <t>finPNLDiscountsTot</t>
  </si>
  <si>
    <t>finPNLGrossSalesTot</t>
  </si>
  <si>
    <t>finPNLTurnTot</t>
  </si>
  <si>
    <t>finPNLExciseTot</t>
  </si>
  <si>
    <t>Variable R&amp;D Expense</t>
  </si>
  <si>
    <t>paramVariableRnDExp</t>
  </si>
  <si>
    <t xml:space="preserve">GBC </t>
  </si>
  <si>
    <t>finPNLProd1GBC</t>
  </si>
  <si>
    <t>finPNLProd4GBC</t>
  </si>
  <si>
    <t>finPNLProd3GBC</t>
  </si>
  <si>
    <t>finPNLProd2GBC</t>
  </si>
  <si>
    <t>finPNLProd1GPaL</t>
  </si>
  <si>
    <t>finPNLProd4GPaL</t>
  </si>
  <si>
    <t>finPNLProd3GPaL</t>
  </si>
  <si>
    <t>finPNLProd2GPaL</t>
  </si>
  <si>
    <t>finPNLCh1GPaL</t>
  </si>
  <si>
    <t>finPNLCh1GCCMargin</t>
  </si>
  <si>
    <t>finPNLCh4GPaL</t>
  </si>
  <si>
    <t>finPNLCh3GPaL</t>
  </si>
  <si>
    <t>finPNLCh2GPaL</t>
  </si>
  <si>
    <t>finPNLEbitMarginTot</t>
  </si>
  <si>
    <t>finPNLGPaLMarginTot</t>
  </si>
  <si>
    <t>finPNLProd1GBCMargin</t>
  </si>
  <si>
    <t>finPNLProd4GBCMargin</t>
  </si>
  <si>
    <t>finPNLProd3GBCMargin</t>
  </si>
  <si>
    <t>finPNLProd2GBCMargin</t>
  </si>
  <si>
    <t>finPNLCh4GCCMargin</t>
  </si>
  <si>
    <t>finPNLCh3GCCMargin</t>
  </si>
  <si>
    <t>finPNLCh2GCCMargin</t>
  </si>
  <si>
    <t>CP</t>
  </si>
  <si>
    <t>Relax &amp; Unwind</t>
  </si>
  <si>
    <t>Variance Tracker Dropdown</t>
  </si>
  <si>
    <t>VTCh2_AvailableProgramDropDown</t>
  </si>
  <si>
    <t xml:space="preserve">Use the above cell to create a drop-down menu for VTCh2s in the VTCh2m by uVTCh2ng data validation to read from a list.  </t>
  </si>
  <si>
    <t>In the list source, type "=indirect(VTCh2_AvailableProgramDropDown)".</t>
  </si>
  <si>
    <t>VTCh2_currentRound</t>
  </si>
  <si>
    <t>VTCh2_selectedSeparator</t>
  </si>
  <si>
    <t>VTCh2_Index</t>
  </si>
  <si>
    <t>VTCh2_Code</t>
  </si>
  <si>
    <t>VTCh2_Name</t>
  </si>
  <si>
    <t>VTCh2_DisplayedName</t>
  </si>
  <si>
    <t>VTCh2_AvailableCount</t>
  </si>
  <si>
    <t>VTCh2_WorksheetName</t>
  </si>
  <si>
    <t>Available VTCh2s</t>
  </si>
  <si>
    <t>VTCh2_TotalAvailable</t>
  </si>
  <si>
    <t>VTCh4_AvailableProgramDropDown</t>
  </si>
  <si>
    <t xml:space="preserve">Use the above cell to create a drop-down menu for VTCh4s in the VTCh4m by uVTCh4ng data validation to read from a list.  </t>
  </si>
  <si>
    <t>In the list source, type "=indirect(VTCh4_AvailableProgramDropDown)".</t>
  </si>
  <si>
    <t>VTCh4_currentRound</t>
  </si>
  <si>
    <t>VTCh4_selectedSeparator</t>
  </si>
  <si>
    <t>VTCh4_Index</t>
  </si>
  <si>
    <t>VTCh4_Code</t>
  </si>
  <si>
    <t>VTCh4_Name</t>
  </si>
  <si>
    <t>VTCh4_DisplayedName</t>
  </si>
  <si>
    <t>VTCh4_AvailableCount</t>
  </si>
  <si>
    <t>VTCh4_WorksheetName</t>
  </si>
  <si>
    <t>Available VTCh4s</t>
  </si>
  <si>
    <t>VTCh4_TotalAvailable</t>
  </si>
  <si>
    <t>VTCh3_AvailableProgramDropDown</t>
  </si>
  <si>
    <t xml:space="preserve">Use the above cell to create a drop-down menu for VTCh3s in the VTCh3m by uVTCh3ng data validation to read from a list.  </t>
  </si>
  <si>
    <t>In the list source, type "=indirect(VTCh3_AvailableProgramDropDown)".</t>
  </si>
  <si>
    <t>VTCh3_currentRound</t>
  </si>
  <si>
    <t>VTCh3_selectedSeparator</t>
  </si>
  <si>
    <t>VTCh3_Index</t>
  </si>
  <si>
    <t>VTCh3_Code</t>
  </si>
  <si>
    <t>VTCh3_Name</t>
  </si>
  <si>
    <t>VTCh3_DisplayedName</t>
  </si>
  <si>
    <t>VTCh3_AvailableCount</t>
  </si>
  <si>
    <t>VTCh3_WorksheetName</t>
  </si>
  <si>
    <t>Available VTCh3s</t>
  </si>
  <si>
    <t>VTCh3_TotalAvailable</t>
  </si>
  <si>
    <t>Volume Sold</t>
  </si>
  <si>
    <t>Base Profit</t>
  </si>
  <si>
    <t>Base Volume</t>
  </si>
  <si>
    <t>Customer Promo Margin</t>
  </si>
  <si>
    <t>Promo Profit</t>
  </si>
  <si>
    <t>calcCh1Prod1Slot1CustProfitBase</t>
  </si>
  <si>
    <t>Promotion Share Forecast</t>
  </si>
  <si>
    <t>calcCh1CustProfitTot</t>
  </si>
  <si>
    <t>Customer Base Margin Abs</t>
  </si>
  <si>
    <t>Customer Base Margin Pct</t>
  </si>
  <si>
    <t>calcCh1Prod1Slot1CustProfitBaseMarginPct</t>
  </si>
  <si>
    <t>Volume sold</t>
  </si>
  <si>
    <t>Total Customer Profit</t>
  </si>
  <si>
    <t>GPaL ROS</t>
  </si>
  <si>
    <t>Our Share</t>
  </si>
  <si>
    <t>Total Size</t>
  </si>
  <si>
    <t>Avg Price</t>
  </si>
  <si>
    <t>GPAL</t>
  </si>
  <si>
    <t>Promotion Efficiency</t>
  </si>
  <si>
    <t>GPaL Uplift</t>
  </si>
  <si>
    <t>ROI</t>
  </si>
  <si>
    <t>Assortment</t>
  </si>
  <si>
    <t>Availability</t>
  </si>
  <si>
    <t>4 x 33cl Can</t>
  </si>
  <si>
    <t>6 x 50cl Can</t>
  </si>
  <si>
    <t>6 x 33cl Can</t>
  </si>
  <si>
    <t>8 x 25cl Can</t>
  </si>
  <si>
    <t>10 x 33cl Can</t>
  </si>
  <si>
    <t>12 x 33cl Can</t>
  </si>
  <si>
    <t>24 x 33cl Can</t>
  </si>
  <si>
    <t>6 x 33cl Btl</t>
  </si>
  <si>
    <t>24 x 33cl Btl</t>
  </si>
  <si>
    <t>6 x 50cl Btl</t>
  </si>
  <si>
    <t>6 x 66cl Btl</t>
  </si>
  <si>
    <t>4 x 50cl PET</t>
  </si>
  <si>
    <t>4 x 1.5Ltr PET</t>
  </si>
  <si>
    <t>Assortment Fit</t>
  </si>
  <si>
    <t>GPAL %</t>
  </si>
  <si>
    <t>GPal per Brand</t>
  </si>
  <si>
    <t>tlOutputCh1Prod1MktSize</t>
  </si>
  <si>
    <t>tlOutputCh1Prod1VolForcast</t>
  </si>
  <si>
    <t>tlOutputCh1Prod1NetSales</t>
  </si>
  <si>
    <t>tlOutputCh1Prod1GPaL</t>
  </si>
  <si>
    <t>tlOutputCh1Prod1CustProfit</t>
  </si>
  <si>
    <t>tlOutputCh1ValDriv1Exp</t>
  </si>
  <si>
    <t>tlOutputCh1Prod2n3MktSize</t>
  </si>
  <si>
    <t>tlOutputCh1Prod2VolForcast</t>
  </si>
  <si>
    <t>tlOutputCh1Prod2NetSales</t>
  </si>
  <si>
    <t>tlOutputCh1Prod2GPaL</t>
  </si>
  <si>
    <t>tlOutputCh1Prod2CustProfit</t>
  </si>
  <si>
    <t>tlOutputCh1ValDriv2Exp</t>
  </si>
  <si>
    <t>tlOutputCh1Prod1NewSlotExp</t>
  </si>
  <si>
    <t>tlOutputCh1Prod2NewSlotExp</t>
  </si>
  <si>
    <t>tlOutputCh1Prod3NewSlotExp</t>
  </si>
  <si>
    <t>tlOutputCh1Prod4NewSlotExp</t>
  </si>
  <si>
    <t>tlOutputCh1Prod3VolForcast</t>
  </si>
  <si>
    <t>tlOutputCh1Prod3NetSales</t>
  </si>
  <si>
    <t>tlOutputCh1Prod3GPaL</t>
  </si>
  <si>
    <t>tlOutputCh1Prod3CustProfit</t>
  </si>
  <si>
    <t>tlOutputCh1ValDriv3Exp</t>
  </si>
  <si>
    <t>tlOutputCh1Prod4MktSize</t>
  </si>
  <si>
    <t>tlOutputCh1Prod4VolForcast</t>
  </si>
  <si>
    <t>tlOutputCh1Prod4NetSales</t>
  </si>
  <si>
    <t>tlOutputCh1Prod4GPaL</t>
  </si>
  <si>
    <t>tlOutputCh1Prod4CustProfit</t>
  </si>
  <si>
    <t>tlOutputCh1ValDriv4Exp</t>
  </si>
  <si>
    <t>tlOutputCh1ValDriv5Exp</t>
  </si>
  <si>
    <t>tlOutputCh1ValDrivCondExp</t>
  </si>
  <si>
    <t>tlOutputCh1MarketDemandTot</t>
  </si>
  <si>
    <t>tlOutputCh1VolForecastTot</t>
  </si>
  <si>
    <t>tlOutputCh1NetSalesTot</t>
  </si>
  <si>
    <t>tlOutputCh1GPaLTot</t>
  </si>
  <si>
    <t>tlOutputCh1CustProfitTot</t>
  </si>
  <si>
    <t>tloutputCh1Prod1Slot1CM</t>
  </si>
  <si>
    <t>tloutputCh1Prod1Slot2CM</t>
  </si>
  <si>
    <t>tloutputCh1Prod1Slot3CM</t>
  </si>
  <si>
    <t>tloutputCh1Prod2Slot1CM</t>
  </si>
  <si>
    <t>tloutputCh1Prod2Slot2CM</t>
  </si>
  <si>
    <t>tloutputCh1Prod2Slot3CM</t>
  </si>
  <si>
    <t>tloutputCh1Prod3Slot1CM</t>
  </si>
  <si>
    <t>tloutputCh1Prod3Slot2CM</t>
  </si>
  <si>
    <t>tloutputCh1Prod3Slot3CM</t>
  </si>
  <si>
    <t>tloutputCh1Prod4Slot1CM</t>
  </si>
  <si>
    <t>tloutputCh1Prod4Slot2CM</t>
  </si>
  <si>
    <t>tloutputCh1Prod4Slot3CM</t>
  </si>
  <si>
    <t>tloutputCh1Prod1Slot1AvgPromoDis</t>
  </si>
  <si>
    <t>tloutputCh1Prod1Slot2AvgPromoDis</t>
  </si>
  <si>
    <t>tloutputCh1Prod1Slot3AvgPromoDis</t>
  </si>
  <si>
    <t>tloutputCh1Prod2Slot1AvgPromoDis</t>
  </si>
  <si>
    <t>tloutputCh1Prod2Slot2AvgPromoDis</t>
  </si>
  <si>
    <t>tloutputCh1Prod2Slot3AvgPromoDis</t>
  </si>
  <si>
    <t>tloutputCh1Prod3Slot1AvgPromoDis</t>
  </si>
  <si>
    <t>tloutputCh1Prod3Slot2AvgPromoDis</t>
  </si>
  <si>
    <t>tloutputCh1Prod3Slot3AvgPromoDis</t>
  </si>
  <si>
    <t>tloutputCh1Prod4Slot1AvgPromoDis</t>
  </si>
  <si>
    <t>tloutputCh1Prod4Slot2AvgPromoDis</t>
  </si>
  <si>
    <t>tloutputCh1Prod4Slot3AvgPromoDis</t>
  </si>
  <si>
    <t>tloutputCh1Prod1Slot1AvgPromoPrice</t>
  </si>
  <si>
    <t>tloutputCh1Prod1Slot2AvgPromoPrice</t>
  </si>
  <si>
    <t>tloutputCh1Prod1Slot3AvgPromoPrice</t>
  </si>
  <si>
    <t>tloutputCh1Prod2Slot1AvgPromoPrice</t>
  </si>
  <si>
    <t>tloutputCh1Prod2Slot2AvgPromoPrice</t>
  </si>
  <si>
    <t>tloutputCh1Prod2Slot3AvgPromoPrice</t>
  </si>
  <si>
    <t>tloutputCh1Prod3Slot1AvgPromoPrice</t>
  </si>
  <si>
    <t>tloutputCh1Prod3Slot2AvgPromoPrice</t>
  </si>
  <si>
    <t>tloutputCh1Prod3Slot3AvgPromoPrice</t>
  </si>
  <si>
    <t>tloutputCh1Prod4Slot1AvgPromoPrice</t>
  </si>
  <si>
    <t>tloutputCh1Prod4Slot2AvgPromoPrice</t>
  </si>
  <si>
    <t>tloutputCh1Prod4Slot3AvgPromoPrice</t>
  </si>
  <si>
    <t>tloutputCh1Prod1Slot1AvgSellPrice</t>
  </si>
  <si>
    <t>tloutputCh1Prod1Slot2AvgSellPrice</t>
  </si>
  <si>
    <t>tloutputCh1Prod1Slot3AvgSellPrice</t>
  </si>
  <si>
    <t>tloutputCh1Prod2Slot1AvgSellPrice</t>
  </si>
  <si>
    <t>tloutputCh1Prod2Slot2AvgSellPrice</t>
  </si>
  <si>
    <t>tloutputCh1Prod2Slot3AvgSellPrice</t>
  </si>
  <si>
    <t>tloutputCh1Prod3Slot1AvgSellPrice</t>
  </si>
  <si>
    <t>tloutputCh1Prod3Slot2AvgSellPrice</t>
  </si>
  <si>
    <t>tloutputCh1Prod3Slot3AvgSellPrice</t>
  </si>
  <si>
    <t>tloutputCh1Prod4Slot1AvgSellPrice</t>
  </si>
  <si>
    <t>tloutputCh1Prod4Slot2AvgSellPrice</t>
  </si>
  <si>
    <t>tloutputCh1Prod4Slot3AvgSellPrice</t>
  </si>
  <si>
    <t>Company revenue</t>
  </si>
  <si>
    <t>obalCompanyRevenueTot</t>
  </si>
  <si>
    <t>cbalCompanyRevenueTot</t>
  </si>
  <si>
    <t>calcCh1Prod1Slot2CustProfitBaseMarginPct</t>
  </si>
  <si>
    <t>calcCh1Prod1Slot2CustProfitBase</t>
  </si>
  <si>
    <t>calcCh1Prod1Slot3CustProfitBaseMarginPct</t>
  </si>
  <si>
    <t>calcCh1Prod1Slot3CustProfitBase</t>
  </si>
  <si>
    <t>calcCh1Prod2Slot1CustProfitBaseMarginPct</t>
  </si>
  <si>
    <t>calcCh1Prod2Slot1CustProfitBase</t>
  </si>
  <si>
    <t>calcCh1Prod2Slot2CustProfitBaseMarginPct</t>
  </si>
  <si>
    <t>calcCh1Prod2Slot2CustProfitBase</t>
  </si>
  <si>
    <t>calcCh1Prod2Slot3CustProfitBaseMarginPct</t>
  </si>
  <si>
    <t>calcCh1Prod2Slot3CustProfitBase</t>
  </si>
  <si>
    <t>calcCh1Prod4Slot1CustProfitBaseMarginPct</t>
  </si>
  <si>
    <t>calcCh1Prod4Slot1CustProfitBase</t>
  </si>
  <si>
    <t>calcCh1Prod4Slot2CustProfitBaseMarginPct</t>
  </si>
  <si>
    <t>calcCh1Prod4Slot2CustProfitBase</t>
  </si>
  <si>
    <t>calcCh1Prod4Slot3CustProfitBaseMarginPct</t>
  </si>
  <si>
    <t>calcCh1Prod4Slot3CustProfitBase</t>
  </si>
  <si>
    <t>calcCh1Prod3Slot1CustProfitBaseMarginPct</t>
  </si>
  <si>
    <t>calcCh1Prod3Slot1CustProfitBase</t>
  </si>
  <si>
    <t>calcCh1Prod3Slot2CustProfitBaseMarginPct</t>
  </si>
  <si>
    <t>calcCh1Prod3Slot2CustProfitBase</t>
  </si>
  <si>
    <t>calcCh1Prod3Slot3CustProfitBaseMarginPct</t>
  </si>
  <si>
    <t>calcCh1Prod3Slot3CustProfitBase</t>
  </si>
  <si>
    <t>calcCh2Prod1Slot1CustProfitBaseMarginPct</t>
  </si>
  <si>
    <t>calcCh2Prod1Slot1CustProfitBase</t>
  </si>
  <si>
    <t>calcCh2Prod1Slot2CustProfitBaseMarginPct</t>
  </si>
  <si>
    <t>calcCh2Prod1Slot2CustProfitBase</t>
  </si>
  <si>
    <t>calcCh2Prod1Slot3CustProfitBaseMarginPct</t>
  </si>
  <si>
    <t>calcCh2Prod1Slot3CustProfitBase</t>
  </si>
  <si>
    <t>calcCh2Prod2Slot1CustProfitBaseMarginPct</t>
  </si>
  <si>
    <t>calcCh2Prod2Slot1CustProfitBase</t>
  </si>
  <si>
    <t>calcCh2Prod2Slot2CustProfitBaseMarginPct</t>
  </si>
  <si>
    <t>calcCh2Prod2Slot2CustProfitBase</t>
  </si>
  <si>
    <t>calcCh2Prod2Slot3CustProfitBaseMarginPct</t>
  </si>
  <si>
    <t>calcCh2Prod2Slot3CustProfitBase</t>
  </si>
  <si>
    <t>calcCh2Prod3Slot1CustProfitBaseMarginPct</t>
  </si>
  <si>
    <t>calcCh2Prod3Slot1CustProfitBase</t>
  </si>
  <si>
    <t>calcCh2Prod3Slot2CustProfitBaseMarginPct</t>
  </si>
  <si>
    <t>calcCh2Prod3Slot2CustProfitBase</t>
  </si>
  <si>
    <t>calcCh2Prod3Slot3CustProfitBaseMarginPct</t>
  </si>
  <si>
    <t>calcCh2Prod3Slot3CustProfitBase</t>
  </si>
  <si>
    <t>calcCh2Prod4Slot1CustProfitBaseMarginPct</t>
  </si>
  <si>
    <t>calcCh2Prod4Slot1CustProfitBase</t>
  </si>
  <si>
    <t>calcCh2Prod4Slot2CustProfitBaseMarginPct</t>
  </si>
  <si>
    <t>calcCh2Prod4Slot2CustProfitBase</t>
  </si>
  <si>
    <t>calcCh2Prod4Slot3CustProfitBaseMarginPct</t>
  </si>
  <si>
    <t>calcCh2Prod4Slot3CustProfitBase</t>
  </si>
  <si>
    <t>calcCh2CustProfitTot</t>
  </si>
  <si>
    <t>calcCh3Prod1Slot1CustProfitBaseMarginPct</t>
  </si>
  <si>
    <t>calcCh3Prod1Slot1CustProfitBase</t>
  </si>
  <si>
    <t>calcCh3Prod1Slot2CustProfitBaseMarginPct</t>
  </si>
  <si>
    <t>calcCh3Prod1Slot2CustProfitBase</t>
  </si>
  <si>
    <t>calcCh3Prod1Slot3CustProfitBaseMarginPct</t>
  </si>
  <si>
    <t>calcCh3Prod1Slot3CustProfitBase</t>
  </si>
  <si>
    <t>calcCh3Prod2Slot1CustProfitBaseMarginPct</t>
  </si>
  <si>
    <t>calcCh3Prod2Slot1CustProfitBase</t>
  </si>
  <si>
    <t>calcCh3Prod2Slot2CustProfitBaseMarginPct</t>
  </si>
  <si>
    <t>calcCh3Prod2Slot2CustProfitBase</t>
  </si>
  <si>
    <t>calcCh3Prod2Slot3CustProfitBaseMarginPct</t>
  </si>
  <si>
    <t>calcCh3Prod2Slot3CustProfitBase</t>
  </si>
  <si>
    <t>calcCh3Prod3Slot1CustProfitBaseMarginPct</t>
  </si>
  <si>
    <t>calcCh3Prod3Slot1CustProfitBase</t>
  </si>
  <si>
    <t>calcCh3Prod3Slot2CustProfitBaseMarginPct</t>
  </si>
  <si>
    <t>calcCh3Prod3Slot2CustProfitBase</t>
  </si>
  <si>
    <t>calcCh3Prod3Slot3CustProfitBaseMarginPct</t>
  </si>
  <si>
    <t>calcCh3Prod3Slot3CustProfitBase</t>
  </si>
  <si>
    <t>calcCh3Prod4Slot1CustProfitBaseMarginPct</t>
  </si>
  <si>
    <t>calcCh3Prod4Slot1CustProfitBase</t>
  </si>
  <si>
    <t>calcCh3Prod4Slot2CustProfitBaseMarginPct</t>
  </si>
  <si>
    <t>calcCh3Prod4Slot2CustProfitBase</t>
  </si>
  <si>
    <t>calcCh3Prod4Slot3CustProfitBaseMarginPct</t>
  </si>
  <si>
    <t>calcCh3Prod4Slot3CustProfitBase</t>
  </si>
  <si>
    <t>calcCh3CustProfitTot</t>
  </si>
  <si>
    <t>calcCh4Prod1Slot1CustProfitBaseMarginPct</t>
  </si>
  <si>
    <t>calcCh4Prod1Slot1CustProfitBase</t>
  </si>
  <si>
    <t>calcCh4Prod1Slot2CustProfitBaseMarginPct</t>
  </si>
  <si>
    <t>calcCh4Prod1Slot2CustProfitBase</t>
  </si>
  <si>
    <t>calcCh4Prod1Slot3CustProfitBaseMarginPct</t>
  </si>
  <si>
    <t>calcCh4Prod1Slot3CustProfitBase</t>
  </si>
  <si>
    <t>calcCh4Prod2Slot1CustProfitBaseMarginPct</t>
  </si>
  <si>
    <t>calcCh4Prod2Slot1CustProfitBase</t>
  </si>
  <si>
    <t>calcCh4Prod2Slot2CustProfitBaseMarginPct</t>
  </si>
  <si>
    <t>calcCh4Prod2Slot2CustProfitBase</t>
  </si>
  <si>
    <t>calcCh4Prod2Slot3CustProfitBaseMarginPct</t>
  </si>
  <si>
    <t>calcCh4Prod2Slot3CustProfitBase</t>
  </si>
  <si>
    <t>calcCh4Prod3Slot1CustProfitBaseMarginPct</t>
  </si>
  <si>
    <t>calcCh4Prod3Slot1CustProfitBase</t>
  </si>
  <si>
    <t>calcCh4Prod3Slot2CustProfitBaseMarginPct</t>
  </si>
  <si>
    <t>calcCh4Prod3Slot2CustProfitBase</t>
  </si>
  <si>
    <t>calcCh4Prod3Slot3CustProfitBaseMarginPct</t>
  </si>
  <si>
    <t>calcCh4Prod3Slot3CustProfitBase</t>
  </si>
  <si>
    <t>calcCh4Prod4Slot1CustProfitBaseMarginPct</t>
  </si>
  <si>
    <t>calcCh4Prod4Slot1CustProfitBase</t>
  </si>
  <si>
    <t>calcCh4Prod4Slot2CustProfitBaseMarginPct</t>
  </si>
  <si>
    <t>calcCh4Prod4Slot2CustProfitBase</t>
  </si>
  <si>
    <t>calcCh4Prod4Slot3CustProfitBaseMarginPct</t>
  </si>
  <si>
    <t>calcCh4Prod4Slot3CustProfitBase</t>
  </si>
  <si>
    <t>calcCh4CustProfitTot</t>
  </si>
  <si>
    <t>calcCh1Prod1CustProfitTot</t>
  </si>
  <si>
    <t>calcCh1Prod4CustProfitTot</t>
  </si>
  <si>
    <t>calcCh1Prod3CustProfitTot</t>
  </si>
  <si>
    <t>calcCh1Prod2CustProfitTot</t>
  </si>
  <si>
    <t>calcCh2Prod1CustProfitTot</t>
  </si>
  <si>
    <t>calcCh2Prod2CustProfitTot</t>
  </si>
  <si>
    <t>calcCh2Prod3CustProfitTot</t>
  </si>
  <si>
    <t>calcCh2Prod4CustProfitTot</t>
  </si>
  <si>
    <t>calcCh3Prod1CustProfitTot</t>
  </si>
  <si>
    <t>calcCh3Prod2CustProfitTot</t>
  </si>
  <si>
    <t>calcCh3Prod3CustProfitTot</t>
  </si>
  <si>
    <t>calcCh3Prod4CustProfitTot</t>
  </si>
  <si>
    <t>calcCh4Prod1CustProfitTot</t>
  </si>
  <si>
    <t>calcCh4Prod2CustProfitTot</t>
  </si>
  <si>
    <t>calcCh4Prod3CustProfitTot</t>
  </si>
  <si>
    <t>calcCh4Prod4CustProfitTot</t>
  </si>
  <si>
    <t>Customer Profit Report</t>
  </si>
  <si>
    <t>calcCh1Prod1Slot1CustProfitBaseVol</t>
  </si>
  <si>
    <t>calcCh1Prod1Slot1CustProfitBaseMarginAbs</t>
  </si>
  <si>
    <t>calcCh1Prod1Slot3CustProfitBaseMarginAbs</t>
  </si>
  <si>
    <t>calcCh1Prod1Slot3CustProfitBaseVol</t>
  </si>
  <si>
    <t>calcCh1Prod1Slot2CustProfitBaseMarginAbs</t>
  </si>
  <si>
    <t>calcCh1Prod1Slot2CustProfitBaseVol</t>
  </si>
  <si>
    <t>calcCh1Prod2Slot1CustProfitBaseMarginAbs</t>
  </si>
  <si>
    <t>calcCh1Prod2Slot1CustProfitBaseVol</t>
  </si>
  <si>
    <t>calcCh1Prod2Slot2CustProfitBaseMarginAbs</t>
  </si>
  <si>
    <t>calcCh1Prod2Slot2CustProfitBaseVol</t>
  </si>
  <si>
    <t>calcCh1Prod4Slot1CustProfitBaseMarginAbs</t>
  </si>
  <si>
    <t>calcCh1Prod4Slot1CustProfitBaseVol</t>
  </si>
  <si>
    <t>calcCh1Prod4Slot2CustProfitBaseMarginAbs</t>
  </si>
  <si>
    <t>calcCh1Prod4Slot2CustProfitBaseVol</t>
  </si>
  <si>
    <t>calcCh1Prod3Slot1CustProfitBaseMarginAbs</t>
  </si>
  <si>
    <t>calcCh1Prod3Slot1CustProfitBaseVol</t>
  </si>
  <si>
    <t>calcCh1Prod3Slot2CustProfitBaseMarginAbs</t>
  </si>
  <si>
    <t>calcCh1Prod3Slot2CustProfitBaseVol</t>
  </si>
  <si>
    <t>calcCh2Prod1Slot1CustProfitBaseMarginAbs</t>
  </si>
  <si>
    <t>calcCh2Prod1Slot1CustProfitBaseVol</t>
  </si>
  <si>
    <t>calcCh2Prod1Slot2CustProfitBaseMarginAbs</t>
  </si>
  <si>
    <t>calcCh2Prod1Slot2CustProfitBaseVol</t>
  </si>
  <si>
    <t>calcCh2Prod2Slot1CustProfitBaseMarginAbs</t>
  </si>
  <si>
    <t>calcCh2Prod2Slot1CustProfitBaseVol</t>
  </si>
  <si>
    <t>calcCh2Prod2Slot2CustProfitBaseMarginAbs</t>
  </si>
  <si>
    <t>calcCh2Prod2Slot2CustProfitBaseVol</t>
  </si>
  <si>
    <t>calcCh2Prod3Slot1CustProfitBaseMarginAbs</t>
  </si>
  <si>
    <t>calcCh2Prod3Slot1CustProfitBaseVol</t>
  </si>
  <si>
    <t>calcCh2Prod3Slot2CustProfitBaseMarginAbs</t>
  </si>
  <si>
    <t>calcCh2Prod3Slot2CustProfitBaseVol</t>
  </si>
  <si>
    <t>calcCh2Prod4Slot1CustProfitBaseMarginAbs</t>
  </si>
  <si>
    <t>calcCh2Prod4Slot1CustProfitBaseVol</t>
  </si>
  <si>
    <t>calcCh2Prod4Slot2CustProfitBaseMarginAbs</t>
  </si>
  <si>
    <t>calcCh2Prod4Slot2CustProfitBaseVol</t>
  </si>
  <si>
    <t>calcCh3Prod1Slot1CustProfitBaseMarginAbs</t>
  </si>
  <si>
    <t>calcCh3Prod1Slot1CustProfitBaseVol</t>
  </si>
  <si>
    <t>calcCh3Prod1Slot2CustProfitBaseMarginAbs</t>
  </si>
  <si>
    <t>calcCh3Prod1Slot2CustProfitBaseVol</t>
  </si>
  <si>
    <t>calcCh3Prod2Slot1CustProfitBaseMarginAbs</t>
  </si>
  <si>
    <t>calcCh3Prod2Slot1CustProfitBaseVol</t>
  </si>
  <si>
    <t>calcCh3Prod2Slot2CustProfitBaseMarginAbs</t>
  </si>
  <si>
    <t>calcCh3Prod2Slot2CustProfitBaseVol</t>
  </si>
  <si>
    <t>calcCh3Prod3Slot1CustProfitBaseMarginAbs</t>
  </si>
  <si>
    <t>calcCh3Prod3Slot1CustProfitBaseVol</t>
  </si>
  <si>
    <t>calcCh3Prod3Slot2CustProfitBaseMarginAbs</t>
  </si>
  <si>
    <t>calcCh3Prod3Slot2CustProfitBaseVol</t>
  </si>
  <si>
    <t>calcCh3Prod4Slot1CustProfitBaseMarginAbs</t>
  </si>
  <si>
    <t>calcCh3Prod4Slot1CustProfitBaseVol</t>
  </si>
  <si>
    <t>calcCh3Prod4Slot2CustProfitBaseMarginAbs</t>
  </si>
  <si>
    <t>calcCh3Prod4Slot2CustProfitBaseVol</t>
  </si>
  <si>
    <t>calcCh4Prod1Slot1CustProfitBaseMarginAbs</t>
  </si>
  <si>
    <t>calcCh4Prod1Slot1CustProfitBaseVol</t>
  </si>
  <si>
    <t>calcCh4Prod1Slot2CustProfitBaseMarginAbs</t>
  </si>
  <si>
    <t>calcCh4Prod1Slot2CustProfitBaseVol</t>
  </si>
  <si>
    <t>calcCh4Prod2Slot1CustProfitBaseMarginAbs</t>
  </si>
  <si>
    <t>calcCh4Prod2Slot1CustProfitBaseVol</t>
  </si>
  <si>
    <t>calcCh4Prod2Slot2CustProfitBaseMarginAbs</t>
  </si>
  <si>
    <t>calcCh4Prod2Slot2CustProfitBaseVol</t>
  </si>
  <si>
    <t>calcCh4Prod3Slot1CustProfitBaseMarginAbs</t>
  </si>
  <si>
    <t>calcCh4Prod3Slot1CustProfitBaseVol</t>
  </si>
  <si>
    <t>calcCh4Prod3Slot2CustProfitBaseMarginAbs</t>
  </si>
  <si>
    <t>calcCh4Prod3Slot2CustProfitBaseVol</t>
  </si>
  <si>
    <t>calcCh4Prod4Slot1CustProfitBaseMarginAbs</t>
  </si>
  <si>
    <t>calcCh4Prod4Slot1CustProfitBaseVol</t>
  </si>
  <si>
    <t>calcCh4Prod4Slot2CustProfitBaseMarginAbs</t>
  </si>
  <si>
    <t>calcCh4Prod4Slot2CustProfitBaseVol</t>
  </si>
  <si>
    <t>calcCh1Prod2Slot3CustProfitBaseMarginAbs</t>
  </si>
  <si>
    <t>calcCh1Prod2Slot3CustProfitBaseVol</t>
  </si>
  <si>
    <t>calcCh1Prod3Slot3CustProfitBaseMarginAbs</t>
  </si>
  <si>
    <t>calcCh1Prod3Slot3CustProfitBaseVol</t>
  </si>
  <si>
    <t>calcCh1Prod4Slot3CustProfitBaseMarginAbs</t>
  </si>
  <si>
    <t>calcCh1Prod4Slot3CustProfitBaseVol</t>
  </si>
  <si>
    <t>calcCh2Prod1Slot3CustProfitBaseMarginAbs</t>
  </si>
  <si>
    <t>calcCh2Prod1Slot3CustProfitBaseVol</t>
  </si>
  <si>
    <t>calcCh2Prod2Slot3CustProfitBaseMarginAbs</t>
  </si>
  <si>
    <t>calcCh2Prod2Slot3CustProfitBaseVol</t>
  </si>
  <si>
    <t>calcCh2Prod3Slot3CustProfitBaseMarginAbs</t>
  </si>
  <si>
    <t>calcCh2Prod3Slot3CustProfitBaseVol</t>
  </si>
  <si>
    <t>calcCh2Prod4Slot3CustProfitBaseMarginAbs</t>
  </si>
  <si>
    <t>calcCh2Prod4Slot3CustProfitBaseVol</t>
  </si>
  <si>
    <t>calcCh3Prod1Slot3CustProfitBaseMarginAbs</t>
  </si>
  <si>
    <t>calcCh3Prod1Slot3CustProfitBaseVol</t>
  </si>
  <si>
    <t>calcCh3Prod2Slot3CustProfitBaseMarginAbs</t>
  </si>
  <si>
    <t>calcCh3Prod2Slot3CustProfitBaseVol</t>
  </si>
  <si>
    <t>calcCh3Prod3Slot3CustProfitBaseMarginAbs</t>
  </si>
  <si>
    <t>calcCh3Prod3Slot3CustProfitBaseVol</t>
  </si>
  <si>
    <t>calcCh3Prod4Slot3CustProfitBaseMarginAbs</t>
  </si>
  <si>
    <t>calcCh3Prod4Slot3CustProfitBaseVol</t>
  </si>
  <si>
    <t>calcCh4Prod1Slot3CustProfitBaseMarginAbs</t>
  </si>
  <si>
    <t>calcCh4Prod1Slot3CustProfitBaseVol</t>
  </si>
  <si>
    <t>calcCh4Prod2Slot3CustProfitBaseMarginAbs</t>
  </si>
  <si>
    <t>calcCh4Prod2Slot3CustProfitBaseVol</t>
  </si>
  <si>
    <t>calcCh4Prod3Slot3CustProfitBaseMarginAbs</t>
  </si>
  <si>
    <t>calcCh4Prod3Slot3CustProfitBaseVol</t>
  </si>
  <si>
    <t>calcCh4Prod4Slot3CustProfitBaseMarginAbs</t>
  </si>
  <si>
    <t>calcCh4Prod4Slot3CustProfitBaseVol</t>
  </si>
  <si>
    <t>Communicating value</t>
  </si>
  <si>
    <t>Harken Slot 1</t>
  </si>
  <si>
    <t>l per pack</t>
  </si>
  <si>
    <t>pack per l</t>
  </si>
  <si>
    <t>tlOutputCh1VtTurn</t>
  </si>
  <si>
    <t>tlOutputCh1VtExcise</t>
  </si>
  <si>
    <t>tlOutputCh1VtGrossSales</t>
  </si>
  <si>
    <t>tlOutputCh1VtDiscounts</t>
  </si>
  <si>
    <t>tlOutputCh1VtTotalRev</t>
  </si>
  <si>
    <t>tlOutputCh1VtMatExp</t>
  </si>
  <si>
    <t>tlOutputCh1VtLabourExp</t>
  </si>
  <si>
    <t>tlOutputCh1VtMachExp</t>
  </si>
  <si>
    <t>tlOutputCh1VtDeprExp</t>
  </si>
  <si>
    <t>tlOutputCh1VtTotalCOGs</t>
  </si>
  <si>
    <t>tlOutputCh1VtGP</t>
  </si>
  <si>
    <t>tlOutputCh1VtLogExp</t>
  </si>
  <si>
    <t>tlOutputCh1VtGPaL</t>
  </si>
  <si>
    <t>tlOutputCh1VtTurnPct</t>
  </si>
  <si>
    <t>tlOutputCh1VtExcisePct</t>
  </si>
  <si>
    <t>tlOutputCh1VtGrossSalesPct</t>
  </si>
  <si>
    <t>tlOutputCh1VtDiscountsPct</t>
  </si>
  <si>
    <t>tlOutputCh1VtTotalRevPct</t>
  </si>
  <si>
    <t>tlOutputCh1VtMatExpPct</t>
  </si>
  <si>
    <t>tlOutputCh1VtLabourExpPct</t>
  </si>
  <si>
    <t>tlOutputCh1VtMachExpPct</t>
  </si>
  <si>
    <t>tlOutputCh1VtDeprExpPct</t>
  </si>
  <si>
    <t>tlOutputCh1VtTotalCOGsPct</t>
  </si>
  <si>
    <t>tlOutputCh1VtGPPct</t>
  </si>
  <si>
    <t>tlOutputCh1VtLogExpPct</t>
  </si>
  <si>
    <t>tlOutputCh1VtGPaLPct</t>
  </si>
  <si>
    <t>tlOutputCh1VtTurnPVol</t>
  </si>
  <si>
    <t>tlOutputCh1VtExcisePVol</t>
  </si>
  <si>
    <t>tlOutputCh1VtGrossSalesPVol</t>
  </si>
  <si>
    <t>tlOutputCh1VtDiscountsPVol</t>
  </si>
  <si>
    <t>tlOutputCh1VtTotalRevPVol</t>
  </si>
  <si>
    <t>tlOutputCh1VtMatExpPVol</t>
  </si>
  <si>
    <t>tlOutputCh1VtLabourExpPVol</t>
  </si>
  <si>
    <t>tlOutputCh1VtMachExpPVol</t>
  </si>
  <si>
    <t>tlOutputCh1VtDeprExpPVol</t>
  </si>
  <si>
    <t>tlOutputCh1VtTotalCOGsPVol</t>
  </si>
  <si>
    <t>tlOutputCh1VtGPPVol</t>
  </si>
  <si>
    <t>tlOutputCh1VtLogExpPVol</t>
  </si>
  <si>
    <t>tlOutputCh1VtGPaLPVol</t>
  </si>
  <si>
    <t>tlOutputCh1VtTurnPctPVol</t>
  </si>
  <si>
    <t>tlOutputCh1VtExcisePctPVol</t>
  </si>
  <si>
    <t>tlOutputCh1VtGrossSalesPctPVol</t>
  </si>
  <si>
    <t>tlOutputCh1VtDiscountsPctPVol</t>
  </si>
  <si>
    <t>tlOutputCh1VtTotalRevPctPVol</t>
  </si>
  <si>
    <t>tlOutputCh1VtMatExpPctPVol</t>
  </si>
  <si>
    <t>tlOutputCh1VtLabourExpPctPVol</t>
  </si>
  <si>
    <t>tlOutputCh1VtMachExpPctPVol</t>
  </si>
  <si>
    <t>tlOutputCh1VtDeprExpPctPVol</t>
  </si>
  <si>
    <t>tlOutputCh1VtTotalCOGsPctPVol</t>
  </si>
  <si>
    <t>tlOutputCh1VtGPPctPVol</t>
  </si>
  <si>
    <t>tlOutputCh1VtLogExpPctPVol</t>
  </si>
  <si>
    <t>tlOutputCh1VtGPaLPctPVol</t>
  </si>
  <si>
    <t>tlOutputCh2VtTurn</t>
  </si>
  <si>
    <t>tlOutputCh2VtExcise</t>
  </si>
  <si>
    <t>tlOutputCh2VtGrossSales</t>
  </si>
  <si>
    <t>tlOutputCh2VtDiscounts</t>
  </si>
  <si>
    <t>tlOutputCh2VtTotalRev</t>
  </si>
  <si>
    <t>tlOutputCh2VtMatExp</t>
  </si>
  <si>
    <t>tlOutputCh2VtLabourExp</t>
  </si>
  <si>
    <t>tlOutputCh2VtMachExp</t>
  </si>
  <si>
    <t>tlOutputCh2VtDeprExp</t>
  </si>
  <si>
    <t>tlOutputCh2VtTotalCOGs</t>
  </si>
  <si>
    <t>tlOutputCh2VtGP</t>
  </si>
  <si>
    <t>tlOutputCh2VtLogExp</t>
  </si>
  <si>
    <t>tlOutputCh2VtGPaL</t>
  </si>
  <si>
    <t>tlOutputCh2VtTurnPct</t>
  </si>
  <si>
    <t>tlOutputCh2VtExcisePct</t>
  </si>
  <si>
    <t>tlOutputCh2VtGrossSalesPct</t>
  </si>
  <si>
    <t>tlOutputCh2VtDiscountsPct</t>
  </si>
  <si>
    <t>tlOutputCh2VtTotalRevPct</t>
  </si>
  <si>
    <t>tlOutputCh2VtMatExpPct</t>
  </si>
  <si>
    <t>tlOutputCh2VtLabourExpPct</t>
  </si>
  <si>
    <t>tlOutputCh2VtMachExpPct</t>
  </si>
  <si>
    <t>tlOutputCh2VtDeprExpPct</t>
  </si>
  <si>
    <t>tlOutputCh2VtTotalCOGsPct</t>
  </si>
  <si>
    <t>tlOutputCh2VtGPPct</t>
  </si>
  <si>
    <t>tlOutputCh2VtLogExpPct</t>
  </si>
  <si>
    <t>tlOutputCh2VtGPaLPct</t>
  </si>
  <si>
    <t>tlOutputCh2VtTurnPVol</t>
  </si>
  <si>
    <t>tlOutputCh2VtExcisePVol</t>
  </si>
  <si>
    <t>tlOutputCh2VtGrossSalesPVol</t>
  </si>
  <si>
    <t>tlOutputCh2VtDiscountsPVol</t>
  </si>
  <si>
    <t>tlOutputCh2VtTotalRevPVol</t>
  </si>
  <si>
    <t>tlOutputCh2VtMatExpPVol</t>
  </si>
  <si>
    <t>tlOutputCh2VtLabourExpPVol</t>
  </si>
  <si>
    <t>tlOutputCh2VtMachExpPVol</t>
  </si>
  <si>
    <t>tlOutputCh2VtDeprExpPVol</t>
  </si>
  <si>
    <t>tlOutputCh2VtTotalCOGsPVol</t>
  </si>
  <si>
    <t>tlOutputCh2VtGPPVol</t>
  </si>
  <si>
    <t>tlOutputCh2VtLogExpPVol</t>
  </si>
  <si>
    <t>tlOutputCh2VtGPaLPVol</t>
  </si>
  <si>
    <t>tlOutputCh2VtTurnPctPVol</t>
  </si>
  <si>
    <t>tlOutputCh2VtExcisePctPVol</t>
  </si>
  <si>
    <t>tlOutputCh2VtGrossSalesPctPVol</t>
  </si>
  <si>
    <t>tlOutputCh2VtDiscountsPctPVol</t>
  </si>
  <si>
    <t>tlOutputCh2VtTotalRevPctPVol</t>
  </si>
  <si>
    <t>tlOutputCh2VtMatExpPctPVol</t>
  </si>
  <si>
    <t>tlOutputCh2VtLabourExpPctPVol</t>
  </si>
  <si>
    <t>tlOutputCh2VtMachExpPctPVol</t>
  </si>
  <si>
    <t>tlOutputCh2VtDeprExpPctPVol</t>
  </si>
  <si>
    <t>tlOutputCh2VtTotalCOGsPctPVol</t>
  </si>
  <si>
    <t>tlOutputCh2VtGPPctPVol</t>
  </si>
  <si>
    <t>tlOutputCh2VtLogExpPctPVol</t>
  </si>
  <si>
    <t>tlOutputCh2VtGPaLPctPVol</t>
  </si>
  <si>
    <t>tlOutputCh2Prod1MktSize</t>
  </si>
  <si>
    <t>tlOutputCh2Prod1VolForcast</t>
  </si>
  <si>
    <t>tlOutputCh2Prod1NetSales</t>
  </si>
  <si>
    <t>tlOutputCh2Prod1GPaL</t>
  </si>
  <si>
    <t>tlOutputCh2Prod1CustProfit</t>
  </si>
  <si>
    <t>tlOutputCh2ValDriv1Exp</t>
  </si>
  <si>
    <t>tlOutputCh2Prod2n3MktSize</t>
  </si>
  <si>
    <t>tlOutputCh2Prod2VolForcast</t>
  </si>
  <si>
    <t>tlOutputCh2Prod2NetSales</t>
  </si>
  <si>
    <t>tlOutputCh2Prod2GPaL</t>
  </si>
  <si>
    <t>tlOutputCh2Prod2CustProfit</t>
  </si>
  <si>
    <t>tlOutputCh2ValDriv2Exp</t>
  </si>
  <si>
    <t>tlOutputCh2Prod1NewSlotExp</t>
  </si>
  <si>
    <t>tlOutputCh2Prod2NewSlotExp</t>
  </si>
  <si>
    <t>tlOutputCh2Prod3NewSlotExp</t>
  </si>
  <si>
    <t>tlOutputCh2Prod4NewSlotExp</t>
  </si>
  <si>
    <t>tlOutputCh2Prod3VolForcast</t>
  </si>
  <si>
    <t>tlOutputCh2Prod3NetSales</t>
  </si>
  <si>
    <t>tlOutputCh2Prod3GPaL</t>
  </si>
  <si>
    <t>tlOutputCh2Prod3CustProfit</t>
  </si>
  <si>
    <t>tlOutputCh2ValDriv3Exp</t>
  </si>
  <si>
    <t>tlOutputCh2Prod4MktSize</t>
  </si>
  <si>
    <t>tlOutputCh2Prod4VolForcast</t>
  </si>
  <si>
    <t>tlOutputCh2Prod4NetSales</t>
  </si>
  <si>
    <t>tlOutputCh2Prod4GPaL</t>
  </si>
  <si>
    <t>tlOutputCh2Prod4CustProfit</t>
  </si>
  <si>
    <t>tlOutputCh2ValDriv4Exp</t>
  </si>
  <si>
    <t>tlOutputCh2ValDriv5Exp</t>
  </si>
  <si>
    <t>tlOutputCh2ValDrivCondExp</t>
  </si>
  <si>
    <t>tlOutputCh2MarketDemandTot</t>
  </si>
  <si>
    <t>tlOutputCh2VolForecastTot</t>
  </si>
  <si>
    <t>tlOutputCh2NetSalesTot</t>
  </si>
  <si>
    <t>tlOutputCh2GPaLTot</t>
  </si>
  <si>
    <t>tlOutputCh2CustProfitTot</t>
  </si>
  <si>
    <t>tloutputCh2Prod1Slot1CM</t>
  </si>
  <si>
    <t>tloutputCh2Prod1Slot2CM</t>
  </si>
  <si>
    <t>tloutputCh2Prod1Slot3CM</t>
  </si>
  <si>
    <t>tloutputCh2Prod2Slot1CM</t>
  </si>
  <si>
    <t>tloutputCh2Prod2Slot2CM</t>
  </si>
  <si>
    <t>tloutputCh2Prod2Slot3CM</t>
  </si>
  <si>
    <t>tloutputCh2Prod3Slot1CM</t>
  </si>
  <si>
    <t>tloutputCh2Prod3Slot2CM</t>
  </si>
  <si>
    <t>tloutputCh2Prod3Slot3CM</t>
  </si>
  <si>
    <t>tloutputCh2Prod4Slot1CM</t>
  </si>
  <si>
    <t>tloutputCh2Prod4Slot2CM</t>
  </si>
  <si>
    <t>tloutputCh2Prod4Slot3CM</t>
  </si>
  <si>
    <t>tloutputCh2Prod1Slot1AvgPromoDis</t>
  </si>
  <si>
    <t>tloutputCh2Prod1Slot2AvgPromoDis</t>
  </si>
  <si>
    <t>tloutputCh2Prod1Slot3AvgPromoDis</t>
  </si>
  <si>
    <t>tloutputCh2Prod2Slot1AvgPromoDis</t>
  </si>
  <si>
    <t>tloutputCh2Prod2Slot2AvgPromoDis</t>
  </si>
  <si>
    <t>tloutputCh2Prod2Slot3AvgPromoDis</t>
  </si>
  <si>
    <t>tloutputCh2Prod3Slot1AvgPromoDis</t>
  </si>
  <si>
    <t>tloutputCh2Prod3Slot2AvgPromoDis</t>
  </si>
  <si>
    <t>tloutputCh2Prod3Slot3AvgPromoDis</t>
  </si>
  <si>
    <t>tloutputCh2Prod4Slot1AvgPromoDis</t>
  </si>
  <si>
    <t>tloutputCh2Prod4Slot2AvgPromoDis</t>
  </si>
  <si>
    <t>tloutputCh2Prod4Slot3AvgPromoDis</t>
  </si>
  <si>
    <t>tloutputCh2Prod1Slot1AvgPromoPrice</t>
  </si>
  <si>
    <t>tloutputCh2Prod1Slot2AvgPromoPrice</t>
  </si>
  <si>
    <t>tloutputCh2Prod1Slot3AvgPromoPrice</t>
  </si>
  <si>
    <t>tloutputCh2Prod2Slot1AvgPromoPrice</t>
  </si>
  <si>
    <t>tloutputCh2Prod2Slot2AvgPromoPrice</t>
  </si>
  <si>
    <t>tloutputCh2Prod2Slot3AvgPromoPrice</t>
  </si>
  <si>
    <t>tloutputCh2Prod3Slot1AvgPromoPrice</t>
  </si>
  <si>
    <t>tloutputCh2Prod3Slot2AvgPromoPrice</t>
  </si>
  <si>
    <t>tloutputCh2Prod3Slot3AvgPromoPrice</t>
  </si>
  <si>
    <t>tloutputCh2Prod4Slot1AvgPromoPrice</t>
  </si>
  <si>
    <t>tloutputCh2Prod4Slot2AvgPromoPrice</t>
  </si>
  <si>
    <t>tloutputCh2Prod4Slot3AvgPromoPrice</t>
  </si>
  <si>
    <t>tloutputCh2Prod1Slot1AvgSellPrice</t>
  </si>
  <si>
    <t>tloutputCh2Prod1Slot2AvgSellPrice</t>
  </si>
  <si>
    <t>tloutputCh2Prod1Slot3AvgSellPrice</t>
  </si>
  <si>
    <t>tloutputCh2Prod2Slot1AvgSellPrice</t>
  </si>
  <si>
    <t>tloutputCh2Prod2Slot2AvgSellPrice</t>
  </si>
  <si>
    <t>tloutputCh2Prod2Slot3AvgSellPrice</t>
  </si>
  <si>
    <t>tloutputCh2Prod3Slot1AvgSellPrice</t>
  </si>
  <si>
    <t>tloutputCh2Prod3Slot2AvgSellPrice</t>
  </si>
  <si>
    <t>tloutputCh2Prod3Slot3AvgSellPrice</t>
  </si>
  <si>
    <t>tloutputCh2Prod4Slot1AvgSellPrice</t>
  </si>
  <si>
    <t>tloutputCh2Prod4Slot2AvgSellPrice</t>
  </si>
  <si>
    <t>tloutputCh2Prod4Slot3AvgSellPrice</t>
  </si>
  <si>
    <t>tlOutputCh3VtTurn</t>
  </si>
  <si>
    <t>tlOutputCh3VtExcise</t>
  </si>
  <si>
    <t>tlOutputCh3VtGrossSales</t>
  </si>
  <si>
    <t>tlOutputCh3VtDiscounts</t>
  </si>
  <si>
    <t>tlOutputCh3VtTotalRev</t>
  </si>
  <si>
    <t>tlOutputCh3VtMatExp</t>
  </si>
  <si>
    <t>tlOutputCh3VtLabourExp</t>
  </si>
  <si>
    <t>tlOutputCh3VtMachExp</t>
  </si>
  <si>
    <t>tlOutputCh3VtDeprExp</t>
  </si>
  <si>
    <t>tlOutputCh3VtTotalCOGs</t>
  </si>
  <si>
    <t>tlOutputCh3VtGP</t>
  </si>
  <si>
    <t>tlOutputCh3VtLogExp</t>
  </si>
  <si>
    <t>tlOutputCh3VtGPaL</t>
  </si>
  <si>
    <t>tlOutputCh3VtTurnPct</t>
  </si>
  <si>
    <t>tlOutputCh3VtExcisePct</t>
  </si>
  <si>
    <t>tlOutputCh3VtGrossSalesPct</t>
  </si>
  <si>
    <t>tlOutputCh3VtDiscountsPct</t>
  </si>
  <si>
    <t>tlOutputCh3VtTotalRevPct</t>
  </si>
  <si>
    <t>tlOutputCh3VtMatExpPct</t>
  </si>
  <si>
    <t>tlOutputCh3VtLabourExpPct</t>
  </si>
  <si>
    <t>tlOutputCh3VtMachExpPct</t>
  </si>
  <si>
    <t>tlOutputCh3VtDeprExpPct</t>
  </si>
  <si>
    <t>tlOutputCh3VtTotalCOGsPct</t>
  </si>
  <si>
    <t>tlOutputCh3VtGPPct</t>
  </si>
  <si>
    <t>tlOutputCh3VtLogExpPct</t>
  </si>
  <si>
    <t>tlOutputCh3VtGPaLPct</t>
  </si>
  <si>
    <t>tlOutputCh3VtTurnPVol</t>
  </si>
  <si>
    <t>tlOutputCh3VtExcisePVol</t>
  </si>
  <si>
    <t>tlOutputCh3VtGrossSalesPVol</t>
  </si>
  <si>
    <t>tlOutputCh3VtDiscountsPVol</t>
  </si>
  <si>
    <t>tlOutputCh3VtTotalRevPVol</t>
  </si>
  <si>
    <t>tlOutputCh3VtMatExpPVol</t>
  </si>
  <si>
    <t>tlOutputCh3VtLabourExpPVol</t>
  </si>
  <si>
    <t>tlOutputCh3VtMachExpPVol</t>
  </si>
  <si>
    <t>tlOutputCh3VtDeprExpPVol</t>
  </si>
  <si>
    <t>tlOutputCh3VtTotalCOGsPVol</t>
  </si>
  <si>
    <t>tlOutputCh3VtGPPVol</t>
  </si>
  <si>
    <t>tlOutputCh3VtLogExpPVol</t>
  </si>
  <si>
    <t>tlOutputCh3VtGPaLPVol</t>
  </si>
  <si>
    <t>tlOutputCh3VtTurnPctPVol</t>
  </si>
  <si>
    <t>tlOutputCh3VtExcisePctPVol</t>
  </si>
  <si>
    <t>tlOutputCh3VtGrossSalesPctPVol</t>
  </si>
  <si>
    <t>tlOutputCh3VtDiscountsPctPVol</t>
  </si>
  <si>
    <t>tlOutputCh3VtTotalRevPctPVol</t>
  </si>
  <si>
    <t>tlOutputCh3VtMatExpPctPVol</t>
  </si>
  <si>
    <t>tlOutputCh3VtLabourExpPctPVol</t>
  </si>
  <si>
    <t>tlOutputCh3VtMachExpPctPVol</t>
  </si>
  <si>
    <t>tlOutputCh3VtDeprExpPctPVol</t>
  </si>
  <si>
    <t>tlOutputCh3VtTotalCOGsPctPVol</t>
  </si>
  <si>
    <t>tlOutputCh3VtGPPctPVol</t>
  </si>
  <si>
    <t>tlOutputCh3VtLogExpPctPVol</t>
  </si>
  <si>
    <t>tlOutputCh3VtGPaLPctPVol</t>
  </si>
  <si>
    <t>tlOutputCh3Prod1MktSize</t>
  </si>
  <si>
    <t>tlOutputCh3Prod1VolForcast</t>
  </si>
  <si>
    <t>tlOutputCh3Prod1NetSales</t>
  </si>
  <si>
    <t>tlOutputCh3Prod1GPaL</t>
  </si>
  <si>
    <t>tlOutputCh3Prod1CustProfit</t>
  </si>
  <si>
    <t>tlOutputCh3ValDriv1Exp</t>
  </si>
  <si>
    <t>tlOutputCh3Prod2n3MktSize</t>
  </si>
  <si>
    <t>tlOutputCh3Prod2VolForcast</t>
  </si>
  <si>
    <t>tlOutputCh3Prod2NetSales</t>
  </si>
  <si>
    <t>tlOutputCh3Prod2GPaL</t>
  </si>
  <si>
    <t>tlOutputCh3Prod2CustProfit</t>
  </si>
  <si>
    <t>tlOutputCh3ValDriv2Exp</t>
  </si>
  <si>
    <t>tlOutputCh3Prod1NewSlotExp</t>
  </si>
  <si>
    <t>tlOutputCh3Prod2NewSlotExp</t>
  </si>
  <si>
    <t>tlOutputCh3Prod3NewSlotExp</t>
  </si>
  <si>
    <t>tlOutputCh3Prod4NewSlotExp</t>
  </si>
  <si>
    <t>tlOutputCh3Prod3VolForcast</t>
  </si>
  <si>
    <t>tlOutputCh3Prod3NetSales</t>
  </si>
  <si>
    <t>tlOutputCh3Prod3GPaL</t>
  </si>
  <si>
    <t>tlOutputCh3Prod3CustProfit</t>
  </si>
  <si>
    <t>tlOutputCh3ValDriv3Exp</t>
  </si>
  <si>
    <t>tlOutputCh3Prod4MktSize</t>
  </si>
  <si>
    <t>tlOutputCh3Prod4VolForcast</t>
  </si>
  <si>
    <t>tlOutputCh3Prod4NetSales</t>
  </si>
  <si>
    <t>tlOutputCh3Prod4GPaL</t>
  </si>
  <si>
    <t>tlOutputCh3Prod4CustProfit</t>
  </si>
  <si>
    <t>tlOutputCh3ValDriv4Exp</t>
  </si>
  <si>
    <t>tlOutputCh3ValDriv5Exp</t>
  </si>
  <si>
    <t>tlOutputCh3ValDrivCondExp</t>
  </si>
  <si>
    <t>tlOutputCh3MarketDemandTot</t>
  </si>
  <si>
    <t>tlOutputCh3VolForecastTot</t>
  </si>
  <si>
    <t>tlOutputCh3NetSalesTot</t>
  </si>
  <si>
    <t>tlOutputCh3GPaLTot</t>
  </si>
  <si>
    <t>tlOutputCh3CustProfitTot</t>
  </si>
  <si>
    <t>tloutputCh3Prod1Slot1CM</t>
  </si>
  <si>
    <t>tloutputCh3Prod1Slot2CM</t>
  </si>
  <si>
    <t>tloutputCh3Prod1Slot3CM</t>
  </si>
  <si>
    <t>tloutputCh3Prod2Slot1CM</t>
  </si>
  <si>
    <t>tloutputCh3Prod2Slot2CM</t>
  </si>
  <si>
    <t>tloutputCh3Prod2Slot3CM</t>
  </si>
  <si>
    <t>tloutputCh3Prod3Slot1CM</t>
  </si>
  <si>
    <t>tloutputCh3Prod3Slot2CM</t>
  </si>
  <si>
    <t>tloutputCh3Prod3Slot3CM</t>
  </si>
  <si>
    <t>tloutputCh3Prod4Slot1CM</t>
  </si>
  <si>
    <t>tloutputCh3Prod4Slot2CM</t>
  </si>
  <si>
    <t>tloutputCh3Prod4Slot3CM</t>
  </si>
  <si>
    <t>tloutputCh3Prod1Slot1AvgPromoDis</t>
  </si>
  <si>
    <t>tloutputCh3Prod1Slot2AvgPromoDis</t>
  </si>
  <si>
    <t>tloutputCh3Prod1Slot3AvgPromoDis</t>
  </si>
  <si>
    <t>tloutputCh3Prod2Slot1AvgPromoDis</t>
  </si>
  <si>
    <t>tloutputCh3Prod2Slot2AvgPromoDis</t>
  </si>
  <si>
    <t>tloutputCh3Prod2Slot3AvgPromoDis</t>
  </si>
  <si>
    <t>tloutputCh3Prod3Slot1AvgPromoDis</t>
  </si>
  <si>
    <t>tloutputCh3Prod3Slot2AvgPromoDis</t>
  </si>
  <si>
    <t>tloutputCh3Prod3Slot3AvgPromoDis</t>
  </si>
  <si>
    <t>tloutputCh3Prod4Slot1AvgPromoDis</t>
  </si>
  <si>
    <t>tloutputCh3Prod4Slot2AvgPromoDis</t>
  </si>
  <si>
    <t>tloutputCh3Prod4Slot3AvgPromoDis</t>
  </si>
  <si>
    <t>tloutputCh3Prod1Slot1AvgPromoPrice</t>
  </si>
  <si>
    <t>tloutputCh3Prod1Slot2AvgPromoPrice</t>
  </si>
  <si>
    <t>tloutputCh3Prod1Slot3AvgPromoPrice</t>
  </si>
  <si>
    <t>tloutputCh3Prod2Slot1AvgPromoPrice</t>
  </si>
  <si>
    <t>tloutputCh3Prod2Slot2AvgPromoPrice</t>
  </si>
  <si>
    <t>tloutputCh3Prod2Slot3AvgPromoPrice</t>
  </si>
  <si>
    <t>tloutputCh3Prod3Slot1AvgPromoPrice</t>
  </si>
  <si>
    <t>tloutputCh3Prod3Slot2AvgPromoPrice</t>
  </si>
  <si>
    <t>tloutputCh3Prod3Slot3AvgPromoPrice</t>
  </si>
  <si>
    <t>tloutputCh3Prod4Slot1AvgPromoPrice</t>
  </si>
  <si>
    <t>tloutputCh3Prod4Slot2AvgPromoPrice</t>
  </si>
  <si>
    <t>tloutputCh3Prod4Slot3AvgPromoPrice</t>
  </si>
  <si>
    <t>tloutputCh3Prod1Slot1AvgSellPrice</t>
  </si>
  <si>
    <t>tloutputCh3Prod1Slot2AvgSellPrice</t>
  </si>
  <si>
    <t>tloutputCh3Prod1Slot3AvgSellPrice</t>
  </si>
  <si>
    <t>tloutputCh3Prod2Slot1AvgSellPrice</t>
  </si>
  <si>
    <t>tloutputCh3Prod2Slot2AvgSellPrice</t>
  </si>
  <si>
    <t>tloutputCh3Prod2Slot3AvgSellPrice</t>
  </si>
  <si>
    <t>tloutputCh3Prod3Slot1AvgSellPrice</t>
  </si>
  <si>
    <t>tloutputCh3Prod3Slot2AvgSellPrice</t>
  </si>
  <si>
    <t>tloutputCh3Prod3Slot3AvgSellPrice</t>
  </si>
  <si>
    <t>tloutputCh3Prod4Slot1AvgSellPrice</t>
  </si>
  <si>
    <t>tloutputCh3Prod4Slot2AvgSellPrice</t>
  </si>
  <si>
    <t>tloutputCh3Prod4Slot3AvgSellPrice</t>
  </si>
  <si>
    <t>tlOutputCh4VtTurn</t>
  </si>
  <si>
    <t>tlOutputCh4VtExcise</t>
  </si>
  <si>
    <t>tlOutputCh4VtGrossSales</t>
  </si>
  <si>
    <t>tlOutputCh4VtDiscounts</t>
  </si>
  <si>
    <t>tlOutputCh4VtTotalRev</t>
  </si>
  <si>
    <t>tlOutputCh4VtMatExp</t>
  </si>
  <si>
    <t>tlOutputCh4VtLabourExp</t>
  </si>
  <si>
    <t>tlOutputCh4VtMachExp</t>
  </si>
  <si>
    <t>tlOutputCh4VtDeprExp</t>
  </si>
  <si>
    <t>tlOutputCh4VtTotalCOGs</t>
  </si>
  <si>
    <t>tlOutputCh4VtGP</t>
  </si>
  <si>
    <t>tlOutputCh4VtLogExp</t>
  </si>
  <si>
    <t>tlOutputCh4VtGPaL</t>
  </si>
  <si>
    <t>tlOutputCh4VtTurnPct</t>
  </si>
  <si>
    <t>tlOutputCh4VtExcisePct</t>
  </si>
  <si>
    <t>tlOutputCh4VtGrossSalesPct</t>
  </si>
  <si>
    <t>tlOutputCh4VtDiscountsPct</t>
  </si>
  <si>
    <t>tlOutputCh4VtTotalRevPct</t>
  </si>
  <si>
    <t>tlOutputCh4VtMatExpPct</t>
  </si>
  <si>
    <t>tlOutputCh4VtLabourExpPct</t>
  </si>
  <si>
    <t>tlOutputCh4VtMachExpPct</t>
  </si>
  <si>
    <t>tlOutputCh4VtDeprExpPct</t>
  </si>
  <si>
    <t>tlOutputCh4VtTotalCOGsPct</t>
  </si>
  <si>
    <t>tlOutputCh4VtGPPct</t>
  </si>
  <si>
    <t>tlOutputCh4VtLogExpPct</t>
  </si>
  <si>
    <t>tlOutputCh4VtGPaLPct</t>
  </si>
  <si>
    <t>tlOutputCh4VtTurnPVol</t>
  </si>
  <si>
    <t>tlOutputCh4VtExcisePVol</t>
  </si>
  <si>
    <t>tlOutputCh4VtGrossSalesPVol</t>
  </si>
  <si>
    <t>tlOutputCh4VtDiscountsPVol</t>
  </si>
  <si>
    <t>tlOutputCh4VtTotalRevPVol</t>
  </si>
  <si>
    <t>tlOutputCh4VtMatExpPVol</t>
  </si>
  <si>
    <t>tlOutputCh4VtLabourExpPVol</t>
  </si>
  <si>
    <t>tlOutputCh4VtMachExpPVol</t>
  </si>
  <si>
    <t>tlOutputCh4VtDeprExpPVol</t>
  </si>
  <si>
    <t>tlOutputCh4VtTotalCOGsPVol</t>
  </si>
  <si>
    <t>tlOutputCh4VtGPPVol</t>
  </si>
  <si>
    <t>tlOutputCh4VtLogExpPVol</t>
  </si>
  <si>
    <t>tlOutputCh4VtGPaLPVol</t>
  </si>
  <si>
    <t>tlOutputCh4VtTurnPctPVol</t>
  </si>
  <si>
    <t>tlOutputCh4VtExcisePctPVol</t>
  </si>
  <si>
    <t>tlOutputCh4VtGrossSalesPctPVol</t>
  </si>
  <si>
    <t>tlOutputCh4VtDiscountsPctPVol</t>
  </si>
  <si>
    <t>tlOutputCh4VtTotalRevPctPVol</t>
  </si>
  <si>
    <t>tlOutputCh4VtMatExpPctPVol</t>
  </si>
  <si>
    <t>tlOutputCh4VtLabourExpPctPVol</t>
  </si>
  <si>
    <t>tlOutputCh4VtMachExpPctPVol</t>
  </si>
  <si>
    <t>tlOutputCh4VtDeprExpPctPVol</t>
  </si>
  <si>
    <t>tlOutputCh4VtTotalCOGsPctPVol</t>
  </si>
  <si>
    <t>tlOutputCh4VtGPPctPVol</t>
  </si>
  <si>
    <t>tlOutputCh4VtLogExpPctPVol</t>
  </si>
  <si>
    <t>tlOutputCh4VtGPaLPctPVol</t>
  </si>
  <si>
    <t>tlOutputCh4Prod1MktSize</t>
  </si>
  <si>
    <t>tlOutputCh4Prod1VolForcast</t>
  </si>
  <si>
    <t>tlOutputCh4Prod1NetSales</t>
  </si>
  <si>
    <t>tlOutputCh4Prod1GPaL</t>
  </si>
  <si>
    <t>tlOutputCh4Prod1CustProfit</t>
  </si>
  <si>
    <t>tlOutputCh4ValDriv1Exp</t>
  </si>
  <si>
    <t>tlOutputCh4Prod2n3MktSize</t>
  </si>
  <si>
    <t>tlOutputCh4Prod2VolForcast</t>
  </si>
  <si>
    <t>tlOutputCh4Prod2NetSales</t>
  </si>
  <si>
    <t>tlOutputCh4Prod2GPaL</t>
  </si>
  <si>
    <t>tlOutputCh4Prod2CustProfit</t>
  </si>
  <si>
    <t>tlOutputCh4ValDriv2Exp</t>
  </si>
  <si>
    <t>tlOutputCh4Prod1NewSlotExp</t>
  </si>
  <si>
    <t>tlOutputCh4Prod2NewSlotExp</t>
  </si>
  <si>
    <t>tlOutputCh4Prod3NewSlotExp</t>
  </si>
  <si>
    <t>tlOutputCh4Prod4NewSlotExp</t>
  </si>
  <si>
    <t>tlOutputCh4Prod3VolForcast</t>
  </si>
  <si>
    <t>tlOutputCh4Prod3NetSales</t>
  </si>
  <si>
    <t>tlOutputCh4Prod3GPaL</t>
  </si>
  <si>
    <t>tlOutputCh4Prod3CustProfit</t>
  </si>
  <si>
    <t>tlOutputCh4ValDriv3Exp</t>
  </si>
  <si>
    <t>tlOutputCh4Prod4MktSize</t>
  </si>
  <si>
    <t>tlOutputCh4Prod4VolForcast</t>
  </si>
  <si>
    <t>tlOutputCh4Prod4NetSales</t>
  </si>
  <si>
    <t>tlOutputCh4Prod4GPaL</t>
  </si>
  <si>
    <t>tlOutputCh4Prod4CustProfit</t>
  </si>
  <si>
    <t>tlOutputCh4ValDriv4Exp</t>
  </si>
  <si>
    <t>tlOutputCh4ValDriv5Exp</t>
  </si>
  <si>
    <t>tlOutputCh4ValDrivCondExp</t>
  </si>
  <si>
    <t>tlOutputCh4MarketDemandTot</t>
  </si>
  <si>
    <t>tlOutputCh4VolForecastTot</t>
  </si>
  <si>
    <t>tlOutputCh4NetSalesTot</t>
  </si>
  <si>
    <t>tlOutputCh4GPaLTot</t>
  </si>
  <si>
    <t>tlOutputCh4CustProfitTot</t>
  </si>
  <si>
    <t>tloutputCh4Prod1Slot1CM</t>
  </si>
  <si>
    <t>tloutputCh4Prod1Slot2CM</t>
  </si>
  <si>
    <t>tloutputCh4Prod1Slot3CM</t>
  </si>
  <si>
    <t>tloutputCh4Prod2Slot1CM</t>
  </si>
  <si>
    <t>tloutputCh4Prod2Slot2CM</t>
  </si>
  <si>
    <t>tloutputCh4Prod2Slot3CM</t>
  </si>
  <si>
    <t>tloutputCh4Prod3Slot1CM</t>
  </si>
  <si>
    <t>tloutputCh4Prod3Slot2CM</t>
  </si>
  <si>
    <t>tloutputCh4Prod3Slot3CM</t>
  </si>
  <si>
    <t>tloutputCh4Prod4Slot1CM</t>
  </si>
  <si>
    <t>tloutputCh4Prod4Slot2CM</t>
  </si>
  <si>
    <t>tloutputCh4Prod4Slot3CM</t>
  </si>
  <si>
    <t>tloutputCh4Prod1Slot1AvgPromoDis</t>
  </si>
  <si>
    <t>tloutputCh4Prod1Slot2AvgPromoDis</t>
  </si>
  <si>
    <t>tloutputCh4Prod1Slot3AvgPromoDis</t>
  </si>
  <si>
    <t>tloutputCh4Prod2Slot1AvgPromoDis</t>
  </si>
  <si>
    <t>tloutputCh4Prod2Slot2AvgPromoDis</t>
  </si>
  <si>
    <t>tloutputCh4Prod2Slot3AvgPromoDis</t>
  </si>
  <si>
    <t>tloutputCh4Prod3Slot1AvgPromoDis</t>
  </si>
  <si>
    <t>tloutputCh4Prod3Slot2AvgPromoDis</t>
  </si>
  <si>
    <t>tloutputCh4Prod3Slot3AvgPromoDis</t>
  </si>
  <si>
    <t>tloutputCh4Prod4Slot1AvgPromoDis</t>
  </si>
  <si>
    <t>tloutputCh4Prod4Slot2AvgPromoDis</t>
  </si>
  <si>
    <t>tloutputCh4Prod4Slot3AvgPromoDis</t>
  </si>
  <si>
    <t>tloutputCh4Prod1Slot1AvgPromoPrice</t>
  </si>
  <si>
    <t>tloutputCh4Prod1Slot2AvgPromoPrice</t>
  </si>
  <si>
    <t>tloutputCh4Prod1Slot3AvgPromoPrice</t>
  </si>
  <si>
    <t>tloutputCh4Prod2Slot1AvgPromoPrice</t>
  </si>
  <si>
    <t>tloutputCh4Prod2Slot2AvgPromoPrice</t>
  </si>
  <si>
    <t>tloutputCh4Prod2Slot3AvgPromoPrice</t>
  </si>
  <si>
    <t>tloutputCh4Prod3Slot1AvgPromoPrice</t>
  </si>
  <si>
    <t>tloutputCh4Prod3Slot2AvgPromoPrice</t>
  </si>
  <si>
    <t>tloutputCh4Prod3Slot3AvgPromoPrice</t>
  </si>
  <si>
    <t>tloutputCh4Prod4Slot1AvgPromoPrice</t>
  </si>
  <si>
    <t>tloutputCh4Prod4Slot2AvgPromoPrice</t>
  </si>
  <si>
    <t>tloutputCh4Prod4Slot3AvgPromoPrice</t>
  </si>
  <si>
    <t>tloutputCh4Prod1Slot1AvgSellPrice</t>
  </si>
  <si>
    <t>tloutputCh4Prod1Slot2AvgSellPrice</t>
  </si>
  <si>
    <t>tloutputCh4Prod1Slot3AvgSellPrice</t>
  </si>
  <si>
    <t>tloutputCh4Prod2Slot1AvgSellPrice</t>
  </si>
  <si>
    <t>tloutputCh4Prod2Slot2AvgSellPrice</t>
  </si>
  <si>
    <t>tloutputCh4Prod2Slot3AvgSellPrice</t>
  </si>
  <si>
    <t>tloutputCh4Prod3Slot1AvgSellPrice</t>
  </si>
  <si>
    <t>tloutputCh4Prod3Slot2AvgSellPrice</t>
  </si>
  <si>
    <t>tloutputCh4Prod3Slot3AvgSellPrice</t>
  </si>
  <si>
    <t>tloutputCh4Prod4Slot1AvgSellPrice</t>
  </si>
  <si>
    <t>tloutputCh4Prod4Slot2AvgSellPrice</t>
  </si>
  <si>
    <t>tloutputCh4Prod4Slot3AvgSellPrice</t>
  </si>
  <si>
    <t>Total COGS</t>
  </si>
  <si>
    <t>Finances</t>
  </si>
  <si>
    <t>Company GPaL</t>
  </si>
  <si>
    <t>obalCompanyGPaLTot</t>
  </si>
  <si>
    <t>Company Customer Profit</t>
  </si>
  <si>
    <t>obalCompanyCustomerProfitTot</t>
  </si>
  <si>
    <t>cbalCompanyGPaLTot</t>
  </si>
  <si>
    <t>cbalCompanyCustomerProfitTot</t>
  </si>
  <si>
    <t>Shelf Price</t>
  </si>
  <si>
    <t>Customer Uplift</t>
  </si>
  <si>
    <t>Cool Space</t>
  </si>
  <si>
    <t>Trade Marketing Plan</t>
  </si>
  <si>
    <t>Discount</t>
  </si>
  <si>
    <t>Convenience</t>
  </si>
  <si>
    <t>dataCustomerMargin</t>
  </si>
  <si>
    <t>tlOutputCh1Prod1Slot1SP</t>
  </si>
  <si>
    <t>tlOutputCh1Prod1Slot2SP</t>
  </si>
  <si>
    <t>tlOutputCh1Prod1Slot3SP</t>
  </si>
  <si>
    <t>tlOutputCh1Prod2Slot1SP</t>
  </si>
  <si>
    <t>tlOutputCh1Prod2Slot2SP</t>
  </si>
  <si>
    <t>tlOutputCh1Prod2Slot3SP</t>
  </si>
  <si>
    <t>tlOutputCh1Prod3Slot1SP</t>
  </si>
  <si>
    <t>tlOutputCh1Prod3Slot2SP</t>
  </si>
  <si>
    <t>tlOutputCh1Prod3Slot3SP</t>
  </si>
  <si>
    <t>tlOutputCh1Prod4Slot1SP</t>
  </si>
  <si>
    <t>tlOutputCh1Prod4Slot2SP</t>
  </si>
  <si>
    <t>tlOutputCh1Prod4Slot3SP</t>
  </si>
  <si>
    <t>tlOutputCh1Vtstaple1</t>
  </si>
  <si>
    <t>tlOutputCh1Vtstaple2</t>
  </si>
  <si>
    <t>tlOutputCh1Vtstaple3</t>
  </si>
  <si>
    <t>tlOutputCh1Vtstaple4</t>
  </si>
  <si>
    <t>Company PNL</t>
  </si>
  <si>
    <t>tlOutputPNLTurnTot</t>
  </si>
  <si>
    <t>tlOutputPNLExciseTot</t>
  </si>
  <si>
    <t>tlOutputPNLGrossSalesTot</t>
  </si>
  <si>
    <t>tlOutputPNLDiscountsTot</t>
  </si>
  <si>
    <t>tlOutputPNLNetRevTot</t>
  </si>
  <si>
    <t>tlOutputPNLMatExpTot</t>
  </si>
  <si>
    <t>tlOutputPNLLabExpTot</t>
  </si>
  <si>
    <t>tlOutputPNLMachExpTot</t>
  </si>
  <si>
    <t>tlOutputPNLDepExpTot</t>
  </si>
  <si>
    <t>tlOutputPNLCostRevTot</t>
  </si>
  <si>
    <t>tlOutputPNLGroProfitTot</t>
  </si>
  <si>
    <t>tlOutputPNLLogExpTot</t>
  </si>
  <si>
    <t>tlOutputPNLGPaLTot</t>
  </si>
  <si>
    <t>tlOutputPNLSalesExpTot</t>
  </si>
  <si>
    <t>tlOutputPNLTMktExpTot</t>
  </si>
  <si>
    <t>tlOutputPNLBMktExpTot</t>
  </si>
  <si>
    <t>tlOutputPNLRnDExpTot</t>
  </si>
  <si>
    <t>tlOutputPNLGnAdminExp</t>
  </si>
  <si>
    <t>tlOutputPNLOverheadExpTot</t>
  </si>
  <si>
    <t>tlOutputPNLEbitTot</t>
  </si>
  <si>
    <t>tlOutputPNLFinNetTot</t>
  </si>
  <si>
    <t>tlOutputPNLEbtTot</t>
  </si>
  <si>
    <t>tlOutputPNLCTaxTot</t>
  </si>
  <si>
    <t>tlOutputPNLNetIncTot</t>
  </si>
  <si>
    <t>Percentages</t>
  </si>
  <si>
    <t>tlOutputPNLNetRevTotPct</t>
  </si>
  <si>
    <t>tlOutputPNLMatExpTotPct</t>
  </si>
  <si>
    <t>tlOutputPNLLabExpTotPct</t>
  </si>
  <si>
    <t>tlOutputPNLMachExpTotPct</t>
  </si>
  <si>
    <t>tlOutputPNLDepExpTotPct</t>
  </si>
  <si>
    <t>tlOutputPNLCostRevTotPct</t>
  </si>
  <si>
    <t>tlOutputPNLGroProfitTotPct</t>
  </si>
  <si>
    <t>tlOutputPNLLogExpTotPct</t>
  </si>
  <si>
    <t>tlOutputPNLGPaLTotPct</t>
  </si>
  <si>
    <t>tlOutputPNLSalesExpTotPct</t>
  </si>
  <si>
    <t>tlOutputPNLTMktExpTotPct</t>
  </si>
  <si>
    <t>tlOutputPNLBMktExpTotPct</t>
  </si>
  <si>
    <t>tlOutputPNLRnDExpTotPct</t>
  </si>
  <si>
    <t>tlOutputPNLGnAdminExpPct</t>
  </si>
  <si>
    <t>tlOutputPNLOverheadExpTotPct</t>
  </si>
  <si>
    <t>tlOutputPNLEbitTotPct</t>
  </si>
  <si>
    <t>tlOutputPNLFinNetTotPct</t>
  </si>
  <si>
    <t>tlOutputPNLEbtTotPct</t>
  </si>
  <si>
    <t>tlOutputPNLCTaxTotPct</t>
  </si>
  <si>
    <t>tlOutputPNLNetIncTotPct</t>
  </si>
  <si>
    <t>Per Litre PNL</t>
  </si>
  <si>
    <t>tlOutputPNLTurnTotPVol</t>
  </si>
  <si>
    <t>tlOutputPNLExciseTotPVol</t>
  </si>
  <si>
    <t>tlOutputPNLGrossSalesTotPVol</t>
  </si>
  <si>
    <t>tlOutputPNLDiscountsTotPVol</t>
  </si>
  <si>
    <t>tlOutputPNLNetRevTotPVol</t>
  </si>
  <si>
    <t>tlOutputPNLMatExpTotPVol</t>
  </si>
  <si>
    <t>tlOutputPNLLabExpTotPVol</t>
  </si>
  <si>
    <t>tlOutputPNLMachExpTotPVol</t>
  </si>
  <si>
    <t>tlOutputPNLDepExpTotPVol</t>
  </si>
  <si>
    <t>tlOutputPNLCostRevTotPVol</t>
  </si>
  <si>
    <t>tlOutputPNLGroProfitTotPVol</t>
  </si>
  <si>
    <t>tlOutputPNLLogExpTotPVol</t>
  </si>
  <si>
    <t>tlOutputPNLGPaLTotPVol</t>
  </si>
  <si>
    <t>tlOutputPNLSalesExpTotPVol</t>
  </si>
  <si>
    <t>tlOutputPNLTMktExpTotPVol</t>
  </si>
  <si>
    <t>tlOutputPNLBMktExpTotPVol</t>
  </si>
  <si>
    <t>tlOutputPNLRnDExpTotPVol</t>
  </si>
  <si>
    <t>tlOutputPNLGnAdminExpTotPVol</t>
  </si>
  <si>
    <t>tlOutputPNLOverheadExpTotPVol</t>
  </si>
  <si>
    <t>tlOutputPNLEbitTotPVol</t>
  </si>
  <si>
    <t>tlOutputPNLFinNetTotPVol</t>
  </si>
  <si>
    <t>tlOutputPNLEbtTotPVol</t>
  </si>
  <si>
    <t>tlOutputPNLCTaxTotPVol</t>
  </si>
  <si>
    <t>tlOutputPNLNetIncTotPVol</t>
  </si>
  <si>
    <t>Company</t>
  </si>
  <si>
    <t>% of Net Sales</t>
  </si>
  <si>
    <t>Total Overhead</t>
  </si>
  <si>
    <t>Brand Marketing</t>
  </si>
  <si>
    <t>finPNLProd1Turn</t>
  </si>
  <si>
    <t>finPNLProd1Excise</t>
  </si>
  <si>
    <t>finPNLProd1GrossSales</t>
  </si>
  <si>
    <t>finPNLProd1Discounts</t>
  </si>
  <si>
    <t>finPNLProd1NetRev</t>
  </si>
  <si>
    <t>finPNLProd1MatExp</t>
  </si>
  <si>
    <t>finPNLProd1LabExp</t>
  </si>
  <si>
    <t>finPNLProd1MachExp</t>
  </si>
  <si>
    <t>finPNLProd1DepExp</t>
  </si>
  <si>
    <t>finPNLProd1CostRev</t>
  </si>
  <si>
    <t>finPNLProd1GroProfit</t>
  </si>
  <si>
    <t>finPNLProd1LogExp</t>
  </si>
  <si>
    <t>finPNLProd1GPaLMargin</t>
  </si>
  <si>
    <t>% of Net sales</t>
  </si>
  <si>
    <t>finPNLProd1LogExpPct</t>
  </si>
  <si>
    <t>finPNLProd1GM</t>
  </si>
  <si>
    <t>finPNLProd4Turn</t>
  </si>
  <si>
    <t>finPNLProd4Excise</t>
  </si>
  <si>
    <t>finPNLProd4GrossSales</t>
  </si>
  <si>
    <t>finPNLProd4Discounts</t>
  </si>
  <si>
    <t>finPNLProd4NetRev</t>
  </si>
  <si>
    <t>finPNLProd4MatExp</t>
  </si>
  <si>
    <t>finPNLProd4LabExp</t>
  </si>
  <si>
    <t>finPNLProd4MachExp</t>
  </si>
  <si>
    <t>finPNLProd4DepExp</t>
  </si>
  <si>
    <t>finPNLProd4CostRev</t>
  </si>
  <si>
    <t>finPNLProd4GroProfit</t>
  </si>
  <si>
    <t>finPNLProd4GM</t>
  </si>
  <si>
    <t>finPNLProd4LogExp</t>
  </si>
  <si>
    <t>finPNLProd4LogExpPct</t>
  </si>
  <si>
    <t>finPNLProd4GPaLMargin</t>
  </si>
  <si>
    <t>finPNLProd3Turn</t>
  </si>
  <si>
    <t>finPNLProd3Excise</t>
  </si>
  <si>
    <t>finPNLProd3GrossSales</t>
  </si>
  <si>
    <t>finPNLProd3Discounts</t>
  </si>
  <si>
    <t>finPNLProd3NetRev</t>
  </si>
  <si>
    <t>finPNLProd3MatExp</t>
  </si>
  <si>
    <t>finPNLProd3LabExp</t>
  </si>
  <si>
    <t>finPNLProd3MachExp</t>
  </si>
  <si>
    <t>finPNLProd3DepExp</t>
  </si>
  <si>
    <t>finPNLProd3CostRev</t>
  </si>
  <si>
    <t>finPNLProd3GroProfit</t>
  </si>
  <si>
    <t>finPNLProd3GM</t>
  </si>
  <si>
    <t>finPNLProd3LogExp</t>
  </si>
  <si>
    <t>finPNLProd3LogExpPct</t>
  </si>
  <si>
    <t>finPNLProd3GPaLMargin</t>
  </si>
  <si>
    <t>finPNLProd2Turn</t>
  </si>
  <si>
    <t>finPNLProd2Excise</t>
  </si>
  <si>
    <t>finPNLProd2GrossSales</t>
  </si>
  <si>
    <t>finPNLProd2Discounts</t>
  </si>
  <si>
    <t>finPNLProd2NetRev</t>
  </si>
  <si>
    <t>finPNLProd2MatExp</t>
  </si>
  <si>
    <t>finPNLProd2LabExp</t>
  </si>
  <si>
    <t>finPNLProd2MachExp</t>
  </si>
  <si>
    <t>finPNLProd2DepExp</t>
  </si>
  <si>
    <t>finPNLProd2CostRev</t>
  </si>
  <si>
    <t>finPNLProd2GroProfit</t>
  </si>
  <si>
    <t>finPNLProd2GM</t>
  </si>
  <si>
    <t>finPNLProd2LogExp</t>
  </si>
  <si>
    <t>finPNLProd2LogExpPct</t>
  </si>
  <si>
    <t>finPNLProd2GPaLMargin</t>
  </si>
  <si>
    <t>finPNLCh1Turn</t>
  </si>
  <si>
    <t>finPNLCh1Excise</t>
  </si>
  <si>
    <t>finPNLCh1GrossSales</t>
  </si>
  <si>
    <t>finPNLCh1Discounts</t>
  </si>
  <si>
    <t>finPNLCh1NetRev</t>
  </si>
  <si>
    <t>finPNLCh1MatExp</t>
  </si>
  <si>
    <t>finPNLCh1LabExp</t>
  </si>
  <si>
    <t>finPNLCh1MachExp</t>
  </si>
  <si>
    <t>finPNLCh1DepExp</t>
  </si>
  <si>
    <t>finPNLCh1CostRev</t>
  </si>
  <si>
    <t>finPNLCh1GroProfit</t>
  </si>
  <si>
    <t>finPNLCh1GM</t>
  </si>
  <si>
    <t>finPNLCh1LogExp</t>
  </si>
  <si>
    <t>finPNLCh1LogExpPct</t>
  </si>
  <si>
    <t>finPNLCh1GPaLMargin</t>
  </si>
  <si>
    <t>finPNLCh1TMkt</t>
  </si>
  <si>
    <t>finPNLCh4Turn</t>
  </si>
  <si>
    <t>finPNLCh4Excise</t>
  </si>
  <si>
    <t>finPNLCh4GrossSales</t>
  </si>
  <si>
    <t>finPNLCh4Discounts</t>
  </si>
  <si>
    <t>finPNLCh4NetRev</t>
  </si>
  <si>
    <t>finPNLCh4MatExp</t>
  </si>
  <si>
    <t>finPNLCh4LabExp</t>
  </si>
  <si>
    <t>finPNLCh4MachExp</t>
  </si>
  <si>
    <t>finPNLCh4DepExp</t>
  </si>
  <si>
    <t>finPNLCh4CostRev</t>
  </si>
  <si>
    <t>finPNLCh4GroProfit</t>
  </si>
  <si>
    <t>finPNLCh4GM</t>
  </si>
  <si>
    <t>finPNLCh4LogExp</t>
  </si>
  <si>
    <t>finPNLCh4LogExpPct</t>
  </si>
  <si>
    <t>finPNLCh4GPaLMargin</t>
  </si>
  <si>
    <t>finPNLCh4TMkt</t>
  </si>
  <si>
    <t>finPNLCh3Turn</t>
  </si>
  <si>
    <t>finPNLCh3Excise</t>
  </si>
  <si>
    <t>finPNLCh3GrossSales</t>
  </si>
  <si>
    <t>finPNLCh3Discounts</t>
  </si>
  <si>
    <t>finPNLCh3NetRev</t>
  </si>
  <si>
    <t>finPNLCh3MatExp</t>
  </si>
  <si>
    <t>finPNLCh3LabExp</t>
  </si>
  <si>
    <t>finPNLCh3MachExp</t>
  </si>
  <si>
    <t>finPNLCh3DepExp</t>
  </si>
  <si>
    <t>finPNLCh3CostRev</t>
  </si>
  <si>
    <t>finPNLCh3GroProfit</t>
  </si>
  <si>
    <t>finPNLCh3GM</t>
  </si>
  <si>
    <t>finPNLCh3LogExp</t>
  </si>
  <si>
    <t>finPNLCh3LogExpPct</t>
  </si>
  <si>
    <t>finPNLCh3GPaLMargin</t>
  </si>
  <si>
    <t>finPNLCh3TMkt</t>
  </si>
  <si>
    <t>finPNLCh2Turn</t>
  </si>
  <si>
    <t>finPNLCh2Excise</t>
  </si>
  <si>
    <t>finPNLCh2GrossSales</t>
  </si>
  <si>
    <t>finPNLCh2Discounts</t>
  </si>
  <si>
    <t>finPNLCh2NetRev</t>
  </si>
  <si>
    <t>finPNLCh2MatExp</t>
  </si>
  <si>
    <t>finPNLCh2LabExp</t>
  </si>
  <si>
    <t>finPNLCh2MachExp</t>
  </si>
  <si>
    <t>finPNLCh2DepExp</t>
  </si>
  <si>
    <t>finPNLCh2CostRev</t>
  </si>
  <si>
    <t>finPNLCh2GroProfit</t>
  </si>
  <si>
    <t>finPNLCh2GM</t>
  </si>
  <si>
    <t>finPNLCh2LogExp</t>
  </si>
  <si>
    <t>finPNLCh2LogExpPct</t>
  </si>
  <si>
    <t>finPNLCh2GPaLMargin</t>
  </si>
  <si>
    <t>finPNLCh2TMkt</t>
  </si>
  <si>
    <t>finPNLProd1TMkt</t>
  </si>
  <si>
    <t>finPNLProd1BMkt</t>
  </si>
  <si>
    <t>finPNLProd2TMkt</t>
  </si>
  <si>
    <t>finPNLProd2BMkt</t>
  </si>
  <si>
    <t>finPNLProd3TMkt</t>
  </si>
  <si>
    <t>finPNLProd3BMkt</t>
  </si>
  <si>
    <t>finPNLProd4BMkt</t>
  </si>
  <si>
    <t>finPNLProd4TMkt</t>
  </si>
  <si>
    <t>Channel PNL</t>
  </si>
  <si>
    <t>tlOutputPNLCh1Turn</t>
  </si>
  <si>
    <t>tlOutputPNLCh1Excise</t>
  </si>
  <si>
    <t>tlOutputPNLCh1GrossSales</t>
  </si>
  <si>
    <t>tlOutputPNLCh1Discounts</t>
  </si>
  <si>
    <t>tlOutputPNLCh1NetRev</t>
  </si>
  <si>
    <t>tlOutputPNLCh1MatExp</t>
  </si>
  <si>
    <t>tlOutputPNLCh1LabExp</t>
  </si>
  <si>
    <t>tlOutputPNLCh1MachExp</t>
  </si>
  <si>
    <t>tlOutputPNLCh1DepExp</t>
  </si>
  <si>
    <t>tlOutputPNLCh1CostRev</t>
  </si>
  <si>
    <t>tlOutputPNLCh1GroProfit</t>
  </si>
  <si>
    <t>tlOutputPNLCh1GM</t>
  </si>
  <si>
    <t>tlOutputPNLCh1LogExp</t>
  </si>
  <si>
    <t>tlOutputPNLCh1LogExpPct</t>
  </si>
  <si>
    <t>tlOutputPNLCh1GPaL</t>
  </si>
  <si>
    <t>tlOutputPNLCh1GPaLMargin</t>
  </si>
  <si>
    <t>tlOutputPNLCh1TMkt</t>
  </si>
  <si>
    <t>tlOutputPNLCh1CostRevPct</t>
  </si>
  <si>
    <t>tlOutputPNLCh1Overhead</t>
  </si>
  <si>
    <t>INTERFACE - For modules that are being imported, these cells must be correc=tly connected to other cells in the simulation</t>
  </si>
  <si>
    <t>tlOutputPNLCh4Turn</t>
  </si>
  <si>
    <t>tlOutputPNLCh4Excise</t>
  </si>
  <si>
    <t>tlOutputPNLCh4GrossSales</t>
  </si>
  <si>
    <t>tlOutputPNLCh4Discounts</t>
  </si>
  <si>
    <t>tlOutputPNLCh4NetRev</t>
  </si>
  <si>
    <t>tlOutputPNLCh4MatExp</t>
  </si>
  <si>
    <t>tlOutputPNLCh4LabExp</t>
  </si>
  <si>
    <t>tlOutputPNLCh4MachExp</t>
  </si>
  <si>
    <t>tlOutputPNLCh4DepExp</t>
  </si>
  <si>
    <t>tlOutputPNLCh4CostRev</t>
  </si>
  <si>
    <t>tlOutputPNLCh4CostRevPct</t>
  </si>
  <si>
    <t>tlOutputPNLCh4GroProfit</t>
  </si>
  <si>
    <t>tlOutputPNLCh4GM</t>
  </si>
  <si>
    <t>tlOutputPNLCh4LogExp</t>
  </si>
  <si>
    <t>tlOutputPNLCh4LogExpPct</t>
  </si>
  <si>
    <t>tlOutputPNLCh4GPaL</t>
  </si>
  <si>
    <t>tlOutputPNLCh4GPaLMargin</t>
  </si>
  <si>
    <t>tlOutputPNLCh4TMkt</t>
  </si>
  <si>
    <t>tlOutputPNLCh4Overhead</t>
  </si>
  <si>
    <t>tlOutputPNLCh3Turn</t>
  </si>
  <si>
    <t>tlOutputPNLCh3Excise</t>
  </si>
  <si>
    <t>tlOutputPNLCh3GrossSales</t>
  </si>
  <si>
    <t>tlOutputPNLCh3Discounts</t>
  </si>
  <si>
    <t>tlOutputPNLCh3NetRev</t>
  </si>
  <si>
    <t>tlOutputPNLCh3MatExp</t>
  </si>
  <si>
    <t>tlOutputPNLCh3LabExp</t>
  </si>
  <si>
    <t>tlOutputPNLCh3MachExp</t>
  </si>
  <si>
    <t>tlOutputPNLCh3DepExp</t>
  </si>
  <si>
    <t>tlOutputPNLCh3CostRev</t>
  </si>
  <si>
    <t>tlOutputPNLCh3CostRevPct</t>
  </si>
  <si>
    <t>tlOutputPNLCh3GroProfit</t>
  </si>
  <si>
    <t>tlOutputPNLCh3GM</t>
  </si>
  <si>
    <t>tlOutputPNLCh3LogExp</t>
  </si>
  <si>
    <t>tlOutputPNLCh3LogExpPct</t>
  </si>
  <si>
    <t>tlOutputPNLCh3GPaL</t>
  </si>
  <si>
    <t>tlOutputPNLCh3GPaLMargin</t>
  </si>
  <si>
    <t>tlOutputPNLCh3TMkt</t>
  </si>
  <si>
    <t>tlOutputPNLCh3Overhead</t>
  </si>
  <si>
    <t>tlOutputPNLCh2Turn</t>
  </si>
  <si>
    <t>tlOutputPNLCh2Excise</t>
  </si>
  <si>
    <t>tlOutputPNLCh2GrossSales</t>
  </si>
  <si>
    <t>tlOutputPNLCh2Discounts</t>
  </si>
  <si>
    <t>tlOutputPNLCh2NetRev</t>
  </si>
  <si>
    <t>tlOutputPNLCh2MatExp</t>
  </si>
  <si>
    <t>tlOutputPNLCh2LabExp</t>
  </si>
  <si>
    <t>tlOutputPNLCh2MachExp</t>
  </si>
  <si>
    <t>tlOutputPNLCh2DepExp</t>
  </si>
  <si>
    <t>tlOutputPNLCh2CostRev</t>
  </si>
  <si>
    <t>tlOutputPNLCh2CostRevPct</t>
  </si>
  <si>
    <t>tlOutputPNLCh2GroProfit</t>
  </si>
  <si>
    <t>tlOutputPNLCh2GM</t>
  </si>
  <si>
    <t>tlOutputPNLCh2LogExp</t>
  </si>
  <si>
    <t>tlOutputPNLCh2LogExpPct</t>
  </si>
  <si>
    <t>tlOutputPNLCh2GPaL</t>
  </si>
  <si>
    <t>tlOutputPNLCh2GPaLMargin</t>
  </si>
  <si>
    <t>tlOutputPNLCh2TMkt</t>
  </si>
  <si>
    <t>tlOutputPNLCh2Overhead</t>
  </si>
  <si>
    <t>Channel Totals</t>
  </si>
  <si>
    <t>tlOutputPNLChTotTMkt</t>
  </si>
  <si>
    <t>tlOutputPNLChTotOverhead</t>
  </si>
  <si>
    <t>tlOutputPNLChTotOverheadPct</t>
  </si>
  <si>
    <t>tlOutputPNLCh4OverheadPct</t>
  </si>
  <si>
    <t>Total Overhead Pct</t>
  </si>
  <si>
    <t>tlOutputPNLCh1OverheadPct</t>
  </si>
  <si>
    <t>tlOutputPNLCh2OverheadPct</t>
  </si>
  <si>
    <t>tlOutputPNLCh3OverheadPct</t>
  </si>
  <si>
    <t>finPNLCh4BOverheadTot</t>
  </si>
  <si>
    <t>finPNLCh3BOverheadTot</t>
  </si>
  <si>
    <t>finPNLCh2BOverheadTot</t>
  </si>
  <si>
    <t>finPNLCh1BOverheadTot</t>
  </si>
  <si>
    <t>Brand PNLs</t>
  </si>
  <si>
    <t>tlOutputPNLProd1Turn</t>
  </si>
  <si>
    <t>tlOutputPNLProd1Excise</t>
  </si>
  <si>
    <t>tlOutputPNLProd1GrossSales</t>
  </si>
  <si>
    <t>tlOutputPNLProd1Discounts</t>
  </si>
  <si>
    <t>tlOutputPNLProd1NetRev</t>
  </si>
  <si>
    <t>tlOutputPNLProd1MatExp</t>
  </si>
  <si>
    <t>tlOutputPNLProd1LabExp</t>
  </si>
  <si>
    <t>tlOutputPNLProd1MachExp</t>
  </si>
  <si>
    <t>tlOutputPNLProd1DepExp</t>
  </si>
  <si>
    <t>tlOutputPNLProd1CostRev</t>
  </si>
  <si>
    <t>tlOutputPNLProd1CostRevPct</t>
  </si>
  <si>
    <t>tlOutputPNLProd1GroProfit</t>
  </si>
  <si>
    <t>tlOutputPNLProd1GM</t>
  </si>
  <si>
    <t>tlOutputPNLProd1LogExp</t>
  </si>
  <si>
    <t>tlOutputPNLProd1LogExpPct</t>
  </si>
  <si>
    <t>tlOutputPNLProd1GPaL</t>
  </si>
  <si>
    <t>tlOutputPNLProd1GPaLMargin</t>
  </si>
  <si>
    <t>tlOutputPNLProd1TMkt</t>
  </si>
  <si>
    <t>tlOutputPNLProd1BMkt</t>
  </si>
  <si>
    <t>tlOutputPNLProd1Overhead</t>
  </si>
  <si>
    <t>tlOutputPNLProd1OverheadPct</t>
  </si>
  <si>
    <t>tlOutputPNLProd1GBC</t>
  </si>
  <si>
    <t>tlOutputPNLProd1GBCMargin</t>
  </si>
  <si>
    <t>finPNLCh1Sales</t>
  </si>
  <si>
    <t>finPNLCh2Sales</t>
  </si>
  <si>
    <t>finPNLCh3Sales</t>
  </si>
  <si>
    <t>finPNLCh4Sales</t>
  </si>
  <si>
    <t>tlOutputPNLCh4Sales</t>
  </si>
  <si>
    <t>tlOutputPNLCh1Sales</t>
  </si>
  <si>
    <t>tlOutputPNLCh2Sales</t>
  </si>
  <si>
    <t>tlOutputPNLCh3Sales</t>
  </si>
  <si>
    <t>tlOutputPNLChTotSales</t>
  </si>
  <si>
    <t>tlOutputPNLProd2Turn</t>
  </si>
  <si>
    <t>tlOutputPNLProd2Excise</t>
  </si>
  <si>
    <t>tlOutputPNLProd2GrossSales</t>
  </si>
  <si>
    <t>tlOutputPNLProd2Discounts</t>
  </si>
  <si>
    <t>tlOutputPNLProd2NetRev</t>
  </si>
  <si>
    <t>tlOutputPNLProd2MatExp</t>
  </si>
  <si>
    <t>tlOutputPNLProd2LabExp</t>
  </si>
  <si>
    <t>tlOutputPNLProd2MachExp</t>
  </si>
  <si>
    <t>tlOutputPNLProd2DepExp</t>
  </si>
  <si>
    <t>tlOutputPNLProd2CostRev</t>
  </si>
  <si>
    <t>tlOutputPNLProd2CostRevPct</t>
  </si>
  <si>
    <t>tlOutputPNLProd2GroProfit</t>
  </si>
  <si>
    <t>tlOutputPNLProd2GM</t>
  </si>
  <si>
    <t>tlOutputPNLProd2LogExp</t>
  </si>
  <si>
    <t>tlOutputPNLProd2LogExpPct</t>
  </si>
  <si>
    <t>tlOutputPNLProd2GPaL</t>
  </si>
  <si>
    <t>tlOutputPNLProd2GPaLMargin</t>
  </si>
  <si>
    <t>tlOutputPNLProd2TMkt</t>
  </si>
  <si>
    <t>tlOutputPNLProd2BMkt</t>
  </si>
  <si>
    <t>tlOutputPNLProd2Overhead</t>
  </si>
  <si>
    <t>tlOutputPNLProd2OverheadPct</t>
  </si>
  <si>
    <t>tlOutputPNLProd2GBC</t>
  </si>
  <si>
    <t>tlOutputPNLProd2GBCMargin</t>
  </si>
  <si>
    <t>tlOutputPNLProd3Turn</t>
  </si>
  <si>
    <t>tlOutputPNLProd3Excise</t>
  </si>
  <si>
    <t>tlOutputPNLProd3GrossSales</t>
  </si>
  <si>
    <t>tlOutputPNLProd3Discounts</t>
  </si>
  <si>
    <t>tlOutputPNLProd3NetRev</t>
  </si>
  <si>
    <t>tlOutputPNLProd3MatExp</t>
  </si>
  <si>
    <t>tlOutputPNLProd3LabExp</t>
  </si>
  <si>
    <t>tlOutputPNLProd3MachExp</t>
  </si>
  <si>
    <t>tlOutputPNLProd3DepExp</t>
  </si>
  <si>
    <t>tlOutputPNLProd3CostRev</t>
  </si>
  <si>
    <t>tlOutputPNLProd3CostRevPct</t>
  </si>
  <si>
    <t>tlOutputPNLProd3GroProfit</t>
  </si>
  <si>
    <t>tlOutputPNLProd3GM</t>
  </si>
  <si>
    <t>tlOutputPNLProd3LogExp</t>
  </si>
  <si>
    <t>tlOutputPNLProd3LogExpPct</t>
  </si>
  <si>
    <t>tlOutputPNLProd3GPaL</t>
  </si>
  <si>
    <t>tlOutputPNLProd3GPaLMargin</t>
  </si>
  <si>
    <t>tlOutputPNLProd3TMkt</t>
  </si>
  <si>
    <t>tlOutputPNLProd3BMkt</t>
  </si>
  <si>
    <t>tlOutputPNLProd3Overhead</t>
  </si>
  <si>
    <t>tlOutputPNLProd3OverheadPct</t>
  </si>
  <si>
    <t>tlOutputPNLProd3GBC</t>
  </si>
  <si>
    <t>tlOutputPNLProd3GBCMargin</t>
  </si>
  <si>
    <t>tlOutputPNLProd4Turn</t>
  </si>
  <si>
    <t>tlOutputPNLProd4Excise</t>
  </si>
  <si>
    <t>tlOutputPNLProd4GrossSales</t>
  </si>
  <si>
    <t>tlOutputPNLProd4Discounts</t>
  </si>
  <si>
    <t>tlOutputPNLProd4NetRev</t>
  </si>
  <si>
    <t>tlOutputPNLProd4MatExp</t>
  </si>
  <si>
    <t>tlOutputPNLProd4LabExp</t>
  </si>
  <si>
    <t>tlOutputPNLProd4MachExp</t>
  </si>
  <si>
    <t>tlOutputPNLProd4DepExp</t>
  </si>
  <si>
    <t>tlOutputPNLProd4CostRev</t>
  </si>
  <si>
    <t>tlOutputPNLProd4CostRevPct</t>
  </si>
  <si>
    <t>tlOutputPNLProd4GroProfit</t>
  </si>
  <si>
    <t>tlOutputPNLProd4GM</t>
  </si>
  <si>
    <t>tlOutputPNLProd4LogExp</t>
  </si>
  <si>
    <t>tlOutputPNLProd4LogExpPct</t>
  </si>
  <si>
    <t>tlOutputPNLProd4GPaL</t>
  </si>
  <si>
    <t>tlOutputPNLProd4GPaLMargin</t>
  </si>
  <si>
    <t>tlOutputPNLProd4TMkt</t>
  </si>
  <si>
    <t>tlOutputPNLProd4BMkt</t>
  </si>
  <si>
    <t>tlOutputPNLProd4Overhead</t>
  </si>
  <si>
    <t>tlOutputPNLProd4OverheadPct</t>
  </si>
  <si>
    <t>tlOutputPNLProd4GBC</t>
  </si>
  <si>
    <t>tlOutputPNLProd4GBCMargin</t>
  </si>
  <si>
    <t>tlOutputPNLProdTotOverhead</t>
  </si>
  <si>
    <t>tlOutputPNLProdTotOverheadPct</t>
  </si>
  <si>
    <t>tlOutputPNLProdTotGBC</t>
  </si>
  <si>
    <t>tlOutputPNLProdTotGBCMargin</t>
  </si>
  <si>
    <t>tlOutputPNLProdTMkt</t>
  </si>
  <si>
    <t>tlOutputPNLProdBMkt</t>
  </si>
  <si>
    <t>finPNLProd4OverheadTot</t>
  </si>
  <si>
    <t>finPNLProd3OverheadTot</t>
  </si>
  <si>
    <t>finPNLProd2OverheadTot</t>
  </si>
  <si>
    <t>finPNLProd1OverheadTot</t>
  </si>
  <si>
    <t>tlOutputPNLCh1GCC</t>
  </si>
  <si>
    <t>tlOutputPNLCh1GCCMargin</t>
  </si>
  <si>
    <t>tlOutputPNLCh2GCC</t>
  </si>
  <si>
    <t>tlOutputPNLCh2GCCMargin</t>
  </si>
  <si>
    <t>tlOutputPNLCh3GCC</t>
  </si>
  <si>
    <t>tlOutputPNLCh3GCCMargin</t>
  </si>
  <si>
    <t>tlOutputPNLCh4GCC</t>
  </si>
  <si>
    <t>tlOutputPNLCh4GCCMargin</t>
  </si>
  <si>
    <t>tlOutputPNLChTotGCC</t>
  </si>
  <si>
    <t>tlOutputPNLChTotGCCMargin</t>
  </si>
  <si>
    <t>finPNLCh1GCC</t>
  </si>
  <si>
    <t>finPNLCh2GCC</t>
  </si>
  <si>
    <t>finPNLCh3GCC</t>
  </si>
  <si>
    <t>finPNLCh4GCC</t>
  </si>
  <si>
    <t>tlOutputCh1ValDrivExpTot</t>
  </si>
  <si>
    <t>tlOutputCh1TTCondition</t>
  </si>
  <si>
    <t>tlOutputCh1TTUnCondition</t>
  </si>
  <si>
    <t>tlOutputCh1Prod2GPaLpBrandCogs</t>
  </si>
  <si>
    <t>tlOutputCh1Prod3GPaLpBrandCogs</t>
  </si>
  <si>
    <t>tlOutputCh1Prod1GPaLpBrandCogs</t>
  </si>
  <si>
    <t>tlOutputCh1Prod4GPaLpBrandCogs</t>
  </si>
  <si>
    <t>tlOutputCh1Prod2GPaLpLog</t>
  </si>
  <si>
    <t>tlOutputCh1Prod3GPaLpLog</t>
  </si>
  <si>
    <t>tlOutputCh1Prod1GPaLpLog</t>
  </si>
  <si>
    <t>tlOutputCh1Prod4GPaLpLog</t>
  </si>
  <si>
    <t>tlOutputCh1Prod2GPaLpGPaL</t>
  </si>
  <si>
    <t>tlOutputCh1Prod3GPaLpGPaL</t>
  </si>
  <si>
    <t>tlOutputCh1Prod1GPaLpGPaL</t>
  </si>
  <si>
    <t>tlOutputCh1Prod4GPaLpGPaL</t>
  </si>
  <si>
    <t>tlOutputCh1Prod2GPaLpGPaLmar</t>
  </si>
  <si>
    <t>tlOutputCh1Prod3GPaLpGPaLmar</t>
  </si>
  <si>
    <t>tlOutputCh1Prod1GPaLpGPaLmar</t>
  </si>
  <si>
    <t>tlOutputCh1Prod4GPaLpGPaLmar</t>
  </si>
  <si>
    <t/>
  </si>
  <si>
    <t>Promotion Type</t>
  </si>
  <si>
    <t>Number of Weeks</t>
  </si>
  <si>
    <t>tlinputCh1Prod2Slot1Promo1Weeks</t>
  </si>
  <si>
    <t>tlinputCh1Prod2Slot3Promo1Weeks</t>
  </si>
  <si>
    <t>tlinputCh1Prod2Slot2Promo1Weeks</t>
  </si>
  <si>
    <t>tlinputCh1Prod2Slot2Promo1</t>
  </si>
  <si>
    <t>tlinputCh1Prod3Slot1Promo1Weeks</t>
  </si>
  <si>
    <t>tlinputCh1Prod3Slot2Promo1Weeks</t>
  </si>
  <si>
    <t>tlinputCh1Prod3Slot3Promo1Weeks</t>
  </si>
  <si>
    <t>tlinputCh1Prod1Slot1Promo1Weeks</t>
  </si>
  <si>
    <t>tlinputCh1Prod1Slot2Promo1Weeks</t>
  </si>
  <si>
    <t>tlinputCh1Prod1Slot3Promo1Weeks</t>
  </si>
  <si>
    <t>tlinputCh1Prod4Slot1Promo1Weeks</t>
  </si>
  <si>
    <t>tlinputCh1Prod4Slot2Promo1Weeks</t>
  </si>
  <si>
    <t>tlinputCh1Prod4Slot3Promo1Weeks</t>
  </si>
  <si>
    <t>tlinputCh1Prod2Slot3Promo1</t>
  </si>
  <si>
    <t>tlinputCh1Prod3Slot1Promo1</t>
  </si>
  <si>
    <t>tlinputCh1Prod3Slot2Promo1</t>
  </si>
  <si>
    <t>tlinputCh1Prod3Slot3Promo1</t>
  </si>
  <si>
    <t>tlinputCh1Prod1Slot1Promo1</t>
  </si>
  <si>
    <t>tlinputCh1Prod1Slot2Promo1</t>
  </si>
  <si>
    <t>tlinputCh1Prod1Slot3Promo1</t>
  </si>
  <si>
    <t>tlinputCh1Prod4Slot1Promo1</t>
  </si>
  <si>
    <t>tlinputCh1Prod4Slot2Promo1</t>
  </si>
  <si>
    <t>tlinputCh1Prod4Slot3Promo1</t>
  </si>
  <si>
    <t>tlinputCh1Prod2Slot1Promo1</t>
  </si>
  <si>
    <t>decCh1Prod1Slot1Promo1</t>
  </si>
  <si>
    <t>decCh1Prod1Slot2Promo1</t>
  </si>
  <si>
    <t>decCh1Prod1Slot3Promo1</t>
  </si>
  <si>
    <t>decCh1Prod2Slot1Promo1</t>
  </si>
  <si>
    <t>decCh1Prod2Slot2Promo1</t>
  </si>
  <si>
    <t>decCh1Prod2Slot3Promo1</t>
  </si>
  <si>
    <t>decCh1Prod3Slot1Promo1</t>
  </si>
  <si>
    <t>decCh1Prod3Slot2Promo1</t>
  </si>
  <si>
    <t>decCh1Prod3Slot3Promo1</t>
  </si>
  <si>
    <t>decCh1Prod4Slot1Promo1</t>
  </si>
  <si>
    <t>decCh1Prod4Slot2Promo1</t>
  </si>
  <si>
    <t>decCh1Prod4Slot3Promo1</t>
  </si>
  <si>
    <t>decCh1Prod1Slot1Promo2</t>
  </si>
  <si>
    <t>decCh1Prod1Slot2Promo2</t>
  </si>
  <si>
    <t>decCh1Prod1Slot3Promo2</t>
  </si>
  <si>
    <t>decCh1Prod2Slot1Promo2</t>
  </si>
  <si>
    <t>decCh1Prod2Slot2Promo2</t>
  </si>
  <si>
    <t>decCh1Prod2Slot3Promo2</t>
  </si>
  <si>
    <t>decCh1Prod3Slot1Promo2</t>
  </si>
  <si>
    <t>decCh1Prod3Slot2Promo2</t>
  </si>
  <si>
    <t>decCh1Prod3Slot3Promo2</t>
  </si>
  <si>
    <t>decCh1Prod4Slot1Promo2</t>
  </si>
  <si>
    <t>decCh1Prod4Slot2Promo2</t>
  </si>
  <si>
    <t>decCh1Prod4Slot3Promo2</t>
  </si>
  <si>
    <t>decCh3Prod1Slot1Promo1</t>
  </si>
  <si>
    <t>decCh3Prod1Slot2Promo1</t>
  </si>
  <si>
    <t>decCh3Prod1Slot3Promo1</t>
  </si>
  <si>
    <t>decCh3Prod2Slot1Promo1</t>
  </si>
  <si>
    <t>decCh3Prod2Slot2Promo1</t>
  </si>
  <si>
    <t>decCh3Prod2Slot3Promo1</t>
  </si>
  <si>
    <t>decCh3Prod3Slot1Promo1</t>
  </si>
  <si>
    <t>decCh3Prod3Slot2Promo1</t>
  </si>
  <si>
    <t>decCh3Prod3Slot3Promo1</t>
  </si>
  <si>
    <t>decCh3Prod4Slot1Promo1</t>
  </si>
  <si>
    <t>decCh3Prod4Slot2Promo1</t>
  </si>
  <si>
    <t>decCh3Prod4Slot3Promo1</t>
  </si>
  <si>
    <t>decCh4Prod1Slot1Promo1</t>
  </si>
  <si>
    <t>decCh4Prod1Slot2Promo1</t>
  </si>
  <si>
    <t>decCh4Prod1Slot3Promo1</t>
  </si>
  <si>
    <t>decCh4Prod2Slot1Promo1</t>
  </si>
  <si>
    <t>decCh4Prod2Slot2Promo1</t>
  </si>
  <si>
    <t>decCh4Prod2Slot3Promo1</t>
  </si>
  <si>
    <t>decCh4Prod3Slot1Promo1</t>
  </si>
  <si>
    <t>decCh4Prod3Slot2Promo1</t>
  </si>
  <si>
    <t>decCh4Prod3Slot3Promo1</t>
  </si>
  <si>
    <t>decCh4Prod4Slot1Promo1</t>
  </si>
  <si>
    <t>decCh4Prod4Slot2Promo1</t>
  </si>
  <si>
    <t>decCh4Prod4Slot3Promo1</t>
  </si>
  <si>
    <t>tlinputCh1Prod2Slot1Promo1ShareFrc</t>
  </si>
  <si>
    <t>tlinputCh1Prod2Slot2Promo1ShareFrc</t>
  </si>
  <si>
    <t>tlinputCh1Prod2Slot3Promo1ShareFrc</t>
  </si>
  <si>
    <t>tlinputCh1Prod3Slot1Promo1ShareFrc</t>
  </si>
  <si>
    <t>tlinputCh1Prod3Slot2Promo1ShareFrc</t>
  </si>
  <si>
    <t>tlinputCh1Prod3Slot3Promo1ShareFrc</t>
  </si>
  <si>
    <t>tlinputCh1Prod1Slot1Promo1ShareFrc</t>
  </si>
  <si>
    <t>tlinputCh1Prod1Slot2Promo1ShareFrc</t>
  </si>
  <si>
    <t>tlinputCh1Prod1Slot3Promo1ShareFrc</t>
  </si>
  <si>
    <t>tlinputCh1Prod4Slot1Promo1ShareFrc</t>
  </si>
  <si>
    <t>tlinputCh1Prod4Slot2Promo1ShareFrc</t>
  </si>
  <si>
    <t>tlinputCh1Prod4Slot3Promo1ShareFrc</t>
  </si>
  <si>
    <t>tlinputCh1Prod2Slot1Promo2</t>
  </si>
  <si>
    <t>tlinputCh1Prod2Slot1Promo2Weeks</t>
  </si>
  <si>
    <t>tlinputCh1Prod2Slot1Promo2ShareFrc</t>
  </si>
  <si>
    <t>tlinputCh1Prod2Slot2Promo2</t>
  </si>
  <si>
    <t>tlinputCh1Prod2Slot2Promo2Weeks</t>
  </si>
  <si>
    <t>tlinputCh1Prod2Slot2Promo2ShareFrc</t>
  </si>
  <si>
    <t>tlinputCh1Prod2Slot3Promo2</t>
  </si>
  <si>
    <t>tlinputCh1Prod2Slot3Promo2Weeks</t>
  </si>
  <si>
    <t>tlinputCh1Prod2Slot3Promo2ShareFrc</t>
  </si>
  <si>
    <t>tlinputCh1Prod3Slot1Promo2</t>
  </si>
  <si>
    <t>tlinputCh1Prod3Slot1Promo2Weeks</t>
  </si>
  <si>
    <t>tlinputCh1Prod3Slot1Promo2ShareFrc</t>
  </si>
  <si>
    <t>tlinputCh1Prod3Slot2Promo2</t>
  </si>
  <si>
    <t>tlinputCh1Prod3Slot2Promo2Weeks</t>
  </si>
  <si>
    <t>tlinputCh1Prod3Slot2Promo2ShareFrc</t>
  </si>
  <si>
    <t>tlinputCh1Prod3Slot3Promo2</t>
  </si>
  <si>
    <t>tlinputCh1Prod3Slot3Promo2Weeks</t>
  </si>
  <si>
    <t>tlinputCh1Prod3Slot3Promo2ShareFrc</t>
  </si>
  <si>
    <t>tlinputCh1Prod1Slot1Promo2</t>
  </si>
  <si>
    <t>tlinputCh1Prod1Slot1Promo2Weeks</t>
  </si>
  <si>
    <t>tlinputCh1Prod1Slot1Promo2ShareFrc</t>
  </si>
  <si>
    <t>tlinputCh1Prod1Slot2Promo2</t>
  </si>
  <si>
    <t>tlinputCh1Prod1Slot2Promo2Weeks</t>
  </si>
  <si>
    <t>tlinputCh1Prod1Slot2Promo2ShareFrc</t>
  </si>
  <si>
    <t>tlinputCh1Prod1Slot3Promo2</t>
  </si>
  <si>
    <t>tlinputCh1Prod1Slot3Promo2Weeks</t>
  </si>
  <si>
    <t>tlinputCh1Prod1Slot3Promo2ShareFrc</t>
  </si>
  <si>
    <t>tlinputCh1Prod4Slot1Promo2</t>
  </si>
  <si>
    <t>tlinputCh1Prod4Slot1Promo2Weeks</t>
  </si>
  <si>
    <t>tlinputCh1Prod4Slot1Promo2ShareFrc</t>
  </si>
  <si>
    <t>tlinputCh1Prod4Slot2Promo2</t>
  </si>
  <si>
    <t>tlinputCh1Prod4Slot2Promo2Weeks</t>
  </si>
  <si>
    <t>tlinputCh1Prod4Slot2Promo2ShareFrc</t>
  </si>
  <si>
    <t>tlinputCh1Prod4Slot3Promo2</t>
  </si>
  <si>
    <t>tlinputCh1Prod4Slot3Promo2Weeks</t>
  </si>
  <si>
    <t>tlinputCh1Prod4Slot3Promo2ShareFrc</t>
  </si>
  <si>
    <t>dataCh1PromoType</t>
  </si>
  <si>
    <t>dataCh4PromoType</t>
  </si>
  <si>
    <t>dataCh3PromoType</t>
  </si>
  <si>
    <t>dataCh2PromoType</t>
  </si>
  <si>
    <t>No Promotion</t>
  </si>
  <si>
    <t>3/2</t>
  </si>
  <si>
    <t>2/1</t>
  </si>
  <si>
    <t>tlinputCh3Prod2Slot1Promo1ShareFrc</t>
  </si>
  <si>
    <t>tlinputCh3Prod2Slot2Promo1ShareFrc</t>
  </si>
  <si>
    <t>tlinputCh3Prod2Slot3Promo1ShareFrc</t>
  </si>
  <si>
    <t>tlinputCh3Prod3Slot1Promo1ShareFrc</t>
  </si>
  <si>
    <t>tlinputCh3Prod3Slot2Promo1ShareFrc</t>
  </si>
  <si>
    <t>tlinputCh3Prod3Slot3Promo1ShareFrc</t>
  </si>
  <si>
    <t>tlinputCh3Prod1Slot1Promo1ShareFrc</t>
  </si>
  <si>
    <t>tlinputCh3Prod1Slot2Promo1ShareFrc</t>
  </si>
  <si>
    <t>tlinputCh3Prod1Slot3Promo1ShareFrc</t>
  </si>
  <si>
    <t>tlinputCh3Prod4Slot1Promo1ShareFrc</t>
  </si>
  <si>
    <t>tlinputCh3Prod4Slot2Promo1ShareFrc</t>
  </si>
  <si>
    <t>tlinputCh3Prod4Slot3Promo1ShareFrc</t>
  </si>
  <si>
    <t>tlinputCh4Prod2Slot1Promo1ShareFrc</t>
  </si>
  <si>
    <t>tlinputCh4Prod2Slot2Promo1ShareFrc</t>
  </si>
  <si>
    <t>tlinputCh4Prod2Slot3Promo1ShareFrc</t>
  </si>
  <si>
    <t>tlinputCh4Prod3Slot1Promo1ShareFrc</t>
  </si>
  <si>
    <t>tlinputCh4Prod3Slot2Promo1ShareFrc</t>
  </si>
  <si>
    <t>tlinputCh4Prod3Slot3Promo1ShareFrc</t>
  </si>
  <si>
    <t>tlinputCh4Prod1Slot1Promo1ShareFrc</t>
  </si>
  <si>
    <t>tlinputCh4Prod1Slot2Promo1ShareFrc</t>
  </si>
  <si>
    <t>tlinputCh4Prod1Slot3Promo1ShareFrc</t>
  </si>
  <si>
    <t>tlinputCh4Prod4Slot1Promo1ShareFrc</t>
  </si>
  <si>
    <t>tlinputCh4Prod4Slot2Promo1ShareFrc</t>
  </si>
  <si>
    <t>tlinputCh4Prod4Slot3Promo1ShareFrc</t>
  </si>
  <si>
    <t>decCh1Prod1Slot1Promo1ShareFrc</t>
  </si>
  <si>
    <t>decCh1Prod1Slot2Promo1ShareFrc</t>
  </si>
  <si>
    <t>decCh1Prod1Slot3Promo1ShareFrc</t>
  </si>
  <si>
    <t>decCh1Prod2Slot1Promo1ShareFrc</t>
  </si>
  <si>
    <t>decCh1Prod2Slot2Promo1ShareFrc</t>
  </si>
  <si>
    <t>decCh1Prod2Slot3Promo1ShareFrc</t>
  </si>
  <si>
    <t>decCh1Prod3Slot1Promo1ShareFrc</t>
  </si>
  <si>
    <t>decCh1Prod3Slot2Promo1ShareFrc</t>
  </si>
  <si>
    <t>decCh1Prod3Slot3Promo1ShareFrc</t>
  </si>
  <si>
    <t>decCh1Prod4Slot1Promo1ShareFrc</t>
  </si>
  <si>
    <t>decCh1Prod4Slot2Promo1ShareFrc</t>
  </si>
  <si>
    <t>decCh1Prod4Slot3Promo1ShareFrc</t>
  </si>
  <si>
    <t>decCh3Prod1Slot1Promo1ShareFrc</t>
  </si>
  <si>
    <t>decCh3Prod1Slot2Promo1ShareFrc</t>
  </si>
  <si>
    <t>decCh3Prod1Slot3Promo1ShareFrc</t>
  </si>
  <si>
    <t>decCh3Prod2Slot1Promo1ShareFrc</t>
  </si>
  <si>
    <t>decCh3Prod2Slot2Promo1ShareFrc</t>
  </si>
  <si>
    <t>decCh3Prod2Slot3Promo1ShareFrc</t>
  </si>
  <si>
    <t>decCh3Prod3Slot1Promo1ShareFrc</t>
  </si>
  <si>
    <t>decCh3Prod3Slot2Promo1ShareFrc</t>
  </si>
  <si>
    <t>decCh3Prod3Slot3Promo1ShareFrc</t>
  </si>
  <si>
    <t>decCh3Prod4Slot1Promo1ShareFrc</t>
  </si>
  <si>
    <t>decCh3Prod4Slot2Promo1ShareFrc</t>
  </si>
  <si>
    <t>decCh3Prod4Slot3Promo1ShareFrc</t>
  </si>
  <si>
    <t>decCh4Prod1Slot1Promo1ShareFrc</t>
  </si>
  <si>
    <t>decCh4Prod1Slot2Promo1ShareFrc</t>
  </si>
  <si>
    <t>decCh4Prod1Slot3Promo1ShareFrc</t>
  </si>
  <si>
    <t>decCh4Prod2Slot1Promo1ShareFrc</t>
  </si>
  <si>
    <t>decCh4Prod2Slot2Promo1ShareFrc</t>
  </si>
  <si>
    <t>decCh4Prod2Slot3Promo1ShareFrc</t>
  </si>
  <si>
    <t>decCh4Prod3Slot1Promo1ShareFrc</t>
  </si>
  <si>
    <t>decCh4Prod3Slot2Promo1ShareFrc</t>
  </si>
  <si>
    <t>decCh4Prod3Slot3Promo1ShareFrc</t>
  </si>
  <si>
    <t>decCh4Prod4Slot1Promo1ShareFrc</t>
  </si>
  <si>
    <t>decCh4Prod4Slot2Promo1ShareFrc</t>
  </si>
  <si>
    <t>decCh4Prod4Slot3Promo1ShareFrc</t>
  </si>
  <si>
    <t>decCh1Prod1Slot1Promo2ShareFrc</t>
  </si>
  <si>
    <t>decCh1Prod1Slot2Promo2ShareFrc</t>
  </si>
  <si>
    <t>decCh1Prod1Slot3Promo2ShareFrc</t>
  </si>
  <si>
    <t>decCh1Prod2Slot1Promo2ShareFrc</t>
  </si>
  <si>
    <t>decCh1Prod2Slot2Promo2ShareFrc</t>
  </si>
  <si>
    <t>decCh1Prod2Slot3Promo2ShareFrc</t>
  </si>
  <si>
    <t>decCh1Prod3Slot1Promo2ShareFrc</t>
  </si>
  <si>
    <t>decCh1Prod3Slot2Promo2ShareFrc</t>
  </si>
  <si>
    <t>decCh1Prod3Slot3Promo2ShareFrc</t>
  </si>
  <si>
    <t>decCh1Prod4Slot1Promo2ShareFrc</t>
  </si>
  <si>
    <t>decCh1Prod4Slot2Promo2ShareFrc</t>
  </si>
  <si>
    <t>decCh1Prod4Slot3Promo2ShareFrc</t>
  </si>
  <si>
    <t>Promotion Weeks</t>
  </si>
  <si>
    <t>decCh1Prod1Slot1Promo1Weeks</t>
  </si>
  <si>
    <t>decCh1Prod1Slot2Promo1Weeks</t>
  </si>
  <si>
    <t>decCh1Prod1Slot3Promo1Weeks</t>
  </si>
  <si>
    <t>decCh1Prod2Slot1Promo1Weeks</t>
  </si>
  <si>
    <t>decCh1Prod2Slot2Promo1Weeks</t>
  </si>
  <si>
    <t>decCh1Prod2Slot3Promo1Weeks</t>
  </si>
  <si>
    <t>decCh1Prod3Slot1Promo1Weeks</t>
  </si>
  <si>
    <t>decCh1Prod3Slot2Promo1Weeks</t>
  </si>
  <si>
    <t>decCh1Prod3Slot3Promo1Weeks</t>
  </si>
  <si>
    <t>decCh1Prod4Slot1Promo1Weeks</t>
  </si>
  <si>
    <t>decCh1Prod4Slot2Promo1Weeks</t>
  </si>
  <si>
    <t>decCh1Prod4Slot3Promo1Weeks</t>
  </si>
  <si>
    <t>decCh3Prod1Slot1Promo1Weeks</t>
  </si>
  <si>
    <t>decCh3Prod1Slot2Promo1Weeks</t>
  </si>
  <si>
    <t>decCh3Prod1Slot3Promo1Weeks</t>
  </si>
  <si>
    <t>decCh3Prod2Slot1Promo1Weeks</t>
  </si>
  <si>
    <t>decCh3Prod2Slot2Promo1Weeks</t>
  </si>
  <si>
    <t>decCh3Prod2Slot3Promo1Weeks</t>
  </si>
  <si>
    <t>decCh3Prod3Slot1Promo1Weeks</t>
  </si>
  <si>
    <t>decCh3Prod3Slot2Promo1Weeks</t>
  </si>
  <si>
    <t>decCh3Prod3Slot3Promo1Weeks</t>
  </si>
  <si>
    <t>decCh3Prod4Slot1Promo1Weeks</t>
  </si>
  <si>
    <t>decCh3Prod4Slot2Promo1Weeks</t>
  </si>
  <si>
    <t>decCh3Prod4Slot3Promo1Weeks</t>
  </si>
  <si>
    <t>decCh4Prod1Slot1Promo1Weeks</t>
  </si>
  <si>
    <t>decCh4Prod1Slot2Promo1Weeks</t>
  </si>
  <si>
    <t>decCh4Prod1Slot3Promo1Weeks</t>
  </si>
  <si>
    <t>decCh4Prod2Slot1Promo1Weeks</t>
  </si>
  <si>
    <t>decCh4Prod2Slot2Promo1Weeks</t>
  </si>
  <si>
    <t>decCh4Prod2Slot3Promo1Weeks</t>
  </si>
  <si>
    <t>decCh4Prod3Slot1Promo1Weeks</t>
  </si>
  <si>
    <t>decCh4Prod3Slot2Promo1Weeks</t>
  </si>
  <si>
    <t>decCh4Prod3Slot3Promo1Weeks</t>
  </si>
  <si>
    <t>decCh4Prod4Slot1Promo1Weeks</t>
  </si>
  <si>
    <t>decCh4Prod4Slot2Promo1Weeks</t>
  </si>
  <si>
    <t>decCh4Prod4Slot3Promo1Weeks</t>
  </si>
  <si>
    <t>decCh1Prod1Slot1Promo2Weeks</t>
  </si>
  <si>
    <t>decCh1Prod1Slot2Promo2Weeks</t>
  </si>
  <si>
    <t>decCh1Prod1Slot3Promo2Weeks</t>
  </si>
  <si>
    <t>decCh1Prod2Slot1Promo2Weeks</t>
  </si>
  <si>
    <t>decCh1Prod2Slot2Promo2Weeks</t>
  </si>
  <si>
    <t>decCh1Prod2Slot3Promo2Weeks</t>
  </si>
  <si>
    <t>decCh1Prod3Slot1Promo2Weeks</t>
  </si>
  <si>
    <t>decCh1Prod3Slot2Promo2Weeks</t>
  </si>
  <si>
    <t>decCh1Prod3Slot3Promo2Weeks</t>
  </si>
  <si>
    <t>decCh1Prod4Slot1Promo2Weeks</t>
  </si>
  <si>
    <t>decCh1Prod4Slot2Promo2Weeks</t>
  </si>
  <si>
    <t>decCh1Prod4Slot3Promo2Weeks</t>
  </si>
  <si>
    <t>Promo1 Share</t>
  </si>
  <si>
    <t>Promo1 price</t>
  </si>
  <si>
    <t>Promo1 Type</t>
  </si>
  <si>
    <t>Promo2Type</t>
  </si>
  <si>
    <t>Promo2 Share</t>
  </si>
  <si>
    <t>Promo2 price</t>
  </si>
  <si>
    <t>calcCh1Prod1Slot1Promo1Plan</t>
  </si>
  <si>
    <t>calcCh1Prod1Slot1Promo2Plan</t>
  </si>
  <si>
    <t>calcCh1Prod1Slot1Promo1CustPrice</t>
  </si>
  <si>
    <t>calcCh1Prod1Slot1Promo2CustPrice</t>
  </si>
  <si>
    <t>calcCh1Prod1Slot2Promo1Plan</t>
  </si>
  <si>
    <t>calcCh1Prod1Slot2Promo1CustPrice</t>
  </si>
  <si>
    <t>calcCh1Prod1Slot2Promo2Plan</t>
  </si>
  <si>
    <t>calcCh1Prod1Slot2Promo2CustPrice</t>
  </si>
  <si>
    <t>calcCh1Prod1Slot3Promo1Plan</t>
  </si>
  <si>
    <t>calcCh1Prod1Slot3Promo1CustPrice</t>
  </si>
  <si>
    <t>calcCh1Prod1Slot3Promo2Plan</t>
  </si>
  <si>
    <t>calcCh1Prod1Slot3Promo2CustPrice</t>
  </si>
  <si>
    <t>calcCh1Prod4Slot1Promo1Plan</t>
  </si>
  <si>
    <t>calcCh1Prod4Slot1Promo1CustPrice</t>
  </si>
  <si>
    <t>calcCh1Prod4Slot1Promo2Plan</t>
  </si>
  <si>
    <t>calcCh1Prod4Slot1Promo2CustPrice</t>
  </si>
  <si>
    <t>calcCh1Prod4Slot2Promo1Plan</t>
  </si>
  <si>
    <t>calcCh1Prod4Slot2Promo1CustPrice</t>
  </si>
  <si>
    <t>calcCh1Prod4Slot2Promo2Plan</t>
  </si>
  <si>
    <t>calcCh1Prod4Slot2Promo2CustPrice</t>
  </si>
  <si>
    <t>calcCh1Prod4Slot3Promo1Plan</t>
  </si>
  <si>
    <t>calcCh1Prod4Slot3Promo1CustPrice</t>
  </si>
  <si>
    <t>calcCh1Prod4Slot3Promo2Plan</t>
  </si>
  <si>
    <t>calcCh1Prod4Slot3Promo2CustPrice</t>
  </si>
  <si>
    <t>calcCh1Prod3Slot1Promo1Plan</t>
  </si>
  <si>
    <t>calcCh1Prod3Slot1Promo1CustPrice</t>
  </si>
  <si>
    <t>calcCh1Prod3Slot1Promo2Plan</t>
  </si>
  <si>
    <t>calcCh1Prod3Slot1Promo2CustPrice</t>
  </si>
  <si>
    <t>calcCh1Prod3Slot2Promo1Plan</t>
  </si>
  <si>
    <t>calcCh1Prod3Slot2Promo1CustPrice</t>
  </si>
  <si>
    <t>calcCh1Prod3Slot2Promo2Plan</t>
  </si>
  <si>
    <t>calcCh1Prod3Slot2Promo2CustPrice</t>
  </si>
  <si>
    <t>calcCh1Prod3Slot3Promo1Plan</t>
  </si>
  <si>
    <t>calcCh1Prod3Slot3Promo1CustPrice</t>
  </si>
  <si>
    <t>calcCh1Prod3Slot3Promo2Plan</t>
  </si>
  <si>
    <t>calcCh1Prod3Slot3Promo2CustPrice</t>
  </si>
  <si>
    <t>calcCh1Prod2Slot1Promo1Plan</t>
  </si>
  <si>
    <t>calcCh1Prod2Slot1Promo1CustPrice</t>
  </si>
  <si>
    <t>calcCh1Prod2Slot1Promo2Plan</t>
  </si>
  <si>
    <t>calcCh1Prod2Slot1Promo2CustPrice</t>
  </si>
  <si>
    <t>calcCh1Prod2Slot2Promo1Plan</t>
  </si>
  <si>
    <t>calcCh1Prod2Slot2Promo1CustPrice</t>
  </si>
  <si>
    <t>calcCh1Prod2Slot2Promo2Plan</t>
  </si>
  <si>
    <t>calcCh1Prod2Slot2Promo2CustPrice</t>
  </si>
  <si>
    <t>calcCh1Prod2Slot3Promo1Plan</t>
  </si>
  <si>
    <t>calcCh1Prod2Slot3Promo1CustPrice</t>
  </si>
  <si>
    <t>calcCh1Prod2Slot3Promo2Plan</t>
  </si>
  <si>
    <t>calcCh1Prod2Slot3Promo2CustPrice</t>
  </si>
  <si>
    <t>calcCh4Prod1Slot1Promo1Plan</t>
  </si>
  <si>
    <t>calcCh4Prod1Slot1Promo1CustPrice</t>
  </si>
  <si>
    <t>calcCh4Prod1Slot2Promo1Plan</t>
  </si>
  <si>
    <t>calcCh4Prod1Slot2Promo1CustPrice</t>
  </si>
  <si>
    <t>calcCh4Prod1Slot3Promo1Plan</t>
  </si>
  <si>
    <t>calcCh4Prod1Slot3Promo1CustPrice</t>
  </si>
  <si>
    <t>calcCh4Prod2Slot1Promo1Plan</t>
  </si>
  <si>
    <t>calcCh4Prod2Slot1Promo1CustPrice</t>
  </si>
  <si>
    <t>calcCh4Prod2Slot2Promo1Plan</t>
  </si>
  <si>
    <t>calcCh4Prod2Slot2Promo1CustPrice</t>
  </si>
  <si>
    <t>calcCh4Prod2Slot3Promo1Plan</t>
  </si>
  <si>
    <t>calcCh4Prod2Slot3Promo1CustPrice</t>
  </si>
  <si>
    <t>calcCh4Prod3Slot1Promo1Plan</t>
  </si>
  <si>
    <t>calcCh4Prod3Slot1Promo1CustPrice</t>
  </si>
  <si>
    <t>calcCh4Prod3Slot2Promo1Plan</t>
  </si>
  <si>
    <t>calcCh4Prod3Slot2Promo1CustPrice</t>
  </si>
  <si>
    <t>calcCh4Prod3Slot3Promo1Plan</t>
  </si>
  <si>
    <t>calcCh4Prod3Slot3Promo1CustPrice</t>
  </si>
  <si>
    <t>calcCh4Prod4Slot1Promo1Plan</t>
  </si>
  <si>
    <t>calcCh4Prod4Slot1Promo1CustPrice</t>
  </si>
  <si>
    <t>calcCh4Prod4Slot2Promo1Plan</t>
  </si>
  <si>
    <t>calcCh4Prod4Slot2Promo1CustPrice</t>
  </si>
  <si>
    <t>calcCh4Prod4Slot3Promo1Plan</t>
  </si>
  <si>
    <t>calcCh4Prod4Slot3Promo1CustPrice</t>
  </si>
  <si>
    <t>calcCh3Prod1Slot1Promo1Plan</t>
  </si>
  <si>
    <t>calcCh3Prod1Slot1Promo1CustPrice</t>
  </si>
  <si>
    <t>calcCh3Prod1Slot2Promo1Plan</t>
  </si>
  <si>
    <t>calcCh3Prod1Slot2Promo1CustPrice</t>
  </si>
  <si>
    <t>calcCh3Prod1Slot3Promo1Plan</t>
  </si>
  <si>
    <t>calcCh3Prod1Slot3Promo1CustPrice</t>
  </si>
  <si>
    <t>calcCh3Prod2Slot1Promo1Plan</t>
  </si>
  <si>
    <t>calcCh3Prod2Slot1Promo1CustPrice</t>
  </si>
  <si>
    <t>calcCh3Prod2Slot2Promo1Plan</t>
  </si>
  <si>
    <t>calcCh3Prod2Slot2Promo1CustPrice</t>
  </si>
  <si>
    <t>calcCh3Prod2Slot3Promo1Plan</t>
  </si>
  <si>
    <t>calcCh3Prod2Slot3Promo1CustPrice</t>
  </si>
  <si>
    <t>calcCh3Prod3Slot1Promo1Plan</t>
  </si>
  <si>
    <t>calcCh3Prod3Slot1Promo1CustPrice</t>
  </si>
  <si>
    <t>calcCh3Prod3Slot2Promo1Plan</t>
  </si>
  <si>
    <t>calcCh3Prod3Slot2Promo1CustPrice</t>
  </si>
  <si>
    <t>calcCh3Prod3Slot3Promo1Plan</t>
  </si>
  <si>
    <t>calcCh3Prod3Slot3Promo1CustPrice</t>
  </si>
  <si>
    <t>calcCh3Prod4Slot1Promo1Plan</t>
  </si>
  <si>
    <t>calcCh3Prod4Slot1Promo1CustPrice</t>
  </si>
  <si>
    <t>calcCh3Prod4Slot2Promo1Plan</t>
  </si>
  <si>
    <t>calcCh3Prod4Slot2Promo1CustPrice</t>
  </si>
  <si>
    <t>calcCh3Prod4Slot3Promo1Plan</t>
  </si>
  <si>
    <t>calcCh3Prod4Slot3Promo1CustPrice</t>
  </si>
  <si>
    <t>tlinputCh4Prod2Slot1Promo1</t>
  </si>
  <si>
    <t>tlinputCh4Prod2Slot1Promo1Weeks</t>
  </si>
  <si>
    <t>tlinputCh4Prod2Slot2Promo1</t>
  </si>
  <si>
    <t>tlinputCh4Prod2Slot2Promo1Weeks</t>
  </si>
  <si>
    <t>tlinputCh4Prod2Slot3Promo1</t>
  </si>
  <si>
    <t>tlinputCh4Prod2Slot3Promo1Weeks</t>
  </si>
  <si>
    <t>tlinputCh4Prod3Slot1Promo1</t>
  </si>
  <si>
    <t>tlinputCh4Prod3Slot1Promo1Weeks</t>
  </si>
  <si>
    <t>tlinputCh4Prod3Slot2Promo1</t>
  </si>
  <si>
    <t>tlinputCh4Prod3Slot2Promo1Weeks</t>
  </si>
  <si>
    <t>tlinputCh4Prod3Slot3Promo1</t>
  </si>
  <si>
    <t>tlinputCh4Prod3Slot3Promo1Weeks</t>
  </si>
  <si>
    <t>tlinputCh4Prod1Slot1Promo1</t>
  </si>
  <si>
    <t>tlinputCh4Prod1Slot1Promo1Weeks</t>
  </si>
  <si>
    <t>tlinputCh4Prod1Slot2Promo1</t>
  </si>
  <si>
    <t>tlinputCh4Prod1Slot2Promo1Weeks</t>
  </si>
  <si>
    <t>tlinputCh4Prod1Slot3Promo1</t>
  </si>
  <si>
    <t>tlinputCh4Prod1Slot3Promo1Weeks</t>
  </si>
  <si>
    <t>tlinputCh4Prod4Slot1Promo1</t>
  </si>
  <si>
    <t>tlinputCh4Prod4Slot1Promo1Weeks</t>
  </si>
  <si>
    <t>tlinputCh4Prod4Slot2Promo1</t>
  </si>
  <si>
    <t>tlinputCh4Prod4Slot2Promo1Weeks</t>
  </si>
  <si>
    <t>tlinputCh4Prod4Slot3Promo1</t>
  </si>
  <si>
    <t>tlinputCh4Prod4Slot3Promo1Weeks</t>
  </si>
  <si>
    <t>tlinputCh3Prod2Slot1Promo1</t>
  </si>
  <si>
    <t>tlinputCh3Prod2Slot1Promo1Weeks</t>
  </si>
  <si>
    <t>tlinputCh3Prod2Slot2Promo1</t>
  </si>
  <si>
    <t>tlinputCh3Prod2Slot2Promo1Weeks</t>
  </si>
  <si>
    <t>tlinputCh3Prod2Slot3Promo1</t>
  </si>
  <si>
    <t>tlinputCh3Prod2Slot3Promo1Weeks</t>
  </si>
  <si>
    <t>tlinputCh3Prod3Slot1Promo1</t>
  </si>
  <si>
    <t>tlinputCh3Prod3Slot1Promo1Weeks</t>
  </si>
  <si>
    <t>tlinputCh3Prod3Slot2Promo1</t>
  </si>
  <si>
    <t>tlinputCh3Prod3Slot2Promo1Weeks</t>
  </si>
  <si>
    <t>tlinputCh3Prod3Slot3Promo1</t>
  </si>
  <si>
    <t>tlinputCh3Prod3Slot3Promo1Weeks</t>
  </si>
  <si>
    <t>tlinputCh3Prod1Slot1Promo1</t>
  </si>
  <si>
    <t>tlinputCh3Prod1Slot1Promo1Weeks</t>
  </si>
  <si>
    <t>tlinputCh3Prod1Slot2Promo1</t>
  </si>
  <si>
    <t>tlinputCh3Prod1Slot2Promo1Weeks</t>
  </si>
  <si>
    <t>tlinputCh3Prod1Slot3Promo1</t>
  </si>
  <si>
    <t>tlinputCh3Prod1Slot3Promo1Weeks</t>
  </si>
  <si>
    <t>tlinputCh3Prod4Slot1Promo1</t>
  </si>
  <si>
    <t>tlinputCh3Prod4Slot1Promo1Weeks</t>
  </si>
  <si>
    <t>tlinputCh3Prod4Slot2Promo1</t>
  </si>
  <si>
    <t>tlinputCh3Prod4Slot2Promo1Weeks</t>
  </si>
  <si>
    <t>tlinputCh3Prod4Slot3Promo1</t>
  </si>
  <si>
    <t>tlinputCh3Prod4Slot3Promo1Weeks</t>
  </si>
  <si>
    <t>calcCh1Prod1Slot1ShelfPrice</t>
  </si>
  <si>
    <t>calcCh1Prod1Slot2ShelfPrice</t>
  </si>
  <si>
    <t>calcCh1Prod1Slot3ShelfPrice</t>
  </si>
  <si>
    <t>calcCh1Prod2Slot1ShelfPrice</t>
  </si>
  <si>
    <t>calcCh1Prod2Slot2ShelfPrice</t>
  </si>
  <si>
    <t>calcCh1Prod2Slot3ShelfPrice</t>
  </si>
  <si>
    <t>calcCh1Prod3Slot1ShelfPrice</t>
  </si>
  <si>
    <t>calcCh1Prod3Slot2ShelfPrice</t>
  </si>
  <si>
    <t>calcCh1Prod3Slot3ShelfPrice</t>
  </si>
  <si>
    <t>calcCh1Prod4Slot1ShelfPrice</t>
  </si>
  <si>
    <t>calcCh1Prod4Slot2ShelfPrice</t>
  </si>
  <si>
    <t>calcCh1Prod4Slot3ShelfPrice</t>
  </si>
  <si>
    <t>calcCh2Prod1Slot1ShelfPrice</t>
  </si>
  <si>
    <t>calcCh2Prod1Slot2ShelfPrice</t>
  </si>
  <si>
    <t>calcCh2Prod1Slot3ShelfPrice</t>
  </si>
  <si>
    <t>calcCh2Prod2Slot1ShelfPrice</t>
  </si>
  <si>
    <t>calcCh2Prod2Slot2ShelfPrice</t>
  </si>
  <si>
    <t>calcCh2Prod2Slot3ShelfPrice</t>
  </si>
  <si>
    <t>calcCh2Prod3Slot1ShelfPrice</t>
  </si>
  <si>
    <t>calcCh2Prod3Slot2ShelfPrice</t>
  </si>
  <si>
    <t>calcCh2Prod3Slot3ShelfPrice</t>
  </si>
  <si>
    <t>calcCh2Prod4Slot1ShelfPrice</t>
  </si>
  <si>
    <t>calcCh2Prod4Slot2ShelfPrice</t>
  </si>
  <si>
    <t>calcCh2Prod4Slot3ShelfPrice</t>
  </si>
  <si>
    <t>calcCh3Prod1Slot1ShelfPrice</t>
  </si>
  <si>
    <t>calcCh3Prod1Slot2ShelfPrice</t>
  </si>
  <si>
    <t>calcCh3Prod1Slot3ShelfPrice</t>
  </si>
  <si>
    <t>calcCh3Prod2Slot1ShelfPrice</t>
  </si>
  <si>
    <t>calcCh3Prod2Slot2ShelfPrice</t>
  </si>
  <si>
    <t>calcCh3Prod2Slot3ShelfPrice</t>
  </si>
  <si>
    <t>calcCh3Prod3Slot1ShelfPrice</t>
  </si>
  <si>
    <t>calcCh3Prod3Slot2ShelfPrice</t>
  </si>
  <si>
    <t>calcCh3Prod3Slot3ShelfPrice</t>
  </si>
  <si>
    <t>calcCh3Prod4Slot1ShelfPrice</t>
  </si>
  <si>
    <t>calcCh3Prod4Slot2ShelfPrice</t>
  </si>
  <si>
    <t>calcCh3Prod4Slot3ShelfPrice</t>
  </si>
  <si>
    <t>calcCh4Prod1Slot1ShelfPrice</t>
  </si>
  <si>
    <t>calcCh4Prod1Slot2ShelfPrice</t>
  </si>
  <si>
    <t>calcCh4Prod1Slot3ShelfPrice</t>
  </si>
  <si>
    <t>calcCh4Prod2Slot1ShelfPrice</t>
  </si>
  <si>
    <t>calcCh4Prod2Slot2ShelfPrice</t>
  </si>
  <si>
    <t>calcCh4Prod2Slot3ShelfPrice</t>
  </si>
  <si>
    <t>calcCh4Prod3Slot1ShelfPrice</t>
  </si>
  <si>
    <t>calcCh4Prod3Slot2ShelfPrice</t>
  </si>
  <si>
    <t>calcCh4Prod3Slot3ShelfPrice</t>
  </si>
  <si>
    <t>calcCh4Prod4Slot1ShelfPrice</t>
  </si>
  <si>
    <t>calcCh4Prod4Slot2ShelfPrice</t>
  </si>
  <si>
    <t>calcCh4Prod4Slot3ShelfPrice</t>
  </si>
  <si>
    <t>dataPromoPlanDisc</t>
  </si>
  <si>
    <t>Promotion 1</t>
  </si>
  <si>
    <t>Promotion 2</t>
  </si>
  <si>
    <t>calcCh1Prod1Slot1Promo1PlanEmp1Req</t>
  </si>
  <si>
    <t>calcCh1Prod1Slot1Promo1PlanExp</t>
  </si>
  <si>
    <t>calcCh1Prod1Slot2Promo1PlanEmp1Req</t>
  </si>
  <si>
    <t>calcCh1Prod1Slot2Promo1PlanExp</t>
  </si>
  <si>
    <t>calcCh1Prod1Slot3Promo1PlanEmp1Req</t>
  </si>
  <si>
    <t>calcCh1Prod1Slot3Promo1PlanExp</t>
  </si>
  <si>
    <t>calcCh1Prod2Slot1Promo1PlanEmp1Req</t>
  </si>
  <si>
    <t>calcCh1Prod2Slot1Promo1PlanExp</t>
  </si>
  <si>
    <t>calcCh1Prod2Slot2Promo1PlanEmp1Req</t>
  </si>
  <si>
    <t>calcCh1Prod2Slot2Promo1PlanExp</t>
  </si>
  <si>
    <t>calcCh1Prod2Slot3Promo1PlanEmp1Req</t>
  </si>
  <si>
    <t>calcCh1Prod2Slot3Promo1PlanExp</t>
  </si>
  <si>
    <t>calcCh1Prod3Slot1Promo1PlanEmp1Req</t>
  </si>
  <si>
    <t>calcCh1Prod3Slot1Promo1PlanExp</t>
  </si>
  <si>
    <t>calcCh1Prod3Slot2Promo1PlanEmp1Req</t>
  </si>
  <si>
    <t>calcCh1Prod3Slot2Promo1PlanExp</t>
  </si>
  <si>
    <t>calcCh1Prod3Slot3Promo1PlanEmp1Req</t>
  </si>
  <si>
    <t>calcCh1Prod3Slot3Promo1PlanExp</t>
  </si>
  <si>
    <t>calcCh1Prod4Slot1Promo1PlanEmp1Req</t>
  </si>
  <si>
    <t>calcCh1Prod4Slot1Promo1PlanExp</t>
  </si>
  <si>
    <t>calcCh1Prod4Slot2Promo1PlanEmp1Req</t>
  </si>
  <si>
    <t>calcCh1Prod4Slot2Promo1PlanExp</t>
  </si>
  <si>
    <t>calcCh1Prod4Slot3Promo1PlanEmp1Req</t>
  </si>
  <si>
    <t>calcCh1Prod4Slot3Promo1PlanExp</t>
  </si>
  <si>
    <t>calcCh1Promo1PlanEmp1ReqTot</t>
  </si>
  <si>
    <t>calcCh1Promo1PlanExpTot</t>
  </si>
  <si>
    <t>calcCh3Prod1Slot1Promo1PlanEmp1Req</t>
  </si>
  <si>
    <t>calcCh3Prod1Slot1Promo1PlanExp</t>
  </si>
  <si>
    <t>calcCh3Prod1Slot2Promo1PlanEmp1Req</t>
  </si>
  <si>
    <t>calcCh3Prod1Slot2Promo1PlanExp</t>
  </si>
  <si>
    <t>calcCh3Prod1Slot3Promo1PlanEmp1Req</t>
  </si>
  <si>
    <t>calcCh3Prod1Slot3Promo1PlanExp</t>
  </si>
  <si>
    <t>calcCh3Prod2Slot1Promo1PlanEmp1Req</t>
  </si>
  <si>
    <t>calcCh3Prod2Slot1Promo1PlanExp</t>
  </si>
  <si>
    <t>calcCh3Prod2Slot2Promo1PlanEmp1Req</t>
  </si>
  <si>
    <t>calcCh3Prod2Slot2Promo1PlanExp</t>
  </si>
  <si>
    <t>calcCh3Prod2Slot3Promo1PlanEmp1Req</t>
  </si>
  <si>
    <t>calcCh3Prod2Slot3Promo1PlanExp</t>
  </si>
  <si>
    <t>calcCh3Prod3Slot1Promo1PlanEmp1Req</t>
  </si>
  <si>
    <t>calcCh3Prod3Slot1Promo1PlanExp</t>
  </si>
  <si>
    <t>calcCh3Prod3Slot2Promo1PlanEmp1Req</t>
  </si>
  <si>
    <t>calcCh3Prod3Slot2Promo1PlanExp</t>
  </si>
  <si>
    <t>calcCh3Prod3Slot3Promo1PlanEmp1Req</t>
  </si>
  <si>
    <t>calcCh3Prod3Slot3Promo1PlanExp</t>
  </si>
  <si>
    <t>calcCh3Prod4Slot1Promo1PlanEmp1Req</t>
  </si>
  <si>
    <t>calcCh3Prod4Slot1Promo1PlanExp</t>
  </si>
  <si>
    <t>calcCh3Prod4Slot2Promo1PlanEmp1Req</t>
  </si>
  <si>
    <t>calcCh3Prod4Slot2Promo1PlanExp</t>
  </si>
  <si>
    <t>calcCh3Prod4Slot3Promo1PlanEmp1Req</t>
  </si>
  <si>
    <t>calcCh3Prod4Slot3Promo1PlanExp</t>
  </si>
  <si>
    <t>calcCh3Promo1PlanEmp1ReqTot</t>
  </si>
  <si>
    <t>calcCh3Promo1PlanExpTot</t>
  </si>
  <si>
    <t>calcCh4Prod1Slot1Promo1PlanEmp1Req</t>
  </si>
  <si>
    <t>calcCh4Prod1Slot1Promo1PlanExp</t>
  </si>
  <si>
    <t>calcCh4Prod1Slot2Promo1PlanEmp1Req</t>
  </si>
  <si>
    <t>calcCh4Prod1Slot2Promo1PlanExp</t>
  </si>
  <si>
    <t>calcCh4Prod1Slot3Promo1PlanEmp1Req</t>
  </si>
  <si>
    <t>calcCh4Prod1Slot3Promo1PlanExp</t>
  </si>
  <si>
    <t>calcCh4Prod2Slot1Promo1PlanEmp1Req</t>
  </si>
  <si>
    <t>calcCh4Prod2Slot1Promo1PlanExp</t>
  </si>
  <si>
    <t>calcCh4Prod2Slot2Promo1PlanEmp1Req</t>
  </si>
  <si>
    <t>calcCh4Prod2Slot2Promo1PlanExp</t>
  </si>
  <si>
    <t>calcCh4Prod2Slot3Promo1PlanEmp1Req</t>
  </si>
  <si>
    <t>calcCh4Prod2Slot3Promo1PlanExp</t>
  </si>
  <si>
    <t>calcCh4Prod3Slot1Promo1PlanEmp1Req</t>
  </si>
  <si>
    <t>calcCh4Prod3Slot1Promo1PlanExp</t>
  </si>
  <si>
    <t>calcCh4Prod3Slot2Promo1PlanEmp1Req</t>
  </si>
  <si>
    <t>calcCh4Prod3Slot2Promo1PlanExp</t>
  </si>
  <si>
    <t>calcCh4Prod3Slot3Promo1PlanEmp1Req</t>
  </si>
  <si>
    <t>calcCh4Prod3Slot3Promo1PlanExp</t>
  </si>
  <si>
    <t>calcCh4Prod4Slot1Promo1PlanEmp1Req</t>
  </si>
  <si>
    <t>calcCh4Prod4Slot1Promo1PlanExp</t>
  </si>
  <si>
    <t>calcCh4Prod4Slot2Promo1PlanEmp1Req</t>
  </si>
  <si>
    <t>calcCh4Prod4Slot2Promo1PlanExp</t>
  </si>
  <si>
    <t>calcCh4Prod4Slot3Promo1PlanEmp1Req</t>
  </si>
  <si>
    <t>calcCh4Prod4Slot3Promo1PlanExp</t>
  </si>
  <si>
    <t>calcCh4Promo1PlanEmp1ReqTot</t>
  </si>
  <si>
    <t>calcCh4Promo1PlanExpTot</t>
  </si>
  <si>
    <t>calcCh1Prod1Slot1Promo2PlanEmp1Req</t>
  </si>
  <si>
    <t>calcCh1Prod1Slot1Promo2PlanExp</t>
  </si>
  <si>
    <t>calcCh1Prod1Slot2Promo2PlanEmp1Req</t>
  </si>
  <si>
    <t>calcCh1Prod1Slot2Promo2PlanExp</t>
  </si>
  <si>
    <t>calcCh1Prod1Slot3Promo2PlanEmp1Req</t>
  </si>
  <si>
    <t>calcCh1Prod1Slot3Promo2PlanExp</t>
  </si>
  <si>
    <t>calcCh1Prod2Slot1Promo2PlanEmp1Req</t>
  </si>
  <si>
    <t>calcCh1Prod2Slot1Promo2PlanExp</t>
  </si>
  <si>
    <t>calcCh1Prod2Slot2Promo2PlanEmp1Req</t>
  </si>
  <si>
    <t>calcCh1Prod2Slot2Promo2PlanExp</t>
  </si>
  <si>
    <t>calcCh1Prod2Slot3Promo2PlanEmp1Req</t>
  </si>
  <si>
    <t>calcCh1Prod2Slot3Promo2PlanExp</t>
  </si>
  <si>
    <t>calcCh1Prod3Slot1Promo2PlanEmp1Req</t>
  </si>
  <si>
    <t>calcCh1Prod3Slot1Promo2PlanExp</t>
  </si>
  <si>
    <t>calcCh1Prod3Slot2Promo2PlanEmp1Req</t>
  </si>
  <si>
    <t>calcCh1Prod3Slot2Promo2PlanExp</t>
  </si>
  <si>
    <t>calcCh1Prod3Slot3Promo2PlanEmp1Req</t>
  </si>
  <si>
    <t>calcCh1Prod3Slot3Promo2PlanExp</t>
  </si>
  <si>
    <t>calcCh1Prod4Slot1Promo2PlanEmp1Req</t>
  </si>
  <si>
    <t>calcCh1Prod4Slot1Promo2PlanExp</t>
  </si>
  <si>
    <t>calcCh1Prod4Slot2Promo2PlanEmp1Req</t>
  </si>
  <si>
    <t>calcCh1Prod4Slot2Promo2PlanExp</t>
  </si>
  <si>
    <t>calcCh1Prod4Slot3Promo2PlanEmp1Req</t>
  </si>
  <si>
    <t>calcCh1Prod4Slot3Promo2PlanExp</t>
  </si>
  <si>
    <t>calcCh1Promo2PlanEmp1ReqTot</t>
  </si>
  <si>
    <t>calcCh1Promo2PlanExpTot</t>
  </si>
  <si>
    <t>dataCh1PromoWeeks</t>
  </si>
  <si>
    <t>dataCh4PromoWeeks</t>
  </si>
  <si>
    <t>dataCh3PromoWeeks</t>
  </si>
  <si>
    <t>dataCh2PromoWeeks</t>
  </si>
  <si>
    <t>Maximum Weeks</t>
  </si>
  <si>
    <t>Current Weeks</t>
  </si>
  <si>
    <t>Weeks Available</t>
  </si>
  <si>
    <t>calcCh1PromoWeeks</t>
  </si>
  <si>
    <t>calcCh1PromoWeeksUsed</t>
  </si>
  <si>
    <t>calcCh1PromoWeeksAvail</t>
  </si>
  <si>
    <t>calcCh1PromoWeeksMax</t>
  </si>
  <si>
    <t>calcCh3PromoWeeks</t>
  </si>
  <si>
    <t>calcCh3PromoWeeksUsed</t>
  </si>
  <si>
    <t>calcCh3PromoWeeksAvail</t>
  </si>
  <si>
    <t>calcCh3PromoWeeksMax</t>
  </si>
  <si>
    <t>calcCh4PromoWeeks</t>
  </si>
  <si>
    <t>calcCh4PromoWeeksUsed</t>
  </si>
  <si>
    <t>calcCh4PromoWeeksAvail</t>
  </si>
  <si>
    <t>calcCh4PromoWeeksMax</t>
  </si>
  <si>
    <t>calcCh1Prod1Slot1CustProfitPromo1MarginAbs</t>
  </si>
  <si>
    <t>calcCh1Prod1Slot1CustProfitPromo1Vol</t>
  </si>
  <si>
    <t>calcCh1Prod1Slot1CustProfitPromo1</t>
  </si>
  <si>
    <t>calcCh1Prod1Slot1CustProfitPromo2MarginAbs</t>
  </si>
  <si>
    <t>calcCh1Prod1Slot1CustProfitPromo2Vol</t>
  </si>
  <si>
    <t>calcCh1Prod1Slot1CustProfitPromo2</t>
  </si>
  <si>
    <t>calcCh1Prod1Slot2CustProfitPromo1MarginAbs</t>
  </si>
  <si>
    <t>calcCh1Prod1Slot2CustProfitPromo1Vol</t>
  </si>
  <si>
    <t>calcCh1Prod1Slot2CustProfitPromo1</t>
  </si>
  <si>
    <t>calcCh1Prod1Slot2CustProfitPromo2MarginAbs</t>
  </si>
  <si>
    <t>calcCh1Prod1Slot2CustProfitPromo2Vol</t>
  </si>
  <si>
    <t>calcCh1Prod1Slot2CustProfitPromo2</t>
  </si>
  <si>
    <t>calcCh1Prod1Slot3CustProfitPromo1MarginAbs</t>
  </si>
  <si>
    <t>calcCh1Prod1Slot3CustProfitPromo1Vol</t>
  </si>
  <si>
    <t>calcCh1Prod1Slot3CustProfitPromo1</t>
  </si>
  <si>
    <t>calcCh1Prod1Slot3CustProfitPromo2MarginAbs</t>
  </si>
  <si>
    <t>calcCh1Prod1Slot3CustProfitPromo2Vol</t>
  </si>
  <si>
    <t>calcCh1Prod1Slot3CustProfitPromo2</t>
  </si>
  <si>
    <t>calcCh1Prod4Slot1CustProfitPromo1MarginAbs</t>
  </si>
  <si>
    <t>calcCh1Prod4Slot1CustProfitPromo1Vol</t>
  </si>
  <si>
    <t>calcCh1Prod4Slot1CustProfitPromo1</t>
  </si>
  <si>
    <t>calcCh1Prod4Slot1CustProfitPromo2MarginAbs</t>
  </si>
  <si>
    <t>calcCh1Prod4Slot1CustProfitPromo2Vol</t>
  </si>
  <si>
    <t>calcCh1Prod4Slot1CustProfitPromo2</t>
  </si>
  <si>
    <t>calcCh1Prod4Slot2CustProfitPromo1MarginAbs</t>
  </si>
  <si>
    <t>calcCh1Prod4Slot2CustProfitPromo1Vol</t>
  </si>
  <si>
    <t>calcCh1Prod4Slot2CustProfitPromo1</t>
  </si>
  <si>
    <t>calcCh1Prod4Slot2CustProfitPromo2MarginAbs</t>
  </si>
  <si>
    <t>calcCh1Prod4Slot2CustProfitPromo2Vol</t>
  </si>
  <si>
    <t>calcCh1Prod4Slot2CustProfitPromo2</t>
  </si>
  <si>
    <t>calcCh1Prod4Slot3CustProfitPromo1MarginAbs</t>
  </si>
  <si>
    <t>calcCh1Prod4Slot3CustProfitPromo1Vol</t>
  </si>
  <si>
    <t>calcCh1Prod4Slot3CustProfitPromo1</t>
  </si>
  <si>
    <t>calcCh1Prod4Slot3CustProfitPromo2MarginAbs</t>
  </si>
  <si>
    <t>calcCh1Prod4Slot3CustProfitPromo2Vol</t>
  </si>
  <si>
    <t>calcCh1Prod4Slot3CustProfitPromo2</t>
  </si>
  <si>
    <t>calcCh1Prod3Slot1CustProfitPromo1MarginAbs</t>
  </si>
  <si>
    <t>calcCh1Prod3Slot1CustProfitPromo1Vol</t>
  </si>
  <si>
    <t>calcCh1Prod3Slot1CustProfitPromo1</t>
  </si>
  <si>
    <t>calcCh1Prod3Slot1CustProfitPromo2MarginAbs</t>
  </si>
  <si>
    <t>calcCh1Prod3Slot1CustProfitPromo2Vol</t>
  </si>
  <si>
    <t>calcCh1Prod3Slot1CustProfitPromo2</t>
  </si>
  <si>
    <t>calcCh1Prod3Slot2CustProfitPromo1MarginAbs</t>
  </si>
  <si>
    <t>calcCh1Prod3Slot2CustProfitPromo1Vol</t>
  </si>
  <si>
    <t>calcCh1Prod3Slot2CustProfitPromo1</t>
  </si>
  <si>
    <t>calcCh1Prod3Slot2CustProfitPromo2MarginAbs</t>
  </si>
  <si>
    <t>calcCh1Prod3Slot2CustProfitPromo2Vol</t>
  </si>
  <si>
    <t>calcCh1Prod3Slot2CustProfitPromo2</t>
  </si>
  <si>
    <t>calcCh1Prod3Slot3CustProfitPromo1MarginAbs</t>
  </si>
  <si>
    <t>calcCh1Prod3Slot3CustProfitPromo1Vol</t>
  </si>
  <si>
    <t>calcCh1Prod3Slot3CustProfitPromo1</t>
  </si>
  <si>
    <t>calcCh1Prod3Slot3CustProfitPromo2MarginAbs</t>
  </si>
  <si>
    <t>calcCh1Prod3Slot3CustProfitPromo2Vol</t>
  </si>
  <si>
    <t>calcCh1Prod3Slot3CustProfitPromo2</t>
  </si>
  <si>
    <t>calcCh1Prod2Slot1CustProfitPromo1MarginAbs</t>
  </si>
  <si>
    <t>calcCh1Prod2Slot1CustProfitPromo1Vol</t>
  </si>
  <si>
    <t>calcCh1Prod2Slot1CustProfitPromo1</t>
  </si>
  <si>
    <t>calcCh1Prod2Slot1CustProfitPromo2MarginAbs</t>
  </si>
  <si>
    <t>calcCh1Prod2Slot1CustProfitPromo2Vol</t>
  </si>
  <si>
    <t>calcCh1Prod2Slot1CustProfitPromo2</t>
  </si>
  <si>
    <t>calcCh1Prod2Slot2CustProfitPromo1MarginAbs</t>
  </si>
  <si>
    <t>calcCh1Prod2Slot2CustProfitPromo1Vol</t>
  </si>
  <si>
    <t>calcCh1Prod2Slot2CustProfitPromo1</t>
  </si>
  <si>
    <t>calcCh1Prod2Slot2CustProfitPromo2MarginAbs</t>
  </si>
  <si>
    <t>calcCh1Prod2Slot2CustProfitPromo2Vol</t>
  </si>
  <si>
    <t>calcCh1Prod2Slot2CustProfitPromo2</t>
  </si>
  <si>
    <t>calcCh1Prod2Slot3CustProfitPromo1MarginAbs</t>
  </si>
  <si>
    <t>calcCh1Prod2Slot3CustProfitPromo1Vol</t>
  </si>
  <si>
    <t>calcCh1Prod2Slot3CustProfitPromo1</t>
  </si>
  <si>
    <t>calcCh1Prod2Slot3CustProfitPromo2MarginAbs</t>
  </si>
  <si>
    <t>calcCh1Prod2Slot3CustProfitPromo2Vol</t>
  </si>
  <si>
    <t>calcCh1Prod2Slot3CustProfitPromo2</t>
  </si>
  <si>
    <t>calcCh3Prod1Slot1CustProfitPromo1MarginAbs</t>
  </si>
  <si>
    <t>calcCh3Prod1Slot1CustProfitPromo1Vol</t>
  </si>
  <si>
    <t>calcCh3Prod1Slot1CustProfitPromo1</t>
  </si>
  <si>
    <t>calcCh3Prod1Slot2CustProfitPromo1MarginAbs</t>
  </si>
  <si>
    <t>calcCh3Prod1Slot2CustProfitPromo1Vol</t>
  </si>
  <si>
    <t>calcCh3Prod1Slot2CustProfitPromo1</t>
  </si>
  <si>
    <t>calcCh3Prod1Slot3CustProfitPromo1MarginAbs</t>
  </si>
  <si>
    <t>calcCh3Prod1Slot3CustProfitPromo1Vol</t>
  </si>
  <si>
    <t>calcCh3Prod1Slot3CustProfitPromo1</t>
  </si>
  <si>
    <t>calcCh3Prod2Slot1CustProfitPromo1MarginAbs</t>
  </si>
  <si>
    <t>calcCh3Prod2Slot1CustProfitPromo1Vol</t>
  </si>
  <si>
    <t>calcCh3Prod2Slot1CustProfitPromo1</t>
  </si>
  <si>
    <t>calcCh3Prod2Slot2CustProfitPromo1MarginAbs</t>
  </si>
  <si>
    <t>calcCh3Prod2Slot2CustProfitPromo1Vol</t>
  </si>
  <si>
    <t>calcCh3Prod2Slot2CustProfitPromo1</t>
  </si>
  <si>
    <t>calcCh3Prod2Slot3CustProfitPromo1MarginAbs</t>
  </si>
  <si>
    <t>calcCh3Prod2Slot3CustProfitPromo1Vol</t>
  </si>
  <si>
    <t>calcCh3Prod2Slot3CustProfitPromo1</t>
  </si>
  <si>
    <t>calcCh3Prod3Slot1CustProfitPromo1MarginAbs</t>
  </si>
  <si>
    <t>calcCh3Prod3Slot1CustProfitPromo1Vol</t>
  </si>
  <si>
    <t>calcCh3Prod3Slot1CustProfitPromo1</t>
  </si>
  <si>
    <t>calcCh3Prod3Slot2CustProfitPromo1MarginAbs</t>
  </si>
  <si>
    <t>calcCh3Prod3Slot2CustProfitPromo1Vol</t>
  </si>
  <si>
    <t>calcCh3Prod3Slot2CustProfitPromo1</t>
  </si>
  <si>
    <t>calcCh3Prod3Slot3CustProfitPromo1MarginAbs</t>
  </si>
  <si>
    <t>calcCh3Prod3Slot3CustProfitPromo1Vol</t>
  </si>
  <si>
    <t>calcCh3Prod3Slot3CustProfitPromo1</t>
  </si>
  <si>
    <t>calcCh3Prod4Slot1CustProfitPromo1MarginAbs</t>
  </si>
  <si>
    <t>calcCh3Prod4Slot1CustProfitPromo1Vol</t>
  </si>
  <si>
    <t>calcCh3Prod4Slot1CustProfitPromo1</t>
  </si>
  <si>
    <t>calcCh3Prod4Slot2CustProfitPromo1MarginAbs</t>
  </si>
  <si>
    <t>calcCh3Prod4Slot2CustProfitPromo1Vol</t>
  </si>
  <si>
    <t>calcCh3Prod4Slot2CustProfitPromo1</t>
  </si>
  <si>
    <t>calcCh3Prod4Slot3CustProfitPromo1MarginAbs</t>
  </si>
  <si>
    <t>calcCh3Prod4Slot3CustProfitPromo1Vol</t>
  </si>
  <si>
    <t>calcCh3Prod4Slot3CustProfitPromo1</t>
  </si>
  <si>
    <t>tlCh1</t>
  </si>
  <si>
    <t>calcCh3Prod4Slot3CustProfitTot</t>
  </si>
  <si>
    <t>calcCh3Prod4Slot2CustProfitTot</t>
  </si>
  <si>
    <t>calcCh3Prod4Slot1CustProfitTot</t>
  </si>
  <si>
    <t>calcCh3Prod1Slot1CustProfitTot</t>
  </si>
  <si>
    <t>calcCh3Prod1Slot2CustProfitTot</t>
  </si>
  <si>
    <t>calcCh3Prod1Slot3CustProfitTot</t>
  </si>
  <si>
    <t>calcCh3Prod2Slot1CustProfitTot</t>
  </si>
  <si>
    <t>calcCh3Prod2Slot2CustProfitTot</t>
  </si>
  <si>
    <t>calcCh3Prod2Slot3CustProfitTot</t>
  </si>
  <si>
    <t>calcCh3Prod3Slot1CustProfitTot</t>
  </si>
  <si>
    <t>calcCh3Prod3Slot2CustProfitTot</t>
  </si>
  <si>
    <t>calcCh3Prod3Slot3CustProfitTot</t>
  </si>
  <si>
    <t>calcCh4Prod1Slot1CustProfitPromo1MarginAbs</t>
  </si>
  <si>
    <t>calcCh4Prod1Slot1CustProfitPromo1Vol</t>
  </si>
  <si>
    <t>calcCh4Prod1Slot1CustProfitPromo1</t>
  </si>
  <si>
    <t>calcCh4Prod1Slot1CustProfitTot</t>
  </si>
  <si>
    <t>calcCh4Prod1Slot2CustProfitPromo1MarginAbs</t>
  </si>
  <si>
    <t>calcCh4Prod1Slot2CustProfitPromo1Vol</t>
  </si>
  <si>
    <t>calcCh4Prod1Slot2CustProfitPromo1</t>
  </si>
  <si>
    <t>calcCh4Prod1Slot2CustProfitTot</t>
  </si>
  <si>
    <t>calcCh4Prod1Slot3CustProfitPromo1MarginAbs</t>
  </si>
  <si>
    <t>calcCh4Prod1Slot3CustProfitPromo1Vol</t>
  </si>
  <si>
    <t>calcCh4Prod1Slot3CustProfitPromo1</t>
  </si>
  <si>
    <t>calcCh4Prod1Slot3CustProfitTot</t>
  </si>
  <si>
    <t>calcCh4Prod2Slot1CustProfitPromo1MarginAbs</t>
  </si>
  <si>
    <t>calcCh4Prod2Slot1CustProfitPromo1Vol</t>
  </si>
  <si>
    <t>calcCh4Prod2Slot1CustProfitPromo1</t>
  </si>
  <si>
    <t>calcCh4Prod2Slot1CustProfitTot</t>
  </si>
  <si>
    <t>calcCh4Prod2Slot2CustProfitPromo1MarginAbs</t>
  </si>
  <si>
    <t>calcCh4Prod2Slot2CustProfitPromo1Vol</t>
  </si>
  <si>
    <t>calcCh4Prod2Slot2CustProfitPromo1</t>
  </si>
  <si>
    <t>calcCh4Prod2Slot2CustProfitTot</t>
  </si>
  <si>
    <t>calcCh4Prod2Slot3CustProfitPromo1MarginAbs</t>
  </si>
  <si>
    <t>calcCh4Prod2Slot3CustProfitPromo1Vol</t>
  </si>
  <si>
    <t>calcCh4Prod2Slot3CustProfitPromo1</t>
  </si>
  <si>
    <t>calcCh4Prod2Slot3CustProfitTot</t>
  </si>
  <si>
    <t>calcCh4Prod3Slot1CustProfitPromo1MarginAbs</t>
  </si>
  <si>
    <t>calcCh4Prod3Slot1CustProfitPromo1Vol</t>
  </si>
  <si>
    <t>calcCh4Prod3Slot1CustProfitPromo1</t>
  </si>
  <si>
    <t>calcCh4Prod3Slot1CustProfitTot</t>
  </si>
  <si>
    <t>calcCh4Prod3Slot2CustProfitPromo1MarginAbs</t>
  </si>
  <si>
    <t>calcCh4Prod3Slot2CustProfitPromo1Vol</t>
  </si>
  <si>
    <t>calcCh4Prod3Slot2CustProfitPromo1</t>
  </si>
  <si>
    <t>calcCh4Prod3Slot2CustProfitTot</t>
  </si>
  <si>
    <t>calcCh4Prod3Slot3CustProfitPromo1MarginAbs</t>
  </si>
  <si>
    <t>calcCh4Prod3Slot3CustProfitPromo1Vol</t>
  </si>
  <si>
    <t>calcCh4Prod3Slot3CustProfitPromo1</t>
  </si>
  <si>
    <t>calcCh4Prod3Slot3CustProfitTot</t>
  </si>
  <si>
    <t>calcCh4Prod4Slot1CustProfitPromo1MarginAbs</t>
  </si>
  <si>
    <t>calcCh4Prod4Slot1CustProfitPromo1Vol</t>
  </si>
  <si>
    <t>calcCh4Prod4Slot1CustProfitPromo1</t>
  </si>
  <si>
    <t>calcCh4Prod4Slot1CustProfitTot</t>
  </si>
  <si>
    <t>calcCh4Prod4Slot2CustProfitPromo1MarginAbs</t>
  </si>
  <si>
    <t>calcCh4Prod4Slot2CustProfitPromo1Vol</t>
  </si>
  <si>
    <t>calcCh4Prod4Slot2CustProfitPromo1</t>
  </si>
  <si>
    <t>calcCh4Prod4Slot2CustProfitTot</t>
  </si>
  <si>
    <t>calcCh4Prod4Slot3CustProfitPromo1MarginAbs</t>
  </si>
  <si>
    <t>calcCh4Prod4Slot3CustProfitPromo1Vol</t>
  </si>
  <si>
    <t>calcCh4Prod4Slot3CustProfitPromo1</t>
  </si>
  <si>
    <t>calcCh4Prod4Slot3CustProfitTot</t>
  </si>
  <si>
    <t>calcCh1Prod1Slot1CustProfitTot</t>
  </si>
  <si>
    <t>calcCh1Prod1Slot3CustProfitTot</t>
  </si>
  <si>
    <t>calcCh1Prod1Slot2CustProfitTot</t>
  </si>
  <si>
    <t>calcCh1Prod4Slot1CustProfitTot</t>
  </si>
  <si>
    <t>calcCh1Prod4Slot2CustProfitTot</t>
  </si>
  <si>
    <t>calcCh1Prod4Slot3CustProfitTot</t>
  </si>
  <si>
    <t>calcCh1Prod3Slot1CustProfitTot</t>
  </si>
  <si>
    <t>calcCh1Prod3Slot2CustProfitTot</t>
  </si>
  <si>
    <t>calcCh1Prod3Slot3CustProfitTot</t>
  </si>
  <si>
    <t>calcCh1Prod2Slot1CustProfitTot</t>
  </si>
  <si>
    <t>calcCh1Prod2Slot2CustProfitTot</t>
  </si>
  <si>
    <t>calcCh1Prod2Slot3CustProfitTot</t>
  </si>
  <si>
    <t>calcProd1CustProfitTot</t>
  </si>
  <si>
    <t>calcProd2CustProfitTot</t>
  </si>
  <si>
    <t>calcProd3CustProfitTot</t>
  </si>
  <si>
    <t>calcProd4CustProfitTot</t>
  </si>
  <si>
    <t>tlOutputProd2CustProfitTot</t>
  </si>
  <si>
    <t>tlOutputProd3CustProfitTot</t>
  </si>
  <si>
    <t>tlOutputProd1CustProfitTot</t>
  </si>
  <si>
    <t>tlOutputProd4CustProfitTot</t>
  </si>
  <si>
    <t>tlOutputCh4Prod2Slot1CustProfitTot</t>
  </si>
  <si>
    <t>tlOutputCh4Prod2Slot2CustProfitTot</t>
  </si>
  <si>
    <t>tlOutputCh4Prod2Slot3CustProfitTot</t>
  </si>
  <si>
    <t>tlOutputCh4Prod2CustProfitTot</t>
  </si>
  <si>
    <t>tlOutputCh4Prod3Slot1CustProfitTot</t>
  </si>
  <si>
    <t>tlOutputCh4Prod3Slot2CustProfitTot</t>
  </si>
  <si>
    <t>tlOutputCh4Prod3Slot3CustProfitTot</t>
  </si>
  <si>
    <t>tlOutputCh4Prod3CustProfitTot</t>
  </si>
  <si>
    <t>tlOutputCh4Prod1Slot1CustProfitTot</t>
  </si>
  <si>
    <t>tlOutputCh4Prod1Slot2CustProfitTot</t>
  </si>
  <si>
    <t>tlOutputCh4Prod1Slot3CustProfitTot</t>
  </si>
  <si>
    <t>tlOutputCh4Prod1CustProfitTot</t>
  </si>
  <si>
    <t>tlOutputCh4Prod4Slot1CustProfitTot</t>
  </si>
  <si>
    <t>tlOutputCh4Prod4Slot2CustProfitTot</t>
  </si>
  <si>
    <t>tlOutputCh4Prod4Slot3CustProfitTot</t>
  </si>
  <si>
    <t>tlOutputCh4Prod4CustProfitTot</t>
  </si>
  <si>
    <t>tlOutputCh4ValDrivExpTot</t>
  </si>
  <si>
    <t>tlOutputCh3Prod2Slot1CustProfitTot</t>
  </si>
  <si>
    <t>tlOutputCh3Prod2Slot2CustProfitTot</t>
  </si>
  <si>
    <t>tlOutputCh3Prod2Slot3CustProfitTot</t>
  </si>
  <si>
    <t>tlOutputCh3Prod2CustProfitTot</t>
  </si>
  <si>
    <t>tlOutputCh3Prod3Slot1CustProfitTot</t>
  </si>
  <si>
    <t>tlOutputCh3Prod3Slot2CustProfitTot</t>
  </si>
  <si>
    <t>tlOutputCh3Prod3Slot3CustProfitTot</t>
  </si>
  <si>
    <t>tlOutputCh3Prod3CustProfitTot</t>
  </si>
  <si>
    <t>tlOutputCh3Prod1Slot1CustProfitTot</t>
  </si>
  <si>
    <t>tlOutputCh3Prod1Slot2CustProfitTot</t>
  </si>
  <si>
    <t>tlOutputCh3Prod1Slot3CustProfitTot</t>
  </si>
  <si>
    <t>tlOutputCh3Prod1CustProfitTot</t>
  </si>
  <si>
    <t>tlOutputCh3Prod4Slot1CustProfitTot</t>
  </si>
  <si>
    <t>tlOutputCh3Prod4Slot2CustProfitTot</t>
  </si>
  <si>
    <t>tlOutputCh3Prod4Slot3CustProfitTot</t>
  </si>
  <si>
    <t>tlOutputCh3Prod4CustProfitTot</t>
  </si>
  <si>
    <t>tlOutputCh3ValDrivExpTot</t>
  </si>
  <si>
    <t>tlOutputCh2Prod2Slot1CustProfitBase</t>
  </si>
  <si>
    <t>tlOutputCh2Prod2Slot2CustProfitBase</t>
  </si>
  <si>
    <t>tlOutputCh2Prod2Slot3CustProfitBase</t>
  </si>
  <si>
    <t>tlOutputCh2Prod2CustProfitTot</t>
  </si>
  <si>
    <t>tlOutputCh2Prod3Slot1CustProfitBase</t>
  </si>
  <si>
    <t>tlOutputCh2Prod3Slot2CustProfitBase</t>
  </si>
  <si>
    <t>tlOutputCh2Prod3Slot3CustProfitBase</t>
  </si>
  <si>
    <t>tlOutputCh2Prod3CustProfitTot</t>
  </si>
  <si>
    <t>tlOutputCh2Prod1Slot1CustProfitBase</t>
  </si>
  <si>
    <t>tlOutputCh2Prod1Slot2CustProfitBase</t>
  </si>
  <si>
    <t>tlOutputCh2Prod1Slot3CustProfitBase</t>
  </si>
  <si>
    <t>tlOutputCh2Prod1CustProfitTot</t>
  </si>
  <si>
    <t>tlOutputCh2Prod4Slot1CustProfitBase</t>
  </si>
  <si>
    <t>tlOutputCh2Prod4Slot2CustProfitBase</t>
  </si>
  <si>
    <t>tlOutputCh2Prod4Slot3CustProfitBase</t>
  </si>
  <si>
    <t>tlOutputCh2Prod4CustProfitTot</t>
  </si>
  <si>
    <t>tlOutputCh2ValDrivExpTot</t>
  </si>
  <si>
    <t>tlOutputCh1Prod2Slot1CustProfitTot</t>
  </si>
  <si>
    <t>tlOutputCh1Prod2Slot2CustProfitTot</t>
  </si>
  <si>
    <t>tlOutputCh1Prod2Slot3CustProfitTot</t>
  </si>
  <si>
    <t>tlOutputCh1Prod2CustProfitTot</t>
  </si>
  <si>
    <t>tlOutputCh1Prod3Slot1CustProfitTot</t>
  </si>
  <si>
    <t>tlOutputCh1Prod3Slot2CustProfitTot</t>
  </si>
  <si>
    <t>tlOutputCh1Prod3Slot3CustProfitTot</t>
  </si>
  <si>
    <t>tlOutputCh1Prod3CustProfitTot</t>
  </si>
  <si>
    <t>tlOutputCh1Prod1Slot1CustProfitTot</t>
  </si>
  <si>
    <t>tlOutputCh1Prod1Slot2CustProfitTot</t>
  </si>
  <si>
    <t>tlOutputCh1Prod1Slot3CustProfitTot</t>
  </si>
  <si>
    <t>tlOutputCh1Prod1CustProfitTot</t>
  </si>
  <si>
    <t>tlOutputCh1Prod4Slot1CustProfitTot</t>
  </si>
  <si>
    <t>tlOutputCh1Prod4Slot2CustProfitTot</t>
  </si>
  <si>
    <t>tlOutputCh1Prod4Slot3CustProfitTot</t>
  </si>
  <si>
    <t>tlOutputCh1Prod4CustProfitTot</t>
  </si>
  <si>
    <t>tlOutputValDriv1Exp</t>
  </si>
  <si>
    <t>tlOutputValDriv2Exp</t>
  </si>
  <si>
    <t>tlOutputValDriv3Exp</t>
  </si>
  <si>
    <t>tlOutputValDriv4Exp</t>
  </si>
  <si>
    <t>tlOutputValDriv5Exp</t>
  </si>
  <si>
    <t>tlOutputValDrivExpTot</t>
  </si>
  <si>
    <t>tlOutputTotTradeInv</t>
  </si>
  <si>
    <t>Company decisions page</t>
  </si>
  <si>
    <t>tlPNL</t>
  </si>
  <si>
    <t>tlPNLCh</t>
  </si>
  <si>
    <t>tlPNLBr</t>
  </si>
  <si>
    <t>tlPNLCustRep</t>
  </si>
  <si>
    <t>tlCompany</t>
  </si>
  <si>
    <t>Numbers</t>
  </si>
  <si>
    <t>tlOutputChartEmp1PackInnovation</t>
  </si>
  <si>
    <t>tlOutputChartEmp1Promotions</t>
  </si>
  <si>
    <t>tlOutputChartEmp1Marketing</t>
  </si>
  <si>
    <t>tlOutputChartEmp1SI</t>
  </si>
  <si>
    <t>tlOutputChartEmp1ValDriv</t>
  </si>
  <si>
    <t>tlOutputChartEmp1Unassigned</t>
  </si>
  <si>
    <t>Available</t>
  </si>
  <si>
    <t>tlOutputPackInnovation1Emp1Req</t>
  </si>
  <si>
    <t>tlOutputPackInnovation2Emp1Req</t>
  </si>
  <si>
    <t>tlOutputPackInnovation1Exp</t>
  </si>
  <si>
    <t>tlOutputPackInnovation2Exp</t>
  </si>
  <si>
    <t>tlOutputSI1CodeR1</t>
  </si>
  <si>
    <t>tlOutputSI2CodeR1</t>
  </si>
  <si>
    <t>tlOutputSI3CodeR1</t>
  </si>
  <si>
    <t>tlOutputSI1CodeR2</t>
  </si>
  <si>
    <t>tlOutputSI2CodeR2</t>
  </si>
  <si>
    <t>tlOutputSI3CodeR2</t>
  </si>
  <si>
    <t>tlOutputSI1CodeR3</t>
  </si>
  <si>
    <t>tlOutputSI2CodeR3</t>
  </si>
  <si>
    <t>tlOutputSI3CodeR3</t>
  </si>
  <si>
    <t>tlOutputSI1NameR1</t>
  </si>
  <si>
    <t>tlOutputSI1NameR2</t>
  </si>
  <si>
    <t>tlOutputSI1NameR3</t>
  </si>
  <si>
    <t>tlOutputSI3NameR3</t>
  </si>
  <si>
    <t>tlOutputSI2NameR3</t>
  </si>
  <si>
    <t>tlOutputSI3NameR2</t>
  </si>
  <si>
    <t>tlOutputSI2NameR2</t>
  </si>
  <si>
    <t>tlOutputSI3NameR1</t>
  </si>
  <si>
    <t>tlOutputSI2NameR1</t>
  </si>
  <si>
    <t>Name R1 SI1</t>
  </si>
  <si>
    <t>Name R1 SI2</t>
  </si>
  <si>
    <t>Name R1 SI3</t>
  </si>
  <si>
    <t>Name R2 SI1</t>
  </si>
  <si>
    <t>Name R2 SI2</t>
  </si>
  <si>
    <t>Name R2 SI3</t>
  </si>
  <si>
    <t>Name R3 SI1</t>
  </si>
  <si>
    <t>Name R3 SI2</t>
  </si>
  <si>
    <t>Name R3 SI3</t>
  </si>
  <si>
    <t>tlOutputChartEmp1Heading</t>
  </si>
  <si>
    <t>Dynamic Table</t>
  </si>
  <si>
    <t>Vatterfall Chart Data</t>
  </si>
  <si>
    <t>tlCh1B</t>
  </si>
  <si>
    <t>tlCh1A</t>
  </si>
  <si>
    <t>Forecasting Table</t>
  </si>
  <si>
    <t>Super Premium</t>
  </si>
  <si>
    <t>Column 5 (Total)</t>
  </si>
  <si>
    <t>tlOutputCh1ValDriv1Emp1</t>
  </si>
  <si>
    <t>tlOutputCh1ValDriv2Emp1</t>
  </si>
  <si>
    <t>tlOutputCh1ValDriv3Emp1</t>
  </si>
  <si>
    <t>tlOutputCh1ValDriv4Emp1</t>
  </si>
  <si>
    <t>tlOutputCh1ValDriv5Emp1</t>
  </si>
  <si>
    <t>tlOutputCh1ValDrivEmp1Tot</t>
  </si>
  <si>
    <t>tlOutputCh1ValDrivCondEmp1</t>
  </si>
  <si>
    <t>tlOutputCh1MarkPlanEmp1Req</t>
  </si>
  <si>
    <t>tlOutputCh1MarkPlanExp</t>
  </si>
  <si>
    <t>tlOutputCh1Prod1NewSlotEmp1</t>
  </si>
  <si>
    <t>tlOutputCh1Prod2NewSlotEmp1</t>
  </si>
  <si>
    <t>tlOutputCh1Prod3NewSlotEmp1</t>
  </si>
  <si>
    <t>tlOutputCh1Prod4NewSlotEmp1</t>
  </si>
  <si>
    <t>tlCh1A &amp; tlCh1B</t>
  </si>
  <si>
    <t>Dashboard</t>
  </si>
  <si>
    <t>Max Value</t>
  </si>
  <si>
    <t>Min Value</t>
  </si>
  <si>
    <t>Value</t>
  </si>
  <si>
    <t>Slots Gauge</t>
  </si>
  <si>
    <t>Promo Weeks Gauge</t>
  </si>
  <si>
    <t>tlOutputCh1NewSlotAvailGaugeMin</t>
  </si>
  <si>
    <t>tlOutputCh1NewSlotAvailGaugeMax</t>
  </si>
  <si>
    <t>All pages</t>
  </si>
  <si>
    <t>Channels</t>
  </si>
  <si>
    <t>Products</t>
  </si>
  <si>
    <t>tlOutputCh1</t>
  </si>
  <si>
    <t>tlOutputCh2</t>
  </si>
  <si>
    <t>tlOutputCh3</t>
  </si>
  <si>
    <t>tlOutputCh4</t>
  </si>
  <si>
    <t>tlOutputProd1</t>
  </si>
  <si>
    <t>tlOutputProd2</t>
  </si>
  <si>
    <t>tlOutputProd3</t>
  </si>
  <si>
    <t>tlOutputProd4</t>
  </si>
  <si>
    <t>New Slots</t>
  </si>
  <si>
    <t>Only temporary calculations - Not displayed for participants</t>
  </si>
  <si>
    <t>tlOutputCh1VtVolSold</t>
  </si>
  <si>
    <t>tlOutputCh1VtCp</t>
  </si>
  <si>
    <t>tlOutputCh1VtWd</t>
  </si>
  <si>
    <t>tlOutputCh1VtUnitsSold</t>
  </si>
  <si>
    <t>Slot Specific Data</t>
  </si>
  <si>
    <t>Sales Price</t>
  </si>
  <si>
    <t>tlOutputCh1PromoWeeksAvailGaugeMin</t>
  </si>
  <si>
    <t>tlOutputCh1PromoWeeksAvailGaugeMax</t>
  </si>
  <si>
    <t>tlOutputCh1Emp1GaugeMin</t>
  </si>
  <si>
    <t>tlOutputCh1Emp1GaugeMax</t>
  </si>
  <si>
    <t>tlOutputCh1Emp1GaugeValue</t>
  </si>
  <si>
    <t>tlOutputCh1NewSlotAvailGaugeValue</t>
  </si>
  <si>
    <t>tlOutputCh1PromoWeeksAvailGaugeValue</t>
  </si>
  <si>
    <t>Analytics Reports</t>
  </si>
  <si>
    <t>tlOutputCh1AnalyticsEmp1Req</t>
  </si>
  <si>
    <t>tlOutputCh1AnalyticsExp</t>
  </si>
  <si>
    <t>A1:AU102</t>
  </si>
  <si>
    <t>tlInputs for Slots, Reports etc non standard decision</t>
  </si>
  <si>
    <t>Slots Active?</t>
  </si>
  <si>
    <t>1  = Active 0 = Inactive</t>
  </si>
  <si>
    <t>In excel test formula</t>
  </si>
  <si>
    <t>Reports bought</t>
  </si>
  <si>
    <t>tlInputCh1R1Report1</t>
  </si>
  <si>
    <t>tlInputCh1R1Report2</t>
  </si>
  <si>
    <t>tlInputCh1R3Report6</t>
  </si>
  <si>
    <t>tlInputCh1R3Report5</t>
  </si>
  <si>
    <t>tlInputCh1R2Report4</t>
  </si>
  <si>
    <t>tlInputCh1R2Report3</t>
  </si>
  <si>
    <t>Report1</t>
  </si>
  <si>
    <t>Report2</t>
  </si>
  <si>
    <t>tlOutputDB1Item1</t>
  </si>
  <si>
    <t>tlOutputDB1Item2</t>
  </si>
  <si>
    <t>tlOutputDB1Item3</t>
  </si>
  <si>
    <t>tlOutputDB1Item4</t>
  </si>
  <si>
    <t>tlOutputDB1SubItem1</t>
  </si>
  <si>
    <t>tlOutputDB1SubItem2</t>
  </si>
  <si>
    <t>tlOutputDB1SubItem3</t>
  </si>
  <si>
    <t>tlOutputDB1SubItem4</t>
  </si>
  <si>
    <t>Dashboard 6 (On All Pages)</t>
  </si>
  <si>
    <t>Dashboard 5 (On tlCh4A &amp; tlCh4B)</t>
  </si>
  <si>
    <t>Dashboard 1 (On All Pages)</t>
  </si>
  <si>
    <t>Dashboard 2 (On tlCh1A &amp; tlCh1B)</t>
  </si>
  <si>
    <t>Dashboard 3 (On tlCh2A &amp; tlCh2B)</t>
  </si>
  <si>
    <t>Dashboard 4 (On tlCh3A &amp; tlCh3B)</t>
  </si>
  <si>
    <t>tlOutputDB2Item1</t>
  </si>
  <si>
    <t>tlOutputDB2SubItem1</t>
  </si>
  <si>
    <t>tlOutputDB2Item2</t>
  </si>
  <si>
    <t>tlOutputDB2SubItem2</t>
  </si>
  <si>
    <t>tlOutputDB2Item3</t>
  </si>
  <si>
    <t>tlOutputDB2SubItem3</t>
  </si>
  <si>
    <t>tlOutputDB2Item4</t>
  </si>
  <si>
    <t>tlOutputDB2SubItem4</t>
  </si>
  <si>
    <t>tlOutputDB3Item1</t>
  </si>
  <si>
    <t>tlOutputDB3SubItem1</t>
  </si>
  <si>
    <t>tlOutputDB3Item2</t>
  </si>
  <si>
    <t>tlOutputDB3SubItem2</t>
  </si>
  <si>
    <t>tlOutputDB3Item3</t>
  </si>
  <si>
    <t>tlOutputDB3SubItem3</t>
  </si>
  <si>
    <t>tlOutputDB3Item4</t>
  </si>
  <si>
    <t>tlOutputDB3SubItem4</t>
  </si>
  <si>
    <t>tlOutputDB4Item1</t>
  </si>
  <si>
    <t>tlOutputDB4SubItem1</t>
  </si>
  <si>
    <t>tlOutputDB4Item2</t>
  </si>
  <si>
    <t>tlOutputDB4SubItem2</t>
  </si>
  <si>
    <t>tlOutputDB4Item3</t>
  </si>
  <si>
    <t>tlOutputDB4SubItem3</t>
  </si>
  <si>
    <t>tlOutputDB4Item4</t>
  </si>
  <si>
    <t>tlOutputDB4SubItem4</t>
  </si>
  <si>
    <t>tlOutputDB5Item1</t>
  </si>
  <si>
    <t>tlOutputDB5SubItem1</t>
  </si>
  <si>
    <t>tlOutputDB5Item2</t>
  </si>
  <si>
    <t>tlOutputDB5SubItem2</t>
  </si>
  <si>
    <t>tlOutputDB5Item3</t>
  </si>
  <si>
    <t>tlOutputDB5SubItem3</t>
  </si>
  <si>
    <t>tlOutputDB5Item4</t>
  </si>
  <si>
    <t>tlOutputDB5SubItem4</t>
  </si>
  <si>
    <t>tlOutputDB6Item1</t>
  </si>
  <si>
    <t>tlOutputDB6SubItem1</t>
  </si>
  <si>
    <t>tlOutputDB6Item2</t>
  </si>
  <si>
    <t>tlOutputDB6SubItem2</t>
  </si>
  <si>
    <t>tlOutputDB6Item3</t>
  </si>
  <si>
    <t>tlOutputDB6SubItem3</t>
  </si>
  <si>
    <t>tlOutputDB6Item4</t>
  </si>
  <si>
    <t>tlOutputDB6SubItem4</t>
  </si>
  <si>
    <t>tlOutputDB1Item1Label</t>
  </si>
  <si>
    <t>tlOutputDB2Item1Label</t>
  </si>
  <si>
    <t>tlOutputDB3Item1Label</t>
  </si>
  <si>
    <t>tlOutputDB4Item1Label</t>
  </si>
  <si>
    <t>tlOutputDB5Item1Label</t>
  </si>
  <si>
    <t>tlOutputDB6Item1Label</t>
  </si>
  <si>
    <t>tlOutputDB1Item2Label</t>
  </si>
  <si>
    <t>tlOutputDB2Item2Label</t>
  </si>
  <si>
    <t>tlOutputDB3Item2Label</t>
  </si>
  <si>
    <t>tlOutputDB4Item2Label</t>
  </si>
  <si>
    <t>tlOutputDB5Item2Label</t>
  </si>
  <si>
    <t>tlOutputDB6Item2Label</t>
  </si>
  <si>
    <t>tlOutputDB1Item3Label</t>
  </si>
  <si>
    <t>tlOutputDB2Item3Label</t>
  </si>
  <si>
    <t>tlOutputDB3Item3Label</t>
  </si>
  <si>
    <t>tlOutputDB4Item3Label</t>
  </si>
  <si>
    <t>tlOutputDB5Item3Label</t>
  </si>
  <si>
    <t>tlOutputDB6Item3Label</t>
  </si>
  <si>
    <t>tlOutputDB1Item4Label</t>
  </si>
  <si>
    <t>tlOutputDB2Item4Label</t>
  </si>
  <si>
    <t>tlOutputDB3Item4Label</t>
  </si>
  <si>
    <t>tlOutputDB4Item4Label</t>
  </si>
  <si>
    <t>tlOutputDB5Item4Label</t>
  </si>
  <si>
    <t>tlOutputDB6Item4Label</t>
  </si>
  <si>
    <t>Promotion Requirements</t>
  </si>
  <si>
    <t>tlOutputCh1Prod1PromoEmp1</t>
  </si>
  <si>
    <t>tlOutputCh1Prod2PromoEmp1</t>
  </si>
  <si>
    <t>tlOutputCh1Prod3PromoEmp1</t>
  </si>
  <si>
    <t>tlOutputCh1Prod4PromoEmp1</t>
  </si>
  <si>
    <t>tlOutputCh1Prod1PromoExp</t>
  </si>
  <si>
    <t>tlOutputCh1Prod2PromoExp</t>
  </si>
  <si>
    <t>tlOutputCh1Prod3PromoExp</t>
  </si>
  <si>
    <t>tlOutputCh1Prod4PromoExp</t>
  </si>
  <si>
    <t>Vaterfall Chart</t>
  </si>
  <si>
    <t>X-Axis Labels</t>
  </si>
  <si>
    <t>First Staples (Partly Invisible)</t>
  </si>
  <si>
    <t>Second Staples (All Visible)</t>
  </si>
  <si>
    <t>Label 1</t>
  </si>
  <si>
    <t>Label 2</t>
  </si>
  <si>
    <t>Label 3</t>
  </si>
  <si>
    <t>Label 4</t>
  </si>
  <si>
    <t>Label 5</t>
  </si>
  <si>
    <t>Label 6</t>
  </si>
  <si>
    <t>Staple 1 (Visible)</t>
  </si>
  <si>
    <t>Staple 2 (Visible)</t>
  </si>
  <si>
    <t>Staple 3 (Visible)</t>
  </si>
  <si>
    <t>Staple 4 (Visible)</t>
  </si>
  <si>
    <t>Staple 5 (Visible)</t>
  </si>
  <si>
    <t>Staple 6 (Visible)</t>
  </si>
  <si>
    <t>Staple 2 (Invisible)</t>
  </si>
  <si>
    <t>Staple 3 (Invisible)</t>
  </si>
  <si>
    <t>Staple 4 (Invisible)</t>
  </si>
  <si>
    <t>Staple 5 (Invisible)</t>
  </si>
  <si>
    <t>Second Legend Label</t>
  </si>
  <si>
    <t>First Legend Label</t>
  </si>
  <si>
    <t>Promotion 1 Type</t>
  </si>
  <si>
    <t>Promotion 2 Type</t>
  </si>
  <si>
    <t>Conditionality Share Chart</t>
  </si>
  <si>
    <t>Heading</t>
  </si>
  <si>
    <t>tlOutputCh1TTHeading</t>
  </si>
  <si>
    <t>tlOutputCh1ProfitChartHeading</t>
  </si>
  <si>
    <t>Profit Chart</t>
  </si>
  <si>
    <t>tlCh4B</t>
  </si>
  <si>
    <t>tlCh4A &amp; tlCh4B</t>
  </si>
  <si>
    <t>tlOutputCh4Emp1GaugeValue</t>
  </si>
  <si>
    <t>tlOutputCh4NewSlotAvailGaugeValue</t>
  </si>
  <si>
    <t>tlOutputCh4PromoWeeksAvailGaugeValue</t>
  </si>
  <si>
    <t>tlOutputCh4Emp1GaugeMin</t>
  </si>
  <si>
    <t>tlOutputCh4NewSlotAvailGaugeMin</t>
  </si>
  <si>
    <t>tlOutputCh4PromoWeeksAvailGaugeMin</t>
  </si>
  <si>
    <t>tlOutputCh4Emp1GaugeMax</t>
  </si>
  <si>
    <t>tlOutputCh4NewSlotAvailGaugeMax</t>
  </si>
  <si>
    <t>tlOutputCh4PromoWeeksAvailGaugeMax</t>
  </si>
  <si>
    <t>tlCh4A</t>
  </si>
  <si>
    <t>tlOutputCh4ValDriv1Emp1</t>
  </si>
  <si>
    <t>tlOutputCh4ValDriv2Emp1</t>
  </si>
  <si>
    <t>tlOutputCh4ValDriv3Emp1</t>
  </si>
  <si>
    <t>tlOutputCh4ValDriv4Emp1</t>
  </si>
  <si>
    <t>tlOutputCh4ValDriv5Emp1</t>
  </si>
  <si>
    <t>tlOutputCh4ValDrivEmp1Tot</t>
  </si>
  <si>
    <t>tlOutputCh4ValDrivCondEmp1</t>
  </si>
  <si>
    <t>tlOutputCh4MarkPlanEmp1Req</t>
  </si>
  <si>
    <t>tlOutputCh4MarkPlanExp</t>
  </si>
  <si>
    <t>tlOutputCh4Prod1NewSlotEmp1</t>
  </si>
  <si>
    <t>tlOutputCh4Prod2NewSlotEmp1</t>
  </si>
  <si>
    <t>tlOutputCh4Prod3NewSlotEmp1</t>
  </si>
  <si>
    <t>tlOutputCh4Prod4NewSlotEmp1</t>
  </si>
  <si>
    <t>tlOutputCh4AnalyticsEmp1Req</t>
  </si>
  <si>
    <t>tlOutputCh4AnalyticsExp</t>
  </si>
  <si>
    <t>tlOutputCh4VtVolSold</t>
  </si>
  <si>
    <t>tlOutputCh4VtUnitsSold</t>
  </si>
  <si>
    <t>tlOutputCh4VtCp</t>
  </si>
  <si>
    <t>tlOutputCh4VtWd</t>
  </si>
  <si>
    <t>tlOutputCh4Vtstaple1</t>
  </si>
  <si>
    <t>tlOutputCh4Vtstaple2</t>
  </si>
  <si>
    <t>tlOutputCh4Vtstaple3</t>
  </si>
  <si>
    <t>tlOutputCh4Prod1Slot1SP</t>
  </si>
  <si>
    <t>tlOutputCh4Vtstaple4</t>
  </si>
  <si>
    <t>tlOutputCh4Prod1Slot2SP</t>
  </si>
  <si>
    <t>tlOutputCh4Prod1Slot3SP</t>
  </si>
  <si>
    <t>tlOutputCh4Prod2Slot1SP</t>
  </si>
  <si>
    <t>tlOutputCh4Prod2Slot2SP</t>
  </si>
  <si>
    <t>tlOutputCh4Prod2Slot3SP</t>
  </si>
  <si>
    <t>tlOutputCh4Prod3Slot1SP</t>
  </si>
  <si>
    <t>tlOutputCh4Prod3Slot2SP</t>
  </si>
  <si>
    <t>tlOutputCh4Prod3Slot3SP</t>
  </si>
  <si>
    <t>tlOutputCh4Prod4Slot1SP</t>
  </si>
  <si>
    <t>tlOutputCh4Prod4Slot2SP</t>
  </si>
  <si>
    <t>tlOutputCh4Prod4Slot3SP</t>
  </si>
  <si>
    <t>tlOutputCh4Prod1PromoEmp1</t>
  </si>
  <si>
    <t>tlOutputCh4Prod2PromoEmp1</t>
  </si>
  <si>
    <t>tlOutputCh4Prod3PromoEmp1</t>
  </si>
  <si>
    <t>tlOutputCh4Prod4PromoEmp1</t>
  </si>
  <si>
    <t>tlOutputCh4Prod1PromoExp</t>
  </si>
  <si>
    <t>tlOutputCh4Prod2PromoExp</t>
  </si>
  <si>
    <t>tlOutputCh4Prod3PromoExp</t>
  </si>
  <si>
    <t>tlOutputCh4Prod4PromoExp</t>
  </si>
  <si>
    <t>tlOutputCh4TTHeading</t>
  </si>
  <si>
    <t>tlOutputCh4ProfitChartHeading</t>
  </si>
  <si>
    <t>tlOutputCh4TTCondition</t>
  </si>
  <si>
    <t>tlOutputCh4TTUnCondition</t>
  </si>
  <si>
    <t>tlOutputCh4Prod2GPaLpBrandCogs</t>
  </si>
  <si>
    <t>tlOutputCh4Prod3GPaLpBrandCogs</t>
  </si>
  <si>
    <t>tlOutputCh4Prod1GPaLpBrandCogs</t>
  </si>
  <si>
    <t>tlOutputCh4Prod4GPaLpBrandCogs</t>
  </si>
  <si>
    <t>tlOutputCh4Prod2GPaLpLog</t>
  </si>
  <si>
    <t>tlOutputCh4Prod3GPaLpLog</t>
  </si>
  <si>
    <t>tlOutputCh4Prod1GPaLpLog</t>
  </si>
  <si>
    <t>tlOutputCh4Prod4GPaLpLog</t>
  </si>
  <si>
    <t>tlOutputCh4Prod2GPaLpGPaL</t>
  </si>
  <si>
    <t>tlOutputCh4Prod3GPaLpGPaL</t>
  </si>
  <si>
    <t>tlOutputCh4Prod1GPaLpGPaL</t>
  </si>
  <si>
    <t>tlOutputCh4Prod4GPaLpGPaL</t>
  </si>
  <si>
    <t>tlOutputCh4Prod2GPaLpGPaLmar</t>
  </si>
  <si>
    <t>tlOutputCh4Prod3GPaLpGPaLmar</t>
  </si>
  <si>
    <t>tlOutputCh4Prod1GPaLpGPaLmar</t>
  </si>
  <si>
    <t>tlOutputCh4Prod4GPaLpGPaLmar</t>
  </si>
  <si>
    <t>tlCh3B</t>
  </si>
  <si>
    <t>tlCh3A &amp; tlCh3B</t>
  </si>
  <si>
    <t>tlOutputCh3Emp1GaugeValue</t>
  </si>
  <si>
    <t>tlOutputCh3NewSlotAvailGaugeValue</t>
  </si>
  <si>
    <t>tlOutputCh3PromoWeeksAvailGaugeValue</t>
  </si>
  <si>
    <t>tlOutputCh3Emp1GaugeMin</t>
  </si>
  <si>
    <t>tlOutputCh3NewSlotAvailGaugeMin</t>
  </si>
  <si>
    <t>tlOutputCh3PromoWeeksAvailGaugeMin</t>
  </si>
  <si>
    <t>tlOutputCh3Emp1GaugeMax</t>
  </si>
  <si>
    <t>tlOutputCh3NewSlotAvailGaugeMax</t>
  </si>
  <si>
    <t>tlOutputCh3PromoWeeksAvailGaugeMax</t>
  </si>
  <si>
    <t>tlCh3A</t>
  </si>
  <si>
    <t>tlOutputCh3ValDriv1Emp1</t>
  </si>
  <si>
    <t>tlOutputCh3ValDriv2Emp1</t>
  </si>
  <si>
    <t>tlOutputCh3ValDriv3Emp1</t>
  </si>
  <si>
    <t>tlOutputCh3ValDriv4Emp1</t>
  </si>
  <si>
    <t>tlOutputCh3ValDriv5Emp1</t>
  </si>
  <si>
    <t>tlOutputCh3ValDrivEmp1Tot</t>
  </si>
  <si>
    <t>tlOutputCh3ValDrivCondEmp1</t>
  </si>
  <si>
    <t>tlOutputCh3MarkPlanEmp1Req</t>
  </si>
  <si>
    <t>tlOutputCh3MarkPlanExp</t>
  </si>
  <si>
    <t>tlOutputCh3Prod1NewSlotEmp1</t>
  </si>
  <si>
    <t>tlOutputCh3Prod2NewSlotEmp1</t>
  </si>
  <si>
    <t>tlOutputCh3Prod3NewSlotEmp1</t>
  </si>
  <si>
    <t>tlOutputCh3Prod4NewSlotEmp1</t>
  </si>
  <si>
    <t>tlOutputCh3AnalyticsEmp1Req</t>
  </si>
  <si>
    <t>tlOutputCh3AnalyticsExp</t>
  </si>
  <si>
    <t>tlOutputCh3VtVolSold</t>
  </si>
  <si>
    <t>tlOutputCh3VtUnitsSold</t>
  </si>
  <si>
    <t>tlOutputCh3VtCp</t>
  </si>
  <si>
    <t>tlOutputCh3VtWd</t>
  </si>
  <si>
    <t>tlOutputCh3Vtstaple1</t>
  </si>
  <si>
    <t>tlOutputCh3Vtstaple2</t>
  </si>
  <si>
    <t>tlOutputCh3Vtstaple3</t>
  </si>
  <si>
    <t>tlOutputCh3Prod1Slot1SP</t>
  </si>
  <si>
    <t>tlOutputCh3Vtstaple4</t>
  </si>
  <si>
    <t>tlOutputCh3Prod1Slot2SP</t>
  </si>
  <si>
    <t>tlOutputCh3Prod1Slot3SP</t>
  </si>
  <si>
    <t>tlOutputCh3Prod2Slot1SP</t>
  </si>
  <si>
    <t>tlOutputCh3Prod2Slot2SP</t>
  </si>
  <si>
    <t>tlOutputCh3Prod2Slot3SP</t>
  </si>
  <si>
    <t>tlOutputCh3Prod3Slot1SP</t>
  </si>
  <si>
    <t>tlOutputCh3Prod3Slot2SP</t>
  </si>
  <si>
    <t>tlOutputCh3Prod3Slot3SP</t>
  </si>
  <si>
    <t>tlOutputCh3Prod4Slot1SP</t>
  </si>
  <si>
    <t>tlOutputCh3Prod4Slot2SP</t>
  </si>
  <si>
    <t>tlOutputCh3Prod4Slot3SP</t>
  </si>
  <si>
    <t>tlOutputCh3Prod1PromoEmp1</t>
  </si>
  <si>
    <t>tlOutputCh3Prod2PromoEmp1</t>
  </si>
  <si>
    <t>tlOutputCh3Prod3PromoEmp1</t>
  </si>
  <si>
    <t>tlOutputCh3Prod4PromoEmp1</t>
  </si>
  <si>
    <t>tlOutputCh3Prod1PromoExp</t>
  </si>
  <si>
    <t>tlOutputCh3Prod2PromoExp</t>
  </si>
  <si>
    <t>tlOutputCh3Prod3PromoExp</t>
  </si>
  <si>
    <t>tlOutputCh3Prod4PromoExp</t>
  </si>
  <si>
    <t>tlOutputCh3TTHeading</t>
  </si>
  <si>
    <t>tlOutputCh3ProfitChartHeading</t>
  </si>
  <si>
    <t>tlOutputCh3TTCondition</t>
  </si>
  <si>
    <t>tlOutputCh3TTUnCondition</t>
  </si>
  <si>
    <t>tlOutputCh3Prod2GPaLpBrandCogs</t>
  </si>
  <si>
    <t>tlOutputCh3Prod3GPaLpBrandCogs</t>
  </si>
  <si>
    <t>tlOutputCh3Prod1GPaLpBrandCogs</t>
  </si>
  <si>
    <t>tlOutputCh3Prod4GPaLpBrandCogs</t>
  </si>
  <si>
    <t>tlOutputCh3Prod2GPaLpLog</t>
  </si>
  <si>
    <t>tlOutputCh3Prod3GPaLpLog</t>
  </si>
  <si>
    <t>tlOutputCh3Prod1GPaLpLog</t>
  </si>
  <si>
    <t>tlOutputCh3Prod4GPaLpLog</t>
  </si>
  <si>
    <t>tlOutputCh3Prod2GPaLpGPaL</t>
  </si>
  <si>
    <t>tlOutputCh3Prod3GPaLpGPaL</t>
  </si>
  <si>
    <t>tlOutputCh3Prod1GPaLpGPaL</t>
  </si>
  <si>
    <t>tlOutputCh3Prod4GPaLpGPaL</t>
  </si>
  <si>
    <t>tlOutputCh3Prod2GPaLpGPaLmar</t>
  </si>
  <si>
    <t>tlOutputCh3Prod3GPaLpGPaLmar</t>
  </si>
  <si>
    <t>tlOutputCh3Prod1GPaLpGPaLmar</t>
  </si>
  <si>
    <t>tlOutputCh3Prod4GPaLpGPaLmar</t>
  </si>
  <si>
    <t>tlCh2B</t>
  </si>
  <si>
    <t>tlCh2A &amp; tlCh2B</t>
  </si>
  <si>
    <t>tlOutputCh2Emp1GaugeValue</t>
  </si>
  <si>
    <t>tlOutputCh2NewSlotAvailGaugeValue</t>
  </si>
  <si>
    <t>tlOutputCh2Emp1GaugeMin</t>
  </si>
  <si>
    <t>tlOutputCh2NewSlotAvailGaugeMin</t>
  </si>
  <si>
    <t>tlOutputCh2Emp1GaugeMax</t>
  </si>
  <si>
    <t>tlOutputCh2NewSlotAvailGaugeMax</t>
  </si>
  <si>
    <t>tlCh2A</t>
  </si>
  <si>
    <t>tlOutputCh2ValDriv1Emp1</t>
  </si>
  <si>
    <t>tlOutputCh2ValDriv2Emp1</t>
  </si>
  <si>
    <t>tlOutputCh2ValDriv3Emp1</t>
  </si>
  <si>
    <t>tlOutputCh2ValDriv4Emp1</t>
  </si>
  <si>
    <t>tlOutputCh2ValDriv5Emp1</t>
  </si>
  <si>
    <t>tlOutputCh2ValDrivEmp1Tot</t>
  </si>
  <si>
    <t>tlOutputCh2ValDrivCondEmp1</t>
  </si>
  <si>
    <t>tlOutputCh2MarkPlanEmp1Req</t>
  </si>
  <si>
    <t>tlOutputCh2MarkPlanExp</t>
  </si>
  <si>
    <t>tlOutputCh2Prod1NewSlotEmp1</t>
  </si>
  <si>
    <t>tlOutputCh2Prod2NewSlotEmp1</t>
  </si>
  <si>
    <t>tlOutputCh2Prod3NewSlotEmp1</t>
  </si>
  <si>
    <t>tlOutputCh2Prod4NewSlotEmp1</t>
  </si>
  <si>
    <t>tlOutputCh2AnalyticsEmp1Req</t>
  </si>
  <si>
    <t>tlOutputCh2AnalyticsExp</t>
  </si>
  <si>
    <t>tlOutputCh2VtVolSold</t>
  </si>
  <si>
    <t>tlOutputCh2VtUnitsSold</t>
  </si>
  <si>
    <t>tlOutputCh2VtCp</t>
  </si>
  <si>
    <t>tlOutputCh2VtWd</t>
  </si>
  <si>
    <t>tlOutputCh2Vtstaple1</t>
  </si>
  <si>
    <t>tlOutputCh2Vtstaple2</t>
  </si>
  <si>
    <t>tlOutputCh2Vtstaple3</t>
  </si>
  <si>
    <t>tlOutputCh2Prod1Slot1SP</t>
  </si>
  <si>
    <t>tlOutputCh2Vtstaple4</t>
  </si>
  <si>
    <t>tlOutputCh2Prod1Slot2SP</t>
  </si>
  <si>
    <t>tlOutputCh2Prod1Slot3SP</t>
  </si>
  <si>
    <t>tlOutputCh2Prod2Slot1SP</t>
  </si>
  <si>
    <t>tlOutputCh2Prod2Slot2SP</t>
  </si>
  <si>
    <t>tlOutputCh2Prod2Slot3SP</t>
  </si>
  <si>
    <t>tlOutputCh2Prod3Slot1SP</t>
  </si>
  <si>
    <t>tlOutputCh2Prod3Slot2SP</t>
  </si>
  <si>
    <t>tlOutputCh2Prod3Slot3SP</t>
  </si>
  <si>
    <t>tlOutputCh2Prod4Slot1SP</t>
  </si>
  <si>
    <t>tlOutputCh2Prod4Slot2SP</t>
  </si>
  <si>
    <t>tlOutputCh2Prod4Slot3SP</t>
  </si>
  <si>
    <t>tlOutputCh2TTHeading</t>
  </si>
  <si>
    <t>tlOutputCh2ProfitChartHeading</t>
  </si>
  <si>
    <t>tlOutputCh2TTCondition</t>
  </si>
  <si>
    <t>tlOutputCh2TTUnCondition</t>
  </si>
  <si>
    <t>tlOutputCh2Prod2GPaLpBrandCogs</t>
  </si>
  <si>
    <t>tlOutputCh2Prod3GPaLpBrandCogs</t>
  </si>
  <si>
    <t>tlOutputCh2Prod1GPaLpBrandCogs</t>
  </si>
  <si>
    <t>tlOutputCh2Prod4GPaLpBrandCogs</t>
  </si>
  <si>
    <t>tlOutputCh2Prod2GPaLpLog</t>
  </si>
  <si>
    <t>tlOutputCh2Prod3GPaLpLog</t>
  </si>
  <si>
    <t>tlOutputCh2Prod1GPaLpLog</t>
  </si>
  <si>
    <t>tlOutputCh2Prod4GPaLpLog</t>
  </si>
  <si>
    <t>tlOutputCh2Prod2GPaLpGPaL</t>
  </si>
  <si>
    <t>tlOutputCh2Prod3GPaLpGPaL</t>
  </si>
  <si>
    <t>tlOutputCh2Prod1GPaLpGPaL</t>
  </si>
  <si>
    <t>tlOutputCh2Prod4GPaLpGPaL</t>
  </si>
  <si>
    <t>tlOutputCh2Prod2GPaLpGPaLmar</t>
  </si>
  <si>
    <t>tlOutputCh2Prod3GPaLpGPaLmar</t>
  </si>
  <si>
    <t>tlOutputCh2Prod1GPaLpGPaLmar</t>
  </si>
  <si>
    <t>tlOutputCh2Prod4GPaLpGPaLmar</t>
  </si>
  <si>
    <t>tlInputCh2ValDriv5</t>
  </si>
  <si>
    <t>tlInputCh2ValDrivCond</t>
  </si>
  <si>
    <t>tlInputCh2R1Report1</t>
  </si>
  <si>
    <t>tlInputCh2R1Report2</t>
  </si>
  <si>
    <t>tlInputCh2R2Report3</t>
  </si>
  <si>
    <t>tlInputCh2R2Report4</t>
  </si>
  <si>
    <t>tlInputCh2R3Report5</t>
  </si>
  <si>
    <t>tlInputCh2R3Report6</t>
  </si>
  <si>
    <t>tlInputCh3ValDriv5</t>
  </si>
  <si>
    <t>tlInputCh3ValDrivCond</t>
  </si>
  <si>
    <t>tlInputCh3R1Report1</t>
  </si>
  <si>
    <t>tlInputCh3R1Report2</t>
  </si>
  <si>
    <t>tlInputCh3R2Report3</t>
  </si>
  <si>
    <t>tlInputCh3R2Report4</t>
  </si>
  <si>
    <t>tlInputCh3R3Report5</t>
  </si>
  <si>
    <t>tlInputCh3R3Report6</t>
  </si>
  <si>
    <t>tlInputCh4ValDriv5</t>
  </si>
  <si>
    <t>tlInputCh4ValDrivCond</t>
  </si>
  <si>
    <t>tlInputCh4R1Report1</t>
  </si>
  <si>
    <t>tlInputCh4R1Report2</t>
  </si>
  <si>
    <t>tlInputCh4R2Report3</t>
  </si>
  <si>
    <t>tlInputCh4R2Report4</t>
  </si>
  <si>
    <t>tlInputCh4R3Report5</t>
  </si>
  <si>
    <t>tlInputCh4R3Report6</t>
  </si>
  <si>
    <t>tlInputCh2Prod1Forecast</t>
  </si>
  <si>
    <t>tlInputCh3Prod1Forecast</t>
  </si>
  <si>
    <t>tlInputCh4Prod1Forecast</t>
  </si>
  <si>
    <t>Intro Page</t>
  </si>
  <si>
    <t>tlOutputRound</t>
  </si>
  <si>
    <t>finCFNetIncome</t>
  </si>
  <si>
    <t>finCFDepreciation</t>
  </si>
  <si>
    <t>finCFCashOperatingActivities</t>
  </si>
  <si>
    <t>finCFChangeAR</t>
  </si>
  <si>
    <t>finCFChangeMat</t>
  </si>
  <si>
    <t>finCFChangeFG</t>
  </si>
  <si>
    <t>finCFChangeWIP</t>
  </si>
  <si>
    <t>finCFChangeAP</t>
  </si>
  <si>
    <t>finCFOtherCL</t>
  </si>
  <si>
    <t>finCFppeInvest</t>
  </si>
  <si>
    <t>Assortment - GPaL ROS vs WD</t>
  </si>
  <si>
    <t>Price Per Liter</t>
  </si>
  <si>
    <t>Assortement GPaL vs WD</t>
  </si>
  <si>
    <t>Labels</t>
  </si>
  <si>
    <t>Types</t>
  </si>
  <si>
    <t>Assortement Price/Volume</t>
  </si>
  <si>
    <t>All the same size</t>
  </si>
  <si>
    <t>Promotion Volume</t>
  </si>
  <si>
    <t>Price Per Litre</t>
  </si>
  <si>
    <t>Serie 1 Label</t>
  </si>
  <si>
    <t>Market Size Table</t>
  </si>
  <si>
    <t>% of Total Market Size</t>
  </si>
  <si>
    <t>Ch1Analytics 1</t>
  </si>
  <si>
    <t>tlOutputCh1Analytic1Chart1Heading</t>
  </si>
  <si>
    <t>tlOutputCh1Analytic1Chart2Heading</t>
  </si>
  <si>
    <t>tlOutputCh1Analytic1Chart1Type1</t>
  </si>
  <si>
    <t>tlOutputCh1Analytic1Chart2Type1</t>
  </si>
  <si>
    <t>tlOutputCh1Analytic1Chart1Type2</t>
  </si>
  <si>
    <t>tlOutputCh1Analytic1Chart2Type2</t>
  </si>
  <si>
    <t>tlOutputCh1Analytic1Chart1Type3</t>
  </si>
  <si>
    <t>tlOutputCh1Analytic1Chart2Type3</t>
  </si>
  <si>
    <t>tlOutputCh1Analytic1Chart1Type4</t>
  </si>
  <si>
    <t>tlOutputCh1Analytic1Chart2Type4</t>
  </si>
  <si>
    <t>tlOutputCh1Analytic1Chart1Label1</t>
  </si>
  <si>
    <t>tlOutputCh1Analytic1Chart2Label1</t>
  </si>
  <si>
    <t>tlOutputCh1Analytic1Chart1Label2</t>
  </si>
  <si>
    <t>tlOutputCh1Analytic1Chart2Label2</t>
  </si>
  <si>
    <t>tlOutputCh1Analytic1Chart1Label3</t>
  </si>
  <si>
    <t>tlOutputCh1Analytic1Chart2Label3</t>
  </si>
  <si>
    <t>tlOutputCh1Analytic1Chart1Label4</t>
  </si>
  <si>
    <t>tlOutputCh1Analytic1Chart2Label4</t>
  </si>
  <si>
    <t>tlOutputCh1Analytic1Chart1Label5</t>
  </si>
  <si>
    <t>tlOutputCh1Analytic1Chart2Label5</t>
  </si>
  <si>
    <t>tlOutputCh1Analytic1Chart1Label6</t>
  </si>
  <si>
    <t>tlOutputCh1Analytic1Chart2Label6</t>
  </si>
  <si>
    <t>tlOutputCh1Analytic1Chart1Label7</t>
  </si>
  <si>
    <t>tlOutputCh1Analytic1Chart2Label7</t>
  </si>
  <si>
    <t>tlOutputCh1Analytic1Chart1Label8</t>
  </si>
  <si>
    <t>tlOutputCh1Analytic1Chart2Label8</t>
  </si>
  <si>
    <t>tlOutputCh1Analytic1Chart1Label9</t>
  </si>
  <si>
    <t>tlOutputCh1Analytic1Chart2Label9</t>
  </si>
  <si>
    <t>tlOutputCh1Analytic1Chart1Label10</t>
  </si>
  <si>
    <t>tlOutputCh1Analytic1Chart2Label10</t>
  </si>
  <si>
    <t>tlOutputCh1Analytic1Chart1Label11</t>
  </si>
  <si>
    <t>tlOutputCh1Analytic1Chart2Label11</t>
  </si>
  <si>
    <t>tlOutputCh1Analytic1Chart1Label12</t>
  </si>
  <si>
    <t>tlOutputCh1Analytic1Chart2Label12</t>
  </si>
  <si>
    <t>tlOutputCh1Analytic1Chart1XaxisTitle</t>
  </si>
  <si>
    <t>tlOutputCh1Analytic1Chart2XaxisTitle</t>
  </si>
  <si>
    <t>tlOutputCh1Analytic1Chart1XValue1</t>
  </si>
  <si>
    <t>tlOutputCh1Analytic1Chart2XValue1</t>
  </si>
  <si>
    <t>tlOutputCh1Analytic1Chart1XValue2</t>
  </si>
  <si>
    <t>tlOutputCh1Analytic1Chart2XValue2</t>
  </si>
  <si>
    <t>tlOutputCh1Analytic1Chart1XValue3</t>
  </si>
  <si>
    <t>tlOutputCh1Analytic1Chart2XValue3</t>
  </si>
  <si>
    <t>tlOutputCh1Analytic1Chart1XValue4</t>
  </si>
  <si>
    <t>tlOutputCh1Analytic1Chart2XValue4</t>
  </si>
  <si>
    <t>tlOutputCh1Analytic1Chart1XValue5</t>
  </si>
  <si>
    <t>tlOutputCh1Analytic1Chart2XValue5</t>
  </si>
  <si>
    <t>tlOutputCh1Analytic1Chart1XValue6</t>
  </si>
  <si>
    <t>tlOutputCh1Analytic1Chart2XValue6</t>
  </si>
  <si>
    <t>tlOutputCh1Analytic1Chart1XValue7</t>
  </si>
  <si>
    <t>tlOutputCh1Analytic1Chart2XValue7</t>
  </si>
  <si>
    <t>tlOutputCh1Analytic1Chart1XValue8</t>
  </si>
  <si>
    <t>tlOutputCh1Analytic1Chart2XValue8</t>
  </si>
  <si>
    <t>tlOutputCh1Analytic1Chart1XValue9</t>
  </si>
  <si>
    <t>tlOutputCh1Analytic1Chart2XValue9</t>
  </si>
  <si>
    <t>tlOutputCh1Analytic1Chart1XValue10</t>
  </si>
  <si>
    <t>tlOutputCh1Analytic1Chart2XValue10</t>
  </si>
  <si>
    <t>tlOutputCh1Analytic1Chart1XValue11</t>
  </si>
  <si>
    <t>tlOutputCh1Analytic1Chart2XValue11</t>
  </si>
  <si>
    <t>tlOutputCh1Analytic1Chart1XValue12</t>
  </si>
  <si>
    <t>tlOutputCh1Analytic1Chart2XValue12</t>
  </si>
  <si>
    <t>tlOutputCh1Analytic1Chart1YaxisTitle</t>
  </si>
  <si>
    <t>tlOutputCh1Analytic1Chart2YaxisTitle</t>
  </si>
  <si>
    <t>tlOutputCh1Analytic1Chart1YValue1</t>
  </si>
  <si>
    <t>tlOutputCh1Analytic1Chart2YValue1</t>
  </si>
  <si>
    <t>tlOutputCh1Analytic1Chart1YValue2</t>
  </si>
  <si>
    <t>tlOutputCh1Analytic1Chart2YValue2</t>
  </si>
  <si>
    <t>tlOutputCh1Analytic1Chart1YValue3</t>
  </si>
  <si>
    <t>tlOutputCh1Analytic1Chart2YValue3</t>
  </si>
  <si>
    <t>tlOutputCh1Analytic1Chart1YValue4</t>
  </si>
  <si>
    <t>tlOutputCh1Analytic1Chart2YValue4</t>
  </si>
  <si>
    <t>tlOutputCh1Analytic1Chart1YValue5</t>
  </si>
  <si>
    <t>tlOutputCh1Analytic1Chart2YValue5</t>
  </si>
  <si>
    <t>tlOutputCh1Analytic1Chart1YValue6</t>
  </si>
  <si>
    <t>tlOutputCh1Analytic1Chart2YValue6</t>
  </si>
  <si>
    <t>tlOutputCh1Analytic1Chart1YValue7</t>
  </si>
  <si>
    <t>tlOutputCh1Analytic1Chart2YValue7</t>
  </si>
  <si>
    <t>tlOutputCh1Analytic1Chart1YValue8</t>
  </si>
  <si>
    <t>tlOutputCh1Analytic1Chart2YValue8</t>
  </si>
  <si>
    <t>tlOutputCh1Analytic1Chart1YValue9</t>
  </si>
  <si>
    <t>tlOutputCh1Analytic1Chart2YValue9</t>
  </si>
  <si>
    <t>tlOutputCh1Analytic1Chart1YValue10</t>
  </si>
  <si>
    <t>tlOutputCh1Analytic1Chart2YValue10</t>
  </si>
  <si>
    <t>tlOutputCh1Analytic1Chart1YValue11</t>
  </si>
  <si>
    <t>tlOutputCh1Analytic1Chart2YValue11</t>
  </si>
  <si>
    <t>tlOutputCh1Analytic1Chart1YValue12</t>
  </si>
  <si>
    <t>tlOutputCh1Analytic1Chart2YValue12</t>
  </si>
  <si>
    <t>tlOutputCh1Analytic1Chart1BubbleSize1</t>
  </si>
  <si>
    <t>tlOutputCh1Analytic1Chart2BubbleSize1</t>
  </si>
  <si>
    <t>tlOutputCh1Analytic1Chart1BubbleSize2</t>
  </si>
  <si>
    <t>tlOutputCh1Analytic1Chart2BubbleSize2</t>
  </si>
  <si>
    <t>tlOutputCh1Analytic1Chart1BubbleSize3</t>
  </si>
  <si>
    <t>tlOutputCh1Analytic1Chart2BubbleSize3</t>
  </si>
  <si>
    <t>tlOutputCh1Analytic1Chart1BubbleSize4</t>
  </si>
  <si>
    <t>tlOutputCh1Analytic1Chart2BubbleSize4</t>
  </si>
  <si>
    <t>tlOutputCh1Analytic1Chart1BubbleSize5</t>
  </si>
  <si>
    <t>tlOutputCh1Analytic1Chart2BubbleSize5</t>
  </si>
  <si>
    <t>tlOutputCh1Analytic1Chart1BubbleSize6</t>
  </si>
  <si>
    <t>tlOutputCh1Analytic1Chart2BubbleSize6</t>
  </si>
  <si>
    <t>tlOutputCh1Analytic1Chart1BubbleSize7</t>
  </si>
  <si>
    <t>tlOutputCh1Analytic1Chart2BubbleSize7</t>
  </si>
  <si>
    <t>tlOutputCh1Analytic1Chart1BubbleSize8</t>
  </si>
  <si>
    <t>tlOutputCh1Analytic1Chart2BubbleSize8</t>
  </si>
  <si>
    <t>tlOutputCh1Analytic1Chart1BubbleSize9</t>
  </si>
  <si>
    <t>tlOutputCh1Analytic1Chart2BubbleSize9</t>
  </si>
  <si>
    <t>tlOutputCh1Analytic1Chart1BubbleSize10</t>
  </si>
  <si>
    <t>tlOutputCh1Analytic1Chart2BubbleSize10</t>
  </si>
  <si>
    <t>tlOutputCh1Analytic1Chart1BubbleSize11</t>
  </si>
  <si>
    <t>tlOutputCh1Analytic1Chart2BubbleSize11</t>
  </si>
  <si>
    <t>tlOutputCh1Analytic1Chart1BubbleSize12</t>
  </si>
  <si>
    <t>tlOutputCh1Analytic1Chart2BubbleSize12</t>
  </si>
  <si>
    <t>Ch1Analytics 2</t>
  </si>
  <si>
    <t>tlOutputCh1Analytic2Chart1Heading</t>
  </si>
  <si>
    <t>tlOutputCh1Analytic2Chart2Heading</t>
  </si>
  <si>
    <t>tlOutputCh1Analytic2Chart3Heading</t>
  </si>
  <si>
    <t>tlOutputCh1Analytic2Chart4Heading</t>
  </si>
  <si>
    <t>tlOutputCh1Analytic2Chart1Serie1Label1</t>
  </si>
  <si>
    <t>tlOutputCh1Analytic2Chart2Serie1Title</t>
  </si>
  <si>
    <t>tlOutputCh1Analytic2Chart3Type1</t>
  </si>
  <si>
    <t>tlOutputCh1Analytic2Chart4Type1</t>
  </si>
  <si>
    <t>tlOutputCh1Analytic2Chart1Serie1Point1</t>
  </si>
  <si>
    <t>tlOutputCh1Analytic2Chart2Serie2Title</t>
  </si>
  <si>
    <t>tlOutputCh1Analytic2Chart3Type2</t>
  </si>
  <si>
    <t>tlOutputCh1Analytic2Chart4Type2</t>
  </si>
  <si>
    <t>tlOutputCh1Analytic2Chart1Serie1Point2</t>
  </si>
  <si>
    <t>tlOutputCh1Analytic2Chart3Type3</t>
  </si>
  <si>
    <t>tlOutputCh1Analytic2Chart4Type3</t>
  </si>
  <si>
    <t>tlOutputCh1Analytic2Chart1Serie1Point3</t>
  </si>
  <si>
    <t>tlOutputCh1Analytic2Chart2Label1</t>
  </si>
  <si>
    <t>tlOutputCh1Analytic2Chart3Type4</t>
  </si>
  <si>
    <t>tlOutputCh1Analytic2Chart4Type4</t>
  </si>
  <si>
    <t>tlOutputCh1Analytic2Chart1Serie2Label1</t>
  </si>
  <si>
    <t>tlOutputCh1Analytic2Chart2Label2</t>
  </si>
  <si>
    <t>tlOutputCh1Analytic2Chart1Serie2Point1</t>
  </si>
  <si>
    <t>tlOutputCh1Analytic2Chart2Label3</t>
  </si>
  <si>
    <t>tlOutputCh1Analytic2Chart3Label1</t>
  </si>
  <si>
    <t>tlOutputCh1Analytic2Chart4Label1</t>
  </si>
  <si>
    <t>tlOutputCh1Analytic2Chart1Serie2Point2</t>
  </si>
  <si>
    <t>tlOutputCh1Analytic2Chart2Label4</t>
  </si>
  <si>
    <t>tlOutputCh1Analytic2Chart3Label2</t>
  </si>
  <si>
    <t>tlOutputCh1Analytic2Chart4Label2</t>
  </si>
  <si>
    <t>tlOutputCh1Analytic2Chart1Serie2Point3</t>
  </si>
  <si>
    <t>tlOutputCh1Analytic2Chart2Label5</t>
  </si>
  <si>
    <t>tlOutputCh1Analytic2Chart3Label3</t>
  </si>
  <si>
    <t>tlOutputCh1Analytic2Chart4Label3</t>
  </si>
  <si>
    <t>tlOutputCh1Analytic2Chart1Serie3Label1</t>
  </si>
  <si>
    <t>tlOutputCh1Analytic2Chart2Label6</t>
  </si>
  <si>
    <t>tlOutputCh1Analytic2Chart3Label4</t>
  </si>
  <si>
    <t>tlOutputCh1Analytic2Chart4Label4</t>
  </si>
  <si>
    <t>tlOutputCh1Analytic2Chart1Serie3Point1</t>
  </si>
  <si>
    <t>tlOutputCh1Analytic2Chart2Label7</t>
  </si>
  <si>
    <t>tlOutputCh1Analytic2Chart3Label5</t>
  </si>
  <si>
    <t>tlOutputCh1Analytic2Chart4Label5</t>
  </si>
  <si>
    <t>tlOutputCh1Analytic2Chart1Serie3Point2</t>
  </si>
  <si>
    <t>tlOutputCh1Analytic2Chart2Label8</t>
  </si>
  <si>
    <t>tlOutputCh1Analytic2Chart3Label6</t>
  </si>
  <si>
    <t>tlOutputCh1Analytic2Chart4Label6</t>
  </si>
  <si>
    <t>tlOutputCh1Analytic2Chart1Serie3Point3</t>
  </si>
  <si>
    <t>tlOutputCh1Analytic2Chart2Label9</t>
  </si>
  <si>
    <t>tlOutputCh1Analytic2Chart3Label7</t>
  </si>
  <si>
    <t>tlOutputCh1Analytic2Chart4Label7</t>
  </si>
  <si>
    <t>tlOutputCh1Analytic2Chart1Serie4Label1</t>
  </si>
  <si>
    <t>tlOutputCh1Analytic2Chart2Label10</t>
  </si>
  <si>
    <t>tlOutputCh1Analytic2Chart3Label8</t>
  </si>
  <si>
    <t>tlOutputCh1Analytic2Chart4Label8</t>
  </si>
  <si>
    <t>tlOutputCh1Analytic2Chart1Serie4Point1</t>
  </si>
  <si>
    <t>tlOutputCh1Analytic2Chart2Label11</t>
  </si>
  <si>
    <t>tlOutputCh1Analytic2Chart3Label9</t>
  </si>
  <si>
    <t>tlOutputCh1Analytic2Chart4Label9</t>
  </si>
  <si>
    <t>tlOutputCh1Analytic2Chart1Serie4Point2</t>
  </si>
  <si>
    <t>tlOutputCh1Analytic2Chart2Label12</t>
  </si>
  <si>
    <t>tlOutputCh1Analytic2Chart3Label10</t>
  </si>
  <si>
    <t>tlOutputCh1Analytic2Chart4Label10</t>
  </si>
  <si>
    <t>tlOutputCh1Analytic2Chart1Serie4Point3</t>
  </si>
  <si>
    <t>tlOutputCh1Analytic2Chart3Label11</t>
  </si>
  <si>
    <t>tlOutputCh1Analytic2Chart4Label11</t>
  </si>
  <si>
    <t>tlOutputCh1Analytic2Chart1Serie5Label1</t>
  </si>
  <si>
    <t>tlOutputCh1Analytic2Chart2Serie1Item1</t>
  </si>
  <si>
    <t>tlOutputCh1Analytic2Chart3Label12</t>
  </si>
  <si>
    <t>tlOutputCh1Analytic2Chart4Label12</t>
  </si>
  <si>
    <t>tlOutputCh1Analytic2Chart1Serie5Point1</t>
  </si>
  <si>
    <t>tlOutputCh1Analytic2Chart2Serie1Item2</t>
  </si>
  <si>
    <t>tlOutputCh1Analytic2Chart1Serie5Point2</t>
  </si>
  <si>
    <t>tlOutputCh1Analytic2Chart2Serie1Item3</t>
  </si>
  <si>
    <t>tlOutputCh1Analytic2Chart1Serie5Point3</t>
  </si>
  <si>
    <t>tlOutputCh1Analytic2Chart2Serie1Item4</t>
  </si>
  <si>
    <t>tlOutputCh1Analytic2Chart3XaxisTitle</t>
  </si>
  <si>
    <t>tlOutputCh1Analytic2Chart4XaxisTitle</t>
  </si>
  <si>
    <t>tlOutputCh1Analytic2Chart1Serie6Label1</t>
  </si>
  <si>
    <t>tlOutputCh1Analytic2Chart2Serie1Item5</t>
  </si>
  <si>
    <t>tlOutputCh1Analytic2Chart3XValue1</t>
  </si>
  <si>
    <t>tlOutputCh1Analytic2Chart4XValue1</t>
  </si>
  <si>
    <t>tlOutputCh1Analytic2Chart1Serie6Point1</t>
  </si>
  <si>
    <t>tlOutputCh1Analytic2Chart2Serie1Item6</t>
  </si>
  <si>
    <t>tlOutputCh1Analytic2Chart3XValue2</t>
  </si>
  <si>
    <t>tlOutputCh1Analytic2Chart4XValue2</t>
  </si>
  <si>
    <t>tlOutputCh1Analytic2Chart1Serie6Point2</t>
  </si>
  <si>
    <t>tlOutputCh1Analytic2Chart2Serie1Item7</t>
  </si>
  <si>
    <t>tlOutputCh1Analytic2Chart3XValue3</t>
  </si>
  <si>
    <t>tlOutputCh1Analytic2Chart4XValue3</t>
  </si>
  <si>
    <t>tlOutputCh1Analytic2Chart1Serie6Point3</t>
  </si>
  <si>
    <t>tlOutputCh1Analytic2Chart2Serie1Item8</t>
  </si>
  <si>
    <t>tlOutputCh1Analytic2Chart3XValue4</t>
  </si>
  <si>
    <t>tlOutputCh1Analytic2Chart4XValue4</t>
  </si>
  <si>
    <t>tlOutputCh1Analytic2Chart1Serie7Label1</t>
  </si>
  <si>
    <t>tlOutputCh1Analytic2Chart2Serie1Item9</t>
  </si>
  <si>
    <t>tlOutputCh1Analytic2Chart3XValue5</t>
  </si>
  <si>
    <t>tlOutputCh1Analytic2Chart4XValue5</t>
  </si>
  <si>
    <t>tlOutputCh1Analytic2Chart1Serie7Point1</t>
  </si>
  <si>
    <t>tlOutputCh1Analytic2Chart2Serie1Item10</t>
  </si>
  <si>
    <t>tlOutputCh1Analytic2Chart3XValue6</t>
  </si>
  <si>
    <t>tlOutputCh1Analytic2Chart4XValue6</t>
  </si>
  <si>
    <t>tlOutputCh1Analytic2Chart1Serie7Point2</t>
  </si>
  <si>
    <t>tlOutputCh1Analytic2Chart2Serie1Item11</t>
  </si>
  <si>
    <t>tlOutputCh1Analytic2Chart3XValue7</t>
  </si>
  <si>
    <t>tlOutputCh1Analytic2Chart4XValue7</t>
  </si>
  <si>
    <t>tlOutputCh1Analytic2Chart1Serie7Point3</t>
  </si>
  <si>
    <t>tlOutputCh1Analytic2Chart2Serie1Item12</t>
  </si>
  <si>
    <t>tlOutputCh1Analytic2Chart3XValue8</t>
  </si>
  <si>
    <t>tlOutputCh1Analytic2Chart4XValue8</t>
  </si>
  <si>
    <t>tlOutputCh1Analytic2Chart1Serie8Label1</t>
  </si>
  <si>
    <t>tlOutputCh1Analytic2Chart3XValue9</t>
  </si>
  <si>
    <t>tlOutputCh1Analytic2Chart4XValue9</t>
  </si>
  <si>
    <t>tlOutputCh1Analytic2Chart1Serie8Point1</t>
  </si>
  <si>
    <t>tlOutputCh1Analytic2Chart2Serie2Item1</t>
  </si>
  <si>
    <t>tlOutputCh1Analytic2Chart3XValue10</t>
  </si>
  <si>
    <t>tlOutputCh1Analytic2Chart4XValue10</t>
  </si>
  <si>
    <t>tlOutputCh1Analytic2Chart1Serie8Point2</t>
  </si>
  <si>
    <t>tlOutputCh1Analytic2Chart2Serie2Item2</t>
  </si>
  <si>
    <t>tlOutputCh1Analytic2Chart3XValue11</t>
  </si>
  <si>
    <t>tlOutputCh1Analytic2Chart4XValue11</t>
  </si>
  <si>
    <t>tlOutputCh1Analytic2Chart1Serie8Point3</t>
  </si>
  <si>
    <t>tlOutputCh1Analytic2Chart2Serie2Item3</t>
  </si>
  <si>
    <t>tlOutputCh1Analytic2Chart3XValue12</t>
  </si>
  <si>
    <t>tlOutputCh1Analytic2Chart4XValue12</t>
  </si>
  <si>
    <t>tlOutputCh1Analytic2Chart1Serie9Label1</t>
  </si>
  <si>
    <t>tlOutputCh1Analytic2Chart2Serie2Item4</t>
  </si>
  <si>
    <t>tlOutputCh1Analytic2Chart1Serie9Point1</t>
  </si>
  <si>
    <t>tlOutputCh1Analytic2Chart2Serie2Item5</t>
  </si>
  <si>
    <t>tlOutputCh1Analytic2Chart1Serie9Point2</t>
  </si>
  <si>
    <t>tlOutputCh1Analytic2Chart2Serie2Item6</t>
  </si>
  <si>
    <t>tlOutputCh1Analytic2Chart3YaxisTitle</t>
  </si>
  <si>
    <t>tlOutputCh1Analytic2Chart4YaxisTitle</t>
  </si>
  <si>
    <t>tlOutputCh1Analytic2Chart1Serie9Point3</t>
  </si>
  <si>
    <t>tlOutputCh1Analytic2Chart2Serie2Item7</t>
  </si>
  <si>
    <t>tlOutputCh1Analytic2Chart3YValue1</t>
  </si>
  <si>
    <t>tlOutputCh1Analytic2Chart4YValue1</t>
  </si>
  <si>
    <t>tlOutputCh1Analytic2Chart1Serie10Label1</t>
  </si>
  <si>
    <t>tlOutputCh1Analytic2Chart2Serie2Item8</t>
  </si>
  <si>
    <t>tlOutputCh1Analytic2Chart3YValue2</t>
  </si>
  <si>
    <t>tlOutputCh1Analytic2Chart4YValue2</t>
  </si>
  <si>
    <t>tlOutputCh1Analytic2Chart1Serie10Point1</t>
  </si>
  <si>
    <t>tlOutputCh1Analytic2Chart2Serie2Item9</t>
  </si>
  <si>
    <t>tlOutputCh1Analytic2Chart3YValue3</t>
  </si>
  <si>
    <t>tlOutputCh1Analytic2Chart4YValue3</t>
  </si>
  <si>
    <t>tlOutputCh1Analytic2Chart1Serie10Point2</t>
  </si>
  <si>
    <t>tlOutputCh1Analytic2Chart2Serie2Item10</t>
  </si>
  <si>
    <t>tlOutputCh1Analytic2Chart3YValue4</t>
  </si>
  <si>
    <t>tlOutputCh1Analytic2Chart4YValue4</t>
  </si>
  <si>
    <t>tlOutputCh1Analytic2Chart1Serie10Point3</t>
  </si>
  <si>
    <t>tlOutputCh1Analytic2Chart2Serie2Item11</t>
  </si>
  <si>
    <t>tlOutputCh1Analytic2Chart3YValue5</t>
  </si>
  <si>
    <t>tlOutputCh1Analytic2Chart4YValue5</t>
  </si>
  <si>
    <t>tlOutputCh1Analytic2Chart1Serie11Label1</t>
  </si>
  <si>
    <t>tlOutputCh1Analytic2Chart2Serie2Item12</t>
  </si>
  <si>
    <t>tlOutputCh1Analytic2Chart3YValue6</t>
  </si>
  <si>
    <t>tlOutputCh1Analytic2Chart4YValue6</t>
  </si>
  <si>
    <t>tlOutputCh1Analytic2Chart1Serie11Point1</t>
  </si>
  <si>
    <t>tlOutputCh1Analytic2Chart3YValue7</t>
  </si>
  <si>
    <t>tlOutputCh1Analytic2Chart4YValue7</t>
  </si>
  <si>
    <t>tlOutputCh1Analytic2Chart1Serie11Point2</t>
  </si>
  <si>
    <t>tlOutputCh1Analytic2Chart3YValue8</t>
  </si>
  <si>
    <t>tlOutputCh1Analytic2Chart4YValue8</t>
  </si>
  <si>
    <t>tlOutputCh1Analytic2Chart1Serie11Point3</t>
  </si>
  <si>
    <t>tlOutputCh1Analytic2Chart3YValue9</t>
  </si>
  <si>
    <t>tlOutputCh1Analytic2Chart4YValue9</t>
  </si>
  <si>
    <t>tlOutputCh1Analytic2Chart1Serie12Label1</t>
  </si>
  <si>
    <t>tlOutputCh1Analytic2Chart3YValue10</t>
  </si>
  <si>
    <t>tlOutputCh1Analytic2Chart4YValue10</t>
  </si>
  <si>
    <t>tlOutputCh1Analytic2Chart1Serie12Point1</t>
  </si>
  <si>
    <t>tlOutputCh1Analytic2Chart3YValue11</t>
  </si>
  <si>
    <t>tlOutputCh1Analytic2Chart4YValue11</t>
  </si>
  <si>
    <t>tlOutputCh1Analytic2Chart1Serie12Point2</t>
  </si>
  <si>
    <t>tlOutputCh1Analytic2Chart3YValue12</t>
  </si>
  <si>
    <t>tlOutputCh1Analytic2Chart4YValue12</t>
  </si>
  <si>
    <t>tlOutputCh1Analytic2Chart1Serie12Point3</t>
  </si>
  <si>
    <t>tlOutputCh1Analytic2Chart3BubbleSize1</t>
  </si>
  <si>
    <t>tlOutputCh1Analytic2Chart4BubbleSize1</t>
  </si>
  <si>
    <t>tlOutputCh1Analytic2Chart3BubbleSize2</t>
  </si>
  <si>
    <t>tlOutputCh1Analytic2Chart4BubbleSize2</t>
  </si>
  <si>
    <t>tlOutputCh1Analytic2Chart3BubbleSize3</t>
  </si>
  <si>
    <t>tlOutputCh1Analytic2Chart4BubbleSize3</t>
  </si>
  <si>
    <t>tlOutputCh1Analytic2Chart3BubbleSize4</t>
  </si>
  <si>
    <t>tlOutputCh1Analytic2Chart4BubbleSize4</t>
  </si>
  <si>
    <t>tlOutputCh1Analytic2Chart3BubbleSize5</t>
  </si>
  <si>
    <t>tlOutputCh1Analytic2Chart4BubbleSize5</t>
  </si>
  <si>
    <t>tlOutputCh1Analytic2Chart3BubbleSize6</t>
  </si>
  <si>
    <t>tlOutputCh1Analytic2Chart4BubbleSize6</t>
  </si>
  <si>
    <t>tlOutputCh1Analytic2Chart3BubbleSize7</t>
  </si>
  <si>
    <t>tlOutputCh1Analytic2Chart4BubbleSize7</t>
  </si>
  <si>
    <t>tlOutputCh1Analytic2Chart3BubbleSize8</t>
  </si>
  <si>
    <t>tlOutputCh1Analytic2Chart4BubbleSize8</t>
  </si>
  <si>
    <t>tlOutputCh1Analytic2Chart3BubbleSize9</t>
  </si>
  <si>
    <t>tlOutputCh1Analytic2Chart4BubbleSize9</t>
  </si>
  <si>
    <t>tlOutputCh1Analytic2Chart3BubbleSize10</t>
  </si>
  <si>
    <t>tlOutputCh1Analytic2Chart4BubbleSize10</t>
  </si>
  <si>
    <t>tlOutputCh1Analytic2Chart3BubbleSize11</t>
  </si>
  <si>
    <t>tlOutputCh1Analytic2Chart4BubbleSize11</t>
  </si>
  <si>
    <t>tlOutputCh1Analytic2Chart3BubbleSize12</t>
  </si>
  <si>
    <t>tlOutputCh1Analytic2Chart4BubbleSize12</t>
  </si>
  <si>
    <t>tlOutputCh1Analytic1Table1Col1Row1</t>
  </si>
  <si>
    <t>tlOutputCh1Analytic1Table1Col1Row2</t>
  </si>
  <si>
    <t>tlOutputCh1Analytic1Table1Col1Row3</t>
  </si>
  <si>
    <t>tlOutputCh1Analytic1Table1Col1Row4</t>
  </si>
  <si>
    <t>tlOutputCh1Analytic1Table1Col1Row5</t>
  </si>
  <si>
    <t>tlOutputCh1Analytic1Table1Col1Row6</t>
  </si>
  <si>
    <t>tlOutputCh1Analytic1Table1Col1Row7</t>
  </si>
  <si>
    <t>tlOutputCh1Analytic1Table1Col1Row8</t>
  </si>
  <si>
    <t>tlOutputCh1Analytic1Table1Col8Row1</t>
  </si>
  <si>
    <t>tlOutputCh1Analytic1Table1Col8Row2</t>
  </si>
  <si>
    <t>tlOutputCh1Analytic1Table1Col8Row3</t>
  </si>
  <si>
    <t>tlOutputCh1Analytic1Table1Col8Row4</t>
  </si>
  <si>
    <t>tlOutputCh1Analytic1Table1Col8Row5</t>
  </si>
  <si>
    <t>tlOutputCh1Analytic1Table1Col8Row6</t>
  </si>
  <si>
    <t>tlOutputCh1Analytic1Table1Col8Row7</t>
  </si>
  <si>
    <t>tlOutputCh1Analytic1Table1Col8Row8</t>
  </si>
  <si>
    <t>tlOutputCh1Analytic1Table1Col7Row1</t>
  </si>
  <si>
    <t>tlOutputCh1Analytic1Table1Col7Row2</t>
  </si>
  <si>
    <t>tlOutputCh1Analytic1Table1Col7Row3</t>
  </si>
  <si>
    <t>tlOutputCh1Analytic1Table1Col7Row4</t>
  </si>
  <si>
    <t>tlOutputCh1Analytic1Table1Col7Row5</t>
  </si>
  <si>
    <t>tlOutputCh1Analytic1Table1Col7Row6</t>
  </si>
  <si>
    <t>tlOutputCh1Analytic1Table1Col7Row7</t>
  </si>
  <si>
    <t>tlOutputCh1Analytic1Table1Col7Row8</t>
  </si>
  <si>
    <t>tlOutputCh1Analytic1Table1Col6Row1</t>
  </si>
  <si>
    <t>tlOutputCh1Analytic1Table1Col6Row2</t>
  </si>
  <si>
    <t>tlOutputCh1Analytic1Table1Col6Row3</t>
  </si>
  <si>
    <t>tlOutputCh1Analytic1Table1Col6Row4</t>
  </si>
  <si>
    <t>tlOutputCh1Analytic1Table1Col6Row5</t>
  </si>
  <si>
    <t>tlOutputCh1Analytic1Table1Col6Row6</t>
  </si>
  <si>
    <t>tlOutputCh1Analytic1Table1Col6Row7</t>
  </si>
  <si>
    <t>tlOutputCh1Analytic1Table1Col6Row8</t>
  </si>
  <si>
    <t>tlOutputCh1Analytic1Table1Col5Row1</t>
  </si>
  <si>
    <t>tlOutputCh1Analytic1Table1Col5Row2</t>
  </si>
  <si>
    <t>tlOutputCh1Analytic1Table1Col5Row3</t>
  </si>
  <si>
    <t>tlOutputCh1Analytic1Table1Col5Row4</t>
  </si>
  <si>
    <t>tlOutputCh1Analytic1Table1Col5Row5</t>
  </si>
  <si>
    <t>tlOutputCh1Analytic1Table1Col5Row6</t>
  </si>
  <si>
    <t>tlOutputCh1Analytic1Table1Col5Row7</t>
  </si>
  <si>
    <t>tlOutputCh1Analytic1Table1Col5Row8</t>
  </si>
  <si>
    <t>tlOutputCh1Analytic1Table1Col4Row1</t>
  </si>
  <si>
    <t>tlOutputCh1Analytic1Table1Col4Row2</t>
  </si>
  <si>
    <t>tlOutputCh1Analytic1Table1Col4Row3</t>
  </si>
  <si>
    <t>tlOutputCh1Analytic1Table1Col4Row4</t>
  </si>
  <si>
    <t>tlOutputCh1Analytic1Table1Col4Row5</t>
  </si>
  <si>
    <t>tlOutputCh1Analytic1Table1Col4Row6</t>
  </si>
  <si>
    <t>tlOutputCh1Analytic1Table1Col4Row7</t>
  </si>
  <si>
    <t>tlOutputCh1Analytic1Table1Col4Row8</t>
  </si>
  <si>
    <t>tlOutputCh1Analytic1Table1Col3Row1</t>
  </si>
  <si>
    <t>tlOutputCh1Analytic1Table1Col3Row2</t>
  </si>
  <si>
    <t>tlOutputCh1Analytic1Table1Col3Row3</t>
  </si>
  <si>
    <t>tlOutputCh1Analytic1Table1Col3Row4</t>
  </si>
  <si>
    <t>tlOutputCh1Analytic1Table1Col3Row5</t>
  </si>
  <si>
    <t>tlOutputCh1Analytic1Table1Col3Row6</t>
  </si>
  <si>
    <t>tlOutputCh1Analytic1Table1Col3Row7</t>
  </si>
  <si>
    <t>tlOutputCh1Analytic1Table1Col3Row8</t>
  </si>
  <si>
    <t>tlOutputCh1Analytic1Table1Col2Row1</t>
  </si>
  <si>
    <t>tlOutputCh1Analytic1Table1Col2Row2</t>
  </si>
  <si>
    <t>tlOutputCh1Analytic1Table1Col2Row3</t>
  </si>
  <si>
    <t>tlOutputCh1Analytic1Table1Col2Row4</t>
  </si>
  <si>
    <t>tlOutputCh1Analytic1Table1Col2Row5</t>
  </si>
  <si>
    <t>tlOutputCh1Analytic1Table1Col2Row6</t>
  </si>
  <si>
    <t>tlOutputCh1Analytic1Table1Col2Row7</t>
  </si>
  <si>
    <t>tlOutputCh1Analytic1Table1Col2Row8</t>
  </si>
  <si>
    <t>Ch2Analytics 1</t>
  </si>
  <si>
    <t>tlOutputCh2Analytic1Chart1Heading</t>
  </si>
  <si>
    <t>tlOutputCh2Analytic1Chart2Heading</t>
  </si>
  <si>
    <t>tlOutputCh2Analytic1Chart1Type1</t>
  </si>
  <si>
    <t>tlOutputCh2Analytic1Chart2Type1</t>
  </si>
  <si>
    <t>tlOutputCh2Analytic1Chart1Type2</t>
  </si>
  <si>
    <t>tlOutputCh2Analytic1Chart2Type2</t>
  </si>
  <si>
    <t>tlOutputCh2Analytic1Table1Col1Row1</t>
  </si>
  <si>
    <t>tlOutputCh2Analytic1Chart1Type3</t>
  </si>
  <si>
    <t>tlOutputCh2Analytic1Chart2Type3</t>
  </si>
  <si>
    <t>tlOutputCh2Analytic1Table1Col1Row2</t>
  </si>
  <si>
    <t>tlOutputCh2Analytic1Chart1Type4</t>
  </si>
  <si>
    <t>tlOutputCh2Analytic1Chart2Type4</t>
  </si>
  <si>
    <t>tlOutputCh2Analytic1Table1Col1Row3</t>
  </si>
  <si>
    <t>tlOutputCh2Analytic1Table1Col1Row4</t>
  </si>
  <si>
    <t>tlOutputCh2Analytic1Chart1Label1</t>
  </si>
  <si>
    <t>tlOutputCh2Analytic1Chart2Label1</t>
  </si>
  <si>
    <t>tlOutputCh2Analytic1Table1Col1Row5</t>
  </si>
  <si>
    <t>tlOutputCh2Analytic1Chart1Label2</t>
  </si>
  <si>
    <t>tlOutputCh2Analytic1Chart2Label2</t>
  </si>
  <si>
    <t>tlOutputCh2Analytic1Table1Col1Row6</t>
  </si>
  <si>
    <t>tlOutputCh2Analytic1Chart1Label3</t>
  </si>
  <si>
    <t>tlOutputCh2Analytic1Chart2Label3</t>
  </si>
  <si>
    <t>tlOutputCh2Analytic1Table1Col1Row7</t>
  </si>
  <si>
    <t>tlOutputCh2Analytic1Chart1Label4</t>
  </si>
  <si>
    <t>tlOutputCh2Analytic1Chart2Label4</t>
  </si>
  <si>
    <t>tlOutputCh2Analytic1Table1Col1Row8</t>
  </si>
  <si>
    <t>tlOutputCh2Analytic1Chart1Label5</t>
  </si>
  <si>
    <t>tlOutputCh2Analytic1Chart2Label5</t>
  </si>
  <si>
    <t>tlOutputCh2Analytic1Chart1Label6</t>
  </si>
  <si>
    <t>tlOutputCh2Analytic1Chart2Label6</t>
  </si>
  <si>
    <t>tlOutputCh2Analytic1Chart1Label7</t>
  </si>
  <si>
    <t>tlOutputCh2Analytic1Chart2Label7</t>
  </si>
  <si>
    <t>tlOutputCh2Analytic1Table1Col2Row1</t>
  </si>
  <si>
    <t>tlOutputCh2Analytic1Chart1Label8</t>
  </si>
  <si>
    <t>tlOutputCh2Analytic1Chart2Label8</t>
  </si>
  <si>
    <t>tlOutputCh2Analytic1Table1Col2Row2</t>
  </si>
  <si>
    <t>tlOutputCh2Analytic1Chart1Label9</t>
  </si>
  <si>
    <t>tlOutputCh2Analytic1Chart2Label9</t>
  </si>
  <si>
    <t>tlOutputCh2Analytic1Table1Col2Row3</t>
  </si>
  <si>
    <t>tlOutputCh2Analytic1Chart1Label10</t>
  </si>
  <si>
    <t>tlOutputCh2Analytic1Chart2Label10</t>
  </si>
  <si>
    <t>tlOutputCh2Analytic1Table1Col2Row4</t>
  </si>
  <si>
    <t>tlOutputCh2Analytic1Chart1Label11</t>
  </si>
  <si>
    <t>tlOutputCh2Analytic1Chart2Label11</t>
  </si>
  <si>
    <t>tlOutputCh2Analytic1Table1Col2Row5</t>
  </si>
  <si>
    <t>tlOutputCh2Analytic1Chart1Label12</t>
  </si>
  <si>
    <t>tlOutputCh2Analytic1Chart2Label12</t>
  </si>
  <si>
    <t>tlOutputCh2Analytic1Table1Col2Row6</t>
  </si>
  <si>
    <t>tlOutputCh2Analytic1Table1Col2Row7</t>
  </si>
  <si>
    <t>tlOutputCh2Analytic1Table1Col2Row8</t>
  </si>
  <si>
    <t>tlOutputCh2Analytic1Chart1XaxisTitle</t>
  </si>
  <si>
    <t>tlOutputCh2Analytic1Chart2XaxisTitle</t>
  </si>
  <si>
    <t>tlOutputCh2Analytic1Chart1XValue1</t>
  </si>
  <si>
    <t>tlOutputCh2Analytic1Chart2XValue1</t>
  </si>
  <si>
    <t>tlOutputCh2Analytic1Chart1XValue2</t>
  </si>
  <si>
    <t>tlOutputCh2Analytic1Chart2XValue2</t>
  </si>
  <si>
    <t>tlOutputCh2Analytic1Table1Col3Row1</t>
  </si>
  <si>
    <t>tlOutputCh2Analytic1Chart1XValue3</t>
  </si>
  <si>
    <t>tlOutputCh2Analytic1Chart2XValue3</t>
  </si>
  <si>
    <t>tlOutputCh2Analytic1Table1Col3Row2</t>
  </si>
  <si>
    <t>tlOutputCh2Analytic1Chart1XValue4</t>
  </si>
  <si>
    <t>tlOutputCh2Analytic1Chart2XValue4</t>
  </si>
  <si>
    <t>tlOutputCh2Analytic1Table1Col3Row3</t>
  </si>
  <si>
    <t>tlOutputCh2Analytic1Chart1XValue5</t>
  </si>
  <si>
    <t>tlOutputCh2Analytic1Chart2XValue5</t>
  </si>
  <si>
    <t>tlOutputCh2Analytic1Table1Col3Row4</t>
  </si>
  <si>
    <t>tlOutputCh2Analytic1Chart1XValue6</t>
  </si>
  <si>
    <t>tlOutputCh2Analytic1Chart2XValue6</t>
  </si>
  <si>
    <t>tlOutputCh2Analytic1Table1Col3Row5</t>
  </si>
  <si>
    <t>tlOutputCh2Analytic1Chart1XValue7</t>
  </si>
  <si>
    <t>tlOutputCh2Analytic1Chart2XValue7</t>
  </si>
  <si>
    <t>tlOutputCh2Analytic1Table1Col3Row6</t>
  </si>
  <si>
    <t>tlOutputCh2Analytic1Chart1XValue8</t>
  </si>
  <si>
    <t>tlOutputCh2Analytic1Chart2XValue8</t>
  </si>
  <si>
    <t>tlOutputCh2Analytic1Table1Col3Row7</t>
  </si>
  <si>
    <t>tlOutputCh2Analytic1Chart1XValue9</t>
  </si>
  <si>
    <t>tlOutputCh2Analytic1Chart2XValue9</t>
  </si>
  <si>
    <t>tlOutputCh2Analytic1Table1Col3Row8</t>
  </si>
  <si>
    <t>tlOutputCh2Analytic1Chart1XValue10</t>
  </si>
  <si>
    <t>tlOutputCh2Analytic1Chart2XValue10</t>
  </si>
  <si>
    <t>tlOutputCh2Analytic1Chart1XValue11</t>
  </si>
  <si>
    <t>tlOutputCh2Analytic1Chart2XValue11</t>
  </si>
  <si>
    <t>tlOutputCh2Analytic1Chart1XValue12</t>
  </si>
  <si>
    <t>tlOutputCh2Analytic1Chart2XValue12</t>
  </si>
  <si>
    <t>tlOutputCh2Analytic1Table1Col4Row1</t>
  </si>
  <si>
    <t>tlOutputCh2Analytic1Table1Col4Row2</t>
  </si>
  <si>
    <t>tlOutputCh2Analytic1Table1Col4Row3</t>
  </si>
  <si>
    <t>tlOutputCh2Analytic1Chart1YaxisTitle</t>
  </si>
  <si>
    <t>tlOutputCh2Analytic1Chart2YaxisTitle</t>
  </si>
  <si>
    <t>tlOutputCh2Analytic1Table1Col4Row4</t>
  </si>
  <si>
    <t>tlOutputCh2Analytic1Chart1YValue1</t>
  </si>
  <si>
    <t>tlOutputCh2Analytic1Chart2YValue1</t>
  </si>
  <si>
    <t>tlOutputCh2Analytic1Table1Col4Row5</t>
  </si>
  <si>
    <t>tlOutputCh2Analytic1Chart1YValue2</t>
  </si>
  <si>
    <t>tlOutputCh2Analytic1Chart2YValue2</t>
  </si>
  <si>
    <t>tlOutputCh2Analytic1Table1Col4Row6</t>
  </si>
  <si>
    <t>tlOutputCh2Analytic1Chart1YValue3</t>
  </si>
  <si>
    <t>tlOutputCh2Analytic1Chart2YValue3</t>
  </si>
  <si>
    <t>tlOutputCh2Analytic1Table1Col4Row7</t>
  </si>
  <si>
    <t>tlOutputCh2Analytic1Chart1YValue4</t>
  </si>
  <si>
    <t>tlOutputCh2Analytic1Chart2YValue4</t>
  </si>
  <si>
    <t>tlOutputCh2Analytic1Table1Col4Row8</t>
  </si>
  <si>
    <t>tlOutputCh2Analytic1Chart1YValue5</t>
  </si>
  <si>
    <t>tlOutputCh2Analytic1Chart2YValue5</t>
  </si>
  <si>
    <t>tlOutputCh2Analytic1Chart1YValue6</t>
  </si>
  <si>
    <t>tlOutputCh2Analytic1Chart2YValue6</t>
  </si>
  <si>
    <t>tlOutputCh2Analytic1Chart1YValue7</t>
  </si>
  <si>
    <t>tlOutputCh2Analytic1Chart2YValue7</t>
  </si>
  <si>
    <t>tlOutputCh2Analytic1Table1Col5Row1</t>
  </si>
  <si>
    <t>tlOutputCh2Analytic1Chart1YValue8</t>
  </si>
  <si>
    <t>tlOutputCh2Analytic1Chart2YValue8</t>
  </si>
  <si>
    <t>tlOutputCh2Analytic1Table1Col5Row2</t>
  </si>
  <si>
    <t>tlOutputCh2Analytic1Chart1YValue9</t>
  </si>
  <si>
    <t>tlOutputCh2Analytic1Chart2YValue9</t>
  </si>
  <si>
    <t>tlOutputCh2Analytic1Table1Col5Row3</t>
  </si>
  <si>
    <t>tlOutputCh2Analytic1Chart1YValue10</t>
  </si>
  <si>
    <t>tlOutputCh2Analytic1Chart2YValue10</t>
  </si>
  <si>
    <t>tlOutputCh2Analytic1Table1Col5Row4</t>
  </si>
  <si>
    <t>tlOutputCh2Analytic1Chart1YValue11</t>
  </si>
  <si>
    <t>tlOutputCh2Analytic1Chart2YValue11</t>
  </si>
  <si>
    <t>tlOutputCh2Analytic1Table1Col5Row5</t>
  </si>
  <si>
    <t>tlOutputCh2Analytic1Chart1YValue12</t>
  </si>
  <si>
    <t>tlOutputCh2Analytic1Chart2YValue12</t>
  </si>
  <si>
    <t>tlOutputCh2Analytic1Table1Col5Row6</t>
  </si>
  <si>
    <t>tlOutputCh2Analytic1Table1Col5Row7</t>
  </si>
  <si>
    <t>tlOutputCh2Analytic1Table1Col5Row8</t>
  </si>
  <si>
    <t>tlOutputCh2Analytic1Chart1BubbleSize1</t>
  </si>
  <si>
    <t>tlOutputCh2Analytic1Chart2BubbleSize1</t>
  </si>
  <si>
    <t>tlOutputCh2Analytic1Chart1BubbleSize2</t>
  </si>
  <si>
    <t>tlOutputCh2Analytic1Chart2BubbleSize2</t>
  </si>
  <si>
    <t>tlOutputCh2Analytic1Chart1BubbleSize3</t>
  </si>
  <si>
    <t>tlOutputCh2Analytic1Chart2BubbleSize3</t>
  </si>
  <si>
    <t>tlOutputCh2Analytic1Table1Col6Row1</t>
  </si>
  <si>
    <t>tlOutputCh2Analytic1Chart1BubbleSize4</t>
  </si>
  <si>
    <t>tlOutputCh2Analytic1Chart2BubbleSize4</t>
  </si>
  <si>
    <t>tlOutputCh2Analytic1Table1Col6Row2</t>
  </si>
  <si>
    <t>tlOutputCh2Analytic1Chart1BubbleSize5</t>
  </si>
  <si>
    <t>tlOutputCh2Analytic1Chart2BubbleSize5</t>
  </si>
  <si>
    <t>tlOutputCh2Analytic1Table1Col6Row3</t>
  </si>
  <si>
    <t>tlOutputCh2Analytic1Chart1BubbleSize6</t>
  </si>
  <si>
    <t>tlOutputCh2Analytic1Chart2BubbleSize6</t>
  </si>
  <si>
    <t>tlOutputCh2Analytic1Table1Col6Row4</t>
  </si>
  <si>
    <t>tlOutputCh2Analytic1Chart1BubbleSize7</t>
  </si>
  <si>
    <t>tlOutputCh2Analytic1Chart2BubbleSize7</t>
  </si>
  <si>
    <t>tlOutputCh2Analytic1Table1Col6Row5</t>
  </si>
  <si>
    <t>tlOutputCh2Analytic1Chart1BubbleSize8</t>
  </si>
  <si>
    <t>tlOutputCh2Analytic1Chart2BubbleSize8</t>
  </si>
  <si>
    <t>tlOutputCh2Analytic1Table1Col6Row6</t>
  </si>
  <si>
    <t>tlOutputCh2Analytic1Chart1BubbleSize9</t>
  </si>
  <si>
    <t>tlOutputCh2Analytic1Chart2BubbleSize9</t>
  </si>
  <si>
    <t>tlOutputCh2Analytic1Table1Col6Row7</t>
  </si>
  <si>
    <t>tlOutputCh2Analytic1Chart1BubbleSize10</t>
  </si>
  <si>
    <t>tlOutputCh2Analytic1Chart2BubbleSize10</t>
  </si>
  <si>
    <t>tlOutputCh2Analytic1Table1Col6Row8</t>
  </si>
  <si>
    <t>tlOutputCh2Analytic1Chart1BubbleSize11</t>
  </si>
  <si>
    <t>tlOutputCh2Analytic1Chart2BubbleSize11</t>
  </si>
  <si>
    <t>tlOutputCh2Analytic1Chart1BubbleSize12</t>
  </si>
  <si>
    <t>tlOutputCh2Analytic1Chart2BubbleSize12</t>
  </si>
  <si>
    <t>tlOutputCh2Analytic1Table1Col7Row1</t>
  </si>
  <si>
    <t>tlOutputCh2Analytic1Table1Col7Row2</t>
  </si>
  <si>
    <t>tlOutputCh2Analytic1Table1Col7Row3</t>
  </si>
  <si>
    <t>tlOutputCh2Analytic1Table1Col7Row4</t>
  </si>
  <si>
    <t>tlOutputCh2Analytic1Table1Col7Row5</t>
  </si>
  <si>
    <t>tlOutputCh2Analytic1Table1Col7Row6</t>
  </si>
  <si>
    <t>tlOutputCh2Analytic1Table1Col7Row7</t>
  </si>
  <si>
    <t>tlOutputCh2Analytic1Table1Col7Row8</t>
  </si>
  <si>
    <t>tlOutputCh2Analytic1Table1Col8Row1</t>
  </si>
  <si>
    <t>tlOutputCh2Analytic1Table1Col8Row2</t>
  </si>
  <si>
    <t>tlOutputCh2Analytic1Table1Col8Row3</t>
  </si>
  <si>
    <t>tlOutputCh2Analytic1Table1Col8Row4</t>
  </si>
  <si>
    <t>tlOutputCh2Analytic1Table1Col8Row5</t>
  </si>
  <si>
    <t>tlOutputCh2Analytic1Table1Col8Row6</t>
  </si>
  <si>
    <t>tlOutputCh2Analytic1Table1Col8Row7</t>
  </si>
  <si>
    <t>tlOutputCh2Analytic1Table1Col8Row8</t>
  </si>
  <si>
    <t>Ch3Analytics 1</t>
  </si>
  <si>
    <t>tlOutputCh3Analytic1Chart1Heading</t>
  </si>
  <si>
    <t>tlOutputCh3Analytic1Chart2Heading</t>
  </si>
  <si>
    <t>tlOutputCh3Analytic1Chart1Type1</t>
  </si>
  <si>
    <t>tlOutputCh3Analytic1Chart2Type1</t>
  </si>
  <si>
    <t>tlOutputCh3Analytic1Chart1Type2</t>
  </si>
  <si>
    <t>tlOutputCh3Analytic1Chart2Type2</t>
  </si>
  <si>
    <t>tlOutputCh3Analytic1Table1Col1Row1</t>
  </si>
  <si>
    <t>tlOutputCh3Analytic1Chart1Type3</t>
  </si>
  <si>
    <t>tlOutputCh3Analytic1Chart2Type3</t>
  </si>
  <si>
    <t>tlOutputCh3Analytic1Table1Col1Row2</t>
  </si>
  <si>
    <t>tlOutputCh3Analytic1Chart1Type4</t>
  </si>
  <si>
    <t>tlOutputCh3Analytic1Chart2Type4</t>
  </si>
  <si>
    <t>tlOutputCh3Analytic1Table1Col1Row3</t>
  </si>
  <si>
    <t>tlOutputCh3Analytic1Table1Col1Row4</t>
  </si>
  <si>
    <t>tlOutputCh3Analytic1Chart1Label1</t>
  </si>
  <si>
    <t>tlOutputCh3Analytic1Chart2Label1</t>
  </si>
  <si>
    <t>tlOutputCh3Analytic1Table1Col1Row5</t>
  </si>
  <si>
    <t>tlOutputCh3Analytic1Chart1Label2</t>
  </si>
  <si>
    <t>tlOutputCh3Analytic1Chart2Label2</t>
  </si>
  <si>
    <t>tlOutputCh3Analytic1Table1Col1Row6</t>
  </si>
  <si>
    <t>tlOutputCh3Analytic1Chart1Label3</t>
  </si>
  <si>
    <t>tlOutputCh3Analytic1Chart2Label3</t>
  </si>
  <si>
    <t>tlOutputCh3Analytic1Table1Col1Row7</t>
  </si>
  <si>
    <t>tlOutputCh3Analytic1Chart1Label4</t>
  </si>
  <si>
    <t>tlOutputCh3Analytic1Chart2Label4</t>
  </si>
  <si>
    <t>tlOutputCh3Analytic1Table1Col1Row8</t>
  </si>
  <si>
    <t>tlOutputCh3Analytic1Chart1Label5</t>
  </si>
  <si>
    <t>tlOutputCh3Analytic1Chart2Label5</t>
  </si>
  <si>
    <t>tlOutputCh3Analytic1Chart1Label6</t>
  </si>
  <si>
    <t>tlOutputCh3Analytic1Chart2Label6</t>
  </si>
  <si>
    <t>tlOutputCh3Analytic1Chart1Label7</t>
  </si>
  <si>
    <t>tlOutputCh3Analytic1Chart2Label7</t>
  </si>
  <si>
    <t>tlOutputCh3Analytic1Table1Col2Row1</t>
  </si>
  <si>
    <t>tlOutputCh3Analytic1Chart1Label8</t>
  </si>
  <si>
    <t>tlOutputCh3Analytic1Chart2Label8</t>
  </si>
  <si>
    <t>tlOutputCh3Analytic1Table1Col2Row2</t>
  </si>
  <si>
    <t>tlOutputCh3Analytic1Chart1Label9</t>
  </si>
  <si>
    <t>tlOutputCh3Analytic1Chart2Label9</t>
  </si>
  <si>
    <t>tlOutputCh3Analytic1Table1Col2Row3</t>
  </si>
  <si>
    <t>tlOutputCh3Analytic1Chart1Label10</t>
  </si>
  <si>
    <t>tlOutputCh3Analytic1Chart2Label10</t>
  </si>
  <si>
    <t>tlOutputCh3Analytic1Table1Col2Row4</t>
  </si>
  <si>
    <t>tlOutputCh3Analytic1Chart1Label11</t>
  </si>
  <si>
    <t>tlOutputCh3Analytic1Chart2Label11</t>
  </si>
  <si>
    <t>tlOutputCh3Analytic1Table1Col2Row5</t>
  </si>
  <si>
    <t>tlOutputCh3Analytic1Chart1Label12</t>
  </si>
  <si>
    <t>tlOutputCh3Analytic1Chart2Label12</t>
  </si>
  <si>
    <t>tlOutputCh3Analytic1Table1Col2Row6</t>
  </si>
  <si>
    <t>tlOutputCh3Analytic1Table1Col2Row7</t>
  </si>
  <si>
    <t>tlOutputCh3Analytic1Table1Col2Row8</t>
  </si>
  <si>
    <t>tlOutputCh3Analytic1Chart1XaxisTitle</t>
  </si>
  <si>
    <t>tlOutputCh3Analytic1Chart2XaxisTitle</t>
  </si>
  <si>
    <t>tlOutputCh3Analytic1Chart1XValue1</t>
  </si>
  <si>
    <t>tlOutputCh3Analytic1Chart2XValue1</t>
  </si>
  <si>
    <t>tlOutputCh3Analytic1Chart1XValue2</t>
  </si>
  <si>
    <t>tlOutputCh3Analytic1Chart2XValue2</t>
  </si>
  <si>
    <t>tlOutputCh3Analytic1Table1Col3Row1</t>
  </si>
  <si>
    <t>tlOutputCh3Analytic1Chart1XValue3</t>
  </si>
  <si>
    <t>tlOutputCh3Analytic1Chart2XValue3</t>
  </si>
  <si>
    <t>tlOutputCh3Analytic1Table1Col3Row2</t>
  </si>
  <si>
    <t>tlOutputCh3Analytic1Chart1XValue4</t>
  </si>
  <si>
    <t>tlOutputCh3Analytic1Chart2XValue4</t>
  </si>
  <si>
    <t>tlOutputCh3Analytic1Table1Col3Row3</t>
  </si>
  <si>
    <t>tlOutputCh3Analytic1Chart1XValue5</t>
  </si>
  <si>
    <t>tlOutputCh3Analytic1Chart2XValue5</t>
  </si>
  <si>
    <t>tlOutputCh3Analytic1Table1Col3Row4</t>
  </si>
  <si>
    <t>tlOutputCh3Analytic1Chart1XValue6</t>
  </si>
  <si>
    <t>tlOutputCh3Analytic1Chart2XValue6</t>
  </si>
  <si>
    <t>tlOutputCh3Analytic1Table1Col3Row5</t>
  </si>
  <si>
    <t>tlOutputCh3Analytic1Chart1XValue7</t>
  </si>
  <si>
    <t>tlOutputCh3Analytic1Chart2XValue7</t>
  </si>
  <si>
    <t>tlOutputCh3Analytic1Table1Col3Row6</t>
  </si>
  <si>
    <t>tlOutputCh3Analytic1Chart1XValue8</t>
  </si>
  <si>
    <t>tlOutputCh3Analytic1Chart2XValue8</t>
  </si>
  <si>
    <t>tlOutputCh3Analytic1Table1Col3Row7</t>
  </si>
  <si>
    <t>tlOutputCh3Analytic1Chart1XValue9</t>
  </si>
  <si>
    <t>tlOutputCh3Analytic1Chart2XValue9</t>
  </si>
  <si>
    <t>tlOutputCh3Analytic1Table1Col3Row8</t>
  </si>
  <si>
    <t>tlOutputCh3Analytic1Chart1XValue10</t>
  </si>
  <si>
    <t>tlOutputCh3Analytic1Chart2XValue10</t>
  </si>
  <si>
    <t>tlOutputCh3Analytic1Chart1XValue11</t>
  </si>
  <si>
    <t>tlOutputCh3Analytic1Chart2XValue11</t>
  </si>
  <si>
    <t>tlOutputCh3Analytic1Chart1XValue12</t>
  </si>
  <si>
    <t>tlOutputCh3Analytic1Chart2XValue12</t>
  </si>
  <si>
    <t>tlOutputCh3Analytic1Table1Col4Row1</t>
  </si>
  <si>
    <t>tlOutputCh3Analytic1Table1Col4Row2</t>
  </si>
  <si>
    <t>tlOutputCh3Analytic1Table1Col4Row3</t>
  </si>
  <si>
    <t>tlOutputCh3Analytic1Chart1YaxisTitle</t>
  </si>
  <si>
    <t>tlOutputCh3Analytic1Chart2YaxisTitle</t>
  </si>
  <si>
    <t>tlOutputCh3Analytic1Table1Col4Row4</t>
  </si>
  <si>
    <t>tlOutputCh3Analytic1Chart1YValue1</t>
  </si>
  <si>
    <t>tlOutputCh3Analytic1Chart2YValue1</t>
  </si>
  <si>
    <t>tlOutputCh3Analytic1Table1Col4Row5</t>
  </si>
  <si>
    <t>tlOutputCh3Analytic1Chart1YValue2</t>
  </si>
  <si>
    <t>tlOutputCh3Analytic1Chart2YValue2</t>
  </si>
  <si>
    <t>tlOutputCh3Analytic1Table1Col4Row6</t>
  </si>
  <si>
    <t>tlOutputCh3Analytic1Chart1YValue3</t>
  </si>
  <si>
    <t>tlOutputCh3Analytic1Chart2YValue3</t>
  </si>
  <si>
    <t>tlOutputCh3Analytic1Table1Col4Row7</t>
  </si>
  <si>
    <t>tlOutputCh3Analytic1Chart1YValue4</t>
  </si>
  <si>
    <t>tlOutputCh3Analytic1Chart2YValue4</t>
  </si>
  <si>
    <t>tlOutputCh3Analytic1Table1Col4Row8</t>
  </si>
  <si>
    <t>tlOutputCh3Analytic1Chart1YValue5</t>
  </si>
  <si>
    <t>tlOutputCh3Analytic1Chart2YValue5</t>
  </si>
  <si>
    <t>tlOutputCh3Analytic1Chart1YValue6</t>
  </si>
  <si>
    <t>tlOutputCh3Analytic1Chart2YValue6</t>
  </si>
  <si>
    <t>tlOutputCh3Analytic1Chart1YValue7</t>
  </si>
  <si>
    <t>tlOutputCh3Analytic1Chart2YValue7</t>
  </si>
  <si>
    <t>tlOutputCh3Analytic1Table1Col5Row1</t>
  </si>
  <si>
    <t>tlOutputCh3Analytic1Chart1YValue8</t>
  </si>
  <si>
    <t>tlOutputCh3Analytic1Chart2YValue8</t>
  </si>
  <si>
    <t>tlOutputCh3Analytic1Table1Col5Row2</t>
  </si>
  <si>
    <t>tlOutputCh3Analytic1Chart1YValue9</t>
  </si>
  <si>
    <t>tlOutputCh3Analytic1Chart2YValue9</t>
  </si>
  <si>
    <t>tlOutputCh3Analytic1Table1Col5Row3</t>
  </si>
  <si>
    <t>tlOutputCh3Analytic1Chart1YValue10</t>
  </si>
  <si>
    <t>tlOutputCh3Analytic1Chart2YValue10</t>
  </si>
  <si>
    <t>tlOutputCh3Analytic1Table1Col5Row4</t>
  </si>
  <si>
    <t>tlOutputCh3Analytic1Chart1YValue11</t>
  </si>
  <si>
    <t>tlOutputCh3Analytic1Chart2YValue11</t>
  </si>
  <si>
    <t>tlOutputCh3Analytic1Table1Col5Row5</t>
  </si>
  <si>
    <t>tlOutputCh3Analytic1Chart1YValue12</t>
  </si>
  <si>
    <t>tlOutputCh3Analytic1Chart2YValue12</t>
  </si>
  <si>
    <t>tlOutputCh3Analytic1Table1Col5Row6</t>
  </si>
  <si>
    <t>tlOutputCh3Analytic1Table1Col5Row7</t>
  </si>
  <si>
    <t>tlOutputCh3Analytic1Table1Col5Row8</t>
  </si>
  <si>
    <t>tlOutputCh3Analytic1Chart1BubbleSize1</t>
  </si>
  <si>
    <t>tlOutputCh3Analytic1Chart2BubbleSize1</t>
  </si>
  <si>
    <t>tlOutputCh3Analytic1Chart1BubbleSize2</t>
  </si>
  <si>
    <t>tlOutputCh3Analytic1Chart2BubbleSize2</t>
  </si>
  <si>
    <t>tlOutputCh3Analytic1Chart1BubbleSize3</t>
  </si>
  <si>
    <t>tlOutputCh3Analytic1Chart2BubbleSize3</t>
  </si>
  <si>
    <t>tlOutputCh3Analytic1Table1Col6Row1</t>
  </si>
  <si>
    <t>tlOutputCh3Analytic1Chart1BubbleSize4</t>
  </si>
  <si>
    <t>tlOutputCh3Analytic1Chart2BubbleSize4</t>
  </si>
  <si>
    <t>tlOutputCh3Analytic1Table1Col6Row2</t>
  </si>
  <si>
    <t>tlOutputCh3Analytic1Chart1BubbleSize5</t>
  </si>
  <si>
    <t>tlOutputCh3Analytic1Chart2BubbleSize5</t>
  </si>
  <si>
    <t>tlOutputCh3Analytic1Table1Col6Row3</t>
  </si>
  <si>
    <t>tlOutputCh3Analytic1Chart1BubbleSize6</t>
  </si>
  <si>
    <t>tlOutputCh3Analytic1Chart2BubbleSize6</t>
  </si>
  <si>
    <t>tlOutputCh3Analytic1Table1Col6Row4</t>
  </si>
  <si>
    <t>tlOutputCh3Analytic1Chart1BubbleSize7</t>
  </si>
  <si>
    <t>tlOutputCh3Analytic1Chart2BubbleSize7</t>
  </si>
  <si>
    <t>tlOutputCh3Analytic1Table1Col6Row5</t>
  </si>
  <si>
    <t>tlOutputCh3Analytic1Chart1BubbleSize8</t>
  </si>
  <si>
    <t>tlOutputCh3Analytic1Chart2BubbleSize8</t>
  </si>
  <si>
    <t>tlOutputCh3Analytic1Table1Col6Row6</t>
  </si>
  <si>
    <t>tlOutputCh3Analytic1Chart1BubbleSize9</t>
  </si>
  <si>
    <t>tlOutputCh3Analytic1Chart2BubbleSize9</t>
  </si>
  <si>
    <t>tlOutputCh3Analytic1Table1Col6Row7</t>
  </si>
  <si>
    <t>tlOutputCh3Analytic1Chart1BubbleSize10</t>
  </si>
  <si>
    <t>tlOutputCh3Analytic1Chart2BubbleSize10</t>
  </si>
  <si>
    <t>tlOutputCh3Analytic1Table1Col6Row8</t>
  </si>
  <si>
    <t>tlOutputCh3Analytic1Chart1BubbleSize11</t>
  </si>
  <si>
    <t>tlOutputCh3Analytic1Chart2BubbleSize11</t>
  </si>
  <si>
    <t>tlOutputCh3Analytic1Chart1BubbleSize12</t>
  </si>
  <si>
    <t>tlOutputCh3Analytic1Chart2BubbleSize12</t>
  </si>
  <si>
    <t>tlOutputCh3Analytic1Table1Col7Row1</t>
  </si>
  <si>
    <t>tlOutputCh3Analytic1Table1Col7Row2</t>
  </si>
  <si>
    <t>tlOutputCh3Analytic1Table1Col7Row3</t>
  </si>
  <si>
    <t>tlOutputCh3Analytic1Table1Col7Row4</t>
  </si>
  <si>
    <t>tlOutputCh3Analytic1Table1Col7Row5</t>
  </si>
  <si>
    <t>tlOutputCh3Analytic1Table1Col7Row6</t>
  </si>
  <si>
    <t>tlOutputCh3Analytic1Table1Col7Row7</t>
  </si>
  <si>
    <t>tlOutputCh3Analytic1Table1Col7Row8</t>
  </si>
  <si>
    <t>tlOutputCh3Analytic1Table1Col8Row1</t>
  </si>
  <si>
    <t>tlOutputCh3Analytic1Table1Col8Row2</t>
  </si>
  <si>
    <t>tlOutputCh3Analytic1Table1Col8Row3</t>
  </si>
  <si>
    <t>tlOutputCh3Analytic1Table1Col8Row4</t>
  </si>
  <si>
    <t>tlOutputCh3Analytic1Table1Col8Row5</t>
  </si>
  <si>
    <t>tlOutputCh3Analytic1Table1Col8Row6</t>
  </si>
  <si>
    <t>tlOutputCh3Analytic1Table1Col8Row7</t>
  </si>
  <si>
    <t>tlOutputCh3Analytic1Table1Col8Row8</t>
  </si>
  <si>
    <t>Ch3Analytics 2</t>
  </si>
  <si>
    <t>tlOutputCh3Analytic2Chart1Heading</t>
  </si>
  <si>
    <t>tlOutputCh3Analytic2Chart2Heading</t>
  </si>
  <si>
    <t>tlOutputCh3Analytic2Chart3Heading</t>
  </si>
  <si>
    <t>tlOutputCh3Analytic2Chart4Heading</t>
  </si>
  <si>
    <t>tlOutputCh3Analytic2Chart1Serie1Label1</t>
  </si>
  <si>
    <t>tlOutputCh3Analytic2Chart2Serie1Title</t>
  </si>
  <si>
    <t>tlOutputCh3Analytic2Chart3Type1</t>
  </si>
  <si>
    <t>tlOutputCh3Analytic2Chart4Type1</t>
  </si>
  <si>
    <t>tlOutputCh3Analytic2Chart1Serie1Point1</t>
  </si>
  <si>
    <t>tlOutputCh3Analytic2Chart2Serie2Title</t>
  </si>
  <si>
    <t>tlOutputCh3Analytic2Chart3Type2</t>
  </si>
  <si>
    <t>tlOutputCh3Analytic2Chart4Type2</t>
  </si>
  <si>
    <t>tlOutputCh3Analytic2Chart1Serie1Point2</t>
  </si>
  <si>
    <t>tlOutputCh3Analytic2Chart3Type3</t>
  </si>
  <si>
    <t>tlOutputCh3Analytic2Chart4Type3</t>
  </si>
  <si>
    <t>tlOutputCh3Analytic2Chart1Serie1Point3</t>
  </si>
  <si>
    <t>tlOutputCh3Analytic2Chart2Label1</t>
  </si>
  <si>
    <t>tlOutputCh3Analytic2Chart3Type4</t>
  </si>
  <si>
    <t>tlOutputCh3Analytic2Chart4Type4</t>
  </si>
  <si>
    <t>tlOutputCh3Analytic2Chart1Serie2Label1</t>
  </si>
  <si>
    <t>tlOutputCh3Analytic2Chart2Label2</t>
  </si>
  <si>
    <t>tlOutputCh3Analytic2Chart1Serie2Point1</t>
  </si>
  <si>
    <t>tlOutputCh3Analytic2Chart2Label3</t>
  </si>
  <si>
    <t>tlOutputCh3Analytic2Chart3Label1</t>
  </si>
  <si>
    <t>tlOutputCh3Analytic2Chart4Label1</t>
  </si>
  <si>
    <t>tlOutputCh3Analytic2Chart1Serie2Point2</t>
  </si>
  <si>
    <t>tlOutputCh3Analytic2Chart2Label4</t>
  </si>
  <si>
    <t>tlOutputCh3Analytic2Chart3Label2</t>
  </si>
  <si>
    <t>tlOutputCh3Analytic2Chart4Label2</t>
  </si>
  <si>
    <t>tlOutputCh3Analytic2Chart1Serie2Point3</t>
  </si>
  <si>
    <t>tlOutputCh3Analytic2Chart2Label5</t>
  </si>
  <si>
    <t>tlOutputCh3Analytic2Chart3Label3</t>
  </si>
  <si>
    <t>tlOutputCh3Analytic2Chart4Label3</t>
  </si>
  <si>
    <t>tlOutputCh3Analytic2Chart1Serie3Label1</t>
  </si>
  <si>
    <t>tlOutputCh3Analytic2Chart2Label6</t>
  </si>
  <si>
    <t>tlOutputCh3Analytic2Chart3Label4</t>
  </si>
  <si>
    <t>tlOutputCh3Analytic2Chart4Label4</t>
  </si>
  <si>
    <t>tlOutputCh3Analytic2Chart1Serie3Point1</t>
  </si>
  <si>
    <t>tlOutputCh3Analytic2Chart2Label7</t>
  </si>
  <si>
    <t>tlOutputCh3Analytic2Chart3Label5</t>
  </si>
  <si>
    <t>tlOutputCh3Analytic2Chart4Label5</t>
  </si>
  <si>
    <t>tlOutputCh3Analytic2Chart1Serie3Point2</t>
  </si>
  <si>
    <t>tlOutputCh3Analytic2Chart2Label8</t>
  </si>
  <si>
    <t>tlOutputCh3Analytic2Chart3Label6</t>
  </si>
  <si>
    <t>tlOutputCh3Analytic2Chart4Label6</t>
  </si>
  <si>
    <t>tlOutputCh3Analytic2Chart1Serie3Point3</t>
  </si>
  <si>
    <t>tlOutputCh3Analytic2Chart2Label9</t>
  </si>
  <si>
    <t>tlOutputCh3Analytic2Chart3Label7</t>
  </si>
  <si>
    <t>tlOutputCh3Analytic2Chart4Label7</t>
  </si>
  <si>
    <t>tlOutputCh3Analytic2Chart1Serie4Label1</t>
  </si>
  <si>
    <t>tlOutputCh3Analytic2Chart2Label10</t>
  </si>
  <si>
    <t>tlOutputCh3Analytic2Chart3Label8</t>
  </si>
  <si>
    <t>tlOutputCh3Analytic2Chart4Label8</t>
  </si>
  <si>
    <t>tlOutputCh3Analytic2Chart1Serie4Point1</t>
  </si>
  <si>
    <t>tlOutputCh3Analytic2Chart2Label11</t>
  </si>
  <si>
    <t>tlOutputCh3Analytic2Chart3Label9</t>
  </si>
  <si>
    <t>tlOutputCh3Analytic2Chart4Label9</t>
  </si>
  <si>
    <t>tlOutputCh3Analytic2Chart1Serie4Point2</t>
  </si>
  <si>
    <t>tlOutputCh3Analytic2Chart2Label12</t>
  </si>
  <si>
    <t>tlOutputCh3Analytic2Chart3Label10</t>
  </si>
  <si>
    <t>tlOutputCh3Analytic2Chart4Label10</t>
  </si>
  <si>
    <t>tlOutputCh3Analytic2Chart1Serie4Point3</t>
  </si>
  <si>
    <t>tlOutputCh3Analytic2Chart3Label11</t>
  </si>
  <si>
    <t>tlOutputCh3Analytic2Chart4Label11</t>
  </si>
  <si>
    <t>tlOutputCh3Analytic2Chart1Serie5Label1</t>
  </si>
  <si>
    <t>tlOutputCh3Analytic2Chart2Serie1Item1</t>
  </si>
  <si>
    <t>tlOutputCh3Analytic2Chart3Label12</t>
  </si>
  <si>
    <t>tlOutputCh3Analytic2Chart4Label12</t>
  </si>
  <si>
    <t>tlOutputCh3Analytic2Chart1Serie5Point1</t>
  </si>
  <si>
    <t>tlOutputCh3Analytic2Chart2Serie1Item2</t>
  </si>
  <si>
    <t>tlOutputCh3Analytic2Chart1Serie5Point2</t>
  </si>
  <si>
    <t>tlOutputCh3Analytic2Chart2Serie1Item3</t>
  </si>
  <si>
    <t>tlOutputCh3Analytic2Chart1Serie5Point3</t>
  </si>
  <si>
    <t>tlOutputCh3Analytic2Chart2Serie1Item4</t>
  </si>
  <si>
    <t>tlOutputCh3Analytic2Chart3XaxisTitle</t>
  </si>
  <si>
    <t>tlOutputCh3Analytic2Chart4XaxisTitle</t>
  </si>
  <si>
    <t>tlOutputCh3Analytic2Chart1Serie6Label1</t>
  </si>
  <si>
    <t>tlOutputCh3Analytic2Chart2Serie1Item5</t>
  </si>
  <si>
    <t>tlOutputCh3Analytic2Chart3XValue1</t>
  </si>
  <si>
    <t>tlOutputCh3Analytic2Chart4XValue1</t>
  </si>
  <si>
    <t>tlOutputCh3Analytic2Chart1Serie6Point1</t>
  </si>
  <si>
    <t>tlOutputCh3Analytic2Chart2Serie1Item6</t>
  </si>
  <si>
    <t>tlOutputCh3Analytic2Chart3XValue2</t>
  </si>
  <si>
    <t>tlOutputCh3Analytic2Chart4XValue2</t>
  </si>
  <si>
    <t>tlOutputCh3Analytic2Chart1Serie6Point2</t>
  </si>
  <si>
    <t>tlOutputCh3Analytic2Chart2Serie1Item7</t>
  </si>
  <si>
    <t>tlOutputCh3Analytic2Chart3XValue3</t>
  </si>
  <si>
    <t>tlOutputCh3Analytic2Chart4XValue3</t>
  </si>
  <si>
    <t>tlOutputCh3Analytic2Chart1Serie6Point3</t>
  </si>
  <si>
    <t>tlOutputCh3Analytic2Chart2Serie1Item8</t>
  </si>
  <si>
    <t>tlOutputCh3Analytic2Chart3XValue4</t>
  </si>
  <si>
    <t>tlOutputCh3Analytic2Chart4XValue4</t>
  </si>
  <si>
    <t>tlOutputCh3Analytic2Chart1Serie7Label1</t>
  </si>
  <si>
    <t>tlOutputCh3Analytic2Chart2Serie1Item9</t>
  </si>
  <si>
    <t>tlOutputCh3Analytic2Chart3XValue5</t>
  </si>
  <si>
    <t>tlOutputCh3Analytic2Chart4XValue5</t>
  </si>
  <si>
    <t>tlOutputCh3Analytic2Chart1Serie7Point1</t>
  </si>
  <si>
    <t>tlOutputCh3Analytic2Chart2Serie1Item10</t>
  </si>
  <si>
    <t>tlOutputCh3Analytic2Chart3XValue6</t>
  </si>
  <si>
    <t>tlOutputCh3Analytic2Chart4XValue6</t>
  </si>
  <si>
    <t>tlOutputCh3Analytic2Chart1Serie7Point2</t>
  </si>
  <si>
    <t>tlOutputCh3Analytic2Chart2Serie1Item11</t>
  </si>
  <si>
    <t>tlOutputCh3Analytic2Chart3XValue7</t>
  </si>
  <si>
    <t>tlOutputCh3Analytic2Chart4XValue7</t>
  </si>
  <si>
    <t>tlOutputCh3Analytic2Chart1Serie7Point3</t>
  </si>
  <si>
    <t>tlOutputCh3Analytic2Chart2Serie1Item12</t>
  </si>
  <si>
    <t>tlOutputCh3Analytic2Chart3XValue8</t>
  </si>
  <si>
    <t>tlOutputCh3Analytic2Chart4XValue8</t>
  </si>
  <si>
    <t>tlOutputCh3Analytic2Chart1Serie8Label1</t>
  </si>
  <si>
    <t>tlOutputCh3Analytic2Chart3XValue9</t>
  </si>
  <si>
    <t>tlOutputCh3Analytic2Chart4XValue9</t>
  </si>
  <si>
    <t>tlOutputCh3Analytic2Chart1Serie8Point1</t>
  </si>
  <si>
    <t>tlOutputCh3Analytic2Chart2Serie2Item1</t>
  </si>
  <si>
    <t>tlOutputCh3Analytic2Chart3XValue10</t>
  </si>
  <si>
    <t>tlOutputCh3Analytic2Chart4XValue10</t>
  </si>
  <si>
    <t>tlOutputCh3Analytic2Chart1Serie8Point2</t>
  </si>
  <si>
    <t>tlOutputCh3Analytic2Chart2Serie2Item2</t>
  </si>
  <si>
    <t>tlOutputCh3Analytic2Chart3XValue11</t>
  </si>
  <si>
    <t>tlOutputCh3Analytic2Chart4XValue11</t>
  </si>
  <si>
    <t>tlOutputCh3Analytic2Chart1Serie8Point3</t>
  </si>
  <si>
    <t>tlOutputCh3Analytic2Chart2Serie2Item3</t>
  </si>
  <si>
    <t>tlOutputCh3Analytic2Chart3XValue12</t>
  </si>
  <si>
    <t>tlOutputCh3Analytic2Chart4XValue12</t>
  </si>
  <si>
    <t>tlOutputCh3Analytic2Chart1Serie9Label1</t>
  </si>
  <si>
    <t>tlOutputCh3Analytic2Chart2Serie2Item4</t>
  </si>
  <si>
    <t>tlOutputCh3Analytic2Chart1Serie9Point1</t>
  </si>
  <si>
    <t>tlOutputCh3Analytic2Chart2Serie2Item5</t>
  </si>
  <si>
    <t>tlOutputCh3Analytic2Chart1Serie9Point2</t>
  </si>
  <si>
    <t>tlOutputCh3Analytic2Chart2Serie2Item6</t>
  </si>
  <si>
    <t>tlOutputCh3Analytic2Chart3YaxisTitle</t>
  </si>
  <si>
    <t>tlOutputCh3Analytic2Chart4YaxisTitle</t>
  </si>
  <si>
    <t>tlOutputCh3Analytic2Chart1Serie9Point3</t>
  </si>
  <si>
    <t>tlOutputCh3Analytic2Chart2Serie2Item7</t>
  </si>
  <si>
    <t>tlOutputCh3Analytic2Chart3YValue1</t>
  </si>
  <si>
    <t>tlOutputCh3Analytic2Chart4YValue1</t>
  </si>
  <si>
    <t>tlOutputCh3Analytic2Chart1Serie10Label1</t>
  </si>
  <si>
    <t>tlOutputCh3Analytic2Chart2Serie2Item8</t>
  </si>
  <si>
    <t>tlOutputCh3Analytic2Chart3YValue2</t>
  </si>
  <si>
    <t>tlOutputCh3Analytic2Chart4YValue2</t>
  </si>
  <si>
    <t>tlOutputCh3Analytic2Chart1Serie10Point1</t>
  </si>
  <si>
    <t>tlOutputCh3Analytic2Chart2Serie2Item9</t>
  </si>
  <si>
    <t>tlOutputCh3Analytic2Chart3YValue3</t>
  </si>
  <si>
    <t>tlOutputCh3Analytic2Chart4YValue3</t>
  </si>
  <si>
    <t>tlOutputCh3Analytic2Chart1Serie10Point2</t>
  </si>
  <si>
    <t>tlOutputCh3Analytic2Chart2Serie2Item10</t>
  </si>
  <si>
    <t>tlOutputCh3Analytic2Chart3YValue4</t>
  </si>
  <si>
    <t>tlOutputCh3Analytic2Chart4YValue4</t>
  </si>
  <si>
    <t>tlOutputCh3Analytic2Chart1Serie10Point3</t>
  </si>
  <si>
    <t>tlOutputCh3Analytic2Chart2Serie2Item11</t>
  </si>
  <si>
    <t>tlOutputCh3Analytic2Chart3YValue5</t>
  </si>
  <si>
    <t>tlOutputCh3Analytic2Chart4YValue5</t>
  </si>
  <si>
    <t>tlOutputCh3Analytic2Chart1Serie11Label1</t>
  </si>
  <si>
    <t>tlOutputCh3Analytic2Chart2Serie2Item12</t>
  </si>
  <si>
    <t>tlOutputCh3Analytic2Chart3YValue6</t>
  </si>
  <si>
    <t>tlOutputCh3Analytic2Chart4YValue6</t>
  </si>
  <si>
    <t>tlOutputCh3Analytic2Chart1Serie11Point1</t>
  </si>
  <si>
    <t>tlOutputCh3Analytic2Chart3YValue7</t>
  </si>
  <si>
    <t>tlOutputCh3Analytic2Chart4YValue7</t>
  </si>
  <si>
    <t>tlOutputCh3Analytic2Chart1Serie11Point2</t>
  </si>
  <si>
    <t>tlOutputCh3Analytic2Chart3YValue8</t>
  </si>
  <si>
    <t>tlOutputCh3Analytic2Chart4YValue8</t>
  </si>
  <si>
    <t>tlOutputCh3Analytic2Chart1Serie11Point3</t>
  </si>
  <si>
    <t>tlOutputCh3Analytic2Chart3YValue9</t>
  </si>
  <si>
    <t>tlOutputCh3Analytic2Chart4YValue9</t>
  </si>
  <si>
    <t>tlOutputCh3Analytic2Chart1Serie12Label1</t>
  </si>
  <si>
    <t>tlOutputCh3Analytic2Chart3YValue10</t>
  </si>
  <si>
    <t>tlOutputCh3Analytic2Chart4YValue10</t>
  </si>
  <si>
    <t>tlOutputCh3Analytic2Chart1Serie12Point1</t>
  </si>
  <si>
    <t>tlOutputCh3Analytic2Chart3YValue11</t>
  </si>
  <si>
    <t>tlOutputCh3Analytic2Chart4YValue11</t>
  </si>
  <si>
    <t>tlOutputCh3Analytic2Chart1Serie12Point2</t>
  </si>
  <si>
    <t>tlOutputCh3Analytic2Chart3YValue12</t>
  </si>
  <si>
    <t>tlOutputCh3Analytic2Chart4YValue12</t>
  </si>
  <si>
    <t>tlOutputCh3Analytic2Chart1Serie12Point3</t>
  </si>
  <si>
    <t>tlOutputCh3Analytic2Chart3BubbleSize1</t>
  </si>
  <si>
    <t>tlOutputCh3Analytic2Chart4BubbleSize1</t>
  </si>
  <si>
    <t>tlOutputCh3Analytic2Chart3BubbleSize2</t>
  </si>
  <si>
    <t>tlOutputCh3Analytic2Chart4BubbleSize2</t>
  </si>
  <si>
    <t>tlOutputCh3Analytic2Chart3BubbleSize3</t>
  </si>
  <si>
    <t>tlOutputCh3Analytic2Chart4BubbleSize3</t>
  </si>
  <si>
    <t>tlOutputCh3Analytic2Chart3BubbleSize4</t>
  </si>
  <si>
    <t>tlOutputCh3Analytic2Chart4BubbleSize4</t>
  </si>
  <si>
    <t>tlOutputCh3Analytic2Chart3BubbleSize5</t>
  </si>
  <si>
    <t>tlOutputCh3Analytic2Chart4BubbleSize5</t>
  </si>
  <si>
    <t>tlOutputCh3Analytic2Chart3BubbleSize6</t>
  </si>
  <si>
    <t>tlOutputCh3Analytic2Chart4BubbleSize6</t>
  </si>
  <si>
    <t>tlOutputCh3Analytic2Chart3BubbleSize7</t>
  </si>
  <si>
    <t>tlOutputCh3Analytic2Chart4BubbleSize7</t>
  </si>
  <si>
    <t>tlOutputCh3Analytic2Chart3BubbleSize8</t>
  </si>
  <si>
    <t>tlOutputCh3Analytic2Chart4BubbleSize8</t>
  </si>
  <si>
    <t>tlOutputCh3Analytic2Chart3BubbleSize9</t>
  </si>
  <si>
    <t>tlOutputCh3Analytic2Chart4BubbleSize9</t>
  </si>
  <si>
    <t>tlOutputCh3Analytic2Chart3BubbleSize10</t>
  </si>
  <si>
    <t>tlOutputCh3Analytic2Chart4BubbleSize10</t>
  </si>
  <si>
    <t>tlOutputCh3Analytic2Chart3BubbleSize11</t>
  </si>
  <si>
    <t>tlOutputCh3Analytic2Chart4BubbleSize11</t>
  </si>
  <si>
    <t>tlOutputCh3Analytic2Chart3BubbleSize12</t>
  </si>
  <si>
    <t>tlOutputCh3Analytic2Chart4BubbleSize12</t>
  </si>
  <si>
    <t>Ch4Analytics 1</t>
  </si>
  <si>
    <t>tlOutputCh4Analytic1Chart1Heading</t>
  </si>
  <si>
    <t>tlOutputCh4Analytic1Chart2Heading</t>
  </si>
  <si>
    <t>tlOutputCh4Analytic1Chart1Type1</t>
  </si>
  <si>
    <t>tlOutputCh4Analytic1Chart2Type1</t>
  </si>
  <si>
    <t>tlOutputCh4Analytic1Chart1Type2</t>
  </si>
  <si>
    <t>tlOutputCh4Analytic1Chart2Type2</t>
  </si>
  <si>
    <t>tlOutputCh4Analytic1Table1Col1Row1</t>
  </si>
  <si>
    <t>tlOutputCh4Analytic1Chart1Type3</t>
  </si>
  <si>
    <t>tlOutputCh4Analytic1Chart2Type3</t>
  </si>
  <si>
    <t>tlOutputCh4Analytic1Table1Col1Row2</t>
  </si>
  <si>
    <t>tlOutputCh4Analytic1Chart1Type4</t>
  </si>
  <si>
    <t>tlOutputCh4Analytic1Chart2Type4</t>
  </si>
  <si>
    <t>tlOutputCh4Analytic1Table1Col1Row3</t>
  </si>
  <si>
    <t>tlOutputCh4Analytic1Table1Col1Row4</t>
  </si>
  <si>
    <t>tlOutputCh4Analytic1Chart1Label1</t>
  </si>
  <si>
    <t>tlOutputCh4Analytic1Chart2Label1</t>
  </si>
  <si>
    <t>tlOutputCh4Analytic1Table1Col1Row5</t>
  </si>
  <si>
    <t>tlOutputCh4Analytic1Chart1Label2</t>
  </si>
  <si>
    <t>tlOutputCh4Analytic1Chart2Label2</t>
  </si>
  <si>
    <t>tlOutputCh4Analytic1Table1Col1Row6</t>
  </si>
  <si>
    <t>tlOutputCh4Analytic1Chart1Label3</t>
  </si>
  <si>
    <t>tlOutputCh4Analytic1Chart2Label3</t>
  </si>
  <si>
    <t>tlOutputCh4Analytic1Table1Col1Row7</t>
  </si>
  <si>
    <t>tlOutputCh4Analytic1Chart1Label4</t>
  </si>
  <si>
    <t>tlOutputCh4Analytic1Chart2Label4</t>
  </si>
  <si>
    <t>tlOutputCh4Analytic1Table1Col1Row8</t>
  </si>
  <si>
    <t>tlOutputCh4Analytic1Chart1Label5</t>
  </si>
  <si>
    <t>tlOutputCh4Analytic1Chart2Label5</t>
  </si>
  <si>
    <t>tlOutputCh4Analytic1Chart1Label6</t>
  </si>
  <si>
    <t>tlOutputCh4Analytic1Chart2Label6</t>
  </si>
  <si>
    <t>tlOutputCh4Analytic1Chart1Label7</t>
  </si>
  <si>
    <t>tlOutputCh4Analytic1Chart2Label7</t>
  </si>
  <si>
    <t>tlOutputCh4Analytic1Table1Col2Row1</t>
  </si>
  <si>
    <t>tlOutputCh4Analytic1Chart1Label8</t>
  </si>
  <si>
    <t>tlOutputCh4Analytic1Chart2Label8</t>
  </si>
  <si>
    <t>tlOutputCh4Analytic1Table1Col2Row2</t>
  </si>
  <si>
    <t>tlOutputCh4Analytic1Chart1Label9</t>
  </si>
  <si>
    <t>tlOutputCh4Analytic1Chart2Label9</t>
  </si>
  <si>
    <t>tlOutputCh4Analytic1Table1Col2Row3</t>
  </si>
  <si>
    <t>tlOutputCh4Analytic1Chart1Label10</t>
  </si>
  <si>
    <t>tlOutputCh4Analytic1Chart2Label10</t>
  </si>
  <si>
    <t>tlOutputCh4Analytic1Table1Col2Row4</t>
  </si>
  <si>
    <t>tlOutputCh4Analytic1Chart1Label11</t>
  </si>
  <si>
    <t>tlOutputCh4Analytic1Chart2Label11</t>
  </si>
  <si>
    <t>tlOutputCh4Analytic1Table1Col2Row5</t>
  </si>
  <si>
    <t>tlOutputCh4Analytic1Chart1Label12</t>
  </si>
  <si>
    <t>tlOutputCh4Analytic1Chart2Label12</t>
  </si>
  <si>
    <t>tlOutputCh4Analytic1Table1Col2Row6</t>
  </si>
  <si>
    <t>tlOutputCh4Analytic1Table1Col2Row7</t>
  </si>
  <si>
    <t>tlOutputCh4Analytic1Table1Col2Row8</t>
  </si>
  <si>
    <t>tlOutputCh4Analytic1Chart1XaxisTitle</t>
  </si>
  <si>
    <t>tlOutputCh4Analytic1Chart2XaxisTitle</t>
  </si>
  <si>
    <t>tlOutputCh4Analytic1Chart1XValue1</t>
  </si>
  <si>
    <t>tlOutputCh4Analytic1Chart2XValue1</t>
  </si>
  <si>
    <t>tlOutputCh4Analytic1Chart1XValue2</t>
  </si>
  <si>
    <t>tlOutputCh4Analytic1Chart2XValue2</t>
  </si>
  <si>
    <t>tlOutputCh4Analytic1Table1Col3Row1</t>
  </si>
  <si>
    <t>tlOutputCh4Analytic1Chart1XValue3</t>
  </si>
  <si>
    <t>tlOutputCh4Analytic1Chart2XValue3</t>
  </si>
  <si>
    <t>tlOutputCh4Analytic1Table1Col3Row2</t>
  </si>
  <si>
    <t>tlOutputCh4Analytic1Chart1XValue4</t>
  </si>
  <si>
    <t>tlOutputCh4Analytic1Chart2XValue4</t>
  </si>
  <si>
    <t>tlOutputCh4Analytic1Table1Col3Row3</t>
  </si>
  <si>
    <t>tlOutputCh4Analytic1Chart1XValue5</t>
  </si>
  <si>
    <t>tlOutputCh4Analytic1Chart2XValue5</t>
  </si>
  <si>
    <t>tlOutputCh4Analytic1Table1Col3Row4</t>
  </si>
  <si>
    <t>tlOutputCh4Analytic1Chart1XValue6</t>
  </si>
  <si>
    <t>tlOutputCh4Analytic1Chart2XValue6</t>
  </si>
  <si>
    <t>tlOutputCh4Analytic1Table1Col3Row5</t>
  </si>
  <si>
    <t>tlOutputCh4Analytic1Chart1XValue7</t>
  </si>
  <si>
    <t>tlOutputCh4Analytic1Chart2XValue7</t>
  </si>
  <si>
    <t>tlOutputCh4Analytic1Table1Col3Row6</t>
  </si>
  <si>
    <t>tlOutputCh4Analytic1Chart1XValue8</t>
  </si>
  <si>
    <t>tlOutputCh4Analytic1Chart2XValue8</t>
  </si>
  <si>
    <t>tlOutputCh4Analytic1Table1Col3Row7</t>
  </si>
  <si>
    <t>tlOutputCh4Analytic1Chart1XValue9</t>
  </si>
  <si>
    <t>tlOutputCh4Analytic1Chart2XValue9</t>
  </si>
  <si>
    <t>tlOutputCh4Analytic1Table1Col3Row8</t>
  </si>
  <si>
    <t>tlOutputCh4Analytic1Chart1XValue10</t>
  </si>
  <si>
    <t>tlOutputCh4Analytic1Chart2XValue10</t>
  </si>
  <si>
    <t>tlOutputCh4Analytic1Chart1XValue11</t>
  </si>
  <si>
    <t>tlOutputCh4Analytic1Chart2XValue11</t>
  </si>
  <si>
    <t>tlOutputCh4Analytic1Chart1XValue12</t>
  </si>
  <si>
    <t>tlOutputCh4Analytic1Chart2XValue12</t>
  </si>
  <si>
    <t>tlOutputCh4Analytic1Table1Col4Row1</t>
  </si>
  <si>
    <t>tlOutputCh4Analytic1Table1Col4Row2</t>
  </si>
  <si>
    <t>tlOutputCh4Analytic1Table1Col4Row3</t>
  </si>
  <si>
    <t>tlOutputCh4Analytic1Chart1YaxisTitle</t>
  </si>
  <si>
    <t>tlOutputCh4Analytic1Chart2YaxisTitle</t>
  </si>
  <si>
    <t>tlOutputCh4Analytic1Table1Col4Row4</t>
  </si>
  <si>
    <t>tlOutputCh4Analytic1Chart1YValue1</t>
  </si>
  <si>
    <t>tlOutputCh4Analytic1Chart2YValue1</t>
  </si>
  <si>
    <t>tlOutputCh4Analytic1Table1Col4Row5</t>
  </si>
  <si>
    <t>tlOutputCh4Analytic1Chart1YValue2</t>
  </si>
  <si>
    <t>tlOutputCh4Analytic1Chart2YValue2</t>
  </si>
  <si>
    <t>tlOutputCh4Analytic1Table1Col4Row6</t>
  </si>
  <si>
    <t>tlOutputCh4Analytic1Chart1YValue3</t>
  </si>
  <si>
    <t>tlOutputCh4Analytic1Chart2YValue3</t>
  </si>
  <si>
    <t>tlOutputCh4Analytic1Table1Col4Row7</t>
  </si>
  <si>
    <t>tlOutputCh4Analytic1Chart1YValue4</t>
  </si>
  <si>
    <t>tlOutputCh4Analytic1Chart2YValue4</t>
  </si>
  <si>
    <t>tlOutputCh4Analytic1Table1Col4Row8</t>
  </si>
  <si>
    <t>tlOutputCh4Analytic1Chart1YValue5</t>
  </si>
  <si>
    <t>tlOutputCh4Analytic1Chart2YValue5</t>
  </si>
  <si>
    <t>tlOutputCh4Analytic1Chart1YValue6</t>
  </si>
  <si>
    <t>tlOutputCh4Analytic1Chart2YValue6</t>
  </si>
  <si>
    <t>tlOutputCh4Analytic1Chart1YValue7</t>
  </si>
  <si>
    <t>tlOutputCh4Analytic1Chart2YValue7</t>
  </si>
  <si>
    <t>tlOutputCh4Analytic1Table1Col5Row1</t>
  </si>
  <si>
    <t>tlOutputCh4Analytic1Chart1YValue8</t>
  </si>
  <si>
    <t>tlOutputCh4Analytic1Chart2YValue8</t>
  </si>
  <si>
    <t>tlOutputCh4Analytic1Table1Col5Row2</t>
  </si>
  <si>
    <t>tlOutputCh4Analytic1Chart1YValue9</t>
  </si>
  <si>
    <t>tlOutputCh4Analytic1Chart2YValue9</t>
  </si>
  <si>
    <t>tlOutputCh4Analytic1Table1Col5Row3</t>
  </si>
  <si>
    <t>tlOutputCh4Analytic1Chart1YValue10</t>
  </si>
  <si>
    <t>tlOutputCh4Analytic1Chart2YValue10</t>
  </si>
  <si>
    <t>tlOutputCh4Analytic1Table1Col5Row4</t>
  </si>
  <si>
    <t>tlOutputCh4Analytic1Chart1YValue11</t>
  </si>
  <si>
    <t>tlOutputCh4Analytic1Chart2YValue11</t>
  </si>
  <si>
    <t>tlOutputCh4Analytic1Table1Col5Row5</t>
  </si>
  <si>
    <t>tlOutputCh4Analytic1Chart1YValue12</t>
  </si>
  <si>
    <t>tlOutputCh4Analytic1Chart2YValue12</t>
  </si>
  <si>
    <t>tlOutputCh4Analytic1Table1Col5Row6</t>
  </si>
  <si>
    <t>tlOutputCh4Analytic1Table1Col5Row7</t>
  </si>
  <si>
    <t>tlOutputCh4Analytic1Table1Col5Row8</t>
  </si>
  <si>
    <t>tlOutputCh4Analytic1Chart1BubbleSize1</t>
  </si>
  <si>
    <t>tlOutputCh4Analytic1Chart2BubbleSize1</t>
  </si>
  <si>
    <t>tlOutputCh4Analytic1Chart1BubbleSize2</t>
  </si>
  <si>
    <t>tlOutputCh4Analytic1Chart2BubbleSize2</t>
  </si>
  <si>
    <t>tlOutputCh4Analytic1Chart1BubbleSize3</t>
  </si>
  <si>
    <t>tlOutputCh4Analytic1Chart2BubbleSize3</t>
  </si>
  <si>
    <t>tlOutputCh4Analytic1Table1Col6Row1</t>
  </si>
  <si>
    <t>tlOutputCh4Analytic1Chart1BubbleSize4</t>
  </si>
  <si>
    <t>tlOutputCh4Analytic1Chart2BubbleSize4</t>
  </si>
  <si>
    <t>tlOutputCh4Analytic1Table1Col6Row2</t>
  </si>
  <si>
    <t>tlOutputCh4Analytic1Chart1BubbleSize5</t>
  </si>
  <si>
    <t>tlOutputCh4Analytic1Chart2BubbleSize5</t>
  </si>
  <si>
    <t>tlOutputCh4Analytic1Table1Col6Row3</t>
  </si>
  <si>
    <t>tlOutputCh4Analytic1Chart1BubbleSize6</t>
  </si>
  <si>
    <t>tlOutputCh4Analytic1Chart2BubbleSize6</t>
  </si>
  <si>
    <t>tlOutputCh4Analytic1Table1Col6Row4</t>
  </si>
  <si>
    <t>tlOutputCh4Analytic1Chart1BubbleSize7</t>
  </si>
  <si>
    <t>tlOutputCh4Analytic1Chart2BubbleSize7</t>
  </si>
  <si>
    <t>tlOutputCh4Analytic1Table1Col6Row5</t>
  </si>
  <si>
    <t>tlOutputCh4Analytic1Chart1BubbleSize8</t>
  </si>
  <si>
    <t>tlOutputCh4Analytic1Chart2BubbleSize8</t>
  </si>
  <si>
    <t>tlOutputCh4Analytic1Table1Col6Row6</t>
  </si>
  <si>
    <t>tlOutputCh4Analytic1Chart1BubbleSize9</t>
  </si>
  <si>
    <t>tlOutputCh4Analytic1Chart2BubbleSize9</t>
  </si>
  <si>
    <t>tlOutputCh4Analytic1Table1Col6Row7</t>
  </si>
  <si>
    <t>tlOutputCh4Analytic1Chart1BubbleSize10</t>
  </si>
  <si>
    <t>tlOutputCh4Analytic1Chart2BubbleSize10</t>
  </si>
  <si>
    <t>tlOutputCh4Analytic1Table1Col6Row8</t>
  </si>
  <si>
    <t>tlOutputCh4Analytic1Chart1BubbleSize11</t>
  </si>
  <si>
    <t>tlOutputCh4Analytic1Chart2BubbleSize11</t>
  </si>
  <si>
    <t>tlOutputCh4Analytic1Chart1BubbleSize12</t>
  </si>
  <si>
    <t>tlOutputCh4Analytic1Chart2BubbleSize12</t>
  </si>
  <si>
    <t>tlOutputCh4Analytic1Table1Col7Row1</t>
  </si>
  <si>
    <t>tlOutputCh4Analytic1Table1Col7Row2</t>
  </si>
  <si>
    <t>tlOutputCh4Analytic1Table1Col7Row3</t>
  </si>
  <si>
    <t>tlOutputCh4Analytic1Table1Col7Row4</t>
  </si>
  <si>
    <t>tlOutputCh4Analytic1Table1Col7Row5</t>
  </si>
  <si>
    <t>tlOutputCh4Analytic1Table1Col7Row6</t>
  </si>
  <si>
    <t>tlOutputCh4Analytic1Table1Col7Row7</t>
  </si>
  <si>
    <t>tlOutputCh4Analytic1Table1Col7Row8</t>
  </si>
  <si>
    <t>tlOutputCh4Analytic1Table1Col8Row1</t>
  </si>
  <si>
    <t>tlOutputCh4Analytic1Table1Col8Row2</t>
  </si>
  <si>
    <t>tlOutputCh4Analytic1Table1Col8Row3</t>
  </si>
  <si>
    <t>tlOutputCh4Analytic1Table1Col8Row4</t>
  </si>
  <si>
    <t>tlOutputCh4Analytic1Table1Col8Row5</t>
  </si>
  <si>
    <t>tlOutputCh4Analytic1Table1Col8Row6</t>
  </si>
  <si>
    <t>tlOutputCh4Analytic1Table1Col8Row7</t>
  </si>
  <si>
    <t>tlOutputCh4Analytic1Table1Col8Row8</t>
  </si>
  <si>
    <t>Ch4Analytics 2</t>
  </si>
  <si>
    <t>tlOutputCh4Analytic2Chart1Heading</t>
  </si>
  <si>
    <t>tlOutputCh4Analytic2Chart2Heading</t>
  </si>
  <si>
    <t>tlOutputCh4Analytic2Chart3Heading</t>
  </si>
  <si>
    <t>tlOutputCh4Analytic2Chart4Heading</t>
  </si>
  <si>
    <t>tlOutputCh4Analytic2Chart1Serie1Label1</t>
  </si>
  <si>
    <t>tlOutputCh4Analytic2Chart2Serie1Title</t>
  </si>
  <si>
    <t>tlOutputCh4Analytic2Chart3Type1</t>
  </si>
  <si>
    <t>tlOutputCh4Analytic2Chart4Type1</t>
  </si>
  <si>
    <t>tlOutputCh4Analytic2Chart1Serie1Point1</t>
  </si>
  <si>
    <t>tlOutputCh4Analytic2Chart2Serie2Title</t>
  </si>
  <si>
    <t>tlOutputCh4Analytic2Chart3Type2</t>
  </si>
  <si>
    <t>tlOutputCh4Analytic2Chart4Type2</t>
  </si>
  <si>
    <t>tlOutputCh4Analytic2Chart1Serie1Point2</t>
  </si>
  <si>
    <t>tlOutputCh4Analytic2Chart3Type3</t>
  </si>
  <si>
    <t>tlOutputCh4Analytic2Chart4Type3</t>
  </si>
  <si>
    <t>tlOutputCh4Analytic2Chart1Serie1Point3</t>
  </si>
  <si>
    <t>tlOutputCh4Analytic2Chart2Label1</t>
  </si>
  <si>
    <t>tlOutputCh4Analytic2Chart3Type4</t>
  </si>
  <si>
    <t>tlOutputCh4Analytic2Chart4Type4</t>
  </si>
  <si>
    <t>tlOutputCh4Analytic2Chart1Serie2Label1</t>
  </si>
  <si>
    <t>tlOutputCh4Analytic2Chart2Label2</t>
  </si>
  <si>
    <t>tlOutputCh4Analytic2Chart1Serie2Point1</t>
  </si>
  <si>
    <t>tlOutputCh4Analytic2Chart2Label3</t>
  </si>
  <si>
    <t>tlOutputCh4Analytic2Chart3Label1</t>
  </si>
  <si>
    <t>tlOutputCh4Analytic2Chart4Label1</t>
  </si>
  <si>
    <t>tlOutputCh4Analytic2Chart1Serie2Point2</t>
  </si>
  <si>
    <t>tlOutputCh4Analytic2Chart2Label4</t>
  </si>
  <si>
    <t>tlOutputCh4Analytic2Chart3Label2</t>
  </si>
  <si>
    <t>tlOutputCh4Analytic2Chart4Label2</t>
  </si>
  <si>
    <t>tlOutputCh4Analytic2Chart1Serie2Point3</t>
  </si>
  <si>
    <t>tlOutputCh4Analytic2Chart2Label5</t>
  </si>
  <si>
    <t>tlOutputCh4Analytic2Chart3Label3</t>
  </si>
  <si>
    <t>tlOutputCh4Analytic2Chart4Label3</t>
  </si>
  <si>
    <t>tlOutputCh4Analytic2Chart1Serie3Label1</t>
  </si>
  <si>
    <t>tlOutputCh4Analytic2Chart2Label6</t>
  </si>
  <si>
    <t>tlOutputCh4Analytic2Chart3Label4</t>
  </si>
  <si>
    <t>tlOutputCh4Analytic2Chart4Label4</t>
  </si>
  <si>
    <t>tlOutputCh4Analytic2Chart1Serie3Point1</t>
  </si>
  <si>
    <t>tlOutputCh4Analytic2Chart2Label7</t>
  </si>
  <si>
    <t>tlOutputCh4Analytic2Chart3Label5</t>
  </si>
  <si>
    <t>tlOutputCh4Analytic2Chart4Label5</t>
  </si>
  <si>
    <t>tlOutputCh4Analytic2Chart1Serie3Point2</t>
  </si>
  <si>
    <t>tlOutputCh4Analytic2Chart2Label8</t>
  </si>
  <si>
    <t>tlOutputCh4Analytic2Chart3Label6</t>
  </si>
  <si>
    <t>tlOutputCh4Analytic2Chart4Label6</t>
  </si>
  <si>
    <t>tlOutputCh4Analytic2Chart1Serie3Point3</t>
  </si>
  <si>
    <t>tlOutputCh4Analytic2Chart2Label9</t>
  </si>
  <si>
    <t>tlOutputCh4Analytic2Chart3Label7</t>
  </si>
  <si>
    <t>tlOutputCh4Analytic2Chart4Label7</t>
  </si>
  <si>
    <t>tlOutputCh4Analytic2Chart1Serie4Label1</t>
  </si>
  <si>
    <t>tlOutputCh4Analytic2Chart2Label10</t>
  </si>
  <si>
    <t>tlOutputCh4Analytic2Chart3Label8</t>
  </si>
  <si>
    <t>tlOutputCh4Analytic2Chart4Label8</t>
  </si>
  <si>
    <t>tlOutputCh4Analytic2Chart1Serie4Point1</t>
  </si>
  <si>
    <t>tlOutputCh4Analytic2Chart2Label11</t>
  </si>
  <si>
    <t>tlOutputCh4Analytic2Chart3Label9</t>
  </si>
  <si>
    <t>tlOutputCh4Analytic2Chart4Label9</t>
  </si>
  <si>
    <t>tlOutputCh4Analytic2Chart1Serie4Point2</t>
  </si>
  <si>
    <t>tlOutputCh4Analytic2Chart2Label12</t>
  </si>
  <si>
    <t>tlOutputCh4Analytic2Chart3Label10</t>
  </si>
  <si>
    <t>tlOutputCh4Analytic2Chart4Label10</t>
  </si>
  <si>
    <t>tlOutputCh4Analytic2Chart1Serie4Point3</t>
  </si>
  <si>
    <t>tlOutputCh4Analytic2Chart3Label11</t>
  </si>
  <si>
    <t>tlOutputCh4Analytic2Chart4Label11</t>
  </si>
  <si>
    <t>tlOutputCh4Analytic2Chart1Serie5Label1</t>
  </si>
  <si>
    <t>tlOutputCh4Analytic2Chart2Serie1Item1</t>
  </si>
  <si>
    <t>tlOutputCh4Analytic2Chart3Label12</t>
  </si>
  <si>
    <t>tlOutputCh4Analytic2Chart4Label12</t>
  </si>
  <si>
    <t>tlOutputCh4Analytic2Chart1Serie5Point1</t>
  </si>
  <si>
    <t>tlOutputCh4Analytic2Chart2Serie1Item2</t>
  </si>
  <si>
    <t>tlOutputCh4Analytic2Chart1Serie5Point2</t>
  </si>
  <si>
    <t>tlOutputCh4Analytic2Chart2Serie1Item3</t>
  </si>
  <si>
    <t>tlOutputCh4Analytic2Chart1Serie5Point3</t>
  </si>
  <si>
    <t>tlOutputCh4Analytic2Chart2Serie1Item4</t>
  </si>
  <si>
    <t>tlOutputCh4Analytic2Chart3XaxisTitle</t>
  </si>
  <si>
    <t>tlOutputCh4Analytic2Chart4XaxisTitle</t>
  </si>
  <si>
    <t>tlOutputCh4Analytic2Chart1Serie6Label1</t>
  </si>
  <si>
    <t>tlOutputCh4Analytic2Chart2Serie1Item5</t>
  </si>
  <si>
    <t>tlOutputCh4Analytic2Chart3XValue1</t>
  </si>
  <si>
    <t>tlOutputCh4Analytic2Chart4XValue1</t>
  </si>
  <si>
    <t>tlOutputCh4Analytic2Chart1Serie6Point1</t>
  </si>
  <si>
    <t>tlOutputCh4Analytic2Chart2Serie1Item6</t>
  </si>
  <si>
    <t>tlOutputCh4Analytic2Chart3XValue2</t>
  </si>
  <si>
    <t>tlOutputCh4Analytic2Chart4XValue2</t>
  </si>
  <si>
    <t>tlOutputCh4Analytic2Chart1Serie6Point2</t>
  </si>
  <si>
    <t>tlOutputCh4Analytic2Chart2Serie1Item7</t>
  </si>
  <si>
    <t>tlOutputCh4Analytic2Chart3XValue3</t>
  </si>
  <si>
    <t>tlOutputCh4Analytic2Chart4XValue3</t>
  </si>
  <si>
    <t>tlOutputCh4Analytic2Chart1Serie6Point3</t>
  </si>
  <si>
    <t>tlOutputCh4Analytic2Chart2Serie1Item8</t>
  </si>
  <si>
    <t>tlOutputCh4Analytic2Chart3XValue4</t>
  </si>
  <si>
    <t>tlOutputCh4Analytic2Chart4XValue4</t>
  </si>
  <si>
    <t>tlOutputCh4Analytic2Chart1Serie7Label1</t>
  </si>
  <si>
    <t>tlOutputCh4Analytic2Chart2Serie1Item9</t>
  </si>
  <si>
    <t>tlOutputCh4Analytic2Chart3XValue5</t>
  </si>
  <si>
    <t>tlOutputCh4Analytic2Chart4XValue5</t>
  </si>
  <si>
    <t>tlOutputCh4Analytic2Chart1Serie7Point1</t>
  </si>
  <si>
    <t>tlOutputCh4Analytic2Chart2Serie1Item10</t>
  </si>
  <si>
    <t>tlOutputCh4Analytic2Chart3XValue6</t>
  </si>
  <si>
    <t>tlOutputCh4Analytic2Chart4XValue6</t>
  </si>
  <si>
    <t>tlOutputCh4Analytic2Chart1Serie7Point2</t>
  </si>
  <si>
    <t>tlOutputCh4Analytic2Chart2Serie1Item11</t>
  </si>
  <si>
    <t>tlOutputCh4Analytic2Chart3XValue7</t>
  </si>
  <si>
    <t>tlOutputCh4Analytic2Chart4XValue7</t>
  </si>
  <si>
    <t>tlOutputCh4Analytic2Chart1Serie7Point3</t>
  </si>
  <si>
    <t>tlOutputCh4Analytic2Chart2Serie1Item12</t>
  </si>
  <si>
    <t>tlOutputCh4Analytic2Chart3XValue8</t>
  </si>
  <si>
    <t>tlOutputCh4Analytic2Chart4XValue8</t>
  </si>
  <si>
    <t>tlOutputCh4Analytic2Chart1Serie8Label1</t>
  </si>
  <si>
    <t>tlOutputCh4Analytic2Chart3XValue9</t>
  </si>
  <si>
    <t>tlOutputCh4Analytic2Chart4XValue9</t>
  </si>
  <si>
    <t>tlOutputCh4Analytic2Chart1Serie8Point1</t>
  </si>
  <si>
    <t>tlOutputCh4Analytic2Chart2Serie2Item1</t>
  </si>
  <si>
    <t>tlOutputCh4Analytic2Chart3XValue10</t>
  </si>
  <si>
    <t>tlOutputCh4Analytic2Chart4XValue10</t>
  </si>
  <si>
    <t>tlOutputCh4Analytic2Chart1Serie8Point2</t>
  </si>
  <si>
    <t>tlOutputCh4Analytic2Chart2Serie2Item2</t>
  </si>
  <si>
    <t>tlOutputCh4Analytic2Chart3XValue11</t>
  </si>
  <si>
    <t>tlOutputCh4Analytic2Chart4XValue11</t>
  </si>
  <si>
    <t>tlOutputCh4Analytic2Chart1Serie8Point3</t>
  </si>
  <si>
    <t>tlOutputCh4Analytic2Chart2Serie2Item3</t>
  </si>
  <si>
    <t>tlOutputCh4Analytic2Chart3XValue12</t>
  </si>
  <si>
    <t>tlOutputCh4Analytic2Chart4XValue12</t>
  </si>
  <si>
    <t>tlOutputCh4Analytic2Chart1Serie9Label1</t>
  </si>
  <si>
    <t>tlOutputCh4Analytic2Chart2Serie2Item4</t>
  </si>
  <si>
    <t>tlOutputCh4Analytic2Chart1Serie9Point1</t>
  </si>
  <si>
    <t>tlOutputCh4Analytic2Chart2Serie2Item5</t>
  </si>
  <si>
    <t>tlOutputCh4Analytic2Chart1Serie9Point2</t>
  </si>
  <si>
    <t>tlOutputCh4Analytic2Chart2Serie2Item6</t>
  </si>
  <si>
    <t>tlOutputCh4Analytic2Chart3YaxisTitle</t>
  </si>
  <si>
    <t>tlOutputCh4Analytic2Chart4YaxisTitle</t>
  </si>
  <si>
    <t>tlOutputCh4Analytic2Chart1Serie9Point3</t>
  </si>
  <si>
    <t>tlOutputCh4Analytic2Chart2Serie2Item7</t>
  </si>
  <si>
    <t>tlOutputCh4Analytic2Chart3YValue1</t>
  </si>
  <si>
    <t>tlOutputCh4Analytic2Chart4YValue1</t>
  </si>
  <si>
    <t>tlOutputCh4Analytic2Chart1Serie10Label1</t>
  </si>
  <si>
    <t>tlOutputCh4Analytic2Chart2Serie2Item8</t>
  </si>
  <si>
    <t>tlOutputCh4Analytic2Chart3YValue2</t>
  </si>
  <si>
    <t>tlOutputCh4Analytic2Chart4YValue2</t>
  </si>
  <si>
    <t>tlOutputCh4Analytic2Chart1Serie10Point1</t>
  </si>
  <si>
    <t>tlOutputCh4Analytic2Chart2Serie2Item9</t>
  </si>
  <si>
    <t>tlOutputCh4Analytic2Chart3YValue3</t>
  </si>
  <si>
    <t>tlOutputCh4Analytic2Chart4YValue3</t>
  </si>
  <si>
    <t>tlOutputCh4Analytic2Chart1Serie10Point2</t>
  </si>
  <si>
    <t>tlOutputCh4Analytic2Chart2Serie2Item10</t>
  </si>
  <si>
    <t>tlOutputCh4Analytic2Chart3YValue4</t>
  </si>
  <si>
    <t>tlOutputCh4Analytic2Chart4YValue4</t>
  </si>
  <si>
    <t>tlOutputCh4Analytic2Chart1Serie10Point3</t>
  </si>
  <si>
    <t>tlOutputCh4Analytic2Chart2Serie2Item11</t>
  </si>
  <si>
    <t>tlOutputCh4Analytic2Chart3YValue5</t>
  </si>
  <si>
    <t>tlOutputCh4Analytic2Chart4YValue5</t>
  </si>
  <si>
    <t>tlOutputCh4Analytic2Chart1Serie11Label1</t>
  </si>
  <si>
    <t>tlOutputCh4Analytic2Chart2Serie2Item12</t>
  </si>
  <si>
    <t>tlOutputCh4Analytic2Chart3YValue6</t>
  </si>
  <si>
    <t>tlOutputCh4Analytic2Chart4YValue6</t>
  </si>
  <si>
    <t>tlOutputCh4Analytic2Chart1Serie11Point1</t>
  </si>
  <si>
    <t>tlOutputCh4Analytic2Chart3YValue7</t>
  </si>
  <si>
    <t>tlOutputCh4Analytic2Chart4YValue7</t>
  </si>
  <si>
    <t>tlOutputCh4Analytic2Chart1Serie11Point2</t>
  </si>
  <si>
    <t>tlOutputCh4Analytic2Chart3YValue8</t>
  </si>
  <si>
    <t>tlOutputCh4Analytic2Chart4YValue8</t>
  </si>
  <si>
    <t>tlOutputCh4Analytic2Chart1Serie11Point3</t>
  </si>
  <si>
    <t>tlOutputCh4Analytic2Chart3YValue9</t>
  </si>
  <si>
    <t>tlOutputCh4Analytic2Chart4YValue9</t>
  </si>
  <si>
    <t>tlOutputCh4Analytic2Chart1Serie12Label1</t>
  </si>
  <si>
    <t>tlOutputCh4Analytic2Chart3YValue10</t>
  </si>
  <si>
    <t>tlOutputCh4Analytic2Chart4YValue10</t>
  </si>
  <si>
    <t>tlOutputCh4Analytic2Chart1Serie12Point1</t>
  </si>
  <si>
    <t>tlOutputCh4Analytic2Chart3YValue11</t>
  </si>
  <si>
    <t>tlOutputCh4Analytic2Chart4YValue11</t>
  </si>
  <si>
    <t>tlOutputCh4Analytic2Chart1Serie12Point2</t>
  </si>
  <si>
    <t>tlOutputCh4Analytic2Chart3YValue12</t>
  </si>
  <si>
    <t>tlOutputCh4Analytic2Chart4YValue12</t>
  </si>
  <si>
    <t>tlOutputCh4Analytic2Chart1Serie12Point3</t>
  </si>
  <si>
    <t>tlOutputCh4Analytic2Chart3BubbleSize1</t>
  </si>
  <si>
    <t>tlOutputCh4Analytic2Chart4BubbleSize1</t>
  </si>
  <si>
    <t>tlOutputCh4Analytic2Chart3BubbleSize2</t>
  </si>
  <si>
    <t>tlOutputCh4Analytic2Chart4BubbleSize2</t>
  </si>
  <si>
    <t>tlOutputCh4Analytic2Chart3BubbleSize3</t>
  </si>
  <si>
    <t>tlOutputCh4Analytic2Chart4BubbleSize3</t>
  </si>
  <si>
    <t>tlOutputCh4Analytic2Chart3BubbleSize4</t>
  </si>
  <si>
    <t>tlOutputCh4Analytic2Chart4BubbleSize4</t>
  </si>
  <si>
    <t>tlOutputCh4Analytic2Chart3BubbleSize5</t>
  </si>
  <si>
    <t>tlOutputCh4Analytic2Chart4BubbleSize5</t>
  </si>
  <si>
    <t>tlOutputCh4Analytic2Chart3BubbleSize6</t>
  </si>
  <si>
    <t>tlOutputCh4Analytic2Chart4BubbleSize6</t>
  </si>
  <si>
    <t>tlOutputCh4Analytic2Chart3BubbleSize7</t>
  </si>
  <si>
    <t>tlOutputCh4Analytic2Chart4BubbleSize7</t>
  </si>
  <si>
    <t>tlOutputCh4Analytic2Chart3BubbleSize8</t>
  </si>
  <si>
    <t>tlOutputCh4Analytic2Chart4BubbleSize8</t>
  </si>
  <si>
    <t>tlOutputCh4Analytic2Chart3BubbleSize9</t>
  </si>
  <si>
    <t>tlOutputCh4Analytic2Chart4BubbleSize9</t>
  </si>
  <si>
    <t>tlOutputCh4Analytic2Chart3BubbleSize10</t>
  </si>
  <si>
    <t>tlOutputCh4Analytic2Chart4BubbleSize10</t>
  </si>
  <si>
    <t>tlOutputCh4Analytic2Chart3BubbleSize11</t>
  </si>
  <si>
    <t>tlOutputCh4Analytic2Chart4BubbleSize11</t>
  </si>
  <si>
    <t>tlOutputCh4Analytic2Chart3BubbleSize12</t>
  </si>
  <si>
    <t>tlOutputCh4Analytic2Chart4BubbleSize12</t>
  </si>
  <si>
    <t>Connect this to tlInputTeamNumber on Intro page</t>
  </si>
  <si>
    <t>tlOutputCh1WaterfallxLabel1</t>
  </si>
  <si>
    <t>tlOutputCh1WaterfallxLabel2</t>
  </si>
  <si>
    <t>tlOutputCh1WaterfallxLabel3</t>
  </si>
  <si>
    <t>tlOutputCh1WaterfallxLabel4</t>
  </si>
  <si>
    <t>tlOutputCh1WaterfallxLabel5</t>
  </si>
  <si>
    <t>tlOutputCh1WaterfallxLabel6</t>
  </si>
  <si>
    <t>tlOutputCh1WaterfallInvisible1</t>
  </si>
  <si>
    <t>tlOutputCh1WaterfallInvisible2</t>
  </si>
  <si>
    <t>tlOutputCh1WaterfallInvisible3</t>
  </si>
  <si>
    <t>tlOutputCh1WaterfallInvisible4</t>
  </si>
  <si>
    <t>tlOutputCh1WaterfallInvisible5</t>
  </si>
  <si>
    <t>tlOutputCh1WaterfallInvisible6</t>
  </si>
  <si>
    <t>tlOutputCh1WaterfallVisible1</t>
  </si>
  <si>
    <t>tlOutputCh1WaterfallVisible2</t>
  </si>
  <si>
    <t>tlOutputCh1WaterfallVisible3</t>
  </si>
  <si>
    <t>tlOutputCh1WaterfallVisible4</t>
  </si>
  <si>
    <t>tlOutputCh1WaterfallVisible5</t>
  </si>
  <si>
    <t>tlOutputCh1WaterfallVisible6</t>
  </si>
  <si>
    <t>tlOutputCh2WaterfallxLabel1</t>
  </si>
  <si>
    <t>tlOutputCh2WaterfallxLabel2</t>
  </si>
  <si>
    <t>tlOutputCh2WaterfallxLabel3</t>
  </si>
  <si>
    <t>tlOutputCh2WaterfallxLabel4</t>
  </si>
  <si>
    <t>tlOutputCh2WaterfallxLabel5</t>
  </si>
  <si>
    <t>tlOutputCh2WaterfallxLabel6</t>
  </si>
  <si>
    <t>tlOutputCh2WaterfallInvisible1</t>
  </si>
  <si>
    <t>tlOutputCh2WaterfallInvisible2</t>
  </si>
  <si>
    <t>tlOutputCh2WaterfallInvisible3</t>
  </si>
  <si>
    <t>tlOutputCh2WaterfallInvisible4</t>
  </si>
  <si>
    <t>tlOutputCh2WaterfallInvisible5</t>
  </si>
  <si>
    <t>tlOutputCh2WaterfallInvisible6</t>
  </si>
  <si>
    <t>tlOutputCh2WaterfallVisible1</t>
  </si>
  <si>
    <t>tlOutputCh2WaterfallVisible2</t>
  </si>
  <si>
    <t>tlOutputCh2WaterfallVisible3</t>
  </si>
  <si>
    <t>tlOutputCh2WaterfallVisible4</t>
  </si>
  <si>
    <t>tlOutputCh2WaterfallVisible5</t>
  </si>
  <si>
    <t>tlOutputCh2WaterfallVisible6</t>
  </si>
  <si>
    <t>tlOutputCh3WaterfallxLabel1</t>
  </si>
  <si>
    <t>tlOutputCh3WaterfallxLabel2</t>
  </si>
  <si>
    <t>tlOutputCh3WaterfallxLabel3</t>
  </si>
  <si>
    <t>tlOutputCh3WaterfallxLabel4</t>
  </si>
  <si>
    <t>tlOutputCh3WaterfallxLabel5</t>
  </si>
  <si>
    <t>tlOutputCh3WaterfallxLabel6</t>
  </si>
  <si>
    <t>tlOutputCh3WaterfallInvisible1</t>
  </si>
  <si>
    <t>tlOutputCh3WaterfallInvisible2</t>
  </si>
  <si>
    <t>tlOutputCh3WaterfallInvisible3</t>
  </si>
  <si>
    <t>tlOutputCh3WaterfallInvisible4</t>
  </si>
  <si>
    <t>tlOutputCh3WaterfallInvisible5</t>
  </si>
  <si>
    <t>tlOutputCh3WaterfallInvisible6</t>
  </si>
  <si>
    <t>tlOutputCh3WaterfallVisible1</t>
  </si>
  <si>
    <t>tlOutputCh3WaterfallVisible2</t>
  </si>
  <si>
    <t>tlOutputCh3WaterfallVisible3</t>
  </si>
  <si>
    <t>tlOutputCh3WaterfallVisible4</t>
  </si>
  <si>
    <t>tlOutputCh3WaterfallVisible5</t>
  </si>
  <si>
    <t>tlOutputCh3WaterfallVisible6</t>
  </si>
  <si>
    <t>tlOutputCh4WaterfallxLabel1</t>
  </si>
  <si>
    <t>tlOutputCh4WaterfallxLabel2</t>
  </si>
  <si>
    <t>tlOutputCh4WaterfallxLabel3</t>
  </si>
  <si>
    <t>tlOutputCh4WaterfallxLabel4</t>
  </si>
  <si>
    <t>tlOutputCh4WaterfallxLabel5</t>
  </si>
  <si>
    <t>tlOutputCh4WaterfallxLabel6</t>
  </si>
  <si>
    <t>tlOutputCh4WaterfallInvisible1</t>
  </si>
  <si>
    <t>tlOutputCh4WaterfallInvisible2</t>
  </si>
  <si>
    <t>tlOutputCh4WaterfallInvisible3</t>
  </si>
  <si>
    <t>tlOutputCh4WaterfallInvisible4</t>
  </si>
  <si>
    <t>tlOutputCh4WaterfallInvisible5</t>
  </si>
  <si>
    <t>tlOutputCh4WaterfallInvisible6</t>
  </si>
  <si>
    <t>tlOutputCh4WaterfallVisible1</t>
  </si>
  <si>
    <t>tlOutputCh4WaterfallVisible2</t>
  </si>
  <si>
    <t>tlOutputCh4WaterfallVisible3</t>
  </si>
  <si>
    <t>tlOutputCh4WaterfallVisible4</t>
  </si>
  <si>
    <t>tlOutputCh4WaterfallVisible5</t>
  </si>
  <si>
    <t>tlOutputCh4WaterfallVisible6</t>
  </si>
  <si>
    <t>30 x 33cl Btl</t>
  </si>
  <si>
    <t>30 x 33cl Can</t>
  </si>
  <si>
    <t>paramCh1ValDriv4UnCondFactor</t>
  </si>
  <si>
    <t>paramCh2ValDriv4UnCondFactor</t>
  </si>
  <si>
    <t>paramCh3ValDriv4UnCondFactor</t>
  </si>
  <si>
    <t>paramCh4ValDriv4UnCondFactor</t>
  </si>
  <si>
    <t>paramCh1ValDriv5UnCondFactor</t>
  </si>
  <si>
    <t>paramCh2ValDriv5UnCondFactor</t>
  </si>
  <si>
    <t>paramCh3ValDriv5UnCondFactor</t>
  </si>
  <si>
    <t>paramCh4ValDriv5UnCondFactor</t>
  </si>
  <si>
    <t>paramCh1ValDriv1SIFactor</t>
  </si>
  <si>
    <t>paramCh2ValDriv1SIFactor</t>
  </si>
  <si>
    <t>paramCh3ValDriv1SIFactor</t>
  </si>
  <si>
    <t>paramCh4ValDriv1SIFactor</t>
  </si>
  <si>
    <t>paramCh1ValDriv2SIFactor</t>
  </si>
  <si>
    <t>paramCh2ValDriv2SIFactor</t>
  </si>
  <si>
    <t>paramCh3ValDriv2SIFactor</t>
  </si>
  <si>
    <t>paramCh4ValDriv2SIFactor</t>
  </si>
  <si>
    <t>paramCh1ValDriv3SIFactor</t>
  </si>
  <si>
    <t>paramCh2ValDriv3SIFactor</t>
  </si>
  <si>
    <t>paramCh3ValDriv3SIFactor</t>
  </si>
  <si>
    <t>paramCh4ValDriv3SIFactor</t>
  </si>
  <si>
    <t>paramCh1ValDriv4SIFactor</t>
  </si>
  <si>
    <t>paramCh2ValDriv4SIFactor</t>
  </si>
  <si>
    <t>paramCh3ValDriv4SIFactor</t>
  </si>
  <si>
    <t>paramCh4ValDriv4SIFactor</t>
  </si>
  <si>
    <t>paramCh1ValDriv5SIFactor</t>
  </si>
  <si>
    <t>paramCh2ValDriv5SIFactor</t>
  </si>
  <si>
    <t>paramCh3ValDriv5SIFactor</t>
  </si>
  <si>
    <t>paramCh4ValDriv5SIFactor</t>
  </si>
  <si>
    <t>cbalCh1ValDriv4</t>
  </si>
  <si>
    <t>cbalCh2ValDriv4</t>
  </si>
  <si>
    <t>cbalCh3ValDriv4</t>
  </si>
  <si>
    <t>cbalCh4ValDriv4</t>
  </si>
  <si>
    <t>cbalCh1ValDriv5</t>
  </si>
  <si>
    <t>cbalCh2ValDriv5</t>
  </si>
  <si>
    <t>cbalCh3ValDriv5</t>
  </si>
  <si>
    <t>cbalCh4ValDriv5</t>
  </si>
  <si>
    <t>obalCh1ValDriv4</t>
  </si>
  <si>
    <t>obalCh2ValDriv4</t>
  </si>
  <si>
    <t>obalCh3ValDriv4</t>
  </si>
  <si>
    <t>obalCh4ValDriv4</t>
  </si>
  <si>
    <t>obalCh1ValDriv5</t>
  </si>
  <si>
    <t>obalCh2ValDriv5</t>
  </si>
  <si>
    <t>obalCh3ValDriv5</t>
  </si>
  <si>
    <t>obalCh4ValDriv5</t>
  </si>
  <si>
    <t>calcCh1ValDriv4AccStart</t>
  </si>
  <si>
    <t>calcCh1ValDriv4AccEnd</t>
  </si>
  <si>
    <t>calcCh2ValDriv4AccStart</t>
  </si>
  <si>
    <t>calcCh2ValDriv4AccEnd</t>
  </si>
  <si>
    <t>calcCh3ValDriv4AccStart</t>
  </si>
  <si>
    <t>calcCh3ValDriv4AccEnd</t>
  </si>
  <si>
    <t>calcCh4ValDriv4AccStart</t>
  </si>
  <si>
    <t>calcCh4ValDriv4AccEnd</t>
  </si>
  <si>
    <t>calcCh1ValDriv5AccStart</t>
  </si>
  <si>
    <t>calcCh1ValDriv5AccEnd</t>
  </si>
  <si>
    <t>calcCh2ValDriv5AccStart</t>
  </si>
  <si>
    <t>calcCh2ValDriv5AccEnd</t>
  </si>
  <si>
    <t>calcCh3ValDriv5AccStart</t>
  </si>
  <si>
    <t>calcCh3ValDriv5AccEnd</t>
  </si>
  <si>
    <t>calcCh4ValDriv5AccStart</t>
  </si>
  <si>
    <t>calcCh4ValDriv5AccEnd</t>
  </si>
  <si>
    <t>tlDecSum</t>
  </si>
  <si>
    <t>Customer Wall</t>
  </si>
  <si>
    <t>Trade Marketing Analysis</t>
  </si>
  <si>
    <t>Improve Promotion Effectiveness</t>
  </si>
  <si>
    <t>Optimising Packaging Materials</t>
  </si>
  <si>
    <t>Sales and Operations Planning</t>
  </si>
  <si>
    <t>Next Generation Packaging</t>
  </si>
  <si>
    <t>cbalCh1RevenueTot</t>
  </si>
  <si>
    <t>cbalCh1GPaLTot</t>
  </si>
  <si>
    <t>cbalCh1GCCTot</t>
  </si>
  <si>
    <t>cbalCh1CustomerProfitTot</t>
  </si>
  <si>
    <t>obalCh1RevenueTot</t>
  </si>
  <si>
    <t>obalCh1GPaLTot</t>
  </si>
  <si>
    <t>obalCh1GCCTot</t>
  </si>
  <si>
    <t>obalCh1CustomerProfitTot</t>
  </si>
  <si>
    <t>obalCh2RevenueTot</t>
  </si>
  <si>
    <t>obalCh2GPaLTot</t>
  </si>
  <si>
    <t>obalCh2GCCTot</t>
  </si>
  <si>
    <t>obalCh2CustomerProfitTot</t>
  </si>
  <si>
    <t>obalCh3RevenueTot</t>
  </si>
  <si>
    <t>obalCh3GPaLTot</t>
  </si>
  <si>
    <t>obalCh3GCCTot</t>
  </si>
  <si>
    <t>obalCh3CustomerProfitTot</t>
  </si>
  <si>
    <t>obalCh4RevenueTot</t>
  </si>
  <si>
    <t>obalCh4GPaLTot</t>
  </si>
  <si>
    <t>obalCh4GCCTot</t>
  </si>
  <si>
    <t>obalCh4CustomerProfitTot</t>
  </si>
  <si>
    <t>cbalCh2RevenueTot</t>
  </si>
  <si>
    <t>cbalCh3RevenueTot</t>
  </si>
  <si>
    <t>cbalCh4RevenueTot</t>
  </si>
  <si>
    <t>cbalCh2GPaLTot</t>
  </si>
  <si>
    <t>cbalCh3GPaLTot</t>
  </si>
  <si>
    <t>cbalCh4GPaLTot</t>
  </si>
  <si>
    <t>cbalCh2GCCTot</t>
  </si>
  <si>
    <t>cbalCh3GCCTot</t>
  </si>
  <si>
    <t>cbalCh4GCCTot</t>
  </si>
  <si>
    <t>cbalCh2CustomerProfitTot</t>
  </si>
  <si>
    <t>cbalCh3CustomerProfitTot</t>
  </si>
  <si>
    <t>cbalCh4CustomerProfitTot</t>
  </si>
  <si>
    <t>tlOutputPackInnovationList</t>
  </si>
  <si>
    <t>tlOutputPackAvailableListCh1</t>
  </si>
  <si>
    <t>tlOutputPackAvailableListCh2</t>
  </si>
  <si>
    <t>tlOutputPackAvailableListCh3</t>
  </si>
  <si>
    <t>tlOutputPackAvailableListCh4</t>
  </si>
  <si>
    <t>tlOutputWaterfallListCh1</t>
  </si>
  <si>
    <t>tlOutputWaterfallListCh2</t>
  </si>
  <si>
    <t>tlOutputWaterfallListCh3</t>
  </si>
  <si>
    <t>tlOutputWaterfallListCh4</t>
  </si>
  <si>
    <t>tlOutputSIList</t>
  </si>
  <si>
    <t>Starting position</t>
  </si>
  <si>
    <t>Delta 1</t>
  </si>
  <si>
    <t>Delta 2</t>
  </si>
  <si>
    <t>Delta 3</t>
  </si>
  <si>
    <t>Delta 4</t>
  </si>
  <si>
    <t>Ending Position</t>
  </si>
  <si>
    <t>tlOutputCh1WaterfallStart</t>
  </si>
  <si>
    <t>tlOutputCh1WaterfallDelta1</t>
  </si>
  <si>
    <t>tlOutputCh1WaterfallDelta2</t>
  </si>
  <si>
    <t>tlOutputCh1WaterfallDelta3</t>
  </si>
  <si>
    <t>tlOutputCh1WaterfallDelta4</t>
  </si>
  <si>
    <t>tlOutputCh1WaterfallEnd</t>
  </si>
  <si>
    <t>Waterfall Chart</t>
  </si>
  <si>
    <t>tlOutputCh2WaterfallStart</t>
  </si>
  <si>
    <t>tlOutputCh2WaterfallDelta1</t>
  </si>
  <si>
    <t>tlOutputCh2WaterfallDelta2</t>
  </si>
  <si>
    <t>tlOutputCh2WaterfallDelta3</t>
  </si>
  <si>
    <t>tlOutputCh2WaterfallDelta4</t>
  </si>
  <si>
    <t>tlOutputCh2WaterfallEnd</t>
  </si>
  <si>
    <t>tlOutputCh3WaterfallStart</t>
  </si>
  <si>
    <t>tlOutputCh3WaterfallDelta1</t>
  </si>
  <si>
    <t>tlOutputCh3WaterfallDelta2</t>
  </si>
  <si>
    <t>tlOutputCh3WaterfallDelta3</t>
  </si>
  <si>
    <t>tlOutputCh3WaterfallDelta4</t>
  </si>
  <si>
    <t>tlOutputCh3WaterfallEnd</t>
  </si>
  <si>
    <t>tlOutputCh4WaterfallStart</t>
  </si>
  <si>
    <t>tlOutputCh4WaterfallDelta1</t>
  </si>
  <si>
    <t>tlOutputCh4WaterfallDelta2</t>
  </si>
  <si>
    <t>tlOutputCh4WaterfallDelta3</t>
  </si>
  <si>
    <t>tlOutputCh4WaterfallDelta4</t>
  </si>
  <si>
    <t>tlOutputCh4WaterfallEnd</t>
  </si>
  <si>
    <t>tloutputCh1Prod1Slot1RSPLow</t>
  </si>
  <si>
    <t>tloutputCh1Prod1Slot2RSPLow</t>
  </si>
  <si>
    <t>tloutputCh1Prod1Slot3RSPLow</t>
  </si>
  <si>
    <t>tloutputCh1Prod2Slot1RSPLow</t>
  </si>
  <si>
    <t>tloutputCh1Prod2Slot2RSPLow</t>
  </si>
  <si>
    <t>tloutputCh1Prod2Slot3RSPLow</t>
  </si>
  <si>
    <t>tloutputCh1Prod3Slot1RSPLow</t>
  </si>
  <si>
    <t>tloutputCh1Prod3Slot2RSPLow</t>
  </si>
  <si>
    <t>tloutputCh1Prod3Slot3RSPLow</t>
  </si>
  <si>
    <t>tloutputCh1Prod4Slot1RSPLow</t>
  </si>
  <si>
    <t>tloutputCh1Prod4Slot2RSPLow</t>
  </si>
  <si>
    <t>tloutputCh1Prod4Slot3RSPLow</t>
  </si>
  <si>
    <t>tloutputCh1Prod1Slot1RSPHigh</t>
  </si>
  <si>
    <t>tloutputCh1Prod1Slot2RSPHigh</t>
  </si>
  <si>
    <t>tloutputCh1Prod1Slot3RSPHigh</t>
  </si>
  <si>
    <t>tloutputCh1Prod2Slot1RSPHigh</t>
  </si>
  <si>
    <t>tloutputCh1Prod2Slot2RSPHigh</t>
  </si>
  <si>
    <t>tloutputCh1Prod2Slot3RSPHigh</t>
  </si>
  <si>
    <t>tloutputCh1Prod3Slot1RSPHigh</t>
  </si>
  <si>
    <t>tloutputCh1Prod3Slot2RSPHigh</t>
  </si>
  <si>
    <t>tloutputCh1Prod3Slot3RSPHigh</t>
  </si>
  <si>
    <t>tloutputCh1Prod4Slot1RSPHigh</t>
  </si>
  <si>
    <t>tloutputCh1Prod4Slot2RSPHigh</t>
  </si>
  <si>
    <t>tloutputCh1Prod4Slot3RSPHigh</t>
  </si>
  <si>
    <t>tloutputCh2Prod1Slot1RSPLow</t>
  </si>
  <si>
    <t>tloutputCh2Prod1Slot1RSPHigh</t>
  </si>
  <si>
    <t>tloutputCh2Prod1Slot2RSPLow</t>
  </si>
  <si>
    <t>tloutputCh2Prod1Slot2RSPHigh</t>
  </si>
  <si>
    <t>tloutputCh2Prod1Slot3RSPLow</t>
  </si>
  <si>
    <t>tloutputCh2Prod1Slot3RSPHigh</t>
  </si>
  <si>
    <t>tloutputCh2Prod2Slot1RSPLow</t>
  </si>
  <si>
    <t>tloutputCh2Prod2Slot1RSPHigh</t>
  </si>
  <si>
    <t>tloutputCh2Prod2Slot2RSPLow</t>
  </si>
  <si>
    <t>tloutputCh2Prod2Slot2RSPHigh</t>
  </si>
  <si>
    <t>tloutputCh2Prod2Slot3RSPLow</t>
  </si>
  <si>
    <t>tloutputCh2Prod2Slot3RSPHigh</t>
  </si>
  <si>
    <t>tloutputCh2Prod3Slot1RSPLow</t>
  </si>
  <si>
    <t>tloutputCh2Prod3Slot1RSPHigh</t>
  </si>
  <si>
    <t>tloutputCh2Prod3Slot2RSPLow</t>
  </si>
  <si>
    <t>tloutputCh2Prod3Slot2RSPHigh</t>
  </si>
  <si>
    <t>tloutputCh2Prod3Slot3RSPLow</t>
  </si>
  <si>
    <t>tloutputCh2Prod3Slot3RSPHigh</t>
  </si>
  <si>
    <t>tloutputCh2Prod4Slot1RSPLow</t>
  </si>
  <si>
    <t>tloutputCh2Prod4Slot1RSPHigh</t>
  </si>
  <si>
    <t>tloutputCh2Prod4Slot2RSPLow</t>
  </si>
  <si>
    <t>tloutputCh2Prod4Slot2RSPHigh</t>
  </si>
  <si>
    <t>tloutputCh2Prod4Slot3RSPLow</t>
  </si>
  <si>
    <t>tloutputCh2Prod4Slot3RSPHigh</t>
  </si>
  <si>
    <t>tloutputCh3Prod1Slot1RSPLow</t>
  </si>
  <si>
    <t>tloutputCh3Prod1Slot1RSPHigh</t>
  </si>
  <si>
    <t>tloutputCh3Prod1Slot2RSPLow</t>
  </si>
  <si>
    <t>tloutputCh3Prod1Slot2RSPHigh</t>
  </si>
  <si>
    <t>tloutputCh3Prod1Slot3RSPLow</t>
  </si>
  <si>
    <t>tloutputCh3Prod1Slot3RSPHigh</t>
  </si>
  <si>
    <t>tloutputCh3Prod2Slot1RSPLow</t>
  </si>
  <si>
    <t>tloutputCh3Prod2Slot1RSPHigh</t>
  </si>
  <si>
    <t>tloutputCh3Prod2Slot2RSPLow</t>
  </si>
  <si>
    <t>tloutputCh3Prod2Slot2RSPHigh</t>
  </si>
  <si>
    <t>tloutputCh3Prod2Slot3RSPLow</t>
  </si>
  <si>
    <t>tloutputCh3Prod2Slot3RSPHigh</t>
  </si>
  <si>
    <t>tloutputCh3Prod3Slot1RSPLow</t>
  </si>
  <si>
    <t>tloutputCh3Prod3Slot1RSPHigh</t>
  </si>
  <si>
    <t>tloutputCh3Prod3Slot2RSPLow</t>
  </si>
  <si>
    <t>tloutputCh3Prod3Slot2RSPHigh</t>
  </si>
  <si>
    <t>tloutputCh3Prod3Slot3RSPLow</t>
  </si>
  <si>
    <t>tloutputCh3Prod3Slot3RSPHigh</t>
  </si>
  <si>
    <t>tloutputCh3Prod4Slot1RSPLow</t>
  </si>
  <si>
    <t>tloutputCh3Prod4Slot1RSPHigh</t>
  </si>
  <si>
    <t>tloutputCh3Prod4Slot2RSPLow</t>
  </si>
  <si>
    <t>tloutputCh3Prod4Slot2RSPHigh</t>
  </si>
  <si>
    <t>tloutputCh3Prod4Slot3RSPLow</t>
  </si>
  <si>
    <t>tloutputCh3Prod4Slot3RSPHigh</t>
  </si>
  <si>
    <t>tloutputCh4Prod1Slot1RSPLow</t>
  </si>
  <si>
    <t>tloutputCh4Prod1Slot1RSPHigh</t>
  </si>
  <si>
    <t>tloutputCh4Prod1Slot2RSPLow</t>
  </si>
  <si>
    <t>tloutputCh4Prod1Slot2RSPHigh</t>
  </si>
  <si>
    <t>tloutputCh4Prod1Slot3RSPLow</t>
  </si>
  <si>
    <t>tloutputCh4Prod1Slot3RSPHigh</t>
  </si>
  <si>
    <t>tloutputCh4Prod2Slot1RSPLow</t>
  </si>
  <si>
    <t>tloutputCh4Prod2Slot1RSPHigh</t>
  </si>
  <si>
    <t>tloutputCh4Prod2Slot2RSPLow</t>
  </si>
  <si>
    <t>tloutputCh4Prod2Slot2RSPHigh</t>
  </si>
  <si>
    <t>tloutputCh4Prod2Slot3RSPLow</t>
  </si>
  <si>
    <t>tloutputCh4Prod2Slot3RSPHigh</t>
  </si>
  <si>
    <t>tloutputCh4Prod3Slot1RSPLow</t>
  </si>
  <si>
    <t>tloutputCh4Prod3Slot1RSPHigh</t>
  </si>
  <si>
    <t>tloutputCh4Prod3Slot2RSPLow</t>
  </si>
  <si>
    <t>tloutputCh4Prod3Slot2RSPHigh</t>
  </si>
  <si>
    <t>tloutputCh4Prod3Slot3RSPLow</t>
  </si>
  <si>
    <t>tloutputCh4Prod3Slot3RSPHigh</t>
  </si>
  <si>
    <t>tloutputCh4Prod4Slot1RSPLow</t>
  </si>
  <si>
    <t>tloutputCh4Prod4Slot1RSPHigh</t>
  </si>
  <si>
    <t>tloutputCh4Prod4Slot2RSPLow</t>
  </si>
  <si>
    <t>tloutputCh4Prod4Slot2RSPHigh</t>
  </si>
  <si>
    <t>tloutputCh4Prod4Slot3RSPLow</t>
  </si>
  <si>
    <t>tloutputCh4Prod4Slot3RSPHigh</t>
  </si>
  <si>
    <t>Kara Slot 1</t>
  </si>
  <si>
    <t>Avg Promo Price</t>
  </si>
  <si>
    <t xml:space="preserve">FB 2: </t>
  </si>
  <si>
    <t>(Intro)</t>
  </si>
  <si>
    <t>Same as FB1</t>
  </si>
  <si>
    <t xml:space="preserve">(Generals) </t>
  </si>
  <si>
    <t xml:space="preserve">Total general Rev (brand stacked) </t>
  </si>
  <si>
    <t>Total general Rev (channel stacked)</t>
  </si>
  <si>
    <t>(Shift to Story Arc - Growing Average price without having the customer profit drop - R2 - Increase Net Sales Per Litre across the board by 5%)</t>
  </si>
  <si>
    <t xml:space="preserve">Bar Graph NS/L per team with percentage growth or change on top </t>
  </si>
  <si>
    <t>Cluster Column DELTA NS/L per brand Per Team labelled average percentage (to show us average price per brand change)</t>
  </si>
  <si>
    <t>VOC (On - Trade for simplification) (X4 for each channel to see what happened)</t>
  </si>
  <si>
    <t xml:space="preserve">Price/Vol accompanying the Voc. </t>
  </si>
  <si>
    <t>(L2 on insights)</t>
  </si>
  <si>
    <t>Bar graph Average channel profit per team</t>
  </si>
  <si>
    <t xml:space="preserve">Cluster Column Delta channel profit per team </t>
  </si>
  <si>
    <t>5 Trade Term pieces "VOC" x4 (what did you do!?!?)</t>
  </si>
  <si>
    <t>(Zoom Out)</t>
  </si>
  <si>
    <t>GCC Per channel</t>
  </si>
  <si>
    <t>GPaL Per Channel</t>
  </si>
  <si>
    <t>(Finalise)</t>
  </si>
  <si>
    <t>League again - next steps.</t>
  </si>
  <si>
    <t>FB 3:</t>
  </si>
  <si>
    <t>(Standard intro) (All Trend lines)</t>
  </si>
  <si>
    <t>(Per Channel)</t>
  </si>
  <si>
    <t>GPaL%</t>
  </si>
  <si>
    <t>(Aggregates)</t>
  </si>
  <si>
    <t>(End)</t>
  </si>
  <si>
    <t>FB1: LP slide - theme and 3 key take aways</t>
  </si>
  <si>
    <t>News Funnies - Small League (rank, name, share price) - Big league (all metrics).</t>
  </si>
  <si>
    <t>(Generals)</t>
  </si>
  <si>
    <t>Total general Volume Rev (brand stacked) - Total general Volume Rev (channel stacked)</t>
  </si>
  <si>
    <t>(Zoom in on Channels for single flow - Harken Kara Hypermarkets)</t>
  </si>
  <si>
    <t>Gross Channel Contribution for other 3 channels - general round up</t>
  </si>
  <si>
    <t>(finalise)</t>
  </si>
  <si>
    <t>League - Focus points - Next Steps</t>
  </si>
  <si>
    <t xml:space="preserve"> Rev bar Brand in Channel </t>
  </si>
  <si>
    <t xml:space="preserve"> Stacked Rev bar brand with SKU labelled</t>
  </si>
  <si>
    <t>Stacked Bar Rev from Promo</t>
  </si>
  <si>
    <t xml:space="preserve">Cluster Bar Price/Litre RSP, Actual, Promo </t>
  </si>
  <si>
    <t xml:space="preserve"> Stacked Rev bar brand with SKU labelled and GPaL%</t>
  </si>
  <si>
    <t xml:space="preserve">Price/Volume Channel </t>
  </si>
  <si>
    <t>GPaL uplift</t>
  </si>
  <si>
    <t>Net revenue</t>
  </si>
  <si>
    <t>Sold volume</t>
  </si>
  <si>
    <t>obalCh1Prod1Slot1NetRev</t>
  </si>
  <si>
    <t>obalCh1Prod1Slot1SoldVol</t>
  </si>
  <si>
    <t>obalCh1Prod1Slot2NetRev</t>
  </si>
  <si>
    <t>obalCh1Prod1Slot2SoldVol</t>
  </si>
  <si>
    <t>obalCh1Prod1Slot3NetRev</t>
  </si>
  <si>
    <t>obalCh1Prod1Slot3SoldVol</t>
  </si>
  <si>
    <t>obalCh1Prod2Slot1NetRev</t>
  </si>
  <si>
    <t>obalCh1Prod2Slot1SoldVol</t>
  </si>
  <si>
    <t>obalCh1Prod2Slot2NetRev</t>
  </si>
  <si>
    <t>obalCh1Prod2Slot2SoldVol</t>
  </si>
  <si>
    <t>obalCh1Prod2Slot3NetRev</t>
  </si>
  <si>
    <t>obalCh1Prod2Slot3SoldVol</t>
  </si>
  <si>
    <t>obalCh1Prod3Slot1NetRev</t>
  </si>
  <si>
    <t>obalCh1Prod3Slot1SoldVol</t>
  </si>
  <si>
    <t>obalCh1Prod3Slot2NetRev</t>
  </si>
  <si>
    <t>obalCh1Prod3Slot2SoldVol</t>
  </si>
  <si>
    <t>obalCh1Prod3Slot3NetRev</t>
  </si>
  <si>
    <t>obalCh1Prod3Slot3SoldVol</t>
  </si>
  <si>
    <t>obalCh1Prod4Slot1NetRev</t>
  </si>
  <si>
    <t>obalCh1Prod4Slot1SoldVol</t>
  </si>
  <si>
    <t>obalCh1Prod4Slot2NetRev</t>
  </si>
  <si>
    <t>obalCh1Prod4Slot2SoldVol</t>
  </si>
  <si>
    <t>obalCh1Prod4Slot3NetRev</t>
  </si>
  <si>
    <t>obalCh1Prod4Slot3SoldVol</t>
  </si>
  <si>
    <t>obalCh2Prod1Slot1NetRev</t>
  </si>
  <si>
    <t>obalCh2Prod1Slot1SoldVol</t>
  </si>
  <si>
    <t>obalCh2Prod1Slot2NetRev</t>
  </si>
  <si>
    <t>obalCh2Prod1Slot2SoldVol</t>
  </si>
  <si>
    <t>obalCh2Prod1Slot3NetRev</t>
  </si>
  <si>
    <t>obalCh2Prod1Slot3SoldVol</t>
  </si>
  <si>
    <t>obalCh2Prod2Slot1NetRev</t>
  </si>
  <si>
    <t>obalCh2Prod2Slot1SoldVol</t>
  </si>
  <si>
    <t>obalCh2Prod2Slot2NetRev</t>
  </si>
  <si>
    <t>obalCh2Prod2Slot2SoldVol</t>
  </si>
  <si>
    <t>obalCh2Prod2Slot3NetRev</t>
  </si>
  <si>
    <t>obalCh2Prod2Slot3SoldVol</t>
  </si>
  <si>
    <t>obalCh2Prod3Slot1NetRev</t>
  </si>
  <si>
    <t>obalCh2Prod3Slot1SoldVol</t>
  </si>
  <si>
    <t>obalCh2Prod3Slot2NetRev</t>
  </si>
  <si>
    <t>obalCh2Prod3Slot2SoldVol</t>
  </si>
  <si>
    <t>obalCh2Prod3Slot3NetRev</t>
  </si>
  <si>
    <t>obalCh2Prod3Slot3SoldVol</t>
  </si>
  <si>
    <t>obalCh2Prod4Slot1NetRev</t>
  </si>
  <si>
    <t>obalCh2Prod4Slot1SoldVol</t>
  </si>
  <si>
    <t>obalCh2Prod4Slot2NetRev</t>
  </si>
  <si>
    <t>obalCh2Prod4Slot2SoldVol</t>
  </si>
  <si>
    <t>obalCh2Prod4Slot3NetRev</t>
  </si>
  <si>
    <t>obalCh2Prod4Slot3SoldVol</t>
  </si>
  <si>
    <t>obalCh3Prod1Slot1NetRev</t>
  </si>
  <si>
    <t>obalCh3Prod1Slot1SoldVol</t>
  </si>
  <si>
    <t>obalCh3Prod1Slot2NetRev</t>
  </si>
  <si>
    <t>obalCh3Prod1Slot2SoldVol</t>
  </si>
  <si>
    <t>obalCh3Prod1Slot3NetRev</t>
  </si>
  <si>
    <t>obalCh3Prod1Slot3SoldVol</t>
  </si>
  <si>
    <t>obalCh3Prod2Slot1NetRev</t>
  </si>
  <si>
    <t>obalCh3Prod2Slot1SoldVol</t>
  </si>
  <si>
    <t>obalCh3Prod2Slot2NetRev</t>
  </si>
  <si>
    <t>obalCh3Prod2Slot2SoldVol</t>
  </si>
  <si>
    <t>obalCh3Prod2Slot3NetRev</t>
  </si>
  <si>
    <t>obalCh3Prod2Slot3SoldVol</t>
  </si>
  <si>
    <t>obalCh3Prod3Slot1NetRev</t>
  </si>
  <si>
    <t>obalCh3Prod3Slot1SoldVol</t>
  </si>
  <si>
    <t>obalCh3Prod3Slot2NetRev</t>
  </si>
  <si>
    <t>obalCh3Prod3Slot2SoldVol</t>
  </si>
  <si>
    <t>obalCh3Prod3Slot3NetRev</t>
  </si>
  <si>
    <t>obalCh3Prod3Slot3SoldVol</t>
  </si>
  <si>
    <t>obalCh3Prod4Slot1NetRev</t>
  </si>
  <si>
    <t>obalCh3Prod4Slot1SoldVol</t>
  </si>
  <si>
    <t>obalCh3Prod4Slot2NetRev</t>
  </si>
  <si>
    <t>obalCh3Prod4Slot2SoldVol</t>
  </si>
  <si>
    <t>obalCh3Prod4Slot3NetRev</t>
  </si>
  <si>
    <t>obalCh3Prod4Slot3SoldVol</t>
  </si>
  <si>
    <t>obalCh4Prod1Slot1NetRev</t>
  </si>
  <si>
    <t>obalCh4Prod1Slot1SoldVol</t>
  </si>
  <si>
    <t>obalCh4Prod1Slot2NetRev</t>
  </si>
  <si>
    <t>obalCh4Prod1Slot2SoldVol</t>
  </si>
  <si>
    <t>obalCh4Prod1Slot3NetRev</t>
  </si>
  <si>
    <t>obalCh4Prod1Slot3SoldVol</t>
  </si>
  <si>
    <t>obalCh4Prod2Slot1NetRev</t>
  </si>
  <si>
    <t>obalCh4Prod2Slot1SoldVol</t>
  </si>
  <si>
    <t>obalCh4Prod2Slot2NetRev</t>
  </si>
  <si>
    <t>obalCh4Prod2Slot2SoldVol</t>
  </si>
  <si>
    <t>obalCh4Prod2Slot3NetRev</t>
  </si>
  <si>
    <t>obalCh4Prod2Slot3SoldVol</t>
  </si>
  <si>
    <t>obalCh4Prod3Slot1NetRev</t>
  </si>
  <si>
    <t>obalCh4Prod3Slot1SoldVol</t>
  </si>
  <si>
    <t>obalCh4Prod3Slot2NetRev</t>
  </si>
  <si>
    <t>obalCh4Prod3Slot2SoldVol</t>
  </si>
  <si>
    <t>obalCh4Prod3Slot3NetRev</t>
  </si>
  <si>
    <t>obalCh4Prod3Slot3SoldVol</t>
  </si>
  <si>
    <t>obalCh4Prod4Slot1NetRev</t>
  </si>
  <si>
    <t>obalCh4Prod4Slot1SoldVol</t>
  </si>
  <si>
    <t>obalCh4Prod4Slot2NetRev</t>
  </si>
  <si>
    <t>obalCh4Prod4Slot2SoldVol</t>
  </si>
  <si>
    <t>obalCh4Prod4Slot3NetRev</t>
  </si>
  <si>
    <t>obalCh4Prod4Slot3SoldVol</t>
  </si>
  <si>
    <t>cbalCh1Prod1Slot1NetRev</t>
  </si>
  <si>
    <t>cbalCh1Prod1Slot1SoldVol</t>
  </si>
  <si>
    <t>cbalCh1Prod1Slot3NetRev</t>
  </si>
  <si>
    <t>cbalCh1Prod1Slot3SoldVol</t>
  </si>
  <si>
    <t>cbalCh1Prod2Slot1NetRev</t>
  </si>
  <si>
    <t>cbalCh1Prod2Slot1SoldVol</t>
  </si>
  <si>
    <t>cbalCh1Prod2Slot2NetRev</t>
  </si>
  <si>
    <t>cbalCh1Prod2Slot2SoldVol</t>
  </si>
  <si>
    <t>cbalCh1Prod2Slot3NetRev</t>
  </si>
  <si>
    <t>cbalCh1Prod2Slot3SoldVol</t>
  </si>
  <si>
    <t>cbalCh1Prod3Slot1NetRev</t>
  </si>
  <si>
    <t>cbalCh1Prod3Slot1SoldVol</t>
  </si>
  <si>
    <t>cbalCh1Prod3Slot2NetRev</t>
  </si>
  <si>
    <t>cbalCh1Prod3Slot2SoldVol</t>
  </si>
  <si>
    <t>cbalCh1Prod3Slot3NetRev</t>
  </si>
  <si>
    <t>cbalCh1Prod3Slot3SoldVol</t>
  </si>
  <si>
    <t>cbalCh1Prod4Slot1NetRev</t>
  </si>
  <si>
    <t>cbalCh1Prod4Slot1SoldVol</t>
  </si>
  <si>
    <t>cbalCh1Prod4Slot2NetRev</t>
  </si>
  <si>
    <t>cbalCh1Prod4Slot2SoldVol</t>
  </si>
  <si>
    <t>cbalCh1Prod4Slot3NetRev</t>
  </si>
  <si>
    <t>cbalCh1Prod4Slot3SoldVol</t>
  </si>
  <si>
    <t>cbalCh2Prod1Slot1NetRev</t>
  </si>
  <si>
    <t>cbalCh2Prod1Slot1SoldVol</t>
  </si>
  <si>
    <t>cbalCh2Prod1Slot2NetRev</t>
  </si>
  <si>
    <t>cbalCh2Prod1Slot2SoldVol</t>
  </si>
  <si>
    <t>cbalCh2Prod1Slot3NetRev</t>
  </si>
  <si>
    <t>cbalCh2Prod1Slot3SoldVol</t>
  </si>
  <si>
    <t>cbalCh2Prod2Slot1NetRev</t>
  </si>
  <si>
    <t>cbalCh2Prod2Slot1SoldVol</t>
  </si>
  <si>
    <t>cbalCh2Prod2Slot2NetRev</t>
  </si>
  <si>
    <t>cbalCh2Prod2Slot2SoldVol</t>
  </si>
  <si>
    <t>cbalCh2Prod2Slot3NetRev</t>
  </si>
  <si>
    <t>cbalCh2Prod2Slot3SoldVol</t>
  </si>
  <si>
    <t>cbalCh2Prod3Slot1NetRev</t>
  </si>
  <si>
    <t>cbalCh2Prod3Slot1SoldVol</t>
  </si>
  <si>
    <t>cbalCh2Prod3Slot2NetRev</t>
  </si>
  <si>
    <t>cbalCh2Prod3Slot2SoldVol</t>
  </si>
  <si>
    <t>cbalCh2Prod3Slot3NetRev</t>
  </si>
  <si>
    <t>cbalCh2Prod3Slot3SoldVol</t>
  </si>
  <si>
    <t>cbalCh2Prod4Slot1NetRev</t>
  </si>
  <si>
    <t>cbalCh2Prod4Slot1SoldVol</t>
  </si>
  <si>
    <t>cbalCh2Prod4Slot2NetRev</t>
  </si>
  <si>
    <t>cbalCh2Prod4Slot2SoldVol</t>
  </si>
  <si>
    <t>cbalCh2Prod4Slot3NetRev</t>
  </si>
  <si>
    <t>cbalCh2Prod4Slot3SoldVol</t>
  </si>
  <si>
    <t>cbalCh3Prod1Slot1NetRev</t>
  </si>
  <si>
    <t>cbalCh3Prod1Slot1SoldVol</t>
  </si>
  <si>
    <t>cbalCh3Prod1Slot2NetRev</t>
  </si>
  <si>
    <t>cbalCh3Prod1Slot2SoldVol</t>
  </si>
  <si>
    <t>cbalCh3Prod1Slot3NetRev</t>
  </si>
  <si>
    <t>cbalCh3Prod1Slot3SoldVol</t>
  </si>
  <si>
    <t>cbalCh3Prod2Slot1NetRev</t>
  </si>
  <si>
    <t>cbalCh3Prod2Slot1SoldVol</t>
  </si>
  <si>
    <t>cbalCh3Prod2Slot2NetRev</t>
  </si>
  <si>
    <t>cbalCh3Prod2Slot2SoldVol</t>
  </si>
  <si>
    <t>cbalCh3Prod2Slot3NetRev</t>
  </si>
  <si>
    <t>cbalCh3Prod2Slot3SoldVol</t>
  </si>
  <si>
    <t>cbalCh3Prod3Slot1NetRev</t>
  </si>
  <si>
    <t>cbalCh3Prod3Slot1SoldVol</t>
  </si>
  <si>
    <t>cbalCh3Prod3Slot2NetRev</t>
  </si>
  <si>
    <t>cbalCh3Prod3Slot2SoldVol</t>
  </si>
  <si>
    <t>cbalCh3Prod3Slot3NetRev</t>
  </si>
  <si>
    <t>cbalCh3Prod3Slot3SoldVol</t>
  </si>
  <si>
    <t>cbalCh3Prod4Slot1NetRev</t>
  </si>
  <si>
    <t>cbalCh3Prod4Slot1SoldVol</t>
  </si>
  <si>
    <t>cbalCh3Prod4Slot2NetRev</t>
  </si>
  <si>
    <t>cbalCh3Prod4Slot2SoldVol</t>
  </si>
  <si>
    <t>cbalCh3Prod4Slot3NetRev</t>
  </si>
  <si>
    <t>cbalCh3Prod4Slot3SoldVol</t>
  </si>
  <si>
    <t>cbalCh4Prod1Slot1NetRev</t>
  </si>
  <si>
    <t>cbalCh4Prod1Slot1SoldVol</t>
  </si>
  <si>
    <t>cbalCh4Prod1Slot2NetRev</t>
  </si>
  <si>
    <t>cbalCh4Prod1Slot2SoldVol</t>
  </si>
  <si>
    <t>cbalCh4Prod1Slot3NetRev</t>
  </si>
  <si>
    <t>cbalCh4Prod1Slot3SoldVol</t>
  </si>
  <si>
    <t>cbalCh4Prod2Slot1NetRev</t>
  </si>
  <si>
    <t>cbalCh4Prod2Slot1SoldVol</t>
  </si>
  <si>
    <t>cbalCh4Prod2Slot2NetRev</t>
  </si>
  <si>
    <t>cbalCh4Prod2Slot2SoldVol</t>
  </si>
  <si>
    <t>cbalCh4Prod2Slot3NetRev</t>
  </si>
  <si>
    <t>cbalCh4Prod2Slot3SoldVol</t>
  </si>
  <si>
    <t>cbalCh4Prod3Slot1NetRev</t>
  </si>
  <si>
    <t>cbalCh4Prod3Slot1SoldVol</t>
  </si>
  <si>
    <t>cbalCh4Prod3Slot2NetRev</t>
  </si>
  <si>
    <t>cbalCh4Prod3Slot2SoldVol</t>
  </si>
  <si>
    <t>cbalCh4Prod3Slot3NetRev</t>
  </si>
  <si>
    <t>cbalCh4Prod3Slot3SoldVol</t>
  </si>
  <si>
    <t>cbalCh4Prod4Slot1NetRev</t>
  </si>
  <si>
    <t>cbalCh4Prod4Slot1SoldVol</t>
  </si>
  <si>
    <t>cbalCh4Prod4Slot2NetRev</t>
  </si>
  <si>
    <t>cbalCh4Prod4Slot2SoldVol</t>
  </si>
  <si>
    <t>cbalCh4Prod4Slot3NetRev</t>
  </si>
  <si>
    <t>cbalCh4Prod4Slot3SoldVol</t>
  </si>
  <si>
    <t>decCh1Prod1Forecast</t>
  </si>
  <si>
    <t>decCh1Prod2Forecast</t>
  </si>
  <si>
    <t>decCh1Prod3Forecast</t>
  </si>
  <si>
    <t>decCh1Prod4Forecast</t>
  </si>
  <si>
    <t>decCh2Prod1Forecast</t>
  </si>
  <si>
    <t>decCh2Prod2Forecast</t>
  </si>
  <si>
    <t>decCh2Prod3Forecast</t>
  </si>
  <si>
    <t>decCh2Prod4Forecast</t>
  </si>
  <si>
    <t>decCh3Prod1Forecast</t>
  </si>
  <si>
    <t>decCh3Prod2Forecast</t>
  </si>
  <si>
    <t>decCh3Prod3Forecast</t>
  </si>
  <si>
    <t>decCh3Prod4Forecast</t>
  </si>
  <si>
    <t>decCh4Prod1Forecast</t>
  </si>
  <si>
    <t>decCh4Prod2Forecast</t>
  </si>
  <si>
    <t>decCh4Prod3Forecast</t>
  </si>
  <si>
    <t>decCh4Prod4Forecast</t>
  </si>
  <si>
    <t>Opening Slots</t>
  </si>
  <si>
    <t>New Slots Opened</t>
  </si>
  <si>
    <t>calcCh1Prod1SlotsStart</t>
  </si>
  <si>
    <t>calcCh1Prod1SlotsNew</t>
  </si>
  <si>
    <t>calcCh1Prod1SlotsEnd</t>
  </si>
  <si>
    <t>Ending Slots</t>
  </si>
  <si>
    <t>New Slot Expense</t>
  </si>
  <si>
    <t>dataCh1Prod1NewSlotsExp</t>
  </si>
  <si>
    <t>calcCh1Prod1SlotsNextEmp1Req</t>
  </si>
  <si>
    <t>calcCh1Prod1SlotsNextExp</t>
  </si>
  <si>
    <t>calcCh1Prod1SlotsTotEmp1Req</t>
  </si>
  <si>
    <t>Total New Slost Expense</t>
  </si>
  <si>
    <t>calcCh1Prod1SlotsTotExp</t>
  </si>
  <si>
    <t>calcCh1Prod4SlotsStart</t>
  </si>
  <si>
    <t>calcCh1Prod4SlotsNew</t>
  </si>
  <si>
    <t>calcCh1Prod4SlotsEnd</t>
  </si>
  <si>
    <t>calcCh1Prod4SlotsNextEmp1Req</t>
  </si>
  <si>
    <t>calcCh1Prod4SlotsNextExp</t>
  </si>
  <si>
    <t>calcCh1Prod4SlotsTotEmp1Req</t>
  </si>
  <si>
    <t>calcCh1Prod4SlotsTotExp</t>
  </si>
  <si>
    <t>calcCh1Prod3SlotsStart</t>
  </si>
  <si>
    <t>calcCh1Prod3SlotsNew</t>
  </si>
  <si>
    <t>calcCh1Prod3SlotsEnd</t>
  </si>
  <si>
    <t>calcCh1Prod3SlotsNextEmp1Req</t>
  </si>
  <si>
    <t>calcCh1Prod3SlotsNextExp</t>
  </si>
  <si>
    <t>calcCh1Prod3SlotsTotEmp1Req</t>
  </si>
  <si>
    <t>calcCh1Prod3SlotsTotExp</t>
  </si>
  <si>
    <t>calcCh1Prod2SlotsStart</t>
  </si>
  <si>
    <t>calcCh1Prod2SlotsNew</t>
  </si>
  <si>
    <t>calcCh1Prod2SlotsEnd</t>
  </si>
  <si>
    <t>calcCh1Prod2SlotsNextEmp1Req</t>
  </si>
  <si>
    <t>calcCh1Prod2SlotsNextExp</t>
  </si>
  <si>
    <t>calcCh1Prod2SlotsTotEmp1Req</t>
  </si>
  <si>
    <t>calcCh1Prod2SlotsTotExp</t>
  </si>
  <si>
    <t>dataCh1Prod4NewSlotsExp</t>
  </si>
  <si>
    <t>dataCh1Prod3NewSlotsExp</t>
  </si>
  <si>
    <t>dataCh1Prod2NewSlotsExp</t>
  </si>
  <si>
    <t>dataCh4Prod1NewSlotsExp</t>
  </si>
  <si>
    <t>dataCh4Prod2NewSlotsExp</t>
  </si>
  <si>
    <t>dataCh4Prod3NewSlotsExp</t>
  </si>
  <si>
    <t>dataCh4Prod4NewSlotsExp</t>
  </si>
  <si>
    <t>dataCh3Prod1NewSlotsExp</t>
  </si>
  <si>
    <t>dataCh3Prod2NewSlotsExp</t>
  </si>
  <si>
    <t>dataCh3Prod3NewSlotsExp</t>
  </si>
  <si>
    <t>dataCh3Prod4NewSlotsExp</t>
  </si>
  <si>
    <t>dataCh2Prod1NewSlotsExp</t>
  </si>
  <si>
    <t>dataCh2Prod2NewSlotsExp</t>
  </si>
  <si>
    <t>dataCh2Prod3NewSlotsExp</t>
  </si>
  <si>
    <t>dataCh2Prod4NewSlotsExp</t>
  </si>
  <si>
    <t>calcCh2Prod1SlotsStart</t>
  </si>
  <si>
    <t>calcCh2Prod1SlotsNew</t>
  </si>
  <si>
    <t>calcCh2Prod1SlotsEnd</t>
  </si>
  <si>
    <t>calcCh2Prod1SlotsNextEmp1Req</t>
  </si>
  <si>
    <t>calcCh2Prod1SlotsNextExp</t>
  </si>
  <si>
    <t>calcCh2Prod1SlotsTotEmp1Req</t>
  </si>
  <si>
    <t>calcCh2Prod1SlotsTotExp</t>
  </si>
  <si>
    <t>calcCh2Prod2SlotsStart</t>
  </si>
  <si>
    <t>calcCh2Prod2SlotsNew</t>
  </si>
  <si>
    <t>calcCh2Prod2SlotsEnd</t>
  </si>
  <si>
    <t>calcCh2Prod2SlotsNextEmp1Req</t>
  </si>
  <si>
    <t>calcCh2Prod2SlotsNextExp</t>
  </si>
  <si>
    <t>calcCh2Prod2SlotsTotEmp1Req</t>
  </si>
  <si>
    <t>calcCh2Prod2SlotsTotExp</t>
  </si>
  <si>
    <t>calcCh2Prod3SlotsStart</t>
  </si>
  <si>
    <t>calcCh2Prod3SlotsNew</t>
  </si>
  <si>
    <t>calcCh2Prod3SlotsEnd</t>
  </si>
  <si>
    <t>calcCh2Prod3SlotsNextEmp1Req</t>
  </si>
  <si>
    <t>calcCh2Prod3SlotsNextExp</t>
  </si>
  <si>
    <t>calcCh2Prod3SlotsTotEmp1Req</t>
  </si>
  <si>
    <t>calcCh2Prod3SlotsTotExp</t>
  </si>
  <si>
    <t>calcCh2Prod4SlotsStart</t>
  </si>
  <si>
    <t>calcCh2Prod4SlotsNew</t>
  </si>
  <si>
    <t>calcCh2Prod4SlotsEnd</t>
  </si>
  <si>
    <t>calcCh2Prod4SlotsNextEmp1Req</t>
  </si>
  <si>
    <t>calcCh2Prod4SlotsNextExp</t>
  </si>
  <si>
    <t>calcCh2Prod4SlotsTotEmp1Req</t>
  </si>
  <si>
    <t>calcCh2Prod4SlotsTotExp</t>
  </si>
  <si>
    <t>calcCh3Prod1SlotsStart</t>
  </si>
  <si>
    <t>calcCh3Prod1SlotsNew</t>
  </si>
  <si>
    <t>calcCh3Prod1SlotsEnd</t>
  </si>
  <si>
    <t>calcCh3Prod1SlotsNextEmp1Req</t>
  </si>
  <si>
    <t>calcCh3Prod1SlotsNextExp</t>
  </si>
  <si>
    <t>calcCh3Prod1SlotsTotEmp1Req</t>
  </si>
  <si>
    <t>calcCh3Prod1SlotsTotExp</t>
  </si>
  <si>
    <t>calcCh3Prod2SlotsStart</t>
  </si>
  <si>
    <t>calcCh3Prod2SlotsNew</t>
  </si>
  <si>
    <t>calcCh3Prod2SlotsEnd</t>
  </si>
  <si>
    <t>calcCh3Prod2SlotsNextEmp1Req</t>
  </si>
  <si>
    <t>calcCh3Prod2SlotsNextExp</t>
  </si>
  <si>
    <t>calcCh3Prod2SlotsTotEmp1Req</t>
  </si>
  <si>
    <t>calcCh3Prod2SlotsTotExp</t>
  </si>
  <si>
    <t>calcCh3Prod3SlotsStart</t>
  </si>
  <si>
    <t>calcCh3Prod3SlotsNew</t>
  </si>
  <si>
    <t>calcCh3Prod3SlotsEnd</t>
  </si>
  <si>
    <t>calcCh3Prod3SlotsNextEmp1Req</t>
  </si>
  <si>
    <t>calcCh3Prod3SlotsNextExp</t>
  </si>
  <si>
    <t>calcCh3Prod3SlotsTotEmp1Req</t>
  </si>
  <si>
    <t>calcCh3Prod3SlotsTotExp</t>
  </si>
  <si>
    <t>calcCh3Prod4SlotsStart</t>
  </si>
  <si>
    <t>calcCh3Prod4SlotsNew</t>
  </si>
  <si>
    <t>calcCh3Prod4SlotsEnd</t>
  </si>
  <si>
    <t>calcCh3Prod4SlotsNextEmp1Req</t>
  </si>
  <si>
    <t>calcCh3Prod4SlotsNextExp</t>
  </si>
  <si>
    <t>calcCh3Prod4SlotsTotEmp1Req</t>
  </si>
  <si>
    <t>calcCh3Prod4SlotsTotExp</t>
  </si>
  <si>
    <t>calcCh4Prod1SlotsStart</t>
  </si>
  <si>
    <t>calcCh4Prod1SlotsNew</t>
  </si>
  <si>
    <t>calcCh4Prod1SlotsEnd</t>
  </si>
  <si>
    <t>calcCh4Prod1SlotsNextEmp1Req</t>
  </si>
  <si>
    <t>calcCh4Prod1SlotsNextExp</t>
  </si>
  <si>
    <t>calcCh4Prod1SlotsTotEmp1Req</t>
  </si>
  <si>
    <t>calcCh4Prod1SlotsTotExp</t>
  </si>
  <si>
    <t>calcCh4Prod2SlotsStart</t>
  </si>
  <si>
    <t>calcCh4Prod2SlotsNew</t>
  </si>
  <si>
    <t>calcCh4Prod2SlotsEnd</t>
  </si>
  <si>
    <t>calcCh4Prod2SlotsNextEmp1Req</t>
  </si>
  <si>
    <t>calcCh4Prod2SlotsNextExp</t>
  </si>
  <si>
    <t>calcCh4Prod2SlotsTotEmp1Req</t>
  </si>
  <si>
    <t>calcCh4Prod2SlotsTotExp</t>
  </si>
  <si>
    <t>calcCh4Prod3SlotsStart</t>
  </si>
  <si>
    <t>calcCh4Prod3SlotsNew</t>
  </si>
  <si>
    <t>calcCh4Prod3SlotsEnd</t>
  </si>
  <si>
    <t>calcCh4Prod3SlotsNextEmp1Req</t>
  </si>
  <si>
    <t>calcCh4Prod3SlotsNextExp</t>
  </si>
  <si>
    <t>calcCh4Prod3SlotsTotEmp1Req</t>
  </si>
  <si>
    <t>calcCh4Prod3SlotsTotExp</t>
  </si>
  <si>
    <t>calcCh4Prod4SlotsStart</t>
  </si>
  <si>
    <t>calcCh4Prod4SlotsNew</t>
  </si>
  <si>
    <t>calcCh4Prod4SlotsEnd</t>
  </si>
  <si>
    <t>calcCh4Prod4SlotsNextEmp1Req</t>
  </si>
  <si>
    <t>calcCh4Prod4SlotsNextExp</t>
  </si>
  <si>
    <t>calcCh4Prod4SlotsTotEmp1Req</t>
  </si>
  <si>
    <t>calcCh4Prod4SlotsTotExp</t>
  </si>
  <si>
    <t>Market Research</t>
  </si>
  <si>
    <t>tlOutputChartEmp1Reports</t>
  </si>
  <si>
    <t>tlOutputChartEmp1NewSlots</t>
  </si>
  <si>
    <t>calcCh1SlotsTotEmp1Req</t>
  </si>
  <si>
    <t>calcCh1SlotsTotExp</t>
  </si>
  <si>
    <t>calcCh2SlotsTotEmp1Req</t>
  </si>
  <si>
    <t>calcCh2SlotsTotExp</t>
  </si>
  <si>
    <t>calcCh3SlotsTotEmp1Req</t>
  </si>
  <si>
    <t>calcCh3SlotsTotExp</t>
  </si>
  <si>
    <t>calcCh4SlotsTotEmp1Req</t>
  </si>
  <si>
    <t>calcCh4SlotsTotExp</t>
  </si>
  <si>
    <t>Analytics Expenses</t>
  </si>
  <si>
    <t>paramCh1ReportsEmp1Req</t>
  </si>
  <si>
    <t>paramCh2ReportsEmp1Req</t>
  </si>
  <si>
    <t>paramCh3ReportsEmp1Req</t>
  </si>
  <si>
    <t>paramCh4ReportsEmp1Req</t>
  </si>
  <si>
    <t>paramCh4ReportsExp</t>
  </si>
  <si>
    <t>paramCh1ReportsExp</t>
  </si>
  <si>
    <t>paramCh2ReportsExp</t>
  </si>
  <si>
    <t>paramCh3ReportsExp</t>
  </si>
  <si>
    <t>Analutics Reports Expenses</t>
  </si>
  <si>
    <t>calcCh1AnalyticsEmp1Req</t>
  </si>
  <si>
    <t>calcCh1AnalyticsExp</t>
  </si>
  <si>
    <t>calcCh1AnalyticsNumberBought</t>
  </si>
  <si>
    <t>decCh1R1Report1</t>
  </si>
  <si>
    <t>decCh1R1Report2</t>
  </si>
  <si>
    <t>decCh1R2Report3</t>
  </si>
  <si>
    <t>decCh1R2Report4</t>
  </si>
  <si>
    <t>decCh1R3Report5</t>
  </si>
  <si>
    <t>decCh1R3Report6</t>
  </si>
  <si>
    <t>decCh2R1Report1</t>
  </si>
  <si>
    <t>decCh2R1Report2</t>
  </si>
  <si>
    <t>decCh2R2Report3</t>
  </si>
  <si>
    <t>decCh2R2Report4</t>
  </si>
  <si>
    <t>decCh2R3Report5</t>
  </si>
  <si>
    <t>decCh2R3Report6</t>
  </si>
  <si>
    <t>decCh3R1Report1</t>
  </si>
  <si>
    <t>decCh3R1Report2</t>
  </si>
  <si>
    <t>decCh3R2Report3</t>
  </si>
  <si>
    <t>decCh3R2Report4</t>
  </si>
  <si>
    <t>decCh3R3Report5</t>
  </si>
  <si>
    <t>decCh3R3Report6</t>
  </si>
  <si>
    <t>decCh4R1Report1</t>
  </si>
  <si>
    <t>decCh4R1Report2</t>
  </si>
  <si>
    <t>decCh4R2Report3</t>
  </si>
  <si>
    <t>decCh4R2Report4</t>
  </si>
  <si>
    <t>decCh4R3Report5</t>
  </si>
  <si>
    <t>decCh4R3Report6</t>
  </si>
  <si>
    <t>calcCh4AnalyticsNumberBought</t>
  </si>
  <si>
    <t>calcCh4AnalyticsEmp1Req</t>
  </si>
  <si>
    <t>calcCh4AnalyticsExp</t>
  </si>
  <si>
    <t>calcCh3AnalyticsNumberBought</t>
  </si>
  <si>
    <t>calcCh3AnalyticsEmp1Req</t>
  </si>
  <si>
    <t>calcCh3AnalyticsExp</t>
  </si>
  <si>
    <t>calcCh2AnalyticsNumberBought</t>
  </si>
  <si>
    <t>calcCh2AnalyticsEmp1Req</t>
  </si>
  <si>
    <t>calcCh2AnalyticsExp</t>
  </si>
  <si>
    <t>dataCh1PromoPlansExp</t>
  </si>
  <si>
    <t>dataCh3PromoPlansExp</t>
  </si>
  <si>
    <t>dataCh4PromoPlansExp</t>
  </si>
  <si>
    <t>TPR 20%</t>
  </si>
  <si>
    <t>TPR 50%</t>
  </si>
  <si>
    <t>TPR 33%</t>
  </si>
  <si>
    <t>No Plan</t>
  </si>
  <si>
    <t>tlOutputSiEmp1Req</t>
  </si>
  <si>
    <t>tlOutputSiExp</t>
  </si>
  <si>
    <t>tlOutputCh1VtstapleEnd</t>
  </si>
  <si>
    <t>tlOutputCh1VtStapleStart</t>
  </si>
  <si>
    <t>GPaL End</t>
  </si>
  <si>
    <t>GPaL Start</t>
  </si>
  <si>
    <t>Brand Mix</t>
  </si>
  <si>
    <t>Channel Mix</t>
  </si>
  <si>
    <t>Remove</t>
  </si>
  <si>
    <t>NS/Litre</t>
  </si>
  <si>
    <t>GPaL per Litre</t>
  </si>
  <si>
    <t>obalCh1Prod1Slot1GPaL</t>
  </si>
  <si>
    <t>obalCh1Prod1Slot1GPaLPerLitre</t>
  </si>
  <si>
    <t>obalCh1Prod1Slot1NetRevPerLtr</t>
  </si>
  <si>
    <t>Base Price</t>
  </si>
  <si>
    <t>obalCh1Prod1Slot1CustPrice</t>
  </si>
  <si>
    <t>obalCh1Prod1Slot1AvgPrice</t>
  </si>
  <si>
    <t>obalCh1Prod1Slot1WD</t>
  </si>
  <si>
    <t>obalCh1Prod1Slot1Pack</t>
  </si>
  <si>
    <t>obalCh1Prod1Slot2GPaL</t>
  </si>
  <si>
    <t>obalCh1Prod1Slot2NetRevPerLtr</t>
  </si>
  <si>
    <t>obalCh1Prod1Slot2GPaLPerLitre</t>
  </si>
  <si>
    <t>obalCh1Prod1Slot2CustPrice</t>
  </si>
  <si>
    <t>obalCh1Prod1Slot2AvgPrice</t>
  </si>
  <si>
    <t>obalCh1Prod1Slot2Pack</t>
  </si>
  <si>
    <t>obalCh1Prod1Slot2WD</t>
  </si>
  <si>
    <t>obalCh1Prod1Slot3GPaL</t>
  </si>
  <si>
    <t>obalCh1Prod1Slot3NetRevPerLtr</t>
  </si>
  <si>
    <t>obalCh1Prod1Slot3GPaLPerLitre</t>
  </si>
  <si>
    <t>obalCh1Prod1Slot3CustPrice</t>
  </si>
  <si>
    <t>obalCh1Prod1Slot3AvgPrice</t>
  </si>
  <si>
    <t>obalCh1Prod1Slot3Pack</t>
  </si>
  <si>
    <t>obalCh1Prod1Slot3WD</t>
  </si>
  <si>
    <t>obalCh1Prod4Slot1GPaL</t>
  </si>
  <si>
    <t>obalCh1Prod4Slot1NetRevPerLtr</t>
  </si>
  <si>
    <t>obalCh1Prod4Slot1GPaLPerLitre</t>
  </si>
  <si>
    <t>obalCh1Prod4Slot1CustPrice</t>
  </si>
  <si>
    <t>obalCh1Prod4Slot1AvgPrice</t>
  </si>
  <si>
    <t>obalCh1Prod4Slot1Pack</t>
  </si>
  <si>
    <t>obalCh1Prod4Slot1WD</t>
  </si>
  <si>
    <t>obalCh1Prod4Slot2GPaL</t>
  </si>
  <si>
    <t>obalCh1Prod4Slot2NetRevPerLtr</t>
  </si>
  <si>
    <t>obalCh1Prod4Slot2GPaLPerLitre</t>
  </si>
  <si>
    <t>obalCh1Prod4Slot2CustPrice</t>
  </si>
  <si>
    <t>obalCh1Prod4Slot2AvgPrice</t>
  </si>
  <si>
    <t>obalCh1Prod4Slot2Pack</t>
  </si>
  <si>
    <t>obalCh1Prod4Slot2WD</t>
  </si>
  <si>
    <t>obalCh1Prod4Slot3GPaL</t>
  </si>
  <si>
    <t>obalCh1Prod4Slot3NetRevPerLtr</t>
  </si>
  <si>
    <t>obalCh1Prod4Slot3GPaLPerLitre</t>
  </si>
  <si>
    <t>obalCh1Prod4Slot3CustPrice</t>
  </si>
  <si>
    <t>obalCh1Prod4Slot3AvgPrice</t>
  </si>
  <si>
    <t>obalCh1Prod4Slot3Pack</t>
  </si>
  <si>
    <t>obalCh1Prod4Slot3WD</t>
  </si>
  <si>
    <t>obalCh1Prod3Slot1GPaL</t>
  </si>
  <si>
    <t>obalCh1Prod3Slot1NetRevPerLtr</t>
  </si>
  <si>
    <t>obalCh1Prod3Slot1GPaLPerLitre</t>
  </si>
  <si>
    <t>obalCh1Prod3Slot1CustPrice</t>
  </si>
  <si>
    <t>obalCh1Prod3Slot1AvgPrice</t>
  </si>
  <si>
    <t>obalCh1Prod3Slot1Pack</t>
  </si>
  <si>
    <t>obalCh1Prod3Slot1WD</t>
  </si>
  <si>
    <t>obalCh1Prod3Slot2GPaL</t>
  </si>
  <si>
    <t>obalCh1Prod3Slot2NetRevPerLtr</t>
  </si>
  <si>
    <t>obalCh1Prod3Slot2GPaLPerLitre</t>
  </si>
  <si>
    <t>obalCh1Prod3Slot2CustPrice</t>
  </si>
  <si>
    <t>obalCh1Prod3Slot2AvgPrice</t>
  </si>
  <si>
    <t>obalCh1Prod3Slot2Pack</t>
  </si>
  <si>
    <t>obalCh1Prod3Slot2WD</t>
  </si>
  <si>
    <t>obalCh1Prod3Slot3GPaL</t>
  </si>
  <si>
    <t>obalCh1Prod3Slot3NetRevPerLtr</t>
  </si>
  <si>
    <t>obalCh1Prod3Slot3GPaLPerLitre</t>
  </si>
  <si>
    <t>obalCh1Prod3Slot3CustPrice</t>
  </si>
  <si>
    <t>obalCh1Prod3Slot3AvgPrice</t>
  </si>
  <si>
    <t>obalCh1Prod3Slot3Pack</t>
  </si>
  <si>
    <t>obalCh1Prod3Slot3WD</t>
  </si>
  <si>
    <t>obalCh1Prod2Slot1GPaL</t>
  </si>
  <si>
    <t>obalCh1Prod2Slot1NetRevPerLtr</t>
  </si>
  <si>
    <t>obalCh1Prod2Slot1GPaLPerLitre</t>
  </si>
  <si>
    <t>obalCh1Prod2Slot1CustPrice</t>
  </si>
  <si>
    <t>obalCh1Prod2Slot1AvgPrice</t>
  </si>
  <si>
    <t>obalCh1Prod2Slot1Pack</t>
  </si>
  <si>
    <t>obalCh1Prod2Slot1WD</t>
  </si>
  <si>
    <t>obalCh1Prod2Slot2GPaL</t>
  </si>
  <si>
    <t>obalCh1Prod2Slot2NetRevPerLtr</t>
  </si>
  <si>
    <t>obalCh1Prod2Slot2GPaLPerLitre</t>
  </si>
  <si>
    <t>obalCh1Prod2Slot2CustPrice</t>
  </si>
  <si>
    <t>obalCh1Prod2Slot2AvgPrice</t>
  </si>
  <si>
    <t>obalCh1Prod2Slot2Pack</t>
  </si>
  <si>
    <t>obalCh1Prod2Slot2WD</t>
  </si>
  <si>
    <t>obalCh1Prod2Slot3GPaL</t>
  </si>
  <si>
    <t>obalCh1Prod2Slot3NetRevPerLtr</t>
  </si>
  <si>
    <t>obalCh1Prod2Slot3GPaLPerLitre</t>
  </si>
  <si>
    <t>obalCh1Prod2Slot3CustPrice</t>
  </si>
  <si>
    <t>obalCh1Prod2Slot3AvgPrice</t>
  </si>
  <si>
    <t>obalCh1Prod2Slot3Pack</t>
  </si>
  <si>
    <t>obalCh1Prod2Slot3WD</t>
  </si>
  <si>
    <t>obalCh4Prod1Slot1GPaL</t>
  </si>
  <si>
    <t>obalCh4Prod1Slot1NetRevPerLtr</t>
  </si>
  <si>
    <t>obalCh4Prod1Slot1GPaLPerLitre</t>
  </si>
  <si>
    <t>obalCh4Prod1Slot1CustPrice</t>
  </si>
  <si>
    <t>obalCh4Prod1Slot1AvgPrice</t>
  </si>
  <si>
    <t>obalCh4Prod1Slot1Pack</t>
  </si>
  <si>
    <t>obalCh4Prod1Slot1WD</t>
  </si>
  <si>
    <t>obalCh4Prod1Slot2GPaL</t>
  </si>
  <si>
    <t>obalCh4Prod1Slot2NetRevPerLtr</t>
  </si>
  <si>
    <t>obalCh4Prod1Slot2GPaLPerLitre</t>
  </si>
  <si>
    <t>obalCh4Prod1Slot2CustPrice</t>
  </si>
  <si>
    <t>obalCh4Prod1Slot2AvgPrice</t>
  </si>
  <si>
    <t>obalCh4Prod1Slot2Pack</t>
  </si>
  <si>
    <t>obalCh4Prod1Slot2WD</t>
  </si>
  <si>
    <t>obalCh4Prod1Slot3GPaL</t>
  </si>
  <si>
    <t>obalCh4Prod1Slot3NetRevPerLtr</t>
  </si>
  <si>
    <t>obalCh4Prod1Slot3GPaLPerLitre</t>
  </si>
  <si>
    <t>obalCh4Prod1Slot3CustPrice</t>
  </si>
  <si>
    <t>obalCh4Prod1Slot3AvgPrice</t>
  </si>
  <si>
    <t>obalCh4Prod1Slot3Pack</t>
  </si>
  <si>
    <t>obalCh4Prod1Slot3WD</t>
  </si>
  <si>
    <t>obalCh4Prod2Slot1GPaL</t>
  </si>
  <si>
    <t>obalCh4Prod2Slot1NetRevPerLtr</t>
  </si>
  <si>
    <t>obalCh4Prod2Slot1GPaLPerLitre</t>
  </si>
  <si>
    <t>obalCh4Prod2Slot1CustPrice</t>
  </si>
  <si>
    <t>obalCh4Prod2Slot1AvgPrice</t>
  </si>
  <si>
    <t>obalCh4Prod2Slot1Pack</t>
  </si>
  <si>
    <t>obalCh4Prod2Slot1WD</t>
  </si>
  <si>
    <t>obalCh4Prod2Slot2GPaL</t>
  </si>
  <si>
    <t>obalCh4Prod2Slot2NetRevPerLtr</t>
  </si>
  <si>
    <t>obalCh4Prod2Slot2GPaLPerLitre</t>
  </si>
  <si>
    <t>obalCh4Prod2Slot2CustPrice</t>
  </si>
  <si>
    <t>obalCh4Prod2Slot2AvgPrice</t>
  </si>
  <si>
    <t>obalCh4Prod2Slot2Pack</t>
  </si>
  <si>
    <t>obalCh4Prod2Slot2WD</t>
  </si>
  <si>
    <t>obalCh4Prod2Slot3GPaL</t>
  </si>
  <si>
    <t>obalCh4Prod2Slot3NetRevPerLtr</t>
  </si>
  <si>
    <t>obalCh4Prod2Slot3GPaLPerLitre</t>
  </si>
  <si>
    <t>obalCh4Prod2Slot3CustPrice</t>
  </si>
  <si>
    <t>obalCh4Prod2Slot3AvgPrice</t>
  </si>
  <si>
    <t>obalCh4Prod2Slot3Pack</t>
  </si>
  <si>
    <t>obalCh4Prod2Slot3WD</t>
  </si>
  <si>
    <t>obalCh4Prod3Slot1GPaL</t>
  </si>
  <si>
    <t>obalCh4Prod3Slot1NetRevPerLtr</t>
  </si>
  <si>
    <t>obalCh4Prod3Slot1GPaLPerLitre</t>
  </si>
  <si>
    <t>obalCh4Prod3Slot1CustPrice</t>
  </si>
  <si>
    <t>obalCh4Prod3Slot1AvgPrice</t>
  </si>
  <si>
    <t>obalCh4Prod3Slot1Pack</t>
  </si>
  <si>
    <t>obalCh4Prod3Slot1WD</t>
  </si>
  <si>
    <t>obalCh4Prod3Slot2GPaL</t>
  </si>
  <si>
    <t>obalCh4Prod3Slot2NetRevPerLtr</t>
  </si>
  <si>
    <t>obalCh4Prod3Slot2GPaLPerLitre</t>
  </si>
  <si>
    <t>obalCh4Prod3Slot2CustPrice</t>
  </si>
  <si>
    <t>obalCh4Prod3Slot2AvgPrice</t>
  </si>
  <si>
    <t>obalCh4Prod3Slot2Pack</t>
  </si>
  <si>
    <t>obalCh4Prod3Slot2WD</t>
  </si>
  <si>
    <t>obalCh4Prod3Slot3GPaL</t>
  </si>
  <si>
    <t>obalCh4Prod3Slot3NetRevPerLtr</t>
  </si>
  <si>
    <t>obalCh4Prod3Slot3GPaLPerLitre</t>
  </si>
  <si>
    <t>obalCh4Prod3Slot3CustPrice</t>
  </si>
  <si>
    <t>obalCh4Prod3Slot3AvgPrice</t>
  </si>
  <si>
    <t>obalCh4Prod3Slot3Pack</t>
  </si>
  <si>
    <t>obalCh4Prod3Slot3WD</t>
  </si>
  <si>
    <t>obalCh4Prod4Slot1GPaL</t>
  </si>
  <si>
    <t>obalCh4Prod4Slot1NetRevPerLtr</t>
  </si>
  <si>
    <t>obalCh4Prod4Slot1GPaLPerLitre</t>
  </si>
  <si>
    <t>obalCh4Prod4Slot1CustPrice</t>
  </si>
  <si>
    <t>obalCh4Prod4Slot1AvgPrice</t>
  </si>
  <si>
    <t>obalCh4Prod4Slot1Pack</t>
  </si>
  <si>
    <t>obalCh4Prod4Slot1WD</t>
  </si>
  <si>
    <t>obalCh4Prod4Slot2GPaL</t>
  </si>
  <si>
    <t>obalCh4Prod4Slot2NetRevPerLtr</t>
  </si>
  <si>
    <t>obalCh4Prod4Slot2GPaLPerLitre</t>
  </si>
  <si>
    <t>obalCh4Prod4Slot2CustPrice</t>
  </si>
  <si>
    <t>obalCh4Prod4Slot2AvgPrice</t>
  </si>
  <si>
    <t>obalCh4Prod4Slot2Pack</t>
  </si>
  <si>
    <t>obalCh4Prod4Slot2WD</t>
  </si>
  <si>
    <t>obalCh4Prod4Slot3GPaL</t>
  </si>
  <si>
    <t>obalCh4Prod4Slot3NetRevPerLtr</t>
  </si>
  <si>
    <t>obalCh4Prod4Slot3GPaLPerLitre</t>
  </si>
  <si>
    <t>obalCh4Prod4Slot3CustPrice</t>
  </si>
  <si>
    <t>obalCh4Prod4Slot3AvgPrice</t>
  </si>
  <si>
    <t>obalCh4Prod4Slot3Pack</t>
  </si>
  <si>
    <t>obalCh4Prod4Slot3WD</t>
  </si>
  <si>
    <t>obalCh3Prod1Slot1GPaL</t>
  </si>
  <si>
    <t>obalCh3Prod1Slot1NetRevPerLtr</t>
  </si>
  <si>
    <t>obalCh3Prod1Slot1GPaLPerLitre</t>
  </si>
  <si>
    <t>obalCh3Prod1Slot1CustPrice</t>
  </si>
  <si>
    <t>obalCh3Prod1Slot1AvgPrice</t>
  </si>
  <si>
    <t>obalCh3Prod1Slot1Pack</t>
  </si>
  <si>
    <t>obalCh3Prod1Slot1WD</t>
  </si>
  <si>
    <t>obalCh3Prod1Slot2GPaL</t>
  </si>
  <si>
    <t>obalCh3Prod1Slot2NetRevPerLtr</t>
  </si>
  <si>
    <t>obalCh3Prod1Slot2GPaLPerLitre</t>
  </si>
  <si>
    <t>obalCh3Prod1Slot2CustPrice</t>
  </si>
  <si>
    <t>obalCh3Prod1Slot2AvgPrice</t>
  </si>
  <si>
    <t>obalCh3Prod1Slot2Pack</t>
  </si>
  <si>
    <t>obalCh3Prod1Slot2WD</t>
  </si>
  <si>
    <t>obalCh3Prod1Slot3GPaL</t>
  </si>
  <si>
    <t>obalCh3Prod1Slot3NetRevPerLtr</t>
  </si>
  <si>
    <t>obalCh3Prod1Slot3GPaLPerLitre</t>
  </si>
  <si>
    <t>obalCh3Prod1Slot3CustPrice</t>
  </si>
  <si>
    <t>obalCh3Prod1Slot3AvgPrice</t>
  </si>
  <si>
    <t>obalCh3Prod1Slot3Pack</t>
  </si>
  <si>
    <t>obalCh3Prod1Slot3WD</t>
  </si>
  <si>
    <t>obalCh3Prod2Slot1GPaL</t>
  </si>
  <si>
    <t>obalCh3Prod2Slot1NetRevPerLtr</t>
  </si>
  <si>
    <t>obalCh3Prod2Slot1GPaLPerLitre</t>
  </si>
  <si>
    <t>obalCh3Prod2Slot1CustPrice</t>
  </si>
  <si>
    <t>obalCh3Prod2Slot1AvgPrice</t>
  </si>
  <si>
    <t>obalCh3Prod2Slot1Pack</t>
  </si>
  <si>
    <t>obalCh3Prod2Slot1WD</t>
  </si>
  <si>
    <t>obalCh3Prod2Slot2GPaL</t>
  </si>
  <si>
    <t>obalCh3Prod2Slot2NetRevPerLtr</t>
  </si>
  <si>
    <t>obalCh3Prod2Slot2GPaLPerLitre</t>
  </si>
  <si>
    <t>obalCh3Prod2Slot2CustPrice</t>
  </si>
  <si>
    <t>obalCh3Prod2Slot2AvgPrice</t>
  </si>
  <si>
    <t>obalCh3Prod2Slot2Pack</t>
  </si>
  <si>
    <t>obalCh3Prod2Slot2WD</t>
  </si>
  <si>
    <t>obalCh3Prod2Slot3GPaL</t>
  </si>
  <si>
    <t>obalCh3Prod2Slot3NetRevPerLtr</t>
  </si>
  <si>
    <t>obalCh3Prod2Slot3GPaLPerLitre</t>
  </si>
  <si>
    <t>obalCh3Prod2Slot3CustPrice</t>
  </si>
  <si>
    <t>obalCh3Prod2Slot3AvgPrice</t>
  </si>
  <si>
    <t>obalCh3Prod2Slot3Pack</t>
  </si>
  <si>
    <t>obalCh3Prod2Slot3WD</t>
  </si>
  <si>
    <t>obalCh3Prod3Slot1GPaL</t>
  </si>
  <si>
    <t>obalCh3Prod3Slot1NetRevPerLtr</t>
  </si>
  <si>
    <t>obalCh3Prod3Slot1GPaLPerLitre</t>
  </si>
  <si>
    <t>obalCh3Prod3Slot1CustPrice</t>
  </si>
  <si>
    <t>obalCh3Prod3Slot1AvgPrice</t>
  </si>
  <si>
    <t>obalCh3Prod3Slot1Pack</t>
  </si>
  <si>
    <t>obalCh3Prod3Slot1WD</t>
  </si>
  <si>
    <t>obalCh3Prod3Slot2GPaL</t>
  </si>
  <si>
    <t>obalCh3Prod3Slot2NetRevPerLtr</t>
  </si>
  <si>
    <t>obalCh3Prod3Slot2GPaLPerLitre</t>
  </si>
  <si>
    <t>obalCh3Prod3Slot2CustPrice</t>
  </si>
  <si>
    <t>obalCh3Prod3Slot2AvgPrice</t>
  </si>
  <si>
    <t>obalCh3Prod3Slot2Pack</t>
  </si>
  <si>
    <t>obalCh3Prod3Slot2WD</t>
  </si>
  <si>
    <t>obalCh3Prod3Slot3GPaL</t>
  </si>
  <si>
    <t>obalCh3Prod3Slot3NetRevPerLtr</t>
  </si>
  <si>
    <t>obalCh3Prod3Slot3GPaLPerLitre</t>
  </si>
  <si>
    <t>obalCh3Prod3Slot3CustPrice</t>
  </si>
  <si>
    <t>obalCh3Prod3Slot3AvgPrice</t>
  </si>
  <si>
    <t>obalCh3Prod3Slot3Pack</t>
  </si>
  <si>
    <t>obalCh3Prod3Slot3WD</t>
  </si>
  <si>
    <t>obalCh3Prod4Slot1GPaL</t>
  </si>
  <si>
    <t>obalCh3Prod4Slot1NetRevPerLtr</t>
  </si>
  <si>
    <t>obalCh3Prod4Slot1GPaLPerLitre</t>
  </si>
  <si>
    <t>obalCh3Prod4Slot1CustPrice</t>
  </si>
  <si>
    <t>obalCh3Prod4Slot1AvgPrice</t>
  </si>
  <si>
    <t>obalCh3Prod4Slot1Pack</t>
  </si>
  <si>
    <t>obalCh3Prod4Slot1WD</t>
  </si>
  <si>
    <t>obalCh3Prod4Slot2GPaL</t>
  </si>
  <si>
    <t>obalCh3Prod4Slot2NetRevPerLtr</t>
  </si>
  <si>
    <t>obalCh3Prod4Slot2GPaLPerLitre</t>
  </si>
  <si>
    <t>obalCh3Prod4Slot2CustPrice</t>
  </si>
  <si>
    <t>obalCh3Prod4Slot2AvgPrice</t>
  </si>
  <si>
    <t>obalCh3Prod4Slot2Pack</t>
  </si>
  <si>
    <t>obalCh3Prod4Slot2WD</t>
  </si>
  <si>
    <t>obalCh3Prod4Slot3GPaL</t>
  </si>
  <si>
    <t>obalCh3Prod4Slot3NetRevPerLtr</t>
  </si>
  <si>
    <t>obalCh3Prod4Slot3GPaLPerLitre</t>
  </si>
  <si>
    <t>obalCh3Prod4Slot3CustPrice</t>
  </si>
  <si>
    <t>obalCh3Prod4Slot3AvgPrice</t>
  </si>
  <si>
    <t>obalCh3Prod4Slot3Pack</t>
  </si>
  <si>
    <t>obalCh3Prod4Slot3WD</t>
  </si>
  <si>
    <t>obalCh2Prod1Slot1GPaL</t>
  </si>
  <si>
    <t>obalCh2Prod1Slot1NetRevPerLtr</t>
  </si>
  <si>
    <t>obalCh2Prod1Slot1GPaLPerLitre</t>
  </si>
  <si>
    <t>obalCh2Prod1Slot1CustPrice</t>
  </si>
  <si>
    <t>obalCh2Prod1Slot1AvgPrice</t>
  </si>
  <si>
    <t>obalCh2Prod1Slot1Pack</t>
  </si>
  <si>
    <t>obalCh2Prod1Slot1WD</t>
  </si>
  <si>
    <t>obalCh2Prod1Slot2GPaL</t>
  </si>
  <si>
    <t>obalCh2Prod1Slot2NetRevPerLtr</t>
  </si>
  <si>
    <t>obalCh2Prod1Slot2GPaLPerLitre</t>
  </si>
  <si>
    <t>obalCh2Prod1Slot2CustPrice</t>
  </si>
  <si>
    <t>obalCh2Prod1Slot2AvgPrice</t>
  </si>
  <si>
    <t>obalCh2Prod1Slot2WD</t>
  </si>
  <si>
    <t>obalCh2Prod1Slot3GPaL</t>
  </si>
  <si>
    <t>obalCh2Prod1Slot3NetRevPerLtr</t>
  </si>
  <si>
    <t>obalCh2Prod1Slot3GPaLPerLitre</t>
  </si>
  <si>
    <t>obalCh2Prod1Slot3CustPrice</t>
  </si>
  <si>
    <t>obalCh2Prod1Slot3AvgPrice</t>
  </si>
  <si>
    <t>obalCh2Prod1Slot3Pack</t>
  </si>
  <si>
    <t>obalCh2Prod1Slot3WD</t>
  </si>
  <si>
    <t>obalCh2Prod2Slot1GPaL</t>
  </si>
  <si>
    <t>obalCh2Prod2Slot1NetRevPerLtr</t>
  </si>
  <si>
    <t>obalCh2Prod2Slot1GPaLPerLitre</t>
  </si>
  <si>
    <t>obalCh2Prod2Slot1CustPrice</t>
  </si>
  <si>
    <t>obalCh2Prod2Slot1AvgPrice</t>
  </si>
  <si>
    <t>obalCh2Prod2Slot1Pack</t>
  </si>
  <si>
    <t>obalCh2Prod2Slot1WD</t>
  </si>
  <si>
    <t>obalCh2Prod2Slot2GPaL</t>
  </si>
  <si>
    <t>obalCh2Prod2Slot2NetRevPerLtr</t>
  </si>
  <si>
    <t>obalCh2Prod2Slot2GPaLPerLitre</t>
  </si>
  <si>
    <t>obalCh2Prod2Slot2CustPrice</t>
  </si>
  <si>
    <t>obalCh2Prod2Slot2AvgPrice</t>
  </si>
  <si>
    <t>obalCh2Prod2Slot2Pack</t>
  </si>
  <si>
    <t>obalCh2Prod2Slot2WD</t>
  </si>
  <si>
    <t>obalCh2Prod2Slot3GPaL</t>
  </si>
  <si>
    <t>obalCh2Prod2Slot3NetRevPerLtr</t>
  </si>
  <si>
    <t>obalCh2Prod2Slot3GPaLPerLitre</t>
  </si>
  <si>
    <t>obalCh2Prod2Slot3CustPrice</t>
  </si>
  <si>
    <t>obalCh2Prod2Slot3AvgPrice</t>
  </si>
  <si>
    <t>obalCh2Prod2Slot3Pack</t>
  </si>
  <si>
    <t>obalCh2Prod2Slot3WD</t>
  </si>
  <si>
    <t>obalCh2Prod3Slot1GPaL</t>
  </si>
  <si>
    <t>obalCh2Prod3Slot1NetRevPerLtr</t>
  </si>
  <si>
    <t>obalCh2Prod3Slot1GPaLPerLitre</t>
  </si>
  <si>
    <t>obalCh2Prod3Slot1CustPrice</t>
  </si>
  <si>
    <t>obalCh2Prod3Slot1AvgPrice</t>
  </si>
  <si>
    <t>obalCh2Prod3Slot1Pack</t>
  </si>
  <si>
    <t>obalCh2Prod3Slot1WD</t>
  </si>
  <si>
    <t>obalCh2Prod3Slot2GPaL</t>
  </si>
  <si>
    <t>obalCh2Prod3Slot2NetRevPerLtr</t>
  </si>
  <si>
    <t>obalCh2Prod3Slot2GPaLPerLitre</t>
  </si>
  <si>
    <t>obalCh2Prod3Slot2CustPrice</t>
  </si>
  <si>
    <t>obalCh2Prod3Slot2AvgPrice</t>
  </si>
  <si>
    <t>obalCh2Prod3Slot2Pack</t>
  </si>
  <si>
    <t>obalCh2Prod3Slot2WD</t>
  </si>
  <si>
    <t>obalCh2Prod3Slot3GPaL</t>
  </si>
  <si>
    <t>obalCh2Prod3Slot3NetRevPerLtr</t>
  </si>
  <si>
    <t>obalCh2Prod3Slot3GPaLPerLitre</t>
  </si>
  <si>
    <t>obalCh2Prod3Slot3CustPrice</t>
  </si>
  <si>
    <t>obalCh2Prod3Slot3AvgPrice</t>
  </si>
  <si>
    <t>obalCh2Prod3Slot3Pack</t>
  </si>
  <si>
    <t>obalCh2Prod3Slot3WD</t>
  </si>
  <si>
    <t>obalCh2Prod4Slot1GPaL</t>
  </si>
  <si>
    <t>obalCh2Prod4Slot1NetRevPerLtr</t>
  </si>
  <si>
    <t>obalCh2Prod4Slot1GPaLPerLitre</t>
  </si>
  <si>
    <t>obalCh2Prod4Slot1CustPrice</t>
  </si>
  <si>
    <t>obalCh2Prod4Slot1AvgPrice</t>
  </si>
  <si>
    <t>obalCh2Prod4Slot1Pack</t>
  </si>
  <si>
    <t>obalCh2Prod4Slot1WD</t>
  </si>
  <si>
    <t>obalCh2Prod4Slot2GPaL</t>
  </si>
  <si>
    <t>obalCh2Prod4Slot2NetRevPerLtr</t>
  </si>
  <si>
    <t>obalCh2Prod4Slot2GPaLPerLitre</t>
  </si>
  <si>
    <t>obalCh2Prod4Slot2CustPrice</t>
  </si>
  <si>
    <t>obalCh2Prod4Slot2AvgPrice</t>
  </si>
  <si>
    <t>obalCh2Prod4Slot2Pack</t>
  </si>
  <si>
    <t>obalCh2Prod4Slot2WD</t>
  </si>
  <si>
    <t>obalCh2Prod4Slot3GPaL</t>
  </si>
  <si>
    <t>obalCh2Prod4Slot3NetRevPerLtr</t>
  </si>
  <si>
    <t>obalCh2Prod4Slot3GPaLPerLitre</t>
  </si>
  <si>
    <t>obalCh2Prod4Slot3CustPrice</t>
  </si>
  <si>
    <t>obalCh2Prod4Slot3AvgPrice</t>
  </si>
  <si>
    <t>obalCh2Prod4Slot3Pack</t>
  </si>
  <si>
    <t>obalCh2Prod4Slot3WD</t>
  </si>
  <si>
    <t>cbalCh1Prod1Slot1GPaL</t>
  </si>
  <si>
    <t>cbalCh1Prod1Slot1NetRevPerLtr</t>
  </si>
  <si>
    <t>cbalCh1Prod1Slot1GPaLPerLitre</t>
  </si>
  <si>
    <t>cbalCh1Prod1Slot1CustPrice</t>
  </si>
  <si>
    <t>cbalCh1Prod1Slot1AvgPrice</t>
  </si>
  <si>
    <t>cbalCh1Prod1Slot1Pack</t>
  </si>
  <si>
    <t>cbalCh1Prod1Slot1WD</t>
  </si>
  <si>
    <t>cbalCh1Prod1Slot2GPaLPerLitre</t>
  </si>
  <si>
    <t>cbalCh1Prod1Slot2CustPrice</t>
  </si>
  <si>
    <t>cbalCh1Prod1Slot2AvgPrice</t>
  </si>
  <si>
    <t>cbalCh1Prod1Slot2Pack</t>
  </si>
  <si>
    <t>cbalCh1Prod1Slot2WD</t>
  </si>
  <si>
    <t>cbalCh1Prod1Slot3GPaL</t>
  </si>
  <si>
    <t>cbalCh1Prod1Slot3NetRevPerLtr</t>
  </si>
  <si>
    <t>cbalCh1Prod1Slot3GPaLPerLitre</t>
  </si>
  <si>
    <t>cbalCh1Prod1Slot3CustPrice</t>
  </si>
  <si>
    <t>cbalCh1Prod1Slot3AvgPrice</t>
  </si>
  <si>
    <t>cbalCh1Prod1Slot3Pack</t>
  </si>
  <si>
    <t>cbalCh1Prod1Slot3WD</t>
  </si>
  <si>
    <t>cbalCh1Prod2Slot1GPaL</t>
  </si>
  <si>
    <t>cbalCh1Prod2Slot1NetRevPerLtr</t>
  </si>
  <si>
    <t>cbalCh1Prod2Slot1GPaLPerLitre</t>
  </si>
  <si>
    <t>cbalCh1Prod2Slot1CustPrice</t>
  </si>
  <si>
    <t>cbalCh1Prod2Slot1AvgPrice</t>
  </si>
  <si>
    <t>cbalCh1Prod2Slot1Pack</t>
  </si>
  <si>
    <t>cbalCh1Prod2Slot1WD</t>
  </si>
  <si>
    <t>cbalCh1Prod2Slot2GPaL</t>
  </si>
  <si>
    <t>cbalCh1Prod2Slot2NetRevPerLtr</t>
  </si>
  <si>
    <t>cbalCh1Prod2Slot2GPaLPerLitre</t>
  </si>
  <si>
    <t>cbalCh1Prod2Slot2CustPrice</t>
  </si>
  <si>
    <t>cbalCh1Prod2Slot2AvgPrice</t>
  </si>
  <si>
    <t>cbalCh1Prod2Slot2Pack</t>
  </si>
  <si>
    <t>cbalCh1Prod2Slot2WD</t>
  </si>
  <si>
    <t>cbalCh1Prod2Slot3GPaL</t>
  </si>
  <si>
    <t>cbalCh1Prod2Slot3NetRevPerLtr</t>
  </si>
  <si>
    <t>cbalCh1Prod2Slot3GPaLPerLitre</t>
  </si>
  <si>
    <t>cbalCh1Prod2Slot3CustPrice</t>
  </si>
  <si>
    <t>cbalCh1Prod2Slot3AvgPrice</t>
  </si>
  <si>
    <t>cbalCh1Prod2Slot3Pack</t>
  </si>
  <si>
    <t>cbalCh1Prod2Slot3WD</t>
  </si>
  <si>
    <t>cbalCh1Prod3Slot1GPaL</t>
  </si>
  <si>
    <t>cbalCh1Prod3Slot1NetRevPerLtr</t>
  </si>
  <si>
    <t>cbalCh1Prod3Slot1GPaLPerLitre</t>
  </si>
  <si>
    <t>cbalCh1Prod3Slot1CustPrice</t>
  </si>
  <si>
    <t>cbalCh1Prod3Slot1AvgPrice</t>
  </si>
  <si>
    <t>cbalCh1Prod3Slot1Pack</t>
  </si>
  <si>
    <t>cbalCh1Prod3Slot1WD</t>
  </si>
  <si>
    <t>cbalCh1Prod3Slot2GPaL</t>
  </si>
  <si>
    <t>cbalCh1Prod3Slot2NetRevPerLtr</t>
  </si>
  <si>
    <t>cbalCh1Prod3Slot2GPaLPerLitre</t>
  </si>
  <si>
    <t>cbalCh1Prod3Slot2CustPrice</t>
  </si>
  <si>
    <t>cbalCh1Prod3Slot2AvgPrice</t>
  </si>
  <si>
    <t>cbalCh1Prod3Slot2Pack</t>
  </si>
  <si>
    <t>cbalCh1Prod3Slot2WD</t>
  </si>
  <si>
    <t>cbalCh1Prod3Slot3GPaL</t>
  </si>
  <si>
    <t>cbalCh1Prod3Slot3NetRevPerLtr</t>
  </si>
  <si>
    <t>cbalCh1Prod3Slot3GPaLPerLitre</t>
  </si>
  <si>
    <t>cbalCh1Prod3Slot3CustPrice</t>
  </si>
  <si>
    <t>cbalCh1Prod3Slot3AvgPrice</t>
  </si>
  <si>
    <t>cbalCh1Prod3Slot3Pack</t>
  </si>
  <si>
    <t>cbalCh1Prod3Slot3WD</t>
  </si>
  <si>
    <t>cbalCh1Prod4Slot1GPaL</t>
  </si>
  <si>
    <t>cbalCh1Prod4Slot1NetRevPerLtr</t>
  </si>
  <si>
    <t>cbalCh1Prod4Slot1GPaLPerLitre</t>
  </si>
  <si>
    <t>cbalCh1Prod4Slot1CustPrice</t>
  </si>
  <si>
    <t>cbalCh1Prod4Slot1AvgPrice</t>
  </si>
  <si>
    <t>cbalCh1Prod4Slot1Pack</t>
  </si>
  <si>
    <t>cbalCh1Prod4Slot1WD</t>
  </si>
  <si>
    <t>cbalCh1Prod4Slot2GPaL</t>
  </si>
  <si>
    <t>cbalCh1Prod4Slot2NetRevPerLtr</t>
  </si>
  <si>
    <t>cbalCh1Prod4Slot2GPaLPerLitre</t>
  </si>
  <si>
    <t>cbalCh1Prod4Slot2CustPrice</t>
  </si>
  <si>
    <t>cbalCh1Prod4Slot2AvgPrice</t>
  </si>
  <si>
    <t>cbalCh1Prod4Slot2Pack</t>
  </si>
  <si>
    <t>cbalCh1Prod4Slot2WD</t>
  </si>
  <si>
    <t>cbalCh1Prod4Slot3GPaL</t>
  </si>
  <si>
    <t>cbalCh1Prod4Slot3NetRevPerLtr</t>
  </si>
  <si>
    <t>cbalCh1Prod4Slot3GPaLPerLitre</t>
  </si>
  <si>
    <t>cbalCh1Prod4Slot3CustPrice</t>
  </si>
  <si>
    <t>cbalCh1Prod4Slot3AvgPrice</t>
  </si>
  <si>
    <t>cbalCh1Prod4Slot3Pack</t>
  </si>
  <si>
    <t>cbalCh1Prod4Slot3WD</t>
  </si>
  <si>
    <t>cbalCh2Prod1Slot1GPaL</t>
  </si>
  <si>
    <t>cbalCh2Prod1Slot1NetRevPerLtr</t>
  </si>
  <si>
    <t>cbalCh2Prod1Slot1GPaLPerLitre</t>
  </si>
  <si>
    <t>cbalCh2Prod1Slot1CustPrice</t>
  </si>
  <si>
    <t>cbalCh2Prod1Slot1AvgPrice</t>
  </si>
  <si>
    <t>cbalCh2Prod1Slot1Pack</t>
  </si>
  <si>
    <t>cbalCh2Prod1Slot1WD</t>
  </si>
  <si>
    <t>cbalCh2Prod1Slot2GPaL</t>
  </si>
  <si>
    <t>cbalCh2Prod1Slot2NetRevPerLtr</t>
  </si>
  <si>
    <t>cbalCh2Prod1Slot2GPaLPerLitre</t>
  </si>
  <si>
    <t>cbalCh2Prod1Slot2CustPrice</t>
  </si>
  <si>
    <t>cbalCh2Prod1Slot2AvgPrice</t>
  </si>
  <si>
    <t>cbalCh2Prod1Slot2Pack</t>
  </si>
  <si>
    <t>cbalCh2Prod1Slot2WD</t>
  </si>
  <si>
    <t>cbalCh2Prod1Slot3GPaL</t>
  </si>
  <si>
    <t>cbalCh2Prod1Slot3NetRevPerLtr</t>
  </si>
  <si>
    <t>cbalCh2Prod1Slot3GPaLPerLitre</t>
  </si>
  <si>
    <t>cbalCh2Prod1Slot3CustPrice</t>
  </si>
  <si>
    <t>cbalCh2Prod1Slot3AvgPrice</t>
  </si>
  <si>
    <t>cbalCh2Prod1Slot3Pack</t>
  </si>
  <si>
    <t>cbalCh2Prod1Slot3WD</t>
  </si>
  <si>
    <t>cbalCh2Prod2Slot1GPaL</t>
  </si>
  <si>
    <t>cbalCh2Prod2Slot1NetRevPerLtr</t>
  </si>
  <si>
    <t>cbalCh2Prod2Slot1GPaLPerLitre</t>
  </si>
  <si>
    <t>cbalCh2Prod2Slot1CustPrice</t>
  </si>
  <si>
    <t>cbalCh2Prod2Slot1AvgPrice</t>
  </si>
  <si>
    <t>cbalCh2Prod2Slot1Pack</t>
  </si>
  <si>
    <t>cbalCh2Prod2Slot1WD</t>
  </si>
  <si>
    <t>cbalCh2Prod2Slot2GPaL</t>
  </si>
  <si>
    <t>cbalCh2Prod2Slot2NetRevPerLtr</t>
  </si>
  <si>
    <t>cbalCh2Prod2Slot2GPaLPerLitre</t>
  </si>
  <si>
    <t>cbalCh2Prod2Slot2CustPrice</t>
  </si>
  <si>
    <t>cbalCh2Prod2Slot2AvgPrice</t>
  </si>
  <si>
    <t>cbalCh2Prod2Slot2Pack</t>
  </si>
  <si>
    <t>cbalCh2Prod2Slot2WD</t>
  </si>
  <si>
    <t>cbalCh2Prod2Slot3GPaL</t>
  </si>
  <si>
    <t>cbalCh2Prod2Slot3NetRevPerLtr</t>
  </si>
  <si>
    <t>cbalCh2Prod2Slot3GPaLPerLitre</t>
  </si>
  <si>
    <t>cbalCh2Prod2Slot3CustPrice</t>
  </si>
  <si>
    <t>cbalCh2Prod2Slot3AvgPrice</t>
  </si>
  <si>
    <t>cbalCh2Prod2Slot3Pack</t>
  </si>
  <si>
    <t>cbalCh2Prod2Slot3WD</t>
  </si>
  <si>
    <t>cbalCh2Prod3Slot1GPaL</t>
  </si>
  <si>
    <t>cbalCh2Prod3Slot1NetRevPerLtr</t>
  </si>
  <si>
    <t>cbalCh2Prod3Slot1GPaLPerLitre</t>
  </si>
  <si>
    <t>cbalCh2Prod3Slot1CustPrice</t>
  </si>
  <si>
    <t>cbalCh2Prod3Slot1AvgPrice</t>
  </si>
  <si>
    <t>cbalCh2Prod3Slot1Pack</t>
  </si>
  <si>
    <t>cbalCh2Prod3Slot1WD</t>
  </si>
  <si>
    <t>cbalCh2Prod3Slot2GPaL</t>
  </si>
  <si>
    <t>cbalCh2Prod3Slot2NetRevPerLtr</t>
  </si>
  <si>
    <t>cbalCh2Prod3Slot2GPaLPerLitre</t>
  </si>
  <si>
    <t>cbalCh2Prod3Slot2CustPrice</t>
  </si>
  <si>
    <t>cbalCh2Prod3Slot2AvgPrice</t>
  </si>
  <si>
    <t>cbalCh2Prod3Slot2Pack</t>
  </si>
  <si>
    <t>cbalCh2Prod3Slot2WD</t>
  </si>
  <si>
    <t>cbalCh2Prod3Slot3GPaL</t>
  </si>
  <si>
    <t>cbalCh2Prod3Slot3NetRevPerLtr</t>
  </si>
  <si>
    <t>cbalCh2Prod3Slot3GPaLPerLitre</t>
  </si>
  <si>
    <t>cbalCh2Prod3Slot3CustPrice</t>
  </si>
  <si>
    <t>cbalCh2Prod3Slot3AvgPrice</t>
  </si>
  <si>
    <t>cbalCh2Prod3Slot3Pack</t>
  </si>
  <si>
    <t>cbalCh2Prod3Slot3WD</t>
  </si>
  <si>
    <t>cbalCh2Prod4Slot1GPaL</t>
  </si>
  <si>
    <t>cbalCh2Prod4Slot1NetRevPerLtr</t>
  </si>
  <si>
    <t>cbalCh2Prod4Slot1GPaLPerLitre</t>
  </si>
  <si>
    <t>cbalCh2Prod4Slot1CustPrice</t>
  </si>
  <si>
    <t>cbalCh2Prod4Slot1AvgPrice</t>
  </si>
  <si>
    <t>cbalCh2Prod4Slot1Pack</t>
  </si>
  <si>
    <t>cbalCh2Prod4Slot1WD</t>
  </si>
  <si>
    <t>cbalCh2Prod4Slot2GPaL</t>
  </si>
  <si>
    <t>cbalCh2Prod4Slot2NetRevPerLtr</t>
  </si>
  <si>
    <t>cbalCh2Prod4Slot2GPaLPerLitre</t>
  </si>
  <si>
    <t>cbalCh2Prod4Slot2CustPrice</t>
  </si>
  <si>
    <t>cbalCh2Prod4Slot2AvgPrice</t>
  </si>
  <si>
    <t>cbalCh2Prod4Slot2Pack</t>
  </si>
  <si>
    <t>cbalCh2Prod4Slot2WD</t>
  </si>
  <si>
    <t>cbalCh2Prod4Slot3GPaL</t>
  </si>
  <si>
    <t>cbalCh2Prod4Slot3NetRevPerLtr</t>
  </si>
  <si>
    <t>cbalCh2Prod4Slot3GPaLPerLitre</t>
  </si>
  <si>
    <t>cbalCh2Prod4Slot3CustPrice</t>
  </si>
  <si>
    <t>cbalCh2Prod4Slot3AvgPrice</t>
  </si>
  <si>
    <t>cbalCh2Prod4Slot3Pack</t>
  </si>
  <si>
    <t>cbalCh2Prod4Slot3WD</t>
  </si>
  <si>
    <t>cbalCh3Prod1Slot1GPaL</t>
  </si>
  <si>
    <t>cbalCh3Prod1Slot1NetRevPerLtr</t>
  </si>
  <si>
    <t>cbalCh3Prod1Slot1GPaLPerLitre</t>
  </si>
  <si>
    <t>cbalCh3Prod1Slot1CustPrice</t>
  </si>
  <si>
    <t>cbalCh3Prod1Slot1AvgPrice</t>
  </si>
  <si>
    <t>cbalCh3Prod1Slot1Pack</t>
  </si>
  <si>
    <t>cbalCh3Prod1Slot1WD</t>
  </si>
  <si>
    <t>cbalCh3Prod1Slot2GPaL</t>
  </si>
  <si>
    <t>cbalCh3Prod1Slot2NetRevPerLtr</t>
  </si>
  <si>
    <t>cbalCh3Prod1Slot2GPaLPerLitre</t>
  </si>
  <si>
    <t>cbalCh3Prod1Slot2CustPrice</t>
  </si>
  <si>
    <t>cbalCh3Prod1Slot2AvgPrice</t>
  </si>
  <si>
    <t>cbalCh3Prod1Slot2Pack</t>
  </si>
  <si>
    <t>cbalCh3Prod1Slot2WD</t>
  </si>
  <si>
    <t>cbalCh3Prod1Slot3GPaL</t>
  </si>
  <si>
    <t>cbalCh3Prod1Slot3NetRevPerLtr</t>
  </si>
  <si>
    <t>cbalCh3Prod1Slot3GPaLPerLitre</t>
  </si>
  <si>
    <t>cbalCh3Prod1Slot3CustPrice</t>
  </si>
  <si>
    <t>cbalCh3Prod1Slot3AvgPrice</t>
  </si>
  <si>
    <t>cbalCh3Prod1Slot3Pack</t>
  </si>
  <si>
    <t>cbalCh3Prod1Slot3WD</t>
  </si>
  <si>
    <t>cbalCh3Prod2Slot1GPaL</t>
  </si>
  <si>
    <t>cbalCh3Prod2Slot1NetRevPerLtr</t>
  </si>
  <si>
    <t>cbalCh3Prod2Slot1GPaLPerLitre</t>
  </si>
  <si>
    <t>cbalCh3Prod2Slot1CustPrice</t>
  </si>
  <si>
    <t>cbalCh3Prod2Slot1AvgPrice</t>
  </si>
  <si>
    <t>cbalCh3Prod2Slot1Pack</t>
  </si>
  <si>
    <t>cbalCh3Prod2Slot1WD</t>
  </si>
  <si>
    <t>cbalCh3Prod2Slot2GPaL</t>
  </si>
  <si>
    <t>cbalCh3Prod2Slot2NetRevPerLtr</t>
  </si>
  <si>
    <t>cbalCh3Prod2Slot2GPaLPerLitre</t>
  </si>
  <si>
    <t>cbalCh3Prod2Slot2CustPrice</t>
  </si>
  <si>
    <t>cbalCh3Prod2Slot2AvgPrice</t>
  </si>
  <si>
    <t>cbalCh3Prod2Slot2Pack</t>
  </si>
  <si>
    <t>cbalCh3Prod2Slot2WD</t>
  </si>
  <si>
    <t>cbalCh3Prod2Slot3GPaL</t>
  </si>
  <si>
    <t>cbalCh3Prod2Slot3NetRevPerLtr</t>
  </si>
  <si>
    <t>cbalCh3Prod2Slot3GPaLPerLitre</t>
  </si>
  <si>
    <t>cbalCh3Prod2Slot3CustPrice</t>
  </si>
  <si>
    <t>cbalCh3Prod2Slot3AvgPrice</t>
  </si>
  <si>
    <t>cbalCh3Prod2Slot3Pack</t>
  </si>
  <si>
    <t>cbalCh3Prod2Slot3WD</t>
  </si>
  <si>
    <t>cbalCh3Prod3Slot1GPaL</t>
  </si>
  <si>
    <t>cbalCh3Prod3Slot1NetRevPerLtr</t>
  </si>
  <si>
    <t>cbalCh3Prod3Slot1GPaLPerLitre</t>
  </si>
  <si>
    <t>cbalCh3Prod3Slot1CustPrice</t>
  </si>
  <si>
    <t>cbalCh3Prod3Slot1AvgPrice</t>
  </si>
  <si>
    <t>cbalCh3Prod3Slot1Pack</t>
  </si>
  <si>
    <t>cbalCh3Prod3Slot1WD</t>
  </si>
  <si>
    <t>cbalCh3Prod3Slot2GPaL</t>
  </si>
  <si>
    <t>cbalCh3Prod3Slot2NetRevPerLtr</t>
  </si>
  <si>
    <t>cbalCh3Prod3Slot2GPaLPerLitre</t>
  </si>
  <si>
    <t>cbalCh3Prod3Slot2CustPrice</t>
  </si>
  <si>
    <t>cbalCh3Prod3Slot2AvgPrice</t>
  </si>
  <si>
    <t>cbalCh3Prod3Slot2Pack</t>
  </si>
  <si>
    <t>cbalCh3Prod3Slot2WD</t>
  </si>
  <si>
    <t>cbalCh3Prod3Slot3GPaL</t>
  </si>
  <si>
    <t>cbalCh3Prod3Slot3NetRevPerLtr</t>
  </si>
  <si>
    <t>cbalCh3Prod3Slot3GPaLPerLitre</t>
  </si>
  <si>
    <t>cbalCh3Prod3Slot3CustPrice</t>
  </si>
  <si>
    <t>cbalCh3Prod3Slot3AvgPrice</t>
  </si>
  <si>
    <t>cbalCh3Prod3Slot3Pack</t>
  </si>
  <si>
    <t>cbalCh3Prod3Slot3WD</t>
  </si>
  <si>
    <t>cbalCh3Prod4Slot1GPaL</t>
  </si>
  <si>
    <t>cbalCh3Prod4Slot1NetRevPerLtr</t>
  </si>
  <si>
    <t>cbalCh3Prod4Slot1GPaLPerLitre</t>
  </si>
  <si>
    <t>cbalCh3Prod4Slot1CustPrice</t>
  </si>
  <si>
    <t>cbalCh3Prod4Slot1AvgPrice</t>
  </si>
  <si>
    <t>cbalCh3Prod4Slot1Pack</t>
  </si>
  <si>
    <t>cbalCh3Prod4Slot1WD</t>
  </si>
  <si>
    <t>cbalCh3Prod4Slot2GPaL</t>
  </si>
  <si>
    <t>cbalCh3Prod4Slot2NetRevPerLtr</t>
  </si>
  <si>
    <t>cbalCh3Prod4Slot2GPaLPerLitre</t>
  </si>
  <si>
    <t>cbalCh3Prod4Slot2CustPrice</t>
  </si>
  <si>
    <t>cbalCh3Prod4Slot2AvgPrice</t>
  </si>
  <si>
    <t>cbalCh3Prod4Slot2Pack</t>
  </si>
  <si>
    <t>cbalCh3Prod4Slot2WD</t>
  </si>
  <si>
    <t>cbalCh3Prod4Slot3GPaL</t>
  </si>
  <si>
    <t>cbalCh3Prod4Slot3NetRevPerLtr</t>
  </si>
  <si>
    <t>cbalCh3Prod4Slot3GPaLPerLitre</t>
  </si>
  <si>
    <t>cbalCh3Prod4Slot3CustPrice</t>
  </si>
  <si>
    <t>cbalCh3Prod4Slot3AvgPrice</t>
  </si>
  <si>
    <t>cbalCh3Prod4Slot3Pack</t>
  </si>
  <si>
    <t>cbalCh3Prod4Slot3WD</t>
  </si>
  <si>
    <t>cbalCh4Prod1Slot1GPaL</t>
  </si>
  <si>
    <t>cbalCh4Prod1Slot1NetRevPerLtr</t>
  </si>
  <si>
    <t>cbalCh4Prod1Slot1GPaLPerLitre</t>
  </si>
  <si>
    <t>cbalCh4Prod1Slot1CustPrice</t>
  </si>
  <si>
    <t>cbalCh4Prod1Slot1AvgPrice</t>
  </si>
  <si>
    <t>cbalCh4Prod1Slot1Pack</t>
  </si>
  <si>
    <t>cbalCh4Prod1Slot1WD</t>
  </si>
  <si>
    <t>cbalCh4Prod1Slot2GPaL</t>
  </si>
  <si>
    <t>cbalCh4Prod1Slot2NetRevPerLtr</t>
  </si>
  <si>
    <t>cbalCh4Prod1Slot2GPaLPerLitre</t>
  </si>
  <si>
    <t>cbalCh4Prod1Slot2CustPrice</t>
  </si>
  <si>
    <t>cbalCh4Prod1Slot2AvgPrice</t>
  </si>
  <si>
    <t>cbalCh4Prod1Slot2Pack</t>
  </si>
  <si>
    <t>cbalCh4Prod1Slot2WD</t>
  </si>
  <si>
    <t>cbalCh4Prod1Slot3GPaL</t>
  </si>
  <si>
    <t>cbalCh4Prod1Slot3NetRevPerLtr</t>
  </si>
  <si>
    <t>cbalCh4Prod1Slot3GPaLPerLitre</t>
  </si>
  <si>
    <t>cbalCh4Prod1Slot3CustPrice</t>
  </si>
  <si>
    <t>cbalCh4Prod1Slot3AvgPrice</t>
  </si>
  <si>
    <t>cbalCh4Prod1Slot3Pack</t>
  </si>
  <si>
    <t>cbalCh4Prod1Slot3WD</t>
  </si>
  <si>
    <t>cbalCh4Prod2Slot1GPaL</t>
  </si>
  <si>
    <t>cbalCh4Prod2Slot1NetRevPerLtr</t>
  </si>
  <si>
    <t>cbalCh4Prod2Slot1GPaLPerLitre</t>
  </si>
  <si>
    <t>cbalCh4Prod2Slot1CustPrice</t>
  </si>
  <si>
    <t>cbalCh4Prod2Slot1AvgPrice</t>
  </si>
  <si>
    <t>cbalCh4Prod2Slot1Pack</t>
  </si>
  <si>
    <t>cbalCh4Prod2Slot1WD</t>
  </si>
  <si>
    <t>cbalCh4Prod2Slot2GPaL</t>
  </si>
  <si>
    <t>cbalCh4Prod2Slot2NetRevPerLtr</t>
  </si>
  <si>
    <t>cbalCh4Prod2Slot2GPaLPerLitre</t>
  </si>
  <si>
    <t>cbalCh4Prod2Slot2CustPrice</t>
  </si>
  <si>
    <t>cbalCh4Prod2Slot2AvgPrice</t>
  </si>
  <si>
    <t>cbalCh4Prod2Slot2Pack</t>
  </si>
  <si>
    <t>cbalCh4Prod2Slot2WD</t>
  </si>
  <si>
    <t>cbalCh4Prod2Slot3GPaL</t>
  </si>
  <si>
    <t>cbalCh4Prod2Slot3NetRevPerLtr</t>
  </si>
  <si>
    <t>cbalCh4Prod2Slot3GPaLPerLitre</t>
  </si>
  <si>
    <t>cbalCh4Prod2Slot3CustPrice</t>
  </si>
  <si>
    <t>cbalCh4Prod2Slot3AvgPrice</t>
  </si>
  <si>
    <t>cbalCh4Prod2Slot3Pack</t>
  </si>
  <si>
    <t>cbalCh4Prod2Slot3WD</t>
  </si>
  <si>
    <t>cbalCh4Prod3Slot1GPaL</t>
  </si>
  <si>
    <t>cbalCh4Prod3Slot1NetRevPerLtr</t>
  </si>
  <si>
    <t>cbalCh4Prod3Slot1GPaLPerLitre</t>
  </si>
  <si>
    <t>cbalCh4Prod3Slot1CustPrice</t>
  </si>
  <si>
    <t>cbalCh4Prod3Slot1AvgPrice</t>
  </si>
  <si>
    <t>cbalCh4Prod3Slot1Pack</t>
  </si>
  <si>
    <t>cbalCh4Prod3Slot1WD</t>
  </si>
  <si>
    <t>cbalCh4Prod3Slot2GPaL</t>
  </si>
  <si>
    <t>cbalCh4Prod3Slot2NetRevPerLtr</t>
  </si>
  <si>
    <t>cbalCh4Prod3Slot2GPaLPerLitre</t>
  </si>
  <si>
    <t>cbalCh4Prod3Slot2CustPrice</t>
  </si>
  <si>
    <t>cbalCh4Prod3Slot2AvgPrice</t>
  </si>
  <si>
    <t>cbalCh4Prod3Slot2Pack</t>
  </si>
  <si>
    <t>cbalCh4Prod3Slot2WD</t>
  </si>
  <si>
    <t>cbalCh4Prod3Slot3GPaL</t>
  </si>
  <si>
    <t>cbalCh4Prod3Slot3NetRevPerLtr</t>
  </si>
  <si>
    <t>cbalCh4Prod3Slot3GPaLPerLitre</t>
  </si>
  <si>
    <t>cbalCh4Prod3Slot3CustPrice</t>
  </si>
  <si>
    <t>cbalCh4Prod3Slot3AvgPrice</t>
  </si>
  <si>
    <t>cbalCh4Prod3Slot3Pack</t>
  </si>
  <si>
    <t>cbalCh4Prod3Slot3WD</t>
  </si>
  <si>
    <t>cbalCh4Prod4Slot1GPaL</t>
  </si>
  <si>
    <t>cbalCh4Prod4Slot1NetRevPerLtr</t>
  </si>
  <si>
    <t>cbalCh4Prod4Slot1GPaLPerLitre</t>
  </si>
  <si>
    <t>cbalCh4Prod4Slot1CustPrice</t>
  </si>
  <si>
    <t>cbalCh4Prod4Slot1AvgPrice</t>
  </si>
  <si>
    <t>cbalCh4Prod4Slot1Pack</t>
  </si>
  <si>
    <t>cbalCh4Prod4Slot1WD</t>
  </si>
  <si>
    <t>cbalCh4Prod4Slot2GPaL</t>
  </si>
  <si>
    <t>cbalCh4Prod4Slot2NetRevPerLtr</t>
  </si>
  <si>
    <t>cbalCh4Prod4Slot2GPaLPerLitre</t>
  </si>
  <si>
    <t>cbalCh4Prod4Slot2CustPrice</t>
  </si>
  <si>
    <t>cbalCh4Prod4Slot2AvgPrice</t>
  </si>
  <si>
    <t>cbalCh4Prod4Slot2Pack</t>
  </si>
  <si>
    <t>cbalCh4Prod4Slot2WD</t>
  </si>
  <si>
    <t>cbalCh4Prod4Slot3GPaL</t>
  </si>
  <si>
    <t>cbalCh4Prod4Slot3NetRevPerLtr</t>
  </si>
  <si>
    <t>cbalCh4Prod4Slot3GPaLPerLitre</t>
  </si>
  <si>
    <t>cbalCh4Prod4Slot3CustPrice</t>
  </si>
  <si>
    <t>cbalCh4Prod4Slot3AvgPrice</t>
  </si>
  <si>
    <t>cbalCh4Prod4Slot3Pack</t>
  </si>
  <si>
    <t>cbalCh4Prod4Slot3WD</t>
  </si>
  <si>
    <t>tlOutputCh4VtStapleStart</t>
  </si>
  <si>
    <t>tlOutputCh4VtstapleEnd</t>
  </si>
  <si>
    <t>tlOutputCh3VtStapleStart</t>
  </si>
  <si>
    <t>tlOutputCh3VtstapleEnd</t>
  </si>
  <si>
    <t>tlOutputCh2VtStapleStart</t>
  </si>
  <si>
    <t>tlOutputCh2VtstapleEnd</t>
  </si>
  <si>
    <t>Paper reports bought</t>
  </si>
  <si>
    <t>tlInputReport1</t>
  </si>
  <si>
    <t>tlInputReport2</t>
  </si>
  <si>
    <t>tlInputReport3</t>
  </si>
  <si>
    <t>tlInputReport4</t>
  </si>
  <si>
    <t>tlInputReport5</t>
  </si>
  <si>
    <t>tlInputReport6</t>
  </si>
  <si>
    <t>Decision Summary Page</t>
  </si>
  <si>
    <t>Slots</t>
  </si>
  <si>
    <t>Sales forecast</t>
  </si>
  <si>
    <t>CustomerPrice</t>
  </si>
  <si>
    <t>Promotion type 1</t>
  </si>
  <si>
    <t>Promotion week 1</t>
  </si>
  <si>
    <t>Promotion share 1</t>
  </si>
  <si>
    <t>Promotion type 2</t>
  </si>
  <si>
    <t>Promotion week 2</t>
  </si>
  <si>
    <t>Promotion share 2</t>
  </si>
  <si>
    <t>tlOutputDecSumCh1Prod2Slot1</t>
  </si>
  <si>
    <t>tlOutputDecSumCh1Prod2Slot1SF</t>
  </si>
  <si>
    <t>tlOutputDecSumCh1Prod2Slot1Pack</t>
  </si>
  <si>
    <t>tlOutputDecSumCh1Prod2Slot1CP</t>
  </si>
  <si>
    <t>tlOutputDecSumCh1Prod2Slot1Promo1</t>
  </si>
  <si>
    <t>tlOutputDecSumCh1Prod2Slot1PW1</t>
  </si>
  <si>
    <t>tlOutputDecSumCh1Prod2Slot1PS1</t>
  </si>
  <si>
    <t>tlOutputDecSumCh1Prod2Slot1Promo2</t>
  </si>
  <si>
    <t>tlOutputDecSumCh1Prod2Slot1PW2</t>
  </si>
  <si>
    <t>tlOutputDecSumCh1Prod2Slot1PS2</t>
  </si>
  <si>
    <t>tlOutputDecSumCh1Prod2Slot2</t>
  </si>
  <si>
    <t>tlOutputDecSumCh1Prod2Slot2SF</t>
  </si>
  <si>
    <t>tlOutputDecSumCh1Prod2Slot2Pack</t>
  </si>
  <si>
    <t>tlOutputDecSumCh1Prod2Slot2CP</t>
  </si>
  <si>
    <t>tlOutputDecSumCh1Prod2Slot2Promo1</t>
  </si>
  <si>
    <t>tlOutputDecSumCh1Prod2Slot2PW1</t>
  </si>
  <si>
    <t>tlOutputDecSumCh1Prod2Slot2PS1</t>
  </si>
  <si>
    <t>tlOutputDecSumCh1Prod2Slot2Promo2</t>
  </si>
  <si>
    <t>tlOutputDecSumCh1Prod2Slot2PW2</t>
  </si>
  <si>
    <t>tlOutputDecSumCh1Prod2Slot2PS2</t>
  </si>
  <si>
    <t>tlOutputDecSumCh1Prod2Slot3</t>
  </si>
  <si>
    <t>tlOutputDecSumCh1Prod2Slot3SF</t>
  </si>
  <si>
    <t>tlOutputDecSumCh1Prod2Slot3Pack</t>
  </si>
  <si>
    <t>tlOutputDecSumCh1Prod2Slot3CP</t>
  </si>
  <si>
    <t>tlOutputDecSumCh1Prod2Slot3Promo1</t>
  </si>
  <si>
    <t>tlOutputDecSumCh1Prod2Slot3PW1</t>
  </si>
  <si>
    <t>tlOutputDecSumCh1Prod2Slot3PS1</t>
  </si>
  <si>
    <t>tlOutputDecSumCh1Prod2Slot3Promo2</t>
  </si>
  <si>
    <t>tlOutputDecSumCh1Prod2Slot3PW2</t>
  </si>
  <si>
    <t>tlOutputDecSumCh1Prod2Slot3PS2</t>
  </si>
  <si>
    <t>tlOutputDecSumCh2Prod2Slot1</t>
  </si>
  <si>
    <t>tlOutputDecSumCh2Prod2Slot1SF</t>
  </si>
  <si>
    <t>tlOutputDecSumCh2Prod2Slot1Pack</t>
  </si>
  <si>
    <t>tlOutputDecSumCh2Prod2Slot1CP</t>
  </si>
  <si>
    <t>tlOutputDecSumCh2Prod2Slot1Promo1</t>
  </si>
  <si>
    <t>tlOutputDecSumCh2Prod2Slot1PW1</t>
  </si>
  <si>
    <t>tlOutputDecSumCh2Prod2Slot1PS1</t>
  </si>
  <si>
    <t>tlOutputDecSumCh2Prod2Slot1Promo2</t>
  </si>
  <si>
    <t>tlOutputDecSumCh2Prod2Slot1PW2</t>
  </si>
  <si>
    <t>tlOutputDecSumCh2Prod2Slot1PS2</t>
  </si>
  <si>
    <t>tlOutputDecSumCh2Prod2Slot2</t>
  </si>
  <si>
    <t>tlOutputDecSumCh2Prod2Slot2SF</t>
  </si>
  <si>
    <t>tlOutputDecSumCh2Prod2Slot2Pack</t>
  </si>
  <si>
    <t>tlOutputDecSumCh2Prod2Slot2CP</t>
  </si>
  <si>
    <t>tlOutputDecSumCh2Prod2Slot2Promo1</t>
  </si>
  <si>
    <t>tlOutputDecSumCh2Prod2Slot2PW1</t>
  </si>
  <si>
    <t>tlOutputDecSumCh2Prod2Slot2PS1</t>
  </si>
  <si>
    <t>tlOutputDecSumCh2Prod2Slot2Promo2</t>
  </si>
  <si>
    <t>tlOutputDecSumCh2Prod2Slot2PW2</t>
  </si>
  <si>
    <t>tlOutputDecSumCh2Prod2Slot2PS2</t>
  </si>
  <si>
    <t>tlOutputDecSumCh2Prod2Slot3</t>
  </si>
  <si>
    <t>tlOutputDecSumCh2Prod2Slot3SF</t>
  </si>
  <si>
    <t>tlOutputDecSumCh2Prod2Slot3Pack</t>
  </si>
  <si>
    <t>tlOutputDecSumCh2Prod2Slot3CP</t>
  </si>
  <si>
    <t>tlOutputDecSumCh2Prod2Slot3Promo1</t>
  </si>
  <si>
    <t>tlOutputDecSumCh2Prod2Slot3PW1</t>
  </si>
  <si>
    <t>tlOutputDecSumCh2Prod2Slot3PS1</t>
  </si>
  <si>
    <t>tlOutputDecSumCh2Prod2Slot3Promo2</t>
  </si>
  <si>
    <t>tlOutputDecSumCh2Prod2Slot3PW2</t>
  </si>
  <si>
    <t>tlOutputDecSumCh2Prod2Slot3PS2</t>
  </si>
  <si>
    <t>tlOutputDecSumCh3Prod2Slot1</t>
  </si>
  <si>
    <t>tlOutputDecSumCh3Prod2Slot1SF</t>
  </si>
  <si>
    <t>tlOutputDecSumCh3Prod2Slot1Pack</t>
  </si>
  <si>
    <t>tlOutputDecSumCh3Prod2Slot1CP</t>
  </si>
  <si>
    <t>tlOutputDecSumCh3Prod2Slot1Promo1</t>
  </si>
  <si>
    <t>tlOutputDecSumCh3Prod2Slot1PW1</t>
  </si>
  <si>
    <t>tlOutputDecSumCh3Prod2Slot1PS1</t>
  </si>
  <si>
    <t>tlOutputDecSumCh3Prod2Slot1Promo2</t>
  </si>
  <si>
    <t>tlOutputDecSumCh3Prod2Slot1PW2</t>
  </si>
  <si>
    <t>tlOutputDecSumCh3Prod2Slot1PS2</t>
  </si>
  <si>
    <t>tlOutputDecSumCh3Prod2Slot2</t>
  </si>
  <si>
    <t>tlOutputDecSumCh3Prod2Slot2SF</t>
  </si>
  <si>
    <t>tlOutputDecSumCh3Prod2Slot2Pack</t>
  </si>
  <si>
    <t>tlOutputDecSumCh3Prod2Slot2CP</t>
  </si>
  <si>
    <t>tlOutputDecSumCh3Prod2Slot2Promo1</t>
  </si>
  <si>
    <t>tlOutputDecSumCh3Prod2Slot2PW1</t>
  </si>
  <si>
    <t>tlOutputDecSumCh3Prod2Slot2PS1</t>
  </si>
  <si>
    <t>tlOutputDecSumCh3Prod2Slot2Promo2</t>
  </si>
  <si>
    <t>tlOutputDecSumCh3Prod2Slot2PW2</t>
  </si>
  <si>
    <t>tlOutputDecSumCh3Prod2Slot2PS2</t>
  </si>
  <si>
    <t>tlOutputDecSumCh3Prod2Slot3</t>
  </si>
  <si>
    <t>tlOutputDecSumCh3Prod2Slot3SF</t>
  </si>
  <si>
    <t>tlOutputDecSumCh3Prod2Slot3Pack</t>
  </si>
  <si>
    <t>tlOutputDecSumCh3Prod2Slot3CP</t>
  </si>
  <si>
    <t>tlOutputDecSumCh3Prod2Slot3Promo1</t>
  </si>
  <si>
    <t>tlOutputDecSumCh3Prod2Slot3PW1</t>
  </si>
  <si>
    <t>tlOutputDecSumCh3Prod2Slot3PS1</t>
  </si>
  <si>
    <t>tlOutputDecSumCh3Prod2Slot3Promo2</t>
  </si>
  <si>
    <t>tlOutputDecSumCh3Prod2Slot3PW2</t>
  </si>
  <si>
    <t>tlOutputDecSumCh3Prod2Slot3PS2</t>
  </si>
  <si>
    <t>tlOutputDecSumCh4Prod2Slot1</t>
  </si>
  <si>
    <t>tlOutputDecSumCh4Prod2Slot1SF</t>
  </si>
  <si>
    <t>tlOutputDecSumCh4Prod2Slot1Pack</t>
  </si>
  <si>
    <t>tlOutputDecSumCh4Prod2Slot1CP</t>
  </si>
  <si>
    <t>tlOutputDecSumCh4Prod2Slot1Promo1</t>
  </si>
  <si>
    <t>tlOutputDecSumCh4Prod2Slot1PW1</t>
  </si>
  <si>
    <t>tlOutputDecSumCh4Prod2Slot1PS1</t>
  </si>
  <si>
    <t>tlOutputDecSumCh4Prod2Slot1Promo2</t>
  </si>
  <si>
    <t>tlOutputDecSumCh4Prod2Slot1PW2</t>
  </si>
  <si>
    <t>tlOutputDecSumCh4Prod2Slot1PS2</t>
  </si>
  <si>
    <t>tlOutputDecSumCh4Prod2Slot2</t>
  </si>
  <si>
    <t>tlOutputDecSumCh4Prod2Slot2SF</t>
  </si>
  <si>
    <t>tlOutputDecSumCh4Prod2Slot2Pack</t>
  </si>
  <si>
    <t>tlOutputDecSumCh4Prod2Slot2CP</t>
  </si>
  <si>
    <t>tlOutputDecSumCh4Prod2Slot2Promo1</t>
  </si>
  <si>
    <t>tlOutputDecSumCh4Prod2Slot2PW1</t>
  </si>
  <si>
    <t>tlOutputDecSumCh4Prod2Slot2PS1</t>
  </si>
  <si>
    <t>tlOutputDecSumCh4Prod2Slot2Promo2</t>
  </si>
  <si>
    <t>tlOutputDecSumCh4Prod2Slot2PW2</t>
  </si>
  <si>
    <t>tlOutputDecSumCh4Prod2Slot2PS2</t>
  </si>
  <si>
    <t>tlOutputDecSumCh4Prod2Slot3</t>
  </si>
  <si>
    <t>tlOutputDecSumCh4Prod2Slot3SF</t>
  </si>
  <si>
    <t>tlOutputDecSumCh4Prod2Slot3Pack</t>
  </si>
  <si>
    <t>tlOutputDecSumCh4Prod2Slot3CP</t>
  </si>
  <si>
    <t>tlOutputDecSumCh4Prod2Slot3Promo1</t>
  </si>
  <si>
    <t>tlOutputDecSumCh4Prod2Slot3PW1</t>
  </si>
  <si>
    <t>tlOutputDecSumCh4Prod2Slot3PS1</t>
  </si>
  <si>
    <t>tlOutputDecSumCh4Prod2Slot3Promo2</t>
  </si>
  <si>
    <t>tlOutputDecSumCh4Prod2Slot3PW2</t>
  </si>
  <si>
    <t>tlOutputDecSumCh4Prod2Slot3PS2</t>
  </si>
  <si>
    <t>tlOutputDecSumCh1Prod3Slot1</t>
  </si>
  <si>
    <t>tlOutputDecSumCh1Prod3Slot1SF</t>
  </si>
  <si>
    <t>tlOutputDecSumCh1Prod3Slot1Pack</t>
  </si>
  <si>
    <t>tlOutputDecSumCh1Prod3Slot1CP</t>
  </si>
  <si>
    <t>tlOutputDecSumCh1Prod3Slot1Promo1</t>
  </si>
  <si>
    <t>tlOutputDecSumCh1Prod3Slot1PW1</t>
  </si>
  <si>
    <t>tlOutputDecSumCh1Prod3Slot1PS1</t>
  </si>
  <si>
    <t>tlOutputDecSumCh1Prod3Slot1Promo2</t>
  </si>
  <si>
    <t>tlOutputDecSumCh1Prod3Slot1PW2</t>
  </si>
  <si>
    <t>tlOutputDecSumCh1Prod3Slot1PS2</t>
  </si>
  <si>
    <t>tlOutputDecSumCh1Prod3Slot2</t>
  </si>
  <si>
    <t>tlOutputDecSumCh1Prod3Slot2SF</t>
  </si>
  <si>
    <t>tlOutputDecSumCh1Prod3Slot2Pack</t>
  </si>
  <si>
    <t>tlOutputDecSumCh1Prod3Slot2CP</t>
  </si>
  <si>
    <t>tlOutputDecSumCh1Prod3Slot2Promo1</t>
  </si>
  <si>
    <t>tlOutputDecSumCh1Prod3Slot2PW1</t>
  </si>
  <si>
    <t>tlOutputDecSumCh1Prod3Slot2PS1</t>
  </si>
  <si>
    <t>tlOutputDecSumCh1Prod3Slot2Promo2</t>
  </si>
  <si>
    <t>tlOutputDecSumCh1Prod3Slot2PW2</t>
  </si>
  <si>
    <t>tlOutputDecSumCh1Prod3Slot2PS2</t>
  </si>
  <si>
    <t>tlOutputDecSumCh1Prod3Slot3</t>
  </si>
  <si>
    <t>tlOutputDecSumCh1Prod3Slot3SF</t>
  </si>
  <si>
    <t>tlOutputDecSumCh1Prod3Slot3Pack</t>
  </si>
  <si>
    <t>tlOutputDecSumCh1Prod3Slot3CP</t>
  </si>
  <si>
    <t>tlOutputDecSumCh1Prod3Slot3Promo1</t>
  </si>
  <si>
    <t>tlOutputDecSumCh1Prod3Slot3PW1</t>
  </si>
  <si>
    <t>tlOutputDecSumCh1Prod3Slot3PS1</t>
  </si>
  <si>
    <t>tlOutputDecSumCh1Prod3Slot3Promo2</t>
  </si>
  <si>
    <t>tlOutputDecSumCh1Prod3Slot3PW2</t>
  </si>
  <si>
    <t>tlOutputDecSumCh1Prod3Slot3PS2</t>
  </si>
  <si>
    <t>tlOutputDecSumCh2Prod3Slot1</t>
  </si>
  <si>
    <t>tlOutputDecSumCh2Prod3Slot1SF</t>
  </si>
  <si>
    <t>tlOutputDecSumCh2Prod3Slot1Pack</t>
  </si>
  <si>
    <t>tlOutputDecSumCh2Prod3Slot1CP</t>
  </si>
  <si>
    <t>tlOutputDecSumCh2Prod3Slot1Promo1</t>
  </si>
  <si>
    <t>tlOutputDecSumCh2Prod3Slot1PW1</t>
  </si>
  <si>
    <t>tlOutputDecSumCh2Prod3Slot1PS1</t>
  </si>
  <si>
    <t>tlOutputDecSumCh2Prod3Slot1Promo2</t>
  </si>
  <si>
    <t>tlOutputDecSumCh2Prod3Slot1PW2</t>
  </si>
  <si>
    <t>tlOutputDecSumCh2Prod3Slot1PS2</t>
  </si>
  <si>
    <t>tlOutputDecSumCh2Prod3Slot2</t>
  </si>
  <si>
    <t>tlOutputDecSumCh2Prod3Slot2SF</t>
  </si>
  <si>
    <t>tlOutputDecSumCh2Prod3Slot2Pack</t>
  </si>
  <si>
    <t>tlOutputDecSumCh2Prod3Slot2CP</t>
  </si>
  <si>
    <t>tlOutputDecSumCh2Prod3Slot2Promo1</t>
  </si>
  <si>
    <t>tlOutputDecSumCh2Prod3Slot2PW1</t>
  </si>
  <si>
    <t>tlOutputDecSumCh2Prod3Slot2PS1</t>
  </si>
  <si>
    <t>tlOutputDecSumCh2Prod3Slot2Promo2</t>
  </si>
  <si>
    <t>tlOutputDecSumCh2Prod3Slot2PW2</t>
  </si>
  <si>
    <t>tlOutputDecSumCh2Prod3Slot2PS2</t>
  </si>
  <si>
    <t>tlOutputDecSumCh2Prod3Slot3</t>
  </si>
  <si>
    <t>tlOutputDecSumCh2Prod3Slot3SF</t>
  </si>
  <si>
    <t>tlOutputDecSumCh2Prod3Slot3Pack</t>
  </si>
  <si>
    <t>tlOutputDecSumCh2Prod3Slot3CP</t>
  </si>
  <si>
    <t>tlOutputDecSumCh2Prod3Slot3Promo1</t>
  </si>
  <si>
    <t>tlOutputDecSumCh2Prod3Slot3PW1</t>
  </si>
  <si>
    <t>tlOutputDecSumCh2Prod3Slot3PS1</t>
  </si>
  <si>
    <t>tlOutputDecSumCh2Prod3Slot3Promo2</t>
  </si>
  <si>
    <t>tlOutputDecSumCh2Prod3Slot3PW2</t>
  </si>
  <si>
    <t>tlOutputDecSumCh2Prod3Slot3PS2</t>
  </si>
  <si>
    <t>tlOutputDecSumCh3Prod3Slot1</t>
  </si>
  <si>
    <t>tlOutputDecSumCh3Prod3Slot1SF</t>
  </si>
  <si>
    <t>tlOutputDecSumCh3Prod3Slot1Pack</t>
  </si>
  <si>
    <t>tlOutputDecSumCh3Prod3Slot1CP</t>
  </si>
  <si>
    <t>tlOutputDecSumCh3Prod3Slot1Promo1</t>
  </si>
  <si>
    <t>tlOutputDecSumCh3Prod3Slot1PW1</t>
  </si>
  <si>
    <t>tlOutputDecSumCh3Prod3Slot1PS1</t>
  </si>
  <si>
    <t>tlOutputDecSumCh3Prod3Slot1Promo2</t>
  </si>
  <si>
    <t>tlOutputDecSumCh3Prod3Slot1PW2</t>
  </si>
  <si>
    <t>tlOutputDecSumCh3Prod3Slot1PS2</t>
  </si>
  <si>
    <t>tlOutputDecSumCh3Prod3Slot2</t>
  </si>
  <si>
    <t>tlOutputDecSumCh3Prod3Slot2SF</t>
  </si>
  <si>
    <t>tlOutputDecSumCh3Prod3Slot2Pack</t>
  </si>
  <si>
    <t>tlOutputDecSumCh3Prod3Slot2CP</t>
  </si>
  <si>
    <t>tlOutputDecSumCh3Prod3Slot2Promo1</t>
  </si>
  <si>
    <t>tlOutputDecSumCh3Prod3Slot2PW1</t>
  </si>
  <si>
    <t>tlOutputDecSumCh3Prod3Slot2PS1</t>
  </si>
  <si>
    <t>tlOutputDecSumCh3Prod3Slot2Promo2</t>
  </si>
  <si>
    <t>tlOutputDecSumCh3Prod3Slot2PW2</t>
  </si>
  <si>
    <t>tlOutputDecSumCh3Prod3Slot2PS2</t>
  </si>
  <si>
    <t>tlOutputDecSumCh3Prod3Slot3</t>
  </si>
  <si>
    <t>tlOutputDecSumCh3Prod3Slot3SF</t>
  </si>
  <si>
    <t>tlOutputDecSumCh3Prod3Slot3Pack</t>
  </si>
  <si>
    <t>tlOutputDecSumCh3Prod3Slot3CP</t>
  </si>
  <si>
    <t>tlOutputDecSumCh3Prod3Slot3Promo1</t>
  </si>
  <si>
    <t>tlOutputDecSumCh3Prod3Slot3PW1</t>
  </si>
  <si>
    <t>tlOutputDecSumCh3Prod3Slot3PS1</t>
  </si>
  <si>
    <t>tlOutputDecSumCh3Prod3Slot3Promo2</t>
  </si>
  <si>
    <t>tlOutputDecSumCh3Prod3Slot3PW2</t>
  </si>
  <si>
    <t>tlOutputDecSumCh3Prod3Slot3PS2</t>
  </si>
  <si>
    <t>tlOutputDecSumCh4Prod3Slot1</t>
  </si>
  <si>
    <t>tlOutputDecSumCh4Prod3Slot1SF</t>
  </si>
  <si>
    <t>tlOutputDecSumCh4Prod3Slot1Pack</t>
  </si>
  <si>
    <t>tlOutputDecSumCh4Prod3Slot1CP</t>
  </si>
  <si>
    <t>tlOutputDecSumCh4Prod3Slot1Promo1</t>
  </si>
  <si>
    <t>tlOutputDecSumCh4Prod3Slot1PW1</t>
  </si>
  <si>
    <t>tlOutputDecSumCh4Prod3Slot1PS1</t>
  </si>
  <si>
    <t>tlOutputDecSumCh4Prod3Slot1Promo2</t>
  </si>
  <si>
    <t>tlOutputDecSumCh4Prod3Slot1PW2</t>
  </si>
  <si>
    <t>tlOutputDecSumCh4Prod3Slot1PS2</t>
  </si>
  <si>
    <t>tlOutputDecSumCh4Prod3Slot2</t>
  </si>
  <si>
    <t>tlOutputDecSumCh4Prod3Slot2SF</t>
  </si>
  <si>
    <t>tlOutputDecSumCh4Prod3Slot2Pack</t>
  </si>
  <si>
    <t>tlOutputDecSumCh4Prod3Slot2CP</t>
  </si>
  <si>
    <t>tlOutputDecSumCh4Prod3Slot2Promo1</t>
  </si>
  <si>
    <t>tlOutputDecSumCh4Prod3Slot2PW1</t>
  </si>
  <si>
    <t>tlOutputDecSumCh4Prod3Slot2PS1</t>
  </si>
  <si>
    <t>tlOutputDecSumCh4Prod3Slot2Promo2</t>
  </si>
  <si>
    <t>tlOutputDecSumCh4Prod3Slot2PW2</t>
  </si>
  <si>
    <t>tlOutputDecSumCh4Prod3Slot2PS2</t>
  </si>
  <si>
    <t>tlOutputDecSumCh4Prod3Slot3</t>
  </si>
  <si>
    <t>tlOutputDecSumCh4Prod3Slot3SF</t>
  </si>
  <si>
    <t>tlOutputDecSumCh4Prod3Slot3Pack</t>
  </si>
  <si>
    <t>tlOutputDecSumCh4Prod3Slot3CP</t>
  </si>
  <si>
    <t>tlOutputDecSumCh4Prod3Slot3Promo1</t>
  </si>
  <si>
    <t>tlOutputDecSumCh4Prod3Slot3PW1</t>
  </si>
  <si>
    <t>tlOutputDecSumCh4Prod3Slot3PS1</t>
  </si>
  <si>
    <t>tlOutputDecSumCh4Prod3Slot3Promo2</t>
  </si>
  <si>
    <t>tlOutputDecSumCh4Prod3Slot3PW2</t>
  </si>
  <si>
    <t>tlOutputDecSumCh4Prod3Slot3PS2</t>
  </si>
  <si>
    <t>tlOutputDecSumCh1Prod1Slot1</t>
  </si>
  <si>
    <t>tlOutputDecSumCh1Prod1Slot1SF</t>
  </si>
  <si>
    <t>tlOutputDecSumCh1Prod1Slot1Pack</t>
  </si>
  <si>
    <t>tlOutputDecSumCh1Prod1Slot1CP</t>
  </si>
  <si>
    <t>tlOutputDecSumCh1Prod1Slot1Promo1</t>
  </si>
  <si>
    <t>tlOutputDecSumCh1Prod1Slot1PW1</t>
  </si>
  <si>
    <t>tlOutputDecSumCh1Prod1Slot1PS1</t>
  </si>
  <si>
    <t>tlOutputDecSumCh1Prod1Slot1Promo2</t>
  </si>
  <si>
    <t>tlOutputDecSumCh1Prod1Slot1PW2</t>
  </si>
  <si>
    <t>tlOutputDecSumCh1Prod1Slot1PS2</t>
  </si>
  <si>
    <t>tlOutputDecSumCh1Prod1Slot2</t>
  </si>
  <si>
    <t>tlOutputDecSumCh1Prod1Slot2SF</t>
  </si>
  <si>
    <t>tlOutputDecSumCh1Prod1Slot2Pack</t>
  </si>
  <si>
    <t>tlOutputDecSumCh1Prod1Slot2CP</t>
  </si>
  <si>
    <t>tlOutputDecSumCh1Prod1Slot2Promo1</t>
  </si>
  <si>
    <t>tlOutputDecSumCh1Prod1Slot2PW1</t>
  </si>
  <si>
    <t>tlOutputDecSumCh1Prod1Slot2PS1</t>
  </si>
  <si>
    <t>tlOutputDecSumCh1Prod1Slot2Promo2</t>
  </si>
  <si>
    <t>tlOutputDecSumCh1Prod1Slot2PW2</t>
  </si>
  <si>
    <t>tlOutputDecSumCh1Prod1Slot2PS2</t>
  </si>
  <si>
    <t>tlOutputDecSumCh1Prod1Slot3</t>
  </si>
  <si>
    <t>tlOutputDecSumCh1Prod1Slot3SF</t>
  </si>
  <si>
    <t>tlOutputDecSumCh1Prod1Slot3Pack</t>
  </si>
  <si>
    <t>tlOutputDecSumCh1Prod1Slot3CP</t>
  </si>
  <si>
    <t>tlOutputDecSumCh1Prod1Slot3Promo1</t>
  </si>
  <si>
    <t>tlOutputDecSumCh1Prod1Slot3PW1</t>
  </si>
  <si>
    <t>tlOutputDecSumCh1Prod1Slot3PS1</t>
  </si>
  <si>
    <t>tlOutputDecSumCh1Prod1Slot3Promo2</t>
  </si>
  <si>
    <t>tlOutputDecSumCh1Prod1Slot3PW2</t>
  </si>
  <si>
    <t>tlOutputDecSumCh1Prod1Slot3PS2</t>
  </si>
  <si>
    <t>tlOutputDecSumCh2Prod1Slot1</t>
  </si>
  <si>
    <t>tlOutputDecSumCh2Prod1Slot1SF</t>
  </si>
  <si>
    <t>tlOutputDecSumCh2Prod1Slot1Pack</t>
  </si>
  <si>
    <t>tlOutputDecSumCh2Prod1Slot1CP</t>
  </si>
  <si>
    <t>tlOutputDecSumCh2Prod1Slot1Promo1</t>
  </si>
  <si>
    <t>tlOutputDecSumCh2Prod1Slot1PW1</t>
  </si>
  <si>
    <t>tlOutputDecSumCh2Prod1Slot1PS1</t>
  </si>
  <si>
    <t>tlOutputDecSumCh2Prod1Slot1Promo2</t>
  </si>
  <si>
    <t>tlOutputDecSumCh2Prod1Slot1PW2</t>
  </si>
  <si>
    <t>tlOutputDecSumCh2Prod1Slot1PS2</t>
  </si>
  <si>
    <t>tlOutputDecSumCh2Prod1Slot2</t>
  </si>
  <si>
    <t>tlOutputDecSumCh2Prod1Slot2SF</t>
  </si>
  <si>
    <t>tlOutputDecSumCh2Prod1Slot2Pack</t>
  </si>
  <si>
    <t>tlOutputDecSumCh2Prod1Slot2CP</t>
  </si>
  <si>
    <t>tlOutputDecSumCh2Prod1Slot2Promo1</t>
  </si>
  <si>
    <t>tlOutputDecSumCh2Prod1Slot2PW1</t>
  </si>
  <si>
    <t>tlOutputDecSumCh2Prod1Slot2PS1</t>
  </si>
  <si>
    <t>tlOutputDecSumCh2Prod1Slot2Promo2</t>
  </si>
  <si>
    <t>tlOutputDecSumCh2Prod1Slot2PW2</t>
  </si>
  <si>
    <t>tlOutputDecSumCh2Prod1Slot2PS2</t>
  </si>
  <si>
    <t>tlOutputDecSumCh2Prod1Slot3</t>
  </si>
  <si>
    <t>tlOutputDecSumCh2Prod1Slot3SF</t>
  </si>
  <si>
    <t>tlOutputDecSumCh2Prod1Slot3Pack</t>
  </si>
  <si>
    <t>tlOutputDecSumCh2Prod1Slot3CP</t>
  </si>
  <si>
    <t>tlOutputDecSumCh2Prod1Slot3Promo1</t>
  </si>
  <si>
    <t>tlOutputDecSumCh2Prod1Slot3PW1</t>
  </si>
  <si>
    <t>tlOutputDecSumCh2Prod1Slot3PS1</t>
  </si>
  <si>
    <t>tlOutputDecSumCh2Prod1Slot3Promo2</t>
  </si>
  <si>
    <t>tlOutputDecSumCh2Prod1Slot3PW2</t>
  </si>
  <si>
    <t>tlOutputDecSumCh2Prod1Slot3PS2</t>
  </si>
  <si>
    <t>tlOutputDecSumCh3Prod1Slot1</t>
  </si>
  <si>
    <t>tlOutputDecSumCh3Prod1Slot1SF</t>
  </si>
  <si>
    <t>tlOutputDecSumCh3Prod1Slot1Pack</t>
  </si>
  <si>
    <t>tlOutputDecSumCh3Prod1Slot1CP</t>
  </si>
  <si>
    <t>tlOutputDecSumCh3Prod1Slot1Promo1</t>
  </si>
  <si>
    <t>tlOutputDecSumCh3Prod1Slot1PW1</t>
  </si>
  <si>
    <t>tlOutputDecSumCh3Prod1Slot1PS1</t>
  </si>
  <si>
    <t>tlOutputDecSumCh3Prod1Slot1Promo2</t>
  </si>
  <si>
    <t>tlOutputDecSumCh3Prod1Slot1PW2</t>
  </si>
  <si>
    <t>tlOutputDecSumCh3Prod1Slot1PS2</t>
  </si>
  <si>
    <t>tlOutputDecSumCh3Prod1Slot2</t>
  </si>
  <si>
    <t>tlOutputDecSumCh3Prod1Slot2SF</t>
  </si>
  <si>
    <t>tlOutputDecSumCh3Prod1Slot2Pack</t>
  </si>
  <si>
    <t>tlOutputDecSumCh3Prod1Slot2CP</t>
  </si>
  <si>
    <t>tlOutputDecSumCh3Prod1Slot2Promo1</t>
  </si>
  <si>
    <t>tlOutputDecSumCh3Prod1Slot2PW1</t>
  </si>
  <si>
    <t>tlOutputDecSumCh3Prod1Slot2PS1</t>
  </si>
  <si>
    <t>tlOutputDecSumCh3Prod1Slot2Promo2</t>
  </si>
  <si>
    <t>tlOutputDecSumCh3Prod1Slot2PW2</t>
  </si>
  <si>
    <t>tlOutputDecSumCh3Prod1Slot2PS2</t>
  </si>
  <si>
    <t>tlOutputDecSumCh3Prod1Slot3</t>
  </si>
  <si>
    <t>tlOutputDecSumCh3Prod1Slot3SF</t>
  </si>
  <si>
    <t>tlOutputDecSumCh3Prod1Slot3Pack</t>
  </si>
  <si>
    <t>tlOutputDecSumCh3Prod1Slot3CP</t>
  </si>
  <si>
    <t>tlOutputDecSumCh3Prod1Slot3Promo1</t>
  </si>
  <si>
    <t>tlOutputDecSumCh3Prod1Slot3PW1</t>
  </si>
  <si>
    <t>tlOutputDecSumCh3Prod1Slot3PS1</t>
  </si>
  <si>
    <t>tlOutputDecSumCh3Prod1Slot3Promo2</t>
  </si>
  <si>
    <t>tlOutputDecSumCh3Prod1Slot3PW2</t>
  </si>
  <si>
    <t>tlOutputDecSumCh3Prod1Slot3PS2</t>
  </si>
  <si>
    <t>tlOutputDecSumCh4Prod1Slot1</t>
  </si>
  <si>
    <t>tlOutputDecSumCh4Prod1Slot1SF</t>
  </si>
  <si>
    <t>tlOutputDecSumCh4Prod1Slot1Pack</t>
  </si>
  <si>
    <t>tlOutputDecSumCh4Prod1Slot1CP</t>
  </si>
  <si>
    <t>tlOutputDecSumCh4Prod1Slot1Promo1</t>
  </si>
  <si>
    <t>tlOutputDecSumCh4Prod1Slot1PW1</t>
  </si>
  <si>
    <t>tlOutputDecSumCh4Prod1Slot1PS1</t>
  </si>
  <si>
    <t>tlOutputDecSumCh4Prod1Slot1Promo2</t>
  </si>
  <si>
    <t>tlOutputDecSumCh4Prod1Slot1PW2</t>
  </si>
  <si>
    <t>tlOutputDecSumCh4Prod1Slot1PS2</t>
  </si>
  <si>
    <t>tlOutputDecSumCh4Prod1Slot2</t>
  </si>
  <si>
    <t>tlOutputDecSumCh4Prod1Slot2SF</t>
  </si>
  <si>
    <t>tlOutputDecSumCh4Prod1Slot2Pack</t>
  </si>
  <si>
    <t>tlOutputDecSumCh4Prod1Slot2CP</t>
  </si>
  <si>
    <t>tlOutputDecSumCh4Prod1Slot2Promo1</t>
  </si>
  <si>
    <t>tlOutputDecSumCh4Prod1Slot2PW1</t>
  </si>
  <si>
    <t>tlOutputDecSumCh4Prod1Slot2PS1</t>
  </si>
  <si>
    <t>tlOutputDecSumCh4Prod1Slot2Promo2</t>
  </si>
  <si>
    <t>tlOutputDecSumCh4Prod1Slot2PW2</t>
  </si>
  <si>
    <t>tlOutputDecSumCh4Prod1Slot2PS2</t>
  </si>
  <si>
    <t>tlOutputDecSumCh4Prod1Slot3</t>
  </si>
  <si>
    <t>tlOutputDecSumCh4Prod1Slot3SF</t>
  </si>
  <si>
    <t>tlOutputDecSumCh4Prod1Slot3Pack</t>
  </si>
  <si>
    <t>tlOutputDecSumCh4Prod1Slot3CP</t>
  </si>
  <si>
    <t>tlOutputDecSumCh4Prod1Slot3Promo1</t>
  </si>
  <si>
    <t>tlOutputDecSumCh4Prod1Slot3PW1</t>
  </si>
  <si>
    <t>tlOutputDecSumCh4Prod1Slot3PS1</t>
  </si>
  <si>
    <t>tlOutputDecSumCh4Prod1Slot3Promo2</t>
  </si>
  <si>
    <t>tlOutputDecSumCh4Prod1Slot3PW2</t>
  </si>
  <si>
    <t>tlOutputDecSumCh4Prod1Slot3PS2</t>
  </si>
  <si>
    <t>tlOutputDecSumCh1Prod4Slot1</t>
  </si>
  <si>
    <t>tlOutputDecSumCh1Prod4Slot1SF</t>
  </si>
  <si>
    <t>tlOutputDecSumCh1Prod4Slot1Pack</t>
  </si>
  <si>
    <t>tlOutputDecSumCh1Prod4Slot1CP</t>
  </si>
  <si>
    <t>tlOutputDecSumCh1Prod4Slot1Promo1</t>
  </si>
  <si>
    <t>tlOutputDecSumCh1Prod4Slot1PW1</t>
  </si>
  <si>
    <t>tlOutputDecSumCh1Prod4Slot1PS1</t>
  </si>
  <si>
    <t>tlOutputDecSumCh1Prod4Slot1Promo2</t>
  </si>
  <si>
    <t>tlOutputDecSumCh1Prod4Slot1PW2</t>
  </si>
  <si>
    <t>tlOutputDecSumCh1Prod4Slot1PS2</t>
  </si>
  <si>
    <t>tlOutputDecSumCh1Prod4Slot2</t>
  </si>
  <si>
    <t>tlOutputDecSumCh1Prod4Slot2SF</t>
  </si>
  <si>
    <t>tlOutputDecSumCh1Prod4Slot2Pack</t>
  </si>
  <si>
    <t>tlOutputDecSumCh1Prod4Slot2CP</t>
  </si>
  <si>
    <t>tlOutputDecSumCh1Prod4Slot2Promo1</t>
  </si>
  <si>
    <t>tlOutputDecSumCh1Prod4Slot2PW1</t>
  </si>
  <si>
    <t>tlOutputDecSumCh1Prod4Slot2PS1</t>
  </si>
  <si>
    <t>tlOutputDecSumCh1Prod4Slot2Promo2</t>
  </si>
  <si>
    <t>tlOutputDecSumCh1Prod4Slot2PW2</t>
  </si>
  <si>
    <t>tlOutputDecSumCh1Prod4Slot2PS2</t>
  </si>
  <si>
    <t>tlOutputDecSumCh1Prod4Slot3</t>
  </si>
  <si>
    <t>tlOutputDecSumCh1Prod4Slot3SF</t>
  </si>
  <si>
    <t>tlOutputDecSumCh1Prod4Slot3Pack</t>
  </si>
  <si>
    <t>tlOutputDecSumCh1Prod4Slot3CP</t>
  </si>
  <si>
    <t>tlOutputDecSumCh1Prod4Slot3Promo1</t>
  </si>
  <si>
    <t>tlOutputDecSumCh1Prod4Slot3PW1</t>
  </si>
  <si>
    <t>tlOutputDecSumCh1Prod4Slot3PS1</t>
  </si>
  <si>
    <t>tlOutputDecSumCh1Prod4Slot3Promo2</t>
  </si>
  <si>
    <t>tlOutputDecSumCh1Prod4Slot3PW2</t>
  </si>
  <si>
    <t>tlOutputDecSumCh1Prod4Slot3PS2</t>
  </si>
  <si>
    <t>tlOutputDecSumCh2Prod4Slot1</t>
  </si>
  <si>
    <t>tlOutputDecSumCh2Prod4Slot1SF</t>
  </si>
  <si>
    <t>tlOutputDecSumCh2Prod4Slot1Pack</t>
  </si>
  <si>
    <t>tlOutputDecSumCh2Prod4Slot1CP</t>
  </si>
  <si>
    <t>tlOutputDecSumCh2Prod4Slot1Promo1</t>
  </si>
  <si>
    <t>tlOutputDecSumCh2Prod4Slot1PW1</t>
  </si>
  <si>
    <t>tlOutputDecSumCh2Prod4Slot1PS1</t>
  </si>
  <si>
    <t>tlOutputDecSumCh2Prod4Slot1Promo2</t>
  </si>
  <si>
    <t>tlOutputDecSumCh2Prod4Slot1PW2</t>
  </si>
  <si>
    <t>tlOutputDecSumCh2Prod4Slot1PS2</t>
  </si>
  <si>
    <t>tlOutputDecSumCh2Prod4Slot2</t>
  </si>
  <si>
    <t>tlOutputDecSumCh2Prod4Slot2SF</t>
  </si>
  <si>
    <t>tlOutputDecSumCh2Prod4Slot2Pack</t>
  </si>
  <si>
    <t>tlOutputDecSumCh2Prod4Slot2CP</t>
  </si>
  <si>
    <t>tlOutputDecSumCh2Prod4Slot2Promo1</t>
  </si>
  <si>
    <t>tlOutputDecSumCh2Prod4Slot2PW1</t>
  </si>
  <si>
    <t>tlOutputDecSumCh2Prod4Slot2PS1</t>
  </si>
  <si>
    <t>tlOutputDecSumCh2Prod4Slot2Promo2</t>
  </si>
  <si>
    <t>tlOutputDecSumCh2Prod4Slot2PW2</t>
  </si>
  <si>
    <t>tlOutputDecSumCh2Prod4Slot2PS2</t>
  </si>
  <si>
    <t>tlOutputDecSumCh2Prod4Slot3</t>
  </si>
  <si>
    <t>tlOutputDecSumCh2Prod4Slot3SF</t>
  </si>
  <si>
    <t>tlOutputDecSumCh2Prod4Slot3Pack</t>
  </si>
  <si>
    <t>tlOutputDecSumCh2Prod4Slot3CP</t>
  </si>
  <si>
    <t>tlOutputDecSumCh2Prod4Slot3Promo1</t>
  </si>
  <si>
    <t>tlOutputDecSumCh2Prod4Slot3PW1</t>
  </si>
  <si>
    <t>tlOutputDecSumCh2Prod4Slot3PS1</t>
  </si>
  <si>
    <t>tlOutputDecSumCh2Prod4Slot3Promo2</t>
  </si>
  <si>
    <t>tlOutputDecSumCh2Prod4Slot3PW2</t>
  </si>
  <si>
    <t>tlOutputDecSumCh2Prod4Slot3PS2</t>
  </si>
  <si>
    <t>tlOutputDecSumCh3Prod4Slot1</t>
  </si>
  <si>
    <t>tlOutputDecSumCh3Prod4Slot1SF</t>
  </si>
  <si>
    <t>tlOutputDecSumCh3Prod4Slot1Pack</t>
  </si>
  <si>
    <t>tlOutputDecSumCh3Prod4Slot1CP</t>
  </si>
  <si>
    <t>tlOutputDecSumCh3Prod4Slot1Promo1</t>
  </si>
  <si>
    <t>tlOutputDecSumCh3Prod4Slot1PW1</t>
  </si>
  <si>
    <t>tlOutputDecSumCh3Prod4Slot1PS1</t>
  </si>
  <si>
    <t>tlOutputDecSumCh3Prod4Slot1Promo2</t>
  </si>
  <si>
    <t>tlOutputDecSumCh3Prod4Slot1PW2</t>
  </si>
  <si>
    <t>tlOutputDecSumCh3Prod4Slot1PS2</t>
  </si>
  <si>
    <t>tlOutputDecSumCh3Prod4Slot2</t>
  </si>
  <si>
    <t>tlOutputDecSumCh3Prod4Slot2SF</t>
  </si>
  <si>
    <t>tlOutputDecSumCh3Prod4Slot2Pack</t>
  </si>
  <si>
    <t>tlOutputDecSumCh3Prod4Slot2CP</t>
  </si>
  <si>
    <t>tlOutputDecSumCh3Prod4Slot2Promo1</t>
  </si>
  <si>
    <t>tlOutputDecSumCh3Prod4Slot2PW1</t>
  </si>
  <si>
    <t>tlOutputDecSumCh3Prod4Slot2PS1</t>
  </si>
  <si>
    <t>tlOutputDecSumCh3Prod4Slot2Promo2</t>
  </si>
  <si>
    <t>tlOutputDecSumCh3Prod4Slot2PW2</t>
  </si>
  <si>
    <t>tlOutputDecSumCh3Prod4Slot2PS2</t>
  </si>
  <si>
    <t>tlOutputDecSumCh3Prod4Slot3</t>
  </si>
  <si>
    <t>tlOutputDecSumCh3Prod4Slot3SF</t>
  </si>
  <si>
    <t>tlOutputDecSumCh3Prod4Slot3Pack</t>
  </si>
  <si>
    <t>tlOutputDecSumCh3Prod4Slot3CP</t>
  </si>
  <si>
    <t>tlOutputDecSumCh3Prod4Slot3Promo1</t>
  </si>
  <si>
    <t>tlOutputDecSumCh3Prod4Slot3PW1</t>
  </si>
  <si>
    <t>tlOutputDecSumCh3Prod4Slot3PS1</t>
  </si>
  <si>
    <t>tlOutputDecSumCh3Prod4Slot3Promo2</t>
  </si>
  <si>
    <t>tlOutputDecSumCh3Prod4Slot3PW2</t>
  </si>
  <si>
    <t>tlOutputDecSumCh3Prod4Slot3PS2</t>
  </si>
  <si>
    <t>tlOutputDecSumCh4Prod4Slot1</t>
  </si>
  <si>
    <t>tlOutputDecSumCh4Prod4Slot1SF</t>
  </si>
  <si>
    <t>tlOutputDecSumCh4Prod4Slot1Pack</t>
  </si>
  <si>
    <t>tlOutputDecSumCh4Prod4Slot1CP</t>
  </si>
  <si>
    <t>tlOutputDecSumCh4Prod4Slot1Promo1</t>
  </si>
  <si>
    <t>tlOutputDecSumCh4Prod4Slot1PW1</t>
  </si>
  <si>
    <t>tlOutputDecSumCh4Prod4Slot1PS1</t>
  </si>
  <si>
    <t>tlOutputDecSumCh4Prod4Slot1Promo2</t>
  </si>
  <si>
    <t>tlOutputDecSumCh4Prod4Slot1PW2</t>
  </si>
  <si>
    <t>tlOutputDecSumCh4Prod4Slot1PS2</t>
  </si>
  <si>
    <t>tlOutputDecSumCh4Prod4Slot2</t>
  </si>
  <si>
    <t>tlOutputDecSumCh4Prod4Slot2SF</t>
  </si>
  <si>
    <t>tlOutputDecSumCh4Prod4Slot2Pack</t>
  </si>
  <si>
    <t>tlOutputDecSumCh4Prod4Slot2CP</t>
  </si>
  <si>
    <t>tlOutputDecSumCh4Prod4Slot2Promo1</t>
  </si>
  <si>
    <t>tlOutputDecSumCh4Prod4Slot2PW1</t>
  </si>
  <si>
    <t>tlOutputDecSumCh4Prod4Slot2PS1</t>
  </si>
  <si>
    <t>tlOutputDecSumCh4Prod4Slot2Promo2</t>
  </si>
  <si>
    <t>tlOutputDecSumCh4Prod4Slot2PW2</t>
  </si>
  <si>
    <t>tlOutputDecSumCh4Prod4Slot2PS2</t>
  </si>
  <si>
    <t>tlOutputDecSumCh4Prod4Slot3</t>
  </si>
  <si>
    <t>tlOutputDecSumCh4Prod4Slot3SF</t>
  </si>
  <si>
    <t>tlOutputDecSumCh4Prod4Slot3Pack</t>
  </si>
  <si>
    <t>tlOutputDecSumCh4Prod4Slot3CP</t>
  </si>
  <si>
    <t>tlOutputDecSumCh4Prod4Slot3Promo1</t>
  </si>
  <si>
    <t>tlOutputDecSumCh4Prod4Slot3PW1</t>
  </si>
  <si>
    <t>tlOutputDecSumCh4Prod4Slot3PS1</t>
  </si>
  <si>
    <t>tlOutputDecSumCh4Prod4Slot3Promo2</t>
  </si>
  <si>
    <t>tlOutputDecSumCh4Prod4Slot3PW2</t>
  </si>
  <si>
    <t>tlOutputDecSumCh4Prod4Slot3PS2</t>
  </si>
  <si>
    <t>Report Expense</t>
  </si>
  <si>
    <t>Report MTUs</t>
  </si>
  <si>
    <t>paramRepExp</t>
  </si>
  <si>
    <t>paramRepEmp1</t>
  </si>
  <si>
    <t>adj_RepCostCode</t>
  </si>
  <si>
    <t>adj_RepMTUCostCode</t>
  </si>
  <si>
    <t>Rep Cost</t>
  </si>
  <si>
    <t>Rep MTU</t>
  </si>
  <si>
    <t>Number of Analytics Reports Bought</t>
  </si>
  <si>
    <t>calcReportEmp1Req</t>
  </si>
  <si>
    <t>calcReportExpReq</t>
  </si>
  <si>
    <t>Report 1</t>
  </si>
  <si>
    <t>Report 2</t>
  </si>
  <si>
    <t>Report 3</t>
  </si>
  <si>
    <t>Report 4</t>
  </si>
  <si>
    <t>Report 5</t>
  </si>
  <si>
    <t>Report 6</t>
  </si>
  <si>
    <t>tlOutputReport1Code</t>
  </si>
  <si>
    <t>tlOutputReport2Code</t>
  </si>
  <si>
    <t>tlOutputReport3Code</t>
  </si>
  <si>
    <t>tlOutputReport4Code</t>
  </si>
  <si>
    <t>tlOutputReport5Code</t>
  </si>
  <si>
    <t>tlOutputReport6Code</t>
  </si>
  <si>
    <t>paramTM</t>
  </si>
  <si>
    <t>Trade marketing expense (SI impact)</t>
  </si>
  <si>
    <t>Revenue factor per channel</t>
  </si>
  <si>
    <t>Channel factor</t>
  </si>
  <si>
    <t>dataRevenueFactor</t>
  </si>
  <si>
    <t>Applicable to open</t>
  </si>
  <si>
    <t>tlOutputCh1Prod1Open</t>
  </si>
  <si>
    <t>tlOutputCh1Prod1Close</t>
  </si>
  <si>
    <t>tlOutputCh1Prod4Close</t>
  </si>
  <si>
    <t>tlOutputCh1Prod4Open</t>
  </si>
  <si>
    <t>tlOutputCh1Prod3Close</t>
  </si>
  <si>
    <t>tlOutputCh1Prod3Open</t>
  </si>
  <si>
    <t>tlOutputCh1Prod2Close</t>
  </si>
  <si>
    <t>tlOutputCh1Prod2Open</t>
  </si>
  <si>
    <t>tlOutputCh2Prod1Open</t>
  </si>
  <si>
    <t>tlOutputCh2Prod1Close</t>
  </si>
  <si>
    <t>tlOutputCh2Prod2Open</t>
  </si>
  <si>
    <t>tlOutputCh2Prod2Close</t>
  </si>
  <si>
    <t>tlOutputCh2Prod3Open</t>
  </si>
  <si>
    <t>tlOutputCh2Prod3Close</t>
  </si>
  <si>
    <t>tlOutputCh2Prod4Open</t>
  </si>
  <si>
    <t>tlOutputCh2Prod4Close</t>
  </si>
  <si>
    <t>tlOutputCh4Prod1Open</t>
  </si>
  <si>
    <t>tlOutputCh4Prod1Close</t>
  </si>
  <si>
    <t>tlOutputCh4Prod2Open</t>
  </si>
  <si>
    <t>tlOutputCh4Prod2Close</t>
  </si>
  <si>
    <t>tlOutputCh4Prod3Open</t>
  </si>
  <si>
    <t>tlOutputCh4Prod3Close</t>
  </si>
  <si>
    <t>tlOutputCh4Prod4Open</t>
  </si>
  <si>
    <t>tlOutputCh4Prod4Close</t>
  </si>
  <si>
    <t>tlOutputCh3Prod1Open</t>
  </si>
  <si>
    <t>tlOutputCh3Prod1Close</t>
  </si>
  <si>
    <t>tlOutputCh3Prod2Open</t>
  </si>
  <si>
    <t>tlOutputCh3Prod2Close</t>
  </si>
  <si>
    <t>tlOutputCh3Prod3Open</t>
  </si>
  <si>
    <t>tlOutputCh3Prod3Close</t>
  </si>
  <si>
    <t>tlOutputCh3Prod4Open</t>
  </si>
  <si>
    <t>tlOutputCh3Prod4Close</t>
  </si>
  <si>
    <t>End of Decisions</t>
  </si>
  <si>
    <t>dec_End</t>
  </si>
  <si>
    <t>decSI1</t>
  </si>
  <si>
    <t>decSI2</t>
  </si>
  <si>
    <t>decSI3</t>
  </si>
  <si>
    <t>decSI4</t>
  </si>
  <si>
    <t>decSI5</t>
  </si>
  <si>
    <t>% of total sold volume</t>
  </si>
  <si>
    <t>Sum</t>
  </si>
  <si>
    <t>calcCh1TotalVolSold</t>
  </si>
  <si>
    <t>calcCh2TotalVolSold</t>
  </si>
  <si>
    <t>calcCh3TotalVolSold</t>
  </si>
  <si>
    <t>calcCh4TotalVolSold</t>
  </si>
  <si>
    <t>calcCh1WeightedAvgPrice</t>
  </si>
  <si>
    <t>calcCh2WeightedAvgPrice</t>
  </si>
  <si>
    <t>calcCh3WeightedAvgPrice</t>
  </si>
  <si>
    <t>calcCh4WeightedAvgPrice</t>
  </si>
  <si>
    <t>Weighted Average Price per litre &amp; channel</t>
  </si>
  <si>
    <t>Price in relation to weighted average price of the channel</t>
  </si>
  <si>
    <t>calcCh1Prod2Slot1PriceDif</t>
  </si>
  <si>
    <t>calcCh1Prod2Slot2PriceDif</t>
  </si>
  <si>
    <t>calcCh1Prod2Slot3PriceDif</t>
  </si>
  <si>
    <t>calcCh1Prod3Slot1PriceDif</t>
  </si>
  <si>
    <t>calcCh1Prod3Slot2PriceDif</t>
  </si>
  <si>
    <t>calcCh1Prod3Slot3PriceDif</t>
  </si>
  <si>
    <t>calcCh1Prod4Slot1PriceDif</t>
  </si>
  <si>
    <t>calcCh1Prod4Slot2PriceDif</t>
  </si>
  <si>
    <t>calcCh1Prod4Slot3PriceDif</t>
  </si>
  <si>
    <t>calcCh1Prod1Slot1PriceDif</t>
  </si>
  <si>
    <t>calcCh1Prod1Slot2PriceDif</t>
  </si>
  <si>
    <t>calcCh1Prod1Slot3PriceDif</t>
  </si>
  <si>
    <t>calcCh2Prod2Slot1PriceDif</t>
  </si>
  <si>
    <t>calcCh2Prod2Slot2PriceDif</t>
  </si>
  <si>
    <t>calcCh2Prod2Slot3PriceDif</t>
  </si>
  <si>
    <t>calcCh2Prod3Slot1PriceDif</t>
  </si>
  <si>
    <t>calcCh2Prod3Slot2PriceDif</t>
  </si>
  <si>
    <t>calcCh2Prod3Slot3PriceDif</t>
  </si>
  <si>
    <t>calcCh2Prod1Slot1PriceDif</t>
  </si>
  <si>
    <t>calcCh2Prod1Slot2PriceDif</t>
  </si>
  <si>
    <t>calcCh2Prod1Slot3PriceDif</t>
  </si>
  <si>
    <t>calcCh2Prod4Slot1PriceDif</t>
  </si>
  <si>
    <t>calcCh2Prod4Slot2PriceDif</t>
  </si>
  <si>
    <t>calcCh2Prod4Slot3PriceDif</t>
  </si>
  <si>
    <t>calcCh3Prod2Slot1PriceDif</t>
  </si>
  <si>
    <t>calcCh3Prod2Slot2PriceDif</t>
  </si>
  <si>
    <t>calcCh3Prod2Slot3PriceDif</t>
  </si>
  <si>
    <t>calcCh3Prod3Slot1PriceDif</t>
  </si>
  <si>
    <t>calcCh3Prod3Slot2PriceDif</t>
  </si>
  <si>
    <t>calcCh3Prod3Slot3PriceDif</t>
  </si>
  <si>
    <t>calcCh3Prod1Slot1PriceDif</t>
  </si>
  <si>
    <t>calcCh3Prod1Slot2PriceDif</t>
  </si>
  <si>
    <t>calcCh3Prod1Slot3PriceDif</t>
  </si>
  <si>
    <t>calcCh3Prod4Slot1PriceDif</t>
  </si>
  <si>
    <t>calcCh3Prod4Slot2PriceDif</t>
  </si>
  <si>
    <t>calcCh3Prod4Slot3PriceDif</t>
  </si>
  <si>
    <t>calcCh4Prod2Slot1PriceDif</t>
  </si>
  <si>
    <t>calcCh4Prod2Slot2PriceDif</t>
  </si>
  <si>
    <t>calcCh4Prod2Slot3PriceDif</t>
  </si>
  <si>
    <t>calcCh4Prod3Slot1PriceDif</t>
  </si>
  <si>
    <t>calcCh4Prod3Slot2PriceDif</t>
  </si>
  <si>
    <t>calcCh4Prod3Slot3PriceDif</t>
  </si>
  <si>
    <t>calcCh4Prod1Slot1PriceDif</t>
  </si>
  <si>
    <t>calcCh4Prod1Slot2PriceDif</t>
  </si>
  <si>
    <t>calcCh4Prod1Slot3PriceDif</t>
  </si>
  <si>
    <t>calcCh4Prod4Slot1PriceDif</t>
  </si>
  <si>
    <t>calcCh4Prod4Slot2PriceDif</t>
  </si>
  <si>
    <t>calcCh4Prod4Slot3PriceDif</t>
  </si>
  <si>
    <t>paramNewSlotExp</t>
  </si>
  <si>
    <t>tlOutputCh1WaterfallInvisible7</t>
  </si>
  <si>
    <t>Staple 7 (Visible)</t>
  </si>
  <si>
    <t>tlOutputCh1WaterfallVisible7</t>
  </si>
  <si>
    <t>COGS per Litre</t>
  </si>
  <si>
    <t>obalCh1Prod1Slot1COGSpL</t>
  </si>
  <si>
    <t>obalCh1Prod1Slot2COGSpL</t>
  </si>
  <si>
    <t>obalCh1Prod1Slot3COGSpL</t>
  </si>
  <si>
    <t>obalCh1Prod2Slot1COGSpL</t>
  </si>
  <si>
    <t>obalCh1Prod2Slot2COGSpL</t>
  </si>
  <si>
    <t>obalCh1Prod2Slot3COGSpL</t>
  </si>
  <si>
    <t>obalCh1Prod3Slot1COGSpL</t>
  </si>
  <si>
    <t>obalCh1Prod3Slot2COGSpL</t>
  </si>
  <si>
    <t>obalCh1Prod3Slot3COGSpL</t>
  </si>
  <si>
    <t>obalCh1Prod4Slot1COGSpL</t>
  </si>
  <si>
    <t>obalCh1Prod4Slot2COGSpL</t>
  </si>
  <si>
    <t>obalCh1Prod4Slot3COGSpL</t>
  </si>
  <si>
    <t>obalCh2Prod1Slot1COGSpL</t>
  </si>
  <si>
    <t>obalCh2Prod1Slot2COGSpL</t>
  </si>
  <si>
    <t>obalCh2Prod1Slot3COGSpL</t>
  </si>
  <si>
    <t>obalCh2Prod2Slot1COGSpL</t>
  </si>
  <si>
    <t>obalCh2Prod2Slot2COGSpL</t>
  </si>
  <si>
    <t>obalCh2Prod2Slot3COGSpL</t>
  </si>
  <si>
    <t>obalCh2Prod3Slot1COGSpL</t>
  </si>
  <si>
    <t>obalCh2Prod3Slot2COGSpL</t>
  </si>
  <si>
    <t>obalCh2Prod3Slot3COGSpL</t>
  </si>
  <si>
    <t>obalCh2Prod4Slot1COGSpL</t>
  </si>
  <si>
    <t>obalCh2Prod4Slot2COGSpL</t>
  </si>
  <si>
    <t>obalCh2Prod4Slot3COGSpL</t>
  </si>
  <si>
    <t>obalCh3Prod1Slot1COGSpL</t>
  </si>
  <si>
    <t>obalCh3Prod1Slot2COGSpL</t>
  </si>
  <si>
    <t>obalCh3Prod1Slot3COGSpL</t>
  </si>
  <si>
    <t>obalCh3Prod2Slot1COGSpL</t>
  </si>
  <si>
    <t>obalCh3Prod2Slot2COGSpL</t>
  </si>
  <si>
    <t>obalCh3Prod2Slot3COGSpL</t>
  </si>
  <si>
    <t>obalCh3Prod3Slot1COGSpL</t>
  </si>
  <si>
    <t>obalCh3Prod3Slot2COGSpL</t>
  </si>
  <si>
    <t>obalCh3Prod3Slot3COGSpL</t>
  </si>
  <si>
    <t>obalCh3Prod4Slot1COGSpL</t>
  </si>
  <si>
    <t>obalCh3Prod4Slot2COGSpL</t>
  </si>
  <si>
    <t>obalCh3Prod4Slot3COGSpL</t>
  </si>
  <si>
    <t>obalCh4Prod1Slot1COGSpL</t>
  </si>
  <si>
    <t>obalCh4Prod1Slot2COGSpL</t>
  </si>
  <si>
    <t>obalCh4Prod1Slot3COGSpL</t>
  </si>
  <si>
    <t>obalCh4Prod2Slot1COGSpL</t>
  </si>
  <si>
    <t>obalCh4Prod2Slot2COGSpL</t>
  </si>
  <si>
    <t>obalCh4Prod2Slot3COGSpL</t>
  </si>
  <si>
    <t>obalCh4Prod3Slot1COGSpL</t>
  </si>
  <si>
    <t>obalCh4Prod3Slot2COGSpL</t>
  </si>
  <si>
    <t>obalCh4Prod3Slot3COGSpL</t>
  </si>
  <si>
    <t>obalCh4Prod4Slot1COGSpL</t>
  </si>
  <si>
    <t>obalCh4Prod4Slot2COGSpL</t>
  </si>
  <si>
    <t>obalCh4Prod4Slot3COGSpL</t>
  </si>
  <si>
    <t>cbalCh1Prod1Slot1COGSpL</t>
  </si>
  <si>
    <t>cbalCh1Prod1Slot2COGSpL</t>
  </si>
  <si>
    <t>cbalCh1Prod1Slot3COGSpL</t>
  </si>
  <si>
    <t>cbalCh1Prod2Slot1COGSpL</t>
  </si>
  <si>
    <t>cbalCh1Prod2Slot2COGSpL</t>
  </si>
  <si>
    <t>cbalCh1Prod2Slot3COGSpL</t>
  </si>
  <si>
    <t>cbalCh1Prod3Slot1COGSpL</t>
  </si>
  <si>
    <t>cbalCh1Prod3Slot2COGSpL</t>
  </si>
  <si>
    <t>cbalCh1Prod3Slot3COGSpL</t>
  </si>
  <si>
    <t>cbalCh1Prod4Slot1COGSpL</t>
  </si>
  <si>
    <t>cbalCh1Prod4Slot2COGSpL</t>
  </si>
  <si>
    <t>cbalCh1Prod4Slot3COGSpL</t>
  </si>
  <si>
    <t>cbalCh2Prod1Slot1COGSpL</t>
  </si>
  <si>
    <t>cbalCh2Prod1Slot2COGSpL</t>
  </si>
  <si>
    <t>cbalCh2Prod1Slot3COGSpL</t>
  </si>
  <si>
    <t>cbalCh2Prod2Slot1COGSpL</t>
  </si>
  <si>
    <t>cbalCh2Prod2Slot2COGSpL</t>
  </si>
  <si>
    <t>cbalCh2Prod2Slot3COGSpL</t>
  </si>
  <si>
    <t>cbalCh2Prod3Slot1COGSpL</t>
  </si>
  <si>
    <t>cbalCh2Prod3Slot2COGSpL</t>
  </si>
  <si>
    <t>cbalCh2Prod3Slot3COGSpL</t>
  </si>
  <si>
    <t>cbalCh2Prod4Slot1COGSpL</t>
  </si>
  <si>
    <t>cbalCh2Prod4Slot2COGSpL</t>
  </si>
  <si>
    <t>cbalCh2Prod4Slot3COGSpL</t>
  </si>
  <si>
    <t>cbalCh3Prod1Slot1COGSpL</t>
  </si>
  <si>
    <t>cbalCh3Prod1Slot2COGSpL</t>
  </si>
  <si>
    <t>cbalCh3Prod1Slot3COGSpL</t>
  </si>
  <si>
    <t>cbalCh3Prod2Slot1COGSpL</t>
  </si>
  <si>
    <t>cbalCh3Prod2Slot2COGSpL</t>
  </si>
  <si>
    <t>cbalCh3Prod2Slot3COGSpL</t>
  </si>
  <si>
    <t>cbalCh3Prod3Slot1COGSpL</t>
  </si>
  <si>
    <t>cbalCh3Prod3Slot2COGSpL</t>
  </si>
  <si>
    <t>cbalCh3Prod3Slot3COGSpL</t>
  </si>
  <si>
    <t>cbalCh3Prod4Slot1COGSpL</t>
  </si>
  <si>
    <t>cbalCh3Prod4Slot2COGSpL</t>
  </si>
  <si>
    <t>cbalCh3Prod4Slot3COGSpL</t>
  </si>
  <si>
    <t>cbalCh4Prod1Slot1COGSpL</t>
  </si>
  <si>
    <t>cbalCh4Prod1Slot2COGSpL</t>
  </si>
  <si>
    <t>cbalCh4Prod1Slot3COGSpL</t>
  </si>
  <si>
    <t>cbalCh4Prod2Slot1COGSpL</t>
  </si>
  <si>
    <t>cbalCh4Prod2Slot2COGSpL</t>
  </si>
  <si>
    <t>cbalCh4Prod2Slot3COGSpL</t>
  </si>
  <si>
    <t>cbalCh4Prod3Slot1COGSpL</t>
  </si>
  <si>
    <t>cbalCh4Prod3Slot2COGSpL</t>
  </si>
  <si>
    <t>cbalCh4Prod3Slot3COGSpL</t>
  </si>
  <si>
    <t>cbalCh4Prod4Slot1COGSpL</t>
  </si>
  <si>
    <t>cbalCh4Prod4Slot2COGSpL</t>
  </si>
  <si>
    <t>cbalCh4Prod4Slot3COGSpL</t>
  </si>
  <si>
    <t>obalCh1Prod1Slot1COGS</t>
  </si>
  <si>
    <t>obalCh1Prod1Slot2COGS</t>
  </si>
  <si>
    <t>obalCh2Prod1Slot2Pack</t>
  </si>
  <si>
    <t>obalCh1Prod1Slot3COGS</t>
  </si>
  <si>
    <t>obalCh1Prod2Slot1COGS</t>
  </si>
  <si>
    <t>obalCh1Prod2Slot2COGS</t>
  </si>
  <si>
    <t>obalCh1Prod2Slot3COGS</t>
  </si>
  <si>
    <t>obalCh1Prod3Slot1COGS</t>
  </si>
  <si>
    <t>obalCh1Prod3Slot2COGS</t>
  </si>
  <si>
    <t>obalCh1Prod3Slot3COGS</t>
  </si>
  <si>
    <t>obalCh1Prod4Slot1COGS</t>
  </si>
  <si>
    <t>obalCh1Prod4Slot2COGS</t>
  </si>
  <si>
    <t>obalCh1Prod4Slot3COGS</t>
  </si>
  <si>
    <t>obalCh2Prod1Slot1COGS</t>
  </si>
  <si>
    <t>obalCh2Prod1Slot2COGS</t>
  </si>
  <si>
    <t>obalCh2Prod1Slot3COGS</t>
  </si>
  <si>
    <t>obalCh2Prod2Slot1COGS</t>
  </si>
  <si>
    <t>obalCh2Prod2Slot2COGS</t>
  </si>
  <si>
    <t>obalCh2Prod2Slot3COGS</t>
  </si>
  <si>
    <t>obalCh2Prod3Slot1COGS</t>
  </si>
  <si>
    <t>obalCh2Prod3Slot2COGS</t>
  </si>
  <si>
    <t>obalCh2Prod3Slot3COGS</t>
  </si>
  <si>
    <t>obalCh2Prod4Slot1COGS</t>
  </si>
  <si>
    <t>obalCh2Prod4Slot2COGS</t>
  </si>
  <si>
    <t>obalCh2Prod4Slot3COGS</t>
  </si>
  <si>
    <t>obalCh3Prod1Slot1COGS</t>
  </si>
  <si>
    <t>obalCh3Prod1Slot2COGS</t>
  </si>
  <si>
    <t>obalCh3Prod1Slot3COGS</t>
  </si>
  <si>
    <t>obalCh3Prod2Slot1COGS</t>
  </si>
  <si>
    <t>obalCh3Prod2Slot2COGS</t>
  </si>
  <si>
    <t>obalCh3Prod2Slot3COGS</t>
  </si>
  <si>
    <t>obalCh3Prod3Slot1COGS</t>
  </si>
  <si>
    <t>obalCh3Prod3Slot2COGS</t>
  </si>
  <si>
    <t>obalCh3Prod3Slot3COGS</t>
  </si>
  <si>
    <t>obalCh3Prod4Slot1COGS</t>
  </si>
  <si>
    <t>obalCh3Prod4Slot2COGS</t>
  </si>
  <si>
    <t>obalCh3Prod4Slot3COGS</t>
  </si>
  <si>
    <t>obalCh4Prod1Slot1COGS</t>
  </si>
  <si>
    <t>obalCh4Prod1Slot2COGS</t>
  </si>
  <si>
    <t>obalCh4Prod1Slot3COGS</t>
  </si>
  <si>
    <t>obalCh4Prod2Slot1COGS</t>
  </si>
  <si>
    <t>obalCh4Prod2Slot2COGS</t>
  </si>
  <si>
    <t>obalCh4Prod2Slot3COGS</t>
  </si>
  <si>
    <t>obalCh4Prod3Slot1COGS</t>
  </si>
  <si>
    <t>obalCh4Prod3Slot2COGS</t>
  </si>
  <si>
    <t>obalCh4Prod3Slot3COGS</t>
  </si>
  <si>
    <t>obalCh4Prod4Slot1COGS</t>
  </si>
  <si>
    <t>obalCh4Prod4Slot2COGS</t>
  </si>
  <si>
    <t>obalCh4Prod4Slot3COGS</t>
  </si>
  <si>
    <t>cbalCh1Prod1Slot1COGS</t>
  </si>
  <si>
    <t>cbalCh1Prod1Slot2COGS</t>
  </si>
  <si>
    <t>cbalCh1Prod1Slot3COGS</t>
  </si>
  <si>
    <t>cbalCh1Prod2Slot1COGS</t>
  </si>
  <si>
    <t>cbalCh1Prod2Slot2COGS</t>
  </si>
  <si>
    <t>cbalCh1Prod2Slot3COGS</t>
  </si>
  <si>
    <t>cbalCh1Prod3Slot1COGS</t>
  </si>
  <si>
    <t>cbalCh1Prod3Slot2COGS</t>
  </si>
  <si>
    <t>cbalCh1Prod3Slot3COGS</t>
  </si>
  <si>
    <t>cbalCh1Prod4Slot1COGS</t>
  </si>
  <si>
    <t>cbalCh1Prod4Slot2COGS</t>
  </si>
  <si>
    <t>cbalCh1Prod4Slot3COGS</t>
  </si>
  <si>
    <t>cbalCh2Prod1Slot1COGS</t>
  </si>
  <si>
    <t>cbalCh2Prod1Slot2COGS</t>
  </si>
  <si>
    <t>cbalCh2Prod1Slot3COGS</t>
  </si>
  <si>
    <t>cbalCh2Prod2Slot1COGS</t>
  </si>
  <si>
    <t>cbalCh2Prod2Slot2COGS</t>
  </si>
  <si>
    <t>cbalCh2Prod2Slot3COGS</t>
  </si>
  <si>
    <t>cbalCh2Prod3Slot1COGS</t>
  </si>
  <si>
    <t>cbalCh2Prod3Slot2COGS</t>
  </si>
  <si>
    <t>cbalCh2Prod3Slot3COGS</t>
  </si>
  <si>
    <t>cbalCh2Prod4Slot1COGS</t>
  </si>
  <si>
    <t>cbalCh2Prod4Slot2COGS</t>
  </si>
  <si>
    <t>cbalCh2Prod4Slot3COGS</t>
  </si>
  <si>
    <t>cbalCh3Prod1Slot1COGS</t>
  </si>
  <si>
    <t>cbalCh3Prod1Slot2COGS</t>
  </si>
  <si>
    <t>cbalCh3Prod1Slot3COGS</t>
  </si>
  <si>
    <t>cbalCh3Prod2Slot1COGS</t>
  </si>
  <si>
    <t>cbalCh3Prod2Slot2COGS</t>
  </si>
  <si>
    <t>cbalCh3Prod2Slot3COGS</t>
  </si>
  <si>
    <t>cbalCh3Prod3Slot1COGS</t>
  </si>
  <si>
    <t>cbalCh3Prod3Slot2COGS</t>
  </si>
  <si>
    <t>cbalCh3Prod3Slot3COGS</t>
  </si>
  <si>
    <t>cbalCh3Prod4Slot1COGS</t>
  </si>
  <si>
    <t>cbalCh3Prod4Slot2COGS</t>
  </si>
  <si>
    <t>cbalCh3Prod4Slot3COGS</t>
  </si>
  <si>
    <t>cbalCh4Prod1Slot1COGS</t>
  </si>
  <si>
    <t>cbalCh4Prod1Slot2COGS</t>
  </si>
  <si>
    <t>cbalCh4Prod1Slot3COGS</t>
  </si>
  <si>
    <t>cbalCh4Prod2Slot1COGS</t>
  </si>
  <si>
    <t>cbalCh4Prod2Slot2COGS</t>
  </si>
  <si>
    <t>cbalCh4Prod2Slot3COGS</t>
  </si>
  <si>
    <t>cbalCh4Prod3Slot1COGS</t>
  </si>
  <si>
    <t>cbalCh4Prod3Slot2COGS</t>
  </si>
  <si>
    <t>cbalCh4Prod3Slot3COGS</t>
  </si>
  <si>
    <t>cbalCh4Prod4Slot1COGS</t>
  </si>
  <si>
    <t>cbalCh4Prod4Slot2COGS</t>
  </si>
  <si>
    <t>cbalCh4Prod4Slot3COGS</t>
  </si>
  <si>
    <t>Data validation</t>
  </si>
  <si>
    <t>True = ok False = Problem</t>
  </si>
  <si>
    <t>tlOutputExportValidation</t>
  </si>
  <si>
    <t>Temporary for Calculations</t>
  </si>
  <si>
    <t>Company EBIT</t>
  </si>
  <si>
    <t>obalCompanyEBIT</t>
  </si>
  <si>
    <t>calcCustProfitTot</t>
  </si>
  <si>
    <t>Error Check</t>
  </si>
  <si>
    <t>decTeamRound</t>
  </si>
  <si>
    <t>cnstWeeksPYear</t>
  </si>
  <si>
    <t>Paper Reports</t>
  </si>
  <si>
    <t>decReport1</t>
  </si>
  <si>
    <t>decReport2</t>
  </si>
  <si>
    <t>decReport3</t>
  </si>
  <si>
    <t>decReport4</t>
  </si>
  <si>
    <t>decReport5</t>
  </si>
  <si>
    <t>decReport6</t>
  </si>
  <si>
    <t>Cannibalization data</t>
  </si>
  <si>
    <t>dataCanBrand</t>
  </si>
  <si>
    <t>Brands range</t>
  </si>
  <si>
    <t>Packs Range</t>
  </si>
  <si>
    <t>dataBrandNames</t>
  </si>
  <si>
    <t>dataPackNames</t>
  </si>
  <si>
    <t>dataCanPack</t>
  </si>
  <si>
    <t>Primary Pack Type</t>
  </si>
  <si>
    <t>Primary Pack Size</t>
  </si>
  <si>
    <t>Secondary Pack Size</t>
  </si>
  <si>
    <t>Brand Cannibalization</t>
  </si>
  <si>
    <t>Pack Cannibalization</t>
  </si>
  <si>
    <t>Weighting</t>
  </si>
  <si>
    <t>Analytics Bought</t>
  </si>
  <si>
    <t>Promotion Shares</t>
  </si>
  <si>
    <t>tlInput</t>
  </si>
  <si>
    <t>calcCh1Prod1Slot1Promo1Weeks</t>
  </si>
  <si>
    <t>Promotional efficiency</t>
  </si>
  <si>
    <t>dataPromoSeg1</t>
  </si>
  <si>
    <t>dataPromoSeg2</t>
  </si>
  <si>
    <t>dataPromoSeg3</t>
  </si>
  <si>
    <t>dataPromoSeg4</t>
  </si>
  <si>
    <t>calcCh1Prod1Slot1Promo1Seg1Fit</t>
  </si>
  <si>
    <t>Promotion Fit for Plan</t>
  </si>
  <si>
    <t>Number of weeks benefit</t>
  </si>
  <si>
    <t>Delta</t>
  </si>
  <si>
    <t>dataPromoWeeksEffect</t>
  </si>
  <si>
    <t>calcCh1Prod1Slot1Promo1Seg1Efficiency</t>
  </si>
  <si>
    <t>dataPromoWeeksShareEffect</t>
  </si>
  <si>
    <t>calcCh1Prod1Slot1Promo1Seg4Fit</t>
  </si>
  <si>
    <t>calcCh1Prod1Slot1Promo1Seg4Efficiency</t>
  </si>
  <si>
    <t>calcCh1Prod1Slot1Promo1Seg3Fit</t>
  </si>
  <si>
    <t>calcCh1Prod1Slot1Promo1Seg3Efficiency</t>
  </si>
  <si>
    <t>calcCh1Prod1Slot1Promo1Seg2Fit</t>
  </si>
  <si>
    <t>calcCh1Prod1Slot1Promo1Seg2Efficiency</t>
  </si>
  <si>
    <t>calcCh1Prod1Slot2Promo1Seg1Share</t>
  </si>
  <si>
    <t>calcCh1Prod1Slot1Promo2Weeks</t>
  </si>
  <si>
    <t>calcCh1Prod1Slot1Promo2Seg1Fit</t>
  </si>
  <si>
    <t>calcCh1Prod1Slot1Promo2Seg1Efficiency</t>
  </si>
  <si>
    <t>calcCh1Prod1Slot1Promo2Seg2Fit</t>
  </si>
  <si>
    <t>calcCh1Prod1Slot1Promo2Seg2Efficiency</t>
  </si>
  <si>
    <t>calcCh1Prod1Slot1Promo2Seg3Fit</t>
  </si>
  <si>
    <t>calcCh1Prod1Slot1Promo2Seg3Efficiency</t>
  </si>
  <si>
    <t>calcCh1Prod1Slot1Promo2Seg4Fit</t>
  </si>
  <si>
    <t>calcCh1Prod1Slot1Promo2Seg4Efficiency</t>
  </si>
  <si>
    <t>calcCh3Prod1Slot1Promo1Weeks</t>
  </si>
  <si>
    <t>calcCh3Prod1Slot1Promo1Seg1Fit</t>
  </si>
  <si>
    <t>calcCh3Prod1Slot1Promo1Seg1Efficiency</t>
  </si>
  <si>
    <t>calcCh3Prod1Slot2Promo1Seg1Share</t>
  </si>
  <si>
    <t>calcCh3Prod1Slot1Promo1Seg2Fit</t>
  </si>
  <si>
    <t>calcCh3Prod1Slot1Promo1Seg2Efficiency</t>
  </si>
  <si>
    <t>calcCh3Prod1Slot2Promo1Seg2Share</t>
  </si>
  <si>
    <t>calcCh3Prod1Slot1Promo1Seg3Fit</t>
  </si>
  <si>
    <t>calcCh3Prod1Slot1Promo1Seg3Efficiency</t>
  </si>
  <si>
    <t>calcCh3Prod1Slot2Promo1Seg3Share</t>
  </si>
  <si>
    <t>calcCh3Prod1Slot1Promo1Seg4Fit</t>
  </si>
  <si>
    <t>calcCh3Prod1Slot1Promo1Seg4Efficiency</t>
  </si>
  <si>
    <t>calcCh3Prod1Slot2Promo1Seg4Share</t>
  </si>
  <si>
    <t>calcCh1Prod1Slot3Promo1Weeks</t>
  </si>
  <si>
    <t>calcCh1Prod1Slot3Promo1Seg1Fit</t>
  </si>
  <si>
    <t>calcCh1Prod1Slot3Promo1Seg1Efficiency</t>
  </si>
  <si>
    <t>calcCh1Prod1Slot3Promo1Seg2Fit</t>
  </si>
  <si>
    <t>calcCh1Prod1Slot3Promo1Seg2Efficiency</t>
  </si>
  <si>
    <t>calcCh1Prod1Slot3Promo1Seg3Fit</t>
  </si>
  <si>
    <t>calcCh1Prod1Slot3Promo1Seg3Efficiency</t>
  </si>
  <si>
    <t>calcCh1Prod1Slot3Promo1Seg4Fit</t>
  </si>
  <si>
    <t>calcCh1Prod1Slot3Promo1Seg4Efficiency</t>
  </si>
  <si>
    <t>calcCh1Prod1Slot3Promo2Weeks</t>
  </si>
  <si>
    <t>calcCh1Prod1Slot3Promo2Seg1Fit</t>
  </si>
  <si>
    <t>calcCh1Prod1Slot3Promo2Seg1Efficiency</t>
  </si>
  <si>
    <t>calcCh1Prod1Slot3Promo2Seg2Fit</t>
  </si>
  <si>
    <t>calcCh1Prod1Slot3Promo2Seg2Efficiency</t>
  </si>
  <si>
    <t>calcCh1Prod1Slot3Promo2Seg3Fit</t>
  </si>
  <si>
    <t>calcCh1Prod1Slot3Promo2Seg3Efficiency</t>
  </si>
  <si>
    <t>calcCh1Prod1Slot3Promo2Seg4Fit</t>
  </si>
  <si>
    <t>calcCh1Prod1Slot3Promo2Seg4Efficiency</t>
  </si>
  <si>
    <t>calcCh1Prod1Slot2Promo1Weeks</t>
  </si>
  <si>
    <t>calcCh1Prod1Slot2Promo1Seg1Fit</t>
  </si>
  <si>
    <t>calcCh1Prod1Slot2Promo1Seg1Efficiency</t>
  </si>
  <si>
    <t>calcCh1Prod1Slot2Promo1Seg2Fit</t>
  </si>
  <si>
    <t>calcCh1Prod1Slot2Promo1Seg2Efficiency</t>
  </si>
  <si>
    <t>calcCh1Prod1Slot2Promo1Seg3Fit</t>
  </si>
  <si>
    <t>calcCh1Prod1Slot2Promo1Seg3Efficiency</t>
  </si>
  <si>
    <t>calcCh1Prod1Slot2Promo1Seg4Fit</t>
  </si>
  <si>
    <t>calcCh1Prod1Slot2Promo1Seg4Efficiency</t>
  </si>
  <si>
    <t>calcCh1Prod1Slot2Promo2Weeks</t>
  </si>
  <si>
    <t>calcCh1Prod1Slot2Promo2Seg1Fit</t>
  </si>
  <si>
    <t>calcCh1Prod1Slot2Promo2Seg1Efficiency</t>
  </si>
  <si>
    <t>calcCh1Prod1Slot2Promo2Seg2Fit</t>
  </si>
  <si>
    <t>calcCh1Prod1Slot2Promo2Seg2Efficiency</t>
  </si>
  <si>
    <t>calcCh1Prod1Slot2Promo2Seg3Fit</t>
  </si>
  <si>
    <t>calcCh1Prod1Slot2Promo2Seg3Efficiency</t>
  </si>
  <si>
    <t>calcCh1Prod1Slot2Promo2Seg4Fit</t>
  </si>
  <si>
    <t>calcCh1Prod1Slot2Promo2Seg4Efficiency</t>
  </si>
  <si>
    <t>calcCh3Prod1Slot1Promo1Seg1Share</t>
  </si>
  <si>
    <t>calcCh3Prod1Slot1Promo1Seg2Share</t>
  </si>
  <si>
    <t>calcCh3Prod1Slot1Promo1Seg3Share</t>
  </si>
  <si>
    <t>calcCh3Prod1Slot1Promo1Seg4Share</t>
  </si>
  <si>
    <t>calcCh3Prod1Slot3Promo1Weeks</t>
  </si>
  <si>
    <t>calcCh3Prod1Slot3Promo1Seg1Fit</t>
  </si>
  <si>
    <t>calcCh3Prod1Slot3Promo1Seg1Efficiency</t>
  </si>
  <si>
    <t>calcCh3Prod1Slot3Promo1Seg1Share</t>
  </si>
  <si>
    <t>calcCh3Prod1Slot3Promo1Seg2Fit</t>
  </si>
  <si>
    <t>calcCh3Prod1Slot3Promo1Seg2Efficiency</t>
  </si>
  <si>
    <t>calcCh3Prod1Slot3Promo1Seg2Share</t>
  </si>
  <si>
    <t>calcCh3Prod1Slot3Promo1Seg3Fit</t>
  </si>
  <si>
    <t>calcCh3Prod1Slot3Promo1Seg3Efficiency</t>
  </si>
  <si>
    <t>calcCh3Prod1Slot3Promo1Seg3Share</t>
  </si>
  <si>
    <t>calcCh3Prod1Slot3Promo1Seg4Fit</t>
  </si>
  <si>
    <t>calcCh3Prod1Slot3Promo1Seg4Efficiency</t>
  </si>
  <si>
    <t>calcCh3Prod1Slot3Promo1Seg4Share</t>
  </si>
  <si>
    <t>calcCh3Prod1Slot2Promo1Weeks</t>
  </si>
  <si>
    <t>calcCh3Prod1Slot2Promo1Seg1Fit</t>
  </si>
  <si>
    <t>calcCh3Prod1Slot2Promo1Seg1Efficiency</t>
  </si>
  <si>
    <t>calcCh3Prod1Slot2Promo1Seg2Fit</t>
  </si>
  <si>
    <t>calcCh3Prod1Slot2Promo1Seg2Efficiency</t>
  </si>
  <si>
    <t>calcCh3Prod1Slot2Promo1Seg3Fit</t>
  </si>
  <si>
    <t>calcCh3Prod1Slot2Promo1Seg3Efficiency</t>
  </si>
  <si>
    <t>calcCh3Prod1Slot2Promo1Seg4Fit</t>
  </si>
  <si>
    <t>calcCh3Prod1Slot2Promo1Seg4Efficiency</t>
  </si>
  <si>
    <t>calcCh1Prod4Slot1Promo1Weeks</t>
  </si>
  <si>
    <t>calcCh1Prod4Slot1Promo1Seg1Fit</t>
  </si>
  <si>
    <t>calcCh1Prod4Slot1Promo1Seg1Efficiency</t>
  </si>
  <si>
    <t>calcCh1Prod4Slot1Promo1Seg2Fit</t>
  </si>
  <si>
    <t>calcCh1Prod4Slot1Promo1Seg2Efficiency</t>
  </si>
  <si>
    <t>calcCh1Prod4Slot1Promo1Seg3Fit</t>
  </si>
  <si>
    <t>calcCh1Prod4Slot1Promo1Seg3Efficiency</t>
  </si>
  <si>
    <t>calcCh1Prod4Slot1Promo1Seg4Fit</t>
  </si>
  <si>
    <t>calcCh1Prod4Slot1Promo1Seg4Efficiency</t>
  </si>
  <si>
    <t>calcCh1Prod4Slot1Promo2Weeks</t>
  </si>
  <si>
    <t>calcCh1Prod4Slot1Promo2Seg1Fit</t>
  </si>
  <si>
    <t>calcCh1Prod4Slot1Promo2Seg1Efficiency</t>
  </si>
  <si>
    <t>calcCh1Prod4Slot1Promo2Seg2Fit</t>
  </si>
  <si>
    <t>calcCh1Prod4Slot1Promo2Seg2Efficiency</t>
  </si>
  <si>
    <t>calcCh1Prod4Slot1Promo2Seg3Fit</t>
  </si>
  <si>
    <t>calcCh1Prod4Slot1Promo2Seg3Efficiency</t>
  </si>
  <si>
    <t>calcCh1Prod4Slot1Promo2Seg4Fit</t>
  </si>
  <si>
    <t>calcCh1Prod4Slot1Promo2Seg4Efficiency</t>
  </si>
  <si>
    <t>calcCh1Prod4Slot2Promo1Weeks</t>
  </si>
  <si>
    <t>calcCh1Prod4Slot2Promo1Seg1Fit</t>
  </si>
  <si>
    <t>calcCh1Prod4Slot2Promo1Seg1Efficiency</t>
  </si>
  <si>
    <t>calcCh1Prod4Slot2Promo1Seg2Fit</t>
  </si>
  <si>
    <t>calcCh1Prod4Slot2Promo1Seg2Efficiency</t>
  </si>
  <si>
    <t>calcCh1Prod4Slot2Promo1Seg3Fit</t>
  </si>
  <si>
    <t>calcCh1Prod4Slot2Promo1Seg3Efficiency</t>
  </si>
  <si>
    <t>calcCh1Prod4Slot2Promo1Seg4Fit</t>
  </si>
  <si>
    <t>calcCh1Prod4Slot2Promo1Seg4Efficiency</t>
  </si>
  <si>
    <t>calcCh1Prod4Slot2Promo2Weeks</t>
  </si>
  <si>
    <t>calcCh1Prod4Slot2Promo2Seg1Fit</t>
  </si>
  <si>
    <t>calcCh1Prod4Slot2Promo2Seg1Efficiency</t>
  </si>
  <si>
    <t>calcCh1Prod4Slot2Promo2Seg2Fit</t>
  </si>
  <si>
    <t>calcCh1Prod4Slot2Promo2Seg2Efficiency</t>
  </si>
  <si>
    <t>calcCh1Prod4Slot2Promo2Seg3Fit</t>
  </si>
  <si>
    <t>calcCh1Prod4Slot2Promo2Seg3Efficiency</t>
  </si>
  <si>
    <t>calcCh1Prod4Slot2Promo2Seg4Fit</t>
  </si>
  <si>
    <t>calcCh1Prod4Slot2Promo2Seg4Efficiency</t>
  </si>
  <si>
    <t>calcCh1Prod4Slot3Promo1Weeks</t>
  </si>
  <si>
    <t>calcCh1Prod4Slot3Promo1Seg1Fit</t>
  </si>
  <si>
    <t>calcCh1Prod4Slot3Promo1Seg1Efficiency</t>
  </si>
  <si>
    <t>calcCh1Prod4Slot3Promo1Seg2Fit</t>
  </si>
  <si>
    <t>calcCh1Prod4Slot3Promo1Seg2Efficiency</t>
  </si>
  <si>
    <t>calcCh1Prod4Slot3Promo1Seg3Fit</t>
  </si>
  <si>
    <t>calcCh1Prod4Slot3Promo1Seg3Efficiency</t>
  </si>
  <si>
    <t>calcCh1Prod4Slot3Promo1Seg4Fit</t>
  </si>
  <si>
    <t>calcCh1Prod4Slot3Promo1Seg4Efficiency</t>
  </si>
  <si>
    <t>calcCh1Prod4Slot3Promo2Weeks</t>
  </si>
  <si>
    <t>calcCh1Prod4Slot3Promo2Seg1Fit</t>
  </si>
  <si>
    <t>calcCh1Prod4Slot3Promo2Seg1Efficiency</t>
  </si>
  <si>
    <t>calcCh1Prod4Slot3Promo2Seg2Fit</t>
  </si>
  <si>
    <t>calcCh1Prod4Slot3Promo2Seg2Efficiency</t>
  </si>
  <si>
    <t>calcCh1Prod4Slot3Promo2Seg3Fit</t>
  </si>
  <si>
    <t>calcCh1Prod4Slot3Promo2Seg3Efficiency</t>
  </si>
  <si>
    <t>calcCh1Prod4Slot3Promo2Seg4Fit</t>
  </si>
  <si>
    <t>calcCh1Prod4Slot3Promo2Seg4Efficiency</t>
  </si>
  <si>
    <t>calcCh1Prod3Slot1Promo1Weeks</t>
  </si>
  <si>
    <t>calcCh1Prod3Slot1Promo1Seg1Fit</t>
  </si>
  <si>
    <t>calcCh1Prod3Slot1Promo1Seg1Efficiency</t>
  </si>
  <si>
    <t>calcCh1Prod3Slot1Promo1Seg2Fit</t>
  </si>
  <si>
    <t>calcCh1Prod3Slot1Promo1Seg2Efficiency</t>
  </si>
  <si>
    <t>calcCh1Prod3Slot1Promo1Seg3Fit</t>
  </si>
  <si>
    <t>calcCh1Prod3Slot1Promo1Seg3Efficiency</t>
  </si>
  <si>
    <t>calcCh1Prod3Slot1Promo1Seg4Fit</t>
  </si>
  <si>
    <t>calcCh1Prod3Slot1Promo1Seg4Efficiency</t>
  </si>
  <si>
    <t>calcCh1Prod3Slot1Promo2Weeks</t>
  </si>
  <si>
    <t>calcCh1Prod3Slot1Promo2Seg1Fit</t>
  </si>
  <si>
    <t>calcCh1Prod3Slot1Promo2Seg1Efficiency</t>
  </si>
  <si>
    <t>calcCh1Prod3Slot1Promo2Seg2Fit</t>
  </si>
  <si>
    <t>calcCh1Prod3Slot1Promo2Seg2Efficiency</t>
  </si>
  <si>
    <t>calcCh1Prod3Slot1Promo2Seg3Fit</t>
  </si>
  <si>
    <t>calcCh1Prod3Slot1Promo2Seg3Efficiency</t>
  </si>
  <si>
    <t>calcCh1Prod3Slot1Promo2Seg4Fit</t>
  </si>
  <si>
    <t>calcCh1Prod3Slot1Promo2Seg4Efficiency</t>
  </si>
  <si>
    <t>calcCh1Prod3Slot2Promo1Weeks</t>
  </si>
  <si>
    <t>calcCh1Prod3Slot2Promo1Seg1Fit</t>
  </si>
  <si>
    <t>calcCh1Prod3Slot2Promo1Seg1Efficiency</t>
  </si>
  <si>
    <t>calcCh1Prod3Slot2Promo1Seg2Fit</t>
  </si>
  <si>
    <t>calcCh1Prod3Slot2Promo1Seg2Efficiency</t>
  </si>
  <si>
    <t>calcCh1Prod3Slot2Promo1Seg3Fit</t>
  </si>
  <si>
    <t>calcCh1Prod3Slot2Promo1Seg3Efficiency</t>
  </si>
  <si>
    <t>calcCh1Prod3Slot2Promo1Seg4Fit</t>
  </si>
  <si>
    <t>calcCh1Prod3Slot2Promo1Seg4Efficiency</t>
  </si>
  <si>
    <t>calcCh1Prod3Slot2Promo2Weeks</t>
  </si>
  <si>
    <t>calcCh1Prod3Slot2Promo2Seg1Fit</t>
  </si>
  <si>
    <t>calcCh1Prod3Slot2Promo2Seg1Efficiency</t>
  </si>
  <si>
    <t>calcCh1Prod3Slot2Promo2Seg2Fit</t>
  </si>
  <si>
    <t>calcCh1Prod3Slot2Promo2Seg2Efficiency</t>
  </si>
  <si>
    <t>calcCh1Prod3Slot2Promo2Seg3Fit</t>
  </si>
  <si>
    <t>calcCh1Prod3Slot2Promo2Seg3Efficiency</t>
  </si>
  <si>
    <t>calcCh1Prod3Slot2Promo2Seg4Fit</t>
  </si>
  <si>
    <t>calcCh1Prod3Slot2Promo2Seg4Efficiency</t>
  </si>
  <si>
    <t>calcCh1Prod3Slot3Promo1Weeks</t>
  </si>
  <si>
    <t>calcCh1Prod3Slot3Promo1Seg1Fit</t>
  </si>
  <si>
    <t>calcCh1Prod3Slot3Promo1Seg1Efficiency</t>
  </si>
  <si>
    <t>calcCh1Prod3Slot3Promo1Seg2Fit</t>
  </si>
  <si>
    <t>calcCh1Prod3Slot3Promo1Seg2Efficiency</t>
  </si>
  <si>
    <t>calcCh1Prod3Slot3Promo1Seg3Fit</t>
  </si>
  <si>
    <t>calcCh1Prod3Slot3Promo1Seg3Efficiency</t>
  </si>
  <si>
    <t>calcCh1Prod3Slot3Promo1Seg4Fit</t>
  </si>
  <si>
    <t>calcCh1Prod3Slot3Promo1Seg4Efficiency</t>
  </si>
  <si>
    <t>calcCh1Prod3Slot3Promo2Weeks</t>
  </si>
  <si>
    <t>calcCh1Prod3Slot3Promo2Seg1Fit</t>
  </si>
  <si>
    <t>calcCh1Prod3Slot3Promo2Seg1Efficiency</t>
  </si>
  <si>
    <t>calcCh1Prod3Slot3Promo2Seg2Fit</t>
  </si>
  <si>
    <t>calcCh1Prod3Slot3Promo2Seg2Efficiency</t>
  </si>
  <si>
    <t>calcCh1Prod3Slot3Promo2Seg3Fit</t>
  </si>
  <si>
    <t>calcCh1Prod3Slot3Promo2Seg3Efficiency</t>
  </si>
  <si>
    <t>calcCh1Prod3Slot3Promo2Seg4Fit</t>
  </si>
  <si>
    <t>calcCh1Prod3Slot3Promo2Seg4Efficiency</t>
  </si>
  <si>
    <t>calcCh1Prod2Slot1Promo1Weeks</t>
  </si>
  <si>
    <t>calcCh1Prod2Slot1Promo1Seg1Fit</t>
  </si>
  <si>
    <t>calcCh1Prod2Slot1Promo1Seg1Efficiency</t>
  </si>
  <si>
    <t>calcCh1Prod2Slot1Promo1Seg2Fit</t>
  </si>
  <si>
    <t>calcCh1Prod2Slot1Promo1Seg2Efficiency</t>
  </si>
  <si>
    <t>calcCh1Prod2Slot1Promo1Seg3Fit</t>
  </si>
  <si>
    <t>calcCh1Prod2Slot1Promo1Seg3Efficiency</t>
  </si>
  <si>
    <t>calcCh1Prod2Slot1Promo1Seg4Fit</t>
  </si>
  <si>
    <t>calcCh1Prod2Slot1Promo1Seg4Efficiency</t>
  </si>
  <si>
    <t>calcCh1Prod2Slot1Promo2Weeks</t>
  </si>
  <si>
    <t>calcCh1Prod2Slot1Promo2Seg1Fit</t>
  </si>
  <si>
    <t>calcCh1Prod2Slot1Promo2Seg1Efficiency</t>
  </si>
  <si>
    <t>calcCh1Prod2Slot1Promo2Seg2Fit</t>
  </si>
  <si>
    <t>calcCh1Prod2Slot1Promo2Seg2Efficiency</t>
  </si>
  <si>
    <t>calcCh1Prod2Slot1Promo2Seg3Fit</t>
  </si>
  <si>
    <t>calcCh1Prod2Slot1Promo2Seg3Efficiency</t>
  </si>
  <si>
    <t>calcCh1Prod2Slot1Promo2Seg4Fit</t>
  </si>
  <si>
    <t>calcCh1Prod2Slot1Promo2Seg4Efficiency</t>
  </si>
  <si>
    <t>calcCh1Prod2Slot2Promo1Weeks</t>
  </si>
  <si>
    <t>calcCh1Prod2Slot2Promo1Seg1Fit</t>
  </si>
  <si>
    <t>calcCh1Prod2Slot2Promo1Seg1Efficiency</t>
  </si>
  <si>
    <t>calcCh1Prod2Slot2Promo1Seg2Fit</t>
  </si>
  <si>
    <t>calcCh1Prod2Slot2Promo1Seg2Efficiency</t>
  </si>
  <si>
    <t>calcCh1Prod2Slot2Promo1Seg3Fit</t>
  </si>
  <si>
    <t>calcCh1Prod2Slot2Promo1Seg3Efficiency</t>
  </si>
  <si>
    <t>calcCh1Prod2Slot2Promo1Seg4Fit</t>
  </si>
  <si>
    <t>calcCh1Prod2Slot2Promo1Seg4Efficiency</t>
  </si>
  <si>
    <t>calcCh1Prod2Slot2Promo2Weeks</t>
  </si>
  <si>
    <t>calcCh1Prod2Slot2Promo2Seg1Fit</t>
  </si>
  <si>
    <t>calcCh1Prod2Slot2Promo2Seg1Efficiency</t>
  </si>
  <si>
    <t>calcCh1Prod2Slot2Promo2Seg2Fit</t>
  </si>
  <si>
    <t>calcCh1Prod2Slot2Promo2Seg2Efficiency</t>
  </si>
  <si>
    <t>calcCh1Prod2Slot2Promo2Seg3Fit</t>
  </si>
  <si>
    <t>calcCh1Prod2Slot2Promo2Seg3Efficiency</t>
  </si>
  <si>
    <t>calcCh1Prod2Slot2Promo2Seg4Fit</t>
  </si>
  <si>
    <t>calcCh1Prod2Slot2Promo2Seg4Efficiency</t>
  </si>
  <si>
    <t>calcCh1Prod2Slot3Promo1Weeks</t>
  </si>
  <si>
    <t>calcCh1Prod2Slot3Promo1Seg1Fit</t>
  </si>
  <si>
    <t>calcCh1Prod2Slot3Promo1Seg1Efficiency</t>
  </si>
  <si>
    <t>calcCh1Prod2Slot3Promo1Seg2Fit</t>
  </si>
  <si>
    <t>calcCh1Prod2Slot3Promo1Seg2Efficiency</t>
  </si>
  <si>
    <t>calcCh1Prod2Slot3Promo1Seg3Fit</t>
  </si>
  <si>
    <t>calcCh1Prod2Slot3Promo1Seg3Efficiency</t>
  </si>
  <si>
    <t>calcCh1Prod2Slot3Promo1Seg4Fit</t>
  </si>
  <si>
    <t>calcCh1Prod2Slot3Promo1Seg4Efficiency</t>
  </si>
  <si>
    <t>calcCh1Prod2Slot3Promo2Weeks</t>
  </si>
  <si>
    <t>calcCh1Prod2Slot3Promo2Seg1Fit</t>
  </si>
  <si>
    <t>calcCh1Prod2Slot3Promo2Seg1Efficiency</t>
  </si>
  <si>
    <t>calcCh1Prod2Slot3Promo2Seg2Fit</t>
  </si>
  <si>
    <t>calcCh1Prod2Slot3Promo2Seg2Efficiency</t>
  </si>
  <si>
    <t>calcCh1Prod2Slot3Promo2Seg3Fit</t>
  </si>
  <si>
    <t>calcCh1Prod2Slot3Promo2Seg3Efficiency</t>
  </si>
  <si>
    <t>calcCh1Prod2Slot3Promo2Seg4Fit</t>
  </si>
  <si>
    <t>calcCh1Prod2Slot3Promo2Seg4Efficiency</t>
  </si>
  <si>
    <t>calcCh3Prod4Slot1Promo1Weeks</t>
  </si>
  <si>
    <t>calcCh3Prod4Slot1Promo1Seg1Fit</t>
  </si>
  <si>
    <t>calcCh3Prod4Slot1Promo1Seg1Efficiency</t>
  </si>
  <si>
    <t>calcCh3Prod4Slot1Promo1Seg1Share</t>
  </si>
  <si>
    <t>calcCh3Prod4Slot1Promo1Seg2Fit</t>
  </si>
  <si>
    <t>calcCh3Prod4Slot1Promo1Seg2Efficiency</t>
  </si>
  <si>
    <t>calcCh3Prod4Slot1Promo1Seg2Share</t>
  </si>
  <si>
    <t>calcCh3Prod4Slot1Promo1Seg3Fit</t>
  </si>
  <si>
    <t>calcCh3Prod4Slot1Promo1Seg3Efficiency</t>
  </si>
  <si>
    <t>calcCh3Prod4Slot1Promo1Seg3Share</t>
  </si>
  <si>
    <t>calcCh3Prod4Slot1Promo1Seg4Fit</t>
  </si>
  <si>
    <t>calcCh3Prod4Slot1Promo1Seg4Efficiency</t>
  </si>
  <si>
    <t>calcCh3Prod4Slot1Promo1Seg4Share</t>
  </si>
  <si>
    <t>calcCh3Prod4Slot2Promo1Weeks</t>
  </si>
  <si>
    <t>calcCh3Prod4Slot2Promo1Seg1Fit</t>
  </si>
  <si>
    <t>calcCh3Prod4Slot2Promo1Seg1Efficiency</t>
  </si>
  <si>
    <t>calcCh3Prod4Slot2Promo1Seg1Share</t>
  </si>
  <si>
    <t>calcCh3Prod4Slot2Promo1Seg2Fit</t>
  </si>
  <si>
    <t>calcCh3Prod4Slot2Promo1Seg2Efficiency</t>
  </si>
  <si>
    <t>calcCh3Prod4Slot2Promo1Seg2Share</t>
  </si>
  <si>
    <t>calcCh3Prod4Slot2Promo1Seg3Fit</t>
  </si>
  <si>
    <t>calcCh3Prod4Slot2Promo1Seg3Efficiency</t>
  </si>
  <si>
    <t>calcCh3Prod4Slot2Promo1Seg3Share</t>
  </si>
  <si>
    <t>calcCh3Prod4Slot2Promo1Seg4Fit</t>
  </si>
  <si>
    <t>calcCh3Prod4Slot2Promo1Seg4Efficiency</t>
  </si>
  <si>
    <t>calcCh3Prod4Slot2Promo1Seg4Share</t>
  </si>
  <si>
    <t>calcCh3Prod4Slot3Promo1Weeks</t>
  </si>
  <si>
    <t>calcCh3Prod4Slot3Promo1Seg1Fit</t>
  </si>
  <si>
    <t>calcCh3Prod4Slot3Promo1Seg1Efficiency</t>
  </si>
  <si>
    <t>calcCh3Prod4Slot3Promo1Seg1Share</t>
  </si>
  <si>
    <t>calcCh3Prod4Slot3Promo1Seg2Fit</t>
  </si>
  <si>
    <t>calcCh3Prod4Slot3Promo1Seg2Efficiency</t>
  </si>
  <si>
    <t>calcCh3Prod4Slot3Promo1Seg2Share</t>
  </si>
  <si>
    <t>calcCh3Prod4Slot3Promo1Seg3Fit</t>
  </si>
  <si>
    <t>calcCh3Prod4Slot3Promo1Seg3Efficiency</t>
  </si>
  <si>
    <t>calcCh3Prod4Slot3Promo1Seg3Share</t>
  </si>
  <si>
    <t>calcCh3Prod4Slot3Promo1Seg4Fit</t>
  </si>
  <si>
    <t>calcCh3Prod4Slot3Promo1Seg4Efficiency</t>
  </si>
  <si>
    <t>calcCh3Prod4Slot3Promo1Seg4Share</t>
  </si>
  <si>
    <t>calcCh3Prod3Slot1Promo1Weeks</t>
  </si>
  <si>
    <t>calcCh3Prod3Slot1Promo1Seg1Fit</t>
  </si>
  <si>
    <t>calcCh3Prod3Slot1Promo1Seg1Efficiency</t>
  </si>
  <si>
    <t>calcCh3Prod3Slot1Promo1Seg1Share</t>
  </si>
  <si>
    <t>calcCh3Prod3Slot1Promo1Seg2Fit</t>
  </si>
  <si>
    <t>calcCh3Prod3Slot1Promo1Seg2Efficiency</t>
  </si>
  <si>
    <t>calcCh3Prod3Slot1Promo1Seg2Share</t>
  </si>
  <si>
    <t>calcCh3Prod3Slot1Promo1Seg3Fit</t>
  </si>
  <si>
    <t>calcCh3Prod3Slot1Promo1Seg3Efficiency</t>
  </si>
  <si>
    <t>calcCh3Prod3Slot1Promo1Seg3Share</t>
  </si>
  <si>
    <t>calcCh3Prod3Slot1Promo1Seg4Fit</t>
  </si>
  <si>
    <t>calcCh3Prod3Slot1Promo1Seg4Efficiency</t>
  </si>
  <si>
    <t>calcCh3Prod3Slot1Promo1Seg4Share</t>
  </si>
  <si>
    <t>calcCh3Prod3Slot2Promo1Weeks</t>
  </si>
  <si>
    <t>calcCh3Prod3Slot2Promo1Seg1Fit</t>
  </si>
  <si>
    <t>calcCh3Prod3Slot2Promo1Seg1Efficiency</t>
  </si>
  <si>
    <t>calcCh3Prod3Slot2Promo1Seg1Share</t>
  </si>
  <si>
    <t>calcCh3Prod3Slot2Promo1Seg2Fit</t>
  </si>
  <si>
    <t>calcCh3Prod3Slot2Promo1Seg2Efficiency</t>
  </si>
  <si>
    <t>calcCh3Prod3Slot2Promo1Seg2Share</t>
  </si>
  <si>
    <t>calcCh3Prod3Slot2Promo1Seg3Fit</t>
  </si>
  <si>
    <t>calcCh3Prod3Slot2Promo1Seg3Efficiency</t>
  </si>
  <si>
    <t>calcCh3Prod3Slot2Promo1Seg3Share</t>
  </si>
  <si>
    <t>calcCh3Prod3Slot2Promo1Seg4Fit</t>
  </si>
  <si>
    <t>calcCh3Prod3Slot2Promo1Seg4Efficiency</t>
  </si>
  <si>
    <t>calcCh3Prod3Slot2Promo1Seg4Share</t>
  </si>
  <si>
    <t>calcCh3Prod3Slot3Promo1Weeks</t>
  </si>
  <si>
    <t>calcCh3Prod3Slot3Promo1Seg1Fit</t>
  </si>
  <si>
    <t>calcCh3Prod3Slot3Promo1Seg1Efficiency</t>
  </si>
  <si>
    <t>calcCh3Prod3Slot3Promo1Seg1Share</t>
  </si>
  <si>
    <t>calcCh3Prod3Slot3Promo1Seg2Fit</t>
  </si>
  <si>
    <t>calcCh3Prod3Slot3Promo1Seg2Efficiency</t>
  </si>
  <si>
    <t>calcCh3Prod3Slot3Promo1Seg2Share</t>
  </si>
  <si>
    <t>calcCh3Prod3Slot3Promo1Seg3Fit</t>
  </si>
  <si>
    <t>calcCh3Prod3Slot3Promo1Seg3Efficiency</t>
  </si>
  <si>
    <t>calcCh3Prod3Slot3Promo1Seg3Share</t>
  </si>
  <si>
    <t>calcCh3Prod3Slot3Promo1Seg4Fit</t>
  </si>
  <si>
    <t>calcCh3Prod3Slot3Promo1Seg4Efficiency</t>
  </si>
  <si>
    <t>calcCh3Prod3Slot3Promo1Seg4Share</t>
  </si>
  <si>
    <t>calcCh3Prod2Slot1Promo1Weeks</t>
  </si>
  <si>
    <t>calcCh3Prod2Slot1Promo1Seg1Fit</t>
  </si>
  <si>
    <t>calcCh3Prod2Slot1Promo1Seg1Efficiency</t>
  </si>
  <si>
    <t>calcCh3Prod2Slot1Promo1Seg1Share</t>
  </si>
  <si>
    <t>calcCh3Prod2Slot1Promo1Seg2Fit</t>
  </si>
  <si>
    <t>calcCh3Prod2Slot1Promo1Seg2Efficiency</t>
  </si>
  <si>
    <t>calcCh3Prod2Slot1Promo1Seg2Share</t>
  </si>
  <si>
    <t>calcCh3Prod2Slot1Promo1Seg3Fit</t>
  </si>
  <si>
    <t>calcCh3Prod2Slot1Promo1Seg3Efficiency</t>
  </si>
  <si>
    <t>calcCh3Prod2Slot1Promo1Seg3Share</t>
  </si>
  <si>
    <t>calcCh3Prod2Slot1Promo1Seg4Fit</t>
  </si>
  <si>
    <t>calcCh3Prod2Slot1Promo1Seg4Efficiency</t>
  </si>
  <si>
    <t>calcCh3Prod2Slot1Promo1Seg4Share</t>
  </si>
  <si>
    <t>calcCh3Prod2Slot2Promo1Weeks</t>
  </si>
  <si>
    <t>calcCh3Prod2Slot2Promo1Seg1Fit</t>
  </si>
  <si>
    <t>calcCh3Prod2Slot2Promo1Seg1Efficiency</t>
  </si>
  <si>
    <t>calcCh3Prod2Slot2Promo1Seg1Share</t>
  </si>
  <si>
    <t>calcCh3Prod2Slot2Promo1Seg2Fit</t>
  </si>
  <si>
    <t>calcCh3Prod2Slot2Promo1Seg2Efficiency</t>
  </si>
  <si>
    <t>calcCh3Prod2Slot2Promo1Seg2Share</t>
  </si>
  <si>
    <t>calcCh3Prod2Slot2Promo1Seg3Fit</t>
  </si>
  <si>
    <t>calcCh3Prod2Slot2Promo1Seg3Efficiency</t>
  </si>
  <si>
    <t>calcCh3Prod2Slot2Promo1Seg3Share</t>
  </si>
  <si>
    <t>calcCh3Prod2Slot2Promo1Seg4Fit</t>
  </si>
  <si>
    <t>calcCh3Prod2Slot2Promo1Seg4Efficiency</t>
  </si>
  <si>
    <t>calcCh3Prod2Slot2Promo1Seg4Share</t>
  </si>
  <si>
    <t>calcCh3Prod2Slot3Promo1Weeks</t>
  </si>
  <si>
    <t>calcCh3Prod2Slot3Promo1Seg1Fit</t>
  </si>
  <si>
    <t>calcCh3Prod2Slot3Promo1Seg1Efficiency</t>
  </si>
  <si>
    <t>calcCh3Prod2Slot3Promo1Seg1Share</t>
  </si>
  <si>
    <t>calcCh3Prod2Slot3Promo1Seg2Fit</t>
  </si>
  <si>
    <t>calcCh3Prod2Slot3Promo1Seg2Efficiency</t>
  </si>
  <si>
    <t>calcCh3Prod2Slot3Promo1Seg2Share</t>
  </si>
  <si>
    <t>calcCh3Prod2Slot3Promo1Seg3Fit</t>
  </si>
  <si>
    <t>calcCh3Prod2Slot3Promo1Seg3Efficiency</t>
  </si>
  <si>
    <t>calcCh3Prod2Slot3Promo1Seg3Share</t>
  </si>
  <si>
    <t>calcCh3Prod2Slot3Promo1Seg4Fit</t>
  </si>
  <si>
    <t>calcCh3Prod2Slot3Promo1Seg4Efficiency</t>
  </si>
  <si>
    <t>calcCh3Prod2Slot3Promo1Seg4Share</t>
  </si>
  <si>
    <t>calcCh4Prod1Slot1Promo1Weeks</t>
  </si>
  <si>
    <t>calcCh4Prod1Slot1Promo1Seg1Fit</t>
  </si>
  <si>
    <t>calcCh4Prod1Slot1Promo1Seg1Efficiency</t>
  </si>
  <si>
    <t>calcCh4Prod1Slot1Promo1Seg1Share</t>
  </si>
  <si>
    <t>calcCh4Prod1Slot1Promo1Seg2Fit</t>
  </si>
  <si>
    <t>calcCh4Prod1Slot1Promo1Seg2Efficiency</t>
  </si>
  <si>
    <t>calcCh4Prod1Slot1Promo1Seg2Share</t>
  </si>
  <si>
    <t>calcCh4Prod1Slot1Promo1Seg3Fit</t>
  </si>
  <si>
    <t>calcCh4Prod1Slot1Promo1Seg3Efficiency</t>
  </si>
  <si>
    <t>calcCh4Prod1Slot1Promo1Seg3Share</t>
  </si>
  <si>
    <t>calcCh4Prod1Slot1Promo1Seg4Fit</t>
  </si>
  <si>
    <t>calcCh4Prod1Slot1Promo1Seg4Efficiency</t>
  </si>
  <si>
    <t>calcCh4Prod1Slot1Promo1Seg4Share</t>
  </si>
  <si>
    <t>calcCh4Prod1Slot2Promo1Weeks</t>
  </si>
  <si>
    <t>calcCh4Prod1Slot2Promo1Seg1Fit</t>
  </si>
  <si>
    <t>calcCh4Prod1Slot2Promo1Seg1Efficiency</t>
  </si>
  <si>
    <t>calcCh4Prod1Slot2Promo1Seg1Share</t>
  </si>
  <si>
    <t>calcCh4Prod1Slot2Promo1Seg2Fit</t>
  </si>
  <si>
    <t>calcCh4Prod1Slot2Promo1Seg2Efficiency</t>
  </si>
  <si>
    <t>calcCh4Prod1Slot2Promo1Seg2Share</t>
  </si>
  <si>
    <t>calcCh4Prod1Slot2Promo1Seg3Fit</t>
  </si>
  <si>
    <t>calcCh4Prod1Slot2Promo1Seg3Efficiency</t>
  </si>
  <si>
    <t>calcCh4Prod1Slot2Promo1Seg3Share</t>
  </si>
  <si>
    <t>calcCh4Prod1Slot2Promo1Seg4Fit</t>
  </si>
  <si>
    <t>calcCh4Prod1Slot2Promo1Seg4Efficiency</t>
  </si>
  <si>
    <t>calcCh4Prod1Slot2Promo1Seg4Share</t>
  </si>
  <si>
    <t>calcCh4Prod1Slot3Promo1Weeks</t>
  </si>
  <si>
    <t>calcCh4Prod1Slot3Promo1Seg1Fit</t>
  </si>
  <si>
    <t>calcCh4Prod1Slot3Promo1Seg1Efficiency</t>
  </si>
  <si>
    <t>calcCh4Prod1Slot3Promo1Seg1Share</t>
  </si>
  <si>
    <t>calcCh4Prod1Slot3Promo1Seg2Fit</t>
  </si>
  <si>
    <t>calcCh4Prod1Slot3Promo1Seg2Efficiency</t>
  </si>
  <si>
    <t>calcCh4Prod1Slot3Promo1Seg2Share</t>
  </si>
  <si>
    <t>calcCh4Prod1Slot3Promo1Seg3Fit</t>
  </si>
  <si>
    <t>calcCh4Prod1Slot3Promo1Seg3Efficiency</t>
  </si>
  <si>
    <t>calcCh4Prod1Slot3Promo1Seg3Share</t>
  </si>
  <si>
    <t>calcCh4Prod1Slot3Promo1Seg4Fit</t>
  </si>
  <si>
    <t>calcCh4Prod1Slot3Promo1Seg4Efficiency</t>
  </si>
  <si>
    <t>calcCh4Prod1Slot3Promo1Seg4Share</t>
  </si>
  <si>
    <t>calcCh4Prod2Slot1Promo1Weeks</t>
  </si>
  <si>
    <t>calcCh4Prod2Slot1Promo1Seg1Fit</t>
  </si>
  <si>
    <t>calcCh4Prod2Slot1Promo1Seg1Efficiency</t>
  </si>
  <si>
    <t>calcCh4Prod2Slot1Promo1Seg1Share</t>
  </si>
  <si>
    <t>calcCh4Prod2Slot1Promo1Seg2Fit</t>
  </si>
  <si>
    <t>calcCh4Prod2Slot1Promo1Seg2Efficiency</t>
  </si>
  <si>
    <t>calcCh4Prod2Slot1Promo1Seg2Share</t>
  </si>
  <si>
    <t>calcCh4Prod2Slot1Promo1Seg3Fit</t>
  </si>
  <si>
    <t>calcCh4Prod2Slot1Promo1Seg3Efficiency</t>
  </si>
  <si>
    <t>calcCh4Prod2Slot1Promo1Seg3Share</t>
  </si>
  <si>
    <t>calcCh4Prod2Slot1Promo1Seg4Fit</t>
  </si>
  <si>
    <t>calcCh4Prod2Slot1Promo1Seg4Efficiency</t>
  </si>
  <si>
    <t>calcCh4Prod2Slot1Promo1Seg4Share</t>
  </si>
  <si>
    <t>calcCh4Prod2Slot2Promo1Weeks</t>
  </si>
  <si>
    <t>calcCh4Prod2Slot2Promo1Seg1Fit</t>
  </si>
  <si>
    <t>calcCh4Prod2Slot2Promo1Seg1Efficiency</t>
  </si>
  <si>
    <t>calcCh4Prod2Slot2Promo1Seg1Share</t>
  </si>
  <si>
    <t>calcCh4Prod2Slot2Promo1Seg2Fit</t>
  </si>
  <si>
    <t>calcCh4Prod2Slot2Promo1Seg2Efficiency</t>
  </si>
  <si>
    <t>calcCh4Prod2Slot2Promo1Seg2Share</t>
  </si>
  <si>
    <t>calcCh4Prod2Slot2Promo1Seg3Fit</t>
  </si>
  <si>
    <t>calcCh4Prod2Slot2Promo1Seg3Efficiency</t>
  </si>
  <si>
    <t>calcCh4Prod2Slot2Promo1Seg3Share</t>
  </si>
  <si>
    <t>calcCh4Prod2Slot2Promo1Seg4Fit</t>
  </si>
  <si>
    <t>calcCh4Prod2Slot2Promo1Seg4Efficiency</t>
  </si>
  <si>
    <t>calcCh4Prod2Slot2Promo1Seg4Share</t>
  </si>
  <si>
    <t>calcCh4Prod2Slot3Promo1Weeks</t>
  </si>
  <si>
    <t>calcCh4Prod2Slot3Promo1Seg1Fit</t>
  </si>
  <si>
    <t>calcCh4Prod2Slot3Promo1Seg1Efficiency</t>
  </si>
  <si>
    <t>calcCh4Prod2Slot3Promo1Seg1Share</t>
  </si>
  <si>
    <t>calcCh4Prod2Slot3Promo1Seg2Fit</t>
  </si>
  <si>
    <t>calcCh4Prod2Slot3Promo1Seg2Efficiency</t>
  </si>
  <si>
    <t>calcCh4Prod2Slot3Promo1Seg2Share</t>
  </si>
  <si>
    <t>calcCh4Prod2Slot3Promo1Seg3Fit</t>
  </si>
  <si>
    <t>calcCh4Prod2Slot3Promo1Seg3Efficiency</t>
  </si>
  <si>
    <t>calcCh4Prod2Slot3Promo1Seg3Share</t>
  </si>
  <si>
    <t>calcCh4Prod2Slot3Promo1Seg4Fit</t>
  </si>
  <si>
    <t>calcCh4Prod2Slot3Promo1Seg4Efficiency</t>
  </si>
  <si>
    <t>calcCh4Prod2Slot3Promo1Seg4Share</t>
  </si>
  <si>
    <t>calcCh4Prod3Slot1Promo1Weeks</t>
  </si>
  <si>
    <t>calcCh4Prod3Slot1Promo1Seg1Fit</t>
  </si>
  <si>
    <t>calcCh4Prod3Slot1Promo1Seg1Efficiency</t>
  </si>
  <si>
    <t>calcCh4Prod3Slot1Promo1Seg1Share</t>
  </si>
  <si>
    <t>calcCh4Prod3Slot1Promo1Seg2Fit</t>
  </si>
  <si>
    <t>calcCh4Prod3Slot1Promo1Seg2Efficiency</t>
  </si>
  <si>
    <t>calcCh4Prod3Slot1Promo1Seg2Share</t>
  </si>
  <si>
    <t>calcCh4Prod3Slot1Promo1Seg3Fit</t>
  </si>
  <si>
    <t>calcCh4Prod3Slot1Promo1Seg3Efficiency</t>
  </si>
  <si>
    <t>calcCh4Prod3Slot1Promo1Seg3Share</t>
  </si>
  <si>
    <t>calcCh4Prod3Slot1Promo1Seg4Fit</t>
  </si>
  <si>
    <t>calcCh4Prod3Slot1Promo1Seg4Efficiency</t>
  </si>
  <si>
    <t>calcCh4Prod3Slot1Promo1Seg4Share</t>
  </si>
  <si>
    <t>calcCh4Prod3Slot2Promo1Weeks</t>
  </si>
  <si>
    <t>calcCh4Prod3Slot2Promo1Seg1Fit</t>
  </si>
  <si>
    <t>calcCh4Prod3Slot2Promo1Seg1Efficiency</t>
  </si>
  <si>
    <t>calcCh4Prod3Slot2Promo1Seg1Share</t>
  </si>
  <si>
    <t>calcCh4Prod3Slot2Promo1Seg2Fit</t>
  </si>
  <si>
    <t>calcCh4Prod3Slot2Promo1Seg2Efficiency</t>
  </si>
  <si>
    <t>calcCh4Prod3Slot2Promo1Seg2Share</t>
  </si>
  <si>
    <t>calcCh4Prod3Slot2Promo1Seg3Fit</t>
  </si>
  <si>
    <t>calcCh4Prod3Slot2Promo1Seg3Efficiency</t>
  </si>
  <si>
    <t>calcCh4Prod3Slot2Promo1Seg3Share</t>
  </si>
  <si>
    <t>calcCh4Prod3Slot2Promo1Seg4Fit</t>
  </si>
  <si>
    <t>calcCh4Prod3Slot2Promo1Seg4Efficiency</t>
  </si>
  <si>
    <t>calcCh4Prod3Slot2Promo1Seg4Share</t>
  </si>
  <si>
    <t>calcCh4Prod3Slot3Promo1Weeks</t>
  </si>
  <si>
    <t>calcCh4Prod3Slot3Promo1Seg1Fit</t>
  </si>
  <si>
    <t>calcCh4Prod3Slot3Promo1Seg1Efficiency</t>
  </si>
  <si>
    <t>calcCh4Prod3Slot3Promo1Seg1Share</t>
  </si>
  <si>
    <t>calcCh4Prod3Slot3Promo1Seg2Fit</t>
  </si>
  <si>
    <t>calcCh4Prod3Slot3Promo1Seg2Efficiency</t>
  </si>
  <si>
    <t>calcCh4Prod3Slot3Promo1Seg2Share</t>
  </si>
  <si>
    <t>calcCh4Prod3Slot3Promo1Seg3Fit</t>
  </si>
  <si>
    <t>calcCh4Prod3Slot3Promo1Seg3Efficiency</t>
  </si>
  <si>
    <t>calcCh4Prod3Slot3Promo1Seg3Share</t>
  </si>
  <si>
    <t>calcCh4Prod3Slot3Promo1Seg4Fit</t>
  </si>
  <si>
    <t>calcCh4Prod3Slot3Promo1Seg4Efficiency</t>
  </si>
  <si>
    <t>calcCh4Prod3Slot3Promo1Seg4Share</t>
  </si>
  <si>
    <t>calcCh4Prod4Slot1Promo1Weeks</t>
  </si>
  <si>
    <t>calcCh4Prod4Slot1Promo1Seg1Fit</t>
  </si>
  <si>
    <t>calcCh4Prod4Slot1Promo1Seg1Efficiency</t>
  </si>
  <si>
    <t>calcCh4Prod4Slot1Promo1Seg1Share</t>
  </si>
  <si>
    <t>calcCh4Prod4Slot1Promo1Seg2Fit</t>
  </si>
  <si>
    <t>calcCh4Prod4Slot1Promo1Seg2Efficiency</t>
  </si>
  <si>
    <t>calcCh4Prod4Slot1Promo1Seg2Share</t>
  </si>
  <si>
    <t>calcCh4Prod4Slot1Promo1Seg3Fit</t>
  </si>
  <si>
    <t>calcCh4Prod4Slot1Promo1Seg3Efficiency</t>
  </si>
  <si>
    <t>calcCh4Prod4Slot1Promo1Seg3Share</t>
  </si>
  <si>
    <t>calcCh4Prod4Slot1Promo1Seg4Fit</t>
  </si>
  <si>
    <t>calcCh4Prod4Slot1Promo1Seg4Efficiency</t>
  </si>
  <si>
    <t>calcCh4Prod4Slot1Promo1Seg4Share</t>
  </si>
  <si>
    <t>calcCh4Prod4Slot2Promo1Weeks</t>
  </si>
  <si>
    <t>calcCh4Prod4Slot2Promo1Seg1Fit</t>
  </si>
  <si>
    <t>calcCh4Prod4Slot2Promo1Seg1Efficiency</t>
  </si>
  <si>
    <t>calcCh4Prod4Slot2Promo1Seg1Share</t>
  </si>
  <si>
    <t>calcCh4Prod4Slot2Promo1Seg2Fit</t>
  </si>
  <si>
    <t>calcCh4Prod4Slot2Promo1Seg2Efficiency</t>
  </si>
  <si>
    <t>calcCh4Prod4Slot2Promo1Seg2Share</t>
  </si>
  <si>
    <t>calcCh4Prod4Slot2Promo1Seg3Fit</t>
  </si>
  <si>
    <t>calcCh4Prod4Slot2Promo1Seg3Efficiency</t>
  </si>
  <si>
    <t>calcCh4Prod4Slot2Promo1Seg3Share</t>
  </si>
  <si>
    <t>calcCh4Prod4Slot2Promo1Seg4Fit</t>
  </si>
  <si>
    <t>calcCh4Prod4Slot2Promo1Seg4Efficiency</t>
  </si>
  <si>
    <t>calcCh4Prod4Slot2Promo1Seg4Share</t>
  </si>
  <si>
    <t>calcCh4Prod4Slot3Promo1Weeks</t>
  </si>
  <si>
    <t>calcCh4Prod4Slot3Promo1Seg1Fit</t>
  </si>
  <si>
    <t>calcCh4Prod4Slot3Promo1Seg1Efficiency</t>
  </si>
  <si>
    <t>calcCh4Prod4Slot3Promo1Seg1Share</t>
  </si>
  <si>
    <t>calcCh4Prod4Slot3Promo1Seg2Fit</t>
  </si>
  <si>
    <t>calcCh4Prod4Slot3Promo1Seg2Efficiency</t>
  </si>
  <si>
    <t>calcCh4Prod4Slot3Promo1Seg2Share</t>
  </si>
  <si>
    <t>calcCh4Prod4Slot3Promo1Seg3Fit</t>
  </si>
  <si>
    <t>calcCh4Prod4Slot3Promo1Seg3Efficiency</t>
  </si>
  <si>
    <t>calcCh4Prod4Slot3Promo1Seg3Share</t>
  </si>
  <si>
    <t>calcCh4Prod4Slot3Promo1Seg4Fit</t>
  </si>
  <si>
    <t>calcCh4Prod4Slot3Promo1Seg4Efficiency</t>
  </si>
  <si>
    <t>calcCh4Prod4Slot3Promo1Seg4Share</t>
  </si>
  <si>
    <t>calcCh1Prod1Slot1Promo1Seg1Share</t>
  </si>
  <si>
    <t>calcCh1Prod1Slot1Promo1Seg2Share</t>
  </si>
  <si>
    <t>calcCh1Prod1Slot1Promo1Seg3Share</t>
  </si>
  <si>
    <t>calcCh1Prod1Slot1Promo1Seg4Share</t>
  </si>
  <si>
    <t>calcCh1Prod1Slot1Promo2Seg1Share</t>
  </si>
  <si>
    <t>calcCh1Prod1Slot1Promo2Seg2Share</t>
  </si>
  <si>
    <t>calcCh1Prod1Slot1Promo2Seg3Share</t>
  </si>
  <si>
    <t>calcCh1Prod1Slot1Promo2Seg4Share</t>
  </si>
  <si>
    <t>calcCh1Prod1Slot2Promo1Seg2Share</t>
  </si>
  <si>
    <t>calcCh1Prod1Slot2Promo1Seg3Share</t>
  </si>
  <si>
    <t>calcCh1Prod1Slot2Promo1Seg4Share</t>
  </si>
  <si>
    <t>calcCh1Prod1Slot2Promo2Seg1Share</t>
  </si>
  <si>
    <t>calcCh1Prod1Slot2Promo2Seg2Share</t>
  </si>
  <si>
    <t>calcCh1Prod1Slot2Promo2Seg3Share</t>
  </si>
  <si>
    <t>calcCh1Prod1Slot2Promo2Seg4Share</t>
  </si>
  <si>
    <t>calcCh1Prod1Slot3Promo1Seg1Share</t>
  </si>
  <si>
    <t>calcCh1Prod1Slot3Promo1Seg2Share</t>
  </si>
  <si>
    <t>calcCh1Prod1Slot3Promo1Seg3Share</t>
  </si>
  <si>
    <t>calcCh1Prod1Slot3Promo1Seg4Share</t>
  </si>
  <si>
    <t>calcCh1Prod1Slot3Promo2Seg1Share</t>
  </si>
  <si>
    <t>calcCh1Prod1Slot3Promo2Seg2Share</t>
  </si>
  <si>
    <t>calcCh1Prod1Slot3Promo2Seg3Share</t>
  </si>
  <si>
    <t>calcCh1Prod1Slot3Promo2Seg4Share</t>
  </si>
  <si>
    <t>calcCh1Prod2Slot1Promo1Seg1Share</t>
  </si>
  <si>
    <t>calcCh1Prod2Slot1Promo1Seg2Share</t>
  </si>
  <si>
    <t>calcCh1Prod2Slot1Promo1Seg3Share</t>
  </si>
  <si>
    <t>calcCh1Prod2Slot1Promo1Seg4Share</t>
  </si>
  <si>
    <t>calcCh1Prod2Slot1Promo2Seg1Share</t>
  </si>
  <si>
    <t>calcCh1Prod2Slot1Promo2Seg2Share</t>
  </si>
  <si>
    <t>calcCh1Prod2Slot1Promo2Seg3Share</t>
  </si>
  <si>
    <t>calcCh1Prod2Slot1Promo2Seg4Share</t>
  </si>
  <si>
    <t>calcCh1Prod2Slot2Promo1Seg1Share</t>
  </si>
  <si>
    <t>calcCh1Prod2Slot2Promo1Seg2Share</t>
  </si>
  <si>
    <t>calcCh1Prod2Slot2Promo1Seg3Share</t>
  </si>
  <si>
    <t>calcCh1Prod2Slot2Promo1Seg4Share</t>
  </si>
  <si>
    <t>calcCh1Prod2Slot2Promo2Seg1Share</t>
  </si>
  <si>
    <t>calcCh1Prod2Slot2Promo2Seg2Share</t>
  </si>
  <si>
    <t>calcCh1Prod2Slot2Promo2Seg3Share</t>
  </si>
  <si>
    <t>calcCh1Prod2Slot2Promo2Seg4Share</t>
  </si>
  <si>
    <t>calcCh1Prod2Slot3Promo1Seg1Share</t>
  </si>
  <si>
    <t>calcCh1Prod2Slot3Promo1Seg2Share</t>
  </si>
  <si>
    <t>calcCh1Prod2Slot3Promo1Seg3Share</t>
  </si>
  <si>
    <t>calcCh1Prod2Slot3Promo1Seg4Share</t>
  </si>
  <si>
    <t>calcCh1Prod2Slot3Promo2Seg1Share</t>
  </si>
  <si>
    <t>calcCh1Prod2Slot3Promo2Seg2Share</t>
  </si>
  <si>
    <t>calcCh1Prod2Slot3Promo2Seg3Share</t>
  </si>
  <si>
    <t>calcCh1Prod2Slot3Promo2Seg4Share</t>
  </si>
  <si>
    <t>calcCh1Prod3Slot1Promo1Seg1Share</t>
  </si>
  <si>
    <t>calcCh1Prod3Slot1Promo1Seg2Share</t>
  </si>
  <si>
    <t>calcCh1Prod3Slot1Promo1Seg3Share</t>
  </si>
  <si>
    <t>calcCh1Prod3Slot1Promo1Seg4Share</t>
  </si>
  <si>
    <t>calcCh1Prod3Slot1Promo2Seg1Share</t>
  </si>
  <si>
    <t>calcCh1Prod3Slot1Promo2Seg2Share</t>
  </si>
  <si>
    <t>calcCh1Prod3Slot1Promo2Seg3Share</t>
  </si>
  <si>
    <t>calcCh1Prod3Slot1Promo2Seg4Share</t>
  </si>
  <si>
    <t>calcCh1Prod3Slot2Promo1Seg1Share</t>
  </si>
  <si>
    <t>calcCh1Prod3Slot2Promo1Seg2Share</t>
  </si>
  <si>
    <t>calcCh1Prod3Slot2Promo1Seg3Share</t>
  </si>
  <si>
    <t>calcCh1Prod3Slot2Promo1Seg4Share</t>
  </si>
  <si>
    <t>calcCh1Prod3Slot2Promo2Seg1Share</t>
  </si>
  <si>
    <t>calcCh1Prod3Slot2Promo2Seg2Share</t>
  </si>
  <si>
    <t>calcCh1Prod3Slot2Promo2Seg3Share</t>
  </si>
  <si>
    <t>calcCh1Prod3Slot2Promo2Seg4Share</t>
  </si>
  <si>
    <t>calcCh1Prod3Slot3Promo1Seg1Share</t>
  </si>
  <si>
    <t>calcCh1Prod3Slot3Promo1Seg2Share</t>
  </si>
  <si>
    <t>calcCh1Prod3Slot3Promo1Seg3Share</t>
  </si>
  <si>
    <t>calcCh1Prod3Slot3Promo1Seg4Share</t>
  </si>
  <si>
    <t>calcCh1Prod3Slot3Promo2Seg1Share</t>
  </si>
  <si>
    <t>calcCh1Prod3Slot3Promo2Seg2Share</t>
  </si>
  <si>
    <t>calcCh1Prod3Slot3Promo2Seg3Share</t>
  </si>
  <si>
    <t>calcCh1Prod3Slot3Promo2Seg4Share</t>
  </si>
  <si>
    <t>calcCh1Prod4Slot1Promo1Seg1Share</t>
  </si>
  <si>
    <t>calcCh1Prod4Slot1Promo1Seg2Share</t>
  </si>
  <si>
    <t>calcCh1Prod4Slot1Promo1Seg3Share</t>
  </si>
  <si>
    <t>calcCh1Prod4Slot1Promo1Seg4Share</t>
  </si>
  <si>
    <t>calcCh1Prod4Slot1Promo2Seg1Share</t>
  </si>
  <si>
    <t>calcCh1Prod4Slot1Promo2Seg2Share</t>
  </si>
  <si>
    <t>calcCh1Prod4Slot1Promo2Seg3Share</t>
  </si>
  <si>
    <t>calcCh1Prod4Slot1Promo2Seg4Share</t>
  </si>
  <si>
    <t>calcCh1Prod4Slot2Promo1Seg1Share</t>
  </si>
  <si>
    <t>calcCh1Prod4Slot2Promo1Seg2Share</t>
  </si>
  <si>
    <t>calcCh1Prod4Slot2Promo1Seg3Share</t>
  </si>
  <si>
    <t>calcCh1Prod4Slot2Promo1Seg4Share</t>
  </si>
  <si>
    <t>calcCh1Prod4Slot2Promo2Seg1Share</t>
  </si>
  <si>
    <t>calcCh1Prod4Slot2Promo2Seg2Share</t>
  </si>
  <si>
    <t>calcCh1Prod4Slot2Promo2Seg3Share</t>
  </si>
  <si>
    <t>calcCh1Prod4Slot2Promo2Seg4Share</t>
  </si>
  <si>
    <t>calcCh1Prod4Slot3Promo1Seg1Share</t>
  </si>
  <si>
    <t>calcCh1Prod4Slot3Promo1Seg2Share</t>
  </si>
  <si>
    <t>calcCh1Prod4Slot3Promo1Seg3Share</t>
  </si>
  <si>
    <t>calcCh1Prod4Slot3Promo1Seg4Share</t>
  </si>
  <si>
    <t>calcCh1Prod4Slot3Promo2Seg1Share</t>
  </si>
  <si>
    <t>calcCh1Prod4Slot3Promo2Seg2Share</t>
  </si>
  <si>
    <t>calcCh1Prod4Slot3Promo2Seg3Share</t>
  </si>
  <si>
    <t>calcCh1Prod4Slot3Promo2Seg4Share</t>
  </si>
  <si>
    <t>calcCh1ValDriv4AccEndMMScore</t>
  </si>
  <si>
    <t>MM Score</t>
  </si>
  <si>
    <t>calcCh4ValDriv4AccEndMMScore</t>
  </si>
  <si>
    <t>calcCh3ValDriv4AccEndMMScore</t>
  </si>
  <si>
    <t>calcCh2ValDriv4AccEndMMScore</t>
  </si>
  <si>
    <t>paramValDriv2VisibilityShare</t>
  </si>
  <si>
    <t>paramValDriv3VisibilityShare</t>
  </si>
  <si>
    <t>calcCh4ValDriv5MMScore</t>
  </si>
  <si>
    <t>calcCh1ValDriv5MMScore</t>
  </si>
  <si>
    <t>calcCh2ValDriv5MMScore</t>
  </si>
  <si>
    <t>calcCh3ValDriv5MMScore</t>
  </si>
  <si>
    <t>calcCh1MarkPlanSeg1Fit</t>
  </si>
  <si>
    <t>calcCh1MarkPlanSeg4Fit</t>
  </si>
  <si>
    <t>calcCh1MarkPlanSeg3Fit</t>
  </si>
  <si>
    <t>calcCh1MarkPlanSeg2Fit</t>
  </si>
  <si>
    <t>dataMarketingPlansFit</t>
  </si>
  <si>
    <t>Trade Marketing Plans</t>
  </si>
  <si>
    <t>Trade Marketing Plans Available</t>
  </si>
  <si>
    <t>calcCh4MarkPlanSeg1Fit</t>
  </si>
  <si>
    <t>calcCh4MarkPlanSeg2Fit</t>
  </si>
  <si>
    <t>calcCh4MarkPlanSeg3Fit</t>
  </si>
  <si>
    <t>calcCh4MarkPlanSeg4Fit</t>
  </si>
  <si>
    <t>calcCh2MarkPlanSeg1Fit</t>
  </si>
  <si>
    <t>calcCh2MarkPlanSeg2Fit</t>
  </si>
  <si>
    <t>calcCh2MarkPlanSeg3Fit</t>
  </si>
  <si>
    <t>calcCh2MarkPlanSeg4Fit</t>
  </si>
  <si>
    <t>calcCh3MarkPlanSeg1Fit</t>
  </si>
  <si>
    <t>calcCh3MarkPlanSeg2Fit</t>
  </si>
  <si>
    <t>calcCh3MarkPlanSeg3Fit</t>
  </si>
  <si>
    <t>calcCh3MarkPlanSeg4Fit</t>
  </si>
  <si>
    <t>dataCh1Prod1Seg1MarketVolBase</t>
  </si>
  <si>
    <t>dataCh1Prod1Seg4MarketVolBase</t>
  </si>
  <si>
    <t>dataCh1Prod1Seg3MarketVolBase</t>
  </si>
  <si>
    <t>dataCh1Prod1Seg2MarketVolBase</t>
  </si>
  <si>
    <t>dataCh1Prod23Seg1MarketVolBase</t>
  </si>
  <si>
    <t>dataCh1Prod23Seg2MarketVolBase</t>
  </si>
  <si>
    <t>dataCh1Prod23Seg3MarketVolBase</t>
  </si>
  <si>
    <t>dataCh1Prod23Seg4MarketVolBase</t>
  </si>
  <si>
    <t>dataCh1Prod4Seg4MarketVolBase</t>
  </si>
  <si>
    <t>dataCh1Prod4Seg3MarketVolBase</t>
  </si>
  <si>
    <t>dataCh1Prod4Seg2MarketVolBase</t>
  </si>
  <si>
    <t>dataCh1Prod4Seg1MarketVolBase</t>
  </si>
  <si>
    <t>dataCh2Prod1Seg1MarketVolBase</t>
  </si>
  <si>
    <t>dataCh2Prod1Seg2MarketVolBase</t>
  </si>
  <si>
    <t>dataCh2Prod1Seg3MarketVolBase</t>
  </si>
  <si>
    <t>dataCh2Prod1Seg4MarketVolBase</t>
  </si>
  <si>
    <t>dataCh2Prod23Seg1MarketVolBase</t>
  </si>
  <si>
    <t>dataCh2Prod23Seg2MarketVolBase</t>
  </si>
  <si>
    <t>dataCh2Prod23Seg3MarketVolBase</t>
  </si>
  <si>
    <t>dataCh2Prod23Seg4MarketVolBase</t>
  </si>
  <si>
    <t>dataCh2Prod4Seg1MarketVolBase</t>
  </si>
  <si>
    <t>dataCh2Prod4Seg2MarketVolBase</t>
  </si>
  <si>
    <t>dataCh2Prod4Seg3MarketVolBase</t>
  </si>
  <si>
    <t>dataCh2Prod4Seg4MarketVolBase</t>
  </si>
  <si>
    <t>dataCh3Prod4Seg1MarketVolBase</t>
  </si>
  <si>
    <t>dataCh3Prod4Seg2MarketVolBase</t>
  </si>
  <si>
    <t>dataCh3Prod4Seg3MarketVolBase</t>
  </si>
  <si>
    <t>dataCh3Prod4Seg4MarketVolBase</t>
  </si>
  <si>
    <t>dataCh3Prod23Seg1MarketVolBase</t>
  </si>
  <si>
    <t>dataCh3Prod23Seg2MarketVolBase</t>
  </si>
  <si>
    <t>dataCh3Prod23Seg3MarketVolBase</t>
  </si>
  <si>
    <t>dataCh3Prod23Seg4MarketVolBase</t>
  </si>
  <si>
    <t>dataCh3Prod1Seg1MarketVolBase</t>
  </si>
  <si>
    <t>dataCh3Prod1Seg2MarketVolBase</t>
  </si>
  <si>
    <t>dataCh3Prod1Seg3MarketVolBase</t>
  </si>
  <si>
    <t>dataCh3Prod1Seg4MarketVolBase</t>
  </si>
  <si>
    <t>dataCh4Prod1Seg1MarketVolBase</t>
  </si>
  <si>
    <t>dataCh4Prod1Seg2MarketVolBase</t>
  </si>
  <si>
    <t>dataCh4Prod1Seg3MarketVolBase</t>
  </si>
  <si>
    <t>dataCh4Prod1Seg4MarketVolBase</t>
  </si>
  <si>
    <t>dataCh4Prod23Seg1MarketVolBase</t>
  </si>
  <si>
    <t>dataCh4Prod23Seg2MarketVolBase</t>
  </si>
  <si>
    <t>dataCh4Prod23Seg3MarketVolBase</t>
  </si>
  <si>
    <t>dataCh4Prod23Seg4MarketVolBase</t>
  </si>
  <si>
    <t>dataCh4Prod4Seg1MarketVolBase</t>
  </si>
  <si>
    <t>dataCh4Prod4Seg2MarketVolBase</t>
  </si>
  <si>
    <t>dataCh4Prod4Seg3MarketVolBase</t>
  </si>
  <si>
    <t>dataCh4Prod4Seg4MarketVolBase</t>
  </si>
  <si>
    <t>paramCh1CategoryGrowthSI</t>
  </si>
  <si>
    <t>paramCh2CategoryGrowthSI</t>
  </si>
  <si>
    <t>paramCh4CategoryGrowthSI</t>
  </si>
  <si>
    <t>paramCh3CategoryGrowthSI</t>
  </si>
  <si>
    <t>calcCh1Prod2Seg1AssortmentFit</t>
  </si>
  <si>
    <t>calcCh1Prod2Seg2AssortmentFit</t>
  </si>
  <si>
    <t>calcCh1Prod2Seg3AssortmentFit</t>
  </si>
  <si>
    <t>calcCh1Prod2Seg4AssortmentFit</t>
  </si>
  <si>
    <t>calcCh1Prod3Seg1AssortmentFit</t>
  </si>
  <si>
    <t>calcCh1Prod3Seg2AssortmentFit</t>
  </si>
  <si>
    <t>calcCh1Prod3Seg3AssortmentFit</t>
  </si>
  <si>
    <t>calcCh1Prod3Seg4AssortmentFit</t>
  </si>
  <si>
    <t>calcCh2Prod2Seg1AssortmentFit</t>
  </si>
  <si>
    <t>calcCh2Prod2Seg2AssortmentFit</t>
  </si>
  <si>
    <t>calcCh2Prod2Seg3AssortmentFit</t>
  </si>
  <si>
    <t>calcCh2Prod2Seg4AssortmentFit</t>
  </si>
  <si>
    <t>calcCh2Prod3Seg1AssortmentFit</t>
  </si>
  <si>
    <t>calcCh2Prod3Seg2AssortmentFit</t>
  </si>
  <si>
    <t>calcCh2Prod3Seg3AssortmentFit</t>
  </si>
  <si>
    <t>calcCh2Prod3Seg4AssortmentFit</t>
  </si>
  <si>
    <t>calcCh3Prod2Seg1AssortmentFit</t>
  </si>
  <si>
    <t>calcCh3Prod2Seg2AssortmentFit</t>
  </si>
  <si>
    <t>calcCh3Prod2Seg3AssortmentFit</t>
  </si>
  <si>
    <t>calcCh3Prod2Seg4AssortmentFit</t>
  </si>
  <si>
    <t>calcCh3Prod3Seg1AssortmentFit</t>
  </si>
  <si>
    <t>calcCh3Prod3Seg2AssortmentFit</t>
  </si>
  <si>
    <t>calcCh3Prod3Seg3AssortmentFit</t>
  </si>
  <si>
    <t>calcCh3Prod3Seg4AssortmentFit</t>
  </si>
  <si>
    <t>calcCh4Prod2Seg1AssortmentFit</t>
  </si>
  <si>
    <t>calcCh4Prod2Seg2AssortmentFit</t>
  </si>
  <si>
    <t>calcCh4Prod2Seg3AssortmentFit</t>
  </si>
  <si>
    <t>calcCh4Prod2Seg4AssortmentFit</t>
  </si>
  <si>
    <t>calcCh4Prod3Seg1AssortmentFit</t>
  </si>
  <si>
    <t>calcCh4Prod3Seg2AssortmentFit</t>
  </si>
  <si>
    <t>calcCh4Prod3Seg3AssortmentFit</t>
  </si>
  <si>
    <t>calcCh4Prod3Seg4AssortmentFit</t>
  </si>
  <si>
    <t>cbalCompanyEBIT</t>
  </si>
  <si>
    <t>Total Market</t>
  </si>
  <si>
    <t>Per team Volume</t>
  </si>
  <si>
    <t xml:space="preserve"> 0=No 1=this year 2=previously</t>
  </si>
  <si>
    <t>Report 1 Bought?</t>
  </si>
  <si>
    <t>Market Report</t>
  </si>
  <si>
    <t>obalReport1</t>
  </si>
  <si>
    <t>obalReport2</t>
  </si>
  <si>
    <t>obalReport3</t>
  </si>
  <si>
    <t>obalReport4</t>
  </si>
  <si>
    <t>obalReport5</t>
  </si>
  <si>
    <t>obalReport6</t>
  </si>
  <si>
    <t>cbalReport1</t>
  </si>
  <si>
    <t>cbalReport2</t>
  </si>
  <si>
    <t>cbalReport3</t>
  </si>
  <si>
    <t>cbalReport4</t>
  </si>
  <si>
    <t>cbalReport5</t>
  </si>
  <si>
    <t>cbalReport6</t>
  </si>
  <si>
    <t>Report 2 Bought?</t>
  </si>
  <si>
    <t>Report 3 Bought?</t>
  </si>
  <si>
    <t>Report 4 Bought?</t>
  </si>
  <si>
    <t>Report 5 Bought?</t>
  </si>
  <si>
    <t>Report 6 Bought?</t>
  </si>
  <si>
    <t>MTU expense for reports</t>
  </si>
  <si>
    <t>Expense for reports</t>
  </si>
  <si>
    <t>paramCh1MarkPlanSI</t>
  </si>
  <si>
    <t>paramCh2MarkPlanSI</t>
  </si>
  <si>
    <t>paramCh3MarkPlanSI</t>
  </si>
  <si>
    <t>paramCh4MarkPlanSI</t>
  </si>
  <si>
    <t>Innovation Exp Discount</t>
  </si>
  <si>
    <t>paramInnovationExpDisc</t>
  </si>
  <si>
    <t>dataCh1Prod4Seg1MarketVolShare</t>
  </si>
  <si>
    <t>dataCh1Prod4Seg2MarketVolShare</t>
  </si>
  <si>
    <t>dataCh1Prod4Seg3MarketVolShare</t>
  </si>
  <si>
    <t>dataCh1Prod4Seg4MarketVolShare</t>
  </si>
  <si>
    <t>dataCh2Prod4Seg1MarketVolShare</t>
  </si>
  <si>
    <t>dataCh2Prod4Seg2MarketVolShare</t>
  </si>
  <si>
    <t>dataCh2Prod4Seg3MarketVolShare</t>
  </si>
  <si>
    <t>dataCh2Prod4Seg4MarketVolShare</t>
  </si>
  <si>
    <t>dataCh3Prod4Seg1MarketVolShare</t>
  </si>
  <si>
    <t>dataCh3Prod4Seg2MarketVolShare</t>
  </si>
  <si>
    <t>dataCh3Prod4Seg3MarketVolShare</t>
  </si>
  <si>
    <t>dataCh3Prod4Seg4MarketVolShare</t>
  </si>
  <si>
    <t>Volume Uplift</t>
  </si>
  <si>
    <t>tlOutputCh1Analytic2Chart5Heading</t>
  </si>
  <si>
    <t>tlOutputCh1Analytic2Chart5Type1</t>
  </si>
  <si>
    <t>tlOutputCh1Analytic2Chart5Type2</t>
  </si>
  <si>
    <t>tlOutputCh1Analytic2Chart5Type3</t>
  </si>
  <si>
    <t>tlOutputCh1Analytic2Chart5Type4</t>
  </si>
  <si>
    <t>tlOutputCh1Analytic2Chart5Label1</t>
  </si>
  <si>
    <t>tlOutputCh1Analytic2Chart5Label2</t>
  </si>
  <si>
    <t>tlOutputCh1Analytic2Chart5Label3</t>
  </si>
  <si>
    <t>tlOutputCh1Analytic2Chart5Label4</t>
  </si>
  <si>
    <t>tlOutputCh1Analytic2Chart5Label5</t>
  </si>
  <si>
    <t>tlOutputCh1Analytic2Chart5Label6</t>
  </si>
  <si>
    <t>tlOutputCh1Analytic2Chart5Label7</t>
  </si>
  <si>
    <t>tlOutputCh1Analytic2Chart5Label8</t>
  </si>
  <si>
    <t>tlOutputCh1Analytic2Chart5Label9</t>
  </si>
  <si>
    <t>tlOutputCh1Analytic2Chart5Label10</t>
  </si>
  <si>
    <t>tlOutputCh1Analytic2Chart5Label11</t>
  </si>
  <si>
    <t>tlOutputCh1Analytic2Chart5Label12</t>
  </si>
  <si>
    <t>tlOutputCh1Analytic2Chart5XaxisTitle</t>
  </si>
  <si>
    <t>tlOutputCh1Analytic2Chart5XValue1</t>
  </si>
  <si>
    <t>tlOutputCh1Analytic2Chart5XValue2</t>
  </si>
  <si>
    <t>tlOutputCh1Analytic2Chart5XValue3</t>
  </si>
  <si>
    <t>tlOutputCh1Analytic2Chart5XValue4</t>
  </si>
  <si>
    <t>tlOutputCh1Analytic2Chart5XValue5</t>
  </si>
  <si>
    <t>tlOutputCh1Analytic2Chart5XValue6</t>
  </si>
  <si>
    <t>tlOutputCh1Analytic2Chart5XValue7</t>
  </si>
  <si>
    <t>tlOutputCh1Analytic2Chart5XValue8</t>
  </si>
  <si>
    <t>tlOutputCh1Analytic2Chart5XValue9</t>
  </si>
  <si>
    <t>tlOutputCh1Analytic2Chart5XValue10</t>
  </si>
  <si>
    <t>tlOutputCh1Analytic2Chart5XValue11</t>
  </si>
  <si>
    <t>tlOutputCh1Analytic2Chart5XValue12</t>
  </si>
  <si>
    <t>tlOutputCh1Analytic2Chart5YaxisTitle</t>
  </si>
  <si>
    <t>tlOutputCh1Analytic2Chart5YValue1</t>
  </si>
  <si>
    <t>tlOutputCh1Analytic2Chart5YValue2</t>
  </si>
  <si>
    <t>tlOutputCh1Analytic2Chart5YValue3</t>
  </si>
  <si>
    <t>tlOutputCh1Analytic2Chart5YValue4</t>
  </si>
  <si>
    <t>tlOutputCh1Analytic2Chart5YValue5</t>
  </si>
  <si>
    <t>tlOutputCh1Analytic2Chart5YValue6</t>
  </si>
  <si>
    <t>tlOutputCh1Analytic2Chart5YValue7</t>
  </si>
  <si>
    <t>tlOutputCh1Analytic2Chart5YValue8</t>
  </si>
  <si>
    <t>tlOutputCh1Analytic2Chart5YValue9</t>
  </si>
  <si>
    <t>tlOutputCh1Analytic2Chart5YValue10</t>
  </si>
  <si>
    <t>tlOutputCh1Analytic2Chart5YValue11</t>
  </si>
  <si>
    <t>tlOutputCh1Analytic2Chart5YValue12</t>
  </si>
  <si>
    <t>tlOutputCh1Analytic2Chart5BubbleSize1</t>
  </si>
  <si>
    <t>tlOutputCh1Analytic2Chart5BubbleSize2</t>
  </si>
  <si>
    <t>tlOutputCh1Analytic2Chart5BubbleSize3</t>
  </si>
  <si>
    <t>tlOutputCh1Analytic2Chart5BubbleSize4</t>
  </si>
  <si>
    <t>tlOutputCh1Analytic2Chart5BubbleSize5</t>
  </si>
  <si>
    <t>tlOutputCh1Analytic2Chart5BubbleSize6</t>
  </si>
  <si>
    <t>tlOutputCh1Analytic2Chart5BubbleSize7</t>
  </si>
  <si>
    <t>tlOutputCh1Analytic2Chart5BubbleSize8</t>
  </si>
  <si>
    <t>tlOutputCh1Analytic2Chart5BubbleSize9</t>
  </si>
  <si>
    <t>tlOutputCh1Analytic2Chart5BubbleSize10</t>
  </si>
  <si>
    <t>tlOutputCh1Analytic2Chart5BubbleSize11</t>
  </si>
  <si>
    <t>tlOutputCh1Analytic2Chart5BubbleSize12</t>
  </si>
  <si>
    <t>tlOutputCh3Analytic2Chart5Heading</t>
  </si>
  <si>
    <t>tlOutputCh3Analytic2Chart5Type1</t>
  </si>
  <si>
    <t>tlOutputCh3Analytic2Chart5Type2</t>
  </si>
  <si>
    <t>tlOutputCh3Analytic2Chart5Type3</t>
  </si>
  <si>
    <t>tlOutputCh3Analytic2Chart5Type4</t>
  </si>
  <si>
    <t>tlOutputCh3Analytic2Chart5Label1</t>
  </si>
  <si>
    <t>tlOutputCh3Analytic2Chart5Label2</t>
  </si>
  <si>
    <t>tlOutputCh3Analytic2Chart5Label3</t>
  </si>
  <si>
    <t>tlOutputCh3Analytic2Chart5Label4</t>
  </si>
  <si>
    <t>tlOutputCh3Analytic2Chart5Label5</t>
  </si>
  <si>
    <t>tlOutputCh3Analytic2Chart5Label6</t>
  </si>
  <si>
    <t>tlOutputCh3Analytic2Chart5Label7</t>
  </si>
  <si>
    <t>tlOutputCh3Analytic2Chart5Label8</t>
  </si>
  <si>
    <t>tlOutputCh3Analytic2Chart5Label9</t>
  </si>
  <si>
    <t>tlOutputCh3Analytic2Chart5Label10</t>
  </si>
  <si>
    <t>tlOutputCh3Analytic2Chart5Label11</t>
  </si>
  <si>
    <t>tlOutputCh3Analytic2Chart5Label12</t>
  </si>
  <si>
    <t>tlOutputCh3Analytic2Chart5XaxisTitle</t>
  </si>
  <si>
    <t>tlOutputCh3Analytic2Chart5XValue1</t>
  </si>
  <si>
    <t>tlOutputCh3Analytic2Chart5XValue2</t>
  </si>
  <si>
    <t>tlOutputCh3Analytic2Chart5XValue3</t>
  </si>
  <si>
    <t>tlOutputCh3Analytic2Chart5XValue4</t>
  </si>
  <si>
    <t>tlOutputCh3Analytic2Chart5XValue5</t>
  </si>
  <si>
    <t>tlOutputCh3Analytic2Chart5XValue6</t>
  </si>
  <si>
    <t>tlOutputCh3Analytic2Chart5XValue7</t>
  </si>
  <si>
    <t>tlOutputCh3Analytic2Chart5XValue8</t>
  </si>
  <si>
    <t>tlOutputCh3Analytic2Chart5XValue9</t>
  </si>
  <si>
    <t>tlOutputCh3Analytic2Chart5XValue10</t>
  </si>
  <si>
    <t>tlOutputCh3Analytic2Chart5XValue11</t>
  </si>
  <si>
    <t>tlOutputCh3Analytic2Chart5XValue12</t>
  </si>
  <si>
    <t>tlOutputCh3Analytic2Chart5YaxisTitle</t>
  </si>
  <si>
    <t>tlOutputCh3Analytic2Chart5YValue1</t>
  </si>
  <si>
    <t>tlOutputCh3Analytic2Chart5YValue2</t>
  </si>
  <si>
    <t>tlOutputCh3Analytic2Chart5YValue3</t>
  </si>
  <si>
    <t>tlOutputCh3Analytic2Chart5YValue4</t>
  </si>
  <si>
    <t>tlOutputCh3Analytic2Chart5YValue5</t>
  </si>
  <si>
    <t>tlOutputCh3Analytic2Chart5YValue6</t>
  </si>
  <si>
    <t>tlOutputCh3Analytic2Chart5YValue7</t>
  </si>
  <si>
    <t>tlOutputCh3Analytic2Chart5YValue8</t>
  </si>
  <si>
    <t>tlOutputCh3Analytic2Chart5YValue9</t>
  </si>
  <si>
    <t>tlOutputCh3Analytic2Chart5YValue10</t>
  </si>
  <si>
    <t>tlOutputCh3Analytic2Chart5YValue11</t>
  </si>
  <si>
    <t>tlOutputCh3Analytic2Chart5YValue12</t>
  </si>
  <si>
    <t>tlOutputCh3Analytic2Chart5BubbleSize1</t>
  </si>
  <si>
    <t>tlOutputCh3Analytic2Chart5BubbleSize2</t>
  </si>
  <si>
    <t>tlOutputCh3Analytic2Chart5BubbleSize3</t>
  </si>
  <si>
    <t>tlOutputCh3Analytic2Chart5BubbleSize4</t>
  </si>
  <si>
    <t>tlOutputCh3Analytic2Chart5BubbleSize5</t>
  </si>
  <si>
    <t>tlOutputCh3Analytic2Chart5BubbleSize6</t>
  </si>
  <si>
    <t>tlOutputCh3Analytic2Chart5BubbleSize7</t>
  </si>
  <si>
    <t>tlOutputCh3Analytic2Chart5BubbleSize8</t>
  </si>
  <si>
    <t>tlOutputCh3Analytic2Chart5BubbleSize9</t>
  </si>
  <si>
    <t>tlOutputCh3Analytic2Chart5BubbleSize10</t>
  </si>
  <si>
    <t>tlOutputCh3Analytic2Chart5BubbleSize11</t>
  </si>
  <si>
    <t>tlOutputCh3Analytic2Chart5BubbleSize12</t>
  </si>
  <si>
    <t>tlOutputCh4Analytic2Chart5Heading</t>
  </si>
  <si>
    <t>tlOutputCh4Analytic2Chart5Type1</t>
  </si>
  <si>
    <t>tlOutputCh4Analytic2Chart5Type2</t>
  </si>
  <si>
    <t>tlOutputCh4Analytic2Chart5Type3</t>
  </si>
  <si>
    <t>tlOutputCh4Analytic2Chart5Type4</t>
  </si>
  <si>
    <t>tlOutputCh4Analytic2Chart5Label1</t>
  </si>
  <si>
    <t>tlOutputCh4Analytic2Chart5Label2</t>
  </si>
  <si>
    <t>tlOutputCh4Analytic2Chart5Label3</t>
  </si>
  <si>
    <t>tlOutputCh4Analytic2Chart5Label4</t>
  </si>
  <si>
    <t>tlOutputCh4Analytic2Chart5Label5</t>
  </si>
  <si>
    <t>tlOutputCh4Analytic2Chart5Label6</t>
  </si>
  <si>
    <t>tlOutputCh4Analytic2Chart5Label7</t>
  </si>
  <si>
    <t>tlOutputCh4Analytic2Chart5Label8</t>
  </si>
  <si>
    <t>tlOutputCh4Analytic2Chart5Label9</t>
  </si>
  <si>
    <t>tlOutputCh4Analytic2Chart5Label10</t>
  </si>
  <si>
    <t>tlOutputCh4Analytic2Chart5Label11</t>
  </si>
  <si>
    <t>tlOutputCh4Analytic2Chart5Label12</t>
  </si>
  <si>
    <t>tlOutputCh4Analytic2Chart5XaxisTitle</t>
  </si>
  <si>
    <t>tlOutputCh4Analytic2Chart5XValue1</t>
  </si>
  <si>
    <t>tlOutputCh4Analytic2Chart5XValue2</t>
  </si>
  <si>
    <t>tlOutputCh4Analytic2Chart5XValue3</t>
  </si>
  <si>
    <t>tlOutputCh4Analytic2Chart5XValue4</t>
  </si>
  <si>
    <t>tlOutputCh4Analytic2Chart5XValue5</t>
  </si>
  <si>
    <t>tlOutputCh4Analytic2Chart5XValue6</t>
  </si>
  <si>
    <t>tlOutputCh4Analytic2Chart5XValue7</t>
  </si>
  <si>
    <t>tlOutputCh4Analytic2Chart5XValue8</t>
  </si>
  <si>
    <t>tlOutputCh4Analytic2Chart5XValue9</t>
  </si>
  <si>
    <t>tlOutputCh4Analytic2Chart5XValue10</t>
  </si>
  <si>
    <t>tlOutputCh4Analytic2Chart5XValue11</t>
  </si>
  <si>
    <t>tlOutputCh4Analytic2Chart5XValue12</t>
  </si>
  <si>
    <t>tlOutputCh4Analytic2Chart5YaxisTitle</t>
  </si>
  <si>
    <t>tlOutputCh4Analytic2Chart5YValue1</t>
  </si>
  <si>
    <t>tlOutputCh4Analytic2Chart5YValue2</t>
  </si>
  <si>
    <t>tlOutputCh4Analytic2Chart5YValue3</t>
  </si>
  <si>
    <t>tlOutputCh4Analytic2Chart5YValue4</t>
  </si>
  <si>
    <t>tlOutputCh4Analytic2Chart5YValue5</t>
  </si>
  <si>
    <t>tlOutputCh4Analytic2Chart5YValue6</t>
  </si>
  <si>
    <t>tlOutputCh4Analytic2Chart5YValue7</t>
  </si>
  <si>
    <t>tlOutputCh4Analytic2Chart5YValue8</t>
  </si>
  <si>
    <t>tlOutputCh4Analytic2Chart5YValue9</t>
  </si>
  <si>
    <t>tlOutputCh4Analytic2Chart5YValue10</t>
  </si>
  <si>
    <t>tlOutputCh4Analytic2Chart5YValue11</t>
  </si>
  <si>
    <t>tlOutputCh4Analytic2Chart5YValue12</t>
  </si>
  <si>
    <t>tlOutputCh4Analytic2Chart5BubbleSize1</t>
  </si>
  <si>
    <t>tlOutputCh4Analytic2Chart5BubbleSize2</t>
  </si>
  <si>
    <t>tlOutputCh4Analytic2Chart5BubbleSize3</t>
  </si>
  <si>
    <t>tlOutputCh4Analytic2Chart5BubbleSize4</t>
  </si>
  <si>
    <t>tlOutputCh4Analytic2Chart5BubbleSize5</t>
  </si>
  <si>
    <t>tlOutputCh4Analytic2Chart5BubbleSize6</t>
  </si>
  <si>
    <t>tlOutputCh4Analytic2Chart5BubbleSize7</t>
  </si>
  <si>
    <t>tlOutputCh4Analytic2Chart5BubbleSize8</t>
  </si>
  <si>
    <t>tlOutputCh4Analytic2Chart5BubbleSize9</t>
  </si>
  <si>
    <t>tlOutputCh4Analytic2Chart5BubbleSize10</t>
  </si>
  <si>
    <t>tlOutputCh4Analytic2Chart5BubbleSize11</t>
  </si>
  <si>
    <t>tlOutputCh4Analytic2Chart5BubbleSize12</t>
  </si>
  <si>
    <t>Promo1 Price</t>
  </si>
  <si>
    <t>obalCh1Prod1Slot1Promo1ROI</t>
  </si>
  <si>
    <t>obalCh1Prod1Slot1Promo2ROI</t>
  </si>
  <si>
    <t>obalCh1Prod1Slot1Promo1Share</t>
  </si>
  <si>
    <t>obalCh1Prod1Slot1Promo2Share</t>
  </si>
  <si>
    <t>obalCh1Prod1Slot1Promo1Price</t>
  </si>
  <si>
    <t>obalCh1Prod1Slot1Promo2Price</t>
  </si>
  <si>
    <t>Promo2 Price</t>
  </si>
  <si>
    <t>Promo2 ROI</t>
  </si>
  <si>
    <t>Promo1 ROI</t>
  </si>
  <si>
    <t>Base volume per week</t>
  </si>
  <si>
    <t>Promo Volume Per Week</t>
  </si>
  <si>
    <t>calcCh1Prod1Slot1BaseVolPWeek</t>
  </si>
  <si>
    <t>calcCh1Prod1Slot1Promo1VolPWeek</t>
  </si>
  <si>
    <t>calcCh1Prod1Slot1Promo1VolUplift</t>
  </si>
  <si>
    <t>Base Gpal per Litre</t>
  </si>
  <si>
    <t>cbalCh1Prod1Slot1Promo1Price</t>
  </si>
  <si>
    <t>cbalCh1Prod1Slot1Promo2Price</t>
  </si>
  <si>
    <t>cbalCh1Prod1Slot1Promo1Share</t>
  </si>
  <si>
    <t>cbalCh1Prod1Slot1Promo2Share</t>
  </si>
  <si>
    <t>cbalCh1Prod1Slot1Promo1ROI</t>
  </si>
  <si>
    <t>cbalCh1Prod1Slot1Promo2ROI</t>
  </si>
  <si>
    <t>calcCh1Prod1Slot1BaseGPaLPUnit</t>
  </si>
  <si>
    <t>Promo GPaL per Litre</t>
  </si>
  <si>
    <t>calcCh1Prod1Slot1Promo1GPaLPUnit</t>
  </si>
  <si>
    <t>calcCh1Prod1Slot1BaseGPaLPWeek</t>
  </si>
  <si>
    <t>Base Gpal per Week</t>
  </si>
  <si>
    <t>calcCh1Prod1Slot1Promo1GPaLPWeek</t>
  </si>
  <si>
    <t>Promo GPaL per Week</t>
  </si>
  <si>
    <t>calcCh1Prod1Slot1Promo1GPaLUplift</t>
  </si>
  <si>
    <t>Benefit (GPaL increase)</t>
  </si>
  <si>
    <t>calcCh1Prod1Slot1Promo1ROI</t>
  </si>
  <si>
    <t>Base Customer Profit Per Week</t>
  </si>
  <si>
    <t>calcCh1Prod1Slot1BaseCustProfPWeek</t>
  </si>
  <si>
    <t>Promotion Customer Profit</t>
  </si>
  <si>
    <t>Extra Promo Income</t>
  </si>
  <si>
    <t>calcCh1Prod1Slot1Promo2VolPWeek</t>
  </si>
  <si>
    <t>calcCh1Prod1Slot1Promo2VolUplift</t>
  </si>
  <si>
    <t>calcCh1Prod1Slot1Promo2GPaLPUnit</t>
  </si>
  <si>
    <t>calcCh1Prod1Slot1Promo2GPaLPWeek</t>
  </si>
  <si>
    <t>calcCh1Prod1Slot1Promo2GPaLUplift</t>
  </si>
  <si>
    <t>calcCh1Prod1Slot1Promo2ROI</t>
  </si>
  <si>
    <t>calcCh1Prod1Slot3BaseVolPWeek</t>
  </si>
  <si>
    <t>calcCh1Prod1Slot3BaseGPaLPUnit</t>
  </si>
  <si>
    <t>calcCh1Prod1Slot3BaseGPaLPWeek</t>
  </si>
  <si>
    <t>calcCh1Prod1Slot3Promo1VolPWeek</t>
  </si>
  <si>
    <t>calcCh1Prod1Slot3Promo1VolUplift</t>
  </si>
  <si>
    <t>calcCh1Prod1Slot3Promo1GPaLPUnit</t>
  </si>
  <si>
    <t>calcCh1Prod1Slot3Promo1GPaLPWeek</t>
  </si>
  <si>
    <t>calcCh1Prod1Slot3Promo1GPaLUplift</t>
  </si>
  <si>
    <t>calcCh1Prod1Slot3Promo1ROI</t>
  </si>
  <si>
    <t>calcCh1Prod1Slot3Promo2VolPWeek</t>
  </si>
  <si>
    <t>calcCh1Prod1Slot3Promo2VolUplift</t>
  </si>
  <si>
    <t>calcCh1Prod1Slot3Promo2GPaLPUnit</t>
  </si>
  <si>
    <t>calcCh1Prod1Slot3Promo2GPaLPWeek</t>
  </si>
  <si>
    <t>calcCh1Prod1Slot3Promo2GPaLUplift</t>
  </si>
  <si>
    <t>calcCh1Prod1Slot3Promo2ROI</t>
  </si>
  <si>
    <t>calcCh1Prod1Slot2BaseVolPWeek</t>
  </si>
  <si>
    <t>calcCh1Prod1Slot2BaseGPaLPUnit</t>
  </si>
  <si>
    <t>calcCh1Prod1Slot2BaseGPaLPWeek</t>
  </si>
  <si>
    <t>calcCh1Prod1Slot2Promo1VolPWeek</t>
  </si>
  <si>
    <t>calcCh1Prod1Slot2Promo1VolUplift</t>
  </si>
  <si>
    <t>calcCh1Prod1Slot2Promo1GPaLPUnit</t>
  </si>
  <si>
    <t>calcCh1Prod1Slot2Promo1GPaLPWeek</t>
  </si>
  <si>
    <t>calcCh1Prod1Slot2Promo1GPaLUplift</t>
  </si>
  <si>
    <t>calcCh1Prod1Slot2Promo1ROI</t>
  </si>
  <si>
    <t>calcCh1Prod1Slot2Promo2VolPWeek</t>
  </si>
  <si>
    <t>calcCh1Prod1Slot2Promo2VolUplift</t>
  </si>
  <si>
    <t>calcCh1Prod1Slot2Promo2GPaLPUnit</t>
  </si>
  <si>
    <t>calcCh1Prod1Slot2Promo2GPaLPWeek</t>
  </si>
  <si>
    <t>calcCh1Prod1Slot2Promo2GPaLUplift</t>
  </si>
  <si>
    <t>calcCh1Prod1Slot2Promo2ROI</t>
  </si>
  <si>
    <t>calcCh1Prod4Slot1BaseVolPWeek</t>
  </si>
  <si>
    <t>calcCh1Prod4Slot1BaseGPaLPUnit</t>
  </si>
  <si>
    <t>calcCh1Prod4Slot1BaseGPaLPWeek</t>
  </si>
  <si>
    <t>calcCh1Prod4Slot1Promo1VolPWeek</t>
  </si>
  <si>
    <t>calcCh1Prod4Slot1Promo1VolUplift</t>
  </si>
  <si>
    <t>calcCh1Prod4Slot1Promo1GPaLPUnit</t>
  </si>
  <si>
    <t>calcCh1Prod4Slot1Promo1GPaLPWeek</t>
  </si>
  <si>
    <t>calcCh1Prod4Slot1Promo1GPaLUplift</t>
  </si>
  <si>
    <t>calcCh1Prod4Slot1Promo1ROI</t>
  </si>
  <si>
    <t>calcCh1Prod4Slot1Promo2VolPWeek</t>
  </si>
  <si>
    <t>calcCh1Prod4Slot1Promo2VolUplift</t>
  </si>
  <si>
    <t>calcCh1Prod4Slot1Promo2GPaLPUnit</t>
  </si>
  <si>
    <t>calcCh1Prod4Slot1Promo2GPaLPWeek</t>
  </si>
  <si>
    <t>calcCh1Prod4Slot1Promo2GPaLUplift</t>
  </si>
  <si>
    <t>calcCh1Prod4Slot1Promo2ROI</t>
  </si>
  <si>
    <t>calcCh1Prod4Slot2BaseVolPWeek</t>
  </si>
  <si>
    <t>calcCh1Prod4Slot2BaseGPaLPUnit</t>
  </si>
  <si>
    <t>calcCh1Prod4Slot2BaseGPaLPWeek</t>
  </si>
  <si>
    <t>calcCh1Prod4Slot2Promo1VolPWeek</t>
  </si>
  <si>
    <t>calcCh1Prod4Slot2Promo1VolUplift</t>
  </si>
  <si>
    <t>calcCh1Prod4Slot2Promo1GPaLPUnit</t>
  </si>
  <si>
    <t>calcCh1Prod4Slot2Promo1GPaLPWeek</t>
  </si>
  <si>
    <t>calcCh1Prod4Slot2Promo1GPaLUplift</t>
  </si>
  <si>
    <t>calcCh1Prod4Slot2Promo1ROI</t>
  </si>
  <si>
    <t>calcCh1Prod4Slot2Promo2VolPWeek</t>
  </si>
  <si>
    <t>calcCh1Prod4Slot2Promo2VolUplift</t>
  </si>
  <si>
    <t>calcCh1Prod4Slot2Promo2GPaLPUnit</t>
  </si>
  <si>
    <t>calcCh1Prod4Slot2Promo2GPaLPWeek</t>
  </si>
  <si>
    <t>calcCh1Prod4Slot2Promo2GPaLUplift</t>
  </si>
  <si>
    <t>calcCh1Prod4Slot2Promo2ROI</t>
  </si>
  <si>
    <t>calcCh1Prod4Slot3BaseVolPWeek</t>
  </si>
  <si>
    <t>calcCh1Prod4Slot3BaseGPaLPUnit</t>
  </si>
  <si>
    <t>calcCh1Prod4Slot3BaseGPaLPWeek</t>
  </si>
  <si>
    <t>calcCh1Prod4Slot3Promo1VolPWeek</t>
  </si>
  <si>
    <t>calcCh1Prod4Slot3Promo1VolUplift</t>
  </si>
  <si>
    <t>calcCh1Prod4Slot3Promo1GPaLPUnit</t>
  </si>
  <si>
    <t>calcCh1Prod4Slot3Promo1GPaLPWeek</t>
  </si>
  <si>
    <t>calcCh1Prod4Slot3Promo1GPaLUplift</t>
  </si>
  <si>
    <t>calcCh1Prod4Slot3Promo1ROI</t>
  </si>
  <si>
    <t>calcCh1Prod4Slot3Promo2VolPWeek</t>
  </si>
  <si>
    <t>calcCh1Prod4Slot3Promo2VolUplift</t>
  </si>
  <si>
    <t>calcCh1Prod4Slot3Promo2GPaLPUnit</t>
  </si>
  <si>
    <t>calcCh1Prod4Slot3Promo2GPaLPWeek</t>
  </si>
  <si>
    <t>calcCh1Prod4Slot3Promo2GPaLUplift</t>
  </si>
  <si>
    <t>calcCh1Prod4Slot3Promo2ROI</t>
  </si>
  <si>
    <t>calcCh1Prod3Slot1BaseVolPWeek</t>
  </si>
  <si>
    <t>calcCh1Prod3Slot1BaseGPaLPUnit</t>
  </si>
  <si>
    <t>calcCh1Prod3Slot1BaseGPaLPWeek</t>
  </si>
  <si>
    <t>calcCh1Prod3Slot1Promo1VolPWeek</t>
  </si>
  <si>
    <t>calcCh1Prod3Slot1Promo1VolUplift</t>
  </si>
  <si>
    <t>calcCh1Prod3Slot1Promo1GPaLPUnit</t>
  </si>
  <si>
    <t>calcCh1Prod3Slot1Promo1GPaLPWeek</t>
  </si>
  <si>
    <t>calcCh1Prod3Slot1Promo1GPaLUplift</t>
  </si>
  <si>
    <t>calcCh1Prod3Slot1Promo1ROI</t>
  </si>
  <si>
    <t>calcCh1Prod3Slot1Promo2VolPWeek</t>
  </si>
  <si>
    <t>calcCh1Prod3Slot1Promo2VolUplift</t>
  </si>
  <si>
    <t>calcCh1Prod3Slot1Promo2GPaLPUnit</t>
  </si>
  <si>
    <t>calcCh1Prod3Slot1Promo2GPaLPWeek</t>
  </si>
  <si>
    <t>calcCh1Prod3Slot1Promo2GPaLUplift</t>
  </si>
  <si>
    <t>calcCh1Prod3Slot1Promo2ROI</t>
  </si>
  <si>
    <t>calcCh1Prod3Slot2BaseVolPWeek</t>
  </si>
  <si>
    <t>calcCh1Prod3Slot2BaseGPaLPUnit</t>
  </si>
  <si>
    <t>calcCh1Prod3Slot2BaseGPaLPWeek</t>
  </si>
  <si>
    <t>calcCh1Prod3Slot2Promo1VolPWeek</t>
  </si>
  <si>
    <t>calcCh1Prod3Slot2Promo1VolUplift</t>
  </si>
  <si>
    <t>calcCh1Prod3Slot2Promo1GPaLPUnit</t>
  </si>
  <si>
    <t>calcCh1Prod3Slot2Promo1GPaLPWeek</t>
  </si>
  <si>
    <t>calcCh1Prod3Slot2Promo1GPaLUplift</t>
  </si>
  <si>
    <t>calcCh1Prod3Slot2Promo1ROI</t>
  </si>
  <si>
    <t>calcCh1Prod3Slot2Promo2VolPWeek</t>
  </si>
  <si>
    <t>calcCh1Prod3Slot2Promo2VolUplift</t>
  </si>
  <si>
    <t>calcCh1Prod3Slot2Promo2GPaLPUnit</t>
  </si>
  <si>
    <t>calcCh1Prod3Slot2Promo2GPaLPWeek</t>
  </si>
  <si>
    <t>calcCh1Prod3Slot2Promo2GPaLUplift</t>
  </si>
  <si>
    <t>calcCh1Prod3Slot2Promo2ROI</t>
  </si>
  <si>
    <t>calcCh1Prod3Slot3BaseVolPWeek</t>
  </si>
  <si>
    <t>calcCh1Prod3Slot3BaseGPaLPUnit</t>
  </si>
  <si>
    <t>calcCh1Prod3Slot3BaseGPaLPWeek</t>
  </si>
  <si>
    <t>calcCh1Prod3Slot3Promo1VolPWeek</t>
  </si>
  <si>
    <t>calcCh1Prod3Slot3Promo1VolUplift</t>
  </si>
  <si>
    <t>calcCh1Prod3Slot3Promo1GPaLPUnit</t>
  </si>
  <si>
    <t>calcCh1Prod3Slot3Promo1GPaLPWeek</t>
  </si>
  <si>
    <t>calcCh1Prod3Slot3Promo1GPaLUplift</t>
  </si>
  <si>
    <t>calcCh1Prod3Slot3Promo1ROI</t>
  </si>
  <si>
    <t>calcCh1Prod3Slot3Promo2VolPWeek</t>
  </si>
  <si>
    <t>calcCh1Prod3Slot3Promo2VolUplift</t>
  </si>
  <si>
    <t>calcCh1Prod3Slot3Promo2GPaLPUnit</t>
  </si>
  <si>
    <t>calcCh1Prod3Slot3Promo2GPaLPWeek</t>
  </si>
  <si>
    <t>calcCh1Prod3Slot3Promo2GPaLUplift</t>
  </si>
  <si>
    <t>calcCh1Prod3Slot3Promo2ROI</t>
  </si>
  <si>
    <t>calcCh1Prod2Slot1BaseVolPWeek</t>
  </si>
  <si>
    <t>calcCh1Prod2Slot1BaseGPaLPUnit</t>
  </si>
  <si>
    <t>calcCh1Prod2Slot1BaseGPaLPWeek</t>
  </si>
  <si>
    <t>calcCh1Prod2Slot1Promo1VolPWeek</t>
  </si>
  <si>
    <t>calcCh1Prod2Slot1Promo1VolUplift</t>
  </si>
  <si>
    <t>calcCh1Prod2Slot1Promo1GPaLPUnit</t>
  </si>
  <si>
    <t>calcCh1Prod2Slot1Promo1GPaLPWeek</t>
  </si>
  <si>
    <t>calcCh1Prod2Slot1Promo1GPaLUplift</t>
  </si>
  <si>
    <t>calcCh1Prod2Slot1Promo1ROI</t>
  </si>
  <si>
    <t>calcCh1Prod2Slot1Promo2VolPWeek</t>
  </si>
  <si>
    <t>calcCh1Prod2Slot1Promo2VolUplift</t>
  </si>
  <si>
    <t>calcCh1Prod2Slot1Promo2GPaLPUnit</t>
  </si>
  <si>
    <t>calcCh1Prod2Slot1Promo2GPaLPWeek</t>
  </si>
  <si>
    <t>calcCh1Prod2Slot1Promo2GPaLUplift</t>
  </si>
  <si>
    <t>calcCh1Prod2Slot1Promo2ROI</t>
  </si>
  <si>
    <t>calcCh1Prod2Slot2BaseVolPWeek</t>
  </si>
  <si>
    <t>calcCh1Prod2Slot2BaseGPaLPUnit</t>
  </si>
  <si>
    <t>calcCh1Prod2Slot2BaseGPaLPWeek</t>
  </si>
  <si>
    <t>calcCh1Prod2Slot2Promo1VolPWeek</t>
  </si>
  <si>
    <t>calcCh1Prod2Slot2Promo1VolUplift</t>
  </si>
  <si>
    <t>calcCh1Prod2Slot2Promo1GPaLPUnit</t>
  </si>
  <si>
    <t>calcCh1Prod2Slot2Promo1GPaLPWeek</t>
  </si>
  <si>
    <t>calcCh1Prod2Slot2Promo1GPaLUplift</t>
  </si>
  <si>
    <t>calcCh1Prod2Slot2Promo1ROI</t>
  </si>
  <si>
    <t>calcCh1Prod2Slot2Promo2VolPWeek</t>
  </si>
  <si>
    <t>calcCh1Prod2Slot2Promo2VolUplift</t>
  </si>
  <si>
    <t>calcCh1Prod2Slot2Promo2GPaLPUnit</t>
  </si>
  <si>
    <t>calcCh1Prod2Slot2Promo2GPaLPWeek</t>
  </si>
  <si>
    <t>calcCh1Prod2Slot2Promo2GPaLUplift</t>
  </si>
  <si>
    <t>calcCh1Prod2Slot2Promo2ROI</t>
  </si>
  <si>
    <t>calcCh1Prod2Slot3BaseVolPWeek</t>
  </si>
  <si>
    <t>calcCh1Prod2Slot3BaseGPaLPUnit</t>
  </si>
  <si>
    <t>calcCh1Prod2Slot3BaseGPaLPWeek</t>
  </si>
  <si>
    <t>calcCh1Prod2Slot3Promo1VolPWeek</t>
  </si>
  <si>
    <t>calcCh1Prod2Slot3Promo1VolUplift</t>
  </si>
  <si>
    <t>calcCh1Prod2Slot3Promo1GPaLPUnit</t>
  </si>
  <si>
    <t>calcCh1Prod2Slot3Promo1GPaLPWeek</t>
  </si>
  <si>
    <t>calcCh1Prod2Slot3Promo1GPaLUplift</t>
  </si>
  <si>
    <t>calcCh1Prod2Slot3Promo1ROI</t>
  </si>
  <si>
    <t>calcCh1Prod2Slot3Promo2VolPWeek</t>
  </si>
  <si>
    <t>calcCh1Prod2Slot3Promo2VolUplift</t>
  </si>
  <si>
    <t>calcCh1Prod2Slot3Promo2GPaLPUnit</t>
  </si>
  <si>
    <t>calcCh1Prod2Slot3Promo2GPaLPWeek</t>
  </si>
  <si>
    <t>calcCh1Prod2Slot3Promo2GPaLUplift</t>
  </si>
  <si>
    <t>calcCh1Prod2Slot3Promo2ROI</t>
  </si>
  <si>
    <t>calcCh3Prod1Slot1BaseVolPWeek</t>
  </si>
  <si>
    <t>calcCh3Prod1Slot1BaseGPaLPUnit</t>
  </si>
  <si>
    <t>calcCh3Prod1Slot1BaseGPaLPWeek</t>
  </si>
  <si>
    <t>calcCh3Prod1Slot1Promo1VolPWeek</t>
  </si>
  <si>
    <t>calcCh3Prod1Slot1Promo1VolUplift</t>
  </si>
  <si>
    <t>calcCh3Prod1Slot1Promo1GPaLPUnit</t>
  </si>
  <si>
    <t>calcCh3Prod1Slot1Promo1GPaLPWeek</t>
  </si>
  <si>
    <t>calcCh3Prod1Slot1Promo1GPaLUplift</t>
  </si>
  <si>
    <t>calcCh3Prod1Slot1Promo1ROI</t>
  </si>
  <si>
    <t>calcCh3Prod1Slot2BaseVolPWeek</t>
  </si>
  <si>
    <t>calcCh3Prod1Slot2BaseGPaLPUnit</t>
  </si>
  <si>
    <t>calcCh3Prod1Slot2BaseGPaLPWeek</t>
  </si>
  <si>
    <t>calcCh3Prod1Slot2Promo1VolPWeek</t>
  </si>
  <si>
    <t>calcCh3Prod1Slot2Promo1VolUplift</t>
  </si>
  <si>
    <t>calcCh3Prod1Slot2Promo1GPaLPUnit</t>
  </si>
  <si>
    <t>calcCh3Prod1Slot2Promo1GPaLPWeek</t>
  </si>
  <si>
    <t>calcCh3Prod1Slot2Promo1GPaLUplift</t>
  </si>
  <si>
    <t>calcCh3Prod1Slot2Promo1ROI</t>
  </si>
  <si>
    <t>calcCh3Prod1Slot3BaseVolPWeek</t>
  </si>
  <si>
    <t>calcCh3Prod1Slot3BaseGPaLPUnit</t>
  </si>
  <si>
    <t>calcCh3Prod1Slot3BaseGPaLPWeek</t>
  </si>
  <si>
    <t>calcCh3Prod1Slot3Promo1VolPWeek</t>
  </si>
  <si>
    <t>calcCh3Prod1Slot3Promo1VolUplift</t>
  </si>
  <si>
    <t>calcCh3Prod1Slot3Promo1GPaLPUnit</t>
  </si>
  <si>
    <t>calcCh3Prod1Slot3Promo1GPaLPWeek</t>
  </si>
  <si>
    <t>calcCh3Prod1Slot3Promo1GPaLUplift</t>
  </si>
  <si>
    <t>calcCh3Prod1Slot3Promo1ROI</t>
  </si>
  <si>
    <t>calcCh3Prod2Slot1BaseVolPWeek</t>
  </si>
  <si>
    <t>calcCh3Prod2Slot1BaseGPaLPUnit</t>
  </si>
  <si>
    <t>calcCh3Prod2Slot1BaseGPaLPWeek</t>
  </si>
  <si>
    <t>calcCh3Prod2Slot1Promo1VolPWeek</t>
  </si>
  <si>
    <t>calcCh3Prod2Slot1Promo1VolUplift</t>
  </si>
  <si>
    <t>calcCh3Prod2Slot1Promo1GPaLPUnit</t>
  </si>
  <si>
    <t>calcCh3Prod2Slot1Promo1GPaLPWeek</t>
  </si>
  <si>
    <t>calcCh3Prod2Slot1Promo1GPaLUplift</t>
  </si>
  <si>
    <t>calcCh3Prod2Slot1Promo1ROI</t>
  </si>
  <si>
    <t>calcCh3Prod2Slot2BaseVolPWeek</t>
  </si>
  <si>
    <t>calcCh3Prod2Slot2BaseGPaLPUnit</t>
  </si>
  <si>
    <t>calcCh3Prod2Slot2BaseGPaLPWeek</t>
  </si>
  <si>
    <t>calcCh3Prod2Slot2Promo1VolPWeek</t>
  </si>
  <si>
    <t>calcCh3Prod2Slot2Promo1VolUplift</t>
  </si>
  <si>
    <t>calcCh3Prod2Slot2Promo1GPaLPUnit</t>
  </si>
  <si>
    <t>calcCh3Prod2Slot2Promo1GPaLPWeek</t>
  </si>
  <si>
    <t>calcCh3Prod2Slot2Promo1GPaLUplift</t>
  </si>
  <si>
    <t>calcCh3Prod2Slot2Promo1ROI</t>
  </si>
  <si>
    <t>calcCh3Prod2Slot3BaseVolPWeek</t>
  </si>
  <si>
    <t>calcCh3Prod2Slot3BaseGPaLPUnit</t>
  </si>
  <si>
    <t>calcCh3Prod2Slot3BaseGPaLPWeek</t>
  </si>
  <si>
    <t>calcCh3Prod2Slot3Promo1VolPWeek</t>
  </si>
  <si>
    <t>calcCh3Prod2Slot3Promo1VolUplift</t>
  </si>
  <si>
    <t>calcCh3Prod2Slot3Promo1GPaLPUnit</t>
  </si>
  <si>
    <t>calcCh3Prod2Slot3Promo1GPaLPWeek</t>
  </si>
  <si>
    <t>calcCh3Prod2Slot3Promo1GPaLUplift</t>
  </si>
  <si>
    <t>calcCh3Prod2Slot3Promo1ROI</t>
  </si>
  <si>
    <t>calcCh3Prod3Slot1BaseVolPWeek</t>
  </si>
  <si>
    <t>calcCh3Prod3Slot1BaseGPaLPUnit</t>
  </si>
  <si>
    <t>calcCh3Prod3Slot1BaseGPaLPWeek</t>
  </si>
  <si>
    <t>calcCh3Prod3Slot1Promo1VolPWeek</t>
  </si>
  <si>
    <t>calcCh3Prod3Slot1Promo1VolUplift</t>
  </si>
  <si>
    <t>calcCh3Prod3Slot1Promo1GPaLPUnit</t>
  </si>
  <si>
    <t>calcCh3Prod3Slot1Promo1GPaLPWeek</t>
  </si>
  <si>
    <t>calcCh3Prod3Slot1Promo1GPaLUplift</t>
  </si>
  <si>
    <t>calcCh3Prod3Slot1Promo1ROI</t>
  </si>
  <si>
    <t>calcCh3Prod3Slot2BaseVolPWeek</t>
  </si>
  <si>
    <t>calcCh3Prod3Slot2BaseGPaLPUnit</t>
  </si>
  <si>
    <t>calcCh3Prod3Slot2BaseGPaLPWeek</t>
  </si>
  <si>
    <t>calcCh3Prod3Slot2Promo1VolPWeek</t>
  </si>
  <si>
    <t>calcCh3Prod3Slot2Promo1VolUplift</t>
  </si>
  <si>
    <t>calcCh3Prod3Slot2Promo1GPaLPUnit</t>
  </si>
  <si>
    <t>calcCh3Prod3Slot2Promo1GPaLPWeek</t>
  </si>
  <si>
    <t>calcCh3Prod3Slot2Promo1GPaLUplift</t>
  </si>
  <si>
    <t>calcCh3Prod3Slot2Promo1ROI</t>
  </si>
  <si>
    <t>calcCh3Prod3Slot3BaseVolPWeek</t>
  </si>
  <si>
    <t>calcCh3Prod3Slot3BaseGPaLPUnit</t>
  </si>
  <si>
    <t>calcCh3Prod3Slot3BaseGPaLPWeek</t>
  </si>
  <si>
    <t>calcCh3Prod3Slot3Promo1VolPWeek</t>
  </si>
  <si>
    <t>calcCh3Prod3Slot3Promo1VolUplift</t>
  </si>
  <si>
    <t>calcCh3Prod3Slot3Promo1GPaLPUnit</t>
  </si>
  <si>
    <t>calcCh3Prod3Slot3Promo1GPaLPWeek</t>
  </si>
  <si>
    <t>calcCh3Prod3Slot3Promo1GPaLUplift</t>
  </si>
  <si>
    <t>calcCh3Prod3Slot3Promo1ROI</t>
  </si>
  <si>
    <t>calcCh3Prod4Slot1BaseVolPWeek</t>
  </si>
  <si>
    <t>calcCh3Prod4Slot1BaseGPaLPUnit</t>
  </si>
  <si>
    <t>calcCh3Prod4Slot1BaseGPaLPWeek</t>
  </si>
  <si>
    <t>calcCh3Prod4Slot1Promo1VolPWeek</t>
  </si>
  <si>
    <t>calcCh3Prod4Slot1Promo1VolUplift</t>
  </si>
  <si>
    <t>calcCh3Prod4Slot1Promo1GPaLPUnit</t>
  </si>
  <si>
    <t>calcCh3Prod4Slot1Promo1GPaLPWeek</t>
  </si>
  <si>
    <t>calcCh3Prod4Slot1Promo1GPaLUplift</t>
  </si>
  <si>
    <t>calcCh3Prod4Slot1Promo1ROI</t>
  </si>
  <si>
    <t>calcCh3Prod4Slot2BaseVolPWeek</t>
  </si>
  <si>
    <t>calcCh3Prod4Slot2BaseGPaLPUnit</t>
  </si>
  <si>
    <t>calcCh3Prod4Slot2BaseGPaLPWeek</t>
  </si>
  <si>
    <t>calcCh3Prod4Slot2Promo1VolPWeek</t>
  </si>
  <si>
    <t>calcCh3Prod4Slot2Promo1VolUplift</t>
  </si>
  <si>
    <t>calcCh3Prod4Slot2Promo1GPaLPUnit</t>
  </si>
  <si>
    <t>calcCh3Prod4Slot2Promo1GPaLPWeek</t>
  </si>
  <si>
    <t>calcCh3Prod4Slot2Promo1GPaLUplift</t>
  </si>
  <si>
    <t>calcCh3Prod4Slot2Promo1ROI</t>
  </si>
  <si>
    <t>calcCh3Prod4Slot3BaseVolPWeek</t>
  </si>
  <si>
    <t>calcCh3Prod4Slot3BaseGPaLPUnit</t>
  </si>
  <si>
    <t>calcCh3Prod4Slot3BaseGPaLPWeek</t>
  </si>
  <si>
    <t>calcCh3Prod4Slot3Promo1VolPWeek</t>
  </si>
  <si>
    <t>calcCh3Prod4Slot3Promo1VolUplift</t>
  </si>
  <si>
    <t>calcCh3Prod4Slot3Promo1GPaLPUnit</t>
  </si>
  <si>
    <t>calcCh3Prod4Slot3Promo1GPaLPWeek</t>
  </si>
  <si>
    <t>calcCh3Prod4Slot3Promo1GPaLUplift</t>
  </si>
  <si>
    <t>calcCh3Prod4Slot3Promo1ROI</t>
  </si>
  <si>
    <t>calcCh4Prod1Slot1BaseVolPWeek</t>
  </si>
  <si>
    <t>calcCh4Prod1Slot1BaseGPaLPUnit</t>
  </si>
  <si>
    <t>calcCh4Prod1Slot1BaseGPaLPWeek</t>
  </si>
  <si>
    <t>calcCh4Prod1Slot1Promo1VolPWeek</t>
  </si>
  <si>
    <t>calcCh4Prod1Slot1Promo1VolUplift</t>
  </si>
  <si>
    <t>calcCh4Prod1Slot1Promo1GPaLPUnit</t>
  </si>
  <si>
    <t>calcCh4Prod1Slot1Promo1GPaLPWeek</t>
  </si>
  <si>
    <t>calcCh4Prod1Slot1Promo1GPaLUplift</t>
  </si>
  <si>
    <t>calcCh4Prod1Slot1Promo1ROI</t>
  </si>
  <si>
    <t>calcCh4Prod1Slot2BaseVolPWeek</t>
  </si>
  <si>
    <t>calcCh4Prod1Slot2BaseGPaLPUnit</t>
  </si>
  <si>
    <t>calcCh4Prod1Slot2BaseGPaLPWeek</t>
  </si>
  <si>
    <t>calcCh4Prod1Slot2Promo1VolPWeek</t>
  </si>
  <si>
    <t>calcCh4Prod1Slot2Promo1VolUplift</t>
  </si>
  <si>
    <t>calcCh4Prod1Slot2Promo1GPaLPUnit</t>
  </si>
  <si>
    <t>calcCh4Prod1Slot2Promo1GPaLPWeek</t>
  </si>
  <si>
    <t>calcCh4Prod1Slot2Promo1GPaLUplift</t>
  </si>
  <si>
    <t>calcCh4Prod1Slot2Promo1ROI</t>
  </si>
  <si>
    <t>calcCh4Prod1Slot3BaseVolPWeek</t>
  </si>
  <si>
    <t>calcCh4Prod1Slot3BaseGPaLPUnit</t>
  </si>
  <si>
    <t>calcCh4Prod1Slot3BaseGPaLPWeek</t>
  </si>
  <si>
    <t>calcCh4Prod1Slot3Promo1VolPWeek</t>
  </si>
  <si>
    <t>calcCh4Prod1Slot3Promo1VolUplift</t>
  </si>
  <si>
    <t>calcCh4Prod1Slot3Promo1GPaLPUnit</t>
  </si>
  <si>
    <t>calcCh4Prod1Slot3Promo1GPaLPWeek</t>
  </si>
  <si>
    <t>calcCh4Prod1Slot3Promo1GPaLUplift</t>
  </si>
  <si>
    <t>calcCh4Prod1Slot3Promo1ROI</t>
  </si>
  <si>
    <t>calcCh4Prod2Slot1BaseVolPWeek</t>
  </si>
  <si>
    <t>calcCh4Prod2Slot1BaseGPaLPUnit</t>
  </si>
  <si>
    <t>calcCh4Prod2Slot1BaseGPaLPWeek</t>
  </si>
  <si>
    <t>calcCh4Prod2Slot1Promo1VolPWeek</t>
  </si>
  <si>
    <t>calcCh4Prod2Slot1Promo1VolUplift</t>
  </si>
  <si>
    <t>calcCh4Prod2Slot1Promo1GPaLPUnit</t>
  </si>
  <si>
    <t>calcCh4Prod2Slot1Promo1GPaLPWeek</t>
  </si>
  <si>
    <t>calcCh4Prod2Slot1Promo1GPaLUplift</t>
  </si>
  <si>
    <t>calcCh4Prod2Slot1Promo1ROI</t>
  </si>
  <si>
    <t>calcCh4Prod2Slot2BaseVolPWeek</t>
  </si>
  <si>
    <t>calcCh4Prod2Slot2BaseGPaLPUnit</t>
  </si>
  <si>
    <t>calcCh4Prod2Slot2BaseGPaLPWeek</t>
  </si>
  <si>
    <t>calcCh4Prod2Slot2Promo1VolPWeek</t>
  </si>
  <si>
    <t>calcCh4Prod2Slot2Promo1VolUplift</t>
  </si>
  <si>
    <t>calcCh4Prod2Slot2Promo1GPaLPUnit</t>
  </si>
  <si>
    <t>calcCh4Prod2Slot2Promo1GPaLPWeek</t>
  </si>
  <si>
    <t>calcCh4Prod2Slot2Promo1GPaLUplift</t>
  </si>
  <si>
    <t>calcCh4Prod2Slot2Promo1ROI</t>
  </si>
  <si>
    <t>calcCh4Prod2Slot3BaseVolPWeek</t>
  </si>
  <si>
    <t>calcCh4Prod2Slot3BaseGPaLPUnit</t>
  </si>
  <si>
    <t>calcCh4Prod2Slot3BaseGPaLPWeek</t>
  </si>
  <si>
    <t>calcCh4Prod2Slot3Promo1VolPWeek</t>
  </si>
  <si>
    <t>calcCh4Prod2Slot3Promo1VolUplift</t>
  </si>
  <si>
    <t>calcCh4Prod2Slot3Promo1GPaLPUnit</t>
  </si>
  <si>
    <t>calcCh4Prod2Slot3Promo1GPaLPWeek</t>
  </si>
  <si>
    <t>calcCh4Prod2Slot3Promo1GPaLUplift</t>
  </si>
  <si>
    <t>calcCh4Prod2Slot3Promo1ROI</t>
  </si>
  <si>
    <t>calcCh4Prod3Slot1BaseVolPWeek</t>
  </si>
  <si>
    <t>calcCh4Prod3Slot1BaseGPaLPUnit</t>
  </si>
  <si>
    <t>calcCh4Prod3Slot1BaseGPaLPWeek</t>
  </si>
  <si>
    <t>calcCh4Prod3Slot1Promo1VolPWeek</t>
  </si>
  <si>
    <t>calcCh4Prod3Slot1Promo1VolUplift</t>
  </si>
  <si>
    <t>calcCh4Prod3Slot1Promo1GPaLPUnit</t>
  </si>
  <si>
    <t>calcCh4Prod3Slot1Promo1GPaLPWeek</t>
  </si>
  <si>
    <t>calcCh4Prod3Slot1Promo1GPaLUplift</t>
  </si>
  <si>
    <t>calcCh4Prod3Slot1Promo1ROI</t>
  </si>
  <si>
    <t>calcCh4Prod3Slot2BaseVolPWeek</t>
  </si>
  <si>
    <t>calcCh4Prod3Slot2BaseGPaLPUnit</t>
  </si>
  <si>
    <t>calcCh4Prod3Slot2BaseGPaLPWeek</t>
  </si>
  <si>
    <t>calcCh4Prod3Slot2Promo1VolPWeek</t>
  </si>
  <si>
    <t>calcCh4Prod3Slot2Promo1VolUplift</t>
  </si>
  <si>
    <t>calcCh4Prod3Slot2Promo1GPaLPUnit</t>
  </si>
  <si>
    <t>calcCh4Prod3Slot2Promo1GPaLPWeek</t>
  </si>
  <si>
    <t>calcCh4Prod3Slot2Promo1GPaLUplift</t>
  </si>
  <si>
    <t>calcCh4Prod3Slot2Promo1ROI</t>
  </si>
  <si>
    <t>calcCh4Prod3Slot3BaseVolPWeek</t>
  </si>
  <si>
    <t>calcCh4Prod3Slot3BaseGPaLPUnit</t>
  </si>
  <si>
    <t>calcCh4Prod3Slot3BaseGPaLPWeek</t>
  </si>
  <si>
    <t>calcCh4Prod3Slot3Promo1VolPWeek</t>
  </si>
  <si>
    <t>calcCh4Prod3Slot3Promo1VolUplift</t>
  </si>
  <si>
    <t>calcCh4Prod3Slot3Promo1GPaLPUnit</t>
  </si>
  <si>
    <t>calcCh4Prod3Slot3Promo1GPaLPWeek</t>
  </si>
  <si>
    <t>calcCh4Prod3Slot3Promo1GPaLUplift</t>
  </si>
  <si>
    <t>calcCh4Prod3Slot3Promo1ROI</t>
  </si>
  <si>
    <t>calcCh4Prod4Slot1BaseVolPWeek</t>
  </si>
  <si>
    <t>calcCh4Prod4Slot1BaseGPaLPUnit</t>
  </si>
  <si>
    <t>calcCh4Prod4Slot1BaseGPaLPWeek</t>
  </si>
  <si>
    <t>calcCh4Prod4Slot1Promo1VolPWeek</t>
  </si>
  <si>
    <t>calcCh4Prod4Slot1Promo1VolUplift</t>
  </si>
  <si>
    <t>calcCh4Prod4Slot1Promo1GPaLPUnit</t>
  </si>
  <si>
    <t>calcCh4Prod4Slot1Promo1GPaLPWeek</t>
  </si>
  <si>
    <t>calcCh4Prod4Slot1Promo1GPaLUplift</t>
  </si>
  <si>
    <t>calcCh4Prod4Slot1Promo1ROI</t>
  </si>
  <si>
    <t>calcCh4Prod4Slot2BaseVolPWeek</t>
  </si>
  <si>
    <t>calcCh4Prod4Slot2BaseGPaLPUnit</t>
  </si>
  <si>
    <t>calcCh4Prod4Slot2BaseGPaLPWeek</t>
  </si>
  <si>
    <t>calcCh4Prod4Slot2Promo1VolPWeek</t>
  </si>
  <si>
    <t>calcCh4Prod4Slot2Promo1VolUplift</t>
  </si>
  <si>
    <t>calcCh4Prod4Slot2Promo1GPaLPUnit</t>
  </si>
  <si>
    <t>calcCh4Prod4Slot2Promo1GPaLPWeek</t>
  </si>
  <si>
    <t>calcCh4Prod4Slot2Promo1GPaLUplift</t>
  </si>
  <si>
    <t>calcCh4Prod4Slot2Promo1ROI</t>
  </si>
  <si>
    <t>calcCh4Prod4Slot3BaseVolPWeek</t>
  </si>
  <si>
    <t>calcCh4Prod4Slot3BaseGPaLPUnit</t>
  </si>
  <si>
    <t>calcCh4Prod4Slot3BaseGPaLPWeek</t>
  </si>
  <si>
    <t>calcCh4Prod4Slot3Promo1VolPWeek</t>
  </si>
  <si>
    <t>calcCh4Prod4Slot3Promo1VolUplift</t>
  </si>
  <si>
    <t>calcCh4Prod4Slot3Promo1GPaLPUnit</t>
  </si>
  <si>
    <t>calcCh4Prod4Slot3Promo1GPaLPWeek</t>
  </si>
  <si>
    <t>calcCh4Prod4Slot3Promo1GPaLUplift</t>
  </si>
  <si>
    <t>calcCh4Prod4Slot3Promo1ROI</t>
  </si>
  <si>
    <t>calcCh1Prod1Slot1Promo1CustUplift</t>
  </si>
  <si>
    <t>calcCh1Prod1Slot1Promo2CustUplift</t>
  </si>
  <si>
    <t>calcCh1Prod1Slot2BaseCustUplift</t>
  </si>
  <si>
    <t>calcCh1Prod1Slot2Promo1CustUplift</t>
  </si>
  <si>
    <t>calcCh1Prod1Slot2Promo2CustUplift</t>
  </si>
  <si>
    <t>calcCh1Prod1Slot3BaseCustUplift</t>
  </si>
  <si>
    <t>calcCh1Prod1Slot3Promo1CustUplift</t>
  </si>
  <si>
    <t>calcCh1Prod1Slot3Promo2CustUplift</t>
  </si>
  <si>
    <t>calcCh1Prod2Slot1BaseCustUplift</t>
  </si>
  <si>
    <t>calcCh1Prod2Slot1Promo1CustUplift</t>
  </si>
  <si>
    <t>calcCh1Prod2Slot1Promo2CustUplift</t>
  </si>
  <si>
    <t>calcCh1Prod2Slot2BaseCustUplift</t>
  </si>
  <si>
    <t>calcCh1Prod2Slot2Promo1CustUplift</t>
  </si>
  <si>
    <t>calcCh1Prod2Slot2Promo2CustUplift</t>
  </si>
  <si>
    <t>calcCh1Prod2Slot3BaseCustUplift</t>
  </si>
  <si>
    <t>calcCh1Prod2Slot3Promo1CustUplift</t>
  </si>
  <si>
    <t>calcCh1Prod2Slot3Promo2CustUplift</t>
  </si>
  <si>
    <t>calcCh1Prod3Slot1BaseCustUplift</t>
  </si>
  <si>
    <t>calcCh1Prod3Slot1Promo1CustUplift</t>
  </si>
  <si>
    <t>calcCh1Prod3Slot1Promo2CustUplift</t>
  </si>
  <si>
    <t>calcCh1Prod3Slot2BaseCustUplift</t>
  </si>
  <si>
    <t>calcCh1Prod3Slot2Promo1CustUplift</t>
  </si>
  <si>
    <t>calcCh1Prod3Slot2Promo2CustUplift</t>
  </si>
  <si>
    <t>calcCh1Prod3Slot3BaseCustUplift</t>
  </si>
  <si>
    <t>calcCh1Prod3Slot3Promo1CustUplift</t>
  </si>
  <si>
    <t>calcCh1Prod3Slot3Promo2CustUplift</t>
  </si>
  <si>
    <t>calcCh1Prod4Slot1BaseCustUplift</t>
  </si>
  <si>
    <t>calcCh1Prod4Slot1Promo1CustUplift</t>
  </si>
  <si>
    <t>calcCh1Prod4Slot1Promo2CustUplift</t>
  </si>
  <si>
    <t>calcCh1Prod4Slot2BaseCustUplift</t>
  </si>
  <si>
    <t>calcCh1Prod4Slot2Promo1CustUplift</t>
  </si>
  <si>
    <t>calcCh1Prod4Slot2Promo2CustUplift</t>
  </si>
  <si>
    <t>calcCh1Prod4Slot3BaseCustUplift</t>
  </si>
  <si>
    <t>calcCh1Prod4Slot3Promo1CustUplift</t>
  </si>
  <si>
    <t>calcCh1Prod4Slot3Promo2CustUplift</t>
  </si>
  <si>
    <t>calcCh3Prod1Slot1BaseCustUplift</t>
  </si>
  <si>
    <t>calcCh3Prod1Slot1Promo1CustUplift</t>
  </si>
  <si>
    <t>calcCh3Prod1Slot2BaseCustUplift</t>
  </si>
  <si>
    <t>calcCh3Prod1Slot2Promo1CustUplift</t>
  </si>
  <si>
    <t>calcCh3Prod1Slot3BaseCustUplift</t>
  </si>
  <si>
    <t>calcCh3Prod1Slot3Promo1CustUplift</t>
  </si>
  <si>
    <t>calcCh3Prod2Slot1BaseCustUplift</t>
  </si>
  <si>
    <t>calcCh3Prod2Slot1Promo1CustUplift</t>
  </si>
  <si>
    <t>calcCh3Prod2Slot2BaseCustUplift</t>
  </si>
  <si>
    <t>calcCh3Prod2Slot2Promo1CustUplift</t>
  </si>
  <si>
    <t>calcCh3Prod2Slot3BaseCustUplift</t>
  </si>
  <si>
    <t>calcCh3Prod2Slot3Promo1CustUplift</t>
  </si>
  <si>
    <t>calcCh3Prod3Slot1BaseCustUplift</t>
  </si>
  <si>
    <t>calcCh3Prod3Slot1Promo1CustUplift</t>
  </si>
  <si>
    <t>calcCh3Prod3Slot2BaseCustUplift</t>
  </si>
  <si>
    <t>calcCh3Prod3Slot2Promo1CustUplift</t>
  </si>
  <si>
    <t>calcCh3Prod3Slot3BaseCustUplift</t>
  </si>
  <si>
    <t>calcCh3Prod3Slot3Promo1CustUplift</t>
  </si>
  <si>
    <t>calcCh3Prod4Slot1BaseCustUplift</t>
  </si>
  <si>
    <t>calcCh3Prod4Slot1Promo1CustUplift</t>
  </si>
  <si>
    <t>calcCh3Prod4Slot2BaseCustUplift</t>
  </si>
  <si>
    <t>calcCh3Prod4Slot2Promo1CustUplift</t>
  </si>
  <si>
    <t>calcCh3Prod4Slot3BaseCustUplift</t>
  </si>
  <si>
    <t>calcCh3Prod4Slot3Promo1CustUplift</t>
  </si>
  <si>
    <t>calcCh4Prod1Slot1BaseCustUplift</t>
  </si>
  <si>
    <t>calcCh4Prod1Slot1Promo1CustUplift</t>
  </si>
  <si>
    <t>calcCh4Prod1Slot2BaseCustUplift</t>
  </si>
  <si>
    <t>calcCh4Prod1Slot2Promo1CustUplift</t>
  </si>
  <si>
    <t>calcCh4Prod1Slot3BaseCustUplift</t>
  </si>
  <si>
    <t>calcCh4Prod1Slot3Promo1CustUplift</t>
  </si>
  <si>
    <t>calcCh4Prod2Slot1BaseCustUplift</t>
  </si>
  <si>
    <t>calcCh4Prod2Slot1Promo1CustUplift</t>
  </si>
  <si>
    <t>calcCh4Prod2Slot2BaseCustUplift</t>
  </si>
  <si>
    <t>calcCh4Prod2Slot2Promo1CustUplift</t>
  </si>
  <si>
    <t>calcCh4Prod2Slot3BaseCustUplift</t>
  </si>
  <si>
    <t>calcCh4Prod2Slot3Promo1CustUplift</t>
  </si>
  <si>
    <t>calcCh4Prod3Slot1BaseCustUplift</t>
  </si>
  <si>
    <t>calcCh4Prod3Slot1Promo1CustUplift</t>
  </si>
  <si>
    <t>calcCh4Prod3Slot2BaseCustUplift</t>
  </si>
  <si>
    <t>calcCh4Prod3Slot2Promo1CustUplift</t>
  </si>
  <si>
    <t>calcCh4Prod3Slot3BaseCustUplift</t>
  </si>
  <si>
    <t>calcCh4Prod3Slot3Promo1CustUplift</t>
  </si>
  <si>
    <t>calcCh4Prod4Slot1BaseCustUplift</t>
  </si>
  <si>
    <t>calcCh4Prod4Slot1Promo1CustUplift</t>
  </si>
  <si>
    <t>calcCh4Prod4Slot2BaseCustUplift</t>
  </si>
  <si>
    <t>calcCh4Prod4Slot2Promo1CustUplift</t>
  </si>
  <si>
    <t>calcCh4Prod4Slot3BaseCustUplift</t>
  </si>
  <si>
    <t>calcCh4Prod4Slot3Promo1CustUplift</t>
  </si>
  <si>
    <t>obalCh1Prod1Slot1Promo1CustUplift</t>
  </si>
  <si>
    <t>obalCh1Prod1Slot1Promo2CustUplift</t>
  </si>
  <si>
    <t>cbalCh1Prod1Slot1Promo1CustUplift</t>
  </si>
  <si>
    <t>cbalCh1Prod1Slot1Promo2CustUplift</t>
  </si>
  <si>
    <t>obalCh1Prod1Slot2Promo1Price</t>
  </si>
  <si>
    <t>obalCh1Prod1Slot2Promo2Price</t>
  </si>
  <si>
    <t>obalCh1Prod1Slot2Promo1Share</t>
  </si>
  <si>
    <t>obalCh1Prod1Slot2Promo2Share</t>
  </si>
  <si>
    <t>obalCh1Prod1Slot2Promo1ROI</t>
  </si>
  <si>
    <t>obalCh1Prod1Slot2Promo2ROI</t>
  </si>
  <si>
    <t>obalCh1Prod1Slot2Promo1CustUplift</t>
  </si>
  <si>
    <t>obalCh1Prod1Slot2Promo2CustUplift</t>
  </si>
  <si>
    <t>obalCh1Prod1Slot3Promo1Price</t>
  </si>
  <si>
    <t>obalCh1Prod1Slot3Promo2Price</t>
  </si>
  <si>
    <t>obalCh1Prod1Slot3Promo1Share</t>
  </si>
  <si>
    <t>obalCh1Prod1Slot3Promo2Share</t>
  </si>
  <si>
    <t>obalCh1Prod1Slot3Promo1ROI</t>
  </si>
  <si>
    <t>obalCh1Prod1Slot3Promo2ROI</t>
  </si>
  <si>
    <t>obalCh1Prod1Slot3Promo1CustUplift</t>
  </si>
  <si>
    <t>obalCh1Prod1Slot3Promo2CustUplift</t>
  </si>
  <si>
    <t>obalCh1Prod2Slot1Promo1Price</t>
  </si>
  <si>
    <t>obalCh1Prod2Slot1Promo2Price</t>
  </si>
  <si>
    <t>obalCh1Prod2Slot1Promo1Share</t>
  </si>
  <si>
    <t>obalCh1Prod2Slot1Promo2Share</t>
  </si>
  <si>
    <t>obalCh1Prod2Slot1Promo1ROI</t>
  </si>
  <si>
    <t>obalCh1Prod2Slot1Promo2ROI</t>
  </si>
  <si>
    <t>obalCh1Prod2Slot1Promo1CustUplift</t>
  </si>
  <si>
    <t>obalCh1Prod2Slot1Promo2CustUplift</t>
  </si>
  <si>
    <t>obalCh1Prod2Slot2Promo1Price</t>
  </si>
  <si>
    <t>obalCh1Prod2Slot2Promo2Price</t>
  </si>
  <si>
    <t>obalCh1Prod2Slot2Promo1Share</t>
  </si>
  <si>
    <t>obalCh1Prod2Slot2Promo2Share</t>
  </si>
  <si>
    <t>obalCh1Prod2Slot2Promo1ROI</t>
  </si>
  <si>
    <t>obalCh1Prod2Slot2Promo2ROI</t>
  </si>
  <si>
    <t>obalCh1Prod2Slot2Promo1CustUplift</t>
  </si>
  <si>
    <t>obalCh1Prod2Slot2Promo2CustUplift</t>
  </si>
  <si>
    <t>obalCh1Prod2Slot3Promo1Price</t>
  </si>
  <si>
    <t>obalCh1Prod2Slot3Promo2Price</t>
  </si>
  <si>
    <t>obalCh1Prod2Slot3Promo1Share</t>
  </si>
  <si>
    <t>obalCh1Prod2Slot3Promo2Share</t>
  </si>
  <si>
    <t>obalCh1Prod2Slot3Promo1ROI</t>
  </si>
  <si>
    <t>obalCh1Prod2Slot3Promo2ROI</t>
  </si>
  <si>
    <t>obalCh1Prod2Slot3Promo1CustUplift</t>
  </si>
  <si>
    <t>obalCh1Prod2Slot3Promo2CustUplift</t>
  </si>
  <si>
    <t>obalCh1Prod3Slot1Promo1Price</t>
  </si>
  <si>
    <t>obalCh1Prod3Slot1Promo2Price</t>
  </si>
  <si>
    <t>obalCh1Prod3Slot1Promo1Share</t>
  </si>
  <si>
    <t>obalCh1Prod3Slot1Promo2Share</t>
  </si>
  <si>
    <t>obalCh1Prod3Slot1Promo1ROI</t>
  </si>
  <si>
    <t>obalCh1Prod3Slot1Promo2ROI</t>
  </si>
  <si>
    <t>obalCh1Prod3Slot1Promo1CustUplift</t>
  </si>
  <si>
    <t>obalCh1Prod3Slot1Promo2CustUplift</t>
  </si>
  <si>
    <t>obalCh1Prod3Slot2Promo1Price</t>
  </si>
  <si>
    <t>obalCh1Prod3Slot2Promo2Price</t>
  </si>
  <si>
    <t>obalCh1Prod3Slot2Promo1Share</t>
  </si>
  <si>
    <t>obalCh1Prod3Slot2Promo2Share</t>
  </si>
  <si>
    <t>obalCh1Prod3Slot2Promo1ROI</t>
  </si>
  <si>
    <t>obalCh1Prod3Slot2Promo2ROI</t>
  </si>
  <si>
    <t>obalCh1Prod3Slot2Promo1CustUplift</t>
  </si>
  <si>
    <t>obalCh1Prod3Slot2Promo2CustUplift</t>
  </si>
  <si>
    <t>obalCh1Prod3Slot3Promo1Price</t>
  </si>
  <si>
    <t>obalCh1Prod3Slot3Promo2Price</t>
  </si>
  <si>
    <t>obalCh1Prod3Slot3Promo1Share</t>
  </si>
  <si>
    <t>obalCh1Prod3Slot3Promo2Share</t>
  </si>
  <si>
    <t>obalCh1Prod3Slot3Promo1ROI</t>
  </si>
  <si>
    <t>obalCh1Prod3Slot3Promo2ROI</t>
  </si>
  <si>
    <t>obalCh1Prod3Slot3Promo1CustUplift</t>
  </si>
  <si>
    <t>obalCh1Prod3Slot3Promo2CustUplift</t>
  </si>
  <si>
    <t>obalCh1Prod4Slot1Promo1Price</t>
  </si>
  <si>
    <t>obalCh1Prod4Slot1Promo2Price</t>
  </si>
  <si>
    <t>obalCh1Prod4Slot1Promo1Share</t>
  </si>
  <si>
    <t>obalCh1Prod4Slot1Promo2Share</t>
  </si>
  <si>
    <t>obalCh1Prod4Slot1Promo1ROI</t>
  </si>
  <si>
    <t>obalCh1Prod4Slot1Promo2ROI</t>
  </si>
  <si>
    <t>obalCh1Prod4Slot1Promo1CustUplift</t>
  </si>
  <si>
    <t>obalCh1Prod4Slot1Promo2CustUplift</t>
  </si>
  <si>
    <t>obalCh1Prod4Slot2Promo1Price</t>
  </si>
  <si>
    <t>obalCh1Prod4Slot2Promo2Price</t>
  </si>
  <si>
    <t>obalCh1Prod4Slot2Promo1Share</t>
  </si>
  <si>
    <t>obalCh1Prod4Slot2Promo2Share</t>
  </si>
  <si>
    <t>obalCh1Prod4Slot2Promo1ROI</t>
  </si>
  <si>
    <t>obalCh1Prod4Slot2Promo2ROI</t>
  </si>
  <si>
    <t>obalCh1Prod4Slot2Promo1CustUplift</t>
  </si>
  <si>
    <t>obalCh1Prod4Slot2Promo2CustUplift</t>
  </si>
  <si>
    <t>obalCh1Prod4Slot3Promo1Price</t>
  </si>
  <si>
    <t>obalCh1Prod4Slot3Promo2Price</t>
  </si>
  <si>
    <t>obalCh1Prod4Slot3Promo1Share</t>
  </si>
  <si>
    <t>obalCh1Prod4Slot3Promo2Share</t>
  </si>
  <si>
    <t>obalCh1Prod4Slot3Promo1ROI</t>
  </si>
  <si>
    <t>obalCh1Prod4Slot3Promo2ROI</t>
  </si>
  <si>
    <t>obalCh1Prod4Slot3Promo1CustUplift</t>
  </si>
  <si>
    <t>obalCh1Prod4Slot3Promo2CustUplift</t>
  </si>
  <si>
    <t>obalCh3Prod1Slot1Promo1Price</t>
  </si>
  <si>
    <t>obalCh3Prod1Slot1Promo1Share</t>
  </si>
  <si>
    <t>obalCh3Prod1Slot1Promo1ROI</t>
  </si>
  <si>
    <t>obalCh3Prod1Slot1Promo1CustUplift</t>
  </si>
  <si>
    <t>obalCh3Prod1Slot2Promo1Price</t>
  </si>
  <si>
    <t>obalCh3Prod1Slot2Promo1Share</t>
  </si>
  <si>
    <t>obalCh3Prod1Slot2Promo1ROI</t>
  </si>
  <si>
    <t>obalCh3Prod1Slot2Promo1CustUplift</t>
  </si>
  <si>
    <t>obalCh3Prod1Slot3Promo1Price</t>
  </si>
  <si>
    <t>obalCh3Prod1Slot3Promo1Share</t>
  </si>
  <si>
    <t>obalCh3Prod1Slot3Promo1ROI</t>
  </si>
  <si>
    <t>obalCh3Prod1Slot3Promo1CustUplift</t>
  </si>
  <si>
    <t>obalCh3Prod2Slot1Promo1Price</t>
  </si>
  <si>
    <t>obalCh3Prod2Slot1Promo1Share</t>
  </si>
  <si>
    <t>obalCh3Prod2Slot1Promo1ROI</t>
  </si>
  <si>
    <t>obalCh3Prod2Slot1Promo1CustUplift</t>
  </si>
  <si>
    <t>obalCh3Prod2Slot2Promo1Price</t>
  </si>
  <si>
    <t>obalCh3Prod2Slot2Promo1Share</t>
  </si>
  <si>
    <t>obalCh3Prod2Slot2Promo1ROI</t>
  </si>
  <si>
    <t>obalCh3Prod2Slot2Promo1CustUplift</t>
  </si>
  <si>
    <t>obalCh3Prod2Slot3Promo1Price</t>
  </si>
  <si>
    <t>obalCh3Prod2Slot3Promo1Share</t>
  </si>
  <si>
    <t>obalCh3Prod2Slot3Promo1ROI</t>
  </si>
  <si>
    <t>obalCh3Prod2Slot3Promo1CustUplift</t>
  </si>
  <si>
    <t>obalCh3Prod3Slot1Promo1Price</t>
  </si>
  <si>
    <t>obalCh3Prod3Slot1Promo1Share</t>
  </si>
  <si>
    <t>obalCh3Prod3Slot1Promo1ROI</t>
  </si>
  <si>
    <t>obalCh3Prod3Slot1Promo1CustUplift</t>
  </si>
  <si>
    <t>obalCh3Prod3Slot2Promo1Price</t>
  </si>
  <si>
    <t>obalCh3Prod3Slot2Promo1Share</t>
  </si>
  <si>
    <t>obalCh3Prod3Slot2Promo1ROI</t>
  </si>
  <si>
    <t>obalCh3Prod3Slot2Promo1CustUplift</t>
  </si>
  <si>
    <t>obalCh3Prod3Slot3Promo1Price</t>
  </si>
  <si>
    <t>obalCh3Prod3Slot3Promo1Share</t>
  </si>
  <si>
    <t>obalCh3Prod3Slot3Promo1ROI</t>
  </si>
  <si>
    <t>obalCh3Prod3Slot3Promo1CustUplift</t>
  </si>
  <si>
    <t>obalCh3Prod4Slot1Promo1Price</t>
  </si>
  <si>
    <t>obalCh3Prod4Slot1Promo1Share</t>
  </si>
  <si>
    <t>obalCh3Prod4Slot1Promo1ROI</t>
  </si>
  <si>
    <t>obalCh3Prod4Slot1Promo1CustUplift</t>
  </si>
  <si>
    <t>obalCh3Prod4Slot2Promo1Price</t>
  </si>
  <si>
    <t>obalCh3Prod4Slot2Promo1Share</t>
  </si>
  <si>
    <t>obalCh3Prod4Slot2Promo1ROI</t>
  </si>
  <si>
    <t>obalCh3Prod4Slot2Promo1CustUplift</t>
  </si>
  <si>
    <t>obalCh3Prod4Slot3Promo1Price</t>
  </si>
  <si>
    <t>obalCh3Prod4Slot3Promo1Share</t>
  </si>
  <si>
    <t>obalCh3Prod4Slot3Promo1ROI</t>
  </si>
  <si>
    <t>obalCh3Prod4Slot3Promo1CustUplift</t>
  </si>
  <si>
    <t>obalCh4Prod1Slot1Promo1Price</t>
  </si>
  <si>
    <t>obalCh4Prod1Slot1Promo1Share</t>
  </si>
  <si>
    <t>obalCh4Prod1Slot1Promo1ROI</t>
  </si>
  <si>
    <t>obalCh4Prod1Slot1Promo1CustUplift</t>
  </si>
  <si>
    <t>obalCh4Prod1Slot2Promo1Price</t>
  </si>
  <si>
    <t>obalCh4Prod1Slot2Promo1Share</t>
  </si>
  <si>
    <t>obalCh4Prod1Slot2Promo1ROI</t>
  </si>
  <si>
    <t>obalCh4Prod1Slot2Promo1CustUplift</t>
  </si>
  <si>
    <t>obalCh4Prod1Slot3Promo1Price</t>
  </si>
  <si>
    <t>obalCh4Prod1Slot3Promo1Share</t>
  </si>
  <si>
    <t>obalCh4Prod1Slot3Promo1ROI</t>
  </si>
  <si>
    <t>obalCh4Prod1Slot3Promo1CustUplift</t>
  </si>
  <si>
    <t>obalCh4Prod2Slot1Promo1Price</t>
  </si>
  <si>
    <t>obalCh4Prod2Slot1Promo1Share</t>
  </si>
  <si>
    <t>obalCh4Prod2Slot1Promo1ROI</t>
  </si>
  <si>
    <t>obalCh4Prod2Slot1Promo1CustUplift</t>
  </si>
  <si>
    <t>obalCh4Prod2Slot2Promo1Price</t>
  </si>
  <si>
    <t>obalCh4Prod2Slot2Promo1Share</t>
  </si>
  <si>
    <t>obalCh4Prod2Slot2Promo1ROI</t>
  </si>
  <si>
    <t>obalCh4Prod2Slot2Promo1CustUplift</t>
  </si>
  <si>
    <t>obalCh4Prod2Slot3Promo1Price</t>
  </si>
  <si>
    <t>obalCh4Prod2Slot3Promo1Share</t>
  </si>
  <si>
    <t>obalCh4Prod2Slot3Promo1ROI</t>
  </si>
  <si>
    <t>obalCh4Prod2Slot3Promo1CustUplift</t>
  </si>
  <si>
    <t>obalCh4Prod3Slot1Promo1Price</t>
  </si>
  <si>
    <t>obalCh4Prod3Slot1Promo1Share</t>
  </si>
  <si>
    <t>obalCh4Prod3Slot1Promo1ROI</t>
  </si>
  <si>
    <t>obalCh4Prod3Slot1Promo1CustUplift</t>
  </si>
  <si>
    <t>obalCh4Prod3Slot2Promo1Price</t>
  </si>
  <si>
    <t>obalCh4Prod3Slot2Promo1Share</t>
  </si>
  <si>
    <t>obalCh4Prod3Slot2Promo1ROI</t>
  </si>
  <si>
    <t>obalCh4Prod3Slot2Promo1CustUplift</t>
  </si>
  <si>
    <t>obalCh4Prod3Slot3Promo1Price</t>
  </si>
  <si>
    <t>obalCh4Prod3Slot3Promo1Share</t>
  </si>
  <si>
    <t>obalCh4Prod3Slot3Promo1ROI</t>
  </si>
  <si>
    <t>obalCh4Prod3Slot3Promo1CustUplift</t>
  </si>
  <si>
    <t>obalCh4Prod4Slot1Promo1Price</t>
  </si>
  <si>
    <t>obalCh4Prod4Slot1Promo1Share</t>
  </si>
  <si>
    <t>obalCh4Prod4Slot1Promo1ROI</t>
  </si>
  <si>
    <t>obalCh4Prod4Slot1Promo1CustUplift</t>
  </si>
  <si>
    <t>obalCh4Prod4Slot2Promo1Price</t>
  </si>
  <si>
    <t>obalCh4Prod4Slot2Promo1Share</t>
  </si>
  <si>
    <t>obalCh4Prod4Slot2Promo1ROI</t>
  </si>
  <si>
    <t>obalCh4Prod4Slot2Promo1CustUplift</t>
  </si>
  <si>
    <t>obalCh4Prod4Slot3Promo1Price</t>
  </si>
  <si>
    <t>obalCh4Prod4Slot3Promo1Share</t>
  </si>
  <si>
    <t>obalCh4Prod4Slot3Promo1ROI</t>
  </si>
  <si>
    <t>obalCh4Prod4Slot3Promo1CustUplift</t>
  </si>
  <si>
    <t>cbalCh1Prod1Slot2NetRev</t>
  </si>
  <si>
    <t>cbalCh1Prod1Slot2GPaL</t>
  </si>
  <si>
    <t>cbalCh1Prod1Slot2SoldVol</t>
  </si>
  <si>
    <t>cbalCh1Prod1Slot2NetRevPerLtr</t>
  </si>
  <si>
    <t>cbalCh1Prod1Slot2Promo1Price</t>
  </si>
  <si>
    <t>cbalCh1Prod1Slot2Promo2Price</t>
  </si>
  <si>
    <t>cbalCh1Prod1Slot2Promo1Share</t>
  </si>
  <si>
    <t>cbalCh1Prod1Slot2Promo2Share</t>
  </si>
  <si>
    <t>cbalCh1Prod1Slot2Promo1ROI</t>
  </si>
  <si>
    <t>cbalCh1Prod1Slot2Promo2ROI</t>
  </si>
  <si>
    <t>cbalCh1Prod1Slot2Promo1CustUplift</t>
  </si>
  <si>
    <t>cbalCh1Prod1Slot2Promo2CustUplift</t>
  </si>
  <si>
    <t>cbalCh1Prod1Slot3Promo1Price</t>
  </si>
  <si>
    <t>cbalCh1Prod1Slot3Promo2Price</t>
  </si>
  <si>
    <t>cbalCh1Prod1Slot3Promo1Share</t>
  </si>
  <si>
    <t>cbalCh1Prod1Slot3Promo2Share</t>
  </si>
  <si>
    <t>cbalCh1Prod1Slot3Promo1ROI</t>
  </si>
  <si>
    <t>cbalCh1Prod1Slot3Promo2ROI</t>
  </si>
  <si>
    <t>cbalCh1Prod1Slot3Promo1CustUplift</t>
  </si>
  <si>
    <t>cbalCh1Prod1Slot3Promo2CustUplift</t>
  </si>
  <si>
    <t>cbalCh1Prod2Slot1Promo1Price</t>
  </si>
  <si>
    <t>cbalCh1Prod2Slot1Promo2Price</t>
  </si>
  <si>
    <t>cbalCh1Prod2Slot1Promo1Share</t>
  </si>
  <si>
    <t>cbalCh1Prod2Slot1Promo2Share</t>
  </si>
  <si>
    <t>cbalCh1Prod2Slot1Promo1ROI</t>
  </si>
  <si>
    <t>cbalCh1Prod2Slot1Promo2ROI</t>
  </si>
  <si>
    <t>cbalCh1Prod2Slot1Promo1CustUplift</t>
  </si>
  <si>
    <t>cbalCh1Prod2Slot1Promo2CustUplift</t>
  </si>
  <si>
    <t>cbalCh1Prod2Slot2Promo1Price</t>
  </si>
  <si>
    <t>cbalCh1Prod2Slot2Promo2Price</t>
  </si>
  <si>
    <t>cbalCh1Prod2Slot2Promo1Share</t>
  </si>
  <si>
    <t>cbalCh1Prod2Slot2Promo2Share</t>
  </si>
  <si>
    <t>cbalCh1Prod2Slot2Promo1ROI</t>
  </si>
  <si>
    <t>cbalCh1Prod2Slot2Promo2ROI</t>
  </si>
  <si>
    <t>cbalCh1Prod2Slot2Promo1CustUplift</t>
  </si>
  <si>
    <t>cbalCh1Prod2Slot2Promo2CustUplift</t>
  </si>
  <si>
    <t>cbalCh1Prod2Slot3Promo1Price</t>
  </si>
  <si>
    <t>cbalCh1Prod2Slot3Promo2Price</t>
  </si>
  <si>
    <t>cbalCh1Prod2Slot3Promo1Share</t>
  </si>
  <si>
    <t>cbalCh1Prod2Slot3Promo2Share</t>
  </si>
  <si>
    <t>cbalCh1Prod2Slot3Promo1ROI</t>
  </si>
  <si>
    <t>cbalCh1Prod2Slot3Promo2ROI</t>
  </si>
  <si>
    <t>cbalCh1Prod2Slot3Promo1CustUplift</t>
  </si>
  <si>
    <t>cbalCh1Prod2Slot3Promo2CustUplift</t>
  </si>
  <si>
    <t>cbalCh1Prod3Slot1Promo1Price</t>
  </si>
  <si>
    <t>cbalCh1Prod3Slot1Promo2Price</t>
  </si>
  <si>
    <t>cbalCh1Prod3Slot1Promo1Share</t>
  </si>
  <si>
    <t>cbalCh1Prod3Slot1Promo2Share</t>
  </si>
  <si>
    <t>cbalCh1Prod3Slot1Promo1ROI</t>
  </si>
  <si>
    <t>cbalCh1Prod3Slot1Promo2ROI</t>
  </si>
  <si>
    <t>cbalCh1Prod3Slot1Promo1CustUplift</t>
  </si>
  <si>
    <t>cbalCh1Prod3Slot1Promo2CustUplift</t>
  </si>
  <si>
    <t>cbalCh1Prod3Slot2Promo1Price</t>
  </si>
  <si>
    <t>cbalCh1Prod3Slot2Promo2Price</t>
  </si>
  <si>
    <t>cbalCh1Prod3Slot2Promo1Share</t>
  </si>
  <si>
    <t>cbalCh1Prod3Slot2Promo2Share</t>
  </si>
  <si>
    <t>cbalCh1Prod3Slot2Promo1ROI</t>
  </si>
  <si>
    <t>cbalCh1Prod3Slot2Promo2ROI</t>
  </si>
  <si>
    <t>cbalCh1Prod3Slot2Promo1CustUplift</t>
  </si>
  <si>
    <t>cbalCh1Prod3Slot2Promo2CustUplift</t>
  </si>
  <si>
    <t>cbalCh1Prod3Slot3Promo1Price</t>
  </si>
  <si>
    <t>cbalCh1Prod3Slot3Promo2Price</t>
  </si>
  <si>
    <t>cbalCh1Prod3Slot3Promo1Share</t>
  </si>
  <si>
    <t>cbalCh1Prod3Slot3Promo2Share</t>
  </si>
  <si>
    <t>cbalCh1Prod3Slot3Promo1ROI</t>
  </si>
  <si>
    <t>cbalCh1Prod3Slot3Promo2ROI</t>
  </si>
  <si>
    <t>cbalCh1Prod3Slot3Promo1CustUplift</t>
  </si>
  <si>
    <t>cbalCh1Prod3Slot3Promo2CustUplift</t>
  </si>
  <si>
    <t>cbalCh1Prod4Slot1Promo1Price</t>
  </si>
  <si>
    <t>cbalCh1Prod4Slot1Promo2Price</t>
  </si>
  <si>
    <t>cbalCh1Prod4Slot1Promo1Share</t>
  </si>
  <si>
    <t>cbalCh1Prod4Slot1Promo2Share</t>
  </si>
  <si>
    <t>cbalCh1Prod4Slot1Promo1ROI</t>
  </si>
  <si>
    <t>cbalCh1Prod4Slot1Promo2ROI</t>
  </si>
  <si>
    <t>cbalCh1Prod4Slot1Promo1CustUplift</t>
  </si>
  <si>
    <t>cbalCh1Prod4Slot1Promo2CustUplift</t>
  </si>
  <si>
    <t>cbalCh1Prod4Slot2Promo1Price</t>
  </si>
  <si>
    <t>cbalCh1Prod4Slot2Promo2Price</t>
  </si>
  <si>
    <t>cbalCh1Prod4Slot2Promo1Share</t>
  </si>
  <si>
    <t>cbalCh1Prod4Slot2Promo2Share</t>
  </si>
  <si>
    <t>cbalCh1Prod4Slot2Promo1ROI</t>
  </si>
  <si>
    <t>cbalCh1Prod4Slot2Promo2ROI</t>
  </si>
  <si>
    <t>cbalCh1Prod4Slot2Promo1CustUplift</t>
  </si>
  <si>
    <t>cbalCh1Prod4Slot2Promo2CustUplift</t>
  </si>
  <si>
    <t>cbalCh1Prod4Slot3Promo1Price</t>
  </si>
  <si>
    <t>cbalCh1Prod4Slot3Promo2Price</t>
  </si>
  <si>
    <t>cbalCh1Prod4Slot3Promo1Share</t>
  </si>
  <si>
    <t>cbalCh1Prod4Slot3Promo2Share</t>
  </si>
  <si>
    <t>cbalCh1Prod4Slot3Promo1ROI</t>
  </si>
  <si>
    <t>cbalCh1Prod4Slot3Promo2ROI</t>
  </si>
  <si>
    <t>cbalCh1Prod4Slot3Promo1CustUplift</t>
  </si>
  <si>
    <t>cbalCh1Prod4Slot3Promo2CustUplift</t>
  </si>
  <si>
    <t>cbalCh3Prod1Slot1Promo1Price</t>
  </si>
  <si>
    <t>cbalCh3Prod1Slot1Promo1Share</t>
  </si>
  <si>
    <t>cbalCh3Prod1Slot1Promo1ROI</t>
  </si>
  <si>
    <t>cbalCh3Prod1Slot1Promo1CustUplift</t>
  </si>
  <si>
    <t>cbalCh3Prod1Slot2Promo1Price</t>
  </si>
  <si>
    <t>cbalCh3Prod1Slot2Promo1Share</t>
  </si>
  <si>
    <t>cbalCh3Prod1Slot2Promo1ROI</t>
  </si>
  <si>
    <t>cbalCh3Prod1Slot2Promo1CustUplift</t>
  </si>
  <si>
    <t>cbalCh3Prod1Slot3Promo1Price</t>
  </si>
  <si>
    <t>cbalCh3Prod1Slot3Promo1Share</t>
  </si>
  <si>
    <t>cbalCh3Prod1Slot3Promo1ROI</t>
  </si>
  <si>
    <t>cbalCh3Prod1Slot3Promo1CustUplift</t>
  </si>
  <si>
    <t>cbalCh3Prod2Slot1Promo1Price</t>
  </si>
  <si>
    <t>cbalCh3Prod2Slot1Promo1Share</t>
  </si>
  <si>
    <t>cbalCh3Prod2Slot1Promo1ROI</t>
  </si>
  <si>
    <t>cbalCh3Prod2Slot1Promo1CustUplift</t>
  </si>
  <si>
    <t>cbalCh3Prod2Slot2Promo1Price</t>
  </si>
  <si>
    <t>cbalCh3Prod2Slot2Promo1Share</t>
  </si>
  <si>
    <t>cbalCh3Prod2Slot2Promo1ROI</t>
  </si>
  <si>
    <t>cbalCh3Prod2Slot2Promo1CustUplift</t>
  </si>
  <si>
    <t>cbalCh3Prod2Slot3Promo1Price</t>
  </si>
  <si>
    <t>cbalCh3Prod2Slot3Promo1Share</t>
  </si>
  <si>
    <t>cbalCh3Prod2Slot3Promo1ROI</t>
  </si>
  <si>
    <t>cbalCh3Prod2Slot3Promo1CustUplift</t>
  </si>
  <si>
    <t>cbalCh3Prod3Slot1Promo1Price</t>
  </si>
  <si>
    <t>cbalCh3Prod3Slot1Promo1Share</t>
  </si>
  <si>
    <t>cbalCh3Prod3Slot1Promo1ROI</t>
  </si>
  <si>
    <t>cbalCh3Prod3Slot1Promo1CustUplift</t>
  </si>
  <si>
    <t>cbalCh3Prod3Slot2Promo1Price</t>
  </si>
  <si>
    <t>cbalCh3Prod3Slot2Promo1Share</t>
  </si>
  <si>
    <t>cbalCh3Prod3Slot2Promo1ROI</t>
  </si>
  <si>
    <t>cbalCh3Prod3Slot2Promo1CustUplift</t>
  </si>
  <si>
    <t>cbalCh3Prod3Slot3Promo1Price</t>
  </si>
  <si>
    <t>cbalCh3Prod3Slot3Promo1Share</t>
  </si>
  <si>
    <t>cbalCh3Prod3Slot3Promo1ROI</t>
  </si>
  <si>
    <t>cbalCh3Prod3Slot3Promo1CustUplift</t>
  </si>
  <si>
    <t>cbalCh3Prod4Slot1Promo1Price</t>
  </si>
  <si>
    <t>cbalCh3Prod4Slot1Promo1Share</t>
  </si>
  <si>
    <t>cbalCh3Prod4Slot1Promo1ROI</t>
  </si>
  <si>
    <t>cbalCh3Prod4Slot1Promo1CustUplift</t>
  </si>
  <si>
    <t>cbalCh3Prod4Slot2Promo1Price</t>
  </si>
  <si>
    <t>cbalCh3Prod4Slot2Promo1Share</t>
  </si>
  <si>
    <t>cbalCh3Prod4Slot2Promo1ROI</t>
  </si>
  <si>
    <t>cbalCh3Prod4Slot2Promo1CustUplift</t>
  </si>
  <si>
    <t>cbalCh3Prod4Slot3Promo1Price</t>
  </si>
  <si>
    <t>cbalCh3Prod4Slot3Promo1Share</t>
  </si>
  <si>
    <t>cbalCh3Prod4Slot3Promo1ROI</t>
  </si>
  <si>
    <t>cbalCh3Prod4Slot3Promo1CustUplift</t>
  </si>
  <si>
    <t>cbalCh4Prod1Slot1Promo1Price</t>
  </si>
  <si>
    <t>cbalCh4Prod1Slot1Promo1Share</t>
  </si>
  <si>
    <t>cbalCh4Prod1Slot1Promo1ROI</t>
  </si>
  <si>
    <t>cbalCh4Prod1Slot1Promo1CustUplift</t>
  </si>
  <si>
    <t>cbalCh4Prod1Slot2Promo1Price</t>
  </si>
  <si>
    <t>cbalCh4Prod1Slot2Promo1Share</t>
  </si>
  <si>
    <t>cbalCh4Prod1Slot2Promo1ROI</t>
  </si>
  <si>
    <t>cbalCh4Prod1Slot2Promo1CustUplift</t>
  </si>
  <si>
    <t>cbalCh4Prod1Slot3Promo1Price</t>
  </si>
  <si>
    <t>cbalCh4Prod1Slot3Promo1Share</t>
  </si>
  <si>
    <t>cbalCh4Prod1Slot3Promo1ROI</t>
  </si>
  <si>
    <t>cbalCh4Prod1Slot3Promo1CustUplift</t>
  </si>
  <si>
    <t>cbalCh4Prod2Slot1Promo1Price</t>
  </si>
  <si>
    <t>cbalCh4Prod2Slot1Promo1Share</t>
  </si>
  <si>
    <t>cbalCh4Prod2Slot1Promo1ROI</t>
  </si>
  <si>
    <t>cbalCh4Prod2Slot1Promo1CustUplift</t>
  </si>
  <si>
    <t>cbalCh4Prod2Slot2Promo1Price</t>
  </si>
  <si>
    <t>cbalCh4Prod2Slot2Promo1Share</t>
  </si>
  <si>
    <t>cbalCh4Prod2Slot2Promo1ROI</t>
  </si>
  <si>
    <t>cbalCh4Prod2Slot2Promo1CustUplift</t>
  </si>
  <si>
    <t>cbalCh4Prod2Slot3Promo1Price</t>
  </si>
  <si>
    <t>cbalCh4Prod2Slot3Promo1Share</t>
  </si>
  <si>
    <t>cbalCh4Prod2Slot3Promo1ROI</t>
  </si>
  <si>
    <t>cbalCh4Prod2Slot3Promo1CustUplift</t>
  </si>
  <si>
    <t>cbalCh4Prod3Slot1Promo1Price</t>
  </si>
  <si>
    <t>cbalCh4Prod3Slot1Promo1Share</t>
  </si>
  <si>
    <t>cbalCh4Prod3Slot1Promo1ROI</t>
  </si>
  <si>
    <t>cbalCh4Prod3Slot1Promo1CustUplift</t>
  </si>
  <si>
    <t>cbalCh4Prod3Slot2Promo1Price</t>
  </si>
  <si>
    <t>cbalCh4Prod3Slot2Promo1Share</t>
  </si>
  <si>
    <t>cbalCh4Prod3Slot2Promo1ROI</t>
  </si>
  <si>
    <t>cbalCh4Prod3Slot2Promo1CustUplift</t>
  </si>
  <si>
    <t>cbalCh4Prod3Slot3Promo1Price</t>
  </si>
  <si>
    <t>cbalCh4Prod3Slot3Promo1Share</t>
  </si>
  <si>
    <t>cbalCh4Prod3Slot3Promo1ROI</t>
  </si>
  <si>
    <t>cbalCh4Prod3Slot3Promo1CustUplift</t>
  </si>
  <si>
    <t>cbalCh4Prod4Slot1Promo1Price</t>
  </si>
  <si>
    <t>cbalCh4Prod4Slot1Promo1Share</t>
  </si>
  <si>
    <t>cbalCh4Prod4Slot1Promo1ROI</t>
  </si>
  <si>
    <t>cbalCh4Prod4Slot1Promo1CustUplift</t>
  </si>
  <si>
    <t>cbalCh4Prod4Slot2Promo1Price</t>
  </si>
  <si>
    <t>cbalCh4Prod4Slot2Promo1Share</t>
  </si>
  <si>
    <t>cbalCh4Prod4Slot2Promo1ROI</t>
  </si>
  <si>
    <t>cbalCh4Prod4Slot2Promo1CustUplift</t>
  </si>
  <si>
    <t>cbalCh4Prod4Slot3Promo1Price</t>
  </si>
  <si>
    <t>cbalCh4Prod4Slot3Promo1Share</t>
  </si>
  <si>
    <t>cbalCh4Prod4Slot3Promo1ROI</t>
  </si>
  <si>
    <t>cbalCh4Prod4Slot3Promo1CustUplift</t>
  </si>
  <si>
    <t>Promo1tion Volume</t>
  </si>
  <si>
    <t>obalCh1Prod1Slot1Promo1</t>
  </si>
  <si>
    <t>obalCh1Prod1Slot1Promo2</t>
  </si>
  <si>
    <t>obalCh1Prod1Slot2Promo1</t>
  </si>
  <si>
    <t>obalCh1Prod1Slot2Promo2</t>
  </si>
  <si>
    <t>obalCh1Prod1Slot3Promo1</t>
  </si>
  <si>
    <t>obalCh1Prod1Slot3Promo2</t>
  </si>
  <si>
    <t>obalCh1Prod2Slot1Promo1</t>
  </si>
  <si>
    <t>obalCh1Prod2Slot1Promo2</t>
  </si>
  <si>
    <t>obalCh1Prod2Slot2Promo1</t>
  </si>
  <si>
    <t>obalCh1Prod2Slot2Promo2</t>
  </si>
  <si>
    <t>obalCh1Prod2Slot3Promo1</t>
  </si>
  <si>
    <t>obalCh1Prod2Slot3Promo2</t>
  </si>
  <si>
    <t>obalCh1Prod3Slot1Promo1</t>
  </si>
  <si>
    <t>obalCh1Prod3Slot1Promo2</t>
  </si>
  <si>
    <t>obalCh1Prod3Slot2Promo1</t>
  </si>
  <si>
    <t>obalCh1Prod3Slot2Promo2</t>
  </si>
  <si>
    <t>obalCh1Prod3Slot3Promo1</t>
  </si>
  <si>
    <t>obalCh1Prod3Slot3Promo2</t>
  </si>
  <si>
    <t>obalCh1Prod4Slot1Promo1</t>
  </si>
  <si>
    <t>obalCh1Prod4Slot1Promo2</t>
  </si>
  <si>
    <t>obalCh1Prod4Slot2Promo1</t>
  </si>
  <si>
    <t>obalCh1Prod4Slot2Promo2</t>
  </si>
  <si>
    <t>obalCh1Prod4Slot3Promo1</t>
  </si>
  <si>
    <t>obalCh1Prod4Slot3Promo2</t>
  </si>
  <si>
    <t>cbalCh1Prod1Slot1Promo2</t>
  </si>
  <si>
    <t>cbalCh1Prod1Slot2Promo1</t>
  </si>
  <si>
    <t>cbalCh1Prod1Slot2Promo2</t>
  </si>
  <si>
    <t>cbalCh1Prod1Slot3Promo1</t>
  </si>
  <si>
    <t>cbalCh1Prod1Slot3Promo2</t>
  </si>
  <si>
    <t>cbalCh1Prod2Slot1Promo1</t>
  </si>
  <si>
    <t>cbalCh1Prod2Slot1Promo2</t>
  </si>
  <si>
    <t>cbalCh1Prod2Slot2Promo1</t>
  </si>
  <si>
    <t>cbalCh1Prod2Slot2Promo2</t>
  </si>
  <si>
    <t>cbalCh1Prod2Slot3Promo1</t>
  </si>
  <si>
    <t>cbalCh1Prod2Slot3Promo2</t>
  </si>
  <si>
    <t>cbalCh1Prod3Slot1Promo1</t>
  </si>
  <si>
    <t>cbalCh1Prod3Slot1Promo2</t>
  </si>
  <si>
    <t>cbalCh1Prod3Slot2Promo1</t>
  </si>
  <si>
    <t>cbalCh1Prod3Slot2Promo2</t>
  </si>
  <si>
    <t>cbalCh1Prod3Slot3Promo1</t>
  </si>
  <si>
    <t>cbalCh1Prod3Slot3Promo2</t>
  </si>
  <si>
    <t>cbalCh1Prod4Slot1Promo1</t>
  </si>
  <si>
    <t>cbalCh1Prod4Slot1Promo2</t>
  </si>
  <si>
    <t>cbalCh1Prod4Slot2Promo1</t>
  </si>
  <si>
    <t>cbalCh1Prod4Slot2Promo2</t>
  </si>
  <si>
    <t>cbalCh1Prod4Slot3Promo1</t>
  </si>
  <si>
    <t>cbalCh1Prod4Slot3Promo2</t>
  </si>
  <si>
    <t>cbalCh1Prod1Slot1Promo1</t>
  </si>
  <si>
    <t>tlOutputCh1Analytic2Chart3Label13</t>
  </si>
  <si>
    <t>tlOutputCh1Analytic2Chart3Label14</t>
  </si>
  <si>
    <t>tlOutputCh1Analytic2Chart3Label15</t>
  </si>
  <si>
    <t>tlOutputCh1Analytic2Chart3Label16</t>
  </si>
  <si>
    <t>tlOutputCh1Analytic2Chart3Label17</t>
  </si>
  <si>
    <t>tlOutputCh1Analytic2Chart3Label18</t>
  </si>
  <si>
    <t>tlOutputCh1Analytic2Chart3Label19</t>
  </si>
  <si>
    <t>tlOutputCh1Analytic2Chart3Label20</t>
  </si>
  <si>
    <t>tlOutputCh1Analytic2Chart3Label21</t>
  </si>
  <si>
    <t>tlOutputCh1Analytic2Chart3Label22</t>
  </si>
  <si>
    <t>tlOutputCh1Analytic2Chart3Label23</t>
  </si>
  <si>
    <t>tlOutputCh1Analytic2Chart3Label24</t>
  </si>
  <si>
    <t>tlOutputCh1Analytic2Chart3XValue13</t>
  </si>
  <si>
    <t>tlOutputCh1Analytic2Chart3XValue14</t>
  </si>
  <si>
    <t>tlOutputCh1Analytic2Chart3XValue15</t>
  </si>
  <si>
    <t>tlOutputCh1Analytic2Chart3XValue16</t>
  </si>
  <si>
    <t>tlOutputCh1Analytic2Chart3XValue17</t>
  </si>
  <si>
    <t>tlOutputCh1Analytic2Chart3XValue18</t>
  </si>
  <si>
    <t>tlOutputCh1Analytic2Chart3XValue19</t>
  </si>
  <si>
    <t>tlOutputCh1Analytic2Chart3XValue20</t>
  </si>
  <si>
    <t>tlOutputCh1Analytic2Chart3XValue21</t>
  </si>
  <si>
    <t>tlOutputCh1Analytic2Chart3XValue22</t>
  </si>
  <si>
    <t>tlOutputCh1Analytic2Chart3XValue23</t>
  </si>
  <si>
    <t>tlOutputCh1Analytic2Chart3XValue24</t>
  </si>
  <si>
    <t>tlOutputCh1Analytic2Chart5XValue13</t>
  </si>
  <si>
    <t>tlOutputCh1Analytic2Chart5XValue14</t>
  </si>
  <si>
    <t>tlOutputCh1Analytic2Chart5XValue15</t>
  </si>
  <si>
    <t>tlOutputCh1Analytic2Chart5XValue16</t>
  </si>
  <si>
    <t>tlOutputCh1Analytic2Chart5XValue17</t>
  </si>
  <si>
    <t>tlOutputCh1Analytic2Chart5XValue18</t>
  </si>
  <si>
    <t>tlOutputCh1Analytic2Chart5XValue19</t>
  </si>
  <si>
    <t>tlOutputCh1Analytic2Chart5XValue20</t>
  </si>
  <si>
    <t>tlOutputCh1Analytic2Chart5XValue21</t>
  </si>
  <si>
    <t>tlOutputCh1Analytic2Chart5XValue22</t>
  </si>
  <si>
    <t>tlOutputCh1Analytic2Chart5XValue23</t>
  </si>
  <si>
    <t>tlOutputCh1Analytic2Chart5XValue24</t>
  </si>
  <si>
    <t>tlOutputCh1Analytic2Chart5Label13</t>
  </si>
  <si>
    <t>tlOutputCh1Analytic2Chart5Label14</t>
  </si>
  <si>
    <t>tlOutputCh1Analytic2Chart5Label15</t>
  </si>
  <si>
    <t>tlOutputCh1Analytic2Chart5Label16</t>
  </si>
  <si>
    <t>tlOutputCh1Analytic2Chart5Label17</t>
  </si>
  <si>
    <t>tlOutputCh1Analytic2Chart5Label18</t>
  </si>
  <si>
    <t>tlOutputCh1Analytic2Chart5Label19</t>
  </si>
  <si>
    <t>tlOutputCh1Analytic2Chart5Label20</t>
  </si>
  <si>
    <t>tlOutputCh1Analytic2Chart5Label21</t>
  </si>
  <si>
    <t>tlOutputCh1Analytic2Chart5Label22</t>
  </si>
  <si>
    <t>tlOutputCh1Analytic2Chart5Label23</t>
  </si>
  <si>
    <t>tlOutputCh1Analytic2Chart5Label24</t>
  </si>
  <si>
    <t>tlOutputCh1Analytic2Chart3YValue13</t>
  </si>
  <si>
    <t>tlOutputCh1Analytic2Chart3YValue14</t>
  </si>
  <si>
    <t>tlOutputCh1Analytic2Chart3YValue15</t>
  </si>
  <si>
    <t>tlOutputCh1Analytic2Chart3YValue16</t>
  </si>
  <si>
    <t>tlOutputCh1Analytic2Chart3YValue17</t>
  </si>
  <si>
    <t>tlOutputCh1Analytic2Chart3YValue18</t>
  </si>
  <si>
    <t>tlOutputCh1Analytic2Chart3YValue19</t>
  </si>
  <si>
    <t>tlOutputCh1Analytic2Chart3YValue20</t>
  </si>
  <si>
    <t>tlOutputCh1Analytic2Chart3YValue21</t>
  </si>
  <si>
    <t>tlOutputCh1Analytic2Chart3YValue22</t>
  </si>
  <si>
    <t>tlOutputCh1Analytic2Chart3YValue23</t>
  </si>
  <si>
    <t>tlOutputCh1Analytic2Chart3YValue24</t>
  </si>
  <si>
    <t>tlOutputCh1Analytic2Chart5YValue13</t>
  </si>
  <si>
    <t>tlOutputCh1Analytic2Chart5YValue14</t>
  </si>
  <si>
    <t>tlOutputCh1Analytic2Chart5YValue15</t>
  </si>
  <si>
    <t>tlOutputCh1Analytic2Chart5YValue16</t>
  </si>
  <si>
    <t>tlOutputCh1Analytic2Chart5YValue17</t>
  </si>
  <si>
    <t>tlOutputCh1Analytic2Chart5YValue18</t>
  </si>
  <si>
    <t>tlOutputCh1Analytic2Chart5YValue19</t>
  </si>
  <si>
    <t>tlOutputCh1Analytic2Chart5YValue20</t>
  </si>
  <si>
    <t>tlOutputCh1Analytic2Chart5YValue21</t>
  </si>
  <si>
    <t>tlOutputCh1Analytic2Chart5YValue22</t>
  </si>
  <si>
    <t>tlOutputCh1Analytic2Chart5YValue23</t>
  </si>
  <si>
    <t>tlOutputCh1Analytic2Chart5YValue24</t>
  </si>
  <si>
    <t>tlOutputCh1Analytic2Chart3BubbleSize13</t>
  </si>
  <si>
    <t>tlOutputCh1Analytic2Chart3BubbleSize14</t>
  </si>
  <si>
    <t>tlOutputCh1Analytic2Chart3BubbleSize15</t>
  </si>
  <si>
    <t>tlOutputCh1Analytic2Chart3BubbleSize16</t>
  </si>
  <si>
    <t>tlOutputCh1Analytic2Chart3BubbleSize17</t>
  </si>
  <si>
    <t>tlOutputCh1Analytic2Chart3BubbleSize18</t>
  </si>
  <si>
    <t>tlOutputCh1Analytic2Chart3BubbleSize19</t>
  </si>
  <si>
    <t>tlOutputCh1Analytic2Chart3BubbleSize20</t>
  </si>
  <si>
    <t>tlOutputCh1Analytic2Chart3BubbleSize21</t>
  </si>
  <si>
    <t>tlOutputCh1Analytic2Chart3BubbleSize22</t>
  </si>
  <si>
    <t>tlOutputCh1Analytic2Chart3BubbleSize23</t>
  </si>
  <si>
    <t>tlOutputCh1Analytic2Chart3BubbleSize24</t>
  </si>
  <si>
    <t>tlOutputCh1Analytic2Chart5BubbleSize13</t>
  </si>
  <si>
    <t>tlOutputCh1Analytic2Chart5BubbleSize14</t>
  </si>
  <si>
    <t>tlOutputCh1Analytic2Chart5BubbleSize15</t>
  </si>
  <si>
    <t>tlOutputCh1Analytic2Chart5BubbleSize16</t>
  </si>
  <si>
    <t>tlOutputCh1Analytic2Chart5BubbleSize17</t>
  </si>
  <si>
    <t>tlOutputCh1Analytic2Chart5BubbleSize18</t>
  </si>
  <si>
    <t>tlOutputCh1Analytic2Chart5BubbleSize19</t>
  </si>
  <si>
    <t>tlOutputCh1Analytic2Chart5BubbleSize20</t>
  </si>
  <si>
    <t>tlOutputCh1Analytic2Chart5BubbleSize21</t>
  </si>
  <si>
    <t>tlOutputCh1Analytic2Chart5BubbleSize22</t>
  </si>
  <si>
    <t>tlOutputCh1Analytic2Chart5BubbleSize23</t>
  </si>
  <si>
    <t>tlOutputCh1Analytic2Chart5BubbleSize24</t>
  </si>
  <si>
    <t>cbalCh1Prod1Slot1Promo1GPaLUplift</t>
  </si>
  <si>
    <t>cbalCh1Prod1Slot2Promo1GPaLUplift</t>
  </si>
  <si>
    <t>cbalCh1Prod1Slot3Promo1GPaLUplift</t>
  </si>
  <si>
    <t>cbalCh1Prod2Slot1Promo1GPaLUplift</t>
  </si>
  <si>
    <t>cbalCh1Prod2Slot2Promo1GPaLUplift</t>
  </si>
  <si>
    <t>cbalCh1Prod2Slot3Promo1GPaLUplift</t>
  </si>
  <si>
    <t>cbalCh1Prod3Slot1Promo1GPaLUplift</t>
  </si>
  <si>
    <t>cbalCh1Prod3Slot2Promo1GPaLUplift</t>
  </si>
  <si>
    <t>cbalCh1Prod3Slot3Promo1GPaLUplift</t>
  </si>
  <si>
    <t>cbalCh1Prod4Slot1Promo1GPaLUplift</t>
  </si>
  <si>
    <t>cbalCh1Prod4Slot2Promo1GPaLUplift</t>
  </si>
  <si>
    <t>cbalCh1Prod4Slot3Promo1GPaLUplift</t>
  </si>
  <si>
    <t>cbalCh3Prod1Slot1Promo1GPaLUplift</t>
  </si>
  <si>
    <t>cbalCh3Prod1Slot2Promo1GPaLUplift</t>
  </si>
  <si>
    <t>cbalCh3Prod1Slot3Promo1GPaLUplift</t>
  </si>
  <si>
    <t>cbalCh3Prod2Slot1Promo1GPaLUplift</t>
  </si>
  <si>
    <t>cbalCh3Prod2Slot2Promo1GPaLUplift</t>
  </si>
  <si>
    <t>cbalCh3Prod2Slot3Promo1GPaLUplift</t>
  </si>
  <si>
    <t>cbalCh3Prod3Slot1Promo1GPaLUplift</t>
  </si>
  <si>
    <t>cbalCh3Prod3Slot2Promo1GPaLUplift</t>
  </si>
  <si>
    <t>cbalCh3Prod3Slot3Promo1GPaLUplift</t>
  </si>
  <si>
    <t>cbalCh3Prod4Slot1Promo1GPaLUplift</t>
  </si>
  <si>
    <t>cbalCh3Prod4Slot2Promo1GPaLUplift</t>
  </si>
  <si>
    <t>cbalCh3Prod4Slot3Promo1GPaLUplift</t>
  </si>
  <si>
    <t>cbalCh4Prod1Slot1Promo1GPaLUplift</t>
  </si>
  <si>
    <t>cbalCh4Prod1Slot2Promo1GPaLUplift</t>
  </si>
  <si>
    <t>cbalCh4Prod1Slot3Promo1GPaLUplift</t>
  </si>
  <si>
    <t>cbalCh4Prod2Slot1Promo1GPaLUplift</t>
  </si>
  <si>
    <t>cbalCh4Prod2Slot2Promo1GPaLUplift</t>
  </si>
  <si>
    <t>cbalCh4Prod2Slot3Promo1GPaLUplift</t>
  </si>
  <si>
    <t>cbalCh4Prod3Slot1Promo1GPaLUplift</t>
  </si>
  <si>
    <t>cbalCh4Prod3Slot2Promo1GPaLUplift</t>
  </si>
  <si>
    <t>cbalCh4Prod3Slot3Promo1GPaLUplift</t>
  </si>
  <si>
    <t>cbalCh4Prod4Slot1Promo1GPaLUplift</t>
  </si>
  <si>
    <t>cbalCh4Prod4Slot2Promo1GPaLUplift</t>
  </si>
  <si>
    <t>cbalCh4Prod4Slot3Promo1GPaLUplift</t>
  </si>
  <si>
    <t>cbalCh1Prod1Slot1Promo1VolUplift</t>
  </si>
  <si>
    <t>cbalCh1Prod1Slot2Promo1VolUplift</t>
  </si>
  <si>
    <t>cbalCh1Prod1Slot3Promo1VolUplift</t>
  </si>
  <si>
    <t>cbalCh1Prod2Slot1Promo1VolUplift</t>
  </si>
  <si>
    <t>cbalCh1Prod2Slot2Promo1VolUplift</t>
  </si>
  <si>
    <t>cbalCh1Prod2Slot3Promo1VolUplift</t>
  </si>
  <si>
    <t>cbalCh1Prod3Slot1Promo1VolUplift</t>
  </si>
  <si>
    <t>cbalCh1Prod3Slot2Promo1VolUplift</t>
  </si>
  <si>
    <t>cbalCh1Prod3Slot3Promo1VolUplift</t>
  </si>
  <si>
    <t>cbalCh1Prod4Slot1Promo1VolUplift</t>
  </si>
  <si>
    <t>cbalCh1Prod4Slot2Promo1VolUplift</t>
  </si>
  <si>
    <t>cbalCh1Prod4Slot3Promo1VolUplift</t>
  </si>
  <si>
    <t>obalCh1Prod1Slot1Promo1GPaLUplift</t>
  </si>
  <si>
    <t>obalCh1Prod1Slot1Promo1VolUplift</t>
  </si>
  <si>
    <t>obalCh1Prod1Slot2Promo1GPaLUplift</t>
  </si>
  <si>
    <t>obalCh1Prod1Slot2Promo1VolUplift</t>
  </si>
  <si>
    <t>obalCh1Prod1Slot3Promo1GPaLUplift</t>
  </si>
  <si>
    <t>obalCh1Prod1Slot3Promo1VolUplift</t>
  </si>
  <si>
    <t>obalCh1Prod2Slot1Promo1GPaLUplift</t>
  </si>
  <si>
    <t>obalCh1Prod2Slot1Promo1VolUplift</t>
  </si>
  <si>
    <t>obalCh1Prod2Slot2Promo1GPaLUplift</t>
  </si>
  <si>
    <t>obalCh1Prod2Slot2Promo1VolUplift</t>
  </si>
  <si>
    <t>obalCh1Prod2Slot3Promo1GPaLUplift</t>
  </si>
  <si>
    <t>obalCh1Prod2Slot3Promo1VolUplift</t>
  </si>
  <si>
    <t>obalCh1Prod3Slot1Promo1GPaLUplift</t>
  </si>
  <si>
    <t>obalCh1Prod3Slot1Promo1VolUplift</t>
  </si>
  <si>
    <t>obalCh1Prod3Slot2Promo1GPaLUplift</t>
  </si>
  <si>
    <t>obalCh1Prod3Slot2Promo1VolUplift</t>
  </si>
  <si>
    <t>obalCh1Prod3Slot3Promo1GPaLUplift</t>
  </si>
  <si>
    <t>obalCh1Prod3Slot3Promo1VolUplift</t>
  </si>
  <si>
    <t>obalCh1Prod4Slot1Promo1GPaLUplift</t>
  </si>
  <si>
    <t>obalCh1Prod4Slot1Promo1VolUplift</t>
  </si>
  <si>
    <t>obalCh1Prod4Slot2Promo1GPaLUplift</t>
  </si>
  <si>
    <t>obalCh1Prod4Slot2Promo1VolUplift</t>
  </si>
  <si>
    <t>obalCh1Prod4Slot3Promo1GPaLUplift</t>
  </si>
  <si>
    <t>obalCh1Prod4Slot3Promo1VolUplift</t>
  </si>
  <si>
    <t>obalCh3Prod1Slot1Promo1GPaLUplift</t>
  </si>
  <si>
    <t>obalCh3Prod1Slot2Promo1GPaLUplift</t>
  </si>
  <si>
    <t>obalCh3Prod1Slot3Promo1GPaLUplift</t>
  </si>
  <si>
    <t>obalCh3Prod2Slot1Promo1GPaLUplift</t>
  </si>
  <si>
    <t>obalCh3Prod2Slot2Promo1GPaLUplift</t>
  </si>
  <si>
    <t>obalCh3Prod2Slot3Promo1GPaLUplift</t>
  </si>
  <si>
    <t>obalCh3Prod3Slot1Promo1GPaLUplift</t>
  </si>
  <si>
    <t>obalCh3Prod3Slot2Promo1GPaLUplift</t>
  </si>
  <si>
    <t>obalCh3Prod3Slot3Promo1GPaLUplift</t>
  </si>
  <si>
    <t>obalCh3Prod4Slot1Promo1GPaLUplift</t>
  </si>
  <si>
    <t>obalCh3Prod4Slot2Promo1GPaLUplift</t>
  </si>
  <si>
    <t>obalCh3Prod4Slot3Promo1GPaLUplift</t>
  </si>
  <si>
    <t>obalCh4Prod1Slot1Promo1GPaLUplift</t>
  </si>
  <si>
    <t>obalCh4Prod1Slot2Promo1GPaLUplift</t>
  </si>
  <si>
    <t>obalCh4Prod1Slot3Promo1GPaLUplift</t>
  </si>
  <si>
    <t>obalCh4Prod2Slot1Promo1GPaLUplift</t>
  </si>
  <si>
    <t>obalCh4Prod2Slot2Promo1GPaLUplift</t>
  </si>
  <si>
    <t>obalCh4Prod2Slot3Promo1GPaLUplift</t>
  </si>
  <si>
    <t>obalCh4Prod3Slot1Promo1GPaLUplift</t>
  </si>
  <si>
    <t>obalCh4Prod3Slot2Promo1GPaLUplift</t>
  </si>
  <si>
    <t>obalCh4Prod3Slot3Promo1GPaLUplift</t>
  </si>
  <si>
    <t>obalCh4Prod4Slot1Promo1GPaLUplift</t>
  </si>
  <si>
    <t>obalCh4Prod4Slot2Promo1GPaLUplift</t>
  </si>
  <si>
    <t>obalCh4Prod4Slot3Promo1GPaLUplift</t>
  </si>
  <si>
    <t>obalCh3Prod1Slot1Promo1VolUplift</t>
  </si>
  <si>
    <t>obalCh3Prod4Slot3Promo1VolUplift</t>
  </si>
  <si>
    <t>obalCh3Prod4Slot2Promo1VolUplift</t>
  </si>
  <si>
    <t>obalCh3Prod4Slot1Promo1VolUplift</t>
  </si>
  <si>
    <t>obalCh3Prod3Slot3Promo1VolUplift</t>
  </si>
  <si>
    <t>obalCh3Prod3Slot2Promo1VolUplift</t>
  </si>
  <si>
    <t>obalCh3Prod3Slot1Promo1VolUplift</t>
  </si>
  <si>
    <t>obalCh3Prod2Slot3Promo1VolUplift</t>
  </si>
  <si>
    <t>obalCh3Prod2Slot2Promo1VolUplift</t>
  </si>
  <si>
    <t>obalCh3Prod2Slot1Promo1VolUplift</t>
  </si>
  <si>
    <t>obalCh3Prod1Slot3Promo1VolUplift</t>
  </si>
  <si>
    <t>obalCh3Prod1Slot2Promo1VolUplift</t>
  </si>
  <si>
    <t>obalCh4Prod1Slot1Promo1VolUplift</t>
  </si>
  <si>
    <t>obalCh4Prod1Slot2Promo1VolUplift</t>
  </si>
  <si>
    <t>obalCh4Prod1Slot3Promo1VolUplift</t>
  </si>
  <si>
    <t>obalCh4Prod2Slot1Promo1VolUplift</t>
  </si>
  <si>
    <t>obalCh4Prod2Slot2Promo1VolUplift</t>
  </si>
  <si>
    <t>obalCh4Prod2Slot3Promo1VolUplift</t>
  </si>
  <si>
    <t>obalCh4Prod3Slot1Promo1VolUplift</t>
  </si>
  <si>
    <t>obalCh4Prod3Slot2Promo1VolUplift</t>
  </si>
  <si>
    <t>obalCh4Prod3Slot3Promo1VolUplift</t>
  </si>
  <si>
    <t>obalCh4Prod4Slot1Promo1VolUplift</t>
  </si>
  <si>
    <t>obalCh4Prod4Slot2Promo1VolUplift</t>
  </si>
  <si>
    <t>obalCh4Prod4Slot3Promo1VolUplift</t>
  </si>
  <si>
    <t>cbalCh4Prod1Slot1Promo1VolUplift</t>
  </si>
  <si>
    <t>cbalCh4Prod1Slot2Promo1VolUplift</t>
  </si>
  <si>
    <t>cbalCh4Prod1Slot3Promo1VolUplift</t>
  </si>
  <si>
    <t>cbalCh4Prod2Slot1Promo1VolUplift</t>
  </si>
  <si>
    <t>cbalCh4Prod2Slot2Promo1VolUplift</t>
  </si>
  <si>
    <t>cbalCh4Prod2Slot3Promo1VolUplift</t>
  </si>
  <si>
    <t>cbalCh4Prod3Slot1Promo1VolUplift</t>
  </si>
  <si>
    <t>cbalCh4Prod3Slot2Promo1VolUplift</t>
  </si>
  <si>
    <t>cbalCh4Prod3Slot3Promo1VolUplift</t>
  </si>
  <si>
    <t>cbalCh4Prod4Slot1Promo1VolUplift</t>
  </si>
  <si>
    <t>cbalCh4Prod4Slot2Promo1VolUplift</t>
  </si>
  <si>
    <t>cbalCh4Prod4Slot3Promo1VolUplift</t>
  </si>
  <si>
    <t>cbalCh3Prod1Slot1Promo1VolUplift</t>
  </si>
  <si>
    <t>cbalCh3Prod1Slot2Promo1VolUplift</t>
  </si>
  <si>
    <t>cbalCh3Prod1Slot3Promo1VolUplift</t>
  </si>
  <si>
    <t>cbalCh3Prod2Slot1Promo1VolUplift</t>
  </si>
  <si>
    <t>cbalCh3Prod2Slot2Promo1VolUplift</t>
  </si>
  <si>
    <t>cbalCh3Prod2Slot3Promo1VolUplift</t>
  </si>
  <si>
    <t>cbalCh3Prod3Slot1Promo1VolUplift</t>
  </si>
  <si>
    <t>cbalCh3Prod3Slot2Promo1VolUplift</t>
  </si>
  <si>
    <t>cbalCh3Prod3Slot3Promo1VolUplift</t>
  </si>
  <si>
    <t>cbalCh3Prod4Slot1Promo1VolUplift</t>
  </si>
  <si>
    <t>cbalCh3Prod4Slot2Promo1VolUplift</t>
  </si>
  <si>
    <t>cbalCh3Prod4Slot3Promo1VolUplift</t>
  </si>
  <si>
    <t>obalCh1Prod1Slot1Promo2VolUplift</t>
  </si>
  <si>
    <t>obalCh1Prod1Slot1Promo2GPaLUplift</t>
  </si>
  <si>
    <t>obalCh1Prod1Slot2Promo2GPaLUplift</t>
  </si>
  <si>
    <t>obalCh1Prod1Slot2Promo2VolUplift</t>
  </si>
  <si>
    <t>obalCh1Prod1Slot3Promo2GPaLUplift</t>
  </si>
  <si>
    <t>obalCh1Prod1Slot3Promo2VolUplift</t>
  </si>
  <si>
    <t>obalCh1Prod2Slot1Promo2GPaLUplift</t>
  </si>
  <si>
    <t>obalCh1Prod2Slot1Promo2VolUplift</t>
  </si>
  <si>
    <t>obalCh1Prod2Slot2Promo2GPaLUplift</t>
  </si>
  <si>
    <t>obalCh1Prod2Slot2Promo2VolUplift</t>
  </si>
  <si>
    <t>obalCh1Prod2Slot3Promo2GPaLUplift</t>
  </si>
  <si>
    <t>obalCh1Prod2Slot3Promo2VolUplift</t>
  </si>
  <si>
    <t>obalCh1Prod3Slot1Promo2GPaLUplift</t>
  </si>
  <si>
    <t>obalCh1Prod3Slot1Promo2VolUplift</t>
  </si>
  <si>
    <t>obalCh1Prod3Slot2Promo2GPaLUplift</t>
  </si>
  <si>
    <t>obalCh1Prod3Slot2Promo2VolUplift</t>
  </si>
  <si>
    <t>obalCh1Prod3Slot3Promo2GPaLUplift</t>
  </si>
  <si>
    <t>obalCh1Prod3Slot3Promo2VolUplift</t>
  </si>
  <si>
    <t>obalCh1Prod4Slot1Promo2GPaLUplift</t>
  </si>
  <si>
    <t>obalCh1Prod4Slot1Promo2VolUplift</t>
  </si>
  <si>
    <t>obalCh1Prod4Slot2Promo2GPaLUplift</t>
  </si>
  <si>
    <t>obalCh1Prod4Slot2Promo2VolUplift</t>
  </si>
  <si>
    <t>obalCh1Prod4Slot3Promo2GPaLUplift</t>
  </si>
  <si>
    <t>obalCh1Prod4Slot3Promo2VolUplift</t>
  </si>
  <si>
    <t>cbalCh1Prod1Slot1Promo2GPaLUplift</t>
  </si>
  <si>
    <t>cbalCh1Prod1Slot1Promo2VolUplift</t>
  </si>
  <si>
    <t>cbalCh1Prod1Slot2Promo2GPaLUplift</t>
  </si>
  <si>
    <t>cbalCh1Prod1Slot2Promo2VolUplift</t>
  </si>
  <si>
    <t>cbalCh1Prod1Slot3Promo2GPaLUplift</t>
  </si>
  <si>
    <t>cbalCh1Prod1Slot3Promo2VolUplift</t>
  </si>
  <si>
    <t>cbalCh1Prod2Slot1Promo2GPaLUplift</t>
  </si>
  <si>
    <t>cbalCh1Prod2Slot1Promo2VolUplift</t>
  </si>
  <si>
    <t>cbalCh1Prod2Slot2Promo2GPaLUplift</t>
  </si>
  <si>
    <t>cbalCh1Prod2Slot2Promo2VolUplift</t>
  </si>
  <si>
    <t>cbalCh1Prod2Slot3Promo2GPaLUplift</t>
  </si>
  <si>
    <t>cbalCh1Prod2Slot3Promo2VolUplift</t>
  </si>
  <si>
    <t>cbalCh1Prod3Slot1Promo2GPaLUplift</t>
  </si>
  <si>
    <t>cbalCh1Prod3Slot1Promo2VolUplift</t>
  </si>
  <si>
    <t>cbalCh1Prod3Slot2Promo2GPaLUplift</t>
  </si>
  <si>
    <t>cbalCh1Prod3Slot2Promo2VolUplift</t>
  </si>
  <si>
    <t>cbalCh1Prod3Slot3Promo2GPaLUplift</t>
  </si>
  <si>
    <t>cbalCh1Prod3Slot3Promo2VolUplift</t>
  </si>
  <si>
    <t>cbalCh1Prod4Slot1Promo2GPaLUplift</t>
  </si>
  <si>
    <t>cbalCh1Prod4Slot1Promo2VolUplift</t>
  </si>
  <si>
    <t>cbalCh1Prod4Slot2Promo2GPaLUplift</t>
  </si>
  <si>
    <t>cbalCh1Prod4Slot2Promo2VolUplift</t>
  </si>
  <si>
    <t>cbalCh1Prod4Slot3Promo2GPaLUplift</t>
  </si>
  <si>
    <t>cbalCh1Prod4Slot3Promo2VolUplift</t>
  </si>
  <si>
    <t>tlOutputCh1Analytic2Chart4BubbleSize13</t>
  </si>
  <si>
    <t>tlOutputCh1Analytic2Chart4BubbleSize14</t>
  </si>
  <si>
    <t>tlOutputCh1Analytic2Chart4BubbleSize15</t>
  </si>
  <si>
    <t>tlOutputCh1Analytic2Chart4BubbleSize16</t>
  </si>
  <si>
    <t>tlOutputCh1Analytic2Chart4BubbleSize17</t>
  </si>
  <si>
    <t>tlOutputCh1Analytic2Chart4BubbleSize18</t>
  </si>
  <si>
    <t>tlOutputCh1Analytic2Chart4BubbleSize19</t>
  </si>
  <si>
    <t>tlOutputCh1Analytic2Chart4BubbleSize20</t>
  </si>
  <si>
    <t>tlOutputCh1Analytic2Chart4BubbleSize21</t>
  </si>
  <si>
    <t>tlOutputCh1Analytic2Chart4BubbleSize22</t>
  </si>
  <si>
    <t>tlOutputCh1Analytic2Chart4BubbleSize23</t>
  </si>
  <si>
    <t>tlOutputCh1Analytic2Chart4BubbleSize24</t>
  </si>
  <si>
    <t>tlOutputCh1Analytic2Chart4YValue13</t>
  </si>
  <si>
    <t>tlOutputCh1Analytic2Chart4YValue14</t>
  </si>
  <si>
    <t>tlOutputCh1Analytic2Chart4YValue15</t>
  </si>
  <si>
    <t>tlOutputCh1Analytic2Chart4YValue16</t>
  </si>
  <si>
    <t>tlOutputCh1Analytic2Chart4YValue17</t>
  </si>
  <si>
    <t>tlOutputCh1Analytic2Chart4YValue18</t>
  </si>
  <si>
    <t>tlOutputCh1Analytic2Chart4YValue19</t>
  </si>
  <si>
    <t>tlOutputCh1Analytic2Chart4YValue20</t>
  </si>
  <si>
    <t>tlOutputCh1Analytic2Chart4YValue21</t>
  </si>
  <si>
    <t>tlOutputCh1Analytic2Chart4YValue22</t>
  </si>
  <si>
    <t>tlOutputCh1Analytic2Chart4YValue23</t>
  </si>
  <si>
    <t>tlOutputCh1Analytic2Chart4YValue24</t>
  </si>
  <si>
    <t>tlOutputCh1Analytic2Chart4XValue13</t>
  </si>
  <si>
    <t>tlOutputCh1Analytic2Chart4XValue14</t>
  </si>
  <si>
    <t>tlOutputCh1Analytic2Chart4XValue15</t>
  </si>
  <si>
    <t>tlOutputCh1Analytic2Chart4XValue16</t>
  </si>
  <si>
    <t>tlOutputCh1Analytic2Chart4XValue17</t>
  </si>
  <si>
    <t>tlOutputCh1Analytic2Chart4XValue18</t>
  </si>
  <si>
    <t>tlOutputCh1Analytic2Chart4XValue19</t>
  </si>
  <si>
    <t>tlOutputCh1Analytic2Chart4XValue20</t>
  </si>
  <si>
    <t>tlOutputCh1Analytic2Chart4XValue21</t>
  </si>
  <si>
    <t>tlOutputCh1Analytic2Chart4XValue22</t>
  </si>
  <si>
    <t>tlOutputCh1Analytic2Chart4XValue23</t>
  </si>
  <si>
    <t>tlOutputCh1Analytic2Chart4XValue24</t>
  </si>
  <si>
    <t>tlOutputCh1Analytic2Chart4Label13</t>
  </si>
  <si>
    <t>tlOutputCh1Analytic2Chart4Label14</t>
  </si>
  <si>
    <t>tlOutputCh1Analytic2Chart4Label15</t>
  </si>
  <si>
    <t>tlOutputCh1Analytic2Chart4Label16</t>
  </si>
  <si>
    <t>tlOutputCh1Analytic2Chart4Label17</t>
  </si>
  <si>
    <t>tlOutputCh1Analytic2Chart4Label18</t>
  </si>
  <si>
    <t>tlOutputCh1Analytic2Chart4Label19</t>
  </si>
  <si>
    <t>tlOutputCh1Analytic2Chart4Label20</t>
  </si>
  <si>
    <t>tlOutputCh1Analytic2Chart4Label21</t>
  </si>
  <si>
    <t>tlOutputCh1Analytic2Chart4Label22</t>
  </si>
  <si>
    <t>tlOutputCh1Analytic2Chart4Label23</t>
  </si>
  <si>
    <t>tlOutputCh1Analytic2Chart4Label24</t>
  </si>
  <si>
    <t>obalCh1Prod1Slot1AvgPromoPrice</t>
  </si>
  <si>
    <t>obalCh1Prod1Slot3AvgPromoPrice</t>
  </si>
  <si>
    <t>obalCh1Prod1Slot2AvgPromoPrice</t>
  </si>
  <si>
    <t>obalCh1Prod2Slot1AvgPromoPrice</t>
  </si>
  <si>
    <t>obalCh1Prod2Slot2AvgPromoPrice</t>
  </si>
  <si>
    <t>obalCh1Prod2Slot3AvgPromoPrice</t>
  </si>
  <si>
    <t>obalCh1Prod3Slot1AvgPromoPrice</t>
  </si>
  <si>
    <t>obalCh1Prod3Slot2AvgPromoPrice</t>
  </si>
  <si>
    <t>obalCh1Prod3Slot3AvgPromoPrice</t>
  </si>
  <si>
    <t>obalCh1Prod4Slot1AvgPromoPrice</t>
  </si>
  <si>
    <t>obalCh1Prod4Slot2AvgPromoPrice</t>
  </si>
  <si>
    <t>obalCh1Prod4Slot3AvgPromoPrice</t>
  </si>
  <si>
    <t>cbalCh1Prod1Slot1AvgPromoPrice</t>
  </si>
  <si>
    <t>cbalCh1Prod1Slot2AvgPromoPrice</t>
  </si>
  <si>
    <t>cbalCh1Prod1Slot3AvgPromoPrice</t>
  </si>
  <si>
    <t>cbalCh1Prod2Slot1AvgPromoPrice</t>
  </si>
  <si>
    <t>cbalCh1Prod2Slot2AvgPromoPrice</t>
  </si>
  <si>
    <t>cbalCh1Prod2Slot3AvgPromoPrice</t>
  </si>
  <si>
    <t>cbalCh1Prod3Slot1AvgPromoPrice</t>
  </si>
  <si>
    <t>cbalCh1Prod3Slot2AvgPromoPrice</t>
  </si>
  <si>
    <t>cbalCh1Prod3Slot3AvgPromoPrice</t>
  </si>
  <si>
    <t>cbalCh1Prod4Slot1AvgPromoPrice</t>
  </si>
  <si>
    <t>cbalCh1Prod4Slot2AvgPromoPrice</t>
  </si>
  <si>
    <t>cbalCh1Prod4Slot3AvgPromoPrice</t>
  </si>
  <si>
    <t>Promo ROI Calculations for FB</t>
  </si>
  <si>
    <t>Slot1 - Promo 1</t>
  </si>
  <si>
    <t>Slot1 - Promo 2</t>
  </si>
  <si>
    <t>Slot2 - Promo 1</t>
  </si>
  <si>
    <t>Slot2 - Promo 2</t>
  </si>
  <si>
    <t>Slot3 - Promo 1</t>
  </si>
  <si>
    <t>Slot3 - Promo 2</t>
  </si>
  <si>
    <t>calcCh1Prod1PromoRoiMax</t>
  </si>
  <si>
    <t>calcCh1Prod1PromoRoiMin</t>
  </si>
  <si>
    <t>calcCh1Prod1PromoRoiMinIndex</t>
  </si>
  <si>
    <t>calcCh1Prod1PromoRoiMaxIndex</t>
  </si>
  <si>
    <t>Minimum Value</t>
  </si>
  <si>
    <t>Maximum Value</t>
  </si>
  <si>
    <t>Minimum Index</t>
  </si>
  <si>
    <t>Maximum Index</t>
  </si>
  <si>
    <t>calcCh1Prod3PromoRoiMin</t>
  </si>
  <si>
    <t>calcCh1Prod3PromoRoiMax</t>
  </si>
  <si>
    <t>calcCh1Prod3PromoRoiMinIndex</t>
  </si>
  <si>
    <t>calcCh1Prod3PromoRoiMaxIndex</t>
  </si>
  <si>
    <t>calcCh1Prod2PromoRoiMin</t>
  </si>
  <si>
    <t>calcCh1Prod2PromoRoiMax</t>
  </si>
  <si>
    <t>calcCh1Prod2PromoRoiMinIndex</t>
  </si>
  <si>
    <t>calcCh1Prod2PromoRoiMaxIndex</t>
  </si>
  <si>
    <t>Greenborg</t>
  </si>
  <si>
    <t>Investment Level</t>
  </si>
  <si>
    <t>Trade Investments</t>
  </si>
  <si>
    <t>Conditional Investment</t>
  </si>
  <si>
    <t>Unconditional Investment</t>
  </si>
  <si>
    <t>Per litre In Baseline</t>
  </si>
  <si>
    <t>finCalcCh1Prod1Slot1MatExp</t>
  </si>
  <si>
    <t>finCalcCh1Prod1Slot1LabourExp</t>
  </si>
  <si>
    <t>finCalcCh1Prod1Slot1MachCost</t>
  </si>
  <si>
    <t>finCalcCh1Prod1Slot1LogExpAdjPUnit</t>
  </si>
  <si>
    <t>finCalcCh1Prod1Slot3MatExp</t>
  </si>
  <si>
    <t>finCalcCh1Prod1Slot3LabourExp</t>
  </si>
  <si>
    <t>finCalcCh1Prod1Slot3MachCost</t>
  </si>
  <si>
    <t>finCalcCh1Prod1Slot3LogExpAdjPUnit</t>
  </si>
  <si>
    <t>finCalcCh1Prod1Slot2MatExp</t>
  </si>
  <si>
    <t>finCalcCh1Prod1Slot2LabourExp</t>
  </si>
  <si>
    <t>finCalcCh1Prod1Slot2MachCost</t>
  </si>
  <si>
    <t>finCalcCh1Prod1Slot2LogExpAdjPUnit</t>
  </si>
  <si>
    <t>finCalcCh1Prod2Slot1MatExp</t>
  </si>
  <si>
    <t>finCalcCh1Prod2Slot1LabourExp</t>
  </si>
  <si>
    <t>finCalcCh1Prod2Slot1MachCost</t>
  </si>
  <si>
    <t>finCalcCh1Prod2Slot1LogExpAdjPUnit</t>
  </si>
  <si>
    <t>finCalcCh1Prod2Slot2MatExp</t>
  </si>
  <si>
    <t>finCalcCh1Prod2Slot2LabourExp</t>
  </si>
  <si>
    <t>finCalcCh1Prod2Slot2MachCost</t>
  </si>
  <si>
    <t>finCalcCh1Prod2Slot2LogExpAdjPUnit</t>
  </si>
  <si>
    <t>finCalcCh1Prod2Slot3MatExp</t>
  </si>
  <si>
    <t>finCalcCh1Prod2Slot3LabourExp</t>
  </si>
  <si>
    <t>finCalcCh1Prod2Slot3MachCost</t>
  </si>
  <si>
    <t>finCalcCh1Prod2Slot3LogExpAdjPUnit</t>
  </si>
  <si>
    <t>finCalcCh1Prod3Slot1MatExp</t>
  </si>
  <si>
    <t>finCalcCh1Prod3Slot1LabourExp</t>
  </si>
  <si>
    <t>finCalcCh1Prod3Slot1MachCost</t>
  </si>
  <si>
    <t>finCalcCh1Prod3Slot1LogExpAdjPUnit</t>
  </si>
  <si>
    <t>finCalcCh1Prod3Slot2MatExp</t>
  </si>
  <si>
    <t>finCalcCh1Prod3Slot2LabourExp</t>
  </si>
  <si>
    <t>finCalcCh1Prod3Slot2MachCost</t>
  </si>
  <si>
    <t>finCalcCh1Prod3Slot2LogExpAdjPUnit</t>
  </si>
  <si>
    <t>finCalcCh1Prod3Slot3MatExp</t>
  </si>
  <si>
    <t>finCalcCh1Prod3Slot3LabourExp</t>
  </si>
  <si>
    <t>finCalcCh1Prod3Slot3MachCost</t>
  </si>
  <si>
    <t>finCalcCh1Prod3Slot3LogExpAdjPUnit</t>
  </si>
  <si>
    <t>finCalcCh1Prod4Slot1MatExp</t>
  </si>
  <si>
    <t>finCalcCh1Prod4Slot1LabourExp</t>
  </si>
  <si>
    <t>finCalcCh1Prod4Slot1MachCost</t>
  </si>
  <si>
    <t>finCalcCh1Prod4Slot1LogExpAdjPUnit</t>
  </si>
  <si>
    <t>finCalcCh1Prod4Slot2MatExp</t>
  </si>
  <si>
    <t>finCalcCh1Prod4Slot2LabourExp</t>
  </si>
  <si>
    <t>finCalcCh1Prod4Slot2MachCost</t>
  </si>
  <si>
    <t>finCalcCh1Prod4Slot2LogExpAdjPUnit</t>
  </si>
  <si>
    <t>finCalcCh1Prod4Slot3MatExp</t>
  </si>
  <si>
    <t>finCalcCh1Prod4Slot3LabourExp</t>
  </si>
  <si>
    <t>finCalcCh1Prod4Slot3MachCost</t>
  </si>
  <si>
    <t>finCalcCh1Prod4Slot3LogExpAdjPUnit</t>
  </si>
  <si>
    <t>finCalcCh2Prod1Slot1MatExp</t>
  </si>
  <si>
    <t>finCalcCh2Prod1Slot1LabourExp</t>
  </si>
  <si>
    <t>finCalcCh2Prod1Slot1MachCost</t>
  </si>
  <si>
    <t>finCalcCh2Prod1Slot1LogExpAdjPUnit</t>
  </si>
  <si>
    <t>finCalcCh2Prod1Slot2MatExp</t>
  </si>
  <si>
    <t>finCalcCh2Prod1Slot2LabourExp</t>
  </si>
  <si>
    <t>finCalcCh2Prod1Slot2MachCost</t>
  </si>
  <si>
    <t>finCalcCh2Prod1Slot2LogExpAdjPUnit</t>
  </si>
  <si>
    <t>finCalcCh2Prod1Slot3MatExp</t>
  </si>
  <si>
    <t>finCalcCh2Prod1Slot3LabourExp</t>
  </si>
  <si>
    <t>finCalcCh2Prod1Slot3MachCost</t>
  </si>
  <si>
    <t>finCalcCh2Prod1Slot3LogExpAdjPUnit</t>
  </si>
  <si>
    <t>finCalcCh2Prod2Slot1MatExp</t>
  </si>
  <si>
    <t>finCalcCh2Prod2Slot1LabourExp</t>
  </si>
  <si>
    <t>finCalcCh2Prod2Slot1MachCost</t>
  </si>
  <si>
    <t>finCalcCh2Prod2Slot1LogExpAdjPUnit</t>
  </si>
  <si>
    <t>finCalcCh2Prod2Slot2MatExp</t>
  </si>
  <si>
    <t>finCalcCh2Prod2Slot2LabourExp</t>
  </si>
  <si>
    <t>finCalcCh2Prod2Slot2MachCost</t>
  </si>
  <si>
    <t>finCalcCh2Prod2Slot2LogExpAdjPUnit</t>
  </si>
  <si>
    <t>finCalcCh2Prod2Slot3MatExp</t>
  </si>
  <si>
    <t>finCalcCh2Prod2Slot3LabourExp</t>
  </si>
  <si>
    <t>finCalcCh2Prod2Slot3MachCost</t>
  </si>
  <si>
    <t>finCalcCh2Prod2Slot3LogExpAdjPUnit</t>
  </si>
  <si>
    <t>finCalcCh2Prod3Slot1MatExp</t>
  </si>
  <si>
    <t>finCalcCh2Prod3Slot1LabourExp</t>
  </si>
  <si>
    <t>finCalcCh2Prod3Slot1MachCost</t>
  </si>
  <si>
    <t>finCalcCh2Prod3Slot1LogExpAdjPUnit</t>
  </si>
  <si>
    <t>finCalcCh2Prod3Slot2MatExp</t>
  </si>
  <si>
    <t>finCalcCh2Prod3Slot2LabourExp</t>
  </si>
  <si>
    <t>finCalcCh2Prod3Slot2MachCost</t>
  </si>
  <si>
    <t>finCalcCh2Prod3Slot2LogExpAdjPUnit</t>
  </si>
  <si>
    <t>finCalcCh2Prod3Slot3MatExp</t>
  </si>
  <si>
    <t>finCalcCh2Prod3Slot3LabourExp</t>
  </si>
  <si>
    <t>finCalcCh2Prod3Slot3MachCost</t>
  </si>
  <si>
    <t>finCalcCh2Prod3Slot3LogExpAdjPUnit</t>
  </si>
  <si>
    <t>finCalcCh2Prod4Slot1MatExp</t>
  </si>
  <si>
    <t>finCalcCh2Prod4Slot1LabourExp</t>
  </si>
  <si>
    <t>finCalcCh2Prod4Slot1MachCost</t>
  </si>
  <si>
    <t>finCalcCh2Prod4Slot1LogExpAdjPUnit</t>
  </si>
  <si>
    <t>finCalcCh2Prod4Slot2MatExp</t>
  </si>
  <si>
    <t>finCalcCh2Prod4Slot2LabourExp</t>
  </si>
  <si>
    <t>finCalcCh2Prod4Slot2MachCost</t>
  </si>
  <si>
    <t>finCalcCh2Prod4Slot2LogExpAdjPUnit</t>
  </si>
  <si>
    <t>finCalcCh2Prod4Slot3MatExp</t>
  </si>
  <si>
    <t>finCalcCh2Prod4Slot3LabourExp</t>
  </si>
  <si>
    <t>finCalcCh2Prod4Slot3MachCost</t>
  </si>
  <si>
    <t>finCalcCh2Prod4Slot3LogExpAdjPUnit</t>
  </si>
  <si>
    <t>finCalcCh3Prod1Slot1MatExp</t>
  </si>
  <si>
    <t>finCalcCh3Prod1Slot1LabourExp</t>
  </si>
  <si>
    <t>finCalcCh3Prod1Slot1MachCost</t>
  </si>
  <si>
    <t>finCalcCh3Prod1Slot1LogExpAdjPUnit</t>
  </si>
  <si>
    <t>finCalcCh3Prod1Slot2MatExp</t>
  </si>
  <si>
    <t>finCalcCh3Prod1Slot2LabourExp</t>
  </si>
  <si>
    <t>finCalcCh3Prod1Slot2MachCost</t>
  </si>
  <si>
    <t>finCalcCh3Prod1Slot2LogExpAdjPUnit</t>
  </si>
  <si>
    <t>finCalcCh3Prod1Slot3MatExp</t>
  </si>
  <si>
    <t>finCalcCh3Prod1Slot3LabourExp</t>
  </si>
  <si>
    <t>finCalcCh3Prod1Slot3MachCost</t>
  </si>
  <si>
    <t>finCalcCh3Prod1Slot3LogExpAdjPUnit</t>
  </si>
  <si>
    <t>finCalcCh3Prod2Slot1MatExp</t>
  </si>
  <si>
    <t>finCalcCh3Prod2Slot1LabourExp</t>
  </si>
  <si>
    <t>finCalcCh3Prod2Slot1MachCost</t>
  </si>
  <si>
    <t>finCalcCh3Prod2Slot1LogExpAdjPUnit</t>
  </si>
  <si>
    <t>finCalcCh3Prod2Slot2MatExp</t>
  </si>
  <si>
    <t>finCalcCh3Prod2Slot2LabourExp</t>
  </si>
  <si>
    <t>finCalcCh3Prod2Slot2MachCost</t>
  </si>
  <si>
    <t>finCalcCh3Prod2Slot2LogExpAdjPUnit</t>
  </si>
  <si>
    <t>finCalcCh3Prod2Slot3MatExp</t>
  </si>
  <si>
    <t>finCalcCh3Prod2Slot3LabourExp</t>
  </si>
  <si>
    <t>finCalcCh3Prod2Slot3MachCost</t>
  </si>
  <si>
    <t>finCalcCh3Prod2Slot3LogExpAdjPUnit</t>
  </si>
  <si>
    <t>finCalcCh3Prod3Slot1MatExp</t>
  </si>
  <si>
    <t>finCalcCh3Prod3Slot1LabourExp</t>
  </si>
  <si>
    <t>finCalcCh3Prod3Slot1MachCost</t>
  </si>
  <si>
    <t>finCalcCh3Prod3Slot1LogExpAdjPUnit</t>
  </si>
  <si>
    <t>finCalcCh3Prod3Slot2MatExp</t>
  </si>
  <si>
    <t>finCalcCh3Prod3Slot2LabourExp</t>
  </si>
  <si>
    <t>finCalcCh3Prod3Slot2MachCost</t>
  </si>
  <si>
    <t>finCalcCh3Prod3Slot2LogExpAdjPUnit</t>
  </si>
  <si>
    <t>finCalcCh3Prod3Slot3MatExp</t>
  </si>
  <si>
    <t>finCalcCh3Prod3Slot3LabourExp</t>
  </si>
  <si>
    <t>finCalcCh3Prod3Slot3MachCost</t>
  </si>
  <si>
    <t>finCalcCh3Prod3Slot3LogExpAdjPUnit</t>
  </si>
  <si>
    <t>finCalcCh3Prod4Slot1MatExp</t>
  </si>
  <si>
    <t>finCalcCh3Prod4Slot1LabourExp</t>
  </si>
  <si>
    <t>finCalcCh3Prod4Slot1MachCost</t>
  </si>
  <si>
    <t>finCalcCh3Prod4Slot1LogExpAdjPUnit</t>
  </si>
  <si>
    <t>finCalcCh3Prod4Slot2MatExp</t>
  </si>
  <si>
    <t>finCalcCh3Prod4Slot2LabourExp</t>
  </si>
  <si>
    <t>finCalcCh3Prod4Slot2MachCost</t>
  </si>
  <si>
    <t>finCalcCh3Prod4Slot2LogExpAdjPUnit</t>
  </si>
  <si>
    <t>finCalcCh3Prod4Slot3MatExp</t>
  </si>
  <si>
    <t>finCalcCh3Prod4Slot3LabourExp</t>
  </si>
  <si>
    <t>finCalcCh3Prod4Slot3MachCost</t>
  </si>
  <si>
    <t>finCalcCh3Prod4Slot3LogExpAdjPUnit</t>
  </si>
  <si>
    <t>finCalcCh4Prod1Slot1MatExp</t>
  </si>
  <si>
    <t>finCalcCh4Prod1Slot1LabourExp</t>
  </si>
  <si>
    <t>finCalcCh4Prod1Slot1MachCost</t>
  </si>
  <si>
    <t>finCalcCh4Prod1Slot1LogExpAdjPUnit</t>
  </si>
  <si>
    <t>finCalcCh4Prod1Slot2MatExp</t>
  </si>
  <si>
    <t>finCalcCh4Prod1Slot2LabourExp</t>
  </si>
  <si>
    <t>finCalcCh4Prod1Slot2MachCost</t>
  </si>
  <si>
    <t>finCalcCh4Prod1Slot2LogExpAdjPUnit</t>
  </si>
  <si>
    <t>finCalcCh4Prod1Slot3MatExp</t>
  </si>
  <si>
    <t>finCalcCh4Prod1Slot3LabourExp</t>
  </si>
  <si>
    <t>finCalcCh4Prod1Slot3MachCost</t>
  </si>
  <si>
    <t>finCalcCh4Prod1Slot3LogExpAdjPUnit</t>
  </si>
  <si>
    <t>finCalcCh4Prod2Slot1MatExp</t>
  </si>
  <si>
    <t>finCalcCh4Prod2Slot1LabourExp</t>
  </si>
  <si>
    <t>finCalcCh4Prod2Slot1MachCost</t>
  </si>
  <si>
    <t>finCalcCh4Prod2Slot1LogExpAdjPUnit</t>
  </si>
  <si>
    <t>finCalcCh4Prod2Slot2MatExp</t>
  </si>
  <si>
    <t>finCalcCh4Prod2Slot2LabourExp</t>
  </si>
  <si>
    <t>finCalcCh4Prod2Slot2MachCost</t>
  </si>
  <si>
    <t>finCalcCh4Prod2Slot2LogExpAdjPUnit</t>
  </si>
  <si>
    <t>finCalcCh4Prod2Slot3MatExp</t>
  </si>
  <si>
    <t>finCalcCh4Prod2Slot3LabourExp</t>
  </si>
  <si>
    <t>finCalcCh4Prod2Slot3MachCost</t>
  </si>
  <si>
    <t>finCalcCh4Prod2Slot3LogExpAdjPUnit</t>
  </si>
  <si>
    <t>finCalcCh4Prod3Slot1MatExp</t>
  </si>
  <si>
    <t>finCalcCh4Prod3Slot1LabourExp</t>
  </si>
  <si>
    <t>finCalcCh4Prod3Slot1MachCost</t>
  </si>
  <si>
    <t>finCalcCh4Prod3Slot1LogExpAdjPUnit</t>
  </si>
  <si>
    <t>finCalcCh4Prod3Slot2MatExp</t>
  </si>
  <si>
    <t>finCalcCh4Prod3Slot2LabourExp</t>
  </si>
  <si>
    <t>finCalcCh4Prod3Slot2MachCost</t>
  </si>
  <si>
    <t>finCalcCh4Prod3Slot2LogExpAdjPUnit</t>
  </si>
  <si>
    <t>finCalcCh4Prod3Slot3MatExp</t>
  </si>
  <si>
    <t>finCalcCh4Prod3Slot3LabourExp</t>
  </si>
  <si>
    <t>finCalcCh4Prod3Slot3MachCost</t>
  </si>
  <si>
    <t>finCalcCh4Prod3Slot3LogExpAdjPUnit</t>
  </si>
  <si>
    <t>finCalcCh4Prod4Slot1MatExp</t>
  </si>
  <si>
    <t>finCalcCh4Prod4Slot1LabourExp</t>
  </si>
  <si>
    <t>finCalcCh4Prod4Slot1MachCost</t>
  </si>
  <si>
    <t>finCalcCh4Prod4Slot1LogExpAdjPUnit</t>
  </si>
  <si>
    <t>finCalcCh4Prod4Slot2MatExp</t>
  </si>
  <si>
    <t>finCalcCh4Prod4Slot2LabourExp</t>
  </si>
  <si>
    <t>finCalcCh4Prod4Slot2MachCost</t>
  </si>
  <si>
    <t>finCalcCh4Prod4Slot2LogExpAdjPUnit</t>
  </si>
  <si>
    <t>finCalcCh4Prod4Slot3MatExp</t>
  </si>
  <si>
    <t>finCalcCh4Prod4Slot3LabourExp</t>
  </si>
  <si>
    <t>finCalcCh4Prod4Slot3MachCost</t>
  </si>
  <si>
    <t>finCalcCh4Prod4Slot3LogExpAdjPUnit</t>
  </si>
  <si>
    <t xml:space="preserve">COGS - Per Vol </t>
  </si>
  <si>
    <t>obalCompanyVolSold</t>
  </si>
  <si>
    <t>cbalCompanyVolSold</t>
  </si>
  <si>
    <t>Greenborg Slot 1</t>
  </si>
  <si>
    <t>Original values. Remove if pilot balancing works</t>
  </si>
  <si>
    <t>Promo Weeks</t>
  </si>
  <si>
    <t>Slot 1 Promo1</t>
  </si>
  <si>
    <t>Slot 1 Promo2</t>
  </si>
  <si>
    <t>Slot 2 Promo1</t>
  </si>
  <si>
    <t>Slot 2 Promo2</t>
  </si>
  <si>
    <t>Slot 3 Promo1</t>
  </si>
  <si>
    <t>Slot 3 Promo2</t>
  </si>
  <si>
    <t>obalCh1Prod1Slot1Promo1Weeks</t>
  </si>
  <si>
    <t>obalCh1Prod1Slot1Promo2Weeks</t>
  </si>
  <si>
    <t>obalCh1Prod1Slot2Promo1Weeks</t>
  </si>
  <si>
    <t>obalCh1Prod1Slot2Promo2Weeks</t>
  </si>
  <si>
    <t>obalCh1Prod1Slot3Promo1Weeks</t>
  </si>
  <si>
    <t>obalCh1Prod1Slot3Promo2Weeks</t>
  </si>
  <si>
    <t>obalCh1Prod4Slot1Promo1Weeks</t>
  </si>
  <si>
    <t>obalCh1Prod4Slot1Promo2Weeks</t>
  </si>
  <si>
    <t>obalCh1Prod4Slot2Promo1Weeks</t>
  </si>
  <si>
    <t>obalCh1Prod4Slot2Promo2Weeks</t>
  </si>
  <si>
    <t>obalCh1Prod4Slot3Promo1Weeks</t>
  </si>
  <si>
    <t>obalCh1Prod4Slot3Promo2Weeks</t>
  </si>
  <si>
    <t>obalCh1Prod3Slot1Promo1Weeks</t>
  </si>
  <si>
    <t>obalCh1Prod3Slot1Promo2Weeks</t>
  </si>
  <si>
    <t>obalCh1Prod3Slot2Promo1Weeks</t>
  </si>
  <si>
    <t>obalCh1Prod3Slot2Promo2Weeks</t>
  </si>
  <si>
    <t>obalCh1Prod3Slot3Promo1Weeks</t>
  </si>
  <si>
    <t>obalCh1Prod3Slot3Promo2Weeks</t>
  </si>
  <si>
    <t>obalCh1Prod2Slot1Promo1Weeks</t>
  </si>
  <si>
    <t>obalCh1Prod2Slot1Promo2Weeks</t>
  </si>
  <si>
    <t>obalCh1Prod2Slot2Promo1Weeks</t>
  </si>
  <si>
    <t>obalCh1Prod2Slot2Promo2Weeks</t>
  </si>
  <si>
    <t>obalCh1Prod2Slot3Promo1Weeks</t>
  </si>
  <si>
    <t>obalCh1Prod2Slot3Promo2Weeks</t>
  </si>
  <si>
    <t>obalCh3Prod1Slot1Promo1Weeks</t>
  </si>
  <si>
    <t>obalCh3Prod1Slot2Promo1Weeks</t>
  </si>
  <si>
    <t>obalCh3Prod1Slot3Promo1Weeks</t>
  </si>
  <si>
    <t>obalCh3Prod2Slot1Promo1Weeks</t>
  </si>
  <si>
    <t>obalCh3Prod2Slot2Promo1Weeks</t>
  </si>
  <si>
    <t>obalCh3Prod2Slot3Promo1Weeks</t>
  </si>
  <si>
    <t>obalCh3Prod3Slot1Promo1Weeks</t>
  </si>
  <si>
    <t>obalCh3Prod3Slot2Promo1Weeks</t>
  </si>
  <si>
    <t>obalCh3Prod3Slot3Promo1Weeks</t>
  </si>
  <si>
    <t>obalCh3Prod4Slot1Promo1Weeks</t>
  </si>
  <si>
    <t>obalCh3Prod4Slot2Promo1Weeks</t>
  </si>
  <si>
    <t>obalCh3Prod4Slot3Promo1Weeks</t>
  </si>
  <si>
    <t>obalCh4Prod1Slot1Promo1Weeks</t>
  </si>
  <si>
    <t>obalCh4Prod1Slot2Promo1Weeks</t>
  </si>
  <si>
    <t>obalCh4Prod1Slot3Promo1Weeks</t>
  </si>
  <si>
    <t>obalCh4Prod2Slot1Promo1Weeks</t>
  </si>
  <si>
    <t>obalCh4Prod2Slot2Promo1Weeks</t>
  </si>
  <si>
    <t>obalCh4Prod2Slot3Promo1Weeks</t>
  </si>
  <si>
    <t>obalCh4Prod3Slot1Promo1Weeks</t>
  </si>
  <si>
    <t>obalCh4Prod3Slot2Promo1Weeks</t>
  </si>
  <si>
    <t>obalCh4Prod3Slot3Promo1Weeks</t>
  </si>
  <si>
    <t>obalCh4Prod4Slot1Promo1Weeks</t>
  </si>
  <si>
    <t>obalCh4Prod4Slot2Promo1Weeks</t>
  </si>
  <si>
    <t>obalCh4Prod4Slot3Promo1Weeks</t>
  </si>
  <si>
    <t>cbalCh1Prod1Slot1Promo1Weeks</t>
  </si>
  <si>
    <t>cbalCh1Prod1Slot1Promo2Weeks</t>
  </si>
  <si>
    <t>cbalCh1Prod1Slot2Promo1Weeks</t>
  </si>
  <si>
    <t>cbalCh1Prod1Slot2Promo2Weeks</t>
  </si>
  <si>
    <t>cbalCh1Prod1Slot3Promo1Weeks</t>
  </si>
  <si>
    <t>cbalCh1Prod1Slot3Promo2Weeks</t>
  </si>
  <si>
    <t>cbalCh1Prod2Slot1Promo1Weeks</t>
  </si>
  <si>
    <t>cbalCh1Prod2Slot1Promo2Weeks</t>
  </si>
  <si>
    <t>cbalCh1Prod2Slot2Promo1Weeks</t>
  </si>
  <si>
    <t>cbalCh1Prod2Slot2Promo2Weeks</t>
  </si>
  <si>
    <t>cbalCh1Prod2Slot3Promo1Weeks</t>
  </si>
  <si>
    <t>cbalCh1Prod2Slot3Promo2Weeks</t>
  </si>
  <si>
    <t>cbalCh1Prod3Slot1Promo1Weeks</t>
  </si>
  <si>
    <t>cbalCh1Prod3Slot1Promo2Weeks</t>
  </si>
  <si>
    <t>cbalCh1Prod3Slot2Promo1Weeks</t>
  </si>
  <si>
    <t>cbalCh1Prod3Slot2Promo2Weeks</t>
  </si>
  <si>
    <t>cbalCh1Prod3Slot3Promo1Weeks</t>
  </si>
  <si>
    <t>cbalCh1Prod3Slot3Promo2Weeks</t>
  </si>
  <si>
    <t>cbalCh1Prod4Slot1Promo1Weeks</t>
  </si>
  <si>
    <t>cbalCh1Prod4Slot1Promo2Weeks</t>
  </si>
  <si>
    <t>cbalCh1Prod4Slot2Promo1Weeks</t>
  </si>
  <si>
    <t>cbalCh1Prod4Slot2Promo2Weeks</t>
  </si>
  <si>
    <t>cbalCh1Prod4Slot3Promo1Weeks</t>
  </si>
  <si>
    <t>cbalCh1Prod4Slot3Promo2Weeks</t>
  </si>
  <si>
    <t>cbalCh3Prod1Slot1Promo1Weeks</t>
  </si>
  <si>
    <t>cbalCh3Prod1Slot2Promo1Weeks</t>
  </si>
  <si>
    <t>cbalCh3Prod1Slot3Promo1Weeks</t>
  </si>
  <si>
    <t>cbalCh3Prod2Slot1Promo1Weeks</t>
  </si>
  <si>
    <t>cbalCh3Prod2Slot2Promo1Weeks</t>
  </si>
  <si>
    <t>cbalCh3Prod2Slot3Promo1Weeks</t>
  </si>
  <si>
    <t>cbalCh3Prod3Slot1Promo1Weeks</t>
  </si>
  <si>
    <t>cbalCh3Prod3Slot2Promo1Weeks</t>
  </si>
  <si>
    <t>cbalCh3Prod3Slot3Promo1Weeks</t>
  </si>
  <si>
    <t>cbalCh3Prod4Slot1Promo1Weeks</t>
  </si>
  <si>
    <t>cbalCh3Prod4Slot2Promo1Weeks</t>
  </si>
  <si>
    <t>cbalCh3Prod4Slot3Promo1Weeks</t>
  </si>
  <si>
    <t>cbalCh4Prod1Slot1Promo1Weeks</t>
  </si>
  <si>
    <t>cbalCh4Prod1Slot2Promo1Weeks</t>
  </si>
  <si>
    <t>cbalCh4Prod1Slot3Promo1Weeks</t>
  </si>
  <si>
    <t>cbalCh4Prod2Slot1Promo1Weeks</t>
  </si>
  <si>
    <t>cbalCh4Prod2Slot2Promo1Weeks</t>
  </si>
  <si>
    <t>cbalCh4Prod2Slot3Promo1Weeks</t>
  </si>
  <si>
    <t>cbalCh4Prod3Slot1Promo1Weeks</t>
  </si>
  <si>
    <t>cbalCh4Prod3Slot2Promo1Weeks</t>
  </si>
  <si>
    <t>cbalCh4Prod3Slot3Promo1Weeks</t>
  </si>
  <si>
    <t>cbalCh4Prod4Slot1Promo1Weeks</t>
  </si>
  <si>
    <t>cbalCh4Prod4Slot2Promo1Weeks</t>
  </si>
  <si>
    <t>cbalCh4Prod4Slot3Promo1Weeks</t>
  </si>
  <si>
    <t>obalCh3Prod1Slot1Promo1</t>
  </si>
  <si>
    <t>obalCh3Prod1Slot2Promo1</t>
  </si>
  <si>
    <t>obalCh3Prod1Slot3Promo1</t>
  </si>
  <si>
    <t>obalCh3Prod2Slot1Promo1</t>
  </si>
  <si>
    <t>obalCh3Prod2Slot2Promo1</t>
  </si>
  <si>
    <t>obalCh3Prod2Slot3Promo1</t>
  </si>
  <si>
    <t>obalCh3Prod3Slot1Promo1</t>
  </si>
  <si>
    <t>obalCh3Prod3Slot2Promo1</t>
  </si>
  <si>
    <t>obalCh3Prod3Slot3Promo1</t>
  </si>
  <si>
    <t>obalCh3Prod4Slot1Promo1</t>
  </si>
  <si>
    <t>obalCh3Prod4Slot2Promo1</t>
  </si>
  <si>
    <t>obalCh3Prod4Slot3Promo1</t>
  </si>
  <si>
    <t>obalCh4Prod1Slot1Promo1</t>
  </si>
  <si>
    <t>obalCh4Prod1Slot2Promo1</t>
  </si>
  <si>
    <t>obalCh4Prod1Slot3Promo1</t>
  </si>
  <si>
    <t>obalCh4Prod2Slot1Promo1</t>
  </si>
  <si>
    <t>obalCh4Prod2Slot2Promo1</t>
  </si>
  <si>
    <t>obalCh4Prod2Slot3Promo1</t>
  </si>
  <si>
    <t>obalCh4Prod3Slot1Promo1</t>
  </si>
  <si>
    <t>obalCh4Prod3Slot2Promo1</t>
  </si>
  <si>
    <t>obalCh4Prod3Slot3Promo1</t>
  </si>
  <si>
    <t>obalCh4Prod4Slot1Promo1</t>
  </si>
  <si>
    <t>obalCh4Prod4Slot2Promo1</t>
  </si>
  <si>
    <t>obalCh4Prod4Slot3Promo1</t>
  </si>
  <si>
    <t>cbalCh3Prod1Slot1Promo1</t>
  </si>
  <si>
    <t>cbalCh3Prod1Slot2Promo1</t>
  </si>
  <si>
    <t>cbalCh3Prod1Slot3Promo1</t>
  </si>
  <si>
    <t>cbalCh3Prod2Slot1Promo1</t>
  </si>
  <si>
    <t>cbalCh3Prod2Slot2Promo1</t>
  </si>
  <si>
    <t>cbalCh3Prod2Slot3Promo1</t>
  </si>
  <si>
    <t>cbalCh3Prod3Slot1Promo1</t>
  </si>
  <si>
    <t>cbalCh3Prod3Slot2Promo1</t>
  </si>
  <si>
    <t>cbalCh3Prod3Slot3Promo1</t>
  </si>
  <si>
    <t>cbalCh3Prod4Slot1Promo1</t>
  </si>
  <si>
    <t>cbalCh3Prod4Slot2Promo1</t>
  </si>
  <si>
    <t>cbalCh3Prod4Slot3Promo1</t>
  </si>
  <si>
    <t>cbalCh4Prod1Slot1Promo1</t>
  </si>
  <si>
    <t>cbalCh4Prod1Slot2Promo1</t>
  </si>
  <si>
    <t>cbalCh4Prod1Slot3Promo1</t>
  </si>
  <si>
    <t>cbalCh4Prod2Slot1Promo1</t>
  </si>
  <si>
    <t>cbalCh4Prod2Slot2Promo1</t>
  </si>
  <si>
    <t>cbalCh4Prod2Slot3Promo1</t>
  </si>
  <si>
    <t>cbalCh4Prod3Slot1Promo1</t>
  </si>
  <si>
    <t>cbalCh4Prod3Slot2Promo1</t>
  </si>
  <si>
    <t>cbalCh4Prod3Slot3Promo1</t>
  </si>
  <si>
    <t>cbalCh4Prod4Slot1Promo1</t>
  </si>
  <si>
    <t>cbalCh4Prod4Slot2Promo1</t>
  </si>
  <si>
    <t>cbalCh4Prod4Slot3Promo1</t>
  </si>
  <si>
    <t>calcCh3Prod1PromoRoiMin</t>
  </si>
  <si>
    <t>calcCh3Prod1PromoRoiMax</t>
  </si>
  <si>
    <t>calcCh3Prod1PromoRoiMinIndex</t>
  </si>
  <si>
    <t>calcCh3Prod1PromoRoiMaxIndex</t>
  </si>
  <si>
    <t>Base</t>
  </si>
  <si>
    <t>tlOutputCh2Analytic2Chart3Heading</t>
  </si>
  <si>
    <t>tlOutputCh2Analytic2Chart3Serie1Label1</t>
  </si>
  <si>
    <t>tlOutputCh2Analytic2Chart3Serie1Point1</t>
  </si>
  <si>
    <t>tlOutputCh2Analytic2Chart3Serie1Point2</t>
  </si>
  <si>
    <t>tlOutputCh2Analytic2Chart3Serie1Point3</t>
  </si>
  <si>
    <t>tlOutputCh2Analytic2Chart3Serie2Label1</t>
  </si>
  <si>
    <t>tlOutputCh2Analytic2Chart3Serie2Point1</t>
  </si>
  <si>
    <t>tlOutputCh2Analytic2Chart3Serie2Point2</t>
  </si>
  <si>
    <t>tlOutputCh2Analytic2Chart3Serie2Point3</t>
  </si>
  <si>
    <t>tlOutputCh2Analytic2Chart3Serie3Label1</t>
  </si>
  <si>
    <t>tlOutputCh2Analytic2Chart3Serie3Point1</t>
  </si>
  <si>
    <t>tlOutputCh2Analytic2Chart3Serie3Point2</t>
  </si>
  <si>
    <t>tlOutputCh2Analytic2Chart3Serie3Point3</t>
  </si>
  <si>
    <t>tlOutputCh2Analytic2Chart3Serie4Label1</t>
  </si>
  <si>
    <t>tlOutputCh2Analytic2Chart3Serie4Point1</t>
  </si>
  <si>
    <t>tlOutputCh2Analytic2Chart3Serie4Point2</t>
  </si>
  <si>
    <t>tlOutputCh2Analytic2Chart3Serie4Point3</t>
  </si>
  <si>
    <t>tlOutputCh2Analytic2Chart3Serie5Label1</t>
  </si>
  <si>
    <t>tlOutputCh2Analytic2Chart3Serie5Point1</t>
  </si>
  <si>
    <t>tlOutputCh2Analytic2Chart3Serie5Point2</t>
  </si>
  <si>
    <t>tlOutputCh2Analytic2Chart3Serie5Point3</t>
  </si>
  <si>
    <t>tlOutputCh2Analytic2Chart3Serie6Label1</t>
  </si>
  <si>
    <t>tlOutputCh2Analytic2Chart3Serie6Point1</t>
  </si>
  <si>
    <t>tlOutputCh2Analytic2Chart3Serie6Point2</t>
  </si>
  <si>
    <t>tlOutputCh2Analytic2Chart3Serie6Point3</t>
  </si>
  <si>
    <t>tlOutputCh2Analytic2Chart3Serie7Label1</t>
  </si>
  <si>
    <t>tlOutputCh2Analytic2Chart3Serie7Point1</t>
  </si>
  <si>
    <t>tlOutputCh2Analytic2Chart3Serie7Point2</t>
  </si>
  <si>
    <t>tlOutputCh2Analytic2Chart3Serie7Point3</t>
  </si>
  <si>
    <t>tlOutputCh2Analytic2Chart3Serie8Label1</t>
  </si>
  <si>
    <t>tlOutputCh2Analytic2Chart3Serie8Point1</t>
  </si>
  <si>
    <t>tlOutputCh2Analytic2Chart3Serie8Point2</t>
  </si>
  <si>
    <t>tlOutputCh2Analytic2Chart3Serie8Point3</t>
  </si>
  <si>
    <t>tlOutputCh2Analytic2Chart3Serie9Label1</t>
  </si>
  <si>
    <t>tlOutputCh2Analytic2Chart3Serie9Point1</t>
  </si>
  <si>
    <t>tlOutputCh2Analytic2Chart3Serie9Point2</t>
  </si>
  <si>
    <t>tlOutputCh2Analytic2Chart3Serie9Point3</t>
  </si>
  <si>
    <t>tlOutputCh2Analytic2Chart3Serie10Label1</t>
  </si>
  <si>
    <t>tlOutputCh2Analytic2Chart3Serie10Point1</t>
  </si>
  <si>
    <t>tlOutputCh2Analytic2Chart3Serie10Point2</t>
  </si>
  <si>
    <t>tlOutputCh2Analytic2Chart3Serie10Point3</t>
  </si>
  <si>
    <t>tlOutputCh2Analytic2Chart3Serie11Label1</t>
  </si>
  <si>
    <t>tlOutputCh2Analytic2Chart3Serie11Point1</t>
  </si>
  <si>
    <t>tlOutputCh2Analytic2Chart3Serie11Point2</t>
  </si>
  <si>
    <t>tlOutputCh2Analytic2Chart3Serie11Point3</t>
  </si>
  <si>
    <t>tlOutputCh2Analytic2Chart3Serie12Label1</t>
  </si>
  <si>
    <t>tlOutputCh2Analytic2Chart3Serie12Point1</t>
  </si>
  <si>
    <t>tlOutputCh2Analytic2Chart3Serie12Point2</t>
  </si>
  <si>
    <t>tlOutputCh2Analytic2Chart3Serie12Point3</t>
  </si>
  <si>
    <t>obal_paste</t>
  </si>
  <si>
    <t>calcCh1Prod1Slot1ChVolShare</t>
  </si>
  <si>
    <t>calcCh1Prod1Slot2ChVolShare</t>
  </si>
  <si>
    <t>calcCh1Prod1Slot3ChVolShare</t>
  </si>
  <si>
    <t>calcCh1Prod2Slot1ChVolShare</t>
  </si>
  <si>
    <t>calcCh1Prod2Slot2ChVolShare</t>
  </si>
  <si>
    <t>calcCh1Prod2Slot3ChVolShare</t>
  </si>
  <si>
    <t>calcCh1Prod4Slot1ChVolShare</t>
  </si>
  <si>
    <t>calcCh1Prod4Slot2ChVolShare</t>
  </si>
  <si>
    <t>calcCh1Prod4Slot3ChVolShare</t>
  </si>
  <si>
    <t>calcCh1Prod3Slot1ChVolShare</t>
  </si>
  <si>
    <t>calcCh1Prod3Slot2ChVolShare</t>
  </si>
  <si>
    <t>calcCh1Prod3Slot3ChVolShare</t>
  </si>
  <si>
    <t>calcCh2Prod1Slot1ChVolShare</t>
  </si>
  <si>
    <t>calcCh2Prod1Slot2ChVolShare</t>
  </si>
  <si>
    <t>calcCh2Prod1Slot3ChVolShare</t>
  </si>
  <si>
    <t>calcCh2Prod2Slot1ChVolShare</t>
  </si>
  <si>
    <t>calcCh2Prod2Slot2ChVolShare</t>
  </si>
  <si>
    <t>calcCh2Prod2Slot3ChVolShare</t>
  </si>
  <si>
    <t>calcCh2Prod3Slot1ChVolShare</t>
  </si>
  <si>
    <t>calcCh2Prod3Slot2ChVolShare</t>
  </si>
  <si>
    <t>calcCh2Prod3Slot3ChVolShare</t>
  </si>
  <si>
    <t>calcCh2Prod4Slot1ChVolShare</t>
  </si>
  <si>
    <t>calcCh2Prod4Slot2ChVolShare</t>
  </si>
  <si>
    <t>calcCh2Prod4Slot3ChVolShare</t>
  </si>
  <si>
    <t>calcCh3Prod1Slot1ChVolShare</t>
  </si>
  <si>
    <t>calcCh3Prod1Slot2ChVolShare</t>
  </si>
  <si>
    <t>calcCh3Prod1Slot3ChVolShare</t>
  </si>
  <si>
    <t>calcCh3Prod2Slot1ChVolShare</t>
  </si>
  <si>
    <t>calcCh3Prod2Slot2ChVolShare</t>
  </si>
  <si>
    <t>calcCh3Prod2Slot3ChVolShare</t>
  </si>
  <si>
    <t>calcCh3Prod3Slot1ChVolShare</t>
  </si>
  <si>
    <t>calcCh3Prod3Slot2ChVolShare</t>
  </si>
  <si>
    <t>calcCh3Prod3Slot3ChVolShare</t>
  </si>
  <si>
    <t>calcCh3Prod4Slot1ChVolShare</t>
  </si>
  <si>
    <t>calcCh3Prod4Slot2ChVolShare</t>
  </si>
  <si>
    <t>calcCh3Prod4Slot3ChVolShare</t>
  </si>
  <si>
    <t>calcCh4Prod1Slot1ChVolShare</t>
  </si>
  <si>
    <t>calcCh4Prod1Slot2ChVolShare</t>
  </si>
  <si>
    <t>calcCh4Prod1Slot3ChVolShare</t>
  </si>
  <si>
    <t>calcCh4Prod2Slot1ChVolShare</t>
  </si>
  <si>
    <t>calcCh4Prod2Slot2ChVolShare</t>
  </si>
  <si>
    <t>calcCh4Prod2Slot3ChVolShare</t>
  </si>
  <si>
    <t>calcCh4Prod3Slot1ChVolShare</t>
  </si>
  <si>
    <t>calcCh4Prod3Slot2ChVolShare</t>
  </si>
  <si>
    <t>calcCh4Prod3Slot3ChVolShare</t>
  </si>
  <si>
    <t>calcCh4Prod4Slot1ChVolShare</t>
  </si>
  <si>
    <t>calcCh4Prod4Slot2ChVolShare</t>
  </si>
  <si>
    <t>calcCh4Prod4Slot3ChVolShare</t>
  </si>
  <si>
    <t>calcCh1Prod1Slot1ValDrivExp</t>
  </si>
  <si>
    <t>calcCh1Prod1Slot2ValDrivExp</t>
  </si>
  <si>
    <t>calcCh1Prod1Slot3ValDrivExp</t>
  </si>
  <si>
    <t>calcCh1Prod4Slot1ValDrivExp</t>
  </si>
  <si>
    <t>calcCh1Prod4Slot2ValDrivExp</t>
  </si>
  <si>
    <t>calcCh1Prod4Slot3ValDrivExp</t>
  </si>
  <si>
    <t>calcCh1Prod3Slot1ValDrivExp</t>
  </si>
  <si>
    <t>calcCh1Prod3Slot2ValDrivExp</t>
  </si>
  <si>
    <t>calcCh1Prod3Slot3ValDrivExp</t>
  </si>
  <si>
    <t>calcCh1Prod2Slot1ValDrivExp</t>
  </si>
  <si>
    <t>calcCh1Prod2Slot2ValDrivExp</t>
  </si>
  <si>
    <t>calcCh1Prod2Slot3ValDrivExp</t>
  </si>
  <si>
    <t>calcCh2Prod1Slot1ValDrivExp</t>
  </si>
  <si>
    <t>calcCh2Prod1Slot2ValDrivExp</t>
  </si>
  <si>
    <t>calcCh2Prod1Slot3ValDrivExp</t>
  </si>
  <si>
    <t>calcCh2Prod2Slot1ValDrivExp</t>
  </si>
  <si>
    <t>calcCh2Prod2Slot2ValDrivExp</t>
  </si>
  <si>
    <t>calcCh2Prod2Slot3ValDrivExp</t>
  </si>
  <si>
    <t>calcCh2Prod3Slot1ValDrivExp</t>
  </si>
  <si>
    <t>calcCh2Prod3Slot2ValDrivExp</t>
  </si>
  <si>
    <t>calcCh2Prod3Slot3ValDrivExp</t>
  </si>
  <si>
    <t>calcCh2Prod4Slot1ValDrivExp</t>
  </si>
  <si>
    <t>calcCh2Prod4Slot2ValDrivExp</t>
  </si>
  <si>
    <t>calcCh2Prod4Slot3ValDrivExp</t>
  </si>
  <si>
    <t>calcCh4Prod1Slot1ValDrivExp</t>
  </si>
  <si>
    <t>calcCh4Prod1Slot2ValDrivExp</t>
  </si>
  <si>
    <t>calcCh4Prod1Slot3ValDrivExp</t>
  </si>
  <si>
    <t>calcCh4Prod2Slot1ValDrivExp</t>
  </si>
  <si>
    <t>calcCh4Prod2Slot2ValDrivExp</t>
  </si>
  <si>
    <t>calcCh4Prod2Slot3ValDrivExp</t>
  </si>
  <si>
    <t>calcCh4Prod3Slot1ValDrivExp</t>
  </si>
  <si>
    <t>calcCh4Prod3Slot2ValDrivExp</t>
  </si>
  <si>
    <t>calcCh4Prod3Slot3ValDrivExp</t>
  </si>
  <si>
    <t>calcCh4Prod4Slot1ValDrivExp</t>
  </si>
  <si>
    <t>calcCh4Prod4Slot2ValDrivExp</t>
  </si>
  <si>
    <t>calcCh4Prod4Slot3ValDrivExp</t>
  </si>
  <si>
    <t>calcCh3Prod1Slot1ValDrivExp</t>
  </si>
  <si>
    <t>calcCh3Prod1Slot2ValDrivExp</t>
  </si>
  <si>
    <t>calcCh3Prod1Slot3ValDrivExp</t>
  </si>
  <si>
    <t>calcCh3Prod2Slot1ValDrivExp</t>
  </si>
  <si>
    <t>calcCh3Prod2Slot2ValDrivExp</t>
  </si>
  <si>
    <t>calcCh3Prod2Slot3ValDrivExp</t>
  </si>
  <si>
    <t>calcCh3Prod3Slot1ValDrivExp</t>
  </si>
  <si>
    <t>calcCh3Prod3Slot2ValDrivExp</t>
  </si>
  <si>
    <t>calcCh3Prod3Slot3ValDrivExp</t>
  </si>
  <si>
    <t>calcCh3Prod4Slot1ValDrivExp</t>
  </si>
  <si>
    <t>calcCh3Prod4Slot2ValDrivExp</t>
  </si>
  <si>
    <t>calcCh3Prod4Slot3ValDrivExp</t>
  </si>
  <si>
    <t>Original formulas before changes 2018-04-11 by VNU</t>
  </si>
  <si>
    <t>Average Promo ROI</t>
  </si>
  <si>
    <t>calcCh1Prod1PromoROIavg</t>
  </si>
  <si>
    <t>calcCh1Prod4PromoROIavg</t>
  </si>
  <si>
    <t>calcCh1Prod3PromoROIavg</t>
  </si>
  <si>
    <t>calcCh1Prod2PromoROIavg</t>
  </si>
  <si>
    <t>calcCh1PromoRoiAvg</t>
  </si>
  <si>
    <t>calcCh3Prod1PromoROIavg</t>
  </si>
  <si>
    <t>calcCh3Prod2PromoROIavg</t>
  </si>
  <si>
    <t>calcCh3Prod3PromoROIavg</t>
  </si>
  <si>
    <t>calcCh3Prod4PromoROIavg</t>
  </si>
  <si>
    <t>calcCh3PromoRoiAvg</t>
  </si>
  <si>
    <t>calcCh4Prod1PromoROIavg</t>
  </si>
  <si>
    <t>calcCh4Prod2PromoROIavg</t>
  </si>
  <si>
    <t>calcCh4Prod3PromoROIavg</t>
  </si>
  <si>
    <t>calcCh4Prod4PromoROIavg</t>
  </si>
  <si>
    <t>calcCh4PromoRoiAvg</t>
  </si>
  <si>
    <t>Company Average</t>
  </si>
  <si>
    <t>calcPromoRoiAvg</t>
  </si>
  <si>
    <t>Price per Litre</t>
  </si>
  <si>
    <t>Volume sold on promotion 1</t>
  </si>
  <si>
    <t>calcCh1Prod1Slot1Promo1Vol</t>
  </si>
  <si>
    <t>Promotion 1 Price per Litre</t>
  </si>
  <si>
    <t>calcCh1Prod1Slot1Promo1PricePLitre</t>
  </si>
  <si>
    <t>Volume sold on promotion 2</t>
  </si>
  <si>
    <t>calcCh1Prod1Slot1Promo2Vol</t>
  </si>
  <si>
    <t>Promotion 2 Price per Litre</t>
  </si>
  <si>
    <t>calcCh1Prod1Slot1Promo2PricePLitre</t>
  </si>
  <si>
    <t>Volume sold outside of promotion</t>
  </si>
  <si>
    <t>calcCh1Prod1Slot1NoPromoVol</t>
  </si>
  <si>
    <t>calcCh1Prod1Slot1NoPromoPricePLitre</t>
  </si>
  <si>
    <t>Total volume</t>
  </si>
  <si>
    <t>calcCh1Prod1Slot1TotalVolSold</t>
  </si>
  <si>
    <t>Average price per Litre</t>
  </si>
  <si>
    <t>calcCh1Prod1Slot1AvgPrice</t>
  </si>
  <si>
    <t>calcCh1Prod1Slot2Promo1Vol</t>
  </si>
  <si>
    <t>calcCh1Prod1Slot2Promo1PricePLitre</t>
  </si>
  <si>
    <t>calcCh1Prod1Slot2Promo2Vol</t>
  </si>
  <si>
    <t>calcCh1Prod1Slot2Promo2PricePLitre</t>
  </si>
  <si>
    <t>calcCh1Prod1Slot2NoPromoVol</t>
  </si>
  <si>
    <t>calcCh1Prod1Slot2NoPromoPricePLitre</t>
  </si>
  <si>
    <t>calcCh1Prod1Slot2TotalVolSold</t>
  </si>
  <si>
    <t>calcCh1Prod1Slot2AvgPrice</t>
  </si>
  <si>
    <t>calcCh1Prod1Slot3Promo1Vol</t>
  </si>
  <si>
    <t>calcCh1Prod1Slot3Promo1PricePLitre</t>
  </si>
  <si>
    <t>calcCh1Prod1Slot3Promo2Vol</t>
  </si>
  <si>
    <t>calcCh1Prod1Slot3Promo2PricePLitre</t>
  </si>
  <si>
    <t>calcCh1Prod1Slot3NoPromoVol</t>
  </si>
  <si>
    <t>calcCh1Prod1Slot3NoPromoPricePLitre</t>
  </si>
  <si>
    <t>calcCh1Prod1Slot3TotalVolSold</t>
  </si>
  <si>
    <t>calcCh1Prod1Slot3AvgPrice</t>
  </si>
  <si>
    <t>Aggregate</t>
  </si>
  <si>
    <t>calcCh1Prod1TotalVolSold</t>
  </si>
  <si>
    <t>calcCh1Prod1AvgPrice</t>
  </si>
  <si>
    <t>Total volume sold at customer price</t>
  </si>
  <si>
    <t>calcCh1Prod1VolSoldNoPromo</t>
  </si>
  <si>
    <t>Avg Customer price p Litre</t>
  </si>
  <si>
    <t>calcCh1Prod1AvgCustPrice</t>
  </si>
  <si>
    <t>Total volume Promo1</t>
  </si>
  <si>
    <t>calcCh1Prod1VolSoldPromo1</t>
  </si>
  <si>
    <t>Avg Promo1 Price</t>
  </si>
  <si>
    <t>calcCh1Prod1AvgPricePromo1</t>
  </si>
  <si>
    <t>Total volume Promo2</t>
  </si>
  <si>
    <t>calcCh1Prod1VolSoldPromo2</t>
  </si>
  <si>
    <t>Avg Promo2 Price</t>
  </si>
  <si>
    <t>calcCh1Prod1AvgPricePromo2</t>
  </si>
  <si>
    <t>calcCh1Prod1AvgPromoPrice</t>
  </si>
  <si>
    <t>calcCh1Prod2Slot1Promo1Vol</t>
  </si>
  <si>
    <t>calcCh1Prod2Slot1Promo1PricePLitre</t>
  </si>
  <si>
    <t>calcCh1Prod2Slot1Promo2Vol</t>
  </si>
  <si>
    <t>calcCh1Prod2Slot1Promo2PricePLitre</t>
  </si>
  <si>
    <t>calcCh1Prod2Slot1NoPromoVol</t>
  </si>
  <si>
    <t>calcCh1Prod2Slot1NoPromoPricePLitre</t>
  </si>
  <si>
    <t>calcCh1Prod2Slot1TotalVolSold</t>
  </si>
  <si>
    <t>calcCh1Prod2Slot1AvgPrice</t>
  </si>
  <si>
    <t>calcCh1Prod2Slot2Promo1Vol</t>
  </si>
  <si>
    <t>calcCh1Prod2Slot2Promo1PricePLitre</t>
  </si>
  <si>
    <t>calcCh1Prod2Slot2Promo2Vol</t>
  </si>
  <si>
    <t>calcCh1Prod2Slot2Promo2PricePLitre</t>
  </si>
  <si>
    <t>calcCh1Prod2Slot2NoPromoVol</t>
  </si>
  <si>
    <t>calcCh1Prod2Slot2NoPromoPricePLitre</t>
  </si>
  <si>
    <t>calcCh1Prod2Slot2TotalVolSold</t>
  </si>
  <si>
    <t>calcCh1Prod2Slot2AvgPrice</t>
  </si>
  <si>
    <t>calcCh1Prod2Slot3Promo1Vol</t>
  </si>
  <si>
    <t>calcCh1Prod2Slot3Promo1PricePLitre</t>
  </si>
  <si>
    <t>calcCh1Prod2Slot3Promo2Vol</t>
  </si>
  <si>
    <t>calcCh1Prod2Slot3Promo2PricePLitre</t>
  </si>
  <si>
    <t>calcCh1Prod2Slot3NoPromoVol</t>
  </si>
  <si>
    <t>calcCh1Prod2Slot3NoPromoPricePLitre</t>
  </si>
  <si>
    <t>calcCh1Prod2Slot3TotalVolSold</t>
  </si>
  <si>
    <t>calcCh1Prod2Slot3AvgPrice</t>
  </si>
  <si>
    <t>calcCh1Prod2TotalVolSold</t>
  </si>
  <si>
    <t>calcCh1Prod2AvgPrice</t>
  </si>
  <si>
    <t>calcCh1Prod2VolSoldNoPromo</t>
  </si>
  <si>
    <t>calcCh1Prod2AvgCustPrice</t>
  </si>
  <si>
    <t>calcCh1Prod2VolSoldPromo1</t>
  </si>
  <si>
    <t>calcCh1Prod2AvgPricePromo1</t>
  </si>
  <si>
    <t>calcCh1Prod2VolSoldPromo2</t>
  </si>
  <si>
    <t>calcCh1Prod2AvgPricePromo2</t>
  </si>
  <si>
    <t>calcCh1Prod2AvgPromoPrice</t>
  </si>
  <si>
    <t>calcCh1Prod3Slot1Promo1Vol</t>
  </si>
  <si>
    <t>calcCh1Prod3Slot1Promo1PricePLitre</t>
  </si>
  <si>
    <t>calcCh1Prod3Slot1Promo2Vol</t>
  </si>
  <si>
    <t>calcCh1Prod3Slot1Promo2PricePLitre</t>
  </si>
  <si>
    <t>calcCh1Prod3Slot1NoPromoVol</t>
  </si>
  <si>
    <t>calcCh1Prod3Slot1NoPromoPricePLitre</t>
  </si>
  <si>
    <t>calcCh1Prod3Slot1TotalVolSold</t>
  </si>
  <si>
    <t>calcCh1Prod3Slot1AvgPrice</t>
  </si>
  <si>
    <t>calcCh1Prod3Slot2Promo1Vol</t>
  </si>
  <si>
    <t>calcCh1Prod3Slot2Promo1PricePLitre</t>
  </si>
  <si>
    <t>calcCh1Prod3Slot2Promo2Vol</t>
  </si>
  <si>
    <t>calcCh1Prod3Slot2Promo2PricePLitre</t>
  </si>
  <si>
    <t>calcCh1Prod3Slot2NoPromoVol</t>
  </si>
  <si>
    <t>calcCh1Prod3Slot2NoPromoPricePLitre</t>
  </si>
  <si>
    <t>calcCh1Prod3Slot2TotalVolSold</t>
  </si>
  <si>
    <t>calcCh1Prod3Slot2AvgPrice</t>
  </si>
  <si>
    <t>calcCh1Prod3Slot3Promo1Vol</t>
  </si>
  <si>
    <t>calcCh1Prod3Slot3Promo1PricePLitre</t>
  </si>
  <si>
    <t>calcCh1Prod3Slot3Promo2Vol</t>
  </si>
  <si>
    <t>calcCh1Prod3Slot3Promo2PricePLitre</t>
  </si>
  <si>
    <t>calcCh1Prod3Slot3NoPromoVol</t>
  </si>
  <si>
    <t>calcCh1Prod3Slot3NoPromoPricePLitre</t>
  </si>
  <si>
    <t>calcCh1Prod3Slot3TotalVolSold</t>
  </si>
  <si>
    <t>calcCh1Prod3Slot3AvgPrice</t>
  </si>
  <si>
    <t>calcCh1Prod3TotalVolSold</t>
  </si>
  <si>
    <t>calcCh1Prod3AvgPrice</t>
  </si>
  <si>
    <t>calcCh1Prod3VolSoldNoPromo</t>
  </si>
  <si>
    <t>calcCh1Prod3AvgCustPrice</t>
  </si>
  <si>
    <t>calcCh1Prod3VolSoldPromo1</t>
  </si>
  <si>
    <t>calcCh1Prod3AvgPricePromo1</t>
  </si>
  <si>
    <t>calcCh1Prod3VolSoldPromo2</t>
  </si>
  <si>
    <t>calcCh1Prod3AvgPricePromo2</t>
  </si>
  <si>
    <t>calcCh1Prod3AvgPromoPrice</t>
  </si>
  <si>
    <t>calcCh1Prod4Slot1Promo1Vol</t>
  </si>
  <si>
    <t>calcCh1Prod4Slot1Promo1PricePLitre</t>
  </si>
  <si>
    <t>calcCh1Prod4Slot1Promo2Vol</t>
  </si>
  <si>
    <t>calcCh1Prod4Slot1Promo2PricePLitre</t>
  </si>
  <si>
    <t>calcCh1Prod4Slot1NoPromoVol</t>
  </si>
  <si>
    <t>calcCh1Prod4Slot1NoPromoPricePLitre</t>
  </si>
  <si>
    <t>calcCh1Prod4Slot1TotalVolSold</t>
  </si>
  <si>
    <t>calcCh1Prod4Slot1AvgPrice</t>
  </si>
  <si>
    <t>calcCh1Prod4Slot2Promo1Vol</t>
  </si>
  <si>
    <t>calcCh1Prod4Slot2Promo1PricePLitre</t>
  </si>
  <si>
    <t>calcCh1Prod4Slot2Promo2Vol</t>
  </si>
  <si>
    <t>calcCh1Prod4Slot2Promo2PricePLitre</t>
  </si>
  <si>
    <t>calcCh1Prod4Slot2NoPromoVol</t>
  </si>
  <si>
    <t>calcCh1Prod4Slot2NoPromoPricePLitre</t>
  </si>
  <si>
    <t>calcCh1Prod4Slot2TotalVolSold</t>
  </si>
  <si>
    <t>calcCh1Prod4Slot2AvgPrice</t>
  </si>
  <si>
    <t>calcCh1Prod4Slot3Promo1Vol</t>
  </si>
  <si>
    <t>calcCh1Prod4Slot3Promo1PricePLitre</t>
  </si>
  <si>
    <t>calcCh1Prod4Slot3Promo2Vol</t>
  </si>
  <si>
    <t>calcCh1Prod4Slot3Promo2PricePLitre</t>
  </si>
  <si>
    <t>calcCh1Prod4Slot3NoPromoVol</t>
  </si>
  <si>
    <t>calcCh1Prod4Slot3NoPromoPricePLitre</t>
  </si>
  <si>
    <t>calcCh1Prod4Slot3TotalVolSold</t>
  </si>
  <si>
    <t>calcCh1Prod4Slot3AvgPrice</t>
  </si>
  <si>
    <t>calcCh1Prod4TotalVolSold</t>
  </si>
  <si>
    <t>calcCh1Prod4AvgPrice</t>
  </si>
  <si>
    <t>calcCh1Prod4VolSoldNoPromo</t>
  </si>
  <si>
    <t>calcCh1Prod4AvgCustPrice</t>
  </si>
  <si>
    <t>calcCh1Prod4VolSoldPromo1</t>
  </si>
  <si>
    <t>calcCh1Prod4AvgPricePromo1</t>
  </si>
  <si>
    <t>calcCh1Prod4VolSoldPromo2</t>
  </si>
  <si>
    <t>calcCh1Prod4AvgPricePromo2</t>
  </si>
  <si>
    <t>calcCh1Prod4AvgPromoPrice</t>
  </si>
  <si>
    <t>calcCh3Prod1Slot1Promo1Vol</t>
  </si>
  <si>
    <t>calcCh3Prod1Slot1Promo1PricePLitre</t>
  </si>
  <si>
    <t>calcCh3Prod1Slot1NoPromoVol</t>
  </si>
  <si>
    <t>calcCh3Prod1Slot1NoPromoPricePLitre</t>
  </si>
  <si>
    <t>calcCh3Prod1Slot1TotalVolSold</t>
  </si>
  <si>
    <t>calcCh3Prod1Slot1AvgPrice</t>
  </si>
  <si>
    <t>calcCh3Prod1Slot2Promo1Vol</t>
  </si>
  <si>
    <t>calcCh3Prod1Slot2Promo1PricePLitre</t>
  </si>
  <si>
    <t>calcCh3Prod1Slot2NoPromoVol</t>
  </si>
  <si>
    <t>calcCh3Prod1Slot2NoPromoPricePLitre</t>
  </si>
  <si>
    <t>calcCh3Prod1Slot2TotalVolSold</t>
  </si>
  <si>
    <t>calcCh3Prod1Slot2AvgPrice</t>
  </si>
  <si>
    <t>calcCh3Prod1Slot3Promo1Vol</t>
  </si>
  <si>
    <t>calcCh3Prod1Slot3Promo1PricePLitre</t>
  </si>
  <si>
    <t>calcCh3Prod1Slot3NoPromoVol</t>
  </si>
  <si>
    <t>calcCh3Prod1Slot3NoPromoPricePLitre</t>
  </si>
  <si>
    <t>calcCh3Prod1Slot3TotalVolSold</t>
  </si>
  <si>
    <t>calcCh3Prod1Slot3AvgPrice</t>
  </si>
  <si>
    <t>calcCh3Prod1TotalVolSold</t>
  </si>
  <si>
    <t>calcCh3Prod1AvgPrice</t>
  </si>
  <si>
    <t>calcCh3Prod1VolSoldNoPromo</t>
  </si>
  <si>
    <t>calcCh3Prod1AvgCustPrice</t>
  </si>
  <si>
    <t>calcCh3Prod1VolSoldPromo1</t>
  </si>
  <si>
    <t>calcCh3Prod1AvgPricePromo1</t>
  </si>
  <si>
    <t>calcCh3Prod2Slot1Promo1Vol</t>
  </si>
  <si>
    <t>calcCh3Prod2Slot1Promo1PricePLitre</t>
  </si>
  <si>
    <t>calcCh3Prod2Slot1NoPromoVol</t>
  </si>
  <si>
    <t>calcCh3Prod2Slot1NoPromoPricePLitre</t>
  </si>
  <si>
    <t>calcCh3Prod2Slot1TotalVolSold</t>
  </si>
  <si>
    <t>calcCh3Prod2Slot1AvgPrice</t>
  </si>
  <si>
    <t>calcCh3Prod2Slot2Promo1Vol</t>
  </si>
  <si>
    <t>calcCh3Prod2Slot2Promo1PricePLitre</t>
  </si>
  <si>
    <t>calcCh3Prod2Slot2NoPromoVol</t>
  </si>
  <si>
    <t>calcCh3Prod2Slot2NoPromoPricePLitre</t>
  </si>
  <si>
    <t>calcCh3Prod2Slot2TotalVolSold</t>
  </si>
  <si>
    <t>calcCh3Prod2Slot2AvgPrice</t>
  </si>
  <si>
    <t>calcCh3Prod2Slot3Promo1Vol</t>
  </si>
  <si>
    <t>calcCh3Prod2Slot3Promo1PricePLitre</t>
  </si>
  <si>
    <t>calcCh3Prod2Slot3NoPromoVol</t>
  </si>
  <si>
    <t>calcCh3Prod2Slot3NoPromoPricePLitre</t>
  </si>
  <si>
    <t>calcCh3Prod2Slot3TotalVolSold</t>
  </si>
  <si>
    <t>calcCh3Prod2Slot3AvgPrice</t>
  </si>
  <si>
    <t>calcCh3Prod2TotalVolSold</t>
  </si>
  <si>
    <t>calcCh3Prod2AvgPrice</t>
  </si>
  <si>
    <t>calcCh3Prod2VolSoldNoPromo</t>
  </si>
  <si>
    <t>calcCh3Prod2AvgCustPrice</t>
  </si>
  <si>
    <t>calcCh3Prod2VolSoldPromo1</t>
  </si>
  <si>
    <t>calcCh3Prod2AvgPricePromo1</t>
  </si>
  <si>
    <t>calcCh3Prod3Slot1Promo1Vol</t>
  </si>
  <si>
    <t>calcCh3Prod3Slot1Promo1PricePLitre</t>
  </si>
  <si>
    <t>calcCh3Prod3Slot1NoPromoVol</t>
  </si>
  <si>
    <t>calcCh3Prod3Slot1NoPromoPricePLitre</t>
  </si>
  <si>
    <t>calcCh3Prod3Slot1TotalVolSold</t>
  </si>
  <si>
    <t>calcCh3Prod3Slot1AvgPrice</t>
  </si>
  <si>
    <t>calcCh3Prod3Slot2Promo1Vol</t>
  </si>
  <si>
    <t>calcCh3Prod3Slot2Promo1PricePLitre</t>
  </si>
  <si>
    <t>calcCh3Prod3Slot2NoPromoVol</t>
  </si>
  <si>
    <t>calcCh3Prod3Slot2NoPromoPricePLitre</t>
  </si>
  <si>
    <t>calcCh3Prod3Slot2TotalVolSold</t>
  </si>
  <si>
    <t>calcCh3Prod3Slot2AvgPrice</t>
  </si>
  <si>
    <t>calcCh3Prod3Slot3Promo1Vol</t>
  </si>
  <si>
    <t>calcCh3Prod3Slot3Promo1PricePLitre</t>
  </si>
  <si>
    <t>calcCh3Prod3Slot3NoPromoVol</t>
  </si>
  <si>
    <t>calcCh3Prod3Slot3NoPromoPricePLitre</t>
  </si>
  <si>
    <t>calcCh3Prod3Slot3TotalVolSold</t>
  </si>
  <si>
    <t>calcCh3Prod3Slot3AvgPrice</t>
  </si>
  <si>
    <t>calcCh3Prod3TotalVolSold</t>
  </si>
  <si>
    <t>calcCh3Prod3AvgPrice</t>
  </si>
  <si>
    <t>calcCh3Prod3VolSoldNoPromo</t>
  </si>
  <si>
    <t>calcCh3Prod3AvgCustPrice</t>
  </si>
  <si>
    <t>calcCh3Prod3VolSoldPromo1</t>
  </si>
  <si>
    <t>calcCh3Prod3AvgPricePromo1</t>
  </si>
  <si>
    <t>calcCh3Prod4Slot1Promo1Vol</t>
  </si>
  <si>
    <t>calcCh3Prod4Slot1Promo1PricePLitre</t>
  </si>
  <si>
    <t>calcCh3Prod4Slot1NoPromoVol</t>
  </si>
  <si>
    <t>calcCh3Prod4Slot1NoPromoPricePLitre</t>
  </si>
  <si>
    <t>calcCh3Prod4Slot1TotalVolSold</t>
  </si>
  <si>
    <t>calcCh3Prod4Slot1AvgPrice</t>
  </si>
  <si>
    <t>calcCh3Prod4Slot2Promo1Vol</t>
  </si>
  <si>
    <t>calcCh3Prod4Slot2Promo1PricePLitre</t>
  </si>
  <si>
    <t>calcCh3Prod4Slot2NoPromoVol</t>
  </si>
  <si>
    <t>calcCh3Prod4Slot2NoPromoPricePLitre</t>
  </si>
  <si>
    <t>calcCh3Prod4Slot2TotalVolSold</t>
  </si>
  <si>
    <t>calcCh3Prod4Slot2AvgPrice</t>
  </si>
  <si>
    <t>calcCh3Prod4Slot3Promo1Vol</t>
  </si>
  <si>
    <t>calcCh3Prod4Slot3Promo1PricePLitre</t>
  </si>
  <si>
    <t>calcCh3Prod4Slot3NoPromoVol</t>
  </si>
  <si>
    <t>calcCh3Prod4Slot3NoPromoPricePLitre</t>
  </si>
  <si>
    <t>calcCh3Prod4Slot3TotalVolSold</t>
  </si>
  <si>
    <t>calcCh3Prod4Slot3AvgPrice</t>
  </si>
  <si>
    <t>calcCh3Prod4TotalVolSold</t>
  </si>
  <si>
    <t>calcCh3Prod4AvgPrice</t>
  </si>
  <si>
    <t>calcCh3Prod4VolSoldNoPromo</t>
  </si>
  <si>
    <t>calcCh3Prod4AvgCustPrice</t>
  </si>
  <si>
    <t>calcCh3Prod4VolSoldPromo1</t>
  </si>
  <si>
    <t>calcCh3Prod4AvgPricePromo1</t>
  </si>
  <si>
    <t>calcCh4Prod1Slot1Promo1Vol</t>
  </si>
  <si>
    <t>calcCh4Prod1Slot1Promo1PricePLitre</t>
  </si>
  <si>
    <t>calcCh4Prod1Slot1NoPromoVol</t>
  </si>
  <si>
    <t>calcCh4Prod1Slot1NoPromoPricePLitre</t>
  </si>
  <si>
    <t>calcCh4Prod1Slot1TotalVolSold</t>
  </si>
  <si>
    <t>calcCh4Prod1Slot1AvgPrice</t>
  </si>
  <si>
    <t>calcCh4Prod1Slot2Promo1Vol</t>
  </si>
  <si>
    <t>calcCh4Prod1Slot2Promo1PricePLitre</t>
  </si>
  <si>
    <t>calcCh4Prod1Slot2NoPromoVol</t>
  </si>
  <si>
    <t>calcCh4Prod1Slot2NoPromoPricePLitre</t>
  </si>
  <si>
    <t>calcCh4Prod1Slot2TotalVolSold</t>
  </si>
  <si>
    <t>calcCh4Prod1Slot2AvgPrice</t>
  </si>
  <si>
    <t>calcCh4Prod1Slot3Promo1Vol</t>
  </si>
  <si>
    <t>calcCh4Prod1Slot3Promo1PricePLitre</t>
  </si>
  <si>
    <t>calcCh4Prod1Slot3NoPromoVol</t>
  </si>
  <si>
    <t>calcCh4Prod1Slot3NoPromoPricePLitre</t>
  </si>
  <si>
    <t>calcCh4Prod1Slot3TotalVolSold</t>
  </si>
  <si>
    <t>calcCh4Prod1Slot3AvgPrice</t>
  </si>
  <si>
    <t>calcCh4Prod1TotalVolSold</t>
  </si>
  <si>
    <t>calcCh4Prod1AvgPrice</t>
  </si>
  <si>
    <t>calcCh4Prod1VolSoldNoPromo</t>
  </si>
  <si>
    <t>calcCh4Prod1AvgCustPrice</t>
  </si>
  <si>
    <t>calcCh4Prod1VolSoldPromo1</t>
  </si>
  <si>
    <t>calcCh4Prod1AvgPricePromo1</t>
  </si>
  <si>
    <t>calcCh4Prod2Slot1Promo1Vol</t>
  </si>
  <si>
    <t>calcCh4Prod2Slot1Promo1PricePLitre</t>
  </si>
  <si>
    <t>calcCh4Prod2Slot1NoPromoVol</t>
  </si>
  <si>
    <t>calcCh4Prod2Slot1NoPromoPricePLitre</t>
  </si>
  <si>
    <t>calcCh4Prod2Slot1TotalVolSold</t>
  </si>
  <si>
    <t>calcCh4Prod2Slot1AvgPrice</t>
  </si>
  <si>
    <t>calcCh4Prod2Slot2Promo1Vol</t>
  </si>
  <si>
    <t>calcCh4Prod2Slot2Promo1PricePLitre</t>
  </si>
  <si>
    <t>calcCh4Prod2Slot2NoPromoVol</t>
  </si>
  <si>
    <t>calcCh4Prod2Slot2NoPromoPricePLitre</t>
  </si>
  <si>
    <t>calcCh4Prod2Slot2TotalVolSold</t>
  </si>
  <si>
    <t>calcCh4Prod2Slot2AvgPrice</t>
  </si>
  <si>
    <t>calcCh4Prod2Slot3Promo1Vol</t>
  </si>
  <si>
    <t>calcCh4Prod2Slot3Promo1PricePLitre</t>
  </si>
  <si>
    <t>calcCh4Prod2Slot3NoPromoVol</t>
  </si>
  <si>
    <t>calcCh4Prod2Slot3NoPromoPricePLitre</t>
  </si>
  <si>
    <t>calcCh4Prod2Slot3TotalVolSold</t>
  </si>
  <si>
    <t>calcCh4Prod2Slot3AvgPrice</t>
  </si>
  <si>
    <t>calcCh4Prod2TotalVolSold</t>
  </si>
  <si>
    <t>calcCh4Prod2AvgPrice</t>
  </si>
  <si>
    <t>calcCh4Prod2VolSoldNoPromo</t>
  </si>
  <si>
    <t>calcCh4Prod2AvgCustPrice</t>
  </si>
  <si>
    <t>calcCh4Prod2VolSoldPromo1</t>
  </si>
  <si>
    <t>calcCh4Prod2AvgPricePromo1</t>
  </si>
  <si>
    <t>calcCh4Prod3Slot1Promo1Vol</t>
  </si>
  <si>
    <t>calcCh4Prod3Slot1Promo1PricePLitre</t>
  </si>
  <si>
    <t>calcCh4Prod3Slot1NoPromoVol</t>
  </si>
  <si>
    <t>calcCh4Prod3Slot1NoPromoPricePLitre</t>
  </si>
  <si>
    <t>calcCh4Prod3Slot1TotalVolSold</t>
  </si>
  <si>
    <t>calcCh4Prod3Slot1AvgPrice</t>
  </si>
  <si>
    <t>calcCh4Prod3Slot2Promo1Vol</t>
  </si>
  <si>
    <t>calcCh4Prod3Slot2Promo1PricePLitre</t>
  </si>
  <si>
    <t>calcCh4Prod3Slot2NoPromoVol</t>
  </si>
  <si>
    <t>calcCh4Prod3Slot2NoPromoPricePLitre</t>
  </si>
  <si>
    <t>calcCh4Prod3Slot2TotalVolSold</t>
  </si>
  <si>
    <t>calcCh4Prod3Slot2AvgPrice</t>
  </si>
  <si>
    <t>calcCh4Prod3Slot3Promo1Vol</t>
  </si>
  <si>
    <t>calcCh4Prod3Slot3Promo1PricePLitre</t>
  </si>
  <si>
    <t>calcCh4Prod3Slot3NoPromoVol</t>
  </si>
  <si>
    <t>calcCh4Prod3Slot3NoPromoPricePLitre</t>
  </si>
  <si>
    <t>calcCh4Prod3Slot3TotalVolSold</t>
  </si>
  <si>
    <t>calcCh4Prod3Slot3AvgPrice</t>
  </si>
  <si>
    <t>calcCh4Prod3TotalVolSold</t>
  </si>
  <si>
    <t>calcCh4Prod3AvgPrice</t>
  </si>
  <si>
    <t>calcCh4Prod3VolSoldNoPromo</t>
  </si>
  <si>
    <t>calcCh4Prod3AvgCustPrice</t>
  </si>
  <si>
    <t>calcCh4Prod3VolSoldPromo1</t>
  </si>
  <si>
    <t>calcCh4Prod3AvgPricePromo1</t>
  </si>
  <si>
    <t>calcCh4Prod4Slot1Promo1Vol</t>
  </si>
  <si>
    <t>calcCh4Prod4Slot1Promo1PricePLitre</t>
  </si>
  <si>
    <t>calcCh4Prod4Slot1NoPromoVol</t>
  </si>
  <si>
    <t>calcCh4Prod4Slot1NoPromoPricePLitre</t>
  </si>
  <si>
    <t>calcCh4Prod4Slot1TotalVolSold</t>
  </si>
  <si>
    <t>calcCh4Prod4Slot1AvgPrice</t>
  </si>
  <si>
    <t>calcCh4Prod4Slot2Promo1Vol</t>
  </si>
  <si>
    <t>calcCh4Prod4Slot2Promo1PricePLitre</t>
  </si>
  <si>
    <t>calcCh4Prod4Slot2NoPromoVol</t>
  </si>
  <si>
    <t>calcCh4Prod4Slot2NoPromoPricePLitre</t>
  </si>
  <si>
    <t>calcCh4Prod4Slot2TotalVolSold</t>
  </si>
  <si>
    <t>calcCh4Prod4Slot2AvgPrice</t>
  </si>
  <si>
    <t>calcCh4Prod4Slot3Promo1Vol</t>
  </si>
  <si>
    <t>calcCh4Prod4Slot3Promo1PricePLitre</t>
  </si>
  <si>
    <t>calcCh4Prod4Slot3NoPromoVol</t>
  </si>
  <si>
    <t>calcCh4Prod4Slot3NoPromoPricePLitre</t>
  </si>
  <si>
    <t>calcCh4Prod4Slot3TotalVolSold</t>
  </si>
  <si>
    <t>calcCh4Prod4Slot3AvgPrice</t>
  </si>
  <si>
    <t>calcCh4Prod4TotalVolSold</t>
  </si>
  <si>
    <t>calcCh4Prod4AvgPrice</t>
  </si>
  <si>
    <t>calcCh4Prod4VolSoldNoPromo</t>
  </si>
  <si>
    <t>calcCh4Prod4AvgCustPrice</t>
  </si>
  <si>
    <t>calcCh4Prod4VolSoldPromo1</t>
  </si>
  <si>
    <t>calcCh4Prod4AvgPricePromo1</t>
  </si>
  <si>
    <t>calcCh3Prod1AvgPromoPrice</t>
  </si>
  <si>
    <t>calcCh3Prod2AvgPromoPrice</t>
  </si>
  <si>
    <t>calcCh3Prod3AvgPromoPrice</t>
  </si>
  <si>
    <t>calcCh3Prod4AvgPromoPrice</t>
  </si>
  <si>
    <t>calcCh4Prod1AvgPromoPrice</t>
  </si>
  <si>
    <t>calcCh4Prod2AvgPromoPrice</t>
  </si>
  <si>
    <t>calcCh4Prod3AvgPromoPrice</t>
  </si>
  <si>
    <t>calcCh4Prod4AvgPromoPrice</t>
  </si>
  <si>
    <t>Value Driver Impact</t>
  </si>
  <si>
    <t>calcCh1WDAccInv</t>
  </si>
  <si>
    <t>calcCh1WDValDriv1</t>
  </si>
  <si>
    <t>calcCh4WDAccInv</t>
  </si>
  <si>
    <t>calcCh4WDValDriv1</t>
  </si>
  <si>
    <t>calcCh3WDAccInv</t>
  </si>
  <si>
    <t>calcCh3WDValDriv1</t>
  </si>
  <si>
    <t>calcCh2WDAccInv</t>
  </si>
  <si>
    <t>calcCh2WDValDriv1</t>
  </si>
  <si>
    <t>Level</t>
  </si>
  <si>
    <t>Conditionality ok?</t>
  </si>
  <si>
    <t>dataNewSlots</t>
  </si>
  <si>
    <t>If high Cond.</t>
  </si>
  <si>
    <t>calcCh1NewSlots</t>
  </si>
  <si>
    <t>obalCh1Slots</t>
  </si>
  <si>
    <t>obalCh2Slots</t>
  </si>
  <si>
    <t>obalCh3Slots</t>
  </si>
  <si>
    <t>obalCh4Slots</t>
  </si>
  <si>
    <t>cbalCh1Slots</t>
  </si>
  <si>
    <t>cbalCh2Slots</t>
  </si>
  <si>
    <t>cbalCh3Slots</t>
  </si>
  <si>
    <t>cbalCh4Slots</t>
  </si>
  <si>
    <t>calcCh4NewSlots</t>
  </si>
  <si>
    <t>calcCh3NewSlots</t>
  </si>
  <si>
    <t>calcCh2NewSlots</t>
  </si>
  <si>
    <t>Hypermarkets Volume</t>
  </si>
  <si>
    <t>Discounters Volume</t>
  </si>
  <si>
    <t>Convenience Volume</t>
  </si>
  <si>
    <t>On-Trade Volume</t>
  </si>
  <si>
    <t>Hypermarkets - Greenborg - Making a Statement</t>
  </si>
  <si>
    <t>Hypermarkets - Greenborg - Celebrating &amp; Fun</t>
  </si>
  <si>
    <t>Hypermarkets - Greenborg - Relax &amp; Unwind</t>
  </si>
  <si>
    <t>Hypermarkets - Greenborg - Connecting &amp; Bonding</t>
  </si>
  <si>
    <t>Hypermarkets - Local Power - Making a Statement</t>
  </si>
  <si>
    <t>Hypermarkets - Local Power - Celebrating &amp; Fun</t>
  </si>
  <si>
    <t>Hypermarkets - Local Power - Relax &amp; Unwind</t>
  </si>
  <si>
    <t>Hypermarkets - Local Power - Connecting &amp; Bonding</t>
  </si>
  <si>
    <t>Hypermarkets - Brew Master - Making a Statement</t>
  </si>
  <si>
    <t>Hypermarkets - Brew Master - Celebrating &amp; Fun</t>
  </si>
  <si>
    <t>Hypermarkets - Brew Master - Relax &amp; Unwind</t>
  </si>
  <si>
    <t>Hypermarkets - Brew Master - Connecting &amp; Bonding</t>
  </si>
  <si>
    <t>Discounters - Greenborg - Making a Statement</t>
  </si>
  <si>
    <t>Discounters - Greenborg - Celebrating &amp; Fun</t>
  </si>
  <si>
    <t>Discounters - Greenborg - Relax &amp; Unwind</t>
  </si>
  <si>
    <t>Discounters - Greenborg - Connecting &amp; Bonding</t>
  </si>
  <si>
    <t>Discounters - Local Power - Making a Statement</t>
  </si>
  <si>
    <t>Discounters - Local Power - Celebrating &amp; Fun</t>
  </si>
  <si>
    <t>Discounters - Local Power - Relax &amp; Unwind</t>
  </si>
  <si>
    <t>Discounters - Local Power - Connecting &amp; Bonding</t>
  </si>
  <si>
    <t>Discounters - Brew Master - Making a Statement</t>
  </si>
  <si>
    <t>Discounters - Brew Master - Celebrating &amp; Fun</t>
  </si>
  <si>
    <t>Discounters - Brew Master - Relax &amp; Unwind</t>
  </si>
  <si>
    <t>Discounters - Brew Master - Connecting &amp; Bonding</t>
  </si>
  <si>
    <t>Convenience - Greenborg - Making a Statement</t>
  </si>
  <si>
    <t>Convenience - Greenborg - Celebrating &amp; Fun</t>
  </si>
  <si>
    <t>Convenience - Greenborg - Relax &amp; Unwind</t>
  </si>
  <si>
    <t>Convenience - Greenborg - Connecting &amp; Bonding</t>
  </si>
  <si>
    <t>Convenience - Local Power - Making a Statement</t>
  </si>
  <si>
    <t>Convenience - Local Power - Celebrating &amp; Fun</t>
  </si>
  <si>
    <t>Convenience - Local Power - Relax &amp; Unwind</t>
  </si>
  <si>
    <t>Convenience - Local Power - Connecting &amp; Bonding</t>
  </si>
  <si>
    <t>Convenience - Brew Master - Making a Statement</t>
  </si>
  <si>
    <t>Convenience - Brew Master - Celebrating &amp; Fun</t>
  </si>
  <si>
    <t>Convenience - Brew Master - Relax &amp; Unwind</t>
  </si>
  <si>
    <t>Convenience - Brew Master - Connecting &amp; Bonding</t>
  </si>
  <si>
    <t>On-Trade - Greenborg - Making a Statement</t>
  </si>
  <si>
    <t>On-Trade - Greenborg - Celebrating &amp; Fun</t>
  </si>
  <si>
    <t>On-Trade - Greenborg - Relax &amp; Unwind</t>
  </si>
  <si>
    <t>On-Trade - Greenborg - Connecting &amp; Bonding</t>
  </si>
  <si>
    <t>On-Trade - Local Power - Making a Statement</t>
  </si>
  <si>
    <t>On-Trade - Local Power - Celebrating &amp; Fun</t>
  </si>
  <si>
    <t>On-Trade - Local Power - Relax &amp; Unwind</t>
  </si>
  <si>
    <t>On-Trade - Local Power - Connecting &amp; Bonding</t>
  </si>
  <si>
    <t>On-Trade - Brew Master - Making a Statement</t>
  </si>
  <si>
    <t>On-Trade - Brew Master - Celebrating &amp; Fun</t>
  </si>
  <si>
    <t>On-Trade - Brew Master - Relax &amp; Unwind</t>
  </si>
  <si>
    <t>On-Trade - Brew Master - Connecting &amp; Bonding</t>
  </si>
  <si>
    <t>MTUs Required</t>
  </si>
  <si>
    <t>MTUs Req</t>
  </si>
  <si>
    <t>Baseline WD Hypermarkets</t>
  </si>
  <si>
    <t>Total - Hypermarkets</t>
  </si>
  <si>
    <t>Total - Discounters</t>
  </si>
  <si>
    <t>Total - Convenience</t>
  </si>
  <si>
    <t>Total - On-Trade</t>
  </si>
  <si>
    <t>Hypermarkets Pricing</t>
  </si>
  <si>
    <t>Discounters Pricing</t>
  </si>
  <si>
    <t>Convenience Pricing</t>
  </si>
  <si>
    <t>On-Trade Pricing</t>
  </si>
  <si>
    <t>Greenborg Slot 2</t>
  </si>
  <si>
    <t>Greenborg Slot 3</t>
  </si>
  <si>
    <t>Harken Slot 2</t>
  </si>
  <si>
    <t>Harken Slot 3</t>
  </si>
  <si>
    <t>Kara Slot 2</t>
  </si>
  <si>
    <t>Kara Slot 3</t>
  </si>
  <si>
    <t>Brew Master Slot 1</t>
  </si>
  <si>
    <t>Brew Master Slot 2</t>
  </si>
  <si>
    <t>Brew Master Slot 3</t>
  </si>
  <si>
    <t>Brewery Plant Units Available</t>
  </si>
  <si>
    <t>Brewery Plant Units Sold</t>
  </si>
  <si>
    <t>Brewery Plant Units Bought</t>
  </si>
  <si>
    <t>Brewery ending plant units</t>
  </si>
  <si>
    <t>Greenborg Product</t>
  </si>
  <si>
    <t>Pack Fit - Hypermarkets</t>
  </si>
  <si>
    <t>Hypermarkets - Greenborg - Slot 1</t>
  </si>
  <si>
    <t>Fit to Making a Statement</t>
  </si>
  <si>
    <t>Total Fit Making a Statement</t>
  </si>
  <si>
    <t>Fit to Celebrating &amp; Fun</t>
  </si>
  <si>
    <t>Total Fit Celebrating &amp; Fun</t>
  </si>
  <si>
    <t>Fit to Relax &amp; Unwind</t>
  </si>
  <si>
    <t>Total Fit Relax &amp; Unwind</t>
  </si>
  <si>
    <t>Fit to Connecting &amp; Bonding</t>
  </si>
  <si>
    <t>Total Fit Connecting &amp; Bonding</t>
  </si>
  <si>
    <t>Hypermarkets - Greenborg - Slot 2</t>
  </si>
  <si>
    <t>Hypermarkets - Greenborg - Slot 3</t>
  </si>
  <si>
    <t>Hypermarkets - Harken - Slot 1</t>
  </si>
  <si>
    <t>Hypermarkets - Harken - Slot 2</t>
  </si>
  <si>
    <t>Hypermarkets - Harken - Slot 3</t>
  </si>
  <si>
    <t>Hypermarkets - Kara - Slot 1</t>
  </si>
  <si>
    <t>Hypermarkets - Kara - Slot 2</t>
  </si>
  <si>
    <t>Hypermarkets - Kara - Slot 3</t>
  </si>
  <si>
    <t>Hypermarkets - Brew Master - Slot 1</t>
  </si>
  <si>
    <t>Hypermarkets - Brew Master - Slot 2</t>
  </si>
  <si>
    <t>Hypermarkets - Brew Master - Slot 3</t>
  </si>
  <si>
    <t>Pack Fit - Discounters</t>
  </si>
  <si>
    <t>Discounters - Greenborg - Slot 1</t>
  </si>
  <si>
    <t>Discounters - Greenborg - Slot 2</t>
  </si>
  <si>
    <t>Discounters - Greenborg - Slot 3</t>
  </si>
  <si>
    <t>Discounters - Harken - Slot 1</t>
  </si>
  <si>
    <t>Discounters - Harken - Slot 2</t>
  </si>
  <si>
    <t>Discounters - Harken - Slot 3</t>
  </si>
  <si>
    <t>Discounters - Kara - Slot 1</t>
  </si>
  <si>
    <t>Discounters - Kara - Slot 2</t>
  </si>
  <si>
    <t>Discounters - Kara - Slot 3</t>
  </si>
  <si>
    <t>Discounters - Brew Master - Slot 1</t>
  </si>
  <si>
    <t>Discounters - Brew Master - Slot 2</t>
  </si>
  <si>
    <t>Discounters - Brew Master - Slot 3</t>
  </si>
  <si>
    <t>Pack Fit - Convenience</t>
  </si>
  <si>
    <t>Convenience - Greenborg - Slot 1</t>
  </si>
  <si>
    <t>Convenience - Greenborg - Slot 2</t>
  </si>
  <si>
    <t>Convenience - Greenborg - Slot 3</t>
  </si>
  <si>
    <t>Convenience - Harken - Slot 1</t>
  </si>
  <si>
    <t>Convenience - Harken - Slot 2</t>
  </si>
  <si>
    <t>Convenience - Harken - Slot 3</t>
  </si>
  <si>
    <t>Convenience - Kara - Slot 1</t>
  </si>
  <si>
    <t>Convenience - Kara - Slot 2</t>
  </si>
  <si>
    <t>Convenience - Kara - Slot 3</t>
  </si>
  <si>
    <t>Convenience - Brew Master - Slot 1</t>
  </si>
  <si>
    <t>Convenience - Brew Master - Slot 2</t>
  </si>
  <si>
    <t>Convenience - Brew Master - Slot 3</t>
  </si>
  <si>
    <t>Pack Fit - On-Trade</t>
  </si>
  <si>
    <t>On-Trade - Greenborg - Slot 1</t>
  </si>
  <si>
    <t>On-Trade - Greenborg - Slot 2</t>
  </si>
  <si>
    <t>On-Trade - Greenborg - Slot 3</t>
  </si>
  <si>
    <t>On-Trade - Harken - Slot 1</t>
  </si>
  <si>
    <t>On-Trade - Harken - Slot 2</t>
  </si>
  <si>
    <t>On-Trade - Harken - Slot 3</t>
  </si>
  <si>
    <t>On-Trade - Kara - Slot 1</t>
  </si>
  <si>
    <t>On-Trade - Kara - Slot 2</t>
  </si>
  <si>
    <t>On-Trade - Kara - Slot 3</t>
  </si>
  <si>
    <t>On-Trade - Brew Master - Slot 1</t>
  </si>
  <si>
    <t>On-Trade - Brew Master - Slot 2</t>
  </si>
  <si>
    <t>On-Trade - Brew Master - Slot 3</t>
  </si>
  <si>
    <t>Assortment Fit - Hypermarkets</t>
  </si>
  <si>
    <t>Greenborg - Making a Statement</t>
  </si>
  <si>
    <t>Greenborg - Celebrating &amp; Fun</t>
  </si>
  <si>
    <t>Greenborg - Relax &amp; Unwind</t>
  </si>
  <si>
    <t>Greenborg - Connecting &amp; Bonding</t>
  </si>
  <si>
    <t>Harken - Making a Statement</t>
  </si>
  <si>
    <t>Harken - Celebrating &amp; Fun</t>
  </si>
  <si>
    <t>Harken - Relax &amp; Unwind</t>
  </si>
  <si>
    <t>Harken - Connecting &amp; Bonding</t>
  </si>
  <si>
    <t>Kara - Making a Statement</t>
  </si>
  <si>
    <t>Kara - Celebrating &amp; Fun</t>
  </si>
  <si>
    <t>Kara - Relax &amp; Unwind</t>
  </si>
  <si>
    <t>Kara - Connecting &amp; Bonding</t>
  </si>
  <si>
    <t>Brew Master - Making a Statement</t>
  </si>
  <si>
    <t>Brew Master - Celebrating &amp; Fun</t>
  </si>
  <si>
    <t>Brew Master - Relax &amp; Unwind</t>
  </si>
  <si>
    <t>Brew Master - Connecting &amp; Bonding</t>
  </si>
  <si>
    <t>Assortment Fit - Discounters</t>
  </si>
  <si>
    <t>Assortment Fit - Convenience</t>
  </si>
  <si>
    <t>Assortment Fit - On-Trade</t>
  </si>
  <si>
    <t>Making a Statement - Fit</t>
  </si>
  <si>
    <t>Celebrating &amp; Fun - Fit</t>
  </si>
  <si>
    <t>Relax &amp; Unwind - Fit</t>
  </si>
  <si>
    <t>Connecting &amp; Bonding - Fit</t>
  </si>
  <si>
    <t>Value Drivers - Conditionality</t>
  </si>
  <si>
    <t>Value Drivers - Hypermarkets</t>
  </si>
  <si>
    <t>Value Drivers - Discounters</t>
  </si>
  <si>
    <t>Value Drivers - Convenience</t>
  </si>
  <si>
    <t>Value Drivers - On-Trade</t>
  </si>
  <si>
    <t>Weighted Distribution - Hypermarkets</t>
  </si>
  <si>
    <t>Distribution Value</t>
  </si>
  <si>
    <t>Greenborg - Slot1</t>
  </si>
  <si>
    <t>Greenborg - Slot2</t>
  </si>
  <si>
    <t>Greenborg - Slot3</t>
  </si>
  <si>
    <t>Harken - Slot1</t>
  </si>
  <si>
    <t>Harken - Slot2</t>
  </si>
  <si>
    <t>Harken - Slot3</t>
  </si>
  <si>
    <t>Kara - Slot1</t>
  </si>
  <si>
    <t>Kara - Slot2</t>
  </si>
  <si>
    <t>Kara - Slot3</t>
  </si>
  <si>
    <t>Brew Master - Slot1</t>
  </si>
  <si>
    <t>Brew Master - Slot2</t>
  </si>
  <si>
    <t>Brew Master - Slot3</t>
  </si>
  <si>
    <t>Weighted Distribution - Discounters</t>
  </si>
  <si>
    <t>Weighted Distribution - Convenience</t>
  </si>
  <si>
    <t>Weighted Distribution - On-Trade</t>
  </si>
  <si>
    <t>Hypermarkets Promo 1</t>
  </si>
  <si>
    <t>Hypermarkets Promo 2</t>
  </si>
  <si>
    <t>Floor Space Value Rounded</t>
  </si>
  <si>
    <t>Promotion ROI Hypermarkets</t>
  </si>
  <si>
    <t>Hypermarkets - Greenborg</t>
  </si>
  <si>
    <t>Hypermarkets - Harken</t>
  </si>
  <si>
    <t>Hypermarkets - Kara</t>
  </si>
  <si>
    <t>Hypermarkets - Brew Master</t>
  </si>
  <si>
    <t>Promotion ROI Convenience</t>
  </si>
  <si>
    <t>Convenience - Greenborg</t>
  </si>
  <si>
    <t>Convenience - Harken</t>
  </si>
  <si>
    <t>Convenience - Kara</t>
  </si>
  <si>
    <t>Convenience - Brew Master</t>
  </si>
  <si>
    <t>Promotion ROI On-Trade</t>
  </si>
  <si>
    <t>On-Trade - Greenborg</t>
  </si>
  <si>
    <t>On-Trade - Harken</t>
  </si>
  <si>
    <t>On-Trade - Kara</t>
  </si>
  <si>
    <t>On-Trade - Brew Master</t>
  </si>
  <si>
    <t>New Slots - Hypermarkets</t>
  </si>
  <si>
    <t>MTUs Required For Next Slot</t>
  </si>
  <si>
    <t>Expense For Next Slot</t>
  </si>
  <si>
    <t>MTUs Required in Round</t>
  </si>
  <si>
    <t>Expense in Round</t>
  </si>
  <si>
    <t>New Slots - Discounters</t>
  </si>
  <si>
    <t>New Slots - Convenience</t>
  </si>
  <si>
    <t>New Slots - On-Trade</t>
  </si>
  <si>
    <t>MTUs Expense for Analytics</t>
  </si>
  <si>
    <t>Expense For Analytics Report</t>
  </si>
  <si>
    <t>MTUs Allocation</t>
  </si>
  <si>
    <t>Hypermarkets Analytics</t>
  </si>
  <si>
    <t>Discounters Analytics</t>
  </si>
  <si>
    <t>Convenience Analytics</t>
  </si>
  <si>
    <t>On-Trade Analytics</t>
  </si>
  <si>
    <t>Hypermarkets New Slots</t>
  </si>
  <si>
    <t>Discounters New Slots</t>
  </si>
  <si>
    <t>Convenience New Slots</t>
  </si>
  <si>
    <t>On-Trade New Slots</t>
  </si>
  <si>
    <t>Hypermarkets Marketing Plan</t>
  </si>
  <si>
    <t>Discounters Marketing Plan</t>
  </si>
  <si>
    <t>Convenience Marketing Plan</t>
  </si>
  <si>
    <t>On-Trade Marketing Plan</t>
  </si>
  <si>
    <t>Hypermarkets Promo Plans</t>
  </si>
  <si>
    <t>Convenience Promo Plans</t>
  </si>
  <si>
    <t>On-Trade Promo Plans</t>
  </si>
  <si>
    <t>Hypermarkets Value Drivers</t>
  </si>
  <si>
    <t>Discounters Value Drivers</t>
  </si>
  <si>
    <t>Convenience Value Drivers</t>
  </si>
  <si>
    <t>On-Trade Value Drivers</t>
  </si>
  <si>
    <t>MTUs Hours Required</t>
  </si>
  <si>
    <t>MTUs Opening</t>
  </si>
  <si>
    <t>MTUs Recruited</t>
  </si>
  <si>
    <t>MTUs Dismissed</t>
  </si>
  <si>
    <t>MTUs Attrition</t>
  </si>
  <si>
    <t>MTUs Ending</t>
  </si>
  <si>
    <t xml:space="preserve">MTUs Utilization </t>
  </si>
  <si>
    <t>MTUs Unassigned</t>
  </si>
  <si>
    <t>MTUs Total Expense</t>
  </si>
  <si>
    <t>MTUs Base Expense</t>
  </si>
  <si>
    <t>MTUs Recruitment/Dismissal Costs</t>
  </si>
  <si>
    <t>MTUs Admin Cost</t>
  </si>
  <si>
    <t>Total Volume Sold in Hypermarkets</t>
  </si>
  <si>
    <t>Total Volume Sold in Discounters</t>
  </si>
  <si>
    <t>Total Volume Sold in Convenience</t>
  </si>
  <si>
    <t>Total Volume Sold in On-Trade</t>
  </si>
  <si>
    <t>Weighted Average Price in Hypermarkets</t>
  </si>
  <si>
    <t>Weighted Average Price in Discounters</t>
  </si>
  <si>
    <t>Weighted Average Price in Convenience</t>
  </si>
  <si>
    <t>Weighted Average Price in On-Trade</t>
  </si>
  <si>
    <t>Greenborg Slot1</t>
  </si>
  <si>
    <t>Greenborg Slot2</t>
  </si>
  <si>
    <t>Greenborg Slot3</t>
  </si>
  <si>
    <t>Harken Slot1</t>
  </si>
  <si>
    <t>Harken Slot2</t>
  </si>
  <si>
    <t>Harken Slot3</t>
  </si>
  <si>
    <t>Kara Slot1</t>
  </si>
  <si>
    <t>Kara Slot2</t>
  </si>
  <si>
    <t>Kara Slot3</t>
  </si>
  <si>
    <t>Brew Master Slot1</t>
  </si>
  <si>
    <t>Brew Master Slot2</t>
  </si>
  <si>
    <t>Brew Master Slot3</t>
  </si>
  <si>
    <t>Hypermarkets Tot Average</t>
  </si>
  <si>
    <t>Convenience Tot Average</t>
  </si>
  <si>
    <t>On-Trade Tot Average</t>
  </si>
  <si>
    <t>Strategic Initiatives Adjustement</t>
  </si>
  <si>
    <t>Total Volumes Sold</t>
  </si>
  <si>
    <t>finCalcVolSold</t>
  </si>
  <si>
    <t>Per Channel</t>
  </si>
  <si>
    <t>finCalcCh1VolSold</t>
  </si>
  <si>
    <t>finCalcCh2VolSold</t>
  </si>
  <si>
    <t>finCalcCh3VolSold</t>
  </si>
  <si>
    <t>finCalcCh4VolSold</t>
  </si>
  <si>
    <t>Per Brand</t>
  </si>
  <si>
    <t>finCalcProd1VolSold</t>
  </si>
  <si>
    <t>finCalcProd2VolSold</t>
  </si>
  <si>
    <t>finCalcProd3VolSold</t>
  </si>
  <si>
    <t>finCalcProd4VolSold</t>
  </si>
  <si>
    <t>Per Channel &amp; Brand</t>
  </si>
  <si>
    <t>finCalcCh1Prod1VolSold</t>
  </si>
  <si>
    <t>finCalcCh1Prod2VolSold</t>
  </si>
  <si>
    <t>finCalcCh1Prod3VolSold</t>
  </si>
  <si>
    <t>finCalcCh1Prod4VolSold</t>
  </si>
  <si>
    <t>finCalcCh2Prod1VolSold</t>
  </si>
  <si>
    <t>finCalcCh2Prod2VolSold</t>
  </si>
  <si>
    <t>finCalcCh2Prod3VolSold</t>
  </si>
  <si>
    <t>finCalcCh2Prod4VolSold</t>
  </si>
  <si>
    <t>finCalcCh3Prod1VolSold</t>
  </si>
  <si>
    <t>finCalcCh3Prod2VolSold</t>
  </si>
  <si>
    <t>finCalcCh3Prod3VolSold</t>
  </si>
  <si>
    <t>finCalcCh3Prod4VolSold</t>
  </si>
  <si>
    <t>finCalcCh4Prod1VolSold</t>
  </si>
  <si>
    <t>finCalcCh4Prod2VolSold</t>
  </si>
  <si>
    <t>finCalcCh4Prod3VolSold</t>
  </si>
  <si>
    <t>finCalcCh4Prod4VolSold</t>
  </si>
  <si>
    <t>Hypermarkets Promo1</t>
  </si>
  <si>
    <t>Hypermarkets Promo2</t>
  </si>
  <si>
    <t>Brewery Units</t>
  </si>
  <si>
    <t>Promotions Used Hypermarkets</t>
  </si>
  <si>
    <t>Promotions Used Convenience</t>
  </si>
  <si>
    <t>Promotions Used On-Trade</t>
  </si>
  <si>
    <t>Hypermarkets Revenue</t>
  </si>
  <si>
    <t>Discounters Revenue</t>
  </si>
  <si>
    <t>Convenience Revenue</t>
  </si>
  <si>
    <t>On-Trade Revenue</t>
  </si>
  <si>
    <t>Hypermarkets GPaL</t>
  </si>
  <si>
    <t>Discounters GPaL</t>
  </si>
  <si>
    <t>Convenience GPaL</t>
  </si>
  <si>
    <t>On-Trade GPaL</t>
  </si>
  <si>
    <t>Hypermarkets GCC</t>
  </si>
  <si>
    <t>Discounters GCC</t>
  </si>
  <si>
    <t>Convenience GCC</t>
  </si>
  <si>
    <t>On-Trade GCC</t>
  </si>
  <si>
    <t>Hypermarkets Customer Profit</t>
  </si>
  <si>
    <t>Discounters Customer Profit</t>
  </si>
  <si>
    <t>Convenience Customer Profit</t>
  </si>
  <si>
    <t>On-Trade Customer Profit</t>
  </si>
  <si>
    <t>Analytics - Hypermarkets</t>
  </si>
  <si>
    <t>Analytics - Discounters</t>
  </si>
  <si>
    <t>Analytics - Convenience</t>
  </si>
  <si>
    <t>Analytics - On-Trade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</si>
</sst>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\ &quot;mk&quot;;[Red]\-#,##0.00\ &quot;mk&quot;"/>
    <numFmt numFmtId="165" formatCode="\ #,##0_);\ \(#,##0\);_(* &quot;-&quot;??_);_(@_)"/>
    <numFmt numFmtId="166" formatCode="#,##0.0_);\(#,##0.0\)"/>
    <numFmt numFmtId="167" formatCode="#,##0,_);\ \(#,##0,\);_(* &quot;-&quot;_);_(@_)"/>
    <numFmt numFmtId="168" formatCode="#,###.##,,_);\ \(#,##0,,\);_(* &quot;-&quot;_);_(@_)"/>
    <numFmt numFmtId="169" formatCode="#,##0,,_);\ \(#,##0,,\);_(* &quot;-&quot;_);_(@_)"/>
    <numFmt numFmtId="170" formatCode="_(* #,##0.0_);_(* \(#,##0.0\);_(* &quot;-&quot;?_);_(@_)"/>
    <numFmt numFmtId="171" formatCode="0%\ \ "/>
    <numFmt numFmtId="172" formatCode="_(&quot;$&quot;\ #,##0,_);_(&quot;$&quot;\ \ \(#,##0,\);_(&quot;$&quot;\ &quot;-&quot;_);_(@_)"/>
    <numFmt numFmtId="173" formatCode="mmm\ dd\ &quot;Year&quot;\ yy"/>
    <numFmt numFmtId="174" formatCode="_([$€-2]* #,##0.00_);_([$€-2]* \(#,##0.00\);_([$€-2]* &quot;-&quot;??_)"/>
    <numFmt numFmtId="175" formatCode="#,###,;\(#,###,\);_(* &quot;-&quot;_);_(@_)"/>
    <numFmt numFmtId="176" formatCode="0.00_)"/>
    <numFmt numFmtId="177" formatCode="0.0%"/>
    <numFmt numFmtId="178" formatCode="#,##0;\-#,##0;&quot;-&quot;"/>
    <numFmt numFmtId="179" formatCode="_(* #,##0_);_(* \(#,##0\);_(* &quot;-&quot;??_);_(@_)"/>
    <numFmt numFmtId="180" formatCode="\+0;\-0;0"/>
    <numFmt numFmtId="181" formatCode="#,##0.0"/>
    <numFmt numFmtId="182" formatCode="#,##0.000"/>
    <numFmt numFmtId="183" formatCode="0.0"/>
    <numFmt numFmtId="184" formatCode="0.000"/>
    <numFmt numFmtId="185" formatCode="_(* #,##0.0_);_(* \(#,##0.0\);_(* &quot;-&quot;??_);_(@_)"/>
    <numFmt numFmtId="186" formatCode="0.0000000"/>
    <numFmt numFmtId="187" formatCode="0.0000"/>
    <numFmt numFmtId="188" formatCode="_-* #,##0_-;\-* #,##0_-;_-* &quot;-&quot;??_-;_-@_-"/>
    <numFmt numFmtId="189" formatCode="#,##0.00000000000000000000000000000000000000000000000000000000000000000000000"/>
    <numFmt numFmtId="190" formatCode="0.000000%"/>
    <numFmt numFmtId="191" formatCode="#,##0.000000000"/>
    <numFmt numFmtId="192" formatCode="0.00000000"/>
    <numFmt numFmtId="193" formatCode="#,##0.0000"/>
    <numFmt numFmtId="194" formatCode="0.000000000000000%"/>
  </numFmts>
  <fonts count="84">
    <font>
      <sz val="11"/>
      <color theme="1"/>
      <name val="Verdana"/>
      <family val="2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0"/>
      <name val="Verdana"/>
      <family val="2"/>
    </font>
    <font>
      <sz val="14"/>
      <color theme="0"/>
      <name val="Verdana"/>
      <family val="2"/>
    </font>
    <font>
      <sz val="12"/>
      <color theme="0"/>
      <name val="Verdana"/>
      <family val="2"/>
    </font>
    <font>
      <sz val="14"/>
      <color theme="1"/>
      <name val="Verdana"/>
      <family val="2"/>
    </font>
    <font>
      <sz val="9"/>
      <color theme="0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0"/>
      <name val="Arial Black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name val="Helv"/>
    </font>
    <font>
      <sz val="9"/>
      <name val="Arial Rounded MT Bold"/>
      <family val="2"/>
    </font>
    <font>
      <b/>
      <sz val="10"/>
      <name val="Helv"/>
    </font>
    <font>
      <b/>
      <sz val="18"/>
      <name val="Garamond"/>
      <family val="1"/>
    </font>
    <font>
      <sz val="7"/>
      <name val="Small Fonts"/>
      <family val="2"/>
    </font>
    <font>
      <b/>
      <i/>
      <sz val="16"/>
      <name val="Helv"/>
    </font>
    <font>
      <sz val="12"/>
      <color theme="1"/>
      <name val="Open Sans"/>
      <family val="2"/>
    </font>
    <font>
      <b/>
      <sz val="12"/>
      <name val="Garamond"/>
      <family val="1"/>
    </font>
    <font>
      <sz val="12"/>
      <color theme="1"/>
      <name val="Verdana"/>
      <family val="2"/>
    </font>
    <font>
      <sz val="12"/>
      <color theme="0" tint="-0.34998626667073579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Verdana"/>
      <family val="2"/>
    </font>
    <font>
      <b/>
      <sz val="12"/>
      <color theme="0"/>
      <name val="Verdana"/>
      <family val="2"/>
    </font>
    <font>
      <i/>
      <sz val="12"/>
      <color theme="1"/>
      <name val="Verdana"/>
      <family val="2"/>
    </font>
    <font>
      <sz val="12"/>
      <color rgb="FFFF0000"/>
      <name val="Verdana"/>
      <family val="2"/>
    </font>
    <font>
      <sz val="36"/>
      <color theme="1"/>
      <name val="Verdana"/>
      <family val="2"/>
    </font>
    <font>
      <sz val="22"/>
      <color theme="4"/>
      <name val="Verdana"/>
      <family val="2"/>
    </font>
    <font>
      <sz val="14"/>
      <color theme="4"/>
      <name val="Verdana"/>
      <family val="2"/>
    </font>
    <font>
      <sz val="11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b/>
      <sz val="11"/>
      <color theme="0"/>
      <name val="Verdana"/>
      <family val="2"/>
    </font>
    <font>
      <u/>
      <sz val="11"/>
      <color theme="10"/>
      <name val="Verdana"/>
      <family val="2"/>
      <scheme val="minor"/>
    </font>
    <font>
      <u/>
      <sz val="11"/>
      <color theme="10"/>
      <name val="Verdana"/>
      <family val="2"/>
    </font>
    <font>
      <b/>
      <sz val="11"/>
      <name val="Verdana"/>
      <family val="2"/>
    </font>
    <font>
      <sz val="11"/>
      <color rgb="FFFFFFFF"/>
      <name val="Verdana"/>
      <family val="2"/>
    </font>
    <font>
      <i/>
      <sz val="11"/>
      <color theme="1"/>
      <name val="Verdana"/>
      <family val="2"/>
    </font>
    <font>
      <sz val="10"/>
      <color theme="0"/>
      <name val="Verdana"/>
      <family val="2"/>
    </font>
    <font>
      <sz val="12"/>
      <name val="Verdana"/>
      <family val="2"/>
    </font>
    <font>
      <b/>
      <sz val="12"/>
      <color theme="1"/>
      <name val="Verdana"/>
      <family val="2"/>
    </font>
    <font>
      <i/>
      <sz val="11"/>
      <name val="Verdana"/>
      <family val="2"/>
    </font>
    <font>
      <i/>
      <sz val="11"/>
      <color theme="0"/>
      <name val="Verdana"/>
      <family val="2"/>
    </font>
    <font>
      <sz val="11"/>
      <color rgb="FFFF0000"/>
      <name val="Verdana"/>
      <family val="2"/>
    </font>
    <font>
      <sz val="8"/>
      <color theme="1"/>
      <name val="Verdana"/>
      <family val="2"/>
    </font>
    <font>
      <b/>
      <sz val="14"/>
      <color theme="4"/>
      <name val="Verdana"/>
      <family val="2"/>
    </font>
    <font>
      <b/>
      <sz val="18"/>
      <color theme="3"/>
      <name val="Verdana"/>
      <family val="2"/>
    </font>
    <font>
      <sz val="72"/>
      <color theme="1"/>
      <name val="Verdana"/>
      <family val="2"/>
    </font>
    <font>
      <sz val="18"/>
      <color theme="3"/>
      <name val="Verdana"/>
      <family val="2"/>
    </font>
    <font>
      <b/>
      <sz val="14"/>
      <color theme="1"/>
      <name val="Verdana"/>
      <family val="2"/>
    </font>
    <font>
      <i/>
      <sz val="14"/>
      <color theme="1"/>
      <name val="Verdana"/>
      <family val="2"/>
    </font>
    <font>
      <b/>
      <sz val="11"/>
      <color theme="1"/>
      <name val="Verdana"/>
      <family val="2"/>
      <scheme val="minor"/>
    </font>
    <font>
      <sz val="14"/>
      <name val="Verdana"/>
      <family val="2"/>
    </font>
    <font>
      <b/>
      <sz val="14"/>
      <name val="Verdana"/>
      <family val="2"/>
    </font>
    <font>
      <b/>
      <sz val="26"/>
      <color theme="3"/>
      <name val="Verdana"/>
      <family val="2"/>
    </font>
    <font>
      <b/>
      <sz val="22"/>
      <color theme="3"/>
      <name val="Verdana"/>
      <family val="2"/>
    </font>
    <font>
      <b/>
      <i/>
      <sz val="11"/>
      <color theme="1"/>
      <name val="Verdana"/>
      <family val="2"/>
    </font>
    <font>
      <sz val="12"/>
      <color theme="3"/>
      <name val="Verdana"/>
      <family val="2"/>
    </font>
    <font>
      <b/>
      <sz val="16"/>
      <color theme="3"/>
      <name val="Verdana"/>
      <family val="2"/>
    </font>
    <font>
      <b/>
      <sz val="12"/>
      <color theme="3"/>
      <name val="Verdana"/>
      <family val="2"/>
    </font>
    <font>
      <sz val="11"/>
      <color theme="1"/>
      <name val="Calibri"/>
      <family val="2"/>
    </font>
    <font>
      <b/>
      <sz val="12"/>
      <color theme="1"/>
      <name val="Verdana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3"/>
        <b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3"/>
      </left>
      <right style="medium">
        <color indexed="9"/>
      </right>
      <top style="medium">
        <color indexed="63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55"/>
      </right>
      <top style="medium">
        <color indexed="64"/>
      </top>
      <bottom style="medium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/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/>
      <bottom/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</borders>
  <cellStyleXfs count="236">
    <xf numFmtId="0" fontId="0" fillId="0" borderId="0"/>
    <xf numFmtId="0" fontId="22" fillId="0" borderId="0"/>
    <xf numFmtId="1" fontId="23" fillId="0" borderId="0"/>
    <xf numFmtId="0" fontId="24" fillId="9" borderId="0" applyFont="0" applyFill="0" applyBorder="0" applyAlignment="0" applyProtection="0"/>
    <xf numFmtId="0" fontId="24" fillId="9" borderId="0" applyFont="0" applyFill="0" applyBorder="0" applyAlignment="0" applyProtection="0"/>
    <xf numFmtId="0" fontId="25" fillId="10" borderId="11" applyNumberFormat="0" applyFont="0" applyProtection="0"/>
    <xf numFmtId="0" fontId="25" fillId="10" borderId="11" applyNumberFormat="0" applyFont="0" applyProtection="0"/>
    <xf numFmtId="0" fontId="25" fillId="10" borderId="12" applyNumberFormat="0" applyFont="0" applyProtection="0"/>
    <xf numFmtId="0" fontId="25" fillId="10" borderId="12" applyNumberFormat="0" applyFont="0" applyProtection="0"/>
    <xf numFmtId="0" fontId="25" fillId="10" borderId="12" applyFont="0"/>
    <xf numFmtId="0" fontId="25" fillId="10" borderId="12" applyFont="0"/>
    <xf numFmtId="0" fontId="26" fillId="9" borderId="11" applyNumberFormat="0" applyFont="0"/>
    <xf numFmtId="0" fontId="26" fillId="9" borderId="11" applyNumberFormat="0" applyFont="0"/>
    <xf numFmtId="0" fontId="26" fillId="9" borderId="12" applyNumberFormat="0" applyFont="0"/>
    <xf numFmtId="0" fontId="26" fillId="9" borderId="12" applyNumberFormat="0" applyFont="0"/>
    <xf numFmtId="0" fontId="24" fillId="11" borderId="0" applyNumberFormat="0" applyFont="0" applyBorder="0" applyAlignment="0"/>
    <xf numFmtId="0" fontId="24" fillId="11" borderId="0" applyNumberFormat="0" applyFont="0" applyBorder="0" applyAlignment="0"/>
    <xf numFmtId="0" fontId="24" fillId="12" borderId="0" applyNumberFormat="0" applyFont="0" applyBorder="0" applyAlignment="0">
      <protection locked="0"/>
    </xf>
    <xf numFmtId="0" fontId="24" fillId="12" borderId="0" applyNumberFormat="0" applyFont="0" applyBorder="0" applyAlignment="0">
      <protection locked="0"/>
    </xf>
    <xf numFmtId="0" fontId="27" fillId="0" borderId="13">
      <alignment horizontal="center"/>
    </xf>
    <xf numFmtId="164" fontId="28" fillId="0" borderId="0"/>
    <xf numFmtId="164" fontId="28" fillId="0" borderId="0"/>
    <xf numFmtId="164" fontId="28" fillId="0" borderId="0"/>
    <xf numFmtId="164" fontId="28" fillId="0" borderId="0"/>
    <xf numFmtId="164" fontId="28" fillId="0" borderId="0"/>
    <xf numFmtId="164" fontId="28" fillId="0" borderId="0"/>
    <xf numFmtId="164" fontId="28" fillId="0" borderId="0"/>
    <xf numFmtId="164" fontId="28" fillId="0" borderId="0"/>
    <xf numFmtId="41" fontId="28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165" fontId="27" fillId="13" borderId="2" applyFont="0" applyFill="0" applyBorder="0" applyAlignment="0" applyProtection="0">
      <alignment horizontal="center"/>
      <protection locked="0"/>
    </xf>
    <xf numFmtId="165" fontId="27" fillId="13" borderId="2" applyFont="0" applyFill="0" applyBorder="0" applyAlignment="0" applyProtection="0">
      <alignment horizontal="center"/>
      <protection locked="0"/>
    </xf>
    <xf numFmtId="166" fontId="28" fillId="0" borderId="0" applyFont="0" applyFill="0" applyBorder="0" applyAlignment="0" applyProtection="0">
      <alignment horizontal="center"/>
    </xf>
    <xf numFmtId="167" fontId="29" fillId="0" borderId="0" applyFont="0" applyFill="0" applyBorder="0" applyAlignment="0" applyProtection="0"/>
    <xf numFmtId="168" fontId="24" fillId="0" borderId="0" applyFont="0" applyFill="0" applyBorder="0" applyAlignment="0" applyProtection="0"/>
    <xf numFmtId="168" fontId="24" fillId="0" borderId="0" applyFont="0" applyFill="0" applyBorder="0" applyAlignment="0" applyProtection="0"/>
    <xf numFmtId="169" fontId="24" fillId="0" borderId="0" applyFont="0" applyFill="0" applyBorder="0" applyAlignment="0" applyProtection="0"/>
    <xf numFmtId="169" fontId="24" fillId="0" borderId="0" applyFont="0" applyFill="0" applyBorder="0" applyAlignment="0" applyProtection="0"/>
    <xf numFmtId="0" fontId="29" fillId="0" borderId="0" applyFont="0" applyFill="0" applyBorder="0" applyAlignment="0" applyProtection="0"/>
    <xf numFmtId="170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37" fontId="31" fillId="14" borderId="14" applyFont="0" applyFill="0" applyBorder="0" applyAlignment="0" applyProtection="0">
      <alignment horizontal="centerContinuous" vertical="center"/>
    </xf>
    <xf numFmtId="0" fontId="28" fillId="10" borderId="12" applyFont="0" applyFill="0" applyBorder="0" applyAlignment="0" applyProtection="0">
      <alignment horizontal="center"/>
      <protection locked="0"/>
    </xf>
    <xf numFmtId="0" fontId="28" fillId="10" borderId="12" applyFont="0" applyFill="0" applyBorder="0" applyAlignment="0" applyProtection="0">
      <alignment horizontal="center"/>
      <protection locked="0"/>
    </xf>
    <xf numFmtId="0" fontId="28" fillId="13" borderId="0" applyFont="0" applyFill="0" applyBorder="0" applyAlignment="0" applyProtection="0"/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9" borderId="0" applyFont="0" applyFill="0" applyBorder="0" applyAlignment="0" applyProtection="0"/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171" fontId="28" fillId="9" borderId="0" applyFont="0" applyFill="0" applyBorder="0" applyAlignment="0" applyProtection="0"/>
    <xf numFmtId="3" fontId="28" fillId="0" borderId="0" applyFont="0" applyFill="0" applyBorder="0" applyAlignment="0" applyProtection="0"/>
    <xf numFmtId="0" fontId="32" fillId="0" borderId="0"/>
    <xf numFmtId="3" fontId="28" fillId="9" borderId="0" applyFont="0" applyFill="0" applyBorder="0" applyAlignment="0" applyProtection="0">
      <alignment horizontal="center"/>
    </xf>
    <xf numFmtId="0" fontId="32" fillId="0" borderId="0"/>
    <xf numFmtId="0" fontId="28" fillId="0" borderId="0"/>
    <xf numFmtId="0" fontId="32" fillId="0" borderId="0"/>
    <xf numFmtId="0" fontId="32" fillId="0" borderId="0"/>
    <xf numFmtId="172" fontId="30" fillId="15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9" fillId="10" borderId="12" applyFont="0" applyFill="0" applyBorder="0" applyAlignment="0" applyProtection="0">
      <protection locked="0"/>
    </xf>
    <xf numFmtId="0" fontId="29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5" fontId="28" fillId="0" borderId="0" applyFont="0" applyFill="0" applyBorder="0" applyAlignment="0" applyProtection="0"/>
    <xf numFmtId="0" fontId="28" fillId="0" borderId="0" applyFill="0" applyBorder="0" applyAlignment="0" applyProtection="0"/>
    <xf numFmtId="173" fontId="24" fillId="0" borderId="0" applyFont="0" applyFill="0" applyBorder="0" applyAlignment="0" applyProtection="0"/>
    <xf numFmtId="173" fontId="24" fillId="0" borderId="0" applyFont="0" applyFill="0" applyBorder="0" applyAlignment="0" applyProtection="0"/>
    <xf numFmtId="3" fontId="33" fillId="16" borderId="15">
      <alignment horizontal="center" vertical="center"/>
      <protection locked="0"/>
    </xf>
    <xf numFmtId="174" fontId="24" fillId="0" borderId="0" applyFont="0" applyFill="0" applyBorder="0" applyAlignment="0" applyProtection="0"/>
    <xf numFmtId="174" fontId="24" fillId="0" borderId="0" applyFont="0" applyFill="0" applyBorder="0" applyAlignment="0" applyProtection="0"/>
    <xf numFmtId="0" fontId="24" fillId="17" borderId="0" applyFont="0" applyBorder="0" applyAlignment="0" applyProtection="0"/>
    <xf numFmtId="0" fontId="24" fillId="17" borderId="0" applyFont="0" applyBorder="0" applyAlignment="0" applyProtection="0"/>
    <xf numFmtId="0" fontId="24" fillId="18" borderId="0" applyFont="0" applyBorder="0" applyAlignment="0" applyProtection="0"/>
    <xf numFmtId="0" fontId="24" fillId="18" borderId="0" applyFont="0" applyBorder="0" applyAlignment="0" applyProtection="0"/>
    <xf numFmtId="175" fontId="24" fillId="17" borderId="0" applyFont="0" applyBorder="0" applyAlignment="0" applyProtection="0"/>
    <xf numFmtId="2" fontId="28" fillId="0" borderId="0" applyFont="0" applyFill="0" applyBorder="0" applyAlignment="0" applyProtection="0"/>
    <xf numFmtId="0" fontId="32" fillId="0" borderId="0"/>
    <xf numFmtId="12" fontId="34" fillId="0" borderId="16" applyFont="0" applyFill="0" applyBorder="0" applyAlignment="0" applyProtection="0"/>
    <xf numFmtId="38" fontId="24" fillId="9" borderId="0" applyNumberFormat="0" applyBorder="0" applyAlignment="0" applyProtection="0"/>
    <xf numFmtId="38" fontId="24" fillId="9" borderId="0" applyNumberFormat="0" applyBorder="0" applyAlignment="0" applyProtection="0"/>
    <xf numFmtId="10" fontId="24" fillId="16" borderId="17" applyNumberFormat="0" applyBorder="0" applyAlignment="0" applyProtection="0"/>
    <xf numFmtId="10" fontId="24" fillId="16" borderId="17" applyNumberFormat="0" applyBorder="0" applyAlignment="0" applyProtection="0"/>
    <xf numFmtId="0" fontId="35" fillId="13" borderId="12" applyNumberFormat="0" applyFont="0">
      <alignment horizontal="center"/>
      <protection locked="0"/>
    </xf>
    <xf numFmtId="0" fontId="35" fillId="13" borderId="12" applyNumberFormat="0" applyFont="0">
      <alignment horizontal="center"/>
      <protection locked="0"/>
    </xf>
    <xf numFmtId="37" fontId="36" fillId="0" borderId="0"/>
    <xf numFmtId="176" fontId="37" fillId="0" borderId="0"/>
    <xf numFmtId="0" fontId="24" fillId="0" borderId="0"/>
    <xf numFmtId="0" fontId="28" fillId="0" borderId="0"/>
    <xf numFmtId="0" fontId="24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8" fillId="0" borderId="0"/>
    <xf numFmtId="37" fontId="28" fillId="13" borderId="0" applyFont="0" applyFill="0" applyBorder="0" applyAlignment="0" applyProtection="0">
      <alignment horizontal="center"/>
    </xf>
    <xf numFmtId="0" fontId="32" fillId="0" borderId="0"/>
    <xf numFmtId="0" fontId="32" fillId="0" borderId="0"/>
    <xf numFmtId="177" fontId="39" fillId="16" borderId="0" applyFont="0" applyFill="0" applyBorder="0" applyAlignment="0" applyProtection="0"/>
    <xf numFmtId="10" fontId="32" fillId="0" borderId="0" applyFont="0" applyFill="0" applyBorder="0" applyAlignment="0" applyProtection="0">
      <protection locked="0"/>
    </xf>
    <xf numFmtId="10" fontId="28" fillId="0" borderId="0" applyFont="0" applyFill="0" applyBorder="0" applyAlignment="0" applyProtection="0"/>
    <xf numFmtId="177" fontId="24" fillId="0" borderId="0" applyFont="0" applyFill="0" applyBorder="0" applyAlignment="0" applyProtection="0"/>
    <xf numFmtId="177" fontId="24" fillId="0" borderId="0" applyFont="0" applyFill="0" applyBorder="0" applyAlignment="0" applyProtection="0"/>
    <xf numFmtId="10" fontId="24" fillId="0" borderId="3" applyFont="0" applyFill="0" applyBorder="0" applyAlignment="0" applyProtection="0"/>
    <xf numFmtId="10" fontId="24" fillId="0" borderId="3" applyFont="0" applyFill="0" applyBorder="0" applyAlignment="0" applyProtection="0"/>
    <xf numFmtId="10" fontId="24" fillId="0" borderId="3" applyFont="0" applyFill="0" applyBorder="0" applyAlignment="0" applyProtection="0"/>
    <xf numFmtId="10" fontId="24" fillId="0" borderId="3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0" fontId="28" fillId="10" borderId="12" applyFont="0" applyFill="0" applyBorder="0" applyAlignment="0" applyProtection="0">
      <protection locked="0"/>
    </xf>
    <xf numFmtId="9" fontId="44" fillId="0" borderId="0" applyFont="0" applyFill="0" applyBorder="0" applyAlignment="0" applyProtection="0"/>
    <xf numFmtId="0" fontId="15" fillId="0" borderId="0"/>
    <xf numFmtId="0" fontId="44" fillId="0" borderId="0"/>
    <xf numFmtId="41" fontId="28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15" fillId="0" borderId="0"/>
    <xf numFmtId="9" fontId="44" fillId="0" borderId="0" applyFont="0" applyFill="0" applyBorder="0" applyAlignment="0" applyProtection="0"/>
    <xf numFmtId="0" fontId="14" fillId="0" borderId="0"/>
    <xf numFmtId="0" fontId="14" fillId="0" borderId="0"/>
    <xf numFmtId="0" fontId="55" fillId="0" borderId="0" applyNumberFormat="0" applyFill="0" applyBorder="0" applyAlignment="0" applyProtection="0"/>
    <xf numFmtId="0" fontId="13" fillId="0" borderId="0"/>
    <xf numFmtId="43" fontId="44" fillId="0" borderId="0" applyFont="0" applyFill="0" applyBorder="0" applyAlignment="0" applyProtection="0"/>
    <xf numFmtId="41" fontId="44" fillId="0" borderId="0" applyFont="0" applyFill="0" applyBorder="0" applyAlignment="0" applyProtection="0"/>
    <xf numFmtId="0" fontId="12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44" fillId="0" borderId="0"/>
    <xf numFmtId="43" fontId="4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0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0" fontId="5" fillId="0" borderId="0"/>
    <xf numFmtId="0" fontId="24" fillId="0" borderId="0"/>
    <xf numFmtId="0" fontId="4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17">
    <xf numFmtId="0" fontId="0" fillId="0" borderId="0" xfId="0"/>
    <xf numFmtId="0" fontId="17" fillId="4" borderId="0" xfId="0" applyFont="1" applyFill="1" applyAlignment="1">
      <alignment horizontal="left" vertical="center"/>
    </xf>
    <xf numFmtId="0" fontId="17" fillId="4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left" vertical="center"/>
    </xf>
    <xf numFmtId="0" fontId="20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6" fillId="4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4" borderId="0" xfId="0" applyFont="1" applyFill="1"/>
    <xf numFmtId="0" fontId="0" fillId="6" borderId="0" xfId="0" applyFill="1"/>
    <xf numFmtId="0" fontId="16" fillId="4" borderId="0" xfId="0" applyFont="1" applyFill="1" applyAlignment="1">
      <alignment horizontal="center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/>
    <xf numFmtId="0" fontId="41" fillId="0" borderId="0" xfId="0" applyFont="1"/>
    <xf numFmtId="0" fontId="0" fillId="0" borderId="0" xfId="0" applyFill="1"/>
    <xf numFmtId="0" fontId="16" fillId="4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21" borderId="0" xfId="0" applyFont="1" applyFill="1" applyAlignment="1">
      <alignment horizontal="center"/>
    </xf>
    <xf numFmtId="0" fontId="0" fillId="0" borderId="0" xfId="0" applyBorder="1" applyAlignment="1">
      <alignment vertical="center"/>
    </xf>
    <xf numFmtId="0" fontId="16" fillId="5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16" fillId="23" borderId="0" xfId="0" applyFont="1" applyFill="1"/>
    <xf numFmtId="0" fontId="40" fillId="0" borderId="0" xfId="0" applyFont="1"/>
    <xf numFmtId="0" fontId="40" fillId="0" borderId="0" xfId="0" applyFont="1" applyAlignment="1">
      <alignment horizontal="left"/>
    </xf>
    <xf numFmtId="0" fontId="40" fillId="6" borderId="17" xfId="0" applyFont="1" applyFill="1" applyBorder="1" applyAlignment="1">
      <alignment horizontal="center"/>
    </xf>
    <xf numFmtId="0" fontId="46" fillId="0" borderId="0" xfId="0" applyFont="1"/>
    <xf numFmtId="0" fontId="47" fillId="0" borderId="1" xfId="0" applyFont="1" applyBorder="1"/>
    <xf numFmtId="0" fontId="40" fillId="19" borderId="17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0" xfId="0" applyFont="1" applyAlignment="1">
      <alignment horizontal="center" wrapText="1"/>
    </xf>
    <xf numFmtId="0" fontId="40" fillId="20" borderId="13" xfId="0" applyFont="1" applyFill="1" applyBorder="1"/>
    <xf numFmtId="0" fontId="40" fillId="6" borderId="13" xfId="0" applyFont="1" applyFill="1" applyBorder="1"/>
    <xf numFmtId="0" fontId="40" fillId="20" borderId="13" xfId="0" applyFont="1" applyFill="1" applyBorder="1" applyAlignment="1">
      <alignment horizontal="center"/>
    </xf>
    <xf numFmtId="0" fontId="40" fillId="6" borderId="21" xfId="0" applyFont="1" applyFill="1" applyBorder="1"/>
    <xf numFmtId="0" fontId="40" fillId="19" borderId="21" xfId="0" applyFont="1" applyFill="1" applyBorder="1" applyAlignment="1">
      <alignment horizontal="center"/>
    </xf>
    <xf numFmtId="0" fontId="40" fillId="19" borderId="21" xfId="0" applyFont="1" applyFill="1" applyBorder="1"/>
    <xf numFmtId="0" fontId="40" fillId="6" borderId="21" xfId="0" applyFont="1" applyFill="1" applyBorder="1" applyAlignment="1">
      <alignment horizontal="center"/>
    </xf>
    <xf numFmtId="0" fontId="40" fillId="6" borderId="23" xfId="0" applyFont="1" applyFill="1" applyBorder="1"/>
    <xf numFmtId="0" fontId="40" fillId="19" borderId="23" xfId="0" applyFont="1" applyFill="1" applyBorder="1" applyAlignment="1">
      <alignment horizontal="center"/>
    </xf>
    <xf numFmtId="0" fontId="40" fillId="19" borderId="23" xfId="0" applyFont="1" applyFill="1" applyBorder="1"/>
    <xf numFmtId="0" fontId="40" fillId="6" borderId="23" xfId="0" applyFont="1" applyFill="1" applyBorder="1" applyAlignment="1">
      <alignment horizontal="center"/>
    </xf>
    <xf numFmtId="0" fontId="18" fillId="4" borderId="0" xfId="0" applyFont="1" applyFill="1"/>
    <xf numFmtId="0" fontId="18" fillId="4" borderId="0" xfId="0" applyFont="1" applyFill="1" applyAlignment="1">
      <alignment horizontal="center"/>
    </xf>
    <xf numFmtId="0" fontId="45" fillId="23" borderId="0" xfId="0" applyFont="1" applyFill="1"/>
    <xf numFmtId="0" fontId="18" fillId="23" borderId="0" xfId="0" applyFont="1" applyFill="1"/>
    <xf numFmtId="0" fontId="18" fillId="2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48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9" fillId="8" borderId="0" xfId="0" applyFont="1" applyFill="1" applyAlignment="1">
      <alignment vertical="center"/>
    </xf>
    <xf numFmtId="0" fontId="0" fillId="8" borderId="0" xfId="0" applyFill="1" applyBorder="1" applyAlignment="1">
      <alignment horizontal="center" vertical="center"/>
    </xf>
    <xf numFmtId="0" fontId="40" fillId="8" borderId="0" xfId="0" applyFont="1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40" fillId="8" borderId="30" xfId="0" applyFont="1" applyFill="1" applyBorder="1" applyAlignment="1">
      <alignment horizontal="center" vertical="center"/>
    </xf>
    <xf numFmtId="0" fontId="40" fillId="8" borderId="31" xfId="0" applyFont="1" applyFill="1" applyBorder="1" applyAlignment="1">
      <alignment horizontal="center" vertical="center"/>
    </xf>
    <xf numFmtId="0" fontId="40" fillId="8" borderId="32" xfId="0" applyFont="1" applyFill="1" applyBorder="1" applyAlignment="1">
      <alignment horizontal="center" vertical="center"/>
    </xf>
    <xf numFmtId="0" fontId="40" fillId="8" borderId="33" xfId="0" applyFont="1" applyFill="1" applyBorder="1" applyAlignment="1">
      <alignment horizontal="center" vertical="center"/>
    </xf>
    <xf numFmtId="0" fontId="40" fillId="8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2" borderId="0" xfId="0" applyFill="1" applyAlignment="1">
      <alignment vertical="center"/>
    </xf>
    <xf numFmtId="178" fontId="0" fillId="0" borderId="0" xfId="0" applyNumberFormat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6" fillId="5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40" fillId="11" borderId="35" xfId="0" applyFont="1" applyFill="1" applyBorder="1" applyAlignment="1">
      <alignment vertical="center"/>
    </xf>
    <xf numFmtId="0" fontId="50" fillId="11" borderId="35" xfId="0" applyFont="1" applyFill="1" applyBorder="1" applyAlignment="1">
      <alignment vertical="center"/>
    </xf>
    <xf numFmtId="0" fontId="40" fillId="8" borderId="0" xfId="0" applyFont="1" applyFill="1" applyAlignment="1">
      <alignment vertical="center"/>
    </xf>
    <xf numFmtId="0" fontId="40" fillId="0" borderId="0" xfId="0" applyFont="1" applyAlignment="1">
      <alignment vertical="center"/>
    </xf>
    <xf numFmtId="0" fontId="40" fillId="2" borderId="0" xfId="0" applyFont="1" applyFill="1" applyAlignment="1">
      <alignment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horizontal="left" vertical="center"/>
    </xf>
    <xf numFmtId="0" fontId="54" fillId="4" borderId="0" xfId="0" applyFont="1" applyFill="1" applyAlignment="1">
      <alignment horizontal="left" vertical="center"/>
    </xf>
    <xf numFmtId="0" fontId="44" fillId="0" borderId="0" xfId="164" applyFont="1"/>
    <xf numFmtId="0" fontId="44" fillId="0" borderId="0" xfId="164" applyFont="1" applyFill="1" applyBorder="1"/>
    <xf numFmtId="0" fontId="56" fillId="0" borderId="0" xfId="163" applyFont="1" applyAlignment="1">
      <alignment horizontal="left" vertical="center"/>
    </xf>
    <xf numFmtId="0" fontId="56" fillId="0" borderId="0" xfId="163" applyFont="1" applyAlignment="1">
      <alignment horizontal="center" vertical="center"/>
    </xf>
    <xf numFmtId="0" fontId="44" fillId="0" borderId="0" xfId="0" applyFont="1"/>
    <xf numFmtId="0" fontId="16" fillId="5" borderId="0" xfId="0" applyFont="1" applyFill="1" applyAlignment="1">
      <alignment horizontal="left"/>
    </xf>
    <xf numFmtId="0" fontId="57" fillId="0" borderId="0" xfId="0" applyFont="1"/>
    <xf numFmtId="0" fontId="44" fillId="24" borderId="0" xfId="0" applyFont="1" applyFill="1"/>
    <xf numFmtId="0" fontId="51" fillId="0" borderId="0" xfId="0" quotePrefix="1" applyFont="1"/>
    <xf numFmtId="0" fontId="44" fillId="6" borderId="0" xfId="0" applyFont="1" applyFill="1"/>
    <xf numFmtId="0" fontId="16" fillId="25" borderId="0" xfId="0" applyFont="1" applyFill="1"/>
    <xf numFmtId="0" fontId="16" fillId="26" borderId="0" xfId="0" applyFont="1" applyFill="1"/>
    <xf numFmtId="0" fontId="58" fillId="26" borderId="0" xfId="0" applyFont="1" applyFill="1" applyAlignment="1">
      <alignment horizontal="center" vertical="center"/>
    </xf>
    <xf numFmtId="0" fontId="59" fillId="0" borderId="0" xfId="0" applyFont="1" applyAlignment="1">
      <alignment horizontal="left" vertical="center"/>
    </xf>
    <xf numFmtId="179" fontId="0" fillId="24" borderId="0" xfId="0" applyNumberFormat="1" applyFill="1" applyAlignment="1">
      <alignment horizontal="center" vertical="center"/>
    </xf>
    <xf numFmtId="179" fontId="0" fillId="6" borderId="0" xfId="0" applyNumberFormat="1" applyFill="1" applyAlignment="1">
      <alignment horizontal="center" vertical="center"/>
    </xf>
    <xf numFmtId="0" fontId="0" fillId="27" borderId="0" xfId="0" applyFill="1" applyAlignment="1">
      <alignment horizontal="left" vertical="center"/>
    </xf>
    <xf numFmtId="9" fontId="0" fillId="24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center" vertical="center"/>
    </xf>
    <xf numFmtId="3" fontId="0" fillId="24" borderId="0" xfId="0" applyNumberFormat="1" applyFill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177" fontId="0" fillId="6" borderId="0" xfId="140" applyNumberFormat="1" applyFont="1" applyFill="1" applyAlignment="1">
      <alignment horizontal="center" vertical="center"/>
    </xf>
    <xf numFmtId="0" fontId="58" fillId="26" borderId="0" xfId="0" applyFont="1" applyFill="1" applyAlignment="1">
      <alignment horizontal="left" vertical="center"/>
    </xf>
    <xf numFmtId="180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9" fontId="0" fillId="24" borderId="0" xfId="165" applyNumberFormat="1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24" borderId="0" xfId="0" applyFill="1"/>
    <xf numFmtId="3" fontId="0" fillId="24" borderId="0" xfId="0" applyNumberFormat="1" applyFill="1" applyAlignment="1">
      <alignment horizontal="center"/>
    </xf>
    <xf numFmtId="0" fontId="16" fillId="24" borderId="0" xfId="0" applyFont="1" applyFill="1" applyAlignment="1">
      <alignment horizontal="center" vertical="center"/>
    </xf>
    <xf numFmtId="0" fontId="59" fillId="24" borderId="0" xfId="0" applyFont="1" applyFill="1" applyAlignment="1">
      <alignment horizontal="left" vertical="center"/>
    </xf>
    <xf numFmtId="0" fontId="16" fillId="24" borderId="0" xfId="0" applyFont="1" applyFill="1"/>
    <xf numFmtId="0" fontId="40" fillId="24" borderId="17" xfId="0" applyFont="1" applyFill="1" applyBorder="1" applyAlignment="1">
      <alignment horizontal="center"/>
    </xf>
    <xf numFmtId="0" fontId="40" fillId="24" borderId="13" xfId="0" applyFont="1" applyFill="1" applyBorder="1"/>
    <xf numFmtId="0" fontId="40" fillId="24" borderId="13" xfId="0" applyFont="1" applyFill="1" applyBorder="1" applyAlignment="1">
      <alignment horizontal="center"/>
    </xf>
    <xf numFmtId="0" fontId="40" fillId="24" borderId="21" xfId="0" applyFont="1" applyFill="1" applyBorder="1"/>
    <xf numFmtId="0" fontId="40" fillId="24" borderId="21" xfId="0" applyFont="1" applyFill="1" applyBorder="1" applyAlignment="1">
      <alignment horizontal="center"/>
    </xf>
    <xf numFmtId="0" fontId="40" fillId="28" borderId="21" xfId="0" applyFont="1" applyFill="1" applyBorder="1"/>
    <xf numFmtId="0" fontId="40" fillId="28" borderId="21" xfId="0" applyFont="1" applyFill="1" applyBorder="1" applyAlignment="1">
      <alignment horizontal="center"/>
    </xf>
    <xf numFmtId="0" fontId="40" fillId="24" borderId="23" xfId="0" applyFont="1" applyFill="1" applyBorder="1"/>
    <xf numFmtId="0" fontId="40" fillId="24" borderId="23" xfId="0" applyFont="1" applyFill="1" applyBorder="1" applyAlignment="1">
      <alignment horizontal="center"/>
    </xf>
    <xf numFmtId="0" fontId="0" fillId="28" borderId="0" xfId="0" applyFill="1"/>
    <xf numFmtId="0" fontId="0" fillId="28" borderId="0" xfId="0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 vertical="center"/>
    </xf>
    <xf numFmtId="9" fontId="0" fillId="24" borderId="0" xfId="140" applyFont="1" applyFill="1" applyAlignment="1">
      <alignment horizontal="center" vertical="center"/>
    </xf>
    <xf numFmtId="0" fontId="0" fillId="24" borderId="0" xfId="0" applyFill="1" applyAlignment="1">
      <alignment horizontal="right" vertical="center"/>
    </xf>
    <xf numFmtId="0" fontId="0" fillId="24" borderId="0" xfId="0" applyFill="1" applyAlignment="1">
      <alignment horizontal="left" vertical="center"/>
    </xf>
    <xf numFmtId="0" fontId="0" fillId="24" borderId="0" xfId="0" applyFill="1" applyAlignment="1">
      <alignment vertical="center"/>
    </xf>
    <xf numFmtId="0" fontId="16" fillId="26" borderId="0" xfId="0" applyFont="1" applyFill="1" applyAlignment="1">
      <alignment horizontal="center" vertical="center"/>
    </xf>
    <xf numFmtId="0" fontId="40" fillId="0" borderId="0" xfId="112" applyFont="1"/>
    <xf numFmtId="0" fontId="40" fillId="0" borderId="0" xfId="112" applyFont="1" applyFill="1"/>
    <xf numFmtId="0" fontId="40" fillId="8" borderId="0" xfId="112" applyFont="1" applyFill="1"/>
    <xf numFmtId="0" fontId="40" fillId="8" borderId="23" xfId="112" applyFont="1" applyFill="1" applyBorder="1"/>
    <xf numFmtId="0" fontId="40" fillId="8" borderId="23" xfId="112" applyFont="1" applyFill="1" applyBorder="1" applyAlignment="1">
      <alignment horizontal="left"/>
    </xf>
    <xf numFmtId="0" fontId="40" fillId="8" borderId="21" xfId="112" applyFont="1" applyFill="1" applyBorder="1"/>
    <xf numFmtId="0" fontId="40" fillId="8" borderId="21" xfId="112" applyFont="1" applyFill="1" applyBorder="1" applyAlignment="1">
      <alignment horizontal="left"/>
    </xf>
    <xf numFmtId="0" fontId="40" fillId="8" borderId="13" xfId="112" applyFont="1" applyFill="1" applyBorder="1"/>
    <xf numFmtId="0" fontId="40" fillId="8" borderId="13" xfId="112" applyFont="1" applyFill="1" applyBorder="1" applyAlignment="1">
      <alignment horizontal="left"/>
    </xf>
    <xf numFmtId="0" fontId="40" fillId="0" borderId="0" xfId="112" applyFont="1" applyFill="1" applyAlignment="1">
      <alignment horizontal="left"/>
    </xf>
    <xf numFmtId="0" fontId="40" fillId="6" borderId="17" xfId="112" applyFont="1" applyFill="1" applyBorder="1"/>
    <xf numFmtId="0" fontId="18" fillId="4" borderId="0" xfId="112" applyFont="1" applyFill="1"/>
    <xf numFmtId="0" fontId="45" fillId="4" borderId="0" xfId="112" applyFont="1" applyFill="1"/>
    <xf numFmtId="0" fontId="61" fillId="0" borderId="0" xfId="112" applyFont="1" applyFill="1"/>
    <xf numFmtId="0" fontId="41" fillId="0" borderId="0" xfId="112" applyFont="1" applyFill="1"/>
    <xf numFmtId="0" fontId="40" fillId="6" borderId="23" xfId="112" applyFont="1" applyFill="1" applyBorder="1" applyAlignment="1">
      <alignment horizontal="center"/>
    </xf>
    <xf numFmtId="0" fontId="18" fillId="26" borderId="23" xfId="112" applyFont="1" applyFill="1" applyBorder="1" applyAlignment="1">
      <alignment horizontal="center"/>
    </xf>
    <xf numFmtId="0" fontId="40" fillId="24" borderId="23" xfId="112" applyFont="1" applyFill="1" applyBorder="1"/>
    <xf numFmtId="0" fontId="40" fillId="6" borderId="21" xfId="112" applyFont="1" applyFill="1" applyBorder="1" applyAlignment="1">
      <alignment horizontal="center"/>
    </xf>
    <xf numFmtId="0" fontId="18" fillId="26" borderId="21" xfId="112" applyFont="1" applyFill="1" applyBorder="1" applyAlignment="1">
      <alignment horizontal="center"/>
    </xf>
    <xf numFmtId="0" fontId="40" fillId="24" borderId="21" xfId="112" applyFont="1" applyFill="1" applyBorder="1"/>
    <xf numFmtId="0" fontId="40" fillId="6" borderId="13" xfId="112" applyFont="1" applyFill="1" applyBorder="1" applyAlignment="1">
      <alignment horizontal="center"/>
    </xf>
    <xf numFmtId="0" fontId="18" fillId="26" borderId="13" xfId="112" applyFont="1" applyFill="1" applyBorder="1" applyAlignment="1">
      <alignment horizontal="center"/>
    </xf>
    <xf numFmtId="0" fontId="40" fillId="24" borderId="13" xfId="112" applyFont="1" applyFill="1" applyBorder="1"/>
    <xf numFmtId="0" fontId="62" fillId="0" borderId="0" xfId="112" applyFont="1" applyFill="1"/>
    <xf numFmtId="0" fontId="40" fillId="24" borderId="17" xfId="112" applyFont="1" applyFill="1" applyBorder="1" applyAlignment="1">
      <alignment horizontal="center"/>
    </xf>
    <xf numFmtId="0" fontId="40" fillId="6" borderId="0" xfId="112" applyFont="1" applyFill="1" applyAlignment="1"/>
    <xf numFmtId="0" fontId="40" fillId="0" borderId="0" xfId="112" applyFont="1" applyFill="1" applyAlignment="1"/>
    <xf numFmtId="0" fontId="44" fillId="0" borderId="0" xfId="112" applyFont="1"/>
    <xf numFmtId="0" fontId="51" fillId="0" borderId="0" xfId="112" quotePrefix="1" applyFont="1"/>
    <xf numFmtId="0" fontId="16" fillId="26" borderId="0" xfId="112" applyFont="1" applyFill="1"/>
    <xf numFmtId="0" fontId="16" fillId="25" borderId="0" xfId="112" applyFont="1" applyFill="1"/>
    <xf numFmtId="0" fontId="44" fillId="6" borderId="0" xfId="112" applyFont="1" applyFill="1"/>
    <xf numFmtId="0" fontId="44" fillId="24" borderId="0" xfId="112" applyFont="1" applyFill="1"/>
    <xf numFmtId="0" fontId="57" fillId="0" borderId="0" xfId="112" applyFont="1"/>
    <xf numFmtId="0" fontId="21" fillId="0" borderId="0" xfId="112" applyFont="1"/>
    <xf numFmtId="0" fontId="16" fillId="5" borderId="0" xfId="112" applyFont="1" applyFill="1"/>
    <xf numFmtId="0" fontId="16" fillId="5" borderId="0" xfId="112" applyFont="1" applyFill="1" applyAlignment="1">
      <alignment horizontal="center"/>
    </xf>
    <xf numFmtId="0" fontId="16" fillId="5" borderId="0" xfId="112" applyFont="1" applyFill="1" applyAlignment="1">
      <alignment horizontal="left"/>
    </xf>
    <xf numFmtId="0" fontId="44" fillId="0" borderId="0" xfId="167" applyFont="1"/>
    <xf numFmtId="0" fontId="44" fillId="0" borderId="0" xfId="167" applyFont="1" applyFill="1" applyBorder="1"/>
    <xf numFmtId="0" fontId="16" fillId="4" borderId="0" xfId="112" applyFont="1" applyFill="1"/>
    <xf numFmtId="0" fontId="54" fillId="4" borderId="0" xfId="112" applyFont="1" applyFill="1"/>
    <xf numFmtId="0" fontId="61" fillId="0" borderId="37" xfId="0" applyFont="1" applyFill="1" applyBorder="1" applyAlignment="1" applyProtection="1">
      <alignment horizontal="center" vertical="center"/>
      <protection locked="0"/>
    </xf>
    <xf numFmtId="0" fontId="62" fillId="11" borderId="0" xfId="0" applyFont="1" applyFill="1" applyAlignment="1">
      <alignment vertical="center"/>
    </xf>
    <xf numFmtId="0" fontId="0" fillId="26" borderId="0" xfId="0" applyFill="1" applyAlignment="1">
      <alignment horizontal="left" vertical="center"/>
    </xf>
    <xf numFmtId="0" fontId="0" fillId="27" borderId="0" xfId="0" applyFill="1" applyAlignment="1">
      <alignment vertical="center"/>
    </xf>
    <xf numFmtId="0" fontId="21" fillId="0" borderId="0" xfId="0" applyFont="1" applyAlignment="1">
      <alignment vertical="center"/>
    </xf>
    <xf numFmtId="0" fontId="40" fillId="27" borderId="21" xfId="0" applyFont="1" applyFill="1" applyBorder="1" applyAlignment="1">
      <alignment horizontal="center"/>
    </xf>
    <xf numFmtId="0" fontId="40" fillId="27" borderId="23" xfId="0" applyFont="1" applyFill="1" applyBorder="1" applyAlignment="1">
      <alignment horizont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0" fillId="11" borderId="0" xfId="0" applyFont="1" applyFill="1" applyAlignment="1">
      <alignment horizontal="center" vertical="center"/>
    </xf>
    <xf numFmtId="9" fontId="61" fillId="0" borderId="37" xfId="140" applyNumberFormat="1" applyFont="1" applyFill="1" applyBorder="1" applyAlignment="1" applyProtection="1">
      <alignment horizontal="center" vertical="center"/>
      <protection locked="0"/>
    </xf>
    <xf numFmtId="2" fontId="40" fillId="11" borderId="0" xfId="0" applyNumberFormat="1" applyFont="1" applyFill="1" applyAlignment="1">
      <alignment horizontal="center" vertical="center"/>
    </xf>
    <xf numFmtId="2" fontId="40" fillId="11" borderId="0" xfId="140" applyNumberFormat="1" applyFont="1" applyFill="1" applyAlignment="1">
      <alignment horizontal="center" vertical="center"/>
    </xf>
    <xf numFmtId="0" fontId="11" fillId="0" borderId="0" xfId="168"/>
    <xf numFmtId="0" fontId="59" fillId="0" borderId="0" xfId="168" applyFont="1"/>
    <xf numFmtId="0" fontId="44" fillId="0" borderId="0" xfId="168" applyFont="1"/>
    <xf numFmtId="0" fontId="44" fillId="0" borderId="0" xfId="168" applyFont="1" applyAlignment="1">
      <alignment horizontal="center"/>
    </xf>
    <xf numFmtId="0" fontId="16" fillId="5" borderId="0" xfId="168" applyFont="1" applyFill="1"/>
    <xf numFmtId="0" fontId="16" fillId="5" borderId="0" xfId="168" applyFont="1" applyFill="1" applyAlignment="1">
      <alignment horizontal="center"/>
    </xf>
    <xf numFmtId="0" fontId="16" fillId="5" borderId="0" xfId="168" applyFont="1" applyFill="1" applyAlignment="1">
      <alignment horizontal="left"/>
    </xf>
    <xf numFmtId="0" fontId="16" fillId="26" borderId="0" xfId="168" applyFont="1" applyFill="1"/>
    <xf numFmtId="0" fontId="44" fillId="6" borderId="0" xfId="168" applyFont="1" applyFill="1"/>
    <xf numFmtId="0" fontId="44" fillId="24" borderId="0" xfId="168" applyFont="1" applyFill="1"/>
    <xf numFmtId="0" fontId="21" fillId="0" borderId="0" xfId="168" applyFont="1"/>
    <xf numFmtId="0" fontId="16" fillId="4" borderId="0" xfId="168" applyFont="1" applyFill="1"/>
    <xf numFmtId="0" fontId="16" fillId="4" borderId="0" xfId="168" applyFont="1" applyFill="1" applyAlignment="1">
      <alignment horizontal="center"/>
    </xf>
    <xf numFmtId="179" fontId="44" fillId="6" borderId="0" xfId="169" applyNumberFormat="1" applyFont="1" applyFill="1"/>
    <xf numFmtId="0" fontId="16" fillId="26" borderId="0" xfId="168" applyFont="1" applyFill="1" applyAlignment="1">
      <alignment horizontal="left"/>
    </xf>
    <xf numFmtId="0" fontId="64" fillId="5" borderId="0" xfId="168" applyFont="1" applyFill="1" applyAlignment="1">
      <alignment horizontal="left"/>
    </xf>
    <xf numFmtId="179" fontId="44" fillId="0" borderId="0" xfId="169" applyNumberFormat="1" applyFont="1" applyFill="1"/>
    <xf numFmtId="179" fontId="65" fillId="0" borderId="0" xfId="169" applyNumberFormat="1" applyFont="1" applyFill="1"/>
    <xf numFmtId="0" fontId="11" fillId="0" borderId="0" xfId="168" applyAlignment="1">
      <alignment horizontal="center"/>
    </xf>
    <xf numFmtId="179" fontId="44" fillId="6" borderId="0" xfId="168" applyNumberFormat="1" applyFont="1" applyFill="1" applyBorder="1"/>
    <xf numFmtId="0" fontId="53" fillId="0" borderId="0" xfId="168" applyFont="1" applyFill="1" applyBorder="1"/>
    <xf numFmtId="0" fontId="51" fillId="0" borderId="0" xfId="168" applyFont="1" applyFill="1" applyBorder="1"/>
    <xf numFmtId="0" fontId="51" fillId="30" borderId="0" xfId="168" applyFont="1" applyFill="1" applyBorder="1"/>
    <xf numFmtId="0" fontId="51" fillId="0" borderId="0" xfId="168" applyFont="1"/>
    <xf numFmtId="0" fontId="57" fillId="0" borderId="0" xfId="168" applyFont="1" applyFill="1" applyBorder="1"/>
    <xf numFmtId="179" fontId="16" fillId="26" borderId="0" xfId="169" applyNumberFormat="1" applyFont="1" applyFill="1"/>
    <xf numFmtId="179" fontId="44" fillId="6" borderId="0" xfId="168" applyNumberFormat="1" applyFont="1" applyFill="1"/>
    <xf numFmtId="9" fontId="59" fillId="0" borderId="0" xfId="168" applyNumberFormat="1" applyFont="1"/>
    <xf numFmtId="0" fontId="44" fillId="0" borderId="0" xfId="171" applyFont="1"/>
    <xf numFmtId="0" fontId="44" fillId="0" borderId="0" xfId="171" applyFont="1" applyAlignment="1">
      <alignment horizontal="center"/>
    </xf>
    <xf numFmtId="0" fontId="52" fillId="0" borderId="0" xfId="171" applyFont="1"/>
    <xf numFmtId="0" fontId="16" fillId="4" borderId="0" xfId="171" applyFont="1" applyFill="1"/>
    <xf numFmtId="0" fontId="60" fillId="4" borderId="0" xfId="171" applyFont="1" applyFill="1"/>
    <xf numFmtId="0" fontId="16" fillId="4" borderId="0" xfId="171" applyFont="1" applyFill="1" applyAlignment="1">
      <alignment horizontal="center"/>
    </xf>
    <xf numFmtId="0" fontId="16" fillId="5" borderId="0" xfId="171" applyFont="1" applyFill="1" applyAlignment="1">
      <alignment horizontal="center"/>
    </xf>
    <xf numFmtId="0" fontId="21" fillId="0" borderId="0" xfId="171" applyFont="1"/>
    <xf numFmtId="3" fontId="21" fillId="0" borderId="0" xfId="171" applyNumberFormat="1" applyFont="1" applyAlignment="1">
      <alignment horizontal="center"/>
    </xf>
    <xf numFmtId="0" fontId="44" fillId="6" borderId="0" xfId="171" applyFont="1" applyFill="1" applyAlignment="1">
      <alignment horizontal="center"/>
    </xf>
    <xf numFmtId="0" fontId="16" fillId="5" borderId="0" xfId="171" applyFont="1" applyFill="1"/>
    <xf numFmtId="0" fontId="44" fillId="0" borderId="0" xfId="171"/>
    <xf numFmtId="0" fontId="44" fillId="6" borderId="0" xfId="171" applyFont="1" applyFill="1"/>
    <xf numFmtId="0" fontId="51" fillId="6" borderId="0" xfId="168" applyFont="1" applyFill="1" applyBorder="1"/>
    <xf numFmtId="0" fontId="21" fillId="6" borderId="0" xfId="171" applyFont="1" applyFill="1"/>
    <xf numFmtId="0" fontId="60" fillId="5" borderId="0" xfId="168" applyFont="1" applyFill="1" applyAlignment="1">
      <alignment horizontal="left"/>
    </xf>
    <xf numFmtId="179" fontId="21" fillId="6" borderId="0" xfId="168" applyNumberFormat="1" applyFont="1" applyFill="1" applyBorder="1"/>
    <xf numFmtId="0" fontId="60" fillId="4" borderId="0" xfId="168" applyFont="1" applyFill="1"/>
    <xf numFmtId="179" fontId="44" fillId="6" borderId="0" xfId="168" quotePrefix="1" applyNumberFormat="1" applyFont="1" applyFill="1" applyBorder="1"/>
    <xf numFmtId="0" fontId="11" fillId="0" borderId="0" xfId="168" applyFont="1"/>
    <xf numFmtId="0" fontId="44" fillId="0" borderId="0" xfId="168" applyFont="1" applyAlignment="1">
      <alignment horizontal="left" indent="1"/>
    </xf>
    <xf numFmtId="9" fontId="0" fillId="26" borderId="0" xfId="0" applyNumberFormat="1" applyFill="1" applyAlignment="1">
      <alignment horizontal="center" vertical="center"/>
    </xf>
    <xf numFmtId="3" fontId="0" fillId="0" borderId="0" xfId="0" applyNumberFormat="1" applyFill="1" applyAlignment="1">
      <alignment horizontal="right" vertical="center"/>
    </xf>
    <xf numFmtId="3" fontId="0" fillId="0" borderId="0" xfId="0" applyNumberFormat="1" applyAlignment="1">
      <alignment vertical="center"/>
    </xf>
    <xf numFmtId="0" fontId="21" fillId="27" borderId="0" xfId="0" applyFont="1" applyFill="1" applyAlignment="1">
      <alignment vertical="center"/>
    </xf>
    <xf numFmtId="3" fontId="0" fillId="27" borderId="0" xfId="0" applyNumberFormat="1" applyFill="1" applyAlignment="1">
      <alignment horizontal="right" vertical="center"/>
    </xf>
    <xf numFmtId="3" fontId="21" fillId="0" borderId="0" xfId="0" applyNumberFormat="1" applyFon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9" fontId="0" fillId="0" borderId="0" xfId="140" applyFont="1" applyAlignment="1">
      <alignment horizontal="right" vertical="center"/>
    </xf>
    <xf numFmtId="182" fontId="0" fillId="0" borderId="0" xfId="0" applyNumberFormat="1" applyAlignment="1">
      <alignment horizontal="center" vertical="center"/>
    </xf>
    <xf numFmtId="3" fontId="0" fillId="27" borderId="0" xfId="0" applyNumberFormat="1" applyFill="1" applyAlignment="1">
      <alignment horizontal="center" vertical="center"/>
    </xf>
    <xf numFmtId="181" fontId="0" fillId="0" borderId="0" xfId="0" applyNumberFormat="1" applyAlignment="1">
      <alignment horizontal="right" vertical="center"/>
    </xf>
    <xf numFmtId="0" fontId="59" fillId="0" borderId="0" xfId="0" applyFont="1" applyAlignment="1">
      <alignment vertical="center"/>
    </xf>
    <xf numFmtId="0" fontId="0" fillId="0" borderId="0" xfId="0" applyFill="1" applyAlignment="1">
      <alignment horizontal="left" vertical="center"/>
    </xf>
    <xf numFmtId="3" fontId="0" fillId="26" borderId="0" xfId="0" applyNumberFormat="1" applyFill="1" applyAlignment="1">
      <alignment horizontal="center" vertical="center"/>
    </xf>
    <xf numFmtId="4" fontId="0" fillId="26" borderId="0" xfId="0" applyNumberFormat="1" applyFill="1" applyAlignment="1">
      <alignment horizontal="center" vertical="center"/>
    </xf>
    <xf numFmtId="9" fontId="0" fillId="26" borderId="0" xfId="140" applyFont="1" applyFill="1" applyAlignment="1">
      <alignment horizontal="center" vertical="center"/>
    </xf>
    <xf numFmtId="0" fontId="0" fillId="0" borderId="0" xfId="0" applyFont="1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center"/>
    </xf>
    <xf numFmtId="9" fontId="0" fillId="0" borderId="0" xfId="140" applyFont="1" applyFill="1" applyAlignment="1">
      <alignment horizontal="right" vertical="center"/>
    </xf>
    <xf numFmtId="0" fontId="0" fillId="0" borderId="0" xfId="168" applyFont="1"/>
    <xf numFmtId="0" fontId="21" fillId="6" borderId="0" xfId="0" applyFont="1" applyFill="1"/>
    <xf numFmtId="0" fontId="0" fillId="31" borderId="0" xfId="0" applyFill="1" applyAlignment="1">
      <alignment horizontal="center" vertical="center"/>
    </xf>
    <xf numFmtId="0" fontId="0" fillId="31" borderId="0" xfId="0" applyFill="1" applyAlignment="1">
      <alignment horizontal="left" vertical="center"/>
    </xf>
    <xf numFmtId="0" fontId="21" fillId="31" borderId="0" xfId="0" applyFont="1" applyFill="1" applyAlignment="1">
      <alignment vertical="center"/>
    </xf>
    <xf numFmtId="3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vertical="center"/>
    </xf>
    <xf numFmtId="179" fontId="0" fillId="6" borderId="0" xfId="172" applyNumberFormat="1" applyFont="1" applyFill="1" applyAlignment="1">
      <alignment horizontal="center" vertical="center"/>
    </xf>
    <xf numFmtId="9" fontId="0" fillId="0" borderId="0" xfId="140" applyFont="1" applyFill="1" applyAlignment="1">
      <alignment horizontal="center" vertical="center"/>
    </xf>
    <xf numFmtId="179" fontId="0" fillId="0" borderId="0" xfId="172" applyNumberFormat="1" applyFont="1" applyFill="1" applyAlignment="1">
      <alignment horizontal="center" vertical="center"/>
    </xf>
    <xf numFmtId="0" fontId="0" fillId="0" borderId="18" xfId="0" applyBorder="1" applyAlignment="1">
      <alignment horizontal="left" vertical="center"/>
    </xf>
    <xf numFmtId="179" fontId="0" fillId="0" borderId="18" xfId="172" applyNumberFormat="1" applyFont="1" applyFill="1" applyBorder="1" applyAlignment="1">
      <alignment horizontal="center" vertical="center"/>
    </xf>
    <xf numFmtId="0" fontId="59" fillId="0" borderId="18" xfId="0" applyFont="1" applyBorder="1" applyAlignment="1">
      <alignment horizontal="left" vertical="center"/>
    </xf>
    <xf numFmtId="0" fontId="59" fillId="0" borderId="0" xfId="0" applyFont="1" applyFill="1" applyAlignment="1">
      <alignment horizontal="left" vertical="center"/>
    </xf>
    <xf numFmtId="0" fontId="16" fillId="0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62" fillId="11" borderId="0" xfId="0" applyFont="1" applyFill="1" applyAlignment="1">
      <alignment horizontal="left" vertical="center"/>
    </xf>
    <xf numFmtId="0" fontId="51" fillId="0" borderId="0" xfId="173" applyFont="1"/>
    <xf numFmtId="0" fontId="57" fillId="0" borderId="0" xfId="173" applyFont="1"/>
    <xf numFmtId="0" fontId="44" fillId="0" borderId="0" xfId="0" applyFont="1" applyAlignment="1">
      <alignment vertical="center"/>
    </xf>
    <xf numFmtId="41" fontId="51" fillId="0" borderId="0" xfId="173" applyNumberFormat="1" applyFont="1"/>
    <xf numFmtId="0" fontId="51" fillId="0" borderId="0" xfId="173" applyFont="1" applyBorder="1"/>
    <xf numFmtId="0" fontId="51" fillId="30" borderId="0" xfId="173" applyFont="1" applyFill="1" applyBorder="1"/>
    <xf numFmtId="41" fontId="51" fillId="30" borderId="0" xfId="173" applyNumberFormat="1" applyFont="1" applyFill="1" applyBorder="1"/>
    <xf numFmtId="179" fontId="57" fillId="0" borderId="0" xfId="174" applyNumberFormat="1" applyFont="1"/>
    <xf numFmtId="43" fontId="57" fillId="0" borderId="0" xfId="174" applyFont="1"/>
    <xf numFmtId="179" fontId="57" fillId="0" borderId="0" xfId="174" applyNumberFormat="1" applyFont="1" applyAlignment="1">
      <alignment horizontal="right" vertical="center" indent="3"/>
    </xf>
    <xf numFmtId="41" fontId="51" fillId="0" borderId="0" xfId="29" applyFont="1" applyAlignment="1">
      <alignment horizontal="right" vertical="center" indent="3"/>
    </xf>
    <xf numFmtId="41" fontId="57" fillId="0" borderId="0" xfId="29" applyFont="1" applyAlignment="1">
      <alignment horizontal="right" vertical="center" indent="3"/>
    </xf>
    <xf numFmtId="9" fontId="51" fillId="0" borderId="0" xfId="175" applyFont="1"/>
    <xf numFmtId="41" fontId="51" fillId="0" borderId="0" xfId="29" applyFont="1"/>
    <xf numFmtId="41" fontId="57" fillId="0" borderId="0" xfId="29" applyFont="1"/>
    <xf numFmtId="41" fontId="51" fillId="0" borderId="0" xfId="175" applyNumberFormat="1" applyFont="1"/>
    <xf numFmtId="41" fontId="51" fillId="32" borderId="0" xfId="29" applyFont="1" applyFill="1" applyAlignment="1">
      <alignment horizontal="right" vertical="center" indent="3"/>
    </xf>
    <xf numFmtId="3" fontId="40" fillId="11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7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16" fillId="7" borderId="0" xfId="0" applyFont="1" applyFill="1"/>
    <xf numFmtId="0" fontId="16" fillId="34" borderId="0" xfId="0" applyFont="1" applyFill="1"/>
    <xf numFmtId="0" fontId="16" fillId="35" borderId="0" xfId="0" applyFont="1" applyFill="1"/>
    <xf numFmtId="0" fontId="58" fillId="20" borderId="0" xfId="0" applyFont="1" applyFill="1" applyAlignment="1">
      <alignment horizontal="left" vertical="center"/>
    </xf>
    <xf numFmtId="0" fontId="16" fillId="0" borderId="0" xfId="0" applyFont="1" applyFill="1"/>
    <xf numFmtId="0" fontId="16" fillId="0" borderId="0" xfId="168" applyFont="1" applyFill="1"/>
    <xf numFmtId="0" fontId="16" fillId="0" borderId="0" xfId="168" applyFont="1" applyFill="1" applyAlignment="1">
      <alignment horizontal="left"/>
    </xf>
    <xf numFmtId="0" fontId="64" fillId="0" borderId="0" xfId="168" applyFont="1" applyFill="1" applyAlignment="1">
      <alignment horizontal="left"/>
    </xf>
    <xf numFmtId="0" fontId="51" fillId="0" borderId="0" xfId="168" applyFont="1" applyFill="1" applyAlignment="1">
      <alignment horizontal="left"/>
    </xf>
    <xf numFmtId="0" fontId="66" fillId="0" borderId="0" xfId="168" applyFont="1" applyFill="1" applyAlignment="1">
      <alignment horizontal="center" vertical="center" textRotation="255"/>
    </xf>
    <xf numFmtId="43" fontId="44" fillId="6" borderId="0" xfId="169" applyNumberFormat="1" applyFont="1" applyFill="1" applyBorder="1"/>
    <xf numFmtId="0" fontId="0" fillId="0" borderId="0" xfId="168" applyFont="1" applyAlignment="1">
      <alignment horizontal="left" indent="1"/>
    </xf>
    <xf numFmtId="0" fontId="0" fillId="26" borderId="0" xfId="0" applyFill="1" applyAlignment="1">
      <alignment vertical="center" wrapText="1"/>
    </xf>
    <xf numFmtId="9" fontId="0" fillId="26" borderId="0" xfId="0" applyNumberFormat="1" applyFill="1" applyAlignment="1">
      <alignment horizontal="left" vertical="center"/>
    </xf>
    <xf numFmtId="179" fontId="0" fillId="0" borderId="0" xfId="172" applyNumberFormat="1" applyFont="1"/>
    <xf numFmtId="179" fontId="0" fillId="0" borderId="0" xfId="172" applyNumberFormat="1" applyFont="1" applyAlignment="1">
      <alignment vertical="center"/>
    </xf>
    <xf numFmtId="0" fontId="0" fillId="24" borderId="0" xfId="0" applyFill="1" applyAlignment="1">
      <alignment horizontal="center" vertical="center" wrapText="1"/>
    </xf>
    <xf numFmtId="9" fontId="0" fillId="0" borderId="0" xfId="0" applyNumberFormat="1" applyFill="1" applyAlignment="1">
      <alignment horizontal="left" vertical="center"/>
    </xf>
    <xf numFmtId="0" fontId="44" fillId="0" borderId="0" xfId="168" applyFont="1" applyFill="1"/>
    <xf numFmtId="0" fontId="0" fillId="0" borderId="0" xfId="168" applyFont="1" applyFill="1"/>
    <xf numFmtId="9" fontId="44" fillId="6" borderId="0" xfId="140" applyFont="1" applyFill="1"/>
    <xf numFmtId="2" fontId="0" fillId="24" borderId="0" xfId="0" applyNumberFormat="1" applyFill="1" applyAlignment="1">
      <alignment horizontal="center" vertical="center"/>
    </xf>
    <xf numFmtId="0" fontId="0" fillId="26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2" fontId="0" fillId="0" borderId="0" xfId="140" applyNumberFormat="1" applyFont="1" applyAlignment="1">
      <alignment horizontal="right" vertical="center"/>
    </xf>
    <xf numFmtId="0" fontId="40" fillId="11" borderId="0" xfId="0" applyFont="1" applyFill="1" applyAlignment="1">
      <alignment horizontal="right" vertical="center"/>
    </xf>
    <xf numFmtId="0" fontId="62" fillId="11" borderId="0" xfId="0" applyFont="1" applyFill="1" applyAlignment="1">
      <alignment vertical="center" wrapText="1"/>
    </xf>
    <xf numFmtId="0" fontId="62" fillId="11" borderId="0" xfId="0" applyFont="1" applyFill="1" applyAlignment="1">
      <alignment horizontal="center" vertical="center" wrapText="1"/>
    </xf>
    <xf numFmtId="0" fontId="67" fillId="11" borderId="35" xfId="0" applyFont="1" applyFill="1" applyBorder="1" applyAlignment="1">
      <alignment vertical="center"/>
    </xf>
    <xf numFmtId="0" fontId="62" fillId="11" borderId="0" xfId="0" applyFont="1" applyFill="1" applyAlignment="1">
      <alignment horizontal="center" vertical="center"/>
    </xf>
    <xf numFmtId="0" fontId="68" fillId="8" borderId="0" xfId="0" applyFont="1" applyFill="1" applyAlignment="1">
      <alignment vertical="center"/>
    </xf>
    <xf numFmtId="0" fontId="40" fillId="8" borderId="41" xfId="0" applyFont="1" applyFill="1" applyBorder="1" applyAlignment="1">
      <alignment vertical="center"/>
    </xf>
    <xf numFmtId="0" fontId="40" fillId="8" borderId="42" xfId="0" applyFont="1" applyFill="1" applyBorder="1" applyAlignment="1">
      <alignment vertical="center"/>
    </xf>
    <xf numFmtId="0" fontId="40" fillId="8" borderId="43" xfId="0" applyFont="1" applyFill="1" applyBorder="1" applyAlignment="1">
      <alignment vertical="center"/>
    </xf>
    <xf numFmtId="0" fontId="40" fillId="8" borderId="0" xfId="0" applyFont="1" applyFill="1" applyBorder="1" applyAlignment="1">
      <alignment vertical="center"/>
    </xf>
    <xf numFmtId="0" fontId="40" fillId="8" borderId="45" xfId="0" applyFont="1" applyFill="1" applyBorder="1" applyAlignment="1">
      <alignment vertical="center"/>
    </xf>
    <xf numFmtId="0" fontId="40" fillId="8" borderId="0" xfId="0" applyFont="1" applyFill="1" applyBorder="1" applyAlignment="1">
      <alignment horizontal="right" vertical="center"/>
    </xf>
    <xf numFmtId="9" fontId="40" fillId="8" borderId="0" xfId="0" applyNumberFormat="1" applyFont="1" applyFill="1" applyBorder="1" applyAlignment="1">
      <alignment horizontal="right" vertical="center"/>
    </xf>
    <xf numFmtId="0" fontId="40" fillId="8" borderId="44" xfId="0" applyFont="1" applyFill="1" applyBorder="1" applyAlignment="1">
      <alignment horizontal="right" vertical="center"/>
    </xf>
    <xf numFmtId="0" fontId="62" fillId="29" borderId="0" xfId="0" applyFont="1" applyFill="1" applyBorder="1" applyAlignment="1">
      <alignment vertical="center"/>
    </xf>
    <xf numFmtId="0" fontId="62" fillId="29" borderId="45" xfId="0" applyFont="1" applyFill="1" applyBorder="1" applyAlignment="1">
      <alignment vertical="center"/>
    </xf>
    <xf numFmtId="9" fontId="62" fillId="29" borderId="0" xfId="0" applyNumberFormat="1" applyFont="1" applyFill="1" applyBorder="1" applyAlignment="1">
      <alignment horizontal="right" vertical="center"/>
    </xf>
    <xf numFmtId="3" fontId="40" fillId="8" borderId="0" xfId="0" applyNumberFormat="1" applyFont="1" applyFill="1" applyBorder="1" applyAlignment="1">
      <alignment horizontal="right" vertical="center"/>
    </xf>
    <xf numFmtId="3" fontId="62" fillId="29" borderId="0" xfId="0" applyNumberFormat="1" applyFont="1" applyFill="1" applyBorder="1" applyAlignment="1">
      <alignment horizontal="right" vertical="center"/>
    </xf>
    <xf numFmtId="9" fontId="40" fillId="8" borderId="45" xfId="0" applyNumberFormat="1" applyFont="1" applyFill="1" applyBorder="1" applyAlignment="1">
      <alignment horizontal="right" vertical="center"/>
    </xf>
    <xf numFmtId="0" fontId="40" fillId="8" borderId="45" xfId="0" applyFont="1" applyFill="1" applyBorder="1" applyAlignment="1">
      <alignment horizontal="right" vertical="center"/>
    </xf>
    <xf numFmtId="9" fontId="62" fillId="29" borderId="45" xfId="0" applyNumberFormat="1" applyFont="1" applyFill="1" applyBorder="1" applyAlignment="1">
      <alignment horizontal="right" vertical="center"/>
    </xf>
    <xf numFmtId="9" fontId="40" fillId="8" borderId="44" xfId="0" applyNumberFormat="1" applyFont="1" applyFill="1" applyBorder="1" applyAlignment="1">
      <alignment horizontal="right" vertical="center"/>
    </xf>
    <xf numFmtId="9" fontId="62" fillId="29" borderId="44" xfId="0" applyNumberFormat="1" applyFont="1" applyFill="1" applyBorder="1" applyAlignment="1">
      <alignment horizontal="right" vertical="center"/>
    </xf>
    <xf numFmtId="3" fontId="40" fillId="11" borderId="0" xfId="0" applyNumberFormat="1" applyFont="1" applyFill="1" applyAlignment="1">
      <alignment horizontal="center" vertical="center"/>
    </xf>
    <xf numFmtId="0" fontId="69" fillId="11" borderId="0" xfId="0" applyFont="1" applyFill="1" applyAlignment="1">
      <alignment vertical="center"/>
    </xf>
    <xf numFmtId="0" fontId="40" fillId="11" borderId="0" xfId="0" applyFont="1" applyFill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9" fontId="21" fillId="0" borderId="0" xfId="0" applyNumberFormat="1" applyFont="1" applyAlignment="1">
      <alignment vertical="center"/>
    </xf>
    <xf numFmtId="3" fontId="59" fillId="0" borderId="0" xfId="0" applyNumberFormat="1" applyFont="1" applyAlignment="1">
      <alignment vertical="center"/>
    </xf>
    <xf numFmtId="9" fontId="59" fillId="0" borderId="0" xfId="140" applyFont="1" applyAlignment="1">
      <alignment vertical="center"/>
    </xf>
    <xf numFmtId="0" fontId="0" fillId="29" borderId="0" xfId="0" applyFill="1" applyAlignment="1">
      <alignment vertical="center"/>
    </xf>
    <xf numFmtId="179" fontId="0" fillId="29" borderId="0" xfId="172" applyNumberFormat="1" applyFont="1" applyFill="1"/>
    <xf numFmtId="3" fontId="0" fillId="0" borderId="0" xfId="0" applyNumberFormat="1" applyAlignment="1">
      <alignment horizontal="center"/>
    </xf>
    <xf numFmtId="9" fontId="0" fillId="0" borderId="0" xfId="140" applyFon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51" fillId="0" borderId="0" xfId="168" applyFont="1" applyFill="1"/>
    <xf numFmtId="0" fontId="63" fillId="0" borderId="0" xfId="168" applyFont="1" applyFill="1" applyAlignment="1">
      <alignment horizontal="left"/>
    </xf>
    <xf numFmtId="179" fontId="44" fillId="0" borderId="0" xfId="168" applyNumberFormat="1" applyFont="1" applyFill="1"/>
    <xf numFmtId="0" fontId="57" fillId="0" borderId="0" xfId="168" applyFont="1" applyFill="1" applyAlignment="1">
      <alignment horizontal="left"/>
    </xf>
    <xf numFmtId="0" fontId="57" fillId="0" borderId="0" xfId="168" applyFont="1" applyFill="1"/>
    <xf numFmtId="0" fontId="0" fillId="0" borderId="0" xfId="140" applyNumberFormat="1" applyFont="1" applyAlignment="1">
      <alignment horizontal="center" vertical="center"/>
    </xf>
    <xf numFmtId="9" fontId="0" fillId="26" borderId="0" xfId="172" applyNumberFormat="1" applyFont="1" applyFill="1" applyAlignment="1">
      <alignment horizontal="center" vertical="center"/>
    </xf>
    <xf numFmtId="0" fontId="51" fillId="0" borderId="0" xfId="168" applyFont="1" applyFill="1" applyAlignment="1">
      <alignment horizontal="right"/>
    </xf>
    <xf numFmtId="179" fontId="51" fillId="6" borderId="0" xfId="168" applyNumberFormat="1" applyFont="1" applyFill="1" applyAlignment="1">
      <alignment horizontal="right"/>
    </xf>
    <xf numFmtId="9" fontId="51" fillId="6" borderId="0" xfId="140" applyFont="1" applyFill="1" applyAlignment="1">
      <alignment horizontal="right"/>
    </xf>
    <xf numFmtId="179" fontId="51" fillId="6" borderId="0" xfId="168" applyNumberFormat="1" applyFont="1" applyFill="1" applyAlignment="1">
      <alignment horizontal="left"/>
    </xf>
    <xf numFmtId="179" fontId="51" fillId="6" borderId="0" xfId="172" applyNumberFormat="1" applyFont="1" applyFill="1" applyAlignment="1">
      <alignment horizontal="right"/>
    </xf>
    <xf numFmtId="179" fontId="51" fillId="6" borderId="0" xfId="172" applyNumberFormat="1" applyFont="1" applyFill="1" applyAlignment="1">
      <alignment horizontal="left"/>
    </xf>
    <xf numFmtId="179" fontId="44" fillId="6" borderId="0" xfId="168" applyNumberFormat="1" applyFont="1" applyFill="1" applyAlignment="1">
      <alignment horizontal="left"/>
    </xf>
    <xf numFmtId="2" fontId="61" fillId="0" borderId="37" xfId="140" applyNumberFormat="1" applyFont="1" applyFill="1" applyBorder="1" applyAlignment="1" applyProtection="1">
      <alignment horizontal="center" vertical="center"/>
      <protection locked="0"/>
    </xf>
    <xf numFmtId="3" fontId="40" fillId="11" borderId="0" xfId="0" applyNumberFormat="1" applyFont="1" applyFill="1" applyAlignment="1">
      <alignment horizontal="center" vertical="center"/>
    </xf>
    <xf numFmtId="0" fontId="21" fillId="0" borderId="0" xfId="168" applyFont="1" applyFill="1"/>
    <xf numFmtId="9" fontId="59" fillId="0" borderId="0" xfId="168" applyNumberFormat="1" applyFont="1" applyFill="1"/>
    <xf numFmtId="9" fontId="59" fillId="0" borderId="0" xfId="140" applyFont="1" applyFill="1" applyBorder="1"/>
    <xf numFmtId="0" fontId="11" fillId="0" borderId="0" xfId="168" applyFill="1"/>
    <xf numFmtId="179" fontId="44" fillId="0" borderId="0" xfId="172" applyNumberFormat="1" applyFont="1"/>
    <xf numFmtId="0" fontId="0" fillId="0" borderId="0" xfId="0" applyFont="1" applyAlignment="1">
      <alignment horizontal="left" vertical="center"/>
    </xf>
    <xf numFmtId="0" fontId="0" fillId="0" borderId="0" xfId="171" applyFont="1"/>
    <xf numFmtId="0" fontId="0" fillId="11" borderId="0" xfId="0" applyFill="1"/>
    <xf numFmtId="185" fontId="0" fillId="0" borderId="0" xfId="172" applyNumberFormat="1" applyFont="1" applyAlignment="1">
      <alignment vertical="center"/>
    </xf>
    <xf numFmtId="0" fontId="44" fillId="0" borderId="0" xfId="0" applyFont="1" applyFill="1"/>
    <xf numFmtId="0" fontId="16" fillId="36" borderId="0" xfId="168" applyFont="1" applyFill="1" applyAlignment="1">
      <alignment horizontal="left"/>
    </xf>
    <xf numFmtId="0" fontId="44" fillId="37" borderId="0" xfId="168" applyFont="1" applyFill="1"/>
    <xf numFmtId="0" fontId="16" fillId="37" borderId="0" xfId="168" applyFont="1" applyFill="1"/>
    <xf numFmtId="0" fontId="16" fillId="36" borderId="0" xfId="168" applyFont="1" applyFill="1"/>
    <xf numFmtId="0" fontId="16" fillId="38" borderId="0" xfId="168" applyFont="1" applyFill="1"/>
    <xf numFmtId="0" fontId="16" fillId="38" borderId="0" xfId="168" applyFont="1" applyFill="1" applyAlignment="1">
      <alignment horizontal="left"/>
    </xf>
    <xf numFmtId="0" fontId="16" fillId="24" borderId="0" xfId="168" applyFont="1" applyFill="1"/>
    <xf numFmtId="0" fontId="16" fillId="24" borderId="0" xfId="168" applyFont="1" applyFill="1" applyAlignment="1">
      <alignment horizontal="left"/>
    </xf>
    <xf numFmtId="0" fontId="51" fillId="26" borderId="0" xfId="168" applyFont="1" applyFill="1"/>
    <xf numFmtId="0" fontId="51" fillId="26" borderId="0" xfId="168" applyFont="1" applyFill="1" applyAlignment="1">
      <alignment horizontal="left"/>
    </xf>
    <xf numFmtId="0" fontId="51" fillId="24" borderId="0" xfId="168" applyFont="1" applyFill="1"/>
    <xf numFmtId="0" fontId="51" fillId="24" borderId="0" xfId="168" applyFont="1" applyFill="1" applyAlignment="1">
      <alignment horizontal="left"/>
    </xf>
    <xf numFmtId="0" fontId="51" fillId="36" borderId="0" xfId="168" applyFont="1" applyFill="1" applyAlignment="1">
      <alignment horizontal="left"/>
    </xf>
    <xf numFmtId="0" fontId="51" fillId="36" borderId="0" xfId="168" applyFont="1" applyFill="1"/>
    <xf numFmtId="0" fontId="44" fillId="36" borderId="0" xfId="168" applyFont="1" applyFill="1"/>
    <xf numFmtId="0" fontId="44" fillId="26" borderId="0" xfId="168" applyFont="1" applyFill="1"/>
    <xf numFmtId="0" fontId="19" fillId="26" borderId="0" xfId="168" applyFont="1" applyFill="1"/>
    <xf numFmtId="0" fontId="71" fillId="26" borderId="0" xfId="168" applyFont="1" applyFill="1"/>
    <xf numFmtId="9" fontId="72" fillId="26" borderId="0" xfId="168" applyNumberFormat="1" applyFont="1" applyFill="1"/>
    <xf numFmtId="9" fontId="72" fillId="26" borderId="0" xfId="140" applyFont="1" applyFill="1" applyBorder="1"/>
    <xf numFmtId="0" fontId="44" fillId="0" borderId="18" xfId="168" applyFont="1" applyBorder="1"/>
    <xf numFmtId="0" fontId="21" fillId="0" borderId="18" xfId="168" applyFont="1" applyBorder="1"/>
    <xf numFmtId="9" fontId="59" fillId="0" borderId="18" xfId="168" applyNumberFormat="1" applyFont="1" applyBorder="1"/>
    <xf numFmtId="0" fontId="0" fillId="0" borderId="18" xfId="168" applyFont="1" applyBorder="1"/>
    <xf numFmtId="0" fontId="19" fillId="38" borderId="0" xfId="168" applyFont="1" applyFill="1"/>
    <xf numFmtId="0" fontId="71" fillId="38" borderId="0" xfId="168" applyFont="1" applyFill="1"/>
    <xf numFmtId="9" fontId="72" fillId="38" borderId="0" xfId="168" applyNumberFormat="1" applyFont="1" applyFill="1"/>
    <xf numFmtId="9" fontId="72" fillId="38" borderId="0" xfId="140" applyFont="1" applyFill="1" applyBorder="1"/>
    <xf numFmtId="0" fontId="19" fillId="24" borderId="0" xfId="168" applyFont="1" applyFill="1"/>
    <xf numFmtId="0" fontId="71" fillId="24" borderId="0" xfId="168" applyFont="1" applyFill="1"/>
    <xf numFmtId="9" fontId="72" fillId="24" borderId="0" xfId="168" applyNumberFormat="1" applyFont="1" applyFill="1"/>
    <xf numFmtId="9" fontId="72" fillId="24" borderId="0" xfId="140" applyFont="1" applyFill="1" applyBorder="1"/>
    <xf numFmtId="0" fontId="51" fillId="38" borderId="0" xfId="168" applyFont="1" applyFill="1" applyAlignment="1">
      <alignment horizontal="left"/>
    </xf>
    <xf numFmtId="0" fontId="51" fillId="38" borderId="0" xfId="168" applyFont="1" applyFill="1"/>
    <xf numFmtId="0" fontId="44" fillId="38" borderId="0" xfId="168" applyFont="1" applyFill="1"/>
    <xf numFmtId="18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right" vertical="center"/>
    </xf>
    <xf numFmtId="0" fontId="0" fillId="0" borderId="0" xfId="0" applyFont="1" applyFill="1" applyAlignment="1">
      <alignment horizontal="left" vertical="center"/>
    </xf>
    <xf numFmtId="0" fontId="0" fillId="26" borderId="0" xfId="140" applyNumberFormat="1" applyFont="1" applyFill="1" applyAlignment="1">
      <alignment horizontal="center" vertical="center"/>
    </xf>
    <xf numFmtId="0" fontId="44" fillId="0" borderId="0" xfId="140" applyNumberFormat="1" applyFont="1" applyAlignment="1">
      <alignment horizontal="center" vertical="center"/>
    </xf>
    <xf numFmtId="0" fontId="0" fillId="6" borderId="0" xfId="171" applyFont="1" applyFill="1"/>
    <xf numFmtId="0" fontId="0" fillId="0" borderId="0" xfId="171" applyFont="1" applyAlignment="1">
      <alignment horizontal="center"/>
    </xf>
    <xf numFmtId="0" fontId="44" fillId="36" borderId="0" xfId="168" applyFont="1" applyFill="1" applyAlignment="1">
      <alignment horizontal="left"/>
    </xf>
    <xf numFmtId="9" fontId="44" fillId="6" borderId="0" xfId="140" applyFont="1" applyFill="1" applyBorder="1"/>
    <xf numFmtId="9" fontId="44" fillId="0" borderId="0" xfId="168" applyNumberFormat="1" applyFont="1"/>
    <xf numFmtId="9" fontId="44" fillId="0" borderId="0" xfId="140" applyFont="1" applyFill="1" applyBorder="1"/>
    <xf numFmtId="2" fontId="0" fillId="0" borderId="0" xfId="0" applyNumberFormat="1" applyAlignment="1">
      <alignment horizontal="center" vertical="center"/>
    </xf>
    <xf numFmtId="179" fontId="44" fillId="0" borderId="0" xfId="168" applyNumberFormat="1" applyFont="1" applyAlignment="1">
      <alignment horizontal="center"/>
    </xf>
    <xf numFmtId="179" fontId="44" fillId="0" borderId="0" xfId="171" applyNumberFormat="1" applyFont="1"/>
    <xf numFmtId="0" fontId="62" fillId="11" borderId="18" xfId="0" applyFont="1" applyFill="1" applyBorder="1" applyAlignment="1">
      <alignment horizontal="center" vertical="center"/>
    </xf>
    <xf numFmtId="0" fontId="16" fillId="37" borderId="0" xfId="168" applyFont="1" applyFill="1" applyAlignment="1">
      <alignment horizontal="left"/>
    </xf>
    <xf numFmtId="0" fontId="74" fillId="37" borderId="0" xfId="168" applyFont="1" applyFill="1" applyAlignment="1">
      <alignment horizontal="left" vertical="center"/>
    </xf>
    <xf numFmtId="43" fontId="44" fillId="6" borderId="0" xfId="169" applyNumberFormat="1" applyFont="1" applyFill="1"/>
    <xf numFmtId="0" fontId="9" fillId="0" borderId="0" xfId="168" applyFont="1"/>
    <xf numFmtId="0" fontId="73" fillId="0" borderId="0" xfId="168" applyFont="1"/>
    <xf numFmtId="0" fontId="40" fillId="0" borderId="0" xfId="0" applyFont="1" applyFill="1" applyAlignment="1">
      <alignment vertical="center"/>
    </xf>
    <xf numFmtId="0" fontId="50" fillId="11" borderId="35" xfId="0" applyFont="1" applyFill="1" applyBorder="1" applyAlignment="1">
      <alignment horizontal="left" vertical="center"/>
    </xf>
    <xf numFmtId="0" fontId="40" fillId="11" borderId="18" xfId="0" applyFont="1" applyFill="1" applyBorder="1" applyAlignment="1">
      <alignment vertical="center"/>
    </xf>
    <xf numFmtId="0" fontId="40" fillId="11" borderId="0" xfId="0" applyFont="1" applyFill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9" fontId="0" fillId="0" borderId="0" xfId="140" applyFont="1" applyAlignment="1">
      <alignment vertical="center"/>
    </xf>
    <xf numFmtId="0" fontId="50" fillId="11" borderId="0" xfId="0" applyFont="1" applyFill="1" applyBorder="1" applyAlignment="1">
      <alignment horizontal="center" vertical="center"/>
    </xf>
    <xf numFmtId="0" fontId="50" fillId="11" borderId="0" xfId="0" applyFont="1" applyFill="1" applyBorder="1" applyAlignment="1">
      <alignment vertical="center"/>
    </xf>
    <xf numFmtId="3" fontId="0" fillId="11" borderId="0" xfId="0" applyNumberFormat="1" applyFont="1" applyFill="1" applyAlignment="1">
      <alignment vertical="center"/>
    </xf>
    <xf numFmtId="0" fontId="40" fillId="11" borderId="0" xfId="0" applyFont="1" applyFill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62" fillId="11" borderId="18" xfId="0" applyFont="1" applyFill="1" applyBorder="1" applyAlignment="1">
      <alignment horizontal="center" vertical="center"/>
    </xf>
    <xf numFmtId="0" fontId="75" fillId="8" borderId="0" xfId="0" applyFont="1" applyFill="1" applyAlignment="1">
      <alignment horizontal="right" vertical="center"/>
    </xf>
    <xf numFmtId="0" fontId="76" fillId="8" borderId="0" xfId="0" applyFont="1" applyFill="1" applyAlignment="1">
      <alignment vertical="center"/>
    </xf>
    <xf numFmtId="0" fontId="40" fillId="11" borderId="0" xfId="0" applyFont="1" applyFill="1" applyBorder="1" applyAlignment="1">
      <alignment vertical="center"/>
    </xf>
    <xf numFmtId="0" fontId="70" fillId="8" borderId="0" xfId="0" applyFont="1" applyFill="1" applyAlignment="1">
      <alignment vertical="center"/>
    </xf>
    <xf numFmtId="0" fontId="67" fillId="11" borderId="0" xfId="0" applyFont="1" applyFill="1" applyBorder="1" applyAlignment="1">
      <alignment vertical="center"/>
    </xf>
    <xf numFmtId="0" fontId="40" fillId="8" borderId="44" xfId="0" applyFont="1" applyFill="1" applyBorder="1" applyAlignment="1">
      <alignment vertical="center"/>
    </xf>
    <xf numFmtId="0" fontId="62" fillId="29" borderId="44" xfId="0" applyFont="1" applyFill="1" applyBorder="1" applyAlignment="1">
      <alignment vertical="center"/>
    </xf>
    <xf numFmtId="9" fontId="0" fillId="0" borderId="0" xfId="140" applyFont="1" applyAlignment="1">
      <alignment horizontal="center"/>
    </xf>
    <xf numFmtId="9" fontId="0" fillId="0" borderId="0" xfId="0" applyNumberFormat="1" applyFill="1" applyAlignment="1">
      <alignment vertical="center"/>
    </xf>
    <xf numFmtId="177" fontId="0" fillId="24" borderId="0" xfId="0" applyNumberFormat="1" applyFill="1" applyAlignment="1">
      <alignment horizontal="center" vertical="center"/>
    </xf>
    <xf numFmtId="3" fontId="0" fillId="0" borderId="0" xfId="0" applyNumberFormat="1" applyFont="1" applyAlignment="1">
      <alignment vertical="center"/>
    </xf>
    <xf numFmtId="0" fontId="40" fillId="0" borderId="0" xfId="0" applyFont="1" applyFill="1" applyBorder="1" applyAlignment="1">
      <alignment vertical="center"/>
    </xf>
    <xf numFmtId="0" fontId="51" fillId="0" borderId="0" xfId="173" applyFont="1" applyAlignment="1">
      <alignment horizontal="right"/>
    </xf>
    <xf numFmtId="9" fontId="40" fillId="0" borderId="0" xfId="140" applyFont="1" applyFill="1" applyAlignment="1">
      <alignment horizontal="right" vertical="center"/>
    </xf>
    <xf numFmtId="3" fontId="0" fillId="25" borderId="0" xfId="0" applyNumberFormat="1" applyFill="1" applyAlignment="1">
      <alignment horizontal="center" vertical="center"/>
    </xf>
    <xf numFmtId="0" fontId="77" fillId="8" borderId="0" xfId="0" applyFont="1" applyFill="1" applyAlignment="1">
      <alignment vertical="center"/>
    </xf>
    <xf numFmtId="0" fontId="47" fillId="11" borderId="0" xfId="0" applyFont="1" applyFill="1" applyAlignment="1">
      <alignment horizontal="right" vertical="center"/>
    </xf>
    <xf numFmtId="179" fontId="44" fillId="0" borderId="0" xfId="168" applyNumberFormat="1" applyFont="1"/>
    <xf numFmtId="43" fontId="44" fillId="6" borderId="0" xfId="169" applyNumberFormat="1" applyFont="1" applyFill="1"/>
    <xf numFmtId="3" fontId="51" fillId="0" borderId="0" xfId="169" applyNumberFormat="1" applyFont="1" applyFill="1"/>
    <xf numFmtId="4" fontId="51" fillId="0" borderId="0" xfId="169" applyNumberFormat="1" applyFont="1" applyFill="1" applyBorder="1"/>
    <xf numFmtId="2" fontId="51" fillId="0" borderId="18" xfId="140" applyNumberFormat="1" applyFont="1" applyFill="1" applyBorder="1"/>
    <xf numFmtId="181" fontId="51" fillId="0" borderId="0" xfId="169" applyNumberFormat="1" applyFont="1" applyFill="1"/>
    <xf numFmtId="43" fontId="51" fillId="0" borderId="0" xfId="169" applyNumberFormat="1" applyFont="1" applyFill="1" applyBorder="1"/>
    <xf numFmtId="43" fontId="51" fillId="0" borderId="18" xfId="169" applyNumberFormat="1" applyFont="1" applyFill="1" applyBorder="1"/>
    <xf numFmtId="9" fontId="51" fillId="0" borderId="18" xfId="140" applyFont="1" applyFill="1" applyBorder="1"/>
    <xf numFmtId="0" fontId="78" fillId="0" borderId="0" xfId="168" applyFont="1"/>
    <xf numFmtId="183" fontId="51" fillId="0" borderId="0" xfId="140" applyNumberFormat="1" applyFont="1" applyFill="1" applyBorder="1"/>
    <xf numFmtId="43" fontId="44" fillId="0" borderId="18" xfId="169" applyNumberFormat="1" applyFont="1" applyFill="1" applyBorder="1"/>
    <xf numFmtId="9" fontId="51" fillId="0" borderId="0" xfId="140" applyFont="1" applyFill="1" applyBorder="1"/>
    <xf numFmtId="2" fontId="51" fillId="0" borderId="0" xfId="140" applyNumberFormat="1" applyFont="1" applyFill="1" applyBorder="1"/>
    <xf numFmtId="9" fontId="61" fillId="0" borderId="0" xfId="140" applyNumberFormat="1" applyFont="1" applyFill="1" applyBorder="1" applyAlignment="1" applyProtection="1">
      <alignment horizontal="center" vertical="center"/>
      <protection locked="0"/>
    </xf>
    <xf numFmtId="2" fontId="0" fillId="26" borderId="0" xfId="140" applyNumberFormat="1" applyFont="1" applyFill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3" fontId="47" fillId="11" borderId="0" xfId="0" applyNumberFormat="1" applyFont="1" applyFill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2" fontId="40" fillId="11" borderId="0" xfId="0" applyNumberFormat="1" applyFont="1" applyFill="1" applyAlignment="1">
      <alignment vertical="center"/>
    </xf>
    <xf numFmtId="182" fontId="51" fillId="0" borderId="0" xfId="169" applyNumberFormat="1" applyFont="1" applyFill="1"/>
    <xf numFmtId="182" fontId="51" fillId="6" borderId="0" xfId="169" applyNumberFormat="1" applyFont="1" applyFill="1"/>
    <xf numFmtId="184" fontId="0" fillId="24" borderId="0" xfId="0" applyNumberFormat="1" applyFill="1" applyAlignment="1">
      <alignment horizontal="center" vertical="center"/>
    </xf>
    <xf numFmtId="177" fontId="51" fillId="6" borderId="0" xfId="140" applyNumberFormat="1" applyFont="1" applyFill="1" applyAlignment="1">
      <alignment horizontal="right"/>
    </xf>
    <xf numFmtId="186" fontId="0" fillId="0" borderId="0" xfId="0" applyNumberFormat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62" fillId="11" borderId="18" xfId="0" applyFont="1" applyFill="1" applyBorder="1" applyAlignment="1">
      <alignment horizontal="center" vertical="center"/>
    </xf>
    <xf numFmtId="0" fontId="61" fillId="11" borderId="0" xfId="0" applyFont="1" applyFill="1" applyAlignment="1">
      <alignment vertical="center"/>
    </xf>
    <xf numFmtId="3" fontId="40" fillId="11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vertical="center"/>
    </xf>
    <xf numFmtId="0" fontId="51" fillId="0" borderId="0" xfId="0" applyFont="1" applyAlignment="1">
      <alignment vertical="center"/>
    </xf>
    <xf numFmtId="179" fontId="51" fillId="27" borderId="0" xfId="172" applyNumberFormat="1" applyFont="1" applyFill="1" applyAlignment="1">
      <alignment vertical="center"/>
    </xf>
    <xf numFmtId="0" fontId="0" fillId="0" borderId="0" xfId="0" applyFill="1" applyAlignment="1">
      <alignment horizontal="right"/>
    </xf>
    <xf numFmtId="9" fontId="40" fillId="8" borderId="0" xfId="140" applyFont="1" applyFill="1" applyAlignment="1">
      <alignment vertical="center"/>
    </xf>
    <xf numFmtId="2" fontId="40" fillId="8" borderId="0" xfId="0" applyNumberFormat="1" applyFont="1" applyFill="1" applyBorder="1" applyAlignment="1">
      <alignment horizontal="center" vertical="center"/>
    </xf>
    <xf numFmtId="4" fontId="62" fillId="29" borderId="0" xfId="0" applyNumberFormat="1" applyFont="1" applyFill="1" applyBorder="1" applyAlignment="1">
      <alignment horizontal="center" vertical="center"/>
    </xf>
    <xf numFmtId="9" fontId="62" fillId="29" borderId="0" xfId="140" applyFont="1" applyFill="1" applyBorder="1" applyAlignment="1">
      <alignment horizontal="center" vertical="center"/>
    </xf>
    <xf numFmtId="9" fontId="40" fillId="8" borderId="0" xfId="0" applyNumberFormat="1" applyFont="1" applyFill="1" applyBorder="1" applyAlignment="1">
      <alignment horizontal="center" vertical="center"/>
    </xf>
    <xf numFmtId="9" fontId="62" fillId="29" borderId="0" xfId="0" applyNumberFormat="1" applyFont="1" applyFill="1" applyBorder="1" applyAlignment="1">
      <alignment horizontal="center" vertical="center"/>
    </xf>
    <xf numFmtId="187" fontId="0" fillId="24" borderId="0" xfId="0" applyNumberFormat="1" applyFill="1"/>
    <xf numFmtId="0" fontId="0" fillId="0" borderId="0" xfId="0" applyFill="1" applyBorder="1" applyAlignment="1">
      <alignment horizontal="right"/>
    </xf>
    <xf numFmtId="0" fontId="50" fillId="11" borderId="47" xfId="0" applyFont="1" applyFill="1" applyBorder="1" applyAlignment="1">
      <alignment vertical="center"/>
    </xf>
    <xf numFmtId="179" fontId="51" fillId="0" borderId="0" xfId="0" applyNumberFormat="1" applyFont="1" applyFill="1" applyAlignment="1">
      <alignment vertical="center"/>
    </xf>
    <xf numFmtId="9" fontId="0" fillId="0" borderId="0" xfId="140" applyFont="1"/>
    <xf numFmtId="0" fontId="67" fillId="11" borderId="0" xfId="0" applyFont="1" applyFill="1" applyBorder="1" applyAlignment="1">
      <alignment vertical="center" wrapText="1"/>
    </xf>
    <xf numFmtId="0" fontId="80" fillId="8" borderId="0" xfId="0" applyFont="1" applyFill="1" applyBorder="1" applyAlignment="1">
      <alignment horizontal="center" vertical="top" wrapText="1"/>
    </xf>
    <xf numFmtId="3" fontId="40" fillId="11" borderId="0" xfId="0" applyNumberFormat="1" applyFont="1" applyFill="1" applyAlignment="1">
      <alignment horizontal="center" vertical="center"/>
    </xf>
    <xf numFmtId="9" fontId="44" fillId="6" borderId="0" xfId="140" applyFont="1" applyFill="1" applyAlignment="1">
      <alignment horizontal="right"/>
    </xf>
    <xf numFmtId="0" fontId="8" fillId="0" borderId="0" xfId="168" applyFont="1"/>
    <xf numFmtId="183" fontId="40" fillId="0" borderId="9" xfId="140" applyNumberFormat="1" applyFont="1" applyFill="1" applyBorder="1" applyAlignment="1">
      <alignment horizontal="right" vertical="center"/>
    </xf>
    <xf numFmtId="183" fontId="40" fillId="0" borderId="0" xfId="140" applyNumberFormat="1" applyFont="1" applyFill="1" applyBorder="1" applyAlignment="1">
      <alignment horizontal="right" vertical="center"/>
    </xf>
    <xf numFmtId="9" fontId="40" fillId="0" borderId="4" xfId="140" applyFont="1" applyFill="1" applyBorder="1" applyAlignment="1">
      <alignment horizontal="right" vertical="center"/>
    </xf>
    <xf numFmtId="9" fontId="40" fillId="24" borderId="9" xfId="140" applyFont="1" applyFill="1" applyBorder="1" applyAlignment="1">
      <alignment vertical="center"/>
    </xf>
    <xf numFmtId="0" fontId="0" fillId="26" borderId="9" xfId="0" applyFill="1" applyBorder="1"/>
    <xf numFmtId="0" fontId="0" fillId="0" borderId="9" xfId="0" applyFill="1" applyBorder="1"/>
    <xf numFmtId="9" fontId="40" fillId="0" borderId="9" xfId="140" applyFont="1" applyFill="1" applyBorder="1" applyAlignment="1">
      <alignment horizontal="right" vertical="center"/>
    </xf>
    <xf numFmtId="0" fontId="0" fillId="0" borderId="8" xfId="0" applyFill="1" applyBorder="1"/>
    <xf numFmtId="4" fontId="40" fillId="24" borderId="7" xfId="140" applyNumberFormat="1" applyFont="1" applyFill="1" applyBorder="1" applyAlignment="1">
      <alignment vertical="center"/>
    </xf>
    <xf numFmtId="2" fontId="40" fillId="0" borderId="0" xfId="0" applyNumberFormat="1" applyFont="1" applyFill="1" applyBorder="1" applyAlignment="1">
      <alignment horizontal="right" vertical="center"/>
    </xf>
    <xf numFmtId="9" fontId="40" fillId="24" borderId="7" xfId="140" applyFont="1" applyFill="1" applyBorder="1" applyAlignment="1">
      <alignment vertical="center"/>
    </xf>
    <xf numFmtId="0" fontId="40" fillId="24" borderId="7" xfId="0" applyFont="1" applyFill="1" applyBorder="1" applyAlignment="1">
      <alignment vertical="center"/>
    </xf>
    <xf numFmtId="0" fontId="21" fillId="0" borderId="0" xfId="0" applyFont="1" applyFill="1" applyBorder="1"/>
    <xf numFmtId="0" fontId="16" fillId="0" borderId="0" xfId="0" applyFont="1" applyFill="1" applyBorder="1"/>
    <xf numFmtId="0" fontId="40" fillId="0" borderId="0" xfId="0" applyFont="1" applyFill="1" applyBorder="1" applyAlignment="1">
      <alignment horizontal="right" vertical="center"/>
    </xf>
    <xf numFmtId="0" fontId="0" fillId="0" borderId="6" xfId="0" applyFill="1" applyBorder="1"/>
    <xf numFmtId="0" fontId="0" fillId="0" borderId="3" xfId="0" applyFill="1" applyBorder="1"/>
    <xf numFmtId="3" fontId="40" fillId="0" borderId="10" xfId="0" applyNumberFormat="1" applyFont="1" applyFill="1" applyBorder="1" applyAlignment="1">
      <alignment horizontal="left" vertical="center"/>
    </xf>
    <xf numFmtId="3" fontId="40" fillId="0" borderId="7" xfId="0" applyNumberFormat="1" applyFont="1" applyFill="1" applyBorder="1" applyAlignment="1">
      <alignment horizontal="left" vertical="center"/>
    </xf>
    <xf numFmtId="177" fontId="0" fillId="0" borderId="0" xfId="140" applyNumberFormat="1" applyFont="1" applyBorder="1"/>
    <xf numFmtId="0" fontId="21" fillId="0" borderId="0" xfId="0" applyFont="1" applyBorder="1"/>
    <xf numFmtId="0" fontId="11" fillId="0" borderId="6" xfId="168" applyBorder="1"/>
    <xf numFmtId="0" fontId="0" fillId="0" borderId="5" xfId="0" applyFill="1" applyBorder="1"/>
    <xf numFmtId="3" fontId="40" fillId="0" borderId="4" xfId="0" applyNumberFormat="1" applyFont="1" applyFill="1" applyBorder="1" applyAlignment="1">
      <alignment horizontal="right" vertical="center"/>
    </xf>
    <xf numFmtId="0" fontId="51" fillId="0" borderId="4" xfId="168" applyFont="1" applyFill="1" applyBorder="1" applyAlignment="1">
      <alignment horizontal="left"/>
    </xf>
    <xf numFmtId="0" fontId="51" fillId="0" borderId="3" xfId="168" applyFont="1" applyFill="1" applyBorder="1" applyAlignment="1">
      <alignment horizontal="left"/>
    </xf>
    <xf numFmtId="4" fontId="40" fillId="0" borderId="9" xfId="0" applyNumberFormat="1" applyFont="1" applyFill="1" applyBorder="1" applyAlignment="1">
      <alignment horizontal="right" vertical="center"/>
    </xf>
    <xf numFmtId="4" fontId="40" fillId="0" borderId="0" xfId="0" applyNumberFormat="1" applyFont="1" applyFill="1" applyBorder="1" applyAlignment="1">
      <alignment horizontal="right" vertical="center"/>
    </xf>
    <xf numFmtId="177" fontId="40" fillId="0" borderId="9" xfId="140" applyNumberFormat="1" applyFont="1" applyFill="1" applyBorder="1" applyAlignment="1">
      <alignment horizontal="right" vertical="center"/>
    </xf>
    <xf numFmtId="0" fontId="0" fillId="0" borderId="9" xfId="0" applyBorder="1"/>
    <xf numFmtId="0" fontId="57" fillId="0" borderId="0" xfId="168" applyFont="1" applyFill="1" applyBorder="1" applyAlignment="1">
      <alignment horizontal="left"/>
    </xf>
    <xf numFmtId="0" fontId="21" fillId="0" borderId="0" xfId="168" applyFont="1" applyBorder="1"/>
    <xf numFmtId="177" fontId="40" fillId="0" borderId="0" xfId="14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10" xfId="0" applyBorder="1"/>
    <xf numFmtId="3" fontId="40" fillId="0" borderId="9" xfId="0" applyNumberFormat="1" applyFont="1" applyFill="1" applyBorder="1" applyAlignment="1">
      <alignment horizontal="right" vertical="center"/>
    </xf>
    <xf numFmtId="0" fontId="51" fillId="0" borderId="9" xfId="168" applyFont="1" applyFill="1" applyBorder="1" applyAlignment="1">
      <alignment horizontal="left"/>
    </xf>
    <xf numFmtId="0" fontId="0" fillId="0" borderId="8" xfId="0" applyBorder="1"/>
    <xf numFmtId="0" fontId="0" fillId="0" borderId="6" xfId="0" applyBorder="1"/>
    <xf numFmtId="0" fontId="57" fillId="0" borderId="6" xfId="168" applyFont="1" applyFill="1" applyBorder="1" applyAlignment="1">
      <alignment horizontal="left"/>
    </xf>
    <xf numFmtId="9" fontId="59" fillId="0" borderId="0" xfId="168" applyNumberFormat="1" applyFont="1" applyBorder="1"/>
    <xf numFmtId="0" fontId="21" fillId="0" borderId="6" xfId="168" applyFont="1" applyBorder="1"/>
    <xf numFmtId="0" fontId="44" fillId="0" borderId="0" xfId="168" applyFont="1" applyBorder="1"/>
    <xf numFmtId="0" fontId="44" fillId="0" borderId="6" xfId="168" applyFont="1" applyBorder="1"/>
    <xf numFmtId="0" fontId="0" fillId="0" borderId="7" xfId="0" applyBorder="1"/>
    <xf numFmtId="0" fontId="0" fillId="0" borderId="7" xfId="0" applyFill="1" applyBorder="1"/>
    <xf numFmtId="3" fontId="40" fillId="0" borderId="0" xfId="0" applyNumberFormat="1" applyFont="1" applyFill="1" applyBorder="1" applyAlignment="1">
      <alignment horizontal="right" vertical="center"/>
    </xf>
    <xf numFmtId="0" fontId="51" fillId="0" borderId="0" xfId="168" applyFont="1" applyFill="1" applyBorder="1" applyAlignment="1">
      <alignment horizontal="left"/>
    </xf>
    <xf numFmtId="0" fontId="51" fillId="0" borderId="6" xfId="168" applyFont="1" applyFill="1" applyBorder="1" applyAlignment="1">
      <alignment horizontal="left"/>
    </xf>
    <xf numFmtId="0" fontId="0" fillId="0" borderId="5" xfId="0" applyBorder="1"/>
    <xf numFmtId="0" fontId="0" fillId="0" borderId="4" xfId="0" applyBorder="1"/>
    <xf numFmtId="0" fontId="21" fillId="0" borderId="3" xfId="0" applyFont="1" applyBorder="1"/>
    <xf numFmtId="16" fontId="0" fillId="24" borderId="0" xfId="0" quotePrefix="1" applyNumberFormat="1" applyFill="1" applyAlignment="1">
      <alignment horizontal="center" vertical="center"/>
    </xf>
    <xf numFmtId="1" fontId="61" fillId="0" borderId="37" xfId="14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Fill="1" applyAlignment="1">
      <alignment vertical="center"/>
    </xf>
    <xf numFmtId="0" fontId="0" fillId="26" borderId="5" xfId="0" applyFill="1" applyBorder="1" applyAlignment="1">
      <alignment horizontal="left" vertical="top" wrapText="1"/>
    </xf>
    <xf numFmtId="0" fontId="0" fillId="26" borderId="4" xfId="0" applyFill="1" applyBorder="1" applyAlignment="1">
      <alignment horizontal="left" vertical="top" wrapText="1"/>
    </xf>
    <xf numFmtId="3" fontId="40" fillId="24" borderId="7" xfId="0" applyNumberFormat="1" applyFont="1" applyFill="1" applyBorder="1" applyAlignment="1">
      <alignment horizontal="right" vertical="center"/>
    </xf>
    <xf numFmtId="0" fontId="0" fillId="26" borderId="7" xfId="0" applyFill="1" applyBorder="1" applyAlignment="1">
      <alignment horizontal="left" vertical="top" wrapText="1"/>
    </xf>
    <xf numFmtId="0" fontId="0" fillId="26" borderId="0" xfId="0" applyFill="1" applyBorder="1" applyAlignment="1">
      <alignment horizontal="left" vertical="top" wrapText="1"/>
    </xf>
    <xf numFmtId="0" fontId="21" fillId="0" borderId="4" xfId="0" applyFont="1" applyFill="1" applyBorder="1"/>
    <xf numFmtId="0" fontId="0" fillId="0" borderId="4" xfId="0" applyFill="1" applyBorder="1"/>
    <xf numFmtId="0" fontId="21" fillId="24" borderId="0" xfId="0" applyFont="1" applyFill="1"/>
    <xf numFmtId="3" fontId="40" fillId="0" borderId="9" xfId="0" applyNumberFormat="1" applyFont="1" applyFill="1" applyBorder="1" applyAlignment="1">
      <alignment horizontal="left" vertical="center"/>
    </xf>
    <xf numFmtId="3" fontId="40" fillId="0" borderId="0" xfId="0" applyNumberFormat="1" applyFont="1" applyFill="1" applyBorder="1" applyAlignment="1">
      <alignment horizontal="left" vertical="center"/>
    </xf>
    <xf numFmtId="9" fontId="40" fillId="0" borderId="0" xfId="140" applyFont="1" applyFill="1" applyBorder="1" applyAlignment="1">
      <alignment horizontal="right" vertical="center"/>
    </xf>
    <xf numFmtId="0" fontId="11" fillId="0" borderId="8" xfId="168" applyBorder="1"/>
    <xf numFmtId="177" fontId="0" fillId="0" borderId="9" xfId="140" applyNumberFormat="1" applyFont="1" applyBorder="1"/>
    <xf numFmtId="0" fontId="40" fillId="26" borderId="4" xfId="0" applyFont="1" applyFill="1" applyBorder="1" applyAlignment="1">
      <alignment horizontal="left" vertical="top" wrapText="1"/>
    </xf>
    <xf numFmtId="0" fontId="0" fillId="26" borderId="0" xfId="0" applyFill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1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0" fontId="40" fillId="8" borderId="0" xfId="0" applyFont="1" applyFill="1" applyBorder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40" fillId="11" borderId="35" xfId="0" applyFont="1" applyFill="1" applyBorder="1" applyAlignment="1">
      <alignment vertical="center"/>
    </xf>
    <xf numFmtId="0" fontId="50" fillId="11" borderId="35" xfId="0" applyFont="1" applyFill="1" applyBorder="1" applyAlignment="1">
      <alignment vertical="center"/>
    </xf>
    <xf numFmtId="0" fontId="40" fillId="8" borderId="0" xfId="0" applyFont="1" applyFill="1" applyAlignment="1">
      <alignment vertical="center"/>
    </xf>
    <xf numFmtId="0" fontId="40" fillId="0" borderId="0" xfId="0" applyFont="1" applyAlignment="1">
      <alignment vertical="center"/>
    </xf>
    <xf numFmtId="0" fontId="40" fillId="2" borderId="0" xfId="0" applyFont="1" applyFill="1" applyAlignment="1">
      <alignment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horizontal="left" vertical="center"/>
    </xf>
    <xf numFmtId="9" fontId="0" fillId="24" borderId="0" xfId="0" applyNumberFormat="1" applyFill="1" applyAlignment="1">
      <alignment horizontal="center" vertical="center"/>
    </xf>
    <xf numFmtId="3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4" borderId="0" xfId="0" applyFill="1"/>
    <xf numFmtId="0" fontId="61" fillId="0" borderId="37" xfId="0" applyFont="1" applyFill="1" applyBorder="1" applyAlignment="1" applyProtection="1">
      <alignment horizontal="center" vertical="center"/>
      <protection locked="0"/>
    </xf>
    <xf numFmtId="0" fontId="61" fillId="0" borderId="37" xfId="0" applyFont="1" applyFill="1" applyBorder="1" applyAlignment="1" applyProtection="1">
      <alignment vertical="center"/>
      <protection locked="0"/>
    </xf>
    <xf numFmtId="0" fontId="62" fillId="11" borderId="0" xfId="0" applyFont="1" applyFill="1" applyAlignment="1">
      <alignment vertical="center"/>
    </xf>
    <xf numFmtId="0" fontId="0" fillId="27" borderId="0" xfId="0" applyFill="1" applyAlignment="1">
      <alignment vertical="center"/>
    </xf>
    <xf numFmtId="0" fontId="21" fillId="0" borderId="0" xfId="0" applyFont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0" fillId="11" borderId="0" xfId="0" applyFont="1" applyFill="1" applyAlignment="1">
      <alignment horizontal="center" vertical="center"/>
    </xf>
    <xf numFmtId="9" fontId="61" fillId="0" borderId="37" xfId="140" applyNumberFormat="1" applyFont="1" applyFill="1" applyBorder="1" applyAlignment="1" applyProtection="1">
      <alignment horizontal="center" vertical="center"/>
      <protection locked="0"/>
    </xf>
    <xf numFmtId="2" fontId="40" fillId="11" borderId="0" xfId="0" applyNumberFormat="1" applyFont="1" applyFill="1" applyAlignment="1">
      <alignment horizontal="center" vertical="center"/>
    </xf>
    <xf numFmtId="2" fontId="40" fillId="11" borderId="0" xfId="140" applyNumberFormat="1" applyFont="1" applyFill="1" applyAlignment="1">
      <alignment horizontal="center" vertical="center"/>
    </xf>
    <xf numFmtId="3" fontId="0" fillId="0" borderId="0" xfId="0" applyNumberFormat="1" applyFill="1" applyAlignment="1">
      <alignment horizontal="right" vertical="center"/>
    </xf>
    <xf numFmtId="3" fontId="0" fillId="0" borderId="0" xfId="0" applyNumberFormat="1" applyAlignment="1">
      <alignment vertical="center"/>
    </xf>
    <xf numFmtId="3" fontId="0" fillId="26" borderId="0" xfId="0" applyNumberFormat="1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21" fillId="31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6" fillId="0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62" fillId="11" borderId="0" xfId="0" applyFont="1" applyFill="1" applyAlignment="1">
      <alignment horizontal="left" vertical="center"/>
    </xf>
    <xf numFmtId="41" fontId="51" fillId="0" borderId="0" xfId="173" applyNumberFormat="1" applyFont="1"/>
    <xf numFmtId="0" fontId="51" fillId="30" borderId="0" xfId="173" applyFont="1" applyFill="1" applyBorder="1"/>
    <xf numFmtId="3" fontId="40" fillId="11" borderId="0" xfId="0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179" fontId="0" fillId="0" borderId="0" xfId="172" applyNumberFormat="1" applyFont="1" applyAlignment="1">
      <alignment vertical="center"/>
    </xf>
    <xf numFmtId="9" fontId="44" fillId="6" borderId="0" xfId="140" applyFont="1" applyFill="1"/>
    <xf numFmtId="0" fontId="62" fillId="11" borderId="0" xfId="0" applyFont="1" applyFill="1" applyAlignment="1">
      <alignment vertical="center" wrapText="1"/>
    </xf>
    <xf numFmtId="0" fontId="62" fillId="11" borderId="0" xfId="0" applyFont="1" applyFill="1" applyAlignment="1">
      <alignment horizontal="center" vertical="center" wrapText="1"/>
    </xf>
    <xf numFmtId="0" fontId="67" fillId="11" borderId="35" xfId="0" applyFont="1" applyFill="1" applyBorder="1" applyAlignment="1">
      <alignment vertical="center"/>
    </xf>
    <xf numFmtId="0" fontId="62" fillId="11" borderId="0" xfId="0" applyFont="1" applyFill="1" applyAlignment="1">
      <alignment horizontal="center" vertical="center"/>
    </xf>
    <xf numFmtId="0" fontId="68" fillId="8" borderId="0" xfId="0" applyFont="1" applyFill="1" applyAlignment="1">
      <alignment vertical="center"/>
    </xf>
    <xf numFmtId="0" fontId="40" fillId="8" borderId="41" xfId="0" applyFont="1" applyFill="1" applyBorder="1" applyAlignment="1">
      <alignment vertical="center"/>
    </xf>
    <xf numFmtId="0" fontId="40" fillId="8" borderId="42" xfId="0" applyFont="1" applyFill="1" applyBorder="1" applyAlignment="1">
      <alignment vertical="center"/>
    </xf>
    <xf numFmtId="0" fontId="40" fillId="8" borderId="43" xfId="0" applyFont="1" applyFill="1" applyBorder="1" applyAlignment="1">
      <alignment vertical="center"/>
    </xf>
    <xf numFmtId="0" fontId="40" fillId="8" borderId="0" xfId="0" applyFont="1" applyFill="1" applyBorder="1" applyAlignment="1">
      <alignment vertical="center"/>
    </xf>
    <xf numFmtId="0" fontId="40" fillId="8" borderId="45" xfId="0" applyFont="1" applyFill="1" applyBorder="1" applyAlignment="1">
      <alignment vertical="center"/>
    </xf>
    <xf numFmtId="0" fontId="40" fillId="8" borderId="0" xfId="0" applyFont="1" applyFill="1" applyBorder="1" applyAlignment="1">
      <alignment horizontal="right" vertical="center"/>
    </xf>
    <xf numFmtId="9" fontId="40" fillId="8" borderId="0" xfId="0" applyNumberFormat="1" applyFont="1" applyFill="1" applyBorder="1" applyAlignment="1">
      <alignment horizontal="right" vertical="center"/>
    </xf>
    <xf numFmtId="0" fontId="40" fillId="8" borderId="44" xfId="0" applyFont="1" applyFill="1" applyBorder="1" applyAlignment="1">
      <alignment horizontal="right" vertical="center"/>
    </xf>
    <xf numFmtId="0" fontId="40" fillId="8" borderId="46" xfId="0" applyFont="1" applyFill="1" applyBorder="1" applyAlignment="1">
      <alignment vertical="center"/>
    </xf>
    <xf numFmtId="0" fontId="40" fillId="8" borderId="47" xfId="0" applyFont="1" applyFill="1" applyBorder="1" applyAlignment="1">
      <alignment vertical="center"/>
    </xf>
    <xf numFmtId="0" fontId="40" fillId="8" borderId="48" xfId="0" applyFont="1" applyFill="1" applyBorder="1" applyAlignment="1">
      <alignment vertical="center"/>
    </xf>
    <xf numFmtId="0" fontId="62" fillId="29" borderId="0" xfId="0" applyFont="1" applyFill="1" applyBorder="1" applyAlignment="1">
      <alignment vertical="center"/>
    </xf>
    <xf numFmtId="0" fontId="62" fillId="29" borderId="45" xfId="0" applyFont="1" applyFill="1" applyBorder="1" applyAlignment="1">
      <alignment vertical="center"/>
    </xf>
    <xf numFmtId="9" fontId="62" fillId="29" borderId="0" xfId="0" applyNumberFormat="1" applyFont="1" applyFill="1" applyBorder="1" applyAlignment="1">
      <alignment horizontal="right" vertical="center"/>
    </xf>
    <xf numFmtId="3" fontId="40" fillId="8" borderId="0" xfId="0" applyNumberFormat="1" applyFont="1" applyFill="1" applyBorder="1" applyAlignment="1">
      <alignment horizontal="right" vertical="center"/>
    </xf>
    <xf numFmtId="3" fontId="62" fillId="29" borderId="0" xfId="0" applyNumberFormat="1" applyFont="1" applyFill="1" applyBorder="1" applyAlignment="1">
      <alignment horizontal="right" vertical="center"/>
    </xf>
    <xf numFmtId="9" fontId="40" fillId="8" borderId="45" xfId="0" applyNumberFormat="1" applyFont="1" applyFill="1" applyBorder="1" applyAlignment="1">
      <alignment horizontal="right" vertical="center"/>
    </xf>
    <xf numFmtId="0" fontId="40" fillId="8" borderId="45" xfId="0" applyFont="1" applyFill="1" applyBorder="1" applyAlignment="1">
      <alignment horizontal="right" vertical="center"/>
    </xf>
    <xf numFmtId="9" fontId="62" fillId="29" borderId="45" xfId="0" applyNumberFormat="1" applyFont="1" applyFill="1" applyBorder="1" applyAlignment="1">
      <alignment horizontal="right" vertical="center"/>
    </xf>
    <xf numFmtId="9" fontId="40" fillId="8" borderId="44" xfId="0" applyNumberFormat="1" applyFont="1" applyFill="1" applyBorder="1" applyAlignment="1">
      <alignment horizontal="right" vertical="center"/>
    </xf>
    <xf numFmtId="9" fontId="62" fillId="29" borderId="44" xfId="0" applyNumberFormat="1" applyFont="1" applyFill="1" applyBorder="1" applyAlignment="1">
      <alignment horizontal="right" vertical="center"/>
    </xf>
    <xf numFmtId="0" fontId="69" fillId="11" borderId="0" xfId="0" applyFont="1" applyFill="1" applyAlignment="1">
      <alignment vertical="center"/>
    </xf>
    <xf numFmtId="179" fontId="51" fillId="6" borderId="0" xfId="172" applyNumberFormat="1" applyFont="1" applyFill="1" applyAlignment="1">
      <alignment horizontal="right"/>
    </xf>
    <xf numFmtId="2" fontId="61" fillId="0" borderId="37" xfId="140" applyNumberFormat="1" applyFont="1" applyFill="1" applyBorder="1" applyAlignment="1" applyProtection="1">
      <alignment horizontal="center" vertical="center"/>
      <protection locked="0"/>
    </xf>
    <xf numFmtId="0" fontId="0" fillId="11" borderId="0" xfId="0" applyFill="1"/>
    <xf numFmtId="185" fontId="0" fillId="0" borderId="0" xfId="172" applyNumberFormat="1" applyFont="1" applyAlignment="1">
      <alignment vertical="center"/>
    </xf>
    <xf numFmtId="185" fontId="44" fillId="0" borderId="0" xfId="172" applyNumberFormat="1" applyFont="1" applyAlignment="1">
      <alignment vertical="center"/>
    </xf>
    <xf numFmtId="9" fontId="44" fillId="6" borderId="0" xfId="140" applyFont="1" applyFill="1" applyBorder="1"/>
    <xf numFmtId="9" fontId="44" fillId="0" borderId="0" xfId="140" applyFont="1" applyFill="1" applyBorder="1"/>
    <xf numFmtId="0" fontId="40" fillId="0" borderId="0" xfId="0" applyFont="1" applyFill="1" applyAlignment="1">
      <alignment vertical="center"/>
    </xf>
    <xf numFmtId="9" fontId="0" fillId="0" borderId="0" xfId="140" applyFont="1" applyAlignment="1">
      <alignment vertical="center"/>
    </xf>
    <xf numFmtId="0" fontId="50" fillId="11" borderId="0" xfId="0" applyFont="1" applyFill="1" applyBorder="1" applyAlignment="1">
      <alignment horizontal="center" vertical="center"/>
    </xf>
    <xf numFmtId="0" fontId="50" fillId="11" borderId="0" xfId="0" applyFont="1" applyFill="1" applyBorder="1" applyAlignment="1">
      <alignment vertical="center"/>
    </xf>
    <xf numFmtId="0" fontId="75" fillId="8" borderId="0" xfId="0" applyFont="1" applyFill="1" applyAlignment="1">
      <alignment horizontal="right" vertical="center"/>
    </xf>
    <xf numFmtId="0" fontId="76" fillId="8" borderId="0" xfId="0" applyFont="1" applyFill="1" applyAlignment="1">
      <alignment vertical="center"/>
    </xf>
    <xf numFmtId="0" fontId="40" fillId="11" borderId="0" xfId="0" applyFont="1" applyFill="1" applyBorder="1" applyAlignment="1">
      <alignment vertical="center"/>
    </xf>
    <xf numFmtId="0" fontId="70" fillId="8" borderId="0" xfId="0" applyFont="1" applyFill="1" applyAlignment="1">
      <alignment vertical="center"/>
    </xf>
    <xf numFmtId="0" fontId="67" fillId="11" borderId="0" xfId="0" applyFont="1" applyFill="1" applyBorder="1" applyAlignment="1">
      <alignment vertical="center"/>
    </xf>
    <xf numFmtId="0" fontId="40" fillId="8" borderId="44" xfId="0" applyFont="1" applyFill="1" applyBorder="1" applyAlignment="1">
      <alignment vertical="center"/>
    </xf>
    <xf numFmtId="0" fontId="62" fillId="29" borderId="44" xfId="0" applyFont="1" applyFill="1" applyBorder="1" applyAlignment="1">
      <alignment vertical="center"/>
    </xf>
    <xf numFmtId="0" fontId="40" fillId="8" borderId="46" xfId="0" applyFont="1" applyFill="1" applyBorder="1" applyAlignment="1">
      <alignment horizontal="right" vertical="center"/>
    </xf>
    <xf numFmtId="0" fontId="40" fillId="0" borderId="0" xfId="0" applyFont="1" applyFill="1" applyBorder="1" applyAlignment="1">
      <alignment vertical="center"/>
    </xf>
    <xf numFmtId="0" fontId="21" fillId="0" borderId="0" xfId="0" applyFont="1" applyFill="1"/>
    <xf numFmtId="0" fontId="40" fillId="24" borderId="0" xfId="0" applyFont="1" applyFill="1" applyBorder="1" applyAlignment="1">
      <alignment vertical="center"/>
    </xf>
    <xf numFmtId="0" fontId="40" fillId="26" borderId="0" xfId="0" applyFont="1" applyFill="1" applyBorder="1" applyAlignment="1">
      <alignment horizontal="left" vertical="top" wrapText="1"/>
    </xf>
    <xf numFmtId="9" fontId="40" fillId="24" borderId="0" xfId="140" applyFont="1" applyFill="1" applyBorder="1" applyAlignment="1">
      <alignment vertical="center"/>
    </xf>
    <xf numFmtId="3" fontId="40" fillId="24" borderId="0" xfId="0" applyNumberFormat="1" applyFont="1" applyFill="1" applyBorder="1" applyAlignment="1">
      <alignment horizontal="right" vertical="center"/>
    </xf>
    <xf numFmtId="9" fontId="40" fillId="0" borderId="0" xfId="140" applyFont="1" applyFill="1" applyAlignment="1">
      <alignment horizontal="right" vertical="center"/>
    </xf>
    <xf numFmtId="4" fontId="40" fillId="24" borderId="0" xfId="140" applyNumberFormat="1" applyFont="1" applyFill="1" applyBorder="1" applyAlignment="1">
      <alignment vertical="center"/>
    </xf>
    <xf numFmtId="2" fontId="0" fillId="0" borderId="0" xfId="0" applyNumberFormat="1" applyAlignment="1">
      <alignment vertical="center"/>
    </xf>
    <xf numFmtId="2" fontId="40" fillId="11" borderId="0" xfId="0" applyNumberFormat="1" applyFont="1" applyFill="1" applyAlignment="1">
      <alignment vertical="center"/>
    </xf>
    <xf numFmtId="0" fontId="61" fillId="11" borderId="0" xfId="0" applyFont="1" applyFill="1" applyAlignment="1">
      <alignment vertical="center"/>
    </xf>
    <xf numFmtId="179" fontId="51" fillId="0" borderId="0" xfId="172" applyNumberFormat="1" applyFont="1" applyFill="1" applyAlignment="1">
      <alignment vertical="center"/>
    </xf>
    <xf numFmtId="0" fontId="0" fillId="0" borderId="0" xfId="0" applyFill="1" applyAlignment="1">
      <alignment horizontal="right"/>
    </xf>
    <xf numFmtId="2" fontId="40" fillId="8" borderId="0" xfId="0" applyNumberFormat="1" applyFont="1" applyFill="1" applyBorder="1" applyAlignment="1">
      <alignment horizontal="center" vertical="center"/>
    </xf>
    <xf numFmtId="4" fontId="62" fillId="29" borderId="0" xfId="0" applyNumberFormat="1" applyFont="1" applyFill="1" applyBorder="1" applyAlignment="1">
      <alignment horizontal="center" vertical="center"/>
    </xf>
    <xf numFmtId="9" fontId="62" fillId="29" borderId="0" xfId="140" applyFont="1" applyFill="1" applyBorder="1" applyAlignment="1">
      <alignment horizontal="center" vertical="center"/>
    </xf>
    <xf numFmtId="9" fontId="40" fillId="8" borderId="0" xfId="0" applyNumberFormat="1" applyFont="1" applyFill="1" applyBorder="1" applyAlignment="1">
      <alignment horizontal="center" vertical="center"/>
    </xf>
    <xf numFmtId="9" fontId="62" fillId="29" borderId="0" xfId="0" applyNumberFormat="1" applyFont="1" applyFill="1" applyBorder="1" applyAlignment="1">
      <alignment horizontal="center" vertical="center"/>
    </xf>
    <xf numFmtId="0" fontId="21" fillId="0" borderId="0" xfId="0" applyFont="1" applyFill="1" applyAlignment="1">
      <alignment horizontal="left"/>
    </xf>
    <xf numFmtId="0" fontId="0" fillId="0" borderId="0" xfId="0" applyFill="1" applyBorder="1"/>
    <xf numFmtId="0" fontId="0" fillId="0" borderId="0" xfId="0" applyBorder="1"/>
    <xf numFmtId="183" fontId="40" fillId="0" borderId="0" xfId="140" applyNumberFormat="1" applyFont="1" applyFill="1" applyAlignment="1">
      <alignment horizontal="right" vertical="center"/>
    </xf>
    <xf numFmtId="0" fontId="50" fillId="11" borderId="47" xfId="0" applyFont="1" applyFill="1" applyBorder="1" applyAlignment="1">
      <alignment vertical="center"/>
    </xf>
    <xf numFmtId="185" fontId="51" fillId="0" borderId="0" xfId="172" applyNumberFormat="1" applyFont="1" applyFill="1" applyAlignment="1">
      <alignment horizontal="right" vertical="center"/>
    </xf>
    <xf numFmtId="43" fontId="0" fillId="0" borderId="0" xfId="172" applyNumberFormat="1" applyFont="1" applyAlignment="1">
      <alignment vertical="center"/>
    </xf>
    <xf numFmtId="0" fontId="79" fillId="8" borderId="0" xfId="0" applyFont="1" applyFill="1" applyAlignment="1">
      <alignment vertical="center"/>
    </xf>
    <xf numFmtId="0" fontId="67" fillId="11" borderId="0" xfId="0" applyFont="1" applyFill="1" applyBorder="1" applyAlignment="1">
      <alignment vertical="center" wrapText="1"/>
    </xf>
    <xf numFmtId="0" fontId="21" fillId="0" borderId="3" xfId="0" applyFont="1" applyFill="1" applyBorder="1"/>
    <xf numFmtId="179" fontId="0" fillId="0" borderId="0" xfId="172" applyNumberFormat="1" applyFont="1" applyFill="1" applyBorder="1" applyAlignment="1">
      <alignment horizontal="right"/>
    </xf>
    <xf numFmtId="3" fontId="61" fillId="0" borderId="0" xfId="0" applyNumberFormat="1" applyFont="1" applyFill="1" applyBorder="1" applyAlignment="1">
      <alignment horizontal="right" vertical="center"/>
    </xf>
    <xf numFmtId="0" fontId="21" fillId="0" borderId="6" xfId="0" applyFont="1" applyFill="1" applyBorder="1"/>
    <xf numFmtId="3" fontId="61" fillId="0" borderId="9" xfId="0" applyNumberFormat="1" applyFont="1" applyFill="1" applyBorder="1" applyAlignment="1">
      <alignment horizontal="right" vertical="center"/>
    </xf>
    <xf numFmtId="0" fontId="0" fillId="0" borderId="10" xfId="0" applyFill="1" applyBorder="1"/>
    <xf numFmtId="0" fontId="40" fillId="0" borderId="4" xfId="0" applyFont="1" applyFill="1" applyBorder="1" applyAlignment="1">
      <alignment horizontal="right" vertical="center"/>
    </xf>
    <xf numFmtId="9" fontId="61" fillId="0" borderId="0" xfId="0" applyNumberFormat="1" applyFont="1" applyFill="1" applyBorder="1" applyAlignment="1">
      <alignment horizontal="right" vertical="center"/>
    </xf>
    <xf numFmtId="9" fontId="61" fillId="0" borderId="9" xfId="0" applyNumberFormat="1" applyFont="1" applyFill="1" applyBorder="1" applyAlignment="1">
      <alignment horizontal="right" vertical="center"/>
    </xf>
    <xf numFmtId="0" fontId="40" fillId="8" borderId="47" xfId="0" applyFont="1" applyFill="1" applyBorder="1" applyAlignment="1">
      <alignment horizontal="right" vertical="center"/>
    </xf>
    <xf numFmtId="9" fontId="40" fillId="8" borderId="47" xfId="0" applyNumberFormat="1" applyFont="1" applyFill="1" applyBorder="1" applyAlignment="1">
      <alignment horizontal="right" vertical="center"/>
    </xf>
    <xf numFmtId="9" fontId="40" fillId="8" borderId="47" xfId="0" applyNumberFormat="1" applyFont="1" applyFill="1" applyBorder="1" applyAlignment="1">
      <alignment horizontal="center" vertical="center"/>
    </xf>
    <xf numFmtId="9" fontId="40" fillId="8" borderId="48" xfId="0" applyNumberFormat="1" applyFont="1" applyFill="1" applyBorder="1" applyAlignment="1">
      <alignment horizontal="right" vertical="center"/>
    </xf>
    <xf numFmtId="9" fontId="40" fillId="8" borderId="46" xfId="0" applyNumberFormat="1" applyFont="1" applyFill="1" applyBorder="1" applyAlignment="1">
      <alignment horizontal="right" vertical="center"/>
    </xf>
    <xf numFmtId="2" fontId="40" fillId="8" borderId="47" xfId="0" applyNumberFormat="1" applyFont="1" applyFill="1" applyBorder="1" applyAlignment="1">
      <alignment horizontal="center" vertical="center"/>
    </xf>
    <xf numFmtId="0" fontId="40" fillId="8" borderId="48" xfId="0" applyFont="1" applyFill="1" applyBorder="1" applyAlignment="1">
      <alignment horizontal="right" vertical="center"/>
    </xf>
    <xf numFmtId="0" fontId="40" fillId="8" borderId="41" xfId="0" applyFont="1" applyFill="1" applyBorder="1" applyAlignment="1">
      <alignment horizontal="right" vertical="center"/>
    </xf>
    <xf numFmtId="0" fontId="40" fillId="8" borderId="42" xfId="0" applyFont="1" applyFill="1" applyBorder="1" applyAlignment="1">
      <alignment horizontal="right" vertical="center"/>
    </xf>
    <xf numFmtId="9" fontId="40" fillId="8" borderId="42" xfId="0" applyNumberFormat="1" applyFont="1" applyFill="1" applyBorder="1" applyAlignment="1">
      <alignment horizontal="right" vertical="center"/>
    </xf>
    <xf numFmtId="9" fontId="40" fillId="8" borderId="42" xfId="0" applyNumberFormat="1" applyFont="1" applyFill="1" applyBorder="1" applyAlignment="1">
      <alignment horizontal="center" vertical="center"/>
    </xf>
    <xf numFmtId="9" fontId="40" fillId="8" borderId="43" xfId="0" applyNumberFormat="1" applyFont="1" applyFill="1" applyBorder="1" applyAlignment="1">
      <alignment horizontal="right" vertical="center"/>
    </xf>
    <xf numFmtId="0" fontId="0" fillId="26" borderId="4" xfId="0" applyFill="1" applyBorder="1"/>
    <xf numFmtId="3" fontId="40" fillId="24" borderId="4" xfId="0" applyNumberFormat="1" applyFont="1" applyFill="1" applyBorder="1" applyAlignment="1">
      <alignment horizontal="right" vertical="center"/>
    </xf>
    <xf numFmtId="3" fontId="40" fillId="24" borderId="5" xfId="0" applyNumberFormat="1" applyFont="1" applyFill="1" applyBorder="1" applyAlignment="1">
      <alignment horizontal="right" vertical="center"/>
    </xf>
    <xf numFmtId="9" fontId="40" fillId="24" borderId="9" xfId="0" applyNumberFormat="1" applyFont="1" applyFill="1" applyBorder="1" applyAlignment="1">
      <alignment horizontal="right" vertical="center"/>
    </xf>
    <xf numFmtId="9" fontId="40" fillId="24" borderId="10" xfId="0" applyNumberFormat="1" applyFont="1" applyFill="1" applyBorder="1" applyAlignment="1">
      <alignment horizontal="right" vertical="center"/>
    </xf>
    <xf numFmtId="9" fontId="40" fillId="8" borderId="0" xfId="140" applyFont="1" applyFill="1" applyBorder="1" applyAlignment="1">
      <alignment horizontal="right" vertical="center"/>
    </xf>
    <xf numFmtId="2" fontId="40" fillId="0" borderId="9" xfId="0" applyNumberFormat="1" applyFont="1" applyFill="1" applyBorder="1" applyAlignment="1">
      <alignment horizontal="right" vertical="center"/>
    </xf>
    <xf numFmtId="3" fontId="40" fillId="11" borderId="0" xfId="0" applyNumberFormat="1" applyFont="1" applyFill="1" applyAlignment="1">
      <alignment vertical="center"/>
    </xf>
    <xf numFmtId="0" fontId="62" fillId="11" borderId="18" xfId="0" applyFont="1" applyFill="1" applyBorder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62" fillId="0" borderId="0" xfId="0" applyFont="1" applyFill="1" applyAlignment="1">
      <alignment vertical="center"/>
    </xf>
    <xf numFmtId="0" fontId="40" fillId="0" borderId="3" xfId="0" applyFont="1" applyFill="1" applyBorder="1" applyAlignment="1">
      <alignment vertical="center"/>
    </xf>
    <xf numFmtId="0" fontId="40" fillId="0" borderId="4" xfId="0" applyFont="1" applyFill="1" applyBorder="1" applyAlignment="1">
      <alignment vertical="center"/>
    </xf>
    <xf numFmtId="0" fontId="40" fillId="0" borderId="5" xfId="0" applyFont="1" applyFill="1" applyBorder="1" applyAlignment="1">
      <alignment vertical="center"/>
    </xf>
    <xf numFmtId="0" fontId="40" fillId="0" borderId="6" xfId="0" applyFont="1" applyFill="1" applyBorder="1" applyAlignment="1">
      <alignment vertical="center"/>
    </xf>
    <xf numFmtId="0" fontId="40" fillId="0" borderId="7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0" fontId="40" fillId="0" borderId="9" xfId="0" applyFont="1" applyFill="1" applyBorder="1" applyAlignment="1">
      <alignment vertical="center"/>
    </xf>
    <xf numFmtId="0" fontId="40" fillId="0" borderId="10" xfId="0" applyFont="1" applyFill="1" applyBorder="1" applyAlignment="1">
      <alignment vertical="center"/>
    </xf>
    <xf numFmtId="0" fontId="62" fillId="0" borderId="4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52" fillId="8" borderId="0" xfId="0" applyFont="1" applyFill="1" applyAlignment="1">
      <alignment vertical="center"/>
    </xf>
    <xf numFmtId="0" fontId="52" fillId="8" borderId="0" xfId="0" applyFont="1" applyFill="1" applyAlignment="1">
      <alignment horizontal="right" vertical="center"/>
    </xf>
    <xf numFmtId="0" fontId="81" fillId="8" borderId="0" xfId="0" applyFont="1" applyFill="1" applyBorder="1" applyAlignment="1">
      <alignment horizontal="center" vertical="top" wrapText="1"/>
    </xf>
    <xf numFmtId="0" fontId="21" fillId="0" borderId="0" xfId="0" applyFont="1" applyFill="1" applyBorder="1" applyAlignment="1">
      <alignment horizontal="left"/>
    </xf>
    <xf numFmtId="0" fontId="0" fillId="24" borderId="0" xfId="0" applyFill="1" applyBorder="1" applyAlignment="1">
      <alignment horizontal="center"/>
    </xf>
    <xf numFmtId="0" fontId="0" fillId="26" borderId="0" xfId="0" applyFill="1" applyBorder="1" applyAlignment="1">
      <alignment horizontal="left"/>
    </xf>
    <xf numFmtId="2" fontId="0" fillId="24" borderId="0" xfId="0" applyNumberFormat="1" applyFill="1" applyBorder="1" applyAlignment="1">
      <alignment horizontal="center"/>
    </xf>
    <xf numFmtId="4" fontId="0" fillId="24" borderId="0" xfId="0" applyNumberFormat="1" applyFill="1" applyBorder="1" applyAlignment="1">
      <alignment horizontal="center"/>
    </xf>
    <xf numFmtId="0" fontId="0" fillId="0" borderId="3" xfId="0" applyFont="1" applyFill="1" applyBorder="1"/>
    <xf numFmtId="0" fontId="0" fillId="0" borderId="4" xfId="0" applyFont="1" applyFill="1" applyBorder="1" applyAlignment="1">
      <alignment vertical="center"/>
    </xf>
    <xf numFmtId="0" fontId="0" fillId="0" borderId="4" xfId="0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0" xfId="0" applyFont="1" applyFill="1" applyBorder="1"/>
    <xf numFmtId="0" fontId="0" fillId="0" borderId="7" xfId="0" applyFont="1" applyFill="1" applyBorder="1"/>
    <xf numFmtId="0" fontId="0" fillId="0" borderId="0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horizontal="center" vertical="center"/>
    </xf>
    <xf numFmtId="9" fontId="0" fillId="0" borderId="0" xfId="140" applyFont="1" applyFill="1" applyBorder="1" applyAlignment="1">
      <alignment horizontal="center" vertical="center"/>
    </xf>
    <xf numFmtId="9" fontId="61" fillId="0" borderId="37" xfId="140" applyNumberFormat="1" applyFont="1" applyFill="1" applyBorder="1" applyAlignment="1" applyProtection="1">
      <alignment horizontal="center" vertical="center"/>
    </xf>
    <xf numFmtId="0" fontId="0" fillId="0" borderId="14" xfId="0" applyBorder="1"/>
    <xf numFmtId="0" fontId="0" fillId="0" borderId="49" xfId="0" applyBorder="1"/>
    <xf numFmtId="0" fontId="0" fillId="0" borderId="36" xfId="0" applyBorder="1"/>
    <xf numFmtId="0" fontId="0" fillId="0" borderId="0" xfId="0" applyBorder="1" applyAlignment="1">
      <alignment horizontal="right"/>
    </xf>
    <xf numFmtId="9" fontId="0" fillId="0" borderId="0" xfId="140" applyFont="1" applyBorder="1" applyAlignment="1">
      <alignment horizontal="right"/>
    </xf>
    <xf numFmtId="9" fontId="0" fillId="0" borderId="0" xfId="0" applyNumberFormat="1" applyBorder="1"/>
    <xf numFmtId="0" fontId="0" fillId="0" borderId="4" xfId="0" applyBorder="1" applyAlignment="1">
      <alignment horizontal="right"/>
    </xf>
    <xf numFmtId="0" fontId="21" fillId="0" borderId="6" xfId="0" applyFont="1" applyBorder="1"/>
    <xf numFmtId="179" fontId="0" fillId="0" borderId="0" xfId="172" applyNumberFormat="1" applyFont="1" applyBorder="1" applyAlignment="1">
      <alignment horizontal="right"/>
    </xf>
    <xf numFmtId="179" fontId="0" fillId="0" borderId="0" xfId="172" applyNumberFormat="1" applyFont="1" applyBorder="1"/>
    <xf numFmtId="0" fontId="0" fillId="0" borderId="0" xfId="0"/>
    <xf numFmtId="0" fontId="21" fillId="0" borderId="0" xfId="0" applyFont="1"/>
    <xf numFmtId="0" fontId="0" fillId="0" borderId="0" xfId="0" applyFill="1"/>
    <xf numFmtId="0" fontId="40" fillId="8" borderId="0" xfId="0" applyFont="1" applyFill="1" applyAlignment="1">
      <alignment vertical="center"/>
    </xf>
    <xf numFmtId="0" fontId="0" fillId="24" borderId="0" xfId="0" applyFill="1"/>
    <xf numFmtId="0" fontId="0" fillId="0" borderId="0" xfId="0" applyFill="1" applyAlignment="1">
      <alignment horizontal="right"/>
    </xf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4" xfId="0" applyBorder="1"/>
    <xf numFmtId="0" fontId="0" fillId="0" borderId="0" xfId="0" applyBorder="1"/>
    <xf numFmtId="179" fontId="0" fillId="25" borderId="0" xfId="172" applyNumberFormat="1" applyFont="1" applyFill="1" applyBorder="1"/>
    <xf numFmtId="179" fontId="0" fillId="25" borderId="9" xfId="172" applyNumberFormat="1" applyFont="1" applyFill="1" applyBorder="1"/>
    <xf numFmtId="183" fontId="0" fillId="0" borderId="0" xfId="0" applyNumberFormat="1" applyFill="1" applyBorder="1"/>
    <xf numFmtId="183" fontId="0" fillId="0" borderId="0" xfId="0" applyNumberFormat="1" applyBorder="1" applyAlignment="1">
      <alignment horizontal="right"/>
    </xf>
    <xf numFmtId="0" fontId="0" fillId="0" borderId="6" xfId="0" applyBorder="1" applyAlignment="1">
      <alignment horizontal="right"/>
    </xf>
    <xf numFmtId="9" fontId="0" fillId="0" borderId="7" xfId="0" applyNumberFormat="1" applyBorder="1"/>
    <xf numFmtId="9" fontId="0" fillId="0" borderId="0" xfId="140" applyFont="1" applyFill="1" applyBorder="1" applyAlignment="1">
      <alignment horizontal="right"/>
    </xf>
    <xf numFmtId="179" fontId="0" fillId="25" borderId="3" xfId="172" applyNumberFormat="1" applyFont="1" applyFill="1" applyBorder="1"/>
    <xf numFmtId="9" fontId="0" fillId="25" borderId="4" xfId="140" applyFont="1" applyFill="1" applyBorder="1"/>
    <xf numFmtId="179" fontId="0" fillId="25" borderId="4" xfId="172" applyNumberFormat="1" applyFont="1" applyFill="1" applyBorder="1"/>
    <xf numFmtId="9" fontId="0" fillId="25" borderId="5" xfId="140" applyFont="1" applyFill="1" applyBorder="1"/>
    <xf numFmtId="179" fontId="0" fillId="25" borderId="6" xfId="172" applyNumberFormat="1" applyFont="1" applyFill="1" applyBorder="1"/>
    <xf numFmtId="9" fontId="0" fillId="25" borderId="0" xfId="140" applyFont="1" applyFill="1" applyBorder="1"/>
    <xf numFmtId="9" fontId="0" fillId="25" borderId="7" xfId="140" applyFont="1" applyFill="1" applyBorder="1"/>
    <xf numFmtId="179" fontId="0" fillId="25" borderId="8" xfId="172" applyNumberFormat="1" applyFont="1" applyFill="1" applyBorder="1"/>
    <xf numFmtId="9" fontId="0" fillId="25" borderId="9" xfId="140" applyFont="1" applyFill="1" applyBorder="1"/>
    <xf numFmtId="9" fontId="0" fillId="25" borderId="10" xfId="140" applyFont="1" applyFill="1" applyBorder="1"/>
    <xf numFmtId="0" fontId="21" fillId="0" borderId="6" xfId="0" applyFont="1" applyFill="1" applyBorder="1" applyAlignment="1"/>
    <xf numFmtId="0" fontId="0" fillId="0" borderId="7" xfId="0" applyFill="1" applyBorder="1" applyAlignment="1"/>
    <xf numFmtId="179" fontId="18" fillId="26" borderId="13" xfId="172" applyNumberFormat="1" applyFont="1" applyFill="1" applyBorder="1" applyAlignment="1">
      <alignment horizontal="center"/>
    </xf>
    <xf numFmtId="179" fontId="18" fillId="26" borderId="21" xfId="172" applyNumberFormat="1" applyFont="1" applyFill="1" applyBorder="1" applyAlignment="1">
      <alignment horizontal="center"/>
    </xf>
    <xf numFmtId="179" fontId="18" fillId="26" borderId="23" xfId="172" applyNumberFormat="1" applyFont="1" applyFill="1" applyBorder="1" applyAlignment="1">
      <alignment horizontal="center"/>
    </xf>
    <xf numFmtId="179" fontId="40" fillId="0" borderId="0" xfId="172" applyNumberFormat="1" applyFont="1" applyFill="1"/>
    <xf numFmtId="179" fontId="40" fillId="0" borderId="0" xfId="172" applyNumberFormat="1" applyFont="1" applyFill="1" applyAlignment="1">
      <alignment horizontal="left"/>
    </xf>
    <xf numFmtId="177" fontId="18" fillId="26" borderId="13" xfId="140" applyNumberFormat="1" applyFont="1" applyFill="1" applyBorder="1" applyAlignment="1">
      <alignment horizontal="center"/>
    </xf>
    <xf numFmtId="177" fontId="18" fillId="26" borderId="21" xfId="140" applyNumberFormat="1" applyFont="1" applyFill="1" applyBorder="1" applyAlignment="1">
      <alignment horizontal="center"/>
    </xf>
    <xf numFmtId="177" fontId="18" fillId="26" borderId="23" xfId="140" applyNumberFormat="1" applyFont="1" applyFill="1" applyBorder="1" applyAlignment="1">
      <alignment horizontal="center"/>
    </xf>
    <xf numFmtId="177" fontId="40" fillId="0" borderId="0" xfId="140" applyNumberFormat="1" applyFont="1" applyFill="1"/>
    <xf numFmtId="179" fontId="44" fillId="6" borderId="0" xfId="172" applyNumberFormat="1" applyFont="1" applyFill="1" applyBorder="1"/>
    <xf numFmtId="179" fontId="44" fillId="0" borderId="0" xfId="172" applyNumberFormat="1" applyFont="1" applyAlignment="1">
      <alignment horizontal="center"/>
    </xf>
    <xf numFmtId="179" fontId="16" fillId="5" borderId="0" xfId="172" applyNumberFormat="1" applyFont="1" applyFill="1" applyAlignment="1">
      <alignment horizontal="left"/>
    </xf>
    <xf numFmtId="179" fontId="44" fillId="6" borderId="0" xfId="172" applyNumberFormat="1" applyFont="1" applyFill="1" applyAlignment="1">
      <alignment horizontal="right"/>
    </xf>
    <xf numFmtId="179" fontId="51" fillId="30" borderId="0" xfId="172" applyNumberFormat="1" applyFont="1" applyFill="1" applyBorder="1"/>
    <xf numFmtId="179" fontId="44" fillId="6" borderId="0" xfId="172" applyNumberFormat="1" applyFont="1" applyFill="1"/>
    <xf numFmtId="179" fontId="51" fillId="6" borderId="0" xfId="172" applyNumberFormat="1" applyFont="1" applyFill="1"/>
    <xf numFmtId="179" fontId="44" fillId="0" borderId="0" xfId="172" applyNumberFormat="1" applyFont="1" applyAlignment="1">
      <alignment horizontal="left"/>
    </xf>
    <xf numFmtId="179" fontId="0" fillId="0" borderId="0" xfId="172" applyNumberFormat="1" applyFont="1" applyAlignment="1">
      <alignment horizontal="center"/>
    </xf>
    <xf numFmtId="179" fontId="16" fillId="5" borderId="0" xfId="172" applyNumberFormat="1" applyFont="1" applyFill="1" applyAlignment="1">
      <alignment horizontal="center"/>
    </xf>
    <xf numFmtId="0" fontId="44" fillId="38" borderId="0" xfId="168" applyFont="1" applyFill="1" applyAlignment="1">
      <alignment horizontal="left"/>
    </xf>
    <xf numFmtId="0" fontId="44" fillId="24" borderId="0" xfId="168" applyFont="1" applyFill="1" applyAlignment="1">
      <alignment horizontal="left"/>
    </xf>
    <xf numFmtId="9" fontId="40" fillId="8" borderId="0" xfId="140" applyFont="1" applyFill="1" applyBorder="1" applyAlignment="1">
      <alignment horizontal="right"/>
    </xf>
    <xf numFmtId="179" fontId="0" fillId="24" borderId="0" xfId="172" applyNumberFormat="1" applyFont="1" applyFill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0" fillId="0" borderId="4" xfId="0" applyFill="1" applyBorder="1" applyAlignment="1">
      <alignment horizontal="right"/>
    </xf>
    <xf numFmtId="9" fontId="61" fillId="0" borderId="4" xfId="0" applyNumberFormat="1" applyFont="1" applyFill="1" applyBorder="1" applyAlignment="1">
      <alignment horizontal="right" vertical="center"/>
    </xf>
    <xf numFmtId="9" fontId="40" fillId="0" borderId="0" xfId="140" applyFont="1" applyFill="1"/>
    <xf numFmtId="2" fontId="0" fillId="0" borderId="4" xfId="0" applyNumberFormat="1" applyFill="1" applyBorder="1"/>
    <xf numFmtId="2" fontId="0" fillId="0" borderId="0" xfId="0" applyNumberFormat="1" applyFill="1" applyBorder="1"/>
    <xf numFmtId="0" fontId="64" fillId="36" borderId="0" xfId="168" applyFont="1" applyFill="1" applyAlignment="1">
      <alignment horizontal="left"/>
    </xf>
    <xf numFmtId="0" fontId="64" fillId="37" borderId="0" xfId="168" applyFont="1" applyFill="1" applyAlignment="1">
      <alignment horizontal="left"/>
    </xf>
    <xf numFmtId="0" fontId="82" fillId="0" borderId="0" xfId="0" applyFont="1" applyAlignment="1">
      <alignment vertical="center"/>
    </xf>
    <xf numFmtId="0" fontId="82" fillId="36" borderId="0" xfId="0" applyFont="1" applyFill="1" applyAlignment="1">
      <alignment vertical="center"/>
    </xf>
    <xf numFmtId="0" fontId="82" fillId="24" borderId="0" xfId="0" applyFont="1" applyFill="1" applyAlignment="1">
      <alignment vertical="center"/>
    </xf>
    <xf numFmtId="0" fontId="82" fillId="32" borderId="0" xfId="0" applyFont="1" applyFill="1" applyAlignment="1">
      <alignment vertical="center"/>
    </xf>
    <xf numFmtId="0" fontId="51" fillId="0" borderId="0" xfId="0" applyFont="1" applyFill="1" applyAlignment="1">
      <alignment horizontal="left" vertical="center" indent="3"/>
    </xf>
    <xf numFmtId="9" fontId="51" fillId="0" borderId="0" xfId="140" applyFont="1" applyFill="1" applyAlignment="1">
      <alignment vertical="center"/>
    </xf>
    <xf numFmtId="3" fontId="40" fillId="11" borderId="0" xfId="0" applyNumberFormat="1" applyFont="1" applyFill="1" applyAlignment="1">
      <alignment horizontal="center" vertical="center"/>
    </xf>
    <xf numFmtId="9" fontId="0" fillId="0" borderId="0" xfId="140" applyFont="1" applyAlignment="1">
      <alignment horizontal="left" vertical="center"/>
    </xf>
    <xf numFmtId="179" fontId="0" fillId="0" borderId="0" xfId="172" applyNumberFormat="1" applyFont="1" applyAlignment="1">
      <alignment horizontal="right" vertical="center"/>
    </xf>
    <xf numFmtId="3" fontId="0" fillId="26" borderId="0" xfId="172" applyNumberFormat="1" applyFont="1" applyFill="1" applyAlignment="1">
      <alignment horizontal="center" vertical="center"/>
    </xf>
    <xf numFmtId="3" fontId="44" fillId="0" borderId="0" xfId="140" applyNumberFormat="1" applyFont="1" applyAlignment="1">
      <alignment horizontal="center" vertical="center"/>
    </xf>
    <xf numFmtId="0" fontId="0" fillId="25" borderId="0" xfId="0" applyFill="1" applyBorder="1"/>
    <xf numFmtId="0" fontId="0" fillId="25" borderId="9" xfId="0" applyFill="1" applyBorder="1"/>
    <xf numFmtId="0" fontId="57" fillId="0" borderId="0" xfId="0" applyFont="1" applyFill="1" applyAlignment="1">
      <alignment horizontal="left" vertical="center" indent="2"/>
    </xf>
    <xf numFmtId="0" fontId="57" fillId="0" borderId="0" xfId="0" applyFont="1" applyFill="1" applyAlignment="1">
      <alignment horizontal="left" vertical="center" indent="1"/>
    </xf>
    <xf numFmtId="0" fontId="0" fillId="4" borderId="0" xfId="0" applyFill="1"/>
    <xf numFmtId="0" fontId="54" fillId="4" borderId="0" xfId="0" applyFont="1" applyFill="1"/>
    <xf numFmtId="0" fontId="0" fillId="6" borderId="0" xfId="0" applyFont="1" applyFill="1"/>
    <xf numFmtId="0" fontId="0" fillId="39" borderId="0" xfId="0" applyFill="1"/>
    <xf numFmtId="0" fontId="16" fillId="39" borderId="0" xfId="0" applyFont="1" applyFill="1"/>
    <xf numFmtId="185" fontId="51" fillId="0" borderId="0" xfId="0" applyNumberFormat="1" applyFont="1" applyFill="1" applyAlignment="1">
      <alignment vertical="center"/>
    </xf>
    <xf numFmtId="43" fontId="0" fillId="0" borderId="0" xfId="0" applyNumberFormat="1" applyFill="1"/>
    <xf numFmtId="3" fontId="40" fillId="24" borderId="0" xfId="0" applyNumberFormat="1" applyFont="1" applyFill="1" applyBorder="1" applyAlignment="1">
      <alignment horizontal="right" vertical="center" wrapText="1"/>
    </xf>
    <xf numFmtId="3" fontId="40" fillId="24" borderId="0" xfId="172" applyNumberFormat="1" applyFont="1" applyFill="1" applyBorder="1" applyAlignment="1">
      <alignment horizontal="right" vertical="center" wrapText="1"/>
    </xf>
    <xf numFmtId="3" fontId="40" fillId="24" borderId="0" xfId="140" applyNumberFormat="1" applyFont="1" applyFill="1" applyBorder="1" applyAlignment="1">
      <alignment horizontal="right" vertical="center"/>
    </xf>
    <xf numFmtId="3" fontId="0" fillId="0" borderId="0" xfId="0" applyNumberFormat="1" applyFill="1"/>
    <xf numFmtId="3" fontId="40" fillId="24" borderId="9" xfId="0" applyNumberFormat="1" applyFont="1" applyFill="1" applyBorder="1" applyAlignment="1">
      <alignment horizontal="right" vertical="center" wrapText="1"/>
    </xf>
    <xf numFmtId="3" fontId="40" fillId="24" borderId="9" xfId="172" applyNumberFormat="1" applyFont="1" applyFill="1" applyBorder="1" applyAlignment="1">
      <alignment horizontal="right" vertical="center" wrapText="1"/>
    </xf>
    <xf numFmtId="179" fontId="0" fillId="0" borderId="4" xfId="172" applyNumberFormat="1" applyFont="1" applyFill="1" applyBorder="1"/>
    <xf numFmtId="179" fontId="0" fillId="0" borderId="0" xfId="172" applyNumberFormat="1" applyFont="1" applyFill="1" applyBorder="1"/>
    <xf numFmtId="179" fontId="0" fillId="24" borderId="0" xfId="172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 indent="1"/>
    </xf>
    <xf numFmtId="9" fontId="0" fillId="0" borderId="0" xfId="140" applyFont="1" applyBorder="1" applyAlignment="1">
      <alignment horizontal="left"/>
    </xf>
    <xf numFmtId="0" fontId="0" fillId="0" borderId="0" xfId="0" applyAlignment="1">
      <alignment horizontal="left"/>
    </xf>
    <xf numFmtId="9" fontId="0" fillId="0" borderId="0" xfId="140" applyFont="1" applyAlignment="1">
      <alignment horizontal="left"/>
    </xf>
    <xf numFmtId="0" fontId="0" fillId="0" borderId="0" xfId="0" applyFill="1" applyBorder="1" applyAlignment="1">
      <alignment horizontal="left" indent="1"/>
    </xf>
    <xf numFmtId="0" fontId="0" fillId="0" borderId="9" xfId="0" applyFill="1" applyBorder="1" applyAlignment="1">
      <alignment horizontal="left" indent="1"/>
    </xf>
    <xf numFmtId="9" fontId="0" fillId="0" borderId="9" xfId="14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 indent="1"/>
    </xf>
    <xf numFmtId="0" fontId="0" fillId="0" borderId="9" xfId="0" applyBorder="1" applyAlignment="1">
      <alignment horizontal="left"/>
    </xf>
    <xf numFmtId="178" fontId="0" fillId="0" borderId="0" xfId="0" applyNumberFormat="1" applyFill="1" applyAlignment="1">
      <alignment horizontal="center" vertical="center"/>
    </xf>
    <xf numFmtId="179" fontId="44" fillId="0" borderId="0" xfId="172" applyNumberFormat="1" applyFont="1" applyAlignment="1">
      <alignment horizontal="center" vertical="center"/>
    </xf>
    <xf numFmtId="0" fontId="0" fillId="24" borderId="0" xfId="0" applyNumberFormat="1" applyFill="1" applyAlignment="1">
      <alignment horizontal="center" vertical="center"/>
    </xf>
    <xf numFmtId="0" fontId="0" fillId="24" borderId="0" xfId="140" applyNumberFormat="1" applyFont="1" applyFill="1" applyAlignment="1">
      <alignment horizontal="center" vertical="center"/>
    </xf>
    <xf numFmtId="179" fontId="0" fillId="0" borderId="0" xfId="172" applyNumberFormat="1" applyFont="1" applyAlignment="1">
      <alignment horizontal="center" vertical="center"/>
    </xf>
    <xf numFmtId="16" fontId="40" fillId="11" borderId="0" xfId="0" applyNumberFormat="1" applyFont="1" applyFill="1" applyAlignment="1">
      <alignment vertical="center"/>
    </xf>
    <xf numFmtId="49" fontId="0" fillId="0" borderId="0" xfId="172" applyNumberFormat="1" applyFont="1" applyAlignment="1">
      <alignment vertical="center"/>
    </xf>
    <xf numFmtId="16" fontId="61" fillId="0" borderId="37" xfId="0" applyNumberFormat="1" applyFont="1" applyFill="1" applyBorder="1" applyAlignment="1" applyProtection="1">
      <alignment vertical="center"/>
      <protection locked="0"/>
    </xf>
    <xf numFmtId="49" fontId="61" fillId="0" borderId="37" xfId="0" applyNumberFormat="1" applyFont="1" applyFill="1" applyBorder="1" applyAlignment="1" applyProtection="1">
      <alignment horizontal="center" vertical="center"/>
      <protection locked="0"/>
    </xf>
    <xf numFmtId="9" fontId="0" fillId="0" borderId="0" xfId="140" applyFont="1" applyFill="1" applyBorder="1"/>
    <xf numFmtId="9" fontId="0" fillId="0" borderId="0" xfId="0" applyNumberFormat="1" applyFill="1" applyBorder="1"/>
    <xf numFmtId="9" fontId="21" fillId="0" borderId="0" xfId="140" applyFont="1" applyAlignment="1">
      <alignment vertical="center"/>
    </xf>
    <xf numFmtId="1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vertical="center"/>
    </xf>
    <xf numFmtId="183" fontId="21" fillId="0" borderId="0" xfId="0" applyNumberFormat="1" applyFont="1" applyAlignment="1">
      <alignment vertical="center"/>
    </xf>
    <xf numFmtId="0" fontId="16" fillId="0" borderId="0" xfId="0" applyFont="1" applyFill="1" applyAlignment="1">
      <alignment vertical="center" wrapText="1"/>
    </xf>
    <xf numFmtId="9" fontId="40" fillId="11" borderId="0" xfId="140" applyFont="1" applyFill="1" applyAlignment="1">
      <alignment horizontal="center" vertical="center"/>
    </xf>
    <xf numFmtId="188" fontId="0" fillId="0" borderId="0" xfId="0" applyNumberFormat="1" applyFill="1"/>
    <xf numFmtId="189" fontId="0" fillId="0" borderId="0" xfId="0" applyNumberFormat="1" applyFill="1"/>
    <xf numFmtId="43" fontId="0" fillId="0" borderId="0" xfId="0" applyNumberFormat="1" applyFill="1"/>
    <xf numFmtId="3" fontId="0" fillId="25" borderId="0" xfId="0" applyNumberFormat="1" applyFont="1" applyFill="1" applyAlignment="1">
      <alignment horizontal="right" vertical="center"/>
    </xf>
    <xf numFmtId="0" fontId="0" fillId="26" borderId="0" xfId="0" applyFill="1"/>
    <xf numFmtId="1" fontId="0" fillId="24" borderId="0" xfId="140" applyNumberFormat="1" applyFont="1" applyFill="1" applyAlignment="1">
      <alignment horizontal="center" vertical="center"/>
    </xf>
    <xf numFmtId="0" fontId="83" fillId="0" borderId="0" xfId="0" applyFont="1"/>
    <xf numFmtId="1" fontId="0" fillId="24" borderId="0" xfId="0" applyNumberFormat="1" applyFill="1" applyAlignment="1">
      <alignment horizontal="center" vertical="center"/>
    </xf>
    <xf numFmtId="9" fontId="0" fillId="19" borderId="0" xfId="0" applyNumberFormat="1" applyFill="1" applyAlignment="1">
      <alignment horizontal="center" vertical="center"/>
    </xf>
    <xf numFmtId="0" fontId="0" fillId="26" borderId="0" xfId="0" applyFont="1" applyFill="1" applyBorder="1" applyAlignment="1">
      <alignment horizontal="center"/>
    </xf>
    <xf numFmtId="16" fontId="0" fillId="26" borderId="0" xfId="0" quotePrefix="1" applyNumberFormat="1" applyFont="1" applyFill="1" applyBorder="1" applyAlignment="1">
      <alignment horizontal="center"/>
    </xf>
    <xf numFmtId="183" fontId="0" fillId="24" borderId="0" xfId="0" applyNumberFormat="1" applyFont="1" applyFill="1" applyAlignment="1">
      <alignment horizontal="right"/>
    </xf>
    <xf numFmtId="183" fontId="0" fillId="0" borderId="0" xfId="0" applyNumberFormat="1" applyFill="1" applyAlignment="1">
      <alignment vertical="center"/>
    </xf>
    <xf numFmtId="0" fontId="0" fillId="0" borderId="0" xfId="0" applyFont="1" applyFill="1" applyAlignment="1">
      <alignment horizontal="left" vertical="center" indent="1"/>
    </xf>
    <xf numFmtId="183" fontId="0" fillId="24" borderId="0" xfId="140" applyNumberFormat="1" applyFont="1" applyFill="1" applyAlignment="1">
      <alignment horizontal="center" vertical="center"/>
    </xf>
    <xf numFmtId="184" fontId="0" fillId="0" borderId="0" xfId="140" applyNumberFormat="1" applyFont="1" applyAlignment="1">
      <alignment horizontal="center" vertical="center"/>
    </xf>
    <xf numFmtId="177" fontId="0" fillId="0" borderId="0" xfId="140" applyNumberFormat="1" applyFont="1" applyFill="1" applyAlignment="1">
      <alignment vertical="center"/>
    </xf>
    <xf numFmtId="177" fontId="0" fillId="24" borderId="0" xfId="140" applyNumberFormat="1" applyFont="1" applyFill="1" applyAlignment="1">
      <alignment horizontal="center" vertical="center"/>
    </xf>
    <xf numFmtId="0" fontId="0" fillId="0" borderId="0" xfId="0" applyFill="1" applyAlignment="1">
      <alignment horizontal="left" vertical="center" indent="1"/>
    </xf>
    <xf numFmtId="190" fontId="0" fillId="24" borderId="0" xfId="140" applyNumberFormat="1" applyFont="1" applyFill="1" applyAlignment="1">
      <alignment horizontal="center" vertical="center"/>
    </xf>
    <xf numFmtId="3" fontId="51" fillId="0" borderId="0" xfId="0" applyNumberFormat="1" applyFont="1" applyFill="1" applyAlignment="1">
      <alignment vertical="center"/>
    </xf>
    <xf numFmtId="4" fontId="51" fillId="0" borderId="0" xfId="0" applyNumberFormat="1" applyFont="1" applyFill="1" applyAlignment="1">
      <alignment vertical="center"/>
    </xf>
    <xf numFmtId="179" fontId="0" fillId="26" borderId="0" xfId="172" applyNumberFormat="1" applyFont="1" applyFill="1" applyAlignment="1">
      <alignment horizontal="center" vertical="center"/>
    </xf>
    <xf numFmtId="185" fontId="51" fillId="0" borderId="0" xfId="172" applyNumberFormat="1" applyFont="1" applyFill="1" applyAlignment="1">
      <alignment vertical="center"/>
    </xf>
    <xf numFmtId="9" fontId="51" fillId="0" borderId="0" xfId="140" applyFont="1" applyFill="1" applyAlignment="1">
      <alignment horizontal="right" vertical="center"/>
    </xf>
    <xf numFmtId="43" fontId="51" fillId="0" borderId="0" xfId="172" applyNumberFormat="1" applyFont="1" applyFill="1" applyAlignment="1">
      <alignment vertical="center"/>
    </xf>
    <xf numFmtId="0" fontId="16" fillId="0" borderId="0" xfId="0" applyFont="1" applyFill="1" applyAlignment="1">
      <alignment horizontal="right" vertical="center"/>
    </xf>
    <xf numFmtId="179" fontId="51" fillId="0" borderId="0" xfId="0" applyNumberFormat="1" applyFont="1" applyFill="1" applyAlignment="1">
      <alignment horizontal="right" vertical="center"/>
    </xf>
    <xf numFmtId="9" fontId="0" fillId="0" borderId="0" xfId="140" applyFont="1" applyFill="1" applyAlignment="1">
      <alignment vertical="center"/>
    </xf>
    <xf numFmtId="4" fontId="0" fillId="0" borderId="0" xfId="0" applyNumberFormat="1" applyFill="1" applyAlignment="1">
      <alignment vertical="center"/>
    </xf>
    <xf numFmtId="179" fontId="0" fillId="0" borderId="0" xfId="0" applyNumberFormat="1" applyFont="1" applyFill="1" applyAlignment="1">
      <alignment vertical="center"/>
    </xf>
    <xf numFmtId="9" fontId="44" fillId="0" borderId="0" xfId="140" applyFont="1" applyFill="1" applyAlignment="1">
      <alignment vertical="center"/>
    </xf>
    <xf numFmtId="0" fontId="16" fillId="23" borderId="0" xfId="0" applyFont="1" applyFill="1" applyAlignment="1">
      <alignment vertical="center"/>
    </xf>
    <xf numFmtId="0" fontId="54" fillId="23" borderId="0" xfId="0" applyFont="1" applyFill="1"/>
    <xf numFmtId="179" fontId="0" fillId="0" borderId="9" xfId="172" applyNumberFormat="1" applyFont="1" applyFill="1" applyBorder="1" applyAlignment="1">
      <alignment horizontal="right"/>
    </xf>
    <xf numFmtId="0" fontId="1" fillId="0" borderId="0" xfId="232"/>
    <xf numFmtId="0" fontId="74" fillId="26" borderId="0" xfId="168" applyFont="1" applyFill="1" applyAlignment="1">
      <alignment horizontal="left" vertical="center"/>
    </xf>
    <xf numFmtId="0" fontId="64" fillId="26" borderId="0" xfId="168" applyFont="1" applyFill="1" applyAlignment="1">
      <alignment horizontal="left"/>
    </xf>
    <xf numFmtId="0" fontId="44" fillId="26" borderId="0" xfId="168" applyFont="1" applyFill="1" applyAlignment="1">
      <alignment horizontal="left"/>
    </xf>
    <xf numFmtId="0" fontId="74" fillId="24" borderId="0" xfId="168" applyFont="1" applyFill="1" applyAlignment="1">
      <alignment horizontal="left" vertical="center"/>
    </xf>
    <xf numFmtId="0" fontId="64" fillId="24" borderId="0" xfId="168" applyFont="1" applyFill="1" applyAlignment="1">
      <alignment horizontal="left"/>
    </xf>
    <xf numFmtId="0" fontId="74" fillId="38" borderId="0" xfId="168" applyFont="1" applyFill="1" applyAlignment="1">
      <alignment horizontal="left" vertical="center"/>
    </xf>
    <xf numFmtId="0" fontId="64" fillId="38" borderId="0" xfId="168" applyFont="1" applyFill="1" applyAlignment="1">
      <alignment horizontal="left"/>
    </xf>
    <xf numFmtId="3" fontId="0" fillId="0" borderId="0" xfId="0" applyNumberFormat="1"/>
    <xf numFmtId="191" fontId="0" fillId="0" borderId="0" xfId="0" applyNumberFormat="1" applyFill="1"/>
    <xf numFmtId="4" fontId="51" fillId="0" borderId="0" xfId="169" applyNumberFormat="1" applyFont="1" applyFill="1"/>
    <xf numFmtId="0" fontId="65" fillId="12" borderId="0" xfId="0" applyFont="1" applyFill="1" applyAlignment="1">
      <alignment horizontal="left" vertical="center"/>
    </xf>
    <xf numFmtId="0" fontId="57" fillId="0" borderId="0" xfId="0" applyFont="1" applyFill="1" applyAlignment="1">
      <alignment horizontal="left" vertical="center" indent="3"/>
    </xf>
    <xf numFmtId="192" fontId="0" fillId="24" borderId="0" xfId="0" applyNumberFormat="1" applyFill="1" applyAlignment="1">
      <alignment horizontal="center" vertical="center"/>
    </xf>
    <xf numFmtId="193" fontId="51" fillId="0" borderId="0" xfId="169" applyNumberFormat="1" applyFont="1" applyFill="1"/>
    <xf numFmtId="194" fontId="0" fillId="0" borderId="0" xfId="0" applyNumberFormat="1" applyAlignment="1">
      <alignment horizontal="center" vertical="center"/>
    </xf>
    <xf numFmtId="179" fontId="51" fillId="29" borderId="0" xfId="172" applyNumberFormat="1" applyFont="1" applyFill="1" applyAlignment="1">
      <alignment horizontal="right"/>
    </xf>
    <xf numFmtId="177" fontId="0" fillId="26" borderId="0" xfId="140" applyNumberFormat="1" applyFont="1" applyFill="1" applyAlignment="1">
      <alignment horizontal="center" vertical="center"/>
    </xf>
    <xf numFmtId="177" fontId="0" fillId="0" borderId="0" xfId="140" applyNumberFormat="1" applyFont="1" applyAlignment="1">
      <alignment horizontal="center" vertical="center"/>
    </xf>
    <xf numFmtId="0" fontId="40" fillId="0" borderId="4" xfId="0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left" vertical="center"/>
    </xf>
    <xf numFmtId="177" fontId="21" fillId="0" borderId="0" xfId="0" applyNumberFormat="1" applyFont="1" applyAlignment="1">
      <alignment vertical="center"/>
    </xf>
    <xf numFmtId="9" fontId="0" fillId="0" borderId="50" xfId="0" applyNumberFormat="1" applyBorder="1" applyAlignment="1">
      <alignment vertical="center"/>
    </xf>
    <xf numFmtId="9" fontId="0" fillId="0" borderId="51" xfId="0" applyNumberFormat="1" applyBorder="1" applyAlignment="1">
      <alignment vertical="center"/>
    </xf>
    <xf numFmtId="9" fontId="0" fillId="0" borderId="52" xfId="0" applyNumberFormat="1" applyBorder="1" applyAlignment="1">
      <alignment vertical="center"/>
    </xf>
    <xf numFmtId="183" fontId="0" fillId="0" borderId="0" xfId="172" applyNumberFormat="1" applyFont="1" applyAlignment="1">
      <alignment vertical="center"/>
    </xf>
    <xf numFmtId="1" fontId="0" fillId="0" borderId="0" xfId="172" applyNumberFormat="1" applyFont="1" applyAlignment="1">
      <alignment vertical="center"/>
    </xf>
    <xf numFmtId="177" fontId="0" fillId="0" borderId="0" xfId="140" applyNumberFormat="1" applyFont="1" applyAlignment="1">
      <alignment vertical="center"/>
    </xf>
    <xf numFmtId="1" fontId="0" fillId="0" borderId="0" xfId="140" applyNumberFormat="1" applyFont="1" applyAlignment="1">
      <alignment horizontal="center"/>
    </xf>
    <xf numFmtId="0" fontId="44" fillId="24" borderId="0" xfId="168" applyFont="1" applyFill="1" applyAlignment="1">
      <alignment horizontal="left" vertical="center"/>
    </xf>
    <xf numFmtId="0" fontId="21" fillId="24" borderId="0" xfId="168" applyFont="1" applyFill="1" applyAlignment="1">
      <alignment horizontal="left" vertical="center"/>
    </xf>
    <xf numFmtId="179" fontId="44" fillId="24" borderId="0" xfId="169" applyNumberFormat="1" applyFont="1" applyFill="1" applyAlignment="1">
      <alignment horizontal="left" vertical="center"/>
    </xf>
    <xf numFmtId="0" fontId="0" fillId="24" borderId="0" xfId="168" applyFont="1" applyFill="1" applyAlignment="1">
      <alignment horizontal="left" vertical="center"/>
    </xf>
    <xf numFmtId="3" fontId="0" fillId="0" borderId="0" xfId="168" applyNumberFormat="1" applyFont="1"/>
    <xf numFmtId="0" fontId="61" fillId="0" borderId="38" xfId="0" applyFont="1" applyFill="1" applyBorder="1" applyAlignment="1" applyProtection="1">
      <alignment horizontal="center" vertical="center"/>
      <protection locked="0"/>
    </xf>
    <xf numFmtId="0" fontId="61" fillId="0" borderId="39" xfId="0" applyFont="1" applyFill="1" applyBorder="1" applyAlignment="1" applyProtection="1">
      <alignment horizontal="center" vertical="center"/>
      <protection locked="0"/>
    </xf>
    <xf numFmtId="0" fontId="61" fillId="0" borderId="40" xfId="0" applyFont="1" applyFill="1" applyBorder="1" applyAlignment="1" applyProtection="1">
      <alignment horizontal="center" vertical="center"/>
      <protection locked="0"/>
    </xf>
    <xf numFmtId="0" fontId="61" fillId="0" borderId="38" xfId="0" applyFont="1" applyFill="1" applyBorder="1" applyAlignment="1" applyProtection="1">
      <alignment horizontal="left" vertical="center"/>
      <protection locked="0"/>
    </xf>
    <xf numFmtId="0" fontId="61" fillId="0" borderId="39" xfId="0" applyFont="1" applyFill="1" applyBorder="1" applyAlignment="1" applyProtection="1">
      <alignment horizontal="left" vertical="center"/>
      <protection locked="0"/>
    </xf>
    <xf numFmtId="0" fontId="61" fillId="0" borderId="40" xfId="0" applyFont="1" applyFill="1" applyBorder="1" applyAlignment="1" applyProtection="1">
      <alignment horizontal="left" vertical="center"/>
      <protection locked="0"/>
    </xf>
    <xf numFmtId="0" fontId="62" fillId="11" borderId="18" xfId="0" applyFont="1" applyFill="1" applyBorder="1" applyAlignment="1">
      <alignment horizontal="center" vertical="center"/>
    </xf>
    <xf numFmtId="3" fontId="40" fillId="11" borderId="0" xfId="0" applyNumberFormat="1" applyFont="1" applyFill="1" applyAlignment="1">
      <alignment horizontal="center" vertical="center"/>
    </xf>
    <xf numFmtId="0" fontId="81" fillId="8" borderId="0" xfId="0" applyFont="1" applyFill="1" applyAlignment="1">
      <alignment horizontal="center" vertical="top" wrapText="1"/>
    </xf>
    <xf numFmtId="0" fontId="68" fillId="8" borderId="0" xfId="0" applyFont="1" applyFill="1" applyAlignment="1">
      <alignment horizontal="center" vertical="top" wrapText="1"/>
    </xf>
    <xf numFmtId="0" fontId="67" fillId="8" borderId="38" xfId="0" applyFont="1" applyFill="1" applyBorder="1" applyAlignment="1">
      <alignment horizontal="center" vertical="center"/>
    </xf>
    <xf numFmtId="0" fontId="67" fillId="8" borderId="39" xfId="0" applyFont="1" applyFill="1" applyBorder="1" applyAlignment="1">
      <alignment horizontal="center" vertical="center"/>
    </xf>
    <xf numFmtId="0" fontId="67" fillId="8" borderId="40" xfId="0" applyFont="1" applyFill="1" applyBorder="1" applyAlignment="1">
      <alignment horizontal="center" vertical="center"/>
    </xf>
    <xf numFmtId="0" fontId="67" fillId="11" borderId="35" xfId="0" applyFont="1" applyFill="1" applyBorder="1" applyAlignment="1">
      <alignment horizontal="left" vertical="center" wrapText="1"/>
    </xf>
    <xf numFmtId="0" fontId="50" fillId="11" borderId="47" xfId="0" applyFont="1" applyFill="1" applyBorder="1" applyAlignment="1">
      <alignment horizontal="center" vertical="center"/>
    </xf>
    <xf numFmtId="0" fontId="67" fillId="8" borderId="38" xfId="0" applyFont="1" applyFill="1" applyBorder="1" applyAlignment="1">
      <alignment horizontal="left" vertical="center"/>
    </xf>
    <xf numFmtId="0" fontId="67" fillId="8" borderId="39" xfId="0" applyFont="1" applyFill="1" applyBorder="1" applyAlignment="1">
      <alignment horizontal="left" vertical="center"/>
    </xf>
    <xf numFmtId="0" fontId="67" fillId="8" borderId="40" xfId="0" applyFont="1" applyFill="1" applyBorder="1" applyAlignment="1">
      <alignment horizontal="left" vertical="center"/>
    </xf>
  </cellXfs>
  <cellStyles count="236">
    <cellStyle name="0" xfId="2"/>
    <cellStyle name="000" xfId="3"/>
    <cellStyle name="000 2" xfId="4"/>
    <cellStyle name="3_D" xfId="5"/>
    <cellStyle name="3_D 2" xfId="6"/>
    <cellStyle name="3_D_BTS_DTK" xfId="7"/>
    <cellStyle name="3_D_BTS_DTK 2" xfId="8"/>
    <cellStyle name="3_D_Tool" xfId="9"/>
    <cellStyle name="3_D_Tool 2" xfId="10"/>
    <cellStyle name="3_DNoColor" xfId="11"/>
    <cellStyle name="3_DNoColor 2" xfId="12"/>
    <cellStyle name="3_DNoColor_BTS_DTK" xfId="13"/>
    <cellStyle name="3_DNoColor_BTS_DTK 2" xfId="14"/>
    <cellStyle name="CellLock" xfId="15"/>
    <cellStyle name="CellLock 2" xfId="16"/>
    <cellStyle name="CellUnlock" xfId="17"/>
    <cellStyle name="CellUnlock 2" xfId="18"/>
    <cellStyle name="Column_Title" xfId="19"/>
    <cellStyle name="Comma" xfId="172" builtinId="3"/>
    <cellStyle name="Comma  - Style1" xfId="20"/>
    <cellStyle name="Comma  - Style2" xfId="21"/>
    <cellStyle name="Comma  - Style3" xfId="22"/>
    <cellStyle name="Comma  - Style4" xfId="23"/>
    <cellStyle name="Comma  - Style5" xfId="24"/>
    <cellStyle name="Comma  - Style6" xfId="25"/>
    <cellStyle name="Comma  - Style7" xfId="26"/>
    <cellStyle name="Comma  - Style8" xfId="27"/>
    <cellStyle name="Comma [0] 2" xfId="28"/>
    <cellStyle name="Comma [0] 2 2" xfId="143"/>
    <cellStyle name="Comma [0] 3" xfId="29"/>
    <cellStyle name="Comma [0] 3 2" xfId="30"/>
    <cellStyle name="Comma [0] 3 2 2" xfId="144"/>
    <cellStyle name="Comma [0] 3 3" xfId="145"/>
    <cellStyle name="Comma [0] 4" xfId="166"/>
    <cellStyle name="Comma [0] 5" xfId="170"/>
    <cellStyle name="Comma [0] 5 2" xfId="189"/>
    <cellStyle name="Comma [0] 5 2 2" xfId="217"/>
    <cellStyle name="Comma [0] 5 3" xfId="203"/>
    <cellStyle name="Comma [0] Centered" xfId="31"/>
    <cellStyle name="Comma [0] Centered 2" xfId="32"/>
    <cellStyle name="Comma 0" xfId="33"/>
    <cellStyle name="Comma 000" xfId="34"/>
    <cellStyle name="Comma 000,0" xfId="35"/>
    <cellStyle name="Comma 000,0 2" xfId="36"/>
    <cellStyle name="Comma 000,000" xfId="37"/>
    <cellStyle name="Comma 000,000 2" xfId="38"/>
    <cellStyle name="Comma 000_Toyota_Dealer_Sim.2004Jul28" xfId="39"/>
    <cellStyle name="Comma 1" xfId="40"/>
    <cellStyle name="Comma 10" xfId="169"/>
    <cellStyle name="Comma 10 2" xfId="188"/>
    <cellStyle name="Comma 10 2 2" xfId="216"/>
    <cellStyle name="Comma 10 3" xfId="202"/>
    <cellStyle name="Comma 2" xfId="41"/>
    <cellStyle name="Comma 2 2" xfId="146"/>
    <cellStyle name="Comma 22" xfId="174"/>
    <cellStyle name="Comma 3" xfId="42"/>
    <cellStyle name="Comma 3 2" xfId="43"/>
    <cellStyle name="Comma 3 2 2" xfId="147"/>
    <cellStyle name="Comma 3 3" xfId="148"/>
    <cellStyle name="Comma 4" xfId="44"/>
    <cellStyle name="Comma 4 2" xfId="45"/>
    <cellStyle name="Comma 4 2 2" xfId="149"/>
    <cellStyle name="Comma 4 3" xfId="150"/>
    <cellStyle name="Comma 5" xfId="46"/>
    <cellStyle name="Comma 5 2" xfId="47"/>
    <cellStyle name="Comma 5 2 2" xfId="151"/>
    <cellStyle name="Comma 5 3" xfId="152"/>
    <cellStyle name="Comma 6" xfId="48"/>
    <cellStyle name="Comma 6 2" xfId="49"/>
    <cellStyle name="Comma 6 2 2" xfId="153"/>
    <cellStyle name="Comma 6 3" xfId="154"/>
    <cellStyle name="Comma 7" xfId="50"/>
    <cellStyle name="Comma 7 2" xfId="155"/>
    <cellStyle name="Comma 8" xfId="51"/>
    <cellStyle name="Comma 8 2" xfId="156"/>
    <cellStyle name="Comma 8 2 2" xfId="181"/>
    <cellStyle name="Comma 8 2 2 2" xfId="209"/>
    <cellStyle name="Comma 8 2 3" xfId="195"/>
    <cellStyle name="Comma 8 3" xfId="178"/>
    <cellStyle name="Comma 8 3 2" xfId="206"/>
    <cellStyle name="Comma 8 4" xfId="192"/>
    <cellStyle name="Comma 9" xfId="165"/>
    <cellStyle name="Comma Centered" xfId="52"/>
    <cellStyle name="Comma Centered 2" xfId="53"/>
    <cellStyle name="Comma Centered 2 2" xfId="157"/>
    <cellStyle name="Comma Centered 3" xfId="158"/>
    <cellStyle name="Comma, Centered" xfId="54"/>
    <cellStyle name="Comma, No Dec" xfId="55"/>
    <cellStyle name="Comma, No Dec 2" xfId="56"/>
    <cellStyle name="Comma, No Dec No 0" xfId="57"/>
    <cellStyle name="Comma, Pos" xfId="58"/>
    <cellStyle name="Comma, Pos 2" xfId="59"/>
    <cellStyle name="Comma, Pos, No Dec" xfId="60"/>
    <cellStyle name="Comma, Pos, No Dec, No 0" xfId="61"/>
    <cellStyle name="Comma, Pos, No Dec, No 0 2" xfId="62"/>
    <cellStyle name="Comma, Pos, No Dec_BarclaysFeedbacks" xfId="63"/>
    <cellStyle name="Comma0" xfId="64"/>
    <cellStyle name="Comma0 - Style4" xfId="65"/>
    <cellStyle name="Comma000" xfId="66"/>
    <cellStyle name="Comma1 - Style1" xfId="67"/>
    <cellStyle name="ContentsHyperlink" xfId="68"/>
    <cellStyle name="Curren - Style2" xfId="69"/>
    <cellStyle name="Curren - Style5" xfId="70"/>
    <cellStyle name="Currency [0] (000)" xfId="71"/>
    <cellStyle name="Currency 2" xfId="72"/>
    <cellStyle name="Currency 2 2" xfId="73"/>
    <cellStyle name="Currency, No Dec" xfId="74"/>
    <cellStyle name="Currency, No Dec 2" xfId="75"/>
    <cellStyle name="Currency, Pos, 2 Dec" xfId="76"/>
    <cellStyle name="Currency, Pos, 2 Dec 2" xfId="77"/>
    <cellStyle name="Currency, Pos, No Dec" xfId="78"/>
    <cellStyle name="Currency, Pos, No Dec 2" xfId="79"/>
    <cellStyle name="Currency0" xfId="80"/>
    <cellStyle name="Date" xfId="81"/>
    <cellStyle name="DateTTM" xfId="82"/>
    <cellStyle name="DateTTM 2" xfId="83"/>
    <cellStyle name="Decision" xfId="84"/>
    <cellStyle name="Euro" xfId="85"/>
    <cellStyle name="Euro 2" xfId="86"/>
    <cellStyle name="Feedback000" xfId="87"/>
    <cellStyle name="Feedback000 2" xfId="88"/>
    <cellStyle name="Feedback000,000" xfId="89"/>
    <cellStyle name="Feedback000,000 2" xfId="90"/>
    <cellStyle name="Feedback000_Autodesk_SW_BAFeedbacks" xfId="91"/>
    <cellStyle name="Fixed" xfId="92"/>
    <cellStyle name="Fixed3 - Style3" xfId="93"/>
    <cellStyle name="Fraction (1)" xfId="94"/>
    <cellStyle name="Grey" xfId="95"/>
    <cellStyle name="Grey 2" xfId="96"/>
    <cellStyle name="Hyperlink" xfId="163" builtinId="8"/>
    <cellStyle name="Input [yellow]" xfId="97"/>
    <cellStyle name="Input [yellow] 2" xfId="98"/>
    <cellStyle name="InputBox" xfId="99"/>
    <cellStyle name="InputBox 2" xfId="100"/>
    <cellStyle name="no dec" xfId="101"/>
    <cellStyle name="Normal" xfId="0" builtinId="0"/>
    <cellStyle name="Normal - Style1" xfId="102"/>
    <cellStyle name="Normal 10" xfId="161"/>
    <cellStyle name="Normal 10 2" xfId="183"/>
    <cellStyle name="Normal 10 2 2" xfId="211"/>
    <cellStyle name="Normal 10 3" xfId="197"/>
    <cellStyle name="Normal 11" xfId="168"/>
    <cellStyle name="Normal 11 2" xfId="187"/>
    <cellStyle name="Normal 11 2 2" xfId="215"/>
    <cellStyle name="Normal 11 3" xfId="201"/>
    <cellStyle name="Normal 12" xfId="224"/>
    <cellStyle name="Normal 13" xfId="226"/>
    <cellStyle name="Normal 14" xfId="228"/>
    <cellStyle name="Normal 15" xfId="162"/>
    <cellStyle name="Normal 15 12" xfId="164"/>
    <cellStyle name="Normal 15 12 2" xfId="167"/>
    <cellStyle name="Normal 15 12 2 2" xfId="186"/>
    <cellStyle name="Normal 15 12 2 2 2" xfId="214"/>
    <cellStyle name="Normal 15 12 2 3" xfId="200"/>
    <cellStyle name="Normal 15 12 3" xfId="176"/>
    <cellStyle name="Normal 15 12 3 2" xfId="190"/>
    <cellStyle name="Normal 15 12 3 2 2" xfId="218"/>
    <cellStyle name="Normal 15 12 3 3" xfId="204"/>
    <cellStyle name="Normal 15 12 4" xfId="185"/>
    <cellStyle name="Normal 15 12 4 2" xfId="213"/>
    <cellStyle name="Normal 15 12 5" xfId="199"/>
    <cellStyle name="Normal 15 12 6" xfId="221"/>
    <cellStyle name="Normal 15 12 7" xfId="222"/>
    <cellStyle name="Normal 15 12 8" xfId="223"/>
    <cellStyle name="Normal 15 2" xfId="184"/>
    <cellStyle name="Normal 15 2 2" xfId="212"/>
    <cellStyle name="Normal 15 3" xfId="198"/>
    <cellStyle name="Normal 15 4" xfId="219"/>
    <cellStyle name="Normal 16" xfId="220"/>
    <cellStyle name="Normal 17" xfId="230"/>
    <cellStyle name="Normal 18" xfId="232"/>
    <cellStyle name="Normal 19" xfId="234"/>
    <cellStyle name="Normal 2" xfId="1"/>
    <cellStyle name="Normal 2 2" xfId="103"/>
    <cellStyle name="Normal 2 3" xfId="159"/>
    <cellStyle name="Normal 2 3 2" xfId="182"/>
    <cellStyle name="Normal 2 3 2 2" xfId="210"/>
    <cellStyle name="Normal 2 3 3" xfId="196"/>
    <cellStyle name="Normal 2 4" xfId="171"/>
    <cellStyle name="Normal 2 5" xfId="177"/>
    <cellStyle name="Normal 2 5 2" xfId="205"/>
    <cellStyle name="Normal 2 6" xfId="191"/>
    <cellStyle name="Normal 24" xfId="173"/>
    <cellStyle name="Normal 3" xfId="104"/>
    <cellStyle name="Normal 4" xfId="105"/>
    <cellStyle name="Normal 4 2" xfId="106"/>
    <cellStyle name="Normal 4 2 2" xfId="179"/>
    <cellStyle name="Normal 4 2 2 2" xfId="207"/>
    <cellStyle name="Normal 4 2 3" xfId="193"/>
    <cellStyle name="Normal 5" xfId="107"/>
    <cellStyle name="Normal 5 2" xfId="108"/>
    <cellStyle name="Normal 6" xfId="109"/>
    <cellStyle name="Normal 6 2" xfId="110"/>
    <cellStyle name="Normal 7" xfId="111"/>
    <cellStyle name="Normal 8" xfId="112"/>
    <cellStyle name="Normal 9" xfId="141"/>
    <cellStyle name="Normal 9 2" xfId="142"/>
    <cellStyle name="Normal 9 3" xfId="180"/>
    <cellStyle name="Normal 9 3 2" xfId="208"/>
    <cellStyle name="Normal 9 4" xfId="194"/>
    <cellStyle name="Number [0]" xfId="113"/>
    <cellStyle name="Percen - Style2" xfId="114"/>
    <cellStyle name="Percen - Style3" xfId="115"/>
    <cellStyle name="Percent" xfId="140" builtinId="5"/>
    <cellStyle name="Percent (1)" xfId="116"/>
    <cellStyle name="Percent (2)" xfId="117"/>
    <cellStyle name="Percent [2]" xfId="118"/>
    <cellStyle name="Percent 0" xfId="119"/>
    <cellStyle name="Percent 0 2" xfId="120"/>
    <cellStyle name="Percent 00" xfId="121"/>
    <cellStyle name="Percent 00 2" xfId="122"/>
    <cellStyle name="Percent 00 2 2" xfId="123"/>
    <cellStyle name="Percent 00 3" xfId="124"/>
    <cellStyle name="Percent 10" xfId="225"/>
    <cellStyle name="Percent 11" xfId="227"/>
    <cellStyle name="Percent 12" xfId="229"/>
    <cellStyle name="Percent 13" xfId="231"/>
    <cellStyle name="Percent 14" xfId="233"/>
    <cellStyle name="Percent 15" xfId="235"/>
    <cellStyle name="Percent 2" xfId="125"/>
    <cellStyle name="Percent 21" xfId="175"/>
    <cellStyle name="Percent 3" xfId="126"/>
    <cellStyle name="Percent 3 2" xfId="127"/>
    <cellStyle name="Percent 4" xfId="128"/>
    <cellStyle name="Percent 4 2" xfId="129"/>
    <cellStyle name="Percent 5" xfId="130"/>
    <cellStyle name="Percent 5 2" xfId="131"/>
    <cellStyle name="Percent 6" xfId="132"/>
    <cellStyle name="Percent 6 2" xfId="133"/>
    <cellStyle name="Percent 7" xfId="134"/>
    <cellStyle name="Percent 8" xfId="135"/>
    <cellStyle name="Percent 9" xfId="160"/>
    <cellStyle name="Percent, Pos" xfId="136"/>
    <cellStyle name="Percent, Pos 2" xfId="137"/>
    <cellStyle name="Percent, Pos, No 0" xfId="138"/>
    <cellStyle name="Percent, Pos, No 0 2" xfId="139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5959"/>
      <color rgb="FFFFC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Hypermarkets - Trade Terms Conditionality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OutCh2!$AJ$98</c:f>
              <c:strCache>
                <c:ptCount val="1"/>
                <c:pt idx="0">
                  <c:v>Conditional Trade Inv.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8A72-46C0-8BAA-DE530BD948C6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8A72-46C0-8BAA-DE530BD948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E3D1-4EC0-A923-1088FE85A5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OutCh2!$AK$98</c:f>
              <c:numCache>
                <c:formatCode>General</c:formatCode>
                <c:ptCount val="1"/>
                <c:pt idx="0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72-46C0-8BAA-DE530BD948C6}"/>
            </c:ext>
          </c:extLst>
        </c:ser>
        <c:ser>
          <c:idx val="1"/>
          <c:order val="1"/>
          <c:tx>
            <c:strRef>
              <c:f>OutCh2!$AJ$99</c:f>
              <c:strCache>
                <c:ptCount val="1"/>
                <c:pt idx="0">
                  <c:v>Un-conditional Trade Inv.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72-46C0-8BAA-DE530BD948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OutCh2!$AK$99</c:f>
              <c:numCache>
                <c:formatCode>General</c:formatCode>
                <c:ptCount val="1"/>
                <c:pt idx="0">
                  <c:v>1019999.9999999999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72-46C0-8BAA-DE530BD94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8265472"/>
        <c:axId val="198263936"/>
      </c:barChart>
      <c:valAx>
        <c:axId val="19826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265472"/>
        <c:crosses val="autoZero"/>
        <c:crossBetween val="between"/>
        <c:majorUnit val="5000000"/>
      </c:valAx>
      <c:catAx>
        <c:axId val="198265472"/>
        <c:scaling>
          <c:orientation val="minMax"/>
        </c:scaling>
        <c:delete val="1"/>
        <c:axPos val="l"/>
        <c:majorTickMark val="out"/>
        <c:minorTickMark val="none"/>
        <c:tickLblPos val="nextTo"/>
        <c:crossAx val="19826393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852994833044977E-2"/>
          <c:y val="4.3478260869565216E-2"/>
          <c:w val="0.90519932205783693"/>
          <c:h val="0.798087555631632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OutCh2!$AG$105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01-47F5-9E10-194D0DAED723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01-47F5-9E10-194D0DAED723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01-47F5-9E10-194D0DAED723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01-47F5-9E10-194D0DAED723}"/>
              </c:ext>
            </c:extLst>
          </c:dPt>
          <c:cat>
            <c:strRef>
              <c:f>OutCh2!$AG$98:$AG$103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OutCh2!$AG$106:$AG$111</c:f>
              <c:numCache>
                <c:formatCode>0.00</c:formatCode>
                <c:ptCount val="6"/>
                <c:pt idx="0">
                  <c:v>2.4553952820609206</c:v>
                </c:pt>
                <c:pt idx="1">
                  <c:v>-2.4500000000000002</c:v>
                </c:pt>
                <c:pt idx="2">
                  <c:v>-2.4500000000000002</c:v>
                </c:pt>
                <c:pt idx="3">
                  <c:v>-2.4500000000000002</c:v>
                </c:pt>
                <c:pt idx="4">
                  <c:v>-2.4564749227292939</c:v>
                </c:pt>
                <c:pt idx="5">
                  <c:v>2.4553952820609206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01-47F5-9E10-194D0DAED723}"/>
            </c:ext>
          </c:extLst>
        </c:ser>
        <c:ser>
          <c:idx val="1"/>
          <c:order val="1"/>
          <c:tx>
            <c:strRef>
              <c:f>OutCh2!$AG$113</c:f>
              <c:strCache>
                <c:ptCount val="1"/>
                <c:pt idx="0">
                  <c:v>GPaL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301-47F5-9E10-194D0DAED72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301-47F5-9E10-194D0DAED723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301-47F5-9E10-194D0DAED723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301-47F5-9E10-194D0DAED723}"/>
              </c:ext>
            </c:extLst>
          </c:dPt>
          <c:cat>
            <c:strRef>
              <c:f>OutCh2!$AG$98:$AG$103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OutCh2!$AG$114:$AG$119</c:f>
              <c:numCache>
                <c:formatCode>#,##0.00</c:formatCode>
                <c:ptCount val="6"/>
                <c:pt idx="0">
                  <c:v>-2.4553952820609206</c:v>
                </c:pt>
                <c:pt idx="1">
                  <c:v>2.4500000000000002</c:v>
                </c:pt>
                <c:pt idx="2">
                  <c:v>0</c:v>
                </c:pt>
                <c:pt idx="3">
                  <c:v>0</c:v>
                </c:pt>
                <c:pt idx="4">
                  <c:v>6.4749227292938806E-3</c:v>
                </c:pt>
                <c:pt idx="5">
                  <c:v>-4.9118702047902145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301-47F5-9E10-194D0DAED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199330432"/>
        <c:axId val="199332224"/>
      </c:barChart>
      <c:catAx>
        <c:axId val="19933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32224"/>
        <c:crosses val="autoZero"/>
        <c:auto val="1"/>
        <c:lblAlgn val="ctr"/>
        <c:lblOffset val="100"/>
        <c:noMultiLvlLbl val="0"/>
      </c:catAx>
      <c:valAx>
        <c:axId val="19933222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3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434883419841579"/>
          <c:y val="0.94772766175967138"/>
          <c:w val="0.15130233160316844"/>
          <c:h val="5.2272338240328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OutComp!$L$144</c:f>
          <c:strCache>
            <c:ptCount val="1"/>
            <c:pt idx="0">
              <c:v>MTU Allocation</c:v>
            </c:pt>
          </c:strCache>
        </c:strRef>
      </c:tx>
      <c:overlay val="0"/>
    </c:title>
    <c:autoTitleDeleted val="0"/>
    <c:plotArea>
      <c:layout/>
      <c:doughnutChart>
        <c:varyColors val="1"/>
        <c:ser>
          <c:idx val="0"/>
          <c:order val="0"/>
          <c:cat>
            <c:strRef>
              <c:f>OutComp!$L$145:$L$152</c:f>
              <c:strCache>
                <c:ptCount val="8"/>
                <c:pt idx="0">
                  <c:v>Pack Innovation</c:v>
                </c:pt>
                <c:pt idx="1">
                  <c:v>Promotions</c:v>
                </c:pt>
                <c:pt idx="2">
                  <c:v>Trade Marketing</c:v>
                </c:pt>
                <c:pt idx="3">
                  <c:v>Strategic Initiatives</c:v>
                </c:pt>
                <c:pt idx="4">
                  <c:v>Value Drivers</c:v>
                </c:pt>
                <c:pt idx="5">
                  <c:v>New Slots</c:v>
                </c:pt>
                <c:pt idx="6">
                  <c:v>Market Research</c:v>
                </c:pt>
                <c:pt idx="7">
                  <c:v>Available</c:v>
                </c:pt>
              </c:strCache>
            </c:strRef>
          </c:cat>
          <c:val>
            <c:numRef>
              <c:f>OutComp!$M$145:$M$152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0-4B48-A807-3C96145E1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OutCh1!$AG$107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7C-4955-A77C-38971C726536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7C-4955-A77C-38971C726536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B7C-4955-A77C-38971C726536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7C-4955-A77C-38971C726536}"/>
              </c:ext>
            </c:extLst>
          </c:dPt>
          <c:cat>
            <c:strRef>
              <c:f>OutCh1!$AG$100:$AG$105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OutCh1!$AG$108:$AG$114</c:f>
              <c:numCache>
                <c:formatCode>_(* #,##0_);_(* \(#,##0\);_(* "-"??_);_(@_)</c:formatCode>
                <c:ptCount val="7"/>
                <c:pt idx="0">
                  <c:v>143929.33124725931</c:v>
                </c:pt>
                <c:pt idx="1">
                  <c:v>92060996.773801118</c:v>
                </c:pt>
                <c:pt idx="2">
                  <c:v>66917113.428848721</c:v>
                </c:pt>
                <c:pt idx="3">
                  <c:v>92060996.773801118</c:v>
                </c:pt>
                <c:pt idx="4">
                  <c:v>89558403.187303737</c:v>
                </c:pt>
                <c:pt idx="6">
                  <c:v>143929.33124725931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7C-4955-A77C-38971C726536}"/>
            </c:ext>
          </c:extLst>
        </c:ser>
        <c:ser>
          <c:idx val="1"/>
          <c:order val="1"/>
          <c:tx>
            <c:strRef>
              <c:f>OutCh1!$AG$116</c:f>
              <c:strCache>
                <c:ptCount val="1"/>
                <c:pt idx="0">
                  <c:v>GPaL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B7C-4955-A77C-38971C72653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B7C-4955-A77C-38971C726536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B7C-4955-A77C-38971C72653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B7C-4955-A77C-38971C726536}"/>
              </c:ext>
            </c:extLst>
          </c:dPt>
          <c:cat>
            <c:strRef>
              <c:f>OutCh1!$AG$100:$AG$105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OutCh1!$AG$117:$AG$123</c:f>
              <c:numCache>
                <c:formatCode>_(* #,##0_);_(* \(#,##0\);_(* "-"??_);_(@_)</c:formatCode>
                <c:ptCount val="7"/>
                <c:pt idx="0">
                  <c:v>91917067.442553863</c:v>
                </c:pt>
                <c:pt idx="1">
                  <c:v>174356.70783294592</c:v>
                </c:pt>
                <c:pt idx="2">
                  <c:v>25143883.344952397</c:v>
                </c:pt>
                <c:pt idx="3">
                  <c:v>0</c:v>
                </c:pt>
                <c:pt idx="4">
                  <c:v>2502593.5864973851</c:v>
                </c:pt>
                <c:pt idx="6">
                  <c:v>64444947.218937032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7C-4955-A77C-38971C726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221655040"/>
        <c:axId val="221656576"/>
      </c:barChart>
      <c:catAx>
        <c:axId val="22165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656576"/>
        <c:crosses val="autoZero"/>
        <c:auto val="1"/>
        <c:lblAlgn val="ctr"/>
        <c:lblOffset val="100"/>
        <c:noMultiLvlLbl val="0"/>
      </c:catAx>
      <c:valAx>
        <c:axId val="221656576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65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OutCh1!$AK$99</c:f>
          <c:strCache>
            <c:ptCount val="1"/>
            <c:pt idx="0">
              <c:v>Hypermarkets - Trade Terms Conditionality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OutCh1!$AJ$100</c:f>
              <c:strCache>
                <c:ptCount val="1"/>
                <c:pt idx="0">
                  <c:v>Conditional Trade Inv.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7FC-4748-B3C6-E8FED18BE03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7FC-4748-B3C6-E8FED18BE03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5BB-4095-B072-24F035B8A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OutCh1!$AK$100</c:f>
              <c:numCache>
                <c:formatCode>General</c:formatCode>
                <c:ptCount val="1"/>
                <c:pt idx="0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FC-4748-B3C6-E8FED18BE035}"/>
            </c:ext>
          </c:extLst>
        </c:ser>
        <c:ser>
          <c:idx val="1"/>
          <c:order val="1"/>
          <c:tx>
            <c:strRef>
              <c:f>OutCh1!$AJ$101</c:f>
              <c:strCache>
                <c:ptCount val="1"/>
                <c:pt idx="0">
                  <c:v>Un-conditional Trade Inv.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FC-4748-B3C6-E8FED18BE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OutCh1!$AK$101</c:f>
              <c:numCache>
                <c:formatCode>General</c:formatCode>
                <c:ptCount val="1"/>
                <c:pt idx="0">
                  <c:v>1019999.9999999999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C-4748-B3C6-E8FED18BE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21696384"/>
        <c:axId val="221678208"/>
      </c:barChart>
      <c:valAx>
        <c:axId val="22167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1696384"/>
        <c:crosses val="autoZero"/>
        <c:crossBetween val="between"/>
        <c:majorUnit val="5000000"/>
      </c:valAx>
      <c:catAx>
        <c:axId val="221696384"/>
        <c:scaling>
          <c:orientation val="minMax"/>
        </c:scaling>
        <c:delete val="1"/>
        <c:axPos val="l"/>
        <c:majorTickMark val="out"/>
        <c:minorTickMark val="none"/>
        <c:tickLblPos val="nextTo"/>
        <c:crossAx val="22167820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OutCh1!$AO$99</c:f>
          <c:strCache>
            <c:ptCount val="1"/>
            <c:pt idx="0">
              <c:v>GPal per Brand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OutCh1!$AN$103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OutCh1!$AO$101:$AR$101</c:f>
              <c:strCache>
                <c:ptCount val="4"/>
                <c:pt idx="0">
                  <c:v>Harken</c:v>
                </c:pt>
                <c:pt idx="1">
                  <c:v>Kara</c:v>
                </c:pt>
                <c:pt idx="2">
                  <c:v>Greenborg</c:v>
                </c:pt>
                <c:pt idx="3">
                  <c:v>Brew Master</c:v>
                </c:pt>
              </c:strCache>
            </c:strRef>
          </c:cat>
          <c:val>
            <c:numRef>
              <c:f>OutCh1!$AO$103:$AR$103</c:f>
              <c:numCache>
                <c:formatCode>#,##0</c:formatCode>
                <c:ptCount val="4"/>
                <c:pt idx="0">
                  <c:v>393979371.74504936</c:v>
                </c:pt>
                <c:pt idx="1">
                  <c:v>267690685.55656877</c:v>
                </c:pt>
                <c:pt idx="2">
                  <c:v>128940137.73546477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2-4BF2-A738-9DF0FC850E2B}"/>
            </c:ext>
          </c:extLst>
        </c:ser>
        <c:ser>
          <c:idx val="2"/>
          <c:order val="1"/>
          <c:tx>
            <c:strRef>
              <c:f>OutCh1!$AN$105</c:f>
              <c:strCache>
                <c:ptCount val="1"/>
                <c:pt idx="0">
                  <c:v>Logistics</c:v>
                </c:pt>
              </c:strCache>
            </c:strRef>
          </c:tx>
          <c:invertIfNegative val="0"/>
          <c:cat>
            <c:strRef>
              <c:f>OutCh1!$AO$101:$AR$101</c:f>
              <c:strCache>
                <c:ptCount val="4"/>
                <c:pt idx="0">
                  <c:v>Harken</c:v>
                </c:pt>
                <c:pt idx="1">
                  <c:v>Kara</c:v>
                </c:pt>
                <c:pt idx="2">
                  <c:v>Greenborg</c:v>
                </c:pt>
                <c:pt idx="3">
                  <c:v>Brew Master</c:v>
                </c:pt>
              </c:strCache>
            </c:strRef>
          </c:cat>
          <c:val>
            <c:numRef>
              <c:f>OutCh1!$AO$105:$AR$105</c:f>
              <c:numCache>
                <c:formatCode>#,##0</c:formatCode>
                <c:ptCount val="4"/>
                <c:pt idx="0">
                  <c:v>48586725.178408429</c:v>
                </c:pt>
                <c:pt idx="1">
                  <c:v>33101927.707755789</c:v>
                </c:pt>
                <c:pt idx="2">
                  <c:v>14989193.511794528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A2-4BF2-A738-9DF0FC850E2B}"/>
            </c:ext>
          </c:extLst>
        </c:ser>
        <c:ser>
          <c:idx val="1"/>
          <c:order val="2"/>
          <c:tx>
            <c:strRef>
              <c:f>OutCh1!$AN$107</c:f>
              <c:strCache>
                <c:ptCount val="1"/>
                <c:pt idx="0">
                  <c:v>GPAL</c:v>
                </c:pt>
              </c:strCache>
            </c:strRef>
          </c:tx>
          <c:invertIfNegative val="0"/>
          <c:cat>
            <c:strRef>
              <c:f>OutCh1!$AO$101:$AR$101</c:f>
              <c:strCache>
                <c:ptCount val="4"/>
                <c:pt idx="0">
                  <c:v>Harken</c:v>
                </c:pt>
                <c:pt idx="1">
                  <c:v>Kara</c:v>
                </c:pt>
                <c:pt idx="2">
                  <c:v>Greenborg</c:v>
                </c:pt>
                <c:pt idx="3">
                  <c:v>Brew Master</c:v>
                </c:pt>
              </c:strCache>
            </c:strRef>
          </c:cat>
          <c:val>
            <c:numRef>
              <c:f>OutCh1!$AO$107:$AR$107</c:f>
              <c:numCache>
                <c:formatCode>#,##0</c:formatCode>
                <c:ptCount val="4"/>
                <c:pt idx="0">
                  <c:v>382863319.23267251</c:v>
                </c:pt>
                <c:pt idx="1">
                  <c:v>267602458.37263262</c:v>
                </c:pt>
                <c:pt idx="2">
                  <c:v>64444947.218937032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A2-4BF2-A738-9DF0FC850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998080"/>
        <c:axId val="221999872"/>
      </c:barChart>
      <c:catAx>
        <c:axId val="2219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1999872"/>
        <c:crosses val="autoZero"/>
        <c:auto val="1"/>
        <c:lblAlgn val="ctr"/>
        <c:lblOffset val="100"/>
        <c:noMultiLvlLbl val="0"/>
      </c:catAx>
      <c:valAx>
        <c:axId val="22199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(000s)</a:t>
                </a:r>
              </a:p>
            </c:rich>
          </c:tx>
          <c:overlay val="0"/>
        </c:title>
        <c:numFmt formatCode="#,##0,_);\ \(#,##0,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19980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Assortment - GPaL ROS vs WD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OutCh1!$AG$152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{E62F9E8A-1E4A-4DD8-8CB8-D6B0139E263E}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6A-46B2-BC99-E0577CE04F94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{7FA1EB31-8257-42A6-8BC3-AA4BC1614DFF}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6A-46B2-BC99-E0577CE04F9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OutCh1!$AG$172:$AG$174</c:f>
              <c:strCache>
                <c:ptCount val="2"/>
                <c:pt idx="0">
                  <c:v>74%</c:v>
                </c:pt>
                <c:pt idx="1">
                  <c:v>84%</c:v>
                </c:pt>
              </c:strCache>
            </c:strRef>
          </c:xVal>
          <c:yVal>
            <c:numRef>
              <c:f>OutCh1!$AG$187:$AG$189</c:f>
              <c:numCache>
                <c:formatCode>_(* #,##0_);_(* \(#,##0\);_(* "-"??_);_(@_)</c:formatCode>
                <c:ptCount val="3"/>
                <c:pt idx="0">
                  <c:v>279366730.97314632</c:v>
                </c:pt>
                <c:pt idx="1">
                  <c:v>218386869.64650309</c:v>
                </c:pt>
                <c:pt idx="2">
                  <c:v>0</c:v>
                </c:pt>
              </c:numCache>
            </c:numRef>
          </c:yVal>
          <c:bubbleSize>
            <c:numRef>
              <c:f>OutCh1!$AG$201:$AG$203</c:f>
              <c:numCache>
                <c:formatCode>_(* #,##0_);_(* \(#,##0\);_(* "-"??_);_(@_)</c:formatCode>
                <c:ptCount val="3"/>
                <c:pt idx="0">
                  <c:v>78519084.938043952</c:v>
                </c:pt>
                <c:pt idx="1">
                  <c:v>100177518.30857961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696A-46B2-BC99-E0577CE04F94}"/>
            </c:ext>
          </c:extLst>
        </c:ser>
        <c:ser>
          <c:idx val="1"/>
          <c:order val="1"/>
          <c:tx>
            <c:strRef>
              <c:f>OutCh1!$AG$153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{73EA3BF4-9B51-45B3-BC04-648A09A43B05}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6A-46B2-BC99-E0577CE04F94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{BCAC2542-33C6-463B-8FC2-534A49A0D8F8}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6A-46B2-BC99-E0577CE04F9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OutCh1!$AG$175:$AG$177</c:f>
              <c:strCache>
                <c:ptCount val="2"/>
                <c:pt idx="0">
                  <c:v>64%</c:v>
                </c:pt>
                <c:pt idx="1">
                  <c:v>84%</c:v>
                </c:pt>
              </c:strCache>
            </c:strRef>
          </c:xVal>
          <c:yVal>
            <c:numRef>
              <c:f>OutCh1!$AG$190:$AG$192</c:f>
              <c:numCache>
                <c:formatCode>_(* #,##0_);_(* \(#,##0\);_(* "-"??_);_(@_)</c:formatCode>
                <c:ptCount val="3"/>
                <c:pt idx="0">
                  <c:v>151068283.38569051</c:v>
                </c:pt>
                <c:pt idx="1">
                  <c:v>232852528.48019093</c:v>
                </c:pt>
                <c:pt idx="2">
                  <c:v>0</c:v>
                </c:pt>
              </c:numCache>
            </c:numRef>
          </c:yVal>
          <c:bubbleSize>
            <c:numRef>
              <c:f>OutCh1!$AG$204:$AG$206</c:f>
              <c:numCache>
                <c:formatCode>_(* #,##0_);_(* \(#,##0\);_(* "-"??_);_(@_)</c:formatCode>
                <c:ptCount val="3"/>
                <c:pt idx="0">
                  <c:v>45342586.041080847</c:v>
                </c:pt>
                <c:pt idx="1">
                  <c:v>77943237.25288707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696A-46B2-BC99-E0577CE04F94}"/>
            </c:ext>
          </c:extLst>
        </c:ser>
        <c:ser>
          <c:idx val="2"/>
          <c:order val="2"/>
          <c:tx>
            <c:strRef>
              <c:f>OutCh1!$AG$154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{9CDC0A38-C170-417C-B14A-E1DC2EB7BFB7}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6A-46B2-BC99-E0577CE04F9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OutCh1!$AG$178:$AG$180</c:f>
              <c:strCache>
                <c:ptCount val="1"/>
                <c:pt idx="0">
                  <c:v>74%</c:v>
                </c:pt>
              </c:strCache>
            </c:strRef>
          </c:xVal>
          <c:yVal>
            <c:numRef>
              <c:f>OutCh1!$AG$193:$AG$195</c:f>
              <c:numCache>
                <c:formatCode>_(* #,##0_);_(* \(#,##0\);_(* "-"??_);_(@_)</c:formatCode>
                <c:ptCount val="3"/>
                <c:pt idx="0">
                  <c:v>124452509.10984084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OutCh1!$AG$207:$AG$209</c:f>
              <c:numCache>
                <c:formatCode>_(* #,##0_);_(* \(#,##0\);_(* "-"??_);_(@_)</c:formatCode>
                <c:ptCount val="3"/>
                <c:pt idx="0">
                  <c:v>57888456.11718937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696A-46B2-BC99-E0577CE04F94}"/>
            </c:ext>
          </c:extLst>
        </c:ser>
        <c:ser>
          <c:idx val="3"/>
          <c:order val="3"/>
          <c:tx>
            <c:strRef>
              <c:f>OutCh1!$AG$155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{CBCF8BD2-452F-405C-8626-6F58BDA60F5A}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96A-46B2-BC99-E0577CE04F94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OutCh1!$AG$181:$AG$183</c:f>
            </c:numRef>
          </c:xVal>
          <c:yVal>
            <c:numRef>
              <c:f>OutCh1!$AG$196:$AG$198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OutCh1!$AG$210:$AG$212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696A-46B2-BC99-E0577CE04F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21821952"/>
        <c:axId val="221848704"/>
      </c:bubbleChart>
      <c:valAx>
        <c:axId val="221821952"/>
        <c:scaling>
          <c:orientation val="minMax"/>
        </c:scaling>
        <c:delete val="0"/>
        <c:axPos val="b"/>
        <c:title>
          <c:tx>
            <c:strRef>
              <c:f>OutCh1!$AE$170</c:f>
              <c:strCache>
                <c:ptCount val="1"/>
                <c:pt idx="0">
                  <c:v>Weighted Distribution</c:v>
                </c:pt>
              </c:strCache>
            </c:strRef>
          </c:tx>
          <c:overlay val="0"/>
        </c:title>
        <c:numFmt formatCode="0%" sourceLinked="1"/>
        <c:majorTickMark val="out"/>
        <c:minorTickMark val="none"/>
        <c:tickLblPos val="nextTo"/>
        <c:crossAx val="221848704"/>
        <c:crosses val="autoZero"/>
        <c:crossBetween val="midCat"/>
      </c:valAx>
      <c:valAx>
        <c:axId val="221848704"/>
        <c:scaling>
          <c:orientation val="minMax"/>
        </c:scaling>
        <c:delete val="0"/>
        <c:axPos val="l"/>
        <c:title>
          <c:tx>
            <c:strRef>
              <c:f>OutCh1!$AE$185</c:f>
              <c:strCache>
                <c:ptCount val="1"/>
                <c:pt idx="0">
                  <c:v>GPaL ROS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218219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{BB5A9AAF-71DB-42FF-A2D5-F6B57B780A5C}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5D7-4493-ACE6-0C77E16969E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{12BE0337-E04C-46EF-8C3D-2F5AAA43B0D1}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5D7-4493-ACE6-0C77E16969E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OutCh1!$AK$172:$AK$174</c:f>
              <c:strCache>
                <c:ptCount val="3"/>
                <c:pt idx="0">
                  <c:v> 78,519,085 </c:v>
                </c:pt>
                <c:pt idx="1">
                  <c:v> 100,177,518 </c:v>
                </c:pt>
                <c:pt idx="2">
                  <c:v>  </c:v>
                </c:pt>
              </c:strCache>
            </c:strRef>
          </c:xVal>
          <c:yVal>
            <c:numRef>
              <c:f>OutCh1!$AK$187:$AK$189</c:f>
              <c:numCache>
                <c:formatCode>0%</c:formatCode>
                <c:ptCount val="3"/>
                <c:pt idx="0">
                  <c:v>1.7813492619307384E-3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OutCh1!$AK$201:$AK$203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C5D7-4493-ACE6-0C77E16969E5}"/>
            </c:ext>
          </c:extLst>
        </c:ser>
        <c:ser>
          <c:idx val="1"/>
          <c:order val="1"/>
          <c:tx>
            <c:strRef>
              <c:f>OutCh1!$AK$153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{5A2641B8-9ED5-4F28-B88D-CA62DF788412}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5D7-4493-ACE6-0C77E16969E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{15161850-D694-43ED-8AAB-B6A8449B82C3}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5D7-4493-ACE6-0C77E16969E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OutCh1!$AK$175:$AK$177</c:f>
              <c:strCache>
                <c:ptCount val="3"/>
                <c:pt idx="0">
                  <c:v> 45,342,586 </c:v>
                </c:pt>
                <c:pt idx="1">
                  <c:v> 45,342,586 </c:v>
                </c:pt>
                <c:pt idx="2">
                  <c:v>  </c:v>
                </c:pt>
              </c:strCache>
            </c:strRef>
          </c:xVal>
          <c:yVal>
            <c:numRef>
              <c:f>OutCh1!$AK$190:$AK$192</c:f>
              <c:numCache>
                <c:formatCode>0%</c:formatCode>
                <c:ptCount val="3"/>
                <c:pt idx="0">
                  <c:v>2.7801644047954936E-2</c:v>
                </c:pt>
                <c:pt idx="1">
                  <c:v>-1.7733871827587438E-2</c:v>
                </c:pt>
                <c:pt idx="2">
                  <c:v>0</c:v>
                </c:pt>
              </c:numCache>
            </c:numRef>
          </c:yVal>
          <c:bubbleSize>
            <c:numRef>
              <c:f>OutCh1!$AK$204:$AK$206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C5D7-4493-ACE6-0C77E16969E5}"/>
            </c:ext>
          </c:extLst>
        </c:ser>
        <c:ser>
          <c:idx val="2"/>
          <c:order val="2"/>
          <c:tx>
            <c:strRef>
              <c:f>OutCh1!$AK$154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{263CC3BE-B69C-44F5-AFE7-3EF1CB7B6704}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5D7-4493-ACE6-0C77E16969E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OutCh1!$AK$178:$AK$180</c:f>
              <c:strCache>
                <c:ptCount val="3"/>
                <c:pt idx="0">
                  <c:v> 57,888,456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OutCh1!$AK$193:$AK$195</c:f>
              <c:numCache>
                <c:formatCode>0%</c:formatCode>
                <c:ptCount val="3"/>
                <c:pt idx="0">
                  <c:v>-1.1228798131081418E-2</c:v>
                </c:pt>
                <c:pt idx="1">
                  <c:v>-8.206802166717391E-4</c:v>
                </c:pt>
                <c:pt idx="2">
                  <c:v>0</c:v>
                </c:pt>
              </c:numCache>
            </c:numRef>
          </c:yVal>
          <c:bubbleSize>
            <c:numRef>
              <c:f>OutCh1!$AK$207:$AK$209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C5D7-4493-ACE6-0C77E16969E5}"/>
            </c:ext>
          </c:extLst>
        </c:ser>
        <c:ser>
          <c:idx val="3"/>
          <c:order val="3"/>
          <c:tx>
            <c:strRef>
              <c:f>OutCh1!$AK$155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{E8194FF0-4BBE-466C-B46B-6B813D08A7F2}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5D7-4493-ACE6-0C77E16969E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OutCh1!$AK$181:$AK$183</c:f>
              <c:strCache>
                <c:ptCount val="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OutCh1!$AK$196:$AK$198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OutCh1!$AK$210:$AK$212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C5D7-4493-ACE6-0C77E16969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1910912"/>
        <c:axId val="221925376"/>
      </c:bubbleChart>
      <c:valAx>
        <c:axId val="221910912"/>
        <c:scaling>
          <c:orientation val="minMax"/>
        </c:scaling>
        <c:delete val="0"/>
        <c:axPos val="b"/>
        <c:title>
          <c:tx>
            <c:strRef>
              <c:f>OutCh1!$AK$171</c:f>
              <c:strCache>
                <c:ptCount val="1"/>
                <c:pt idx="0">
                  <c:v>Volume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1925376"/>
        <c:crossesAt val="0"/>
        <c:crossBetween val="midCat"/>
      </c:valAx>
      <c:valAx>
        <c:axId val="221925376"/>
        <c:scaling>
          <c:orientation val="minMax"/>
        </c:scaling>
        <c:delete val="0"/>
        <c:axPos val="l"/>
        <c:title>
          <c:tx>
            <c:strRef>
              <c:f>OutCh1!$AK$186</c:f>
              <c:strCache>
                <c:ptCount val="1"/>
                <c:pt idx="0">
                  <c:v>Price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19109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OutCh1!$AK$252</c:f>
          <c:strCache>
            <c:ptCount val="1"/>
            <c:pt idx="0">
              <c:v>Customer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{6682CACB-C6BB-4C1B-B7BF-C08CF071BEB0}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B25-4D99-921D-9DB2193C1C9E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{F4F570AE-F38A-4D30-87F7-5AFE88871B67}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B25-4D99-921D-9DB2193C1C9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OutCh1!$AK$286:$AK$288</c:f>
              <c:strCache>
                <c:ptCount val="3"/>
                <c:pt idx="0">
                  <c:v>264%</c:v>
                </c:pt>
                <c:pt idx="2">
                  <c:v>237%</c:v>
                </c:pt>
              </c:strCache>
            </c:strRef>
          </c:xVal>
          <c:yVal>
            <c:numRef>
              <c:f>OutCh1!$AK$313:$AK$315</c:f>
              <c:numCache>
                <c:formatCode>0%</c:formatCode>
                <c:ptCount val="3"/>
                <c:pt idx="0">
                  <c:v>-0.14098737255889571</c:v>
                </c:pt>
                <c:pt idx="1">
                  <c:v>0</c:v>
                </c:pt>
                <c:pt idx="2">
                  <c:v>0.86916192449351448</c:v>
                </c:pt>
              </c:numCache>
            </c:numRef>
          </c:yVal>
          <c:bubbleSize>
            <c:numRef>
              <c:f>OutCh1!$AK$339:$AK$341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5B25-4D99-921D-9DB2193C1C9E}"/>
            </c:ext>
          </c:extLst>
        </c:ser>
        <c:ser>
          <c:idx val="1"/>
          <c:order val="1"/>
          <c:tx>
            <c:strRef>
              <c:f>OutCh1!$AK$255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{C757F2AB-83C4-45E2-8639-DA640D87A714}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B25-4D99-921D-9DB2193C1C9E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{635701A8-0E45-4568-A863-41182ECBC760}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B25-4D99-921D-9DB2193C1C9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OutCh1!$AK$289:$AK$291</c:f>
              <c:strCache>
                <c:ptCount val="1"/>
                <c:pt idx="0">
                  <c:v>666%</c:v>
                </c:pt>
              </c:strCache>
            </c:strRef>
          </c:xVal>
          <c:yVal>
            <c:numRef>
              <c:f>OutCh1!$AK$316:$AK$318</c:f>
              <c:numCache>
                <c:formatCode>0%</c:formatCode>
                <c:ptCount val="3"/>
                <c:pt idx="0">
                  <c:v>0.10172524953793083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OutCh1!$AK$342:$AK$344</c:f>
              <c:numCache>
                <c:formatCode>_(* #,##0_);_(* \(#,##0\);_(* "-"??_);_(@_)</c:formatCode>
                <c:ptCount val="3"/>
                <c:pt idx="0">
                  <c:v>27729014.702287521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5B25-4D99-921D-9DB2193C1C9E}"/>
            </c:ext>
          </c:extLst>
        </c:ser>
        <c:ser>
          <c:idx val="2"/>
          <c:order val="2"/>
          <c:tx>
            <c:strRef>
              <c:f>OutCh1!$AK$256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{5324AD09-7D3F-46C6-8EA7-F4345F288138}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B25-4D99-921D-9DB2193C1C9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OutCh1!$AK$292:$AK$294</c:f>
              <c:strCache>
                <c:ptCount val="3"/>
                <c:pt idx="0">
                  <c:v>267%</c:v>
                </c:pt>
                <c:pt idx="2">
                  <c:v>138%</c:v>
                </c:pt>
              </c:strCache>
            </c:strRef>
          </c:xVal>
          <c:yVal>
            <c:numRef>
              <c:f>OutCh1!$AK$319:$AK$321</c:f>
              <c:numCache>
                <c:formatCode>0%</c:formatCode>
                <c:ptCount val="3"/>
                <c:pt idx="0">
                  <c:v>-0.82936375358740888</c:v>
                </c:pt>
                <c:pt idx="1">
                  <c:v>0</c:v>
                </c:pt>
                <c:pt idx="2">
                  <c:v>0.2782775267838089</c:v>
                </c:pt>
              </c:numCache>
            </c:numRef>
          </c:yVal>
          <c:bubbleSize>
            <c:numRef>
              <c:f>OutCh1!$AK$345:$AK$347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5B25-4D99-921D-9DB2193C1C9E}"/>
            </c:ext>
          </c:extLst>
        </c:ser>
        <c:ser>
          <c:idx val="3"/>
          <c:order val="3"/>
          <c:tx>
            <c:strRef>
              <c:f>OutCh1!$AK$257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{E1B81004-6446-4815-BF53-2DE63FF884A9}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B25-4D99-921D-9DB2193C1C9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OutCh1!$AK$295:$AK$297</c:f>
            </c:numRef>
          </c:xVal>
          <c:yVal>
            <c:numRef>
              <c:f>OutCh1!$AK$322:$AK$324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OutCh1!$AK$348:$AK$350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5B25-4D99-921D-9DB2193C1C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22462720"/>
        <c:axId val="222464640"/>
      </c:bubbleChart>
      <c:valAx>
        <c:axId val="222462720"/>
        <c:scaling>
          <c:orientation val="minMax"/>
        </c:scaling>
        <c:delete val="0"/>
        <c:axPos val="b"/>
        <c:title>
          <c:tx>
            <c:strRef>
              <c:f>OutCh1!$AI$284</c:f>
              <c:strCache>
                <c:ptCount val="1"/>
                <c:pt idx="0">
                  <c:v>Customer Uplift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2464640"/>
        <c:crossesAt val="0"/>
        <c:crossBetween val="midCat"/>
      </c:valAx>
      <c:valAx>
        <c:axId val="222464640"/>
        <c:scaling>
          <c:orientation val="minMax"/>
        </c:scaling>
        <c:delete val="0"/>
        <c:axPos val="l"/>
        <c:title>
          <c:tx>
            <c:strRef>
              <c:f>OutCh1!$AI$311</c:f>
              <c:strCache>
                <c:ptCount val="1"/>
                <c:pt idx="0">
                  <c:v>GPaL Uplift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224627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OutCh1!$AO$252</c:f>
          <c:strCache>
            <c:ptCount val="1"/>
            <c:pt idx="0">
              <c:v>GPaL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OutCh1!$AO$254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{0D0219A0-AA6B-47F7-86AE-2C71E0FB54D6}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BA3-41AC-AB2E-DAA089CC9D8E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{FE871A9B-4751-499F-91F3-C8A049F03683}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BA3-41AC-AB2E-DAA089CC9D8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OutCh1!$AO$286:$AO$288</c:f>
              <c:strCache>
                <c:ptCount val="3"/>
                <c:pt idx="0">
                  <c:v>-14%</c:v>
                </c:pt>
                <c:pt idx="2">
                  <c:v>87%</c:v>
                </c:pt>
              </c:strCache>
            </c:strRef>
          </c:xVal>
          <c:yVal>
            <c:numRef>
              <c:f>OutCh1!$AO$313:$AO$315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OutCh1!$AO$339:$AO$341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0BA3-41AC-AB2E-DAA089CC9D8E}"/>
            </c:ext>
          </c:extLst>
        </c:ser>
        <c:ser>
          <c:idx val="1"/>
          <c:order val="1"/>
          <c:tx>
            <c:strRef>
              <c:f>OutCh1!$AO$255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{DB0B8A32-50D3-415E-9C4A-591569F693E6}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BA3-41AC-AB2E-DAA089CC9D8E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{E408EF49-7D8E-4E3F-B323-238EC17BEFE8}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A3-41AC-AB2E-DAA089CC9D8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OutCh1!$AO$292:$AO$294</c:f>
              <c:strCache>
                <c:ptCount val="3"/>
                <c:pt idx="0">
                  <c:v>-83%</c:v>
                </c:pt>
                <c:pt idx="2">
                  <c:v>28%</c:v>
                </c:pt>
              </c:strCache>
            </c:strRef>
          </c:xVal>
          <c:yVal>
            <c:numRef>
              <c:f>OutCh1!$AO$319:$AO$321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OutCh1!$AO$345:$AO$347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0BA3-41AC-AB2E-DAA089CC9D8E}"/>
            </c:ext>
          </c:extLst>
        </c:ser>
        <c:ser>
          <c:idx val="2"/>
          <c:order val="2"/>
          <c:tx>
            <c:strRef>
              <c:f>OutCh1!$AO$256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{72ACE629-DC3E-4DEE-8330-B8995BFE5D9D}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BA3-41AC-AB2E-DAA089CC9D8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OutCh1!$AO$298:$AO$300</c:f>
              <c:strCache>
                <c:ptCount val="2"/>
                <c:pt idx="0">
                  <c:v>-9%</c:v>
                </c:pt>
                <c:pt idx="1">
                  <c:v>188%</c:v>
                </c:pt>
              </c:strCache>
            </c:strRef>
          </c:xVal>
          <c:yVal>
            <c:numRef>
              <c:f>OutCh1!$AO$325:$AO$327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OutCh1!$AO$351:$AO$353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0BA3-41AC-AB2E-DAA089CC9D8E}"/>
            </c:ext>
          </c:extLst>
        </c:ser>
        <c:ser>
          <c:idx val="3"/>
          <c:order val="3"/>
          <c:tx>
            <c:strRef>
              <c:f>OutCh1!$AO$257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{4E84A4C9-360F-481C-B805-8058799BCEFE}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BA3-41AC-AB2E-DAA089CC9D8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OutCh1!$AO$304:$AO$306</c:f>
            </c:numRef>
          </c:xVal>
          <c:yVal>
            <c:numRef>
              <c:f>OutCh1!$AO$331:$AO$333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OutCh1!$AO$357:$AO$359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0BA3-41AC-AB2E-DAA089CC9D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2518656"/>
        <c:axId val="222549504"/>
      </c:bubbleChart>
      <c:valAx>
        <c:axId val="222518656"/>
        <c:scaling>
          <c:orientation val="minMax"/>
        </c:scaling>
        <c:delete val="0"/>
        <c:axPos val="b"/>
        <c:title>
          <c:tx>
            <c:strRef>
              <c:f>OutCh1!$AM$284</c:f>
              <c:strCache>
                <c:ptCount val="1"/>
                <c:pt idx="0">
                  <c:v>GPaL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22549504"/>
        <c:crossesAt val="0"/>
        <c:crossBetween val="midCat"/>
      </c:valAx>
      <c:valAx>
        <c:axId val="222549504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25186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OutCh1!$AO$152</c:f>
              <c:strCache>
                <c:ptCount val="1"/>
                <c:pt idx="0">
                  <c:v>Harken - 33cl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</c:v>
              </c:pt>
              <c:pt idx="1">
                <c:v>1</c:v>
              </c:pt>
              <c:pt idx="2">
                <c:v>1</c:v>
              </c:pt>
            </c:numLit>
          </c:xVal>
          <c:yVal>
            <c:numRef>
              <c:f>OutCh1!$AO$153:$AO$155</c:f>
              <c:numCache>
                <c:formatCode>0.0</c:formatCode>
                <c:ptCount val="3"/>
                <c:pt idx="0">
                  <c:v>7.9</c:v>
                </c:pt>
                <c:pt idx="1">
                  <c:v>7.4388982062523699</c:v>
                </c:pt>
                <c:pt idx="2">
                  <c:v>5.2929999999999993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D-44F8-B0DC-C9B55BB0A85D}"/>
            </c:ext>
          </c:extLst>
        </c:ser>
        <c:ser>
          <c:idx val="1"/>
          <c:order val="1"/>
          <c:tx>
            <c:strRef>
              <c:f>OutCh1!$AO$156</c:f>
              <c:strCache>
                <c:ptCount val="1"/>
                <c:pt idx="0">
                  <c:v>Harken - 6 x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2</c:v>
              </c:pt>
              <c:pt idx="1">
                <c:v>2</c:v>
              </c:pt>
              <c:pt idx="2">
                <c:v>2</c:v>
              </c:pt>
            </c:numLit>
          </c:xVal>
          <c:yVal>
            <c:numRef>
              <c:f>OutCh1!$AO$157:$AO$159</c:f>
              <c:numCache>
                <c:formatCode>0.0</c:formatCode>
                <c:ptCount val="3"/>
                <c:pt idx="0">
                  <c:v>7.55</c:v>
                </c:pt>
                <c:pt idx="1">
                  <c:v>6.6325784288533072</c:v>
                </c:pt>
                <c:pt idx="2">
                  <c:v>5.4047110080336198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ED-44F8-B0DC-C9B55BB0A85D}"/>
            </c:ext>
          </c:extLst>
        </c:ser>
        <c:ser>
          <c:idx val="2"/>
          <c:order val="2"/>
          <c:tx>
            <c:strRef>
              <c:f>OutCh1!$AO$160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3</c:v>
              </c:pt>
              <c:pt idx="1">
                <c:v>3</c:v>
              </c:pt>
              <c:pt idx="2">
                <c:v>3</c:v>
              </c:pt>
            </c:numLit>
          </c:xVal>
          <c:yVal>
            <c:numRef>
              <c:f>OutCh1!$AO$161:$AO$163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ED-44F8-B0DC-C9B55BB0A85D}"/>
            </c:ext>
          </c:extLst>
        </c:ser>
        <c:ser>
          <c:idx val="3"/>
          <c:order val="3"/>
          <c:tx>
            <c:strRef>
              <c:f>OutCh1!$AO$164</c:f>
              <c:strCache>
                <c:ptCount val="1"/>
                <c:pt idx="0">
                  <c:v>Kara - 25cl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4</c:v>
              </c:pt>
              <c:pt idx="1">
                <c:v>4</c:v>
              </c:pt>
              <c:pt idx="2">
                <c:v>4</c:v>
              </c:pt>
            </c:numLit>
          </c:xVal>
          <c:yVal>
            <c:numRef>
              <c:f>OutCh1!$AO$165:$AO$167</c:f>
              <c:numCache>
                <c:formatCode>0.0</c:formatCode>
                <c:ptCount val="3"/>
                <c:pt idx="0">
                  <c:v>7.6</c:v>
                </c:pt>
                <c:pt idx="1">
                  <c:v>7.1564585891958119</c:v>
                </c:pt>
                <c:pt idx="2">
                  <c:v>5.0919999999999996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ED-44F8-B0DC-C9B55BB0A85D}"/>
            </c:ext>
          </c:extLst>
        </c:ser>
        <c:ser>
          <c:idx val="4"/>
          <c:order val="4"/>
          <c:tx>
            <c:strRef>
              <c:f>OutCh1!$AO$168</c:f>
              <c:strCache>
                <c:ptCount val="1"/>
                <c:pt idx="0">
                  <c:v>Kara - 6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5</c:v>
              </c:pt>
            </c:numLit>
          </c:xVal>
          <c:yVal>
            <c:numRef>
              <c:f>OutCh1!$AO$169:$AO$171</c:f>
              <c:numCache>
                <c:formatCode>0.0</c:formatCode>
                <c:ptCount val="3"/>
                <c:pt idx="0">
                  <c:v>7.68</c:v>
                </c:pt>
                <c:pt idx="1">
                  <c:v>7.4481940747854525</c:v>
                </c:pt>
                <c:pt idx="2">
                  <c:v>6.1440000000000001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ED-44F8-B0DC-C9B55BB0A85D}"/>
            </c:ext>
          </c:extLst>
        </c:ser>
        <c:ser>
          <c:idx val="5"/>
          <c:order val="5"/>
          <c:tx>
            <c:strRef>
              <c:f>OutCh1!$AO$172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6</c:v>
              </c:pt>
              <c:pt idx="1">
                <c:v>6</c:v>
              </c:pt>
              <c:pt idx="2">
                <c:v>6</c:v>
              </c:pt>
            </c:numLit>
          </c:xVal>
          <c:yVal>
            <c:numRef>
              <c:f>OutCh1!$AO$173:$AO$175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9ED-44F8-B0DC-C9B55BB0A85D}"/>
            </c:ext>
          </c:extLst>
        </c:ser>
        <c:ser>
          <c:idx val="6"/>
          <c:order val="6"/>
          <c:tx>
            <c:strRef>
              <c:f>OutCh1!$AO$176</c:f>
              <c:strCache>
                <c:ptCount val="1"/>
                <c:pt idx="0">
                  <c:v>Greenborg - 24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7</c:v>
              </c:pt>
              <c:pt idx="1">
                <c:v>7</c:v>
              </c:pt>
              <c:pt idx="2">
                <c:v>7</c:v>
              </c:pt>
            </c:numLit>
          </c:xVal>
          <c:yVal>
            <c:numRef>
              <c:f>OutCh1!$AO$177:$AO$179</c:f>
              <c:numCache>
                <c:formatCode>0.0</c:formatCode>
                <c:ptCount val="3"/>
                <c:pt idx="0">
                  <c:v>7.7</c:v>
                </c:pt>
                <c:pt idx="1">
                  <c:v>6.5011992257350766</c:v>
                </c:pt>
                <c:pt idx="2">
                  <c:v>5.4107798770760969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9ED-44F8-B0DC-C9B55BB0A85D}"/>
            </c:ext>
          </c:extLst>
        </c:ser>
        <c:ser>
          <c:idx val="7"/>
          <c:order val="7"/>
          <c:tx>
            <c:strRef>
              <c:f>OutCh1!$AO$180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8</c:v>
              </c:pt>
              <c:pt idx="1">
                <c:v>8</c:v>
              </c:pt>
              <c:pt idx="2">
                <c:v>8</c:v>
              </c:pt>
            </c:numLit>
          </c:xVal>
          <c:yVal>
            <c:numRef>
              <c:f>OutCh1!$AO$181:$AO$183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9ED-44F8-B0DC-C9B55BB0A85D}"/>
            </c:ext>
          </c:extLst>
        </c:ser>
        <c:ser>
          <c:idx val="8"/>
          <c:order val="8"/>
          <c:tx>
            <c:strRef>
              <c:f>OutCh1!$AO$184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9</c:v>
              </c:pt>
              <c:pt idx="1">
                <c:v>9</c:v>
              </c:pt>
              <c:pt idx="2">
                <c:v>9</c:v>
              </c:pt>
            </c:numLit>
          </c:xVal>
          <c:yVal>
            <c:numRef>
              <c:f>OutCh1!$AO$185:$AO$187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ED-44F8-B0DC-C9B55BB0A85D}"/>
            </c:ext>
          </c:extLst>
        </c:ser>
        <c:ser>
          <c:idx val="9"/>
          <c:order val="9"/>
          <c:tx>
            <c:strRef>
              <c:f>OutCh1!$AO$188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10</c:v>
              </c:pt>
            </c:numLit>
          </c:xVal>
          <c:yVal>
            <c:numRef>
              <c:f>OutCh1!$AO$189:$AO$191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9ED-44F8-B0DC-C9B55BB0A85D}"/>
            </c:ext>
          </c:extLst>
        </c:ser>
        <c:ser>
          <c:idx val="10"/>
          <c:order val="10"/>
          <c:tx>
            <c:strRef>
              <c:f>OutCh1!$AO$192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11</c:v>
              </c:pt>
              <c:pt idx="1">
                <c:v>11</c:v>
              </c:pt>
              <c:pt idx="2">
                <c:v>11</c:v>
              </c:pt>
            </c:numLit>
          </c:xVal>
          <c:yVal>
            <c:numRef>
              <c:f>OutCh1!$AO$193:$AO$195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9ED-44F8-B0DC-C9B55BB0A85D}"/>
            </c:ext>
          </c:extLst>
        </c:ser>
        <c:ser>
          <c:idx val="11"/>
          <c:order val="11"/>
          <c:tx>
            <c:strRef>
              <c:f>OutCh1!$AO$196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12</c:v>
              </c:pt>
              <c:pt idx="1">
                <c:v>12</c:v>
              </c:pt>
              <c:pt idx="2">
                <c:v>12</c:v>
              </c:pt>
            </c:numLit>
          </c:xVal>
          <c:yVal>
            <c:numRef>
              <c:f>OutCh1!$AO$197:$AO$199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9ED-44F8-B0DC-C9B55BB0A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2745344"/>
        <c:axId val="222746880"/>
      </c:scatterChart>
      <c:valAx>
        <c:axId val="222745344"/>
        <c:scaling>
          <c:orientation val="minMax"/>
          <c:max val="12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22746880"/>
        <c:crosses val="autoZero"/>
        <c:crossBetween val="midCat"/>
        <c:majorUnit val="1"/>
      </c:valAx>
      <c:valAx>
        <c:axId val="2227468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Price Per Liter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22274534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6.9635480388930337E-3"/>
          <c:y val="0.89455454704838311"/>
          <c:w val="0.99303644990111894"/>
          <c:h val="9.7018289826118473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OutCh1!$AG$252</c:f>
          <c:strCache>
            <c:ptCount val="1"/>
            <c:pt idx="0">
              <c:v>Promotion Share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OutCh1!$AG$254</c:f>
              <c:strCache>
                <c:ptCount val="1"/>
                <c:pt idx="0">
                  <c:v>Promotion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OutCh1!$AG$270:$AG$281</c:f>
              <c:numCache>
                <c:formatCode>0%</c:formatCode>
                <c:ptCount val="12"/>
                <c:pt idx="0">
                  <c:v>0.17687065352805156</c:v>
                </c:pt>
                <c:pt idx="1">
                  <c:v>0.15084596985518509</c:v>
                </c:pt>
                <c:pt idx="2">
                  <c:v>0</c:v>
                </c:pt>
                <c:pt idx="3">
                  <c:v>0.17685064226642278</c:v>
                </c:pt>
                <c:pt idx="4">
                  <c:v>0.15091531589488699</c:v>
                </c:pt>
                <c:pt idx="5">
                  <c:v>0</c:v>
                </c:pt>
                <c:pt idx="6">
                  <c:v>0.39195374270733713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D-4DD1-9770-9C796BE68FE3}"/>
            </c:ext>
          </c:extLst>
        </c:ser>
        <c:ser>
          <c:idx val="1"/>
          <c:order val="1"/>
          <c:tx>
            <c:strRef>
              <c:f>OutCh1!$AG$255</c:f>
              <c:strCache>
                <c:ptCount val="1"/>
                <c:pt idx="0">
                  <c:v>Base 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OutCh1!$AG$283:$AG$294</c:f>
              <c:numCache>
                <c:formatCode>0%</c:formatCode>
                <c:ptCount val="12"/>
                <c:pt idx="0">
                  <c:v>0.82312934647194846</c:v>
                </c:pt>
                <c:pt idx="1">
                  <c:v>0.84915403014481494</c:v>
                </c:pt>
                <c:pt idx="2">
                  <c:v>0</c:v>
                </c:pt>
                <c:pt idx="3">
                  <c:v>0.82314935773357722</c:v>
                </c:pt>
                <c:pt idx="4">
                  <c:v>0.84908468410511295</c:v>
                </c:pt>
                <c:pt idx="5">
                  <c:v>0</c:v>
                </c:pt>
                <c:pt idx="6">
                  <c:v>0.60804625729266282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DD-4DD1-9770-9C796BE68FE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2123520"/>
        <c:axId val="222125056"/>
      </c:barChart>
      <c:catAx>
        <c:axId val="22212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125056"/>
        <c:crosses val="autoZero"/>
        <c:auto val="1"/>
        <c:lblAlgn val="ctr"/>
        <c:lblOffset val="100"/>
        <c:noMultiLvlLbl val="0"/>
      </c:catAx>
      <c:valAx>
        <c:axId val="2221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1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OutCh1!$AS$252</c:f>
          <c:strCache>
            <c:ptCount val="1"/>
            <c:pt idx="0">
              <c:v>Volume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OutCh1!$AS$254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{AE3FC907-3A50-4F02-8658-37C549E2DE69}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2C3-41A8-8989-117BAF0235A3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{7AB89569-5783-4638-BB70-2F125390D42A}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3-41A8-8989-117BAF0235A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OutCh1!$AS$286:$AS$288</c:f>
              <c:strCache>
                <c:ptCount val="3"/>
                <c:pt idx="0">
                  <c:v>437%</c:v>
                </c:pt>
                <c:pt idx="2">
                  <c:v>313%</c:v>
                </c:pt>
              </c:strCache>
            </c:strRef>
          </c:xVal>
          <c:yVal>
            <c:numRef>
              <c:f>OutCh1!$AS$313:$AS$315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OutCh1!$AS$339:$AS$341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72C3-41A8-8989-117BAF0235A3}"/>
            </c:ext>
          </c:extLst>
        </c:ser>
        <c:ser>
          <c:idx val="1"/>
          <c:order val="1"/>
          <c:tx>
            <c:strRef>
              <c:f>OutCh1!$AS$255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{C60C959C-9FF5-4555-B7F3-9ACC12C755B9}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3-41A8-8989-117BAF0235A3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{20C17F6A-3229-4DD2-A38E-B68EF5AB1288}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2C3-41A8-8989-117BAF0235A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OutCh1!$AS$292:$AS$294</c:f>
              <c:strCache>
                <c:ptCount val="3"/>
                <c:pt idx="0">
                  <c:v>437%</c:v>
                </c:pt>
                <c:pt idx="2">
                  <c:v>190%</c:v>
                </c:pt>
              </c:strCache>
            </c:strRef>
          </c:xVal>
          <c:yVal>
            <c:numRef>
              <c:f>OutCh1!$AS$319:$AS$321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OutCh1!$AS$345:$AS$347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72C3-41A8-8989-117BAF0235A3}"/>
            </c:ext>
          </c:extLst>
        </c:ser>
        <c:ser>
          <c:idx val="2"/>
          <c:order val="2"/>
          <c:tx>
            <c:strRef>
              <c:f>OutCh1!$AS$256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{1DFAF27C-677C-4FE8-98B1-0B5448FA39DE}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2C3-41A8-8989-117BAF0235A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OutCh1!$AS$298:$AS$300</c:f>
              <c:strCache>
                <c:ptCount val="2"/>
                <c:pt idx="0">
                  <c:v>846%</c:v>
                </c:pt>
                <c:pt idx="1">
                  <c:v>536%</c:v>
                </c:pt>
              </c:strCache>
            </c:strRef>
          </c:xVal>
          <c:yVal>
            <c:numRef>
              <c:f>OutCh1!$AS$325:$AS$327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OutCh1!$AS$351:$AS$353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72C3-41A8-8989-117BAF0235A3}"/>
            </c:ext>
          </c:extLst>
        </c:ser>
        <c:ser>
          <c:idx val="3"/>
          <c:order val="3"/>
          <c:tx>
            <c:strRef>
              <c:f>OutCh1!$AS$257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{C7F8D941-C5E6-4642-9A5C-82D9996E6355}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72C3-41A8-8989-117BAF0235A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OutCh1!$AS$304:$AS$306</c:f>
            </c:numRef>
          </c:xVal>
          <c:yVal>
            <c:numRef>
              <c:f>OutCh1!$AS$331:$AS$333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OutCh1!$AS$357:$AS$359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72C3-41A8-8989-117BAF0235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2194688"/>
        <c:axId val="222213248"/>
      </c:bubbleChart>
      <c:valAx>
        <c:axId val="222194688"/>
        <c:scaling>
          <c:orientation val="minMax"/>
        </c:scaling>
        <c:delete val="0"/>
        <c:axPos val="b"/>
        <c:title>
          <c:tx>
            <c:strRef>
              <c:f>OutCh1!$AQ$284</c:f>
              <c:strCache>
                <c:ptCount val="1"/>
                <c:pt idx="0">
                  <c:v>Volume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22213248"/>
        <c:crossesAt val="0"/>
        <c:crossBetween val="midCat"/>
      </c:valAx>
      <c:valAx>
        <c:axId val="222213248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2194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OutCh2!$AG$105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1B-4E4E-95D4-354A8B0B718B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1B-4E4E-95D4-354A8B0B718B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01B-4E4E-95D4-354A8B0B718B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01B-4E4E-95D4-354A8B0B718B}"/>
              </c:ext>
            </c:extLst>
          </c:dPt>
          <c:cat>
            <c:strRef>
              <c:f>OutCh2!$AG$98:$AG$103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OutCh2!$AG$106:$AG$111</c:f>
              <c:numCache>
                <c:formatCode>0.00</c:formatCode>
                <c:ptCount val="6"/>
                <c:pt idx="0">
                  <c:v>2.4553952820609206</c:v>
                </c:pt>
                <c:pt idx="1">
                  <c:v>-2.4500000000000002</c:v>
                </c:pt>
                <c:pt idx="2">
                  <c:v>-2.4500000000000002</c:v>
                </c:pt>
                <c:pt idx="3">
                  <c:v>-2.4500000000000002</c:v>
                </c:pt>
                <c:pt idx="4">
                  <c:v>-2.4564749227292939</c:v>
                </c:pt>
                <c:pt idx="5">
                  <c:v>2.4553952820609206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1B-4E4E-95D4-354A8B0B718B}"/>
            </c:ext>
          </c:extLst>
        </c:ser>
        <c:ser>
          <c:idx val="1"/>
          <c:order val="1"/>
          <c:tx>
            <c:strRef>
              <c:f>OutCh2!$AG$113</c:f>
              <c:strCache>
                <c:ptCount val="1"/>
                <c:pt idx="0">
                  <c:v>GPaL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01B-4E4E-95D4-354A8B0B718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01B-4E4E-95D4-354A8B0B718B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01B-4E4E-95D4-354A8B0B718B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01B-4E4E-95D4-354A8B0B718B}"/>
              </c:ext>
            </c:extLst>
          </c:dPt>
          <c:cat>
            <c:strRef>
              <c:f>OutCh2!$AG$98:$AG$103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OutCh2!$AG$114:$AG$119</c:f>
              <c:numCache>
                <c:formatCode>#,##0.00</c:formatCode>
                <c:ptCount val="6"/>
                <c:pt idx="0">
                  <c:v>-2.4553952820609206</c:v>
                </c:pt>
                <c:pt idx="1">
                  <c:v>2.4500000000000002</c:v>
                </c:pt>
                <c:pt idx="2">
                  <c:v>0</c:v>
                </c:pt>
                <c:pt idx="3">
                  <c:v>0</c:v>
                </c:pt>
                <c:pt idx="4">
                  <c:v>6.4749227292938806E-3</c:v>
                </c:pt>
                <c:pt idx="5">
                  <c:v>-4.9118702047902145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01B-4E4E-95D4-354A8B0B7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221096192"/>
        <c:axId val="221106176"/>
      </c:barChart>
      <c:catAx>
        <c:axId val="22109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106176"/>
        <c:crosses val="autoZero"/>
        <c:auto val="1"/>
        <c:lblAlgn val="ctr"/>
        <c:lblOffset val="100"/>
        <c:noMultiLvlLbl val="0"/>
      </c:catAx>
      <c:valAx>
        <c:axId val="221106176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9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OutCh2!$AK$97</c:f>
          <c:strCache>
            <c:ptCount val="1"/>
            <c:pt idx="0">
              <c:v>Discounters - Trade Terms Conditionality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OutCh2!$AJ$98</c:f>
              <c:strCache>
                <c:ptCount val="1"/>
                <c:pt idx="0">
                  <c:v>Conditional Trade Inv.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593-4855-8024-4EE2D6C06E26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593-4855-8024-4EE2D6C06E2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AFF8-49F4-BCB8-572F727DC8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OutCh2!$AK$98</c:f>
              <c:numCache>
                <c:formatCode>General</c:formatCode>
                <c:ptCount val="1"/>
                <c:pt idx="0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93-4855-8024-4EE2D6C06E26}"/>
            </c:ext>
          </c:extLst>
        </c:ser>
        <c:ser>
          <c:idx val="1"/>
          <c:order val="1"/>
          <c:tx>
            <c:strRef>
              <c:f>OutCh2!$AJ$99</c:f>
              <c:strCache>
                <c:ptCount val="1"/>
                <c:pt idx="0">
                  <c:v>Un-conditional Trade Inv.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93-4855-8024-4EE2D6C06E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OutCh2!$AK$99</c:f>
              <c:numCache>
                <c:formatCode>General</c:formatCode>
                <c:ptCount val="1"/>
                <c:pt idx="0">
                  <c:v>1019999.9999999999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93-4855-8024-4EE2D6C06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21198976"/>
        <c:axId val="221197440"/>
      </c:barChart>
      <c:valAx>
        <c:axId val="22119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1198976"/>
        <c:crosses val="autoZero"/>
        <c:crossBetween val="between"/>
        <c:majorUnit val="5000000"/>
      </c:valAx>
      <c:catAx>
        <c:axId val="221198976"/>
        <c:scaling>
          <c:orientation val="minMax"/>
        </c:scaling>
        <c:delete val="1"/>
        <c:axPos val="l"/>
        <c:majorTickMark val="out"/>
        <c:minorTickMark val="none"/>
        <c:tickLblPos val="nextTo"/>
        <c:crossAx val="22119744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OutCh2!$AO$97</c:f>
          <c:strCache>
            <c:ptCount val="1"/>
            <c:pt idx="0">
              <c:v>GPal per Brand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OutCh2!$AN$101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OutCh2!$AO$99:$AR$99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OutCh2!$AO$101:$AR$101</c:f>
              <c:numCache>
                <c:formatCode>#,##0</c:formatCode>
                <c:ptCount val="4"/>
                <c:pt idx="0">
                  <c:v>323008366.45128036</c:v>
                </c:pt>
                <c:pt idx="1">
                  <c:v>216827237.95982891</c:v>
                </c:pt>
                <c:pt idx="2">
                  <c:v>46260715.77506806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8-4DDE-8BA8-6BF0E06D2054}"/>
            </c:ext>
          </c:extLst>
        </c:ser>
        <c:ser>
          <c:idx val="2"/>
          <c:order val="1"/>
          <c:tx>
            <c:strRef>
              <c:f>OutCh2!$AN$103</c:f>
              <c:strCache>
                <c:ptCount val="1"/>
                <c:pt idx="0">
                  <c:v>Logistics</c:v>
                </c:pt>
              </c:strCache>
            </c:strRef>
          </c:tx>
          <c:invertIfNegative val="0"/>
          <c:cat>
            <c:strRef>
              <c:f>OutCh2!$AO$99:$AR$99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OutCh2!$AO$103:$AR$103</c:f>
              <c:numCache>
                <c:formatCode>#,##0</c:formatCode>
                <c:ptCount val="4"/>
                <c:pt idx="0">
                  <c:v>37549478.352505259</c:v>
                </c:pt>
                <c:pt idx="1">
                  <c:v>28263048.222315788</c:v>
                </c:pt>
                <c:pt idx="2">
                  <c:v>5441953.3844210533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78-4DDE-8BA8-6BF0E06D2054}"/>
            </c:ext>
          </c:extLst>
        </c:ser>
        <c:ser>
          <c:idx val="1"/>
          <c:order val="2"/>
          <c:tx>
            <c:strRef>
              <c:f>OutCh2!$AN$105</c:f>
              <c:strCache>
                <c:ptCount val="1"/>
                <c:pt idx="0">
                  <c:v>GPAL</c:v>
                </c:pt>
              </c:strCache>
            </c:strRef>
          </c:tx>
          <c:invertIfNegative val="0"/>
          <c:cat>
            <c:strRef>
              <c:f>OutCh2!$AO$99:$AR$99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OutCh2!$AO$105:$AR$105</c:f>
              <c:numCache>
                <c:formatCode>#,##0</c:formatCode>
                <c:ptCount val="4"/>
                <c:pt idx="0">
                  <c:v>350525396.92029697</c:v>
                </c:pt>
                <c:pt idx="1">
                  <c:v>190266800.58770174</c:v>
                </c:pt>
                <c:pt idx="2">
                  <c:v>62920331.946581602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78-4DDE-8BA8-6BF0E06D2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238784"/>
        <c:axId val="221240320"/>
      </c:barChart>
      <c:catAx>
        <c:axId val="221238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1240320"/>
        <c:crosses val="autoZero"/>
        <c:auto val="1"/>
        <c:lblAlgn val="ctr"/>
        <c:lblOffset val="100"/>
        <c:noMultiLvlLbl val="0"/>
      </c:catAx>
      <c:valAx>
        <c:axId val="22124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(000s)</a:t>
                </a:r>
              </a:p>
            </c:rich>
          </c:tx>
          <c:overlay val="0"/>
        </c:title>
        <c:numFmt formatCode="#,##0,_);\ \(#,##0,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1238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Assortment - GPaL ROS vs WD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OutCh1!$AG$152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{7C43FC84-4ABB-4FF8-9162-10935F82AB8C}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839-441F-9855-4523F684126B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{080B1411-8C99-410B-940C-390BC95BC37A}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839-441F-9855-4523F684126B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OutCh1!$AG$172:$AG$174</c:f>
              <c:strCache>
                <c:ptCount val="2"/>
                <c:pt idx="0">
                  <c:v>74%</c:v>
                </c:pt>
                <c:pt idx="1">
                  <c:v>84%</c:v>
                </c:pt>
              </c:strCache>
            </c:strRef>
          </c:xVal>
          <c:yVal>
            <c:numRef>
              <c:f>OutCh1!$AG$187:$AG$189</c:f>
              <c:numCache>
                <c:formatCode>_(* #,##0_);_(* \(#,##0\);_(* "-"??_);_(@_)</c:formatCode>
                <c:ptCount val="3"/>
                <c:pt idx="0">
                  <c:v>279366730.97314632</c:v>
                </c:pt>
                <c:pt idx="1">
                  <c:v>218386869.64650309</c:v>
                </c:pt>
                <c:pt idx="2">
                  <c:v>0</c:v>
                </c:pt>
              </c:numCache>
            </c:numRef>
          </c:yVal>
          <c:bubbleSize>
            <c:numRef>
              <c:f>OutCh1!$AG$201:$AG$203</c:f>
              <c:numCache>
                <c:formatCode>_(* #,##0_);_(* \(#,##0\);_(* "-"??_);_(@_)</c:formatCode>
                <c:ptCount val="3"/>
                <c:pt idx="0">
                  <c:v>78519084.938043952</c:v>
                </c:pt>
                <c:pt idx="1">
                  <c:v>100177518.30857961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A839-441F-9855-4523F684126B}"/>
            </c:ext>
          </c:extLst>
        </c:ser>
        <c:ser>
          <c:idx val="1"/>
          <c:order val="1"/>
          <c:tx>
            <c:strRef>
              <c:f>OutCh1!$AG$153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{CCF3A203-7FD2-45D4-925C-66D48287454B}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839-441F-9855-4523F684126B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{CEC0ED89-A85B-4649-88AE-6F57B2891335}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839-441F-9855-4523F684126B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OutCh1!$AG$175:$AG$177</c:f>
              <c:strCache>
                <c:ptCount val="2"/>
                <c:pt idx="0">
                  <c:v>64%</c:v>
                </c:pt>
                <c:pt idx="1">
                  <c:v>84%</c:v>
                </c:pt>
              </c:strCache>
            </c:strRef>
          </c:xVal>
          <c:yVal>
            <c:numRef>
              <c:f>OutCh1!$AG$190:$AG$192</c:f>
              <c:numCache>
                <c:formatCode>_(* #,##0_);_(* \(#,##0\);_(* "-"??_);_(@_)</c:formatCode>
                <c:ptCount val="3"/>
                <c:pt idx="0">
                  <c:v>151068283.38569051</c:v>
                </c:pt>
                <c:pt idx="1">
                  <c:v>232852528.48019093</c:v>
                </c:pt>
                <c:pt idx="2">
                  <c:v>0</c:v>
                </c:pt>
              </c:numCache>
            </c:numRef>
          </c:yVal>
          <c:bubbleSize>
            <c:numRef>
              <c:f>OutCh1!$AG$204:$AG$206</c:f>
              <c:numCache>
                <c:formatCode>_(* #,##0_);_(* \(#,##0\);_(* "-"??_);_(@_)</c:formatCode>
                <c:ptCount val="3"/>
                <c:pt idx="0">
                  <c:v>45342586.041080847</c:v>
                </c:pt>
                <c:pt idx="1">
                  <c:v>77943237.25288707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A839-441F-9855-4523F684126B}"/>
            </c:ext>
          </c:extLst>
        </c:ser>
        <c:ser>
          <c:idx val="2"/>
          <c:order val="2"/>
          <c:tx>
            <c:strRef>
              <c:f>OutCh1!$AG$154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{29080B33-3143-43B1-8FC9-4B044A52FB6C}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839-441F-9855-4523F684126B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OutCh1!$AG$178:$AG$180</c:f>
              <c:strCache>
                <c:ptCount val="1"/>
                <c:pt idx="0">
                  <c:v>74%</c:v>
                </c:pt>
              </c:strCache>
            </c:strRef>
          </c:xVal>
          <c:yVal>
            <c:numRef>
              <c:f>OutCh1!$AG$193:$AG$195</c:f>
              <c:numCache>
                <c:formatCode>_(* #,##0_);_(* \(#,##0\);_(* "-"??_);_(@_)</c:formatCode>
                <c:ptCount val="3"/>
                <c:pt idx="0">
                  <c:v>124452509.10984084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OutCh1!$AG$207:$AG$209</c:f>
              <c:numCache>
                <c:formatCode>_(* #,##0_);_(* \(#,##0\);_(* "-"??_);_(@_)</c:formatCode>
                <c:ptCount val="3"/>
                <c:pt idx="0">
                  <c:v>57888456.11718937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A839-441F-9855-4523F684126B}"/>
            </c:ext>
          </c:extLst>
        </c:ser>
        <c:ser>
          <c:idx val="3"/>
          <c:order val="3"/>
          <c:tx>
            <c:strRef>
              <c:f>OutCh1!$AG$155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{134942F7-390F-4B26-AF29-39E5103492A3}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839-441F-9855-4523F684126B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OutCh1!$AG$181:$AG$183</c:f>
            </c:numRef>
          </c:xVal>
          <c:yVal>
            <c:numRef>
              <c:f>OutCh1!$AG$196:$AG$198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OutCh1!$AG$210:$AG$212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A839-441F-9855-4523F68412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22320128"/>
        <c:axId val="222322048"/>
      </c:bubbleChart>
      <c:valAx>
        <c:axId val="222320128"/>
        <c:scaling>
          <c:orientation val="minMax"/>
          <c:max val="1"/>
          <c:min val="0"/>
        </c:scaling>
        <c:delete val="0"/>
        <c:axPos val="b"/>
        <c:title>
          <c:tx>
            <c:strRef>
              <c:f>OutCh1!$AE$170</c:f>
              <c:strCache>
                <c:ptCount val="1"/>
                <c:pt idx="0">
                  <c:v>Weighted Distribution</c:v>
                </c:pt>
              </c:strCache>
            </c:strRef>
          </c:tx>
          <c:overlay val="0"/>
        </c:title>
        <c:numFmt formatCode="0%" sourceLinked="1"/>
        <c:majorTickMark val="out"/>
        <c:minorTickMark val="none"/>
        <c:tickLblPos val="nextTo"/>
        <c:crossAx val="222322048"/>
        <c:crosses val="autoZero"/>
        <c:crossBetween val="midCat"/>
      </c:valAx>
      <c:valAx>
        <c:axId val="222322048"/>
        <c:scaling>
          <c:orientation val="minMax"/>
        </c:scaling>
        <c:delete val="0"/>
        <c:axPos val="l"/>
        <c:title>
          <c:tx>
            <c:strRef>
              <c:f>OutCh1!$AE$185</c:f>
              <c:strCache>
                <c:ptCount val="1"/>
                <c:pt idx="0">
                  <c:v>GPaL ROS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22320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{D15091C5-E534-450F-8E89-1894B918BEB4}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874-4616-A06E-886B4877CD70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{3D6C07E7-F798-4BF1-ABDB-DB94D7CA5877}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874-4616-A06E-886B4877CD7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OutCh1!$AK$172:$AK$174</c:f>
              <c:strCache>
                <c:ptCount val="3"/>
                <c:pt idx="0">
                  <c:v> 78,519,085 </c:v>
                </c:pt>
                <c:pt idx="1">
                  <c:v> 100,177,518 </c:v>
                </c:pt>
                <c:pt idx="2">
                  <c:v>  </c:v>
                </c:pt>
              </c:strCache>
            </c:strRef>
          </c:xVal>
          <c:yVal>
            <c:numRef>
              <c:f>OutCh1!$AK$187:$AK$189</c:f>
              <c:numCache>
                <c:formatCode>0%</c:formatCode>
                <c:ptCount val="3"/>
                <c:pt idx="0">
                  <c:v>1.7813492619307384E-3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OutCh1!$AK$201:$AK$203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0874-4616-A06E-886B4877CD70}"/>
            </c:ext>
          </c:extLst>
        </c:ser>
        <c:ser>
          <c:idx val="1"/>
          <c:order val="1"/>
          <c:tx>
            <c:strRef>
              <c:f>OutCh1!$AK$153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{5AA561AB-3600-4E71-8F90-90806F5E97CC}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874-4616-A06E-886B4877CD70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{B6BDEB11-943D-4808-8A40-D7819A486AC8}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874-4616-A06E-886B4877CD7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OutCh1!$AK$175:$AK$177</c:f>
              <c:strCache>
                <c:ptCount val="3"/>
                <c:pt idx="0">
                  <c:v> 45,342,586 </c:v>
                </c:pt>
                <c:pt idx="1">
                  <c:v> 45,342,586 </c:v>
                </c:pt>
                <c:pt idx="2">
                  <c:v>  </c:v>
                </c:pt>
              </c:strCache>
            </c:strRef>
          </c:xVal>
          <c:yVal>
            <c:numRef>
              <c:f>OutCh1!$AK$190:$AK$192</c:f>
              <c:numCache>
                <c:formatCode>0%</c:formatCode>
                <c:ptCount val="3"/>
                <c:pt idx="0">
                  <c:v>2.7801644047954936E-2</c:v>
                </c:pt>
                <c:pt idx="1">
                  <c:v>-1.7733871827587438E-2</c:v>
                </c:pt>
                <c:pt idx="2">
                  <c:v>0</c:v>
                </c:pt>
              </c:numCache>
            </c:numRef>
          </c:yVal>
          <c:bubbleSize>
            <c:numRef>
              <c:f>OutCh1!$AK$204:$AK$206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0874-4616-A06E-886B4877CD70}"/>
            </c:ext>
          </c:extLst>
        </c:ser>
        <c:ser>
          <c:idx val="2"/>
          <c:order val="2"/>
          <c:tx>
            <c:strRef>
              <c:f>OutCh1!$AK$154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{4EF5DA15-3346-40E1-887B-CC22CCB2F418}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874-4616-A06E-886B4877CD7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OutCh1!$AK$178:$AK$180</c:f>
              <c:strCache>
                <c:ptCount val="3"/>
                <c:pt idx="0">
                  <c:v> 57,888,456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OutCh1!$AK$193:$AK$195</c:f>
              <c:numCache>
                <c:formatCode>0%</c:formatCode>
                <c:ptCount val="3"/>
                <c:pt idx="0">
                  <c:v>-1.1228798131081418E-2</c:v>
                </c:pt>
                <c:pt idx="1">
                  <c:v>-8.206802166717391E-4</c:v>
                </c:pt>
                <c:pt idx="2">
                  <c:v>0</c:v>
                </c:pt>
              </c:numCache>
            </c:numRef>
          </c:yVal>
          <c:bubbleSize>
            <c:numRef>
              <c:f>OutCh1!$AK$207:$AK$209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0874-4616-A06E-886B4877CD70}"/>
            </c:ext>
          </c:extLst>
        </c:ser>
        <c:ser>
          <c:idx val="3"/>
          <c:order val="3"/>
          <c:tx>
            <c:strRef>
              <c:f>OutCh1!$AK$155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{42E38E29-793E-4206-AFD3-9D4DBC3D4830}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874-4616-A06E-886B4877CD7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OutCh1!$AK$181:$AK$183</c:f>
              <c:strCache>
                <c:ptCount val="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OutCh1!$AK$196:$AK$198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OutCh1!$AK$210:$AK$212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0874-4616-A06E-886B4877CD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4952704"/>
        <c:axId val="224954624"/>
      </c:bubbleChart>
      <c:valAx>
        <c:axId val="224952704"/>
        <c:scaling>
          <c:orientation val="minMax"/>
        </c:scaling>
        <c:delete val="0"/>
        <c:axPos val="b"/>
        <c:title>
          <c:tx>
            <c:strRef>
              <c:f>OutCh1!$AK$171</c:f>
              <c:strCache>
                <c:ptCount val="1"/>
                <c:pt idx="0">
                  <c:v>Volume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4954624"/>
        <c:crossesAt val="0"/>
        <c:crossBetween val="midCat"/>
      </c:valAx>
      <c:valAx>
        <c:axId val="224954624"/>
        <c:scaling>
          <c:orientation val="minMax"/>
        </c:scaling>
        <c:delete val="0"/>
        <c:axPos val="l"/>
        <c:title>
          <c:tx>
            <c:strRef>
              <c:f>OutCh1!$AK$186</c:f>
              <c:strCache>
                <c:ptCount val="1"/>
                <c:pt idx="0">
                  <c:v>Price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49527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Assortment - GPaL ROS vs WD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OutCh1!$AG$152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{616A8049-A91C-45FC-B21C-3ECA2DC8156D}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F98-4E08-A951-93AB0CC40129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{52825BD5-E222-4FDB-B878-E0CF7BEEFBE0}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98-4E08-A951-93AB0CC4012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OutCh1!$AG$172:$AG$174</c:f>
              <c:strCache>
                <c:ptCount val="2"/>
                <c:pt idx="0">
                  <c:v>74%</c:v>
                </c:pt>
                <c:pt idx="1">
                  <c:v>84%</c:v>
                </c:pt>
              </c:strCache>
            </c:strRef>
          </c:xVal>
          <c:yVal>
            <c:numRef>
              <c:f>OutCh1!$AG$187:$AG$189</c:f>
              <c:numCache>
                <c:formatCode>_(* #,##0_);_(* \(#,##0\);_(* "-"??_);_(@_)</c:formatCode>
                <c:ptCount val="3"/>
                <c:pt idx="0">
                  <c:v>279366730.97314632</c:v>
                </c:pt>
                <c:pt idx="1">
                  <c:v>218386869.64650309</c:v>
                </c:pt>
                <c:pt idx="2">
                  <c:v>0</c:v>
                </c:pt>
              </c:numCache>
            </c:numRef>
          </c:yVal>
          <c:bubbleSize>
            <c:numRef>
              <c:f>OutCh1!$AG$201:$AG$203</c:f>
              <c:numCache>
                <c:formatCode>_(* #,##0_);_(* \(#,##0\);_(* "-"??_);_(@_)</c:formatCode>
                <c:ptCount val="3"/>
                <c:pt idx="0">
                  <c:v>78519084.938043952</c:v>
                </c:pt>
                <c:pt idx="1">
                  <c:v>100177518.30857961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CF98-4E08-A951-93AB0CC40129}"/>
            </c:ext>
          </c:extLst>
        </c:ser>
        <c:ser>
          <c:idx val="1"/>
          <c:order val="1"/>
          <c:tx>
            <c:strRef>
              <c:f>OutCh1!$AG$153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{D3D381B2-C5B2-43DF-A899-6B35A677D4A3}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98-4E08-A951-93AB0CC40129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{9301992B-2752-4C9D-8D49-B8BA14FB980C}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98-4E08-A951-93AB0CC4012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OutCh1!$AG$175:$AG$177</c:f>
              <c:strCache>
                <c:ptCount val="2"/>
                <c:pt idx="0">
                  <c:v>64%</c:v>
                </c:pt>
                <c:pt idx="1">
                  <c:v>84%</c:v>
                </c:pt>
              </c:strCache>
            </c:strRef>
          </c:xVal>
          <c:yVal>
            <c:numRef>
              <c:f>OutCh1!$AG$190:$AG$192</c:f>
              <c:numCache>
                <c:formatCode>_(* #,##0_);_(* \(#,##0\);_(* "-"??_);_(@_)</c:formatCode>
                <c:ptCount val="3"/>
                <c:pt idx="0">
                  <c:v>151068283.38569051</c:v>
                </c:pt>
                <c:pt idx="1">
                  <c:v>232852528.48019093</c:v>
                </c:pt>
                <c:pt idx="2">
                  <c:v>0</c:v>
                </c:pt>
              </c:numCache>
            </c:numRef>
          </c:yVal>
          <c:bubbleSize>
            <c:numRef>
              <c:f>OutCh1!$AG$204:$AG$206</c:f>
              <c:numCache>
                <c:formatCode>_(* #,##0_);_(* \(#,##0\);_(* "-"??_);_(@_)</c:formatCode>
                <c:ptCount val="3"/>
                <c:pt idx="0">
                  <c:v>45342586.041080847</c:v>
                </c:pt>
                <c:pt idx="1">
                  <c:v>77943237.25288707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CF98-4E08-A951-93AB0CC40129}"/>
            </c:ext>
          </c:extLst>
        </c:ser>
        <c:ser>
          <c:idx val="2"/>
          <c:order val="2"/>
          <c:tx>
            <c:strRef>
              <c:f>OutCh1!$AG$154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{8C1DC249-FD24-41C2-AC2D-CD40A249BDA7}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98-4E08-A951-93AB0CC4012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OutCh1!$AG$178:$AG$180</c:f>
              <c:strCache>
                <c:ptCount val="1"/>
                <c:pt idx="0">
                  <c:v>74%</c:v>
                </c:pt>
              </c:strCache>
            </c:strRef>
          </c:xVal>
          <c:yVal>
            <c:numRef>
              <c:f>OutCh1!$AG$193:$AG$195</c:f>
              <c:numCache>
                <c:formatCode>_(* #,##0_);_(* \(#,##0\);_(* "-"??_);_(@_)</c:formatCode>
                <c:ptCount val="3"/>
                <c:pt idx="0">
                  <c:v>124452509.10984084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OutCh1!$AG$207:$AG$209</c:f>
              <c:numCache>
                <c:formatCode>_(* #,##0_);_(* \(#,##0\);_(* "-"??_);_(@_)</c:formatCode>
                <c:ptCount val="3"/>
                <c:pt idx="0">
                  <c:v>57888456.11718937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CF98-4E08-A951-93AB0CC40129}"/>
            </c:ext>
          </c:extLst>
        </c:ser>
        <c:ser>
          <c:idx val="3"/>
          <c:order val="3"/>
          <c:tx>
            <c:strRef>
              <c:f>OutCh1!$AG$155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{F93CD475-53EB-4FDD-94B9-128E0FB68985}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F98-4E08-A951-93AB0CC4012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OutCh1!$AG$181:$AG$183</c:f>
            </c:numRef>
          </c:xVal>
          <c:yVal>
            <c:numRef>
              <c:f>OutCh1!$AG$196:$AG$198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OutCh1!$AG$210:$AG$212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CF98-4E08-A951-93AB0CC401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26987008"/>
        <c:axId val="227001472"/>
      </c:bubbleChart>
      <c:valAx>
        <c:axId val="226987008"/>
        <c:scaling>
          <c:orientation val="minMax"/>
          <c:max val="1"/>
          <c:min val="0"/>
        </c:scaling>
        <c:delete val="0"/>
        <c:axPos val="b"/>
        <c:title>
          <c:tx>
            <c:strRef>
              <c:f>OutCh1!$AE$170</c:f>
              <c:strCache>
                <c:ptCount val="1"/>
                <c:pt idx="0">
                  <c:v>Weighted Distribution</c:v>
                </c:pt>
              </c:strCache>
            </c:strRef>
          </c:tx>
          <c:overlay val="0"/>
        </c:title>
        <c:numFmt formatCode="0%" sourceLinked="1"/>
        <c:majorTickMark val="out"/>
        <c:minorTickMark val="none"/>
        <c:tickLblPos val="nextTo"/>
        <c:crossAx val="227001472"/>
        <c:crosses val="autoZero"/>
        <c:crossBetween val="midCat"/>
      </c:valAx>
      <c:valAx>
        <c:axId val="227001472"/>
        <c:scaling>
          <c:orientation val="minMax"/>
        </c:scaling>
        <c:delete val="0"/>
        <c:axPos val="l"/>
        <c:title>
          <c:tx>
            <c:strRef>
              <c:f>OutCh1!$AE$185</c:f>
              <c:strCache>
                <c:ptCount val="1"/>
                <c:pt idx="0">
                  <c:v>GPaL ROS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269870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{6C537B41-E09B-42C0-8070-4476128B0C3C}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CF2-4CFE-B909-842307DF130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{2AEFB0F8-C8B0-4E13-9F3B-84EFD66E8D4D}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CF2-4CFE-B909-842307DF130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OutCh1!$AK$172:$AK$174</c:f>
              <c:strCache>
                <c:ptCount val="3"/>
                <c:pt idx="0">
                  <c:v> 78,519,085 </c:v>
                </c:pt>
                <c:pt idx="1">
                  <c:v> 100,177,518 </c:v>
                </c:pt>
                <c:pt idx="2">
                  <c:v>  </c:v>
                </c:pt>
              </c:strCache>
            </c:strRef>
          </c:xVal>
          <c:yVal>
            <c:numRef>
              <c:f>OutCh1!$AK$187:$AK$189</c:f>
              <c:numCache>
                <c:formatCode>0%</c:formatCode>
                <c:ptCount val="3"/>
                <c:pt idx="0">
                  <c:v>1.7813492619307384E-3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OutCh1!$AK$201:$AK$203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ECF2-4CFE-B909-842307DF1305}"/>
            </c:ext>
          </c:extLst>
        </c:ser>
        <c:ser>
          <c:idx val="1"/>
          <c:order val="1"/>
          <c:tx>
            <c:strRef>
              <c:f>OutCh1!$AK$153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{38A7B635-AD0C-4702-B4F9-F5EBAFE00345}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CF2-4CFE-B909-842307DF130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{54F68152-246A-40D5-8814-C3A8C12AB6AF}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CF2-4CFE-B909-842307DF130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OutCh1!$AK$175:$AK$177</c:f>
              <c:strCache>
                <c:ptCount val="3"/>
                <c:pt idx="0">
                  <c:v> 45,342,586 </c:v>
                </c:pt>
                <c:pt idx="1">
                  <c:v> 45,342,586 </c:v>
                </c:pt>
                <c:pt idx="2">
                  <c:v>  </c:v>
                </c:pt>
              </c:strCache>
            </c:strRef>
          </c:xVal>
          <c:yVal>
            <c:numRef>
              <c:f>OutCh1!$AK$190:$AK$192</c:f>
              <c:numCache>
                <c:formatCode>0%</c:formatCode>
                <c:ptCount val="3"/>
                <c:pt idx="0">
                  <c:v>2.7801644047954936E-2</c:v>
                </c:pt>
                <c:pt idx="1">
                  <c:v>-1.7733871827587438E-2</c:v>
                </c:pt>
                <c:pt idx="2">
                  <c:v>0</c:v>
                </c:pt>
              </c:numCache>
            </c:numRef>
          </c:yVal>
          <c:bubbleSize>
            <c:numRef>
              <c:f>OutCh1!$AK$204:$AK$206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ECF2-4CFE-B909-842307DF1305}"/>
            </c:ext>
          </c:extLst>
        </c:ser>
        <c:ser>
          <c:idx val="2"/>
          <c:order val="2"/>
          <c:tx>
            <c:strRef>
              <c:f>OutCh1!$AK$154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{DC81789C-98F3-475C-94D7-42A6997A2C7A}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CF2-4CFE-B909-842307DF130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OutCh1!$AK$178:$AK$180</c:f>
              <c:strCache>
                <c:ptCount val="3"/>
                <c:pt idx="0">
                  <c:v> 57,888,456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OutCh1!$AK$193:$AK$195</c:f>
              <c:numCache>
                <c:formatCode>0%</c:formatCode>
                <c:ptCount val="3"/>
                <c:pt idx="0">
                  <c:v>-1.1228798131081418E-2</c:v>
                </c:pt>
                <c:pt idx="1">
                  <c:v>-8.206802166717391E-4</c:v>
                </c:pt>
                <c:pt idx="2">
                  <c:v>0</c:v>
                </c:pt>
              </c:numCache>
            </c:numRef>
          </c:yVal>
          <c:bubbleSize>
            <c:numRef>
              <c:f>OutCh1!$AK$207:$AK$209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ECF2-4CFE-B909-842307DF1305}"/>
            </c:ext>
          </c:extLst>
        </c:ser>
        <c:ser>
          <c:idx val="3"/>
          <c:order val="3"/>
          <c:tx>
            <c:strRef>
              <c:f>OutCh1!$AK$155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{7D192CB7-8358-4EB7-A692-880A0579F50D}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CF2-4CFE-B909-842307DF130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OutCh1!$AK$181:$AK$183</c:f>
              <c:strCache>
                <c:ptCount val="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OutCh1!$AK$196:$AK$198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OutCh1!$AK$210:$AK$212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ECF2-4CFE-B909-842307DF13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7067776"/>
        <c:axId val="227102720"/>
      </c:bubbleChart>
      <c:valAx>
        <c:axId val="227067776"/>
        <c:scaling>
          <c:orientation val="minMax"/>
        </c:scaling>
        <c:delete val="0"/>
        <c:axPos val="b"/>
        <c:title>
          <c:tx>
            <c:strRef>
              <c:f>OutCh1!$AK$171</c:f>
              <c:strCache>
                <c:ptCount val="1"/>
                <c:pt idx="0">
                  <c:v>Volume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7102720"/>
        <c:crossesAt val="0"/>
        <c:crossBetween val="midCat"/>
      </c:valAx>
      <c:valAx>
        <c:axId val="227102720"/>
        <c:scaling>
          <c:orientation val="minMax"/>
        </c:scaling>
        <c:delete val="0"/>
        <c:axPos val="l"/>
        <c:title>
          <c:tx>
            <c:strRef>
              <c:f>OutCh1!$AK$186</c:f>
              <c:strCache>
                <c:ptCount val="1"/>
                <c:pt idx="0">
                  <c:v>Price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70677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OutCh3!$AG$105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FB-4C2E-BAEE-29231ACFE899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FB-4C2E-BAEE-29231ACFE899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FB-4C2E-BAEE-29231ACFE899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FB-4C2E-BAEE-29231ACFE899}"/>
              </c:ext>
            </c:extLst>
          </c:dPt>
          <c:cat>
            <c:strRef>
              <c:f>OutCh3!$AG$98:$AG$103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OutCh3!$AG$106:$AG$111</c:f>
              <c:numCache>
                <c:formatCode>0.00</c:formatCode>
                <c:ptCount val="6"/>
                <c:pt idx="0">
                  <c:v>2.4142038094559219</c:v>
                </c:pt>
                <c:pt idx="1">
                  <c:v>-2.4</c:v>
                </c:pt>
                <c:pt idx="2">
                  <c:v>-2.4</c:v>
                </c:pt>
                <c:pt idx="3">
                  <c:v>-2.4</c:v>
                </c:pt>
                <c:pt idx="4">
                  <c:v>-2.9475187525092807</c:v>
                </c:pt>
                <c:pt idx="5">
                  <c:v>2.4142038094559219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FB-4C2E-BAEE-29231ACFE899}"/>
            </c:ext>
          </c:extLst>
        </c:ser>
        <c:ser>
          <c:idx val="1"/>
          <c:order val="1"/>
          <c:tx>
            <c:strRef>
              <c:f>OutCh3!$AG$113</c:f>
              <c:strCache>
                <c:ptCount val="1"/>
                <c:pt idx="0">
                  <c:v>GPaL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AFB-4C2E-BAEE-29231ACFE89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AFB-4C2E-BAEE-29231ACFE899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AFB-4C2E-BAEE-29231ACFE899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AFB-4C2E-BAEE-29231ACFE899}"/>
              </c:ext>
            </c:extLst>
          </c:dPt>
          <c:cat>
            <c:strRef>
              <c:f>OutCh3!$AG$98:$AG$103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OutCh3!$AG$114:$AG$119</c:f>
              <c:numCache>
                <c:formatCode>#,##0.00</c:formatCode>
                <c:ptCount val="6"/>
                <c:pt idx="0">
                  <c:v>-2.4142038094559219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0.54751875250928073</c:v>
                </c:pt>
                <c:pt idx="5">
                  <c:v>-5.3617225619652027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FB-4C2E-BAEE-29231ACFE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227214848"/>
        <c:axId val="227216384"/>
      </c:barChart>
      <c:catAx>
        <c:axId val="22721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216384"/>
        <c:crosses val="autoZero"/>
        <c:auto val="1"/>
        <c:lblAlgn val="ctr"/>
        <c:lblOffset val="100"/>
        <c:noMultiLvlLbl val="0"/>
      </c:catAx>
      <c:valAx>
        <c:axId val="22721638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21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OutCh3!$AK$97</c:f>
          <c:strCache>
            <c:ptCount val="1"/>
            <c:pt idx="0">
              <c:v>Convenience - Trade Terms Conditionality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OutCh3!$AJ$98</c:f>
              <c:strCache>
                <c:ptCount val="1"/>
                <c:pt idx="0">
                  <c:v>Conditional Trade Inv.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700-469B-813D-4D761EA941A8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700-469B-813D-4D761EA941A8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FEBF-4BFD-9C30-04EE637DEF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OutCh3!$AK$98</c:f>
              <c:numCache>
                <c:formatCode>General</c:formatCode>
                <c:ptCount val="1"/>
                <c:pt idx="0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0-469B-813D-4D761EA941A8}"/>
            </c:ext>
          </c:extLst>
        </c:ser>
        <c:ser>
          <c:idx val="1"/>
          <c:order val="1"/>
          <c:tx>
            <c:strRef>
              <c:f>OutCh3!$AJ$99</c:f>
              <c:strCache>
                <c:ptCount val="1"/>
                <c:pt idx="0">
                  <c:v>Un-conditional Trade Inv.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00-469B-813D-4D761EA94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OutCh3!$AK$99</c:f>
              <c:numCache>
                <c:formatCode>General</c:formatCode>
                <c:ptCount val="1"/>
                <c:pt idx="0">
                  <c:v>1019999.9999999999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00-469B-813D-4D761EA94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27260288"/>
        <c:axId val="227258752"/>
      </c:barChart>
      <c:valAx>
        <c:axId val="22725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260288"/>
        <c:crosses val="autoZero"/>
        <c:crossBetween val="between"/>
        <c:majorUnit val="5000000"/>
      </c:valAx>
      <c:catAx>
        <c:axId val="227260288"/>
        <c:scaling>
          <c:orientation val="minMax"/>
        </c:scaling>
        <c:delete val="1"/>
        <c:axPos val="l"/>
        <c:majorTickMark val="out"/>
        <c:minorTickMark val="none"/>
        <c:tickLblPos val="nextTo"/>
        <c:crossAx val="22725875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OutCh3!$AO$97</c:f>
          <c:strCache>
            <c:ptCount val="1"/>
            <c:pt idx="0">
              <c:v>GPal per Brand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OutCh3!$AN$101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OutCh3!$AO$99:$AR$99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OutCh3!$AO$101:$AR$101</c:f>
              <c:numCache>
                <c:formatCode>#,##0</c:formatCode>
                <c:ptCount val="4"/>
                <c:pt idx="0">
                  <c:v>156319143.72238085</c:v>
                </c:pt>
                <c:pt idx="1">
                  <c:v>169072749.09509158</c:v>
                </c:pt>
                <c:pt idx="2">
                  <c:v>85613222.483256415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F-4ECE-A408-66FA6708B668}"/>
            </c:ext>
          </c:extLst>
        </c:ser>
        <c:ser>
          <c:idx val="2"/>
          <c:order val="1"/>
          <c:tx>
            <c:strRef>
              <c:f>OutCh3!$AN$103</c:f>
              <c:strCache>
                <c:ptCount val="1"/>
                <c:pt idx="0">
                  <c:v>Logistics</c:v>
                </c:pt>
              </c:strCache>
            </c:strRef>
          </c:tx>
          <c:invertIfNegative val="0"/>
          <c:cat>
            <c:strRef>
              <c:f>OutCh3!$AO$99:$AR$99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OutCh3!$AO$103:$AR$103</c:f>
              <c:numCache>
                <c:formatCode>#,##0</c:formatCode>
                <c:ptCount val="4"/>
                <c:pt idx="0">
                  <c:v>19203226.653600004</c:v>
                </c:pt>
                <c:pt idx="1">
                  <c:v>21739501.872000001</c:v>
                </c:pt>
                <c:pt idx="2">
                  <c:v>9952472.3760000002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F-4ECE-A408-66FA6708B668}"/>
            </c:ext>
          </c:extLst>
        </c:ser>
        <c:ser>
          <c:idx val="1"/>
          <c:order val="2"/>
          <c:tx>
            <c:strRef>
              <c:f>OutCh3!$AN$105</c:f>
              <c:strCache>
                <c:ptCount val="1"/>
                <c:pt idx="0">
                  <c:v>GPAL</c:v>
                </c:pt>
              </c:strCache>
            </c:strRef>
          </c:tx>
          <c:invertIfNegative val="0"/>
          <c:cat>
            <c:strRef>
              <c:f>OutCh3!$AO$99:$AR$99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OutCh3!$AO$105:$AR$105</c:f>
              <c:numCache>
                <c:formatCode>#,##0</c:formatCode>
                <c:ptCount val="4"/>
                <c:pt idx="0">
                  <c:v>196634073.87944955</c:v>
                </c:pt>
                <c:pt idx="1">
                  <c:v>114224689.00662407</c:v>
                </c:pt>
                <c:pt idx="2">
                  <c:v>67363100.429815918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BF-4ECE-A408-66FA6708B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728960"/>
        <c:axId val="286730496"/>
      </c:barChart>
      <c:catAx>
        <c:axId val="286728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6730496"/>
        <c:crosses val="autoZero"/>
        <c:auto val="1"/>
        <c:lblAlgn val="ctr"/>
        <c:lblOffset val="100"/>
        <c:noMultiLvlLbl val="0"/>
      </c:catAx>
      <c:valAx>
        <c:axId val="2867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(000s)</a:t>
                </a:r>
              </a:p>
            </c:rich>
          </c:tx>
          <c:overlay val="0"/>
        </c:title>
        <c:numFmt formatCode="#,##0,_);\ \(#,##0,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867289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Assortment - GPaL ROS vs WD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OutCh1!$AG$152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{7F11DF7B-BAB5-4543-81E4-D8A7B01C62D4}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784-42C4-AF4B-BFFCE295F3E2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{CBFF5385-5742-439E-8E63-CB903ECA7BAF}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784-42C4-AF4B-BFFCE295F3E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OutCh1!$AG$172:$AG$174</c:f>
              <c:strCache>
                <c:ptCount val="2"/>
                <c:pt idx="0">
                  <c:v>74%</c:v>
                </c:pt>
                <c:pt idx="1">
                  <c:v>84%</c:v>
                </c:pt>
              </c:strCache>
            </c:strRef>
          </c:xVal>
          <c:yVal>
            <c:numRef>
              <c:f>OutCh1!$AG$187:$AG$189</c:f>
              <c:numCache>
                <c:formatCode>_(* #,##0_);_(* \(#,##0\);_(* "-"??_);_(@_)</c:formatCode>
                <c:ptCount val="3"/>
                <c:pt idx="0">
                  <c:v>279366730.97314632</c:v>
                </c:pt>
                <c:pt idx="1">
                  <c:v>218386869.64650309</c:v>
                </c:pt>
                <c:pt idx="2">
                  <c:v>0</c:v>
                </c:pt>
              </c:numCache>
            </c:numRef>
          </c:yVal>
          <c:bubbleSize>
            <c:numRef>
              <c:f>OutCh1!$AG$201:$AG$203</c:f>
              <c:numCache>
                <c:formatCode>_(* #,##0_);_(* \(#,##0\);_(* "-"??_);_(@_)</c:formatCode>
                <c:ptCount val="3"/>
                <c:pt idx="0">
                  <c:v>78519084.938043952</c:v>
                </c:pt>
                <c:pt idx="1">
                  <c:v>100177518.30857961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1784-42C4-AF4B-BFFCE295F3E2}"/>
            </c:ext>
          </c:extLst>
        </c:ser>
        <c:ser>
          <c:idx val="1"/>
          <c:order val="1"/>
          <c:tx>
            <c:strRef>
              <c:f>OutCh1!$AG$153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{4E61DE3E-1524-41F1-98F6-2DFB0C3C8006}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784-42C4-AF4B-BFFCE295F3E2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{6BD81404-9898-4CEA-8A63-3A0D839B4FA5}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784-42C4-AF4B-BFFCE295F3E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OutCh1!$AG$175:$AG$177</c:f>
              <c:strCache>
                <c:ptCount val="2"/>
                <c:pt idx="0">
                  <c:v>64%</c:v>
                </c:pt>
                <c:pt idx="1">
                  <c:v>84%</c:v>
                </c:pt>
              </c:strCache>
            </c:strRef>
          </c:xVal>
          <c:yVal>
            <c:numRef>
              <c:f>OutCh1!$AG$190:$AG$192</c:f>
              <c:numCache>
                <c:formatCode>_(* #,##0_);_(* \(#,##0\);_(* "-"??_);_(@_)</c:formatCode>
                <c:ptCount val="3"/>
                <c:pt idx="0">
                  <c:v>151068283.38569051</c:v>
                </c:pt>
                <c:pt idx="1">
                  <c:v>232852528.48019093</c:v>
                </c:pt>
                <c:pt idx="2">
                  <c:v>0</c:v>
                </c:pt>
              </c:numCache>
            </c:numRef>
          </c:yVal>
          <c:bubbleSize>
            <c:numRef>
              <c:f>OutCh1!$AG$204:$AG$206</c:f>
              <c:numCache>
                <c:formatCode>_(* #,##0_);_(* \(#,##0\);_(* "-"??_);_(@_)</c:formatCode>
                <c:ptCount val="3"/>
                <c:pt idx="0">
                  <c:v>45342586.041080847</c:v>
                </c:pt>
                <c:pt idx="1">
                  <c:v>77943237.25288707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1784-42C4-AF4B-BFFCE295F3E2}"/>
            </c:ext>
          </c:extLst>
        </c:ser>
        <c:ser>
          <c:idx val="2"/>
          <c:order val="2"/>
          <c:tx>
            <c:strRef>
              <c:f>OutCh1!$AG$154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{304DE19E-6EC8-4D55-9C1C-422F2CE3A2C5}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784-42C4-AF4B-BFFCE295F3E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OutCh1!$AG$178:$AG$180</c:f>
              <c:strCache>
                <c:ptCount val="1"/>
                <c:pt idx="0">
                  <c:v>74%</c:v>
                </c:pt>
              </c:strCache>
            </c:strRef>
          </c:xVal>
          <c:yVal>
            <c:numRef>
              <c:f>OutCh1!$AG$193:$AG$195</c:f>
              <c:numCache>
                <c:formatCode>_(* #,##0_);_(* \(#,##0\);_(* "-"??_);_(@_)</c:formatCode>
                <c:ptCount val="3"/>
                <c:pt idx="0">
                  <c:v>124452509.10984084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OutCh1!$AG$207:$AG$209</c:f>
              <c:numCache>
                <c:formatCode>_(* #,##0_);_(* \(#,##0\);_(* "-"??_);_(@_)</c:formatCode>
                <c:ptCount val="3"/>
                <c:pt idx="0">
                  <c:v>57888456.11718937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1784-42C4-AF4B-BFFCE295F3E2}"/>
            </c:ext>
          </c:extLst>
        </c:ser>
        <c:ser>
          <c:idx val="3"/>
          <c:order val="3"/>
          <c:tx>
            <c:strRef>
              <c:f>OutCh1!$AG$155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{5B6210E7-8BFF-4458-833D-E96FE9C802D6}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784-42C4-AF4B-BFFCE295F3E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OutCh1!$AG$181:$AG$183</c:f>
            </c:numRef>
          </c:xVal>
          <c:yVal>
            <c:numRef>
              <c:f>OutCh1!$AG$196:$AG$198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OutCh1!$AG$210:$AG$212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1784-42C4-AF4B-BFFCE295F3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86831360"/>
        <c:axId val="286833280"/>
      </c:bubbleChart>
      <c:valAx>
        <c:axId val="286831360"/>
        <c:scaling>
          <c:orientation val="minMax"/>
          <c:max val="1"/>
          <c:min val="0"/>
        </c:scaling>
        <c:delete val="0"/>
        <c:axPos val="b"/>
        <c:title>
          <c:tx>
            <c:strRef>
              <c:f>OutCh1!$AE$170</c:f>
              <c:strCache>
                <c:ptCount val="1"/>
                <c:pt idx="0">
                  <c:v>Weighted Distribution</c:v>
                </c:pt>
              </c:strCache>
            </c:strRef>
          </c:tx>
          <c:overlay val="0"/>
        </c:title>
        <c:numFmt formatCode="0%" sourceLinked="1"/>
        <c:majorTickMark val="out"/>
        <c:minorTickMark val="none"/>
        <c:tickLblPos val="nextTo"/>
        <c:crossAx val="286833280"/>
        <c:crosses val="autoZero"/>
        <c:crossBetween val="midCat"/>
      </c:valAx>
      <c:valAx>
        <c:axId val="286833280"/>
        <c:scaling>
          <c:orientation val="minMax"/>
        </c:scaling>
        <c:delete val="0"/>
        <c:axPos val="l"/>
        <c:title>
          <c:tx>
            <c:strRef>
              <c:f>OutCh1!$AE$185</c:f>
              <c:strCache>
                <c:ptCount val="1"/>
                <c:pt idx="0">
                  <c:v>GPaL ROS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868313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{B6AA7E2E-3113-4347-8A52-5E3B82054116}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032-4C96-932D-9223C04BD7B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{C0FFD9B9-971E-47ED-9E7A-30AA6B7804E9}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032-4C96-932D-9223C04BD7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OutCh1!$AK$172:$AK$174</c:f>
              <c:strCache>
                <c:ptCount val="3"/>
                <c:pt idx="0">
                  <c:v> 78,519,085 </c:v>
                </c:pt>
                <c:pt idx="1">
                  <c:v> 100,177,518 </c:v>
                </c:pt>
                <c:pt idx="2">
                  <c:v>  </c:v>
                </c:pt>
              </c:strCache>
            </c:strRef>
          </c:xVal>
          <c:yVal>
            <c:numRef>
              <c:f>OutCh1!$AK$187:$AK$189</c:f>
              <c:numCache>
                <c:formatCode>0%</c:formatCode>
                <c:ptCount val="3"/>
                <c:pt idx="0">
                  <c:v>1.7813492619307384E-3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OutCh1!$AK$201:$AK$203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6032-4C96-932D-9223C04BD7B5}"/>
            </c:ext>
          </c:extLst>
        </c:ser>
        <c:ser>
          <c:idx val="1"/>
          <c:order val="1"/>
          <c:tx>
            <c:strRef>
              <c:f>OutCh1!$AK$153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{6C65D32A-5868-48C4-9495-60AC528F9B7C}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032-4C96-932D-9223C04BD7B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{39BC354E-B25E-4F0F-9485-5FFC14C39F83}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032-4C96-932D-9223C04BD7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OutCh1!$AK$175:$AK$177</c:f>
              <c:strCache>
                <c:ptCount val="3"/>
                <c:pt idx="0">
                  <c:v> 45,342,586 </c:v>
                </c:pt>
                <c:pt idx="1">
                  <c:v> 45,342,586 </c:v>
                </c:pt>
                <c:pt idx="2">
                  <c:v>  </c:v>
                </c:pt>
              </c:strCache>
            </c:strRef>
          </c:xVal>
          <c:yVal>
            <c:numRef>
              <c:f>OutCh1!$AK$190:$AK$192</c:f>
              <c:numCache>
                <c:formatCode>0%</c:formatCode>
                <c:ptCount val="3"/>
                <c:pt idx="0">
                  <c:v>2.7801644047954936E-2</c:v>
                </c:pt>
                <c:pt idx="1">
                  <c:v>-1.7733871827587438E-2</c:v>
                </c:pt>
                <c:pt idx="2">
                  <c:v>0</c:v>
                </c:pt>
              </c:numCache>
            </c:numRef>
          </c:yVal>
          <c:bubbleSize>
            <c:numRef>
              <c:f>OutCh1!$AK$204:$AK$206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6032-4C96-932D-9223C04BD7B5}"/>
            </c:ext>
          </c:extLst>
        </c:ser>
        <c:ser>
          <c:idx val="2"/>
          <c:order val="2"/>
          <c:tx>
            <c:strRef>
              <c:f>OutCh1!$AK$154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{23746F22-E4E4-4167-A1F8-E63763247EBA}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032-4C96-932D-9223C04BD7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OutCh1!$AK$178:$AK$180</c:f>
              <c:strCache>
                <c:ptCount val="3"/>
                <c:pt idx="0">
                  <c:v> 57,888,456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OutCh1!$AK$193:$AK$195</c:f>
              <c:numCache>
                <c:formatCode>0%</c:formatCode>
                <c:ptCount val="3"/>
                <c:pt idx="0">
                  <c:v>-1.1228798131081418E-2</c:v>
                </c:pt>
                <c:pt idx="1">
                  <c:v>-8.206802166717391E-4</c:v>
                </c:pt>
                <c:pt idx="2">
                  <c:v>0</c:v>
                </c:pt>
              </c:numCache>
            </c:numRef>
          </c:yVal>
          <c:bubbleSize>
            <c:numRef>
              <c:f>OutCh1!$AK$207:$AK$209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6032-4C96-932D-9223C04BD7B5}"/>
            </c:ext>
          </c:extLst>
        </c:ser>
        <c:ser>
          <c:idx val="3"/>
          <c:order val="3"/>
          <c:tx>
            <c:strRef>
              <c:f>OutCh1!$AK$155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{C30C20BB-DA4A-4E70-BCAA-6AC8F9BA5E87}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032-4C96-932D-9223C04BD7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OutCh1!$AK$181:$AK$183</c:f>
              <c:strCache>
                <c:ptCount val="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OutCh1!$AK$196:$AK$198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OutCh1!$AK$210:$AK$212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6032-4C96-932D-9223C04BD7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7315072"/>
        <c:axId val="227350016"/>
      </c:bubbleChart>
      <c:valAx>
        <c:axId val="227315072"/>
        <c:scaling>
          <c:orientation val="minMax"/>
        </c:scaling>
        <c:delete val="0"/>
        <c:axPos val="b"/>
        <c:title>
          <c:tx>
            <c:strRef>
              <c:f>OutCh1!$AK$171</c:f>
              <c:strCache>
                <c:ptCount val="1"/>
                <c:pt idx="0">
                  <c:v>Volume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7350016"/>
        <c:crossesAt val="0"/>
        <c:crossBetween val="midCat"/>
      </c:valAx>
      <c:valAx>
        <c:axId val="227350016"/>
        <c:scaling>
          <c:orientation val="minMax"/>
        </c:scaling>
        <c:delete val="0"/>
        <c:axPos val="l"/>
        <c:title>
          <c:tx>
            <c:strRef>
              <c:f>OutCh1!$AK$186</c:f>
              <c:strCache>
                <c:ptCount val="1"/>
                <c:pt idx="0">
                  <c:v>Price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73150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OutCh1!$AK$252</c:f>
          <c:strCache>
            <c:ptCount val="1"/>
            <c:pt idx="0">
              <c:v>Customer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{92C6CF43-B068-4B59-B507-9F03A3FC7A4E}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47A-46E4-A639-23E3ED5777FA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{5C511843-8987-4A92-97C0-6B039FDE54CD}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47A-46E4-A639-23E3ED5777F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OutCh1!$AK$286:$AK$288</c:f>
              <c:strCache>
                <c:ptCount val="3"/>
                <c:pt idx="0">
                  <c:v>264%</c:v>
                </c:pt>
                <c:pt idx="2">
                  <c:v>237%</c:v>
                </c:pt>
              </c:strCache>
            </c:strRef>
          </c:xVal>
          <c:yVal>
            <c:numRef>
              <c:f>OutCh1!$AK$313:$AK$315</c:f>
              <c:numCache>
                <c:formatCode>0%</c:formatCode>
                <c:ptCount val="3"/>
                <c:pt idx="0">
                  <c:v>-0.14098737255889571</c:v>
                </c:pt>
                <c:pt idx="1">
                  <c:v>0</c:v>
                </c:pt>
                <c:pt idx="2">
                  <c:v>0.86916192449351448</c:v>
                </c:pt>
              </c:numCache>
            </c:numRef>
          </c:yVal>
          <c:bubbleSize>
            <c:numRef>
              <c:f>OutCh1!$AK$339:$AK$341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947A-46E4-A639-23E3ED5777FA}"/>
            </c:ext>
          </c:extLst>
        </c:ser>
        <c:ser>
          <c:idx val="1"/>
          <c:order val="1"/>
          <c:tx>
            <c:strRef>
              <c:f>OutCh1!$AK$255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{B6BFE3EE-5873-4AD9-8A79-02A1F5436849}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47A-46E4-A639-23E3ED5777FA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{EC461110-B340-47D0-B66C-0E78F8EE81A9}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47A-46E4-A639-23E3ED5777F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OutCh1!$AK$289:$AK$291</c:f>
              <c:strCache>
                <c:ptCount val="1"/>
                <c:pt idx="0">
                  <c:v>666%</c:v>
                </c:pt>
              </c:strCache>
            </c:strRef>
          </c:xVal>
          <c:yVal>
            <c:numRef>
              <c:f>OutCh1!$AK$316:$AK$318</c:f>
              <c:numCache>
                <c:formatCode>0%</c:formatCode>
                <c:ptCount val="3"/>
                <c:pt idx="0">
                  <c:v>0.10172524953793083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OutCh1!$AK$342:$AK$344</c:f>
              <c:numCache>
                <c:formatCode>_(* #,##0_);_(* \(#,##0\);_(* "-"??_);_(@_)</c:formatCode>
                <c:ptCount val="3"/>
                <c:pt idx="0">
                  <c:v>27729014.702287521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947A-46E4-A639-23E3ED5777FA}"/>
            </c:ext>
          </c:extLst>
        </c:ser>
        <c:ser>
          <c:idx val="2"/>
          <c:order val="2"/>
          <c:tx>
            <c:strRef>
              <c:f>OutCh1!$AK$256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{68657933-3896-4285-807E-56532C55001F}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47A-46E4-A639-23E3ED5777F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OutCh1!$AK$292:$AK$294</c:f>
              <c:strCache>
                <c:ptCount val="3"/>
                <c:pt idx="0">
                  <c:v>267%</c:v>
                </c:pt>
                <c:pt idx="2">
                  <c:v>138%</c:v>
                </c:pt>
              </c:strCache>
            </c:strRef>
          </c:xVal>
          <c:yVal>
            <c:numRef>
              <c:f>OutCh1!$AK$319:$AK$321</c:f>
              <c:numCache>
                <c:formatCode>0%</c:formatCode>
                <c:ptCount val="3"/>
                <c:pt idx="0">
                  <c:v>-0.82936375358740888</c:v>
                </c:pt>
                <c:pt idx="1">
                  <c:v>0</c:v>
                </c:pt>
                <c:pt idx="2">
                  <c:v>0.2782775267838089</c:v>
                </c:pt>
              </c:numCache>
            </c:numRef>
          </c:yVal>
          <c:bubbleSize>
            <c:numRef>
              <c:f>OutCh1!$AK$345:$AK$347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947A-46E4-A639-23E3ED5777FA}"/>
            </c:ext>
          </c:extLst>
        </c:ser>
        <c:ser>
          <c:idx val="3"/>
          <c:order val="3"/>
          <c:tx>
            <c:strRef>
              <c:f>OutCh1!$AK$257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{047D7ABC-D648-49C5-8556-01182426267A}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47A-46E4-A639-23E3ED5777F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OutCh1!$AK$295:$AK$297</c:f>
            </c:numRef>
          </c:xVal>
          <c:yVal>
            <c:numRef>
              <c:f>OutCh1!$AK$322:$AK$324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OutCh1!$AK$348:$AK$350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947A-46E4-A639-23E3ED5777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27411840"/>
        <c:axId val="227438592"/>
      </c:bubbleChart>
      <c:valAx>
        <c:axId val="227411840"/>
        <c:scaling>
          <c:orientation val="minMax"/>
        </c:scaling>
        <c:delete val="0"/>
        <c:axPos val="b"/>
        <c:title>
          <c:tx>
            <c:strRef>
              <c:f>OutCh1!$AI$284</c:f>
              <c:strCache>
                <c:ptCount val="1"/>
                <c:pt idx="0">
                  <c:v>Customer Uplift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27438592"/>
        <c:crossesAt val="0"/>
        <c:crossBetween val="midCat"/>
      </c:valAx>
      <c:valAx>
        <c:axId val="227438592"/>
        <c:scaling>
          <c:orientation val="minMax"/>
        </c:scaling>
        <c:delete val="0"/>
        <c:axPos val="l"/>
        <c:title>
          <c:tx>
            <c:strRef>
              <c:f>OutCh1!$AI$311</c:f>
              <c:strCache>
                <c:ptCount val="1"/>
                <c:pt idx="0">
                  <c:v>GPaL Uplift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274118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OutCh1!$AO$254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{8539295E-6C5F-46E9-ABDB-34B7B06438CB}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07C-4ACD-A712-C750F67A263A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{992EE7F9-54FD-4590-A48D-BF0F1B881EED}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07C-4ACD-A712-C750F67A263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OutCh1!$AO$286:$AO$288</c:f>
              <c:strCache>
                <c:ptCount val="3"/>
                <c:pt idx="0">
                  <c:v>-14%</c:v>
                </c:pt>
                <c:pt idx="2">
                  <c:v>87%</c:v>
                </c:pt>
              </c:strCache>
            </c:strRef>
          </c:xVal>
          <c:yVal>
            <c:numRef>
              <c:f>OutCh1!$AO$313:$AO$315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OutCh1!$AO$339:$AO$341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307C-4ACD-A712-C750F67A263A}"/>
            </c:ext>
          </c:extLst>
        </c:ser>
        <c:ser>
          <c:idx val="1"/>
          <c:order val="1"/>
          <c:tx>
            <c:strRef>
              <c:f>OutCh1!$AO$255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{8DD4112E-3C93-46C2-AB14-B9214A70FCD0}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07C-4ACD-A712-C750F67A263A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{6ED465F8-FFC2-4D22-BDA5-409311F733A3}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07C-4ACD-A712-C750F67A263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OutCh1!$AO$292:$AO$294</c:f>
              <c:strCache>
                <c:ptCount val="3"/>
                <c:pt idx="0">
                  <c:v>-83%</c:v>
                </c:pt>
                <c:pt idx="2">
                  <c:v>28%</c:v>
                </c:pt>
              </c:strCache>
            </c:strRef>
          </c:xVal>
          <c:yVal>
            <c:numRef>
              <c:f>OutCh1!$AO$319:$AO$321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OutCh1!$AO$345:$AO$347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307C-4ACD-A712-C750F67A263A}"/>
            </c:ext>
          </c:extLst>
        </c:ser>
        <c:ser>
          <c:idx val="2"/>
          <c:order val="2"/>
          <c:tx>
            <c:strRef>
              <c:f>OutCh1!$AO$256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{61793E98-DEBD-445A-830F-8C83EF7B0A86}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07C-4ACD-A712-C750F67A263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OutCh1!$AO$298:$AO$300</c:f>
              <c:strCache>
                <c:ptCount val="2"/>
                <c:pt idx="0">
                  <c:v>-9%</c:v>
                </c:pt>
                <c:pt idx="1">
                  <c:v>188%</c:v>
                </c:pt>
              </c:strCache>
            </c:strRef>
          </c:xVal>
          <c:yVal>
            <c:numRef>
              <c:f>OutCh1!$AO$325:$AO$327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OutCh1!$AO$351:$AO$353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307C-4ACD-A712-C750F67A263A}"/>
            </c:ext>
          </c:extLst>
        </c:ser>
        <c:ser>
          <c:idx val="3"/>
          <c:order val="3"/>
          <c:tx>
            <c:strRef>
              <c:f>OutCh1!$AO$257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{E466E3B6-E999-4CCA-BF4D-86A49D4D08CE}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07C-4ACD-A712-C750F67A263A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OutCh1!$AO$304:$AO$306</c:f>
            </c:numRef>
          </c:xVal>
          <c:yVal>
            <c:numRef>
              <c:f>OutCh1!$AO$331:$AO$333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OutCh1!$AO$357:$AO$359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307C-4ACD-A712-C750F67A26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27500800"/>
        <c:axId val="227502720"/>
      </c:bubbleChart>
      <c:valAx>
        <c:axId val="227500800"/>
        <c:scaling>
          <c:orientation val="minMax"/>
        </c:scaling>
        <c:delete val="0"/>
        <c:axPos val="b"/>
        <c:title>
          <c:tx>
            <c:strRef>
              <c:f>OutCh1!$AM$284</c:f>
              <c:strCache>
                <c:ptCount val="1"/>
                <c:pt idx="0">
                  <c:v>GPaL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27502720"/>
        <c:crossesAt val="0"/>
        <c:crossBetween val="midCat"/>
      </c:valAx>
      <c:valAx>
        <c:axId val="227502720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27500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OutCh1!$AO$152</c:f>
              <c:strCache>
                <c:ptCount val="1"/>
                <c:pt idx="0">
                  <c:v>Harken - 33cl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</c:v>
              </c:pt>
              <c:pt idx="1">
                <c:v>1</c:v>
              </c:pt>
              <c:pt idx="2">
                <c:v>1</c:v>
              </c:pt>
            </c:numLit>
          </c:xVal>
          <c:yVal>
            <c:numRef>
              <c:f>OutCh1!$AO$153:$AO$155</c:f>
              <c:numCache>
                <c:formatCode>0.0</c:formatCode>
                <c:ptCount val="3"/>
                <c:pt idx="0">
                  <c:v>7.9</c:v>
                </c:pt>
                <c:pt idx="1">
                  <c:v>7.4388982062523699</c:v>
                </c:pt>
                <c:pt idx="2">
                  <c:v>5.2929999999999993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16-4625-A5E4-01CB18C37BB7}"/>
            </c:ext>
          </c:extLst>
        </c:ser>
        <c:ser>
          <c:idx val="1"/>
          <c:order val="1"/>
          <c:tx>
            <c:strRef>
              <c:f>OutCh1!$AO$156</c:f>
              <c:strCache>
                <c:ptCount val="1"/>
                <c:pt idx="0">
                  <c:v>Harken - 6 x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2</c:v>
              </c:pt>
              <c:pt idx="1">
                <c:v>2</c:v>
              </c:pt>
              <c:pt idx="2">
                <c:v>2</c:v>
              </c:pt>
            </c:numLit>
          </c:xVal>
          <c:yVal>
            <c:numRef>
              <c:f>OutCh1!$AO$157:$AO$159</c:f>
              <c:numCache>
                <c:formatCode>0.0</c:formatCode>
                <c:ptCount val="3"/>
                <c:pt idx="0">
                  <c:v>7.55</c:v>
                </c:pt>
                <c:pt idx="1">
                  <c:v>6.6325784288533072</c:v>
                </c:pt>
                <c:pt idx="2">
                  <c:v>5.4047110080336198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16-4625-A5E4-01CB18C37BB7}"/>
            </c:ext>
          </c:extLst>
        </c:ser>
        <c:ser>
          <c:idx val="2"/>
          <c:order val="2"/>
          <c:tx>
            <c:strRef>
              <c:f>OutCh1!$AO$160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3</c:v>
              </c:pt>
              <c:pt idx="1">
                <c:v>3</c:v>
              </c:pt>
              <c:pt idx="2">
                <c:v>3</c:v>
              </c:pt>
            </c:numLit>
          </c:xVal>
          <c:yVal>
            <c:numRef>
              <c:f>OutCh1!$AO$161:$AO$163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16-4625-A5E4-01CB18C37BB7}"/>
            </c:ext>
          </c:extLst>
        </c:ser>
        <c:ser>
          <c:idx val="3"/>
          <c:order val="3"/>
          <c:tx>
            <c:strRef>
              <c:f>OutCh1!$AO$164</c:f>
              <c:strCache>
                <c:ptCount val="1"/>
                <c:pt idx="0">
                  <c:v>Kara - 25cl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4</c:v>
              </c:pt>
              <c:pt idx="1">
                <c:v>4</c:v>
              </c:pt>
              <c:pt idx="2">
                <c:v>4</c:v>
              </c:pt>
            </c:numLit>
          </c:xVal>
          <c:yVal>
            <c:numRef>
              <c:f>OutCh1!$AO$165:$AO$167</c:f>
              <c:numCache>
                <c:formatCode>0.0</c:formatCode>
                <c:ptCount val="3"/>
                <c:pt idx="0">
                  <c:v>7.6</c:v>
                </c:pt>
                <c:pt idx="1">
                  <c:v>7.1564585891958119</c:v>
                </c:pt>
                <c:pt idx="2">
                  <c:v>5.0919999999999996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16-4625-A5E4-01CB18C37BB7}"/>
            </c:ext>
          </c:extLst>
        </c:ser>
        <c:ser>
          <c:idx val="4"/>
          <c:order val="4"/>
          <c:tx>
            <c:strRef>
              <c:f>OutCh1!$AO$168</c:f>
              <c:strCache>
                <c:ptCount val="1"/>
                <c:pt idx="0">
                  <c:v>Kara - 6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5</c:v>
              </c:pt>
            </c:numLit>
          </c:xVal>
          <c:yVal>
            <c:numRef>
              <c:f>OutCh1!$AO$169:$AO$171</c:f>
              <c:numCache>
                <c:formatCode>0.0</c:formatCode>
                <c:ptCount val="3"/>
                <c:pt idx="0">
                  <c:v>7.68</c:v>
                </c:pt>
                <c:pt idx="1">
                  <c:v>7.4481940747854525</c:v>
                </c:pt>
                <c:pt idx="2">
                  <c:v>6.1440000000000001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16-4625-A5E4-01CB18C37BB7}"/>
            </c:ext>
          </c:extLst>
        </c:ser>
        <c:ser>
          <c:idx val="5"/>
          <c:order val="5"/>
          <c:tx>
            <c:strRef>
              <c:f>OutCh1!$AO$172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6</c:v>
              </c:pt>
              <c:pt idx="1">
                <c:v>6</c:v>
              </c:pt>
              <c:pt idx="2">
                <c:v>6</c:v>
              </c:pt>
            </c:numLit>
          </c:xVal>
          <c:yVal>
            <c:numRef>
              <c:f>OutCh1!$AO$173:$AO$175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16-4625-A5E4-01CB18C37BB7}"/>
            </c:ext>
          </c:extLst>
        </c:ser>
        <c:ser>
          <c:idx val="6"/>
          <c:order val="6"/>
          <c:tx>
            <c:strRef>
              <c:f>OutCh1!$AO$176</c:f>
              <c:strCache>
                <c:ptCount val="1"/>
                <c:pt idx="0">
                  <c:v>Greenborg - 24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7</c:v>
              </c:pt>
              <c:pt idx="1">
                <c:v>7</c:v>
              </c:pt>
              <c:pt idx="2">
                <c:v>7</c:v>
              </c:pt>
            </c:numLit>
          </c:xVal>
          <c:yVal>
            <c:numRef>
              <c:f>OutCh1!$AO$177:$AO$179</c:f>
              <c:numCache>
                <c:formatCode>0.0</c:formatCode>
                <c:ptCount val="3"/>
                <c:pt idx="0">
                  <c:v>7.7</c:v>
                </c:pt>
                <c:pt idx="1">
                  <c:v>6.5011992257350766</c:v>
                </c:pt>
                <c:pt idx="2">
                  <c:v>5.4107798770760969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16-4625-A5E4-01CB18C37BB7}"/>
            </c:ext>
          </c:extLst>
        </c:ser>
        <c:ser>
          <c:idx val="7"/>
          <c:order val="7"/>
          <c:tx>
            <c:strRef>
              <c:f>OutCh1!$AO$180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8</c:v>
              </c:pt>
              <c:pt idx="1">
                <c:v>8</c:v>
              </c:pt>
              <c:pt idx="2">
                <c:v>8</c:v>
              </c:pt>
            </c:numLit>
          </c:xVal>
          <c:yVal>
            <c:numRef>
              <c:f>OutCh1!$AO$181:$AO$183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F16-4625-A5E4-01CB18C37BB7}"/>
            </c:ext>
          </c:extLst>
        </c:ser>
        <c:ser>
          <c:idx val="8"/>
          <c:order val="8"/>
          <c:tx>
            <c:strRef>
              <c:f>OutCh1!$AO$184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9</c:v>
              </c:pt>
              <c:pt idx="1">
                <c:v>9</c:v>
              </c:pt>
              <c:pt idx="2">
                <c:v>9</c:v>
              </c:pt>
            </c:numLit>
          </c:xVal>
          <c:yVal>
            <c:numRef>
              <c:f>OutCh1!$AO$185:$AO$187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F16-4625-A5E4-01CB18C37BB7}"/>
            </c:ext>
          </c:extLst>
        </c:ser>
        <c:ser>
          <c:idx val="9"/>
          <c:order val="9"/>
          <c:tx>
            <c:strRef>
              <c:f>OutCh1!$AO$188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10</c:v>
              </c:pt>
            </c:numLit>
          </c:xVal>
          <c:yVal>
            <c:numRef>
              <c:f>OutCh1!$AO$189:$AO$191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F16-4625-A5E4-01CB18C37BB7}"/>
            </c:ext>
          </c:extLst>
        </c:ser>
        <c:ser>
          <c:idx val="10"/>
          <c:order val="10"/>
          <c:tx>
            <c:strRef>
              <c:f>OutCh1!$AO$192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11</c:v>
              </c:pt>
              <c:pt idx="1">
                <c:v>11</c:v>
              </c:pt>
              <c:pt idx="2">
                <c:v>11</c:v>
              </c:pt>
            </c:numLit>
          </c:xVal>
          <c:yVal>
            <c:numRef>
              <c:f>OutCh1!$AO$193:$AO$195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F16-4625-A5E4-01CB18C37BB7}"/>
            </c:ext>
          </c:extLst>
        </c:ser>
        <c:ser>
          <c:idx val="11"/>
          <c:order val="11"/>
          <c:tx>
            <c:strRef>
              <c:f>OutCh1!$AO$196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12</c:v>
              </c:pt>
              <c:pt idx="1">
                <c:v>12</c:v>
              </c:pt>
              <c:pt idx="2">
                <c:v>12</c:v>
              </c:pt>
            </c:numLit>
          </c:xVal>
          <c:yVal>
            <c:numRef>
              <c:f>OutCh1!$AO$197:$AO$199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F16-4625-A5E4-01CB18C37B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86927872"/>
        <c:axId val="286937856"/>
      </c:scatterChart>
      <c:valAx>
        <c:axId val="286927872"/>
        <c:scaling>
          <c:orientation val="minMax"/>
          <c:max val="12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86937856"/>
        <c:crosses val="autoZero"/>
        <c:crossBetween val="midCat"/>
        <c:majorUnit val="1"/>
      </c:valAx>
      <c:valAx>
        <c:axId val="2869378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Price Per Liter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28692787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6.9635500988810897E-3"/>
          <c:y val="0.88614163344324315"/>
          <c:w val="0.99303644990111894"/>
          <c:h val="9.7018289826118473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OutCh1!$AG$252</c:f>
          <c:strCache>
            <c:ptCount val="1"/>
            <c:pt idx="0">
              <c:v>Promotion Share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OutCh1!$AG$254</c:f>
              <c:strCache>
                <c:ptCount val="1"/>
                <c:pt idx="0">
                  <c:v>Promotion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OutCh1!$AG$270:$AG$281</c:f>
              <c:numCache>
                <c:formatCode>0%</c:formatCode>
                <c:ptCount val="12"/>
                <c:pt idx="0">
                  <c:v>0.17687065352805156</c:v>
                </c:pt>
                <c:pt idx="1">
                  <c:v>0.15084596985518509</c:v>
                </c:pt>
                <c:pt idx="2">
                  <c:v>0</c:v>
                </c:pt>
                <c:pt idx="3">
                  <c:v>0.17685064226642278</c:v>
                </c:pt>
                <c:pt idx="4">
                  <c:v>0.15091531589488699</c:v>
                </c:pt>
                <c:pt idx="5">
                  <c:v>0</c:v>
                </c:pt>
                <c:pt idx="6">
                  <c:v>0.39195374270733713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51-4748-AB43-7115128A0E83}"/>
            </c:ext>
          </c:extLst>
        </c:ser>
        <c:ser>
          <c:idx val="1"/>
          <c:order val="1"/>
          <c:tx>
            <c:strRef>
              <c:f>OutCh1!$AG$255</c:f>
              <c:strCache>
                <c:ptCount val="1"/>
                <c:pt idx="0">
                  <c:v>Base 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OutCh1!$AG$283:$AG$294</c:f>
              <c:numCache>
                <c:formatCode>0%</c:formatCode>
                <c:ptCount val="12"/>
                <c:pt idx="0">
                  <c:v>0.82312934647194846</c:v>
                </c:pt>
                <c:pt idx="1">
                  <c:v>0.84915403014481494</c:v>
                </c:pt>
                <c:pt idx="2">
                  <c:v>0</c:v>
                </c:pt>
                <c:pt idx="3">
                  <c:v>0.82314935773357722</c:v>
                </c:pt>
                <c:pt idx="4">
                  <c:v>0.84908468410511295</c:v>
                </c:pt>
                <c:pt idx="5">
                  <c:v>0</c:v>
                </c:pt>
                <c:pt idx="6">
                  <c:v>0.60804625729266282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51-4748-AB43-7115128A0E8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86985600"/>
        <c:axId val="287007872"/>
      </c:barChart>
      <c:catAx>
        <c:axId val="2869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07872"/>
        <c:crosses val="autoZero"/>
        <c:auto val="1"/>
        <c:lblAlgn val="ctr"/>
        <c:lblOffset val="100"/>
        <c:noMultiLvlLbl val="0"/>
      </c:catAx>
      <c:valAx>
        <c:axId val="2870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98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OutCh1!$AO$252</c:f>
          <c:strCache>
            <c:ptCount val="1"/>
            <c:pt idx="0">
              <c:v>GPaL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OutCh1!$AO$254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{2C28A7DE-0FF4-4D0F-B937-A31803037B90}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410-4AA7-9364-B1E95FB6C3B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{56A6CC86-5030-4B22-BDD1-30348EF83172}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410-4AA7-9364-B1E95FB6C3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OutCh1!$AO$286:$AO$288</c:f>
              <c:strCache>
                <c:ptCount val="3"/>
                <c:pt idx="0">
                  <c:v>-14%</c:v>
                </c:pt>
                <c:pt idx="2">
                  <c:v>87%</c:v>
                </c:pt>
              </c:strCache>
            </c:strRef>
          </c:xVal>
          <c:yVal>
            <c:numRef>
              <c:f>OutCh1!$AO$313:$AO$315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OutCh1!$AO$339:$AO$341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2410-4AA7-9364-B1E95FB6C3B5}"/>
            </c:ext>
          </c:extLst>
        </c:ser>
        <c:ser>
          <c:idx val="1"/>
          <c:order val="1"/>
          <c:tx>
            <c:strRef>
              <c:f>OutCh1!$AO$255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{4FA7C475-7CAF-48A8-B5AA-CE7E1209662D}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410-4AA7-9364-B1E95FB6C3B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{8A26C66F-C538-46E5-9721-6231038AAB35}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410-4AA7-9364-B1E95FB6C3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OutCh1!$AO$292:$AO$294</c:f>
              <c:strCache>
                <c:ptCount val="3"/>
                <c:pt idx="0">
                  <c:v>-83%</c:v>
                </c:pt>
                <c:pt idx="2">
                  <c:v>28%</c:v>
                </c:pt>
              </c:strCache>
            </c:strRef>
          </c:xVal>
          <c:yVal>
            <c:numRef>
              <c:f>OutCh1!$AO$319:$AO$321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OutCh1!$AO$345:$AO$347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2410-4AA7-9364-B1E95FB6C3B5}"/>
            </c:ext>
          </c:extLst>
        </c:ser>
        <c:ser>
          <c:idx val="2"/>
          <c:order val="2"/>
          <c:tx>
            <c:strRef>
              <c:f>OutCh1!$AO$256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{21A1F0E2-1268-4609-8CB2-FC36218AD15F}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410-4AA7-9364-B1E95FB6C3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OutCh1!$AO$298:$AO$300</c:f>
              <c:strCache>
                <c:ptCount val="2"/>
                <c:pt idx="0">
                  <c:v>-9%</c:v>
                </c:pt>
                <c:pt idx="1">
                  <c:v>188%</c:v>
                </c:pt>
              </c:strCache>
            </c:strRef>
          </c:xVal>
          <c:yVal>
            <c:numRef>
              <c:f>OutCh1!$AO$325:$AO$327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OutCh1!$AO$351:$AO$353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2410-4AA7-9364-B1E95FB6C3B5}"/>
            </c:ext>
          </c:extLst>
        </c:ser>
        <c:ser>
          <c:idx val="3"/>
          <c:order val="3"/>
          <c:tx>
            <c:strRef>
              <c:f>OutCh1!$AO$257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{26CADEAA-959F-4531-91AF-563039588B58}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410-4AA7-9364-B1E95FB6C3B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OutCh1!$AO$304:$AO$306</c:f>
            </c:numRef>
          </c:xVal>
          <c:yVal>
            <c:numRef>
              <c:f>OutCh1!$AO$331:$AO$333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OutCh1!$AO$357:$AO$359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2410-4AA7-9364-B1E95FB6C3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87036544"/>
        <c:axId val="287038464"/>
      </c:bubbleChart>
      <c:valAx>
        <c:axId val="287036544"/>
        <c:scaling>
          <c:orientation val="minMax"/>
        </c:scaling>
        <c:delete val="0"/>
        <c:axPos val="b"/>
        <c:title>
          <c:tx>
            <c:strRef>
              <c:f>OutCh1!$AM$284</c:f>
              <c:strCache>
                <c:ptCount val="1"/>
                <c:pt idx="0">
                  <c:v>GPaL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87038464"/>
        <c:crossesAt val="0"/>
        <c:crossBetween val="midCat"/>
      </c:valAx>
      <c:valAx>
        <c:axId val="287038464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870365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OutCh1!$AS$252</c:f>
          <c:strCache>
            <c:ptCount val="1"/>
            <c:pt idx="0">
              <c:v>Volume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OutCh1!$AS$254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{C8BE5AC4-5733-492B-A77E-48DE66682FF9}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AAF-4566-9B98-E6BEED96CC42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{01E6722A-34E4-4B59-94F7-5076452D4A34}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AAF-4566-9B98-E6BEED96CC4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OutCh1!$AS$286:$AS$288</c:f>
              <c:strCache>
                <c:ptCount val="3"/>
                <c:pt idx="0">
                  <c:v>437%</c:v>
                </c:pt>
                <c:pt idx="2">
                  <c:v>313%</c:v>
                </c:pt>
              </c:strCache>
            </c:strRef>
          </c:xVal>
          <c:yVal>
            <c:numRef>
              <c:f>OutCh1!$AS$313:$AS$315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OutCh1!$AS$339:$AS$341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FAAF-4566-9B98-E6BEED96CC42}"/>
            </c:ext>
          </c:extLst>
        </c:ser>
        <c:ser>
          <c:idx val="1"/>
          <c:order val="1"/>
          <c:tx>
            <c:strRef>
              <c:f>OutCh1!$AS$255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{A7B2B86E-067F-4E3F-9801-7574C141DAC9}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AAF-4566-9B98-E6BEED96CC42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{6CCAE150-F83F-4F91-84CC-A302D830CA58}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AAF-4566-9B98-E6BEED96CC4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OutCh1!$AS$292:$AS$294</c:f>
              <c:strCache>
                <c:ptCount val="3"/>
                <c:pt idx="0">
                  <c:v>437%</c:v>
                </c:pt>
                <c:pt idx="2">
                  <c:v>190%</c:v>
                </c:pt>
              </c:strCache>
            </c:strRef>
          </c:xVal>
          <c:yVal>
            <c:numRef>
              <c:f>OutCh1!$AS$319:$AS$321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OutCh1!$AS$345:$AS$347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FAAF-4566-9B98-E6BEED96CC42}"/>
            </c:ext>
          </c:extLst>
        </c:ser>
        <c:ser>
          <c:idx val="2"/>
          <c:order val="2"/>
          <c:tx>
            <c:strRef>
              <c:f>OutCh1!$AS$256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{C8365E89-4A87-4518-A153-F1E389B069DD}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AAF-4566-9B98-E6BEED96CC4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OutCh1!$AS$298:$AS$300</c:f>
              <c:strCache>
                <c:ptCount val="2"/>
                <c:pt idx="0">
                  <c:v>846%</c:v>
                </c:pt>
                <c:pt idx="1">
                  <c:v>536%</c:v>
                </c:pt>
              </c:strCache>
            </c:strRef>
          </c:xVal>
          <c:yVal>
            <c:numRef>
              <c:f>OutCh1!$AS$325:$AS$327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OutCh1!$AS$351:$AS$353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FAAF-4566-9B98-E6BEED96CC42}"/>
            </c:ext>
          </c:extLst>
        </c:ser>
        <c:ser>
          <c:idx val="3"/>
          <c:order val="3"/>
          <c:tx>
            <c:strRef>
              <c:f>OutCh1!$AS$257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{A640AF2F-F6F6-46A8-8141-A1455ED02037}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AAF-4566-9B98-E6BEED96CC4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OutCh1!$AS$304:$AS$306</c:f>
            </c:numRef>
          </c:xVal>
          <c:yVal>
            <c:numRef>
              <c:f>OutCh1!$AS$331:$AS$333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OutCh1!$AS$357:$AS$359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FAAF-4566-9B98-E6BEED96CC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87330304"/>
        <c:axId val="287332224"/>
      </c:bubbleChart>
      <c:valAx>
        <c:axId val="287330304"/>
        <c:scaling>
          <c:orientation val="minMax"/>
        </c:scaling>
        <c:delete val="0"/>
        <c:axPos val="b"/>
        <c:title>
          <c:tx>
            <c:strRef>
              <c:f>OutCh1!$AQ$284</c:f>
              <c:strCache>
                <c:ptCount val="1"/>
                <c:pt idx="0">
                  <c:v>Volume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87332224"/>
        <c:crossesAt val="0"/>
        <c:crossBetween val="midCat"/>
      </c:valAx>
      <c:valAx>
        <c:axId val="287332224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87330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OutCh4!$AG$105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3E-440D-A806-10A70D21AE04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3E-440D-A806-10A70D21AE04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3E-440D-A806-10A70D21AE04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3E-440D-A806-10A70D21AE04}"/>
              </c:ext>
            </c:extLst>
          </c:dPt>
          <c:cat>
            <c:strRef>
              <c:f>OutCh4!$AG$98:$AG$103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OutCh4!$AG$106:$AG$111</c:f>
              <c:numCache>
                <c:formatCode>0.00</c:formatCode>
                <c:ptCount val="6"/>
                <c:pt idx="0">
                  <c:v>2.195997549730111</c:v>
                </c:pt>
                <c:pt idx="1">
                  <c:v>-2.4</c:v>
                </c:pt>
                <c:pt idx="2">
                  <c:v>-2.4</c:v>
                </c:pt>
                <c:pt idx="3">
                  <c:v>-2.4</c:v>
                </c:pt>
                <c:pt idx="4">
                  <c:v>-3.999798416203626</c:v>
                </c:pt>
                <c:pt idx="5">
                  <c:v>2.195997549730111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3E-440D-A806-10A70D21AE04}"/>
            </c:ext>
          </c:extLst>
        </c:ser>
        <c:ser>
          <c:idx val="1"/>
          <c:order val="1"/>
          <c:tx>
            <c:strRef>
              <c:f>OutCh4!$AG$113</c:f>
              <c:strCache>
                <c:ptCount val="1"/>
                <c:pt idx="0">
                  <c:v>GPaL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3E-440D-A806-10A70D21AE0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3E-440D-A806-10A70D21AE04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3E-440D-A806-10A70D21AE04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3E-440D-A806-10A70D21AE04}"/>
              </c:ext>
            </c:extLst>
          </c:dPt>
          <c:cat>
            <c:strRef>
              <c:f>OutCh4!$AG$98:$AG$103</c:f>
              <c:strCache>
                <c:ptCount val="6"/>
                <c:pt idx="0">
                  <c:v>GPaL</c:v>
                </c:pt>
                <c:pt idx="1">
                  <c:v>Volume</c:v>
                </c:pt>
                <c:pt idx="2">
                  <c:v>Price</c:v>
                </c:pt>
                <c:pt idx="3">
                  <c:v>Brand Mix</c:v>
                </c:pt>
                <c:pt idx="4">
                  <c:v>Channel Mix</c:v>
                </c:pt>
                <c:pt idx="5">
                  <c:v>GPaL</c:v>
                </c:pt>
              </c:strCache>
            </c:strRef>
          </c:cat>
          <c:val>
            <c:numRef>
              <c:f>OutCh4!$AG$114:$AG$119</c:f>
              <c:numCache>
                <c:formatCode>#,##0.00</c:formatCode>
                <c:ptCount val="6"/>
                <c:pt idx="0">
                  <c:v>-2.195997549730111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1.5997984162036261</c:v>
                </c:pt>
                <c:pt idx="5">
                  <c:v>-6.1957959659337369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B3E-440D-A806-10A70D21A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100"/>
        <c:axId val="74742784"/>
        <c:axId val="74748672"/>
      </c:barChart>
      <c:catAx>
        <c:axId val="7474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8672"/>
        <c:crosses val="autoZero"/>
        <c:auto val="1"/>
        <c:lblAlgn val="ctr"/>
        <c:lblOffset val="100"/>
        <c:noMultiLvlLbl val="0"/>
      </c:catAx>
      <c:valAx>
        <c:axId val="74748672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OutCh4!$AK$97</c:f>
          <c:strCache>
            <c:ptCount val="1"/>
            <c:pt idx="0">
              <c:v>On-Trade - Trade Terms Conditionality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OutCh4!$AJ$98</c:f>
              <c:strCache>
                <c:ptCount val="1"/>
                <c:pt idx="0">
                  <c:v>Conditional Trade Inv.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9DF-476F-B9D3-1A6BF46FD594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9DF-476F-B9D3-1A6BF46FD594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100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3306-424D-9EF4-9395C14654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OutCh4!$AK$98</c:f>
              <c:numCache>
                <c:formatCode>General</c:formatCode>
                <c:ptCount val="1"/>
                <c:pt idx="0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DF-476F-B9D3-1A6BF46FD594}"/>
            </c:ext>
          </c:extLst>
        </c:ser>
        <c:ser>
          <c:idx val="1"/>
          <c:order val="1"/>
          <c:tx>
            <c:strRef>
              <c:f>OutCh4!$AJ$99</c:f>
              <c:strCache>
                <c:ptCount val="1"/>
                <c:pt idx="0">
                  <c:v>Un-conditional Trade Inv.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DF-476F-B9D3-1A6BF46FD5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OutCh4!$AK$99</c:f>
              <c:numCache>
                <c:formatCode>General</c:formatCode>
                <c:ptCount val="1"/>
                <c:pt idx="0">
                  <c:v>1019999.9999999999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DF-476F-B9D3-1A6BF46FD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74775936"/>
        <c:axId val="74774400"/>
      </c:barChart>
      <c:valAx>
        <c:axId val="7477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75936"/>
        <c:crosses val="autoZero"/>
        <c:crossBetween val="between"/>
        <c:majorUnit val="5000000"/>
      </c:valAx>
      <c:catAx>
        <c:axId val="74775936"/>
        <c:scaling>
          <c:orientation val="minMax"/>
        </c:scaling>
        <c:delete val="1"/>
        <c:axPos val="l"/>
        <c:majorTickMark val="out"/>
        <c:minorTickMark val="none"/>
        <c:tickLblPos val="nextTo"/>
        <c:crossAx val="7477440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OutCh4!$AO$97</c:f>
          <c:strCache>
            <c:ptCount val="1"/>
            <c:pt idx="0">
              <c:v>GPal per Brand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OutCh4!$AN$101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OutCh4!$AO$99:$AR$99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OutCh4!$AO$101:$AR$101</c:f>
              <c:numCache>
                <c:formatCode>#,##0</c:formatCode>
                <c:ptCount val="4"/>
                <c:pt idx="0">
                  <c:v>69320930.942280293</c:v>
                </c:pt>
                <c:pt idx="1">
                  <c:v>46213953.961520188</c:v>
                </c:pt>
                <c:pt idx="2">
                  <c:v>99515342.038987815</c:v>
                </c:pt>
                <c:pt idx="3">
                  <c:v>141451025.94539452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E-4A7C-A535-41B51C129A04}"/>
            </c:ext>
          </c:extLst>
        </c:ser>
        <c:ser>
          <c:idx val="2"/>
          <c:order val="1"/>
          <c:tx>
            <c:strRef>
              <c:f>OutCh4!$AN$103</c:f>
              <c:strCache>
                <c:ptCount val="1"/>
                <c:pt idx="0">
                  <c:v>Logistics</c:v>
                </c:pt>
              </c:strCache>
            </c:strRef>
          </c:tx>
          <c:invertIfNegative val="0"/>
          <c:cat>
            <c:strRef>
              <c:f>OutCh4!$AO$99:$AR$99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OutCh4!$AO$103:$AR$103</c:f>
              <c:numCache>
                <c:formatCode>#,##0</c:formatCode>
                <c:ptCount val="4"/>
                <c:pt idx="0">
                  <c:v>8245172.1903157923</c:v>
                </c:pt>
                <c:pt idx="1">
                  <c:v>5496781.4602105282</c:v>
                </c:pt>
                <c:pt idx="2">
                  <c:v>11836556.715789476</c:v>
                </c:pt>
                <c:pt idx="3">
                  <c:v>18187879.831578948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9E-4A7C-A535-41B51C129A04}"/>
            </c:ext>
          </c:extLst>
        </c:ser>
        <c:ser>
          <c:idx val="1"/>
          <c:order val="2"/>
          <c:tx>
            <c:strRef>
              <c:f>OutCh4!$AN$105</c:f>
              <c:strCache>
                <c:ptCount val="1"/>
                <c:pt idx="0">
                  <c:v>GPAL</c:v>
                </c:pt>
              </c:strCache>
            </c:strRef>
          </c:tx>
          <c:invertIfNegative val="0"/>
          <c:cat>
            <c:strRef>
              <c:f>OutCh4!$AO$99:$AR$99</c:f>
              <c:strCache>
                <c:ptCount val="4"/>
                <c:pt idx="0">
                  <c:v>Greenborg</c:v>
                </c:pt>
                <c:pt idx="1">
                  <c:v>Harken</c:v>
                </c:pt>
                <c:pt idx="2">
                  <c:v>Kara</c:v>
                </c:pt>
                <c:pt idx="3">
                  <c:v>Brew Master</c:v>
                </c:pt>
              </c:strCache>
            </c:strRef>
          </c:cat>
          <c:val>
            <c:numRef>
              <c:f>OutCh4!$AO$105:$AR$105</c:f>
              <c:numCache>
                <c:formatCode>#,##0</c:formatCode>
                <c:ptCount val="4"/>
                <c:pt idx="0">
                  <c:v>35470073.125594251</c:v>
                </c:pt>
                <c:pt idx="1">
                  <c:v>58767510.985484987</c:v>
                </c:pt>
                <c:pt idx="2">
                  <c:v>110210491.49679507</c:v>
                </c:pt>
                <c:pt idx="3">
                  <c:v>178295081.47302654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9E-4A7C-A535-41B51C129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993792"/>
        <c:axId val="220999680"/>
      </c:barChart>
      <c:catAx>
        <c:axId val="220993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0999680"/>
        <c:crosses val="autoZero"/>
        <c:auto val="1"/>
        <c:lblAlgn val="ctr"/>
        <c:lblOffset val="100"/>
        <c:noMultiLvlLbl val="0"/>
      </c:catAx>
      <c:valAx>
        <c:axId val="220999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(000s)</a:t>
                </a:r>
              </a:p>
            </c:rich>
          </c:tx>
          <c:overlay val="0"/>
        </c:title>
        <c:numFmt formatCode="#,##0,_);\ \(#,##0,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09937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Assortment - GPaL ROS vs WD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OutCh1!$AG$152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{4FDD8588-66B9-4719-B6B7-F0870FE407BB}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E73-4617-871F-0AF79AEFD4B9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{D3D67D66-C3D9-4929-A909-3C8067028A60}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E73-4617-871F-0AF79AEFD4B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OutCh1!$AG$172:$AG$174</c:f>
              <c:strCache>
                <c:ptCount val="2"/>
                <c:pt idx="0">
                  <c:v>74%</c:v>
                </c:pt>
                <c:pt idx="1">
                  <c:v>84%</c:v>
                </c:pt>
              </c:strCache>
            </c:strRef>
          </c:xVal>
          <c:yVal>
            <c:numRef>
              <c:f>OutCh1!$AG$187:$AG$189</c:f>
              <c:numCache>
                <c:formatCode>_(* #,##0_);_(* \(#,##0\);_(* "-"??_);_(@_)</c:formatCode>
                <c:ptCount val="3"/>
                <c:pt idx="0">
                  <c:v>279366730.97314632</c:v>
                </c:pt>
                <c:pt idx="1">
                  <c:v>218386869.64650309</c:v>
                </c:pt>
                <c:pt idx="2">
                  <c:v>0</c:v>
                </c:pt>
              </c:numCache>
            </c:numRef>
          </c:yVal>
          <c:bubbleSize>
            <c:numRef>
              <c:f>OutCh1!$AG$201:$AG$203</c:f>
              <c:numCache>
                <c:formatCode>_(* #,##0_);_(* \(#,##0\);_(* "-"??_);_(@_)</c:formatCode>
                <c:ptCount val="3"/>
                <c:pt idx="0">
                  <c:v>78519084.938043952</c:v>
                </c:pt>
                <c:pt idx="1">
                  <c:v>100177518.30857961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DE73-4617-871F-0AF79AEFD4B9}"/>
            </c:ext>
          </c:extLst>
        </c:ser>
        <c:ser>
          <c:idx val="1"/>
          <c:order val="1"/>
          <c:tx>
            <c:strRef>
              <c:f>OutCh1!$AG$153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{BEADEB8E-8B34-4A12-B53F-6483EE86AB03}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E73-4617-871F-0AF79AEFD4B9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{6DCCEEA8-A1A3-4E5F-9EBC-1D8A4F84EE10}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E73-4617-871F-0AF79AEFD4B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OutCh1!$AG$175:$AG$177</c:f>
              <c:strCache>
                <c:ptCount val="2"/>
                <c:pt idx="0">
                  <c:v>64%</c:v>
                </c:pt>
                <c:pt idx="1">
                  <c:v>84%</c:v>
                </c:pt>
              </c:strCache>
            </c:strRef>
          </c:xVal>
          <c:yVal>
            <c:numRef>
              <c:f>OutCh1!$AG$190:$AG$192</c:f>
              <c:numCache>
                <c:formatCode>_(* #,##0_);_(* \(#,##0\);_(* "-"??_);_(@_)</c:formatCode>
                <c:ptCount val="3"/>
                <c:pt idx="0">
                  <c:v>151068283.38569051</c:v>
                </c:pt>
                <c:pt idx="1">
                  <c:v>232852528.48019093</c:v>
                </c:pt>
                <c:pt idx="2">
                  <c:v>0</c:v>
                </c:pt>
              </c:numCache>
            </c:numRef>
          </c:yVal>
          <c:bubbleSize>
            <c:numRef>
              <c:f>OutCh1!$AG$204:$AG$206</c:f>
              <c:numCache>
                <c:formatCode>_(* #,##0_);_(* \(#,##0\);_(* "-"??_);_(@_)</c:formatCode>
                <c:ptCount val="3"/>
                <c:pt idx="0">
                  <c:v>45342586.041080847</c:v>
                </c:pt>
                <c:pt idx="1">
                  <c:v>77943237.25288707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DE73-4617-871F-0AF79AEFD4B9}"/>
            </c:ext>
          </c:extLst>
        </c:ser>
        <c:ser>
          <c:idx val="2"/>
          <c:order val="2"/>
          <c:tx>
            <c:strRef>
              <c:f>OutCh1!$AG$154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{1CCB4C52-2106-4494-A261-D36BBBA4531B}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E73-4617-871F-0AF79AEFD4B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OutCh1!$AG$178:$AG$180</c:f>
              <c:strCache>
                <c:ptCount val="1"/>
                <c:pt idx="0">
                  <c:v>74%</c:v>
                </c:pt>
              </c:strCache>
            </c:strRef>
          </c:xVal>
          <c:yVal>
            <c:numRef>
              <c:f>OutCh1!$AG$193:$AG$195</c:f>
              <c:numCache>
                <c:formatCode>_(* #,##0_);_(* \(#,##0\);_(* "-"??_);_(@_)</c:formatCode>
                <c:ptCount val="3"/>
                <c:pt idx="0">
                  <c:v>124452509.10984084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OutCh1!$AG$207:$AG$209</c:f>
              <c:numCache>
                <c:formatCode>_(* #,##0_);_(* \(#,##0\);_(* "-"??_);_(@_)</c:formatCode>
                <c:ptCount val="3"/>
                <c:pt idx="0">
                  <c:v>57888456.11718937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DE73-4617-871F-0AF79AEFD4B9}"/>
            </c:ext>
          </c:extLst>
        </c:ser>
        <c:ser>
          <c:idx val="3"/>
          <c:order val="3"/>
          <c:tx>
            <c:strRef>
              <c:f>OutCh1!$AG$155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{CEEEBC76-51E9-4FB0-B08A-0EAC08612132}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E73-4617-871F-0AF79AEFD4B9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OutCh1!$AG$181:$AG$183</c:f>
            </c:numRef>
          </c:xVal>
          <c:yVal>
            <c:numRef>
              <c:f>OutCh1!$AG$196:$AG$198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OutCh1!$AG$210:$AG$212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DE73-4617-871F-0AF79AEFD4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89302784"/>
        <c:axId val="289317248"/>
      </c:bubbleChart>
      <c:valAx>
        <c:axId val="289302784"/>
        <c:scaling>
          <c:orientation val="minMax"/>
          <c:max val="1"/>
          <c:min val="0"/>
        </c:scaling>
        <c:delete val="0"/>
        <c:axPos val="b"/>
        <c:title>
          <c:tx>
            <c:strRef>
              <c:f>OutCh1!$AE$170</c:f>
              <c:strCache>
                <c:ptCount val="1"/>
                <c:pt idx="0">
                  <c:v>Weighted Distribution</c:v>
                </c:pt>
              </c:strCache>
            </c:strRef>
          </c:tx>
          <c:overlay val="0"/>
        </c:title>
        <c:numFmt formatCode="0%" sourceLinked="1"/>
        <c:majorTickMark val="out"/>
        <c:minorTickMark val="none"/>
        <c:tickLblPos val="nextTo"/>
        <c:crossAx val="289317248"/>
        <c:crosses val="autoZero"/>
        <c:crossBetween val="midCat"/>
      </c:valAx>
      <c:valAx>
        <c:axId val="289317248"/>
        <c:scaling>
          <c:orientation val="minMax"/>
        </c:scaling>
        <c:delete val="0"/>
        <c:axPos val="l"/>
        <c:title>
          <c:tx>
            <c:strRef>
              <c:f>OutCh1!$AE$185</c:f>
              <c:strCache>
                <c:ptCount val="1"/>
                <c:pt idx="0">
                  <c:v>GPaL ROS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893027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OutCh1!$AK$152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{18E500C7-5E48-4724-8975-0B1D55E01BAC}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41A-4DE9-AE60-3345F77753F0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{D0EEDED2-C54F-4D96-B03E-2E85E5F16479}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41A-4DE9-AE60-3345F77753F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OutCh1!$AK$172:$AK$174</c:f>
              <c:strCache>
                <c:ptCount val="3"/>
                <c:pt idx="0">
                  <c:v> 78,519,085 </c:v>
                </c:pt>
                <c:pt idx="1">
                  <c:v> 100,177,518 </c:v>
                </c:pt>
                <c:pt idx="2">
                  <c:v>  </c:v>
                </c:pt>
              </c:strCache>
            </c:strRef>
          </c:xVal>
          <c:yVal>
            <c:numRef>
              <c:f>OutCh1!$AK$187:$AK$189</c:f>
              <c:numCache>
                <c:formatCode>0%</c:formatCode>
                <c:ptCount val="3"/>
                <c:pt idx="0">
                  <c:v>1.7813492619307384E-3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OutCh1!$AK$201:$AK$203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C41A-4DE9-AE60-3345F77753F0}"/>
            </c:ext>
          </c:extLst>
        </c:ser>
        <c:ser>
          <c:idx val="1"/>
          <c:order val="1"/>
          <c:tx>
            <c:strRef>
              <c:f>OutCh1!$AK$153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{AB271B56-258C-4833-B4DF-987A4B47C52D}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41A-4DE9-AE60-3345F77753F0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{2F68EEAF-CB1F-4AC1-821C-F736B139FF56}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41A-4DE9-AE60-3345F77753F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OutCh1!$AK$175:$AK$177</c:f>
              <c:strCache>
                <c:ptCount val="3"/>
                <c:pt idx="0">
                  <c:v> 45,342,586 </c:v>
                </c:pt>
                <c:pt idx="1">
                  <c:v> 45,342,586 </c:v>
                </c:pt>
                <c:pt idx="2">
                  <c:v>  </c:v>
                </c:pt>
              </c:strCache>
            </c:strRef>
          </c:xVal>
          <c:yVal>
            <c:numRef>
              <c:f>OutCh1!$AK$190:$AK$192</c:f>
              <c:numCache>
                <c:formatCode>0%</c:formatCode>
                <c:ptCount val="3"/>
                <c:pt idx="0">
                  <c:v>2.7801644047954936E-2</c:v>
                </c:pt>
                <c:pt idx="1">
                  <c:v>-1.7733871827587438E-2</c:v>
                </c:pt>
                <c:pt idx="2">
                  <c:v>0</c:v>
                </c:pt>
              </c:numCache>
            </c:numRef>
          </c:yVal>
          <c:bubbleSize>
            <c:numRef>
              <c:f>OutCh1!$AK$204:$AK$206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C41A-4DE9-AE60-3345F77753F0}"/>
            </c:ext>
          </c:extLst>
        </c:ser>
        <c:ser>
          <c:idx val="2"/>
          <c:order val="2"/>
          <c:tx>
            <c:strRef>
              <c:f>OutCh1!$AK$154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{A5491D3C-78D5-4BDB-8C22-D50636FFC498}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41A-4DE9-AE60-3345F77753F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OutCh1!$AK$178:$AK$180</c:f>
              <c:strCache>
                <c:ptCount val="3"/>
                <c:pt idx="0">
                  <c:v> 57,888,456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OutCh1!$AK$193:$AK$195</c:f>
              <c:numCache>
                <c:formatCode>0%</c:formatCode>
                <c:ptCount val="3"/>
                <c:pt idx="0">
                  <c:v>-1.1228798131081418E-2</c:v>
                </c:pt>
                <c:pt idx="1">
                  <c:v>-8.206802166717391E-4</c:v>
                </c:pt>
                <c:pt idx="2">
                  <c:v>0</c:v>
                </c:pt>
              </c:numCache>
            </c:numRef>
          </c:yVal>
          <c:bubbleSize>
            <c:numRef>
              <c:f>OutCh1!$AK$207:$AK$209</c:f>
              <c:numCache>
                <c:formatCode>_(* #,##0_);_(* \(#,##0\);_(* "-"??_);_(@_)</c:formatCode>
                <c:ptCount val="3"/>
                <c:pt idx="0">
                  <c:v>100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C41A-4DE9-AE60-3345F77753F0}"/>
            </c:ext>
          </c:extLst>
        </c:ser>
        <c:ser>
          <c:idx val="3"/>
          <c:order val="3"/>
          <c:tx>
            <c:strRef>
              <c:f>OutCh1!$AK$155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{825F3A39-A9BA-4FE9-9B2A-511A18F38B96}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41A-4DE9-AE60-3345F77753F0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OutCh1!$AK$181:$AK$183</c:f>
              <c:strCache>
                <c:ptCount val="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</c:strCache>
            </c:strRef>
          </c:xVal>
          <c:yVal>
            <c:numRef>
              <c:f>OutCh1!$AK$196:$AK$198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OutCh1!$AK$210:$AK$212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C41A-4DE9-AE60-3345F77753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90174080"/>
        <c:axId val="290176000"/>
      </c:bubbleChart>
      <c:valAx>
        <c:axId val="290174080"/>
        <c:scaling>
          <c:orientation val="minMax"/>
        </c:scaling>
        <c:delete val="0"/>
        <c:axPos val="b"/>
        <c:title>
          <c:tx>
            <c:strRef>
              <c:f>OutCh1!$AK$171</c:f>
              <c:strCache>
                <c:ptCount val="1"/>
                <c:pt idx="0">
                  <c:v>Volume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90176000"/>
        <c:crossesAt val="0"/>
        <c:crossBetween val="midCat"/>
      </c:valAx>
      <c:valAx>
        <c:axId val="290176000"/>
        <c:scaling>
          <c:orientation val="minMax"/>
        </c:scaling>
        <c:delete val="0"/>
        <c:axPos val="l"/>
        <c:title>
          <c:tx>
            <c:strRef>
              <c:f>OutCh1!$AK$186</c:f>
              <c:strCache>
                <c:ptCount val="1"/>
                <c:pt idx="0">
                  <c:v>Price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901740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OutCh1!$AK$252</c:f>
          <c:strCache>
            <c:ptCount val="1"/>
            <c:pt idx="0">
              <c:v>Customer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OutCh1!$AK$254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{386A2A4F-81E8-436D-A1C4-0CCA2EA650B9}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603-4B33-9FC3-281FCC4D92E8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{4B219DA0-9A10-42C1-B299-036D05C33DB0}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603-4B33-9FC3-281FCC4D92E8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OutCh1!$AK$286:$AK$288</c:f>
              <c:strCache>
                <c:ptCount val="3"/>
                <c:pt idx="0">
                  <c:v>264%</c:v>
                </c:pt>
                <c:pt idx="2">
                  <c:v>237%</c:v>
                </c:pt>
              </c:strCache>
            </c:strRef>
          </c:xVal>
          <c:yVal>
            <c:numRef>
              <c:f>OutCh1!$AK$313:$AK$315</c:f>
              <c:numCache>
                <c:formatCode>0%</c:formatCode>
                <c:ptCount val="3"/>
                <c:pt idx="0">
                  <c:v>-0.14098737255889571</c:v>
                </c:pt>
                <c:pt idx="1">
                  <c:v>0</c:v>
                </c:pt>
                <c:pt idx="2">
                  <c:v>0.86916192449351448</c:v>
                </c:pt>
              </c:numCache>
            </c:numRef>
          </c:yVal>
          <c:bubbleSize>
            <c:numRef>
              <c:f>OutCh1!$AK$339:$AK$341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D603-4B33-9FC3-281FCC4D92E8}"/>
            </c:ext>
          </c:extLst>
        </c:ser>
        <c:ser>
          <c:idx val="1"/>
          <c:order val="1"/>
          <c:tx>
            <c:strRef>
              <c:f>OutCh1!$AK$255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{80ED3056-E7F2-453E-86A9-F6D948F3D760}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603-4B33-9FC3-281FCC4D92E8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{D1A0FED7-120C-4324-B44D-EE2398A0EF76}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603-4B33-9FC3-281FCC4D92E8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OutCh1!$AK$289:$AK$291</c:f>
              <c:strCache>
                <c:ptCount val="1"/>
                <c:pt idx="0">
                  <c:v>666%</c:v>
                </c:pt>
              </c:strCache>
            </c:strRef>
          </c:xVal>
          <c:yVal>
            <c:numRef>
              <c:f>OutCh1!$AK$316:$AK$318</c:f>
              <c:numCache>
                <c:formatCode>0%</c:formatCode>
                <c:ptCount val="3"/>
                <c:pt idx="0">
                  <c:v>0.10172524953793083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OutCh1!$AK$342:$AK$344</c:f>
              <c:numCache>
                <c:formatCode>_(* #,##0_);_(* \(#,##0\);_(* "-"??_);_(@_)</c:formatCode>
                <c:ptCount val="3"/>
                <c:pt idx="0">
                  <c:v>27729014.702287521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D603-4B33-9FC3-281FCC4D92E8}"/>
            </c:ext>
          </c:extLst>
        </c:ser>
        <c:ser>
          <c:idx val="2"/>
          <c:order val="2"/>
          <c:tx>
            <c:strRef>
              <c:f>OutCh1!$AK$256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{3F8A1C75-CAD5-4003-9896-12FF2DA15984}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603-4B33-9FC3-281FCC4D92E8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OutCh1!$AK$292:$AK$294</c:f>
              <c:strCache>
                <c:ptCount val="3"/>
                <c:pt idx="0">
                  <c:v>267%</c:v>
                </c:pt>
                <c:pt idx="2">
                  <c:v>138%</c:v>
                </c:pt>
              </c:strCache>
            </c:strRef>
          </c:xVal>
          <c:yVal>
            <c:numRef>
              <c:f>OutCh1!$AK$319:$AK$321</c:f>
              <c:numCache>
                <c:formatCode>0%</c:formatCode>
                <c:ptCount val="3"/>
                <c:pt idx="0">
                  <c:v>-0.82936375358740888</c:v>
                </c:pt>
                <c:pt idx="1">
                  <c:v>0</c:v>
                </c:pt>
                <c:pt idx="2">
                  <c:v>0.2782775267838089</c:v>
                </c:pt>
              </c:numCache>
            </c:numRef>
          </c:yVal>
          <c:bubbleSize>
            <c:numRef>
              <c:f>OutCh1!$AK$345:$AK$347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D603-4B33-9FC3-281FCC4D92E8}"/>
            </c:ext>
          </c:extLst>
        </c:ser>
        <c:ser>
          <c:idx val="3"/>
          <c:order val="3"/>
          <c:tx>
            <c:strRef>
              <c:f>OutCh1!$AK$257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{D4490272-9C3B-4282-B72E-B60FD2A117B3}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603-4B33-9FC3-281FCC4D92E8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OutCh1!$AK$295:$AK$297</c:f>
            </c:numRef>
          </c:xVal>
          <c:yVal>
            <c:numRef>
              <c:f>OutCh1!$AK$322:$AK$324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OutCh1!$AK$348:$AK$350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D603-4B33-9FC3-281FCC4D92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290271232"/>
        <c:axId val="290273152"/>
      </c:bubbleChart>
      <c:valAx>
        <c:axId val="290271232"/>
        <c:scaling>
          <c:orientation val="minMax"/>
        </c:scaling>
        <c:delete val="0"/>
        <c:axPos val="b"/>
        <c:title>
          <c:tx>
            <c:strRef>
              <c:f>OutCh1!$AI$284</c:f>
              <c:strCache>
                <c:ptCount val="1"/>
                <c:pt idx="0">
                  <c:v>Customer Uplift</c:v>
                </c:pt>
              </c:strCache>
            </c:strRef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90273152"/>
        <c:crossesAt val="0"/>
        <c:crossBetween val="midCat"/>
      </c:valAx>
      <c:valAx>
        <c:axId val="290273152"/>
        <c:scaling>
          <c:orientation val="minMax"/>
        </c:scaling>
        <c:delete val="0"/>
        <c:axPos val="l"/>
        <c:title>
          <c:tx>
            <c:strRef>
              <c:f>OutCh1!$AI$311</c:f>
              <c:strCache>
                <c:ptCount val="1"/>
                <c:pt idx="0">
                  <c:v>GPaL Uplift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crossAx val="2902712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OutCh1!$AK$150</c:f>
          <c:strCache>
            <c:ptCount val="1"/>
            <c:pt idx="0">
              <c:v>Assortement Price/Volume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OutCh1!$AO$254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{8E091C8F-8753-443B-9135-E4444A02A4EF}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072-41F7-B5DB-C59A4E36AEB3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{6DB3E7CF-4149-4E41-B132-F6B04F6E360E}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072-41F7-B5DB-C59A4E36AEB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OutCh1!$AO$286:$AO$288</c:f>
              <c:strCache>
                <c:ptCount val="3"/>
                <c:pt idx="0">
                  <c:v>-14%</c:v>
                </c:pt>
                <c:pt idx="2">
                  <c:v>87%</c:v>
                </c:pt>
              </c:strCache>
            </c:strRef>
          </c:xVal>
          <c:yVal>
            <c:numRef>
              <c:f>OutCh1!$AO$313:$AO$315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OutCh1!$AO$339:$AO$341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D072-41F7-B5DB-C59A4E36AEB3}"/>
            </c:ext>
          </c:extLst>
        </c:ser>
        <c:ser>
          <c:idx val="1"/>
          <c:order val="1"/>
          <c:tx>
            <c:strRef>
              <c:f>OutCh1!$AO$255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{937AAACB-F3A5-4B85-93E4-54354DA6A7C6}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072-41F7-B5DB-C59A4E36AEB3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{07BF69B8-CD05-43D7-9D12-E3388C6CD549}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072-41F7-B5DB-C59A4E36AEB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OutCh1!$AO$292:$AO$294</c:f>
              <c:strCache>
                <c:ptCount val="3"/>
                <c:pt idx="0">
                  <c:v>-83%</c:v>
                </c:pt>
                <c:pt idx="2">
                  <c:v>28%</c:v>
                </c:pt>
              </c:strCache>
            </c:strRef>
          </c:xVal>
          <c:yVal>
            <c:numRef>
              <c:f>OutCh1!$AO$319:$AO$321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OutCh1!$AO$345:$AO$347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D072-41F7-B5DB-C59A4E36AEB3}"/>
            </c:ext>
          </c:extLst>
        </c:ser>
        <c:ser>
          <c:idx val="2"/>
          <c:order val="2"/>
          <c:tx>
            <c:strRef>
              <c:f>OutCh1!$AO$256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{47857EE6-89C7-47D7-8316-FA5532C1D808}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072-41F7-B5DB-C59A4E36AEB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OutCh1!$AO$298:$AO$300</c:f>
              <c:strCache>
                <c:ptCount val="2"/>
                <c:pt idx="0">
                  <c:v>-9%</c:v>
                </c:pt>
                <c:pt idx="1">
                  <c:v>188%</c:v>
                </c:pt>
              </c:strCache>
            </c:strRef>
          </c:xVal>
          <c:yVal>
            <c:numRef>
              <c:f>OutCh1!$AO$325:$AO$327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OutCh1!$AO$351:$AO$353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D072-41F7-B5DB-C59A4E36AEB3}"/>
            </c:ext>
          </c:extLst>
        </c:ser>
        <c:ser>
          <c:idx val="3"/>
          <c:order val="3"/>
          <c:tx>
            <c:strRef>
              <c:f>OutCh1!$AO$257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{E17A703F-4749-434F-B52B-2B23701DA1A9}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072-41F7-B5DB-C59A4E36AEB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OutCh1!$AO$304:$AO$306</c:f>
            </c:numRef>
          </c:xVal>
          <c:yVal>
            <c:numRef>
              <c:f>OutCh1!$AO$331:$AO$333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OutCh1!$AO$357:$AO$359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D072-41F7-B5DB-C59A4E36AE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90355840"/>
        <c:axId val="290358016"/>
      </c:bubbleChart>
      <c:valAx>
        <c:axId val="290355840"/>
        <c:scaling>
          <c:orientation val="minMax"/>
        </c:scaling>
        <c:delete val="0"/>
        <c:axPos val="b"/>
        <c:title>
          <c:tx>
            <c:strRef>
              <c:f>OutCh1!$AM$284</c:f>
              <c:strCache>
                <c:ptCount val="1"/>
                <c:pt idx="0">
                  <c:v>GPaL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90358016"/>
        <c:crossesAt val="0"/>
        <c:crossBetween val="midCat"/>
      </c:valAx>
      <c:valAx>
        <c:axId val="290358016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903558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OutCh1!$AO$152</c:f>
              <c:strCache>
                <c:ptCount val="1"/>
                <c:pt idx="0">
                  <c:v>Harken - 33cl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</c:v>
              </c:pt>
              <c:pt idx="1">
                <c:v>1</c:v>
              </c:pt>
              <c:pt idx="2">
                <c:v>1</c:v>
              </c:pt>
            </c:numLit>
          </c:xVal>
          <c:yVal>
            <c:numRef>
              <c:f>OutCh1!$AO$153:$AO$155</c:f>
              <c:numCache>
                <c:formatCode>0.0</c:formatCode>
                <c:ptCount val="3"/>
                <c:pt idx="0">
                  <c:v>7.9</c:v>
                </c:pt>
                <c:pt idx="1">
                  <c:v>7.4388982062523699</c:v>
                </c:pt>
                <c:pt idx="2">
                  <c:v>5.2929999999999993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63-4769-8C85-5010400D6A5C}"/>
            </c:ext>
          </c:extLst>
        </c:ser>
        <c:ser>
          <c:idx val="1"/>
          <c:order val="1"/>
          <c:tx>
            <c:strRef>
              <c:f>OutCh1!$AO$156</c:f>
              <c:strCache>
                <c:ptCount val="1"/>
                <c:pt idx="0">
                  <c:v>Harken - 6 x 33cl Can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2</c:v>
              </c:pt>
              <c:pt idx="1">
                <c:v>2</c:v>
              </c:pt>
              <c:pt idx="2">
                <c:v>2</c:v>
              </c:pt>
            </c:numLit>
          </c:xVal>
          <c:yVal>
            <c:numRef>
              <c:f>OutCh1!$AO$157:$AO$159</c:f>
              <c:numCache>
                <c:formatCode>0.0</c:formatCode>
                <c:ptCount val="3"/>
                <c:pt idx="0">
                  <c:v>7.55</c:v>
                </c:pt>
                <c:pt idx="1">
                  <c:v>6.6325784288533072</c:v>
                </c:pt>
                <c:pt idx="2">
                  <c:v>5.4047110080336198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63-4769-8C85-5010400D6A5C}"/>
            </c:ext>
          </c:extLst>
        </c:ser>
        <c:ser>
          <c:idx val="2"/>
          <c:order val="2"/>
          <c:tx>
            <c:strRef>
              <c:f>OutCh1!$AO$160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3</c:v>
              </c:pt>
              <c:pt idx="1">
                <c:v>3</c:v>
              </c:pt>
              <c:pt idx="2">
                <c:v>3</c:v>
              </c:pt>
            </c:numLit>
          </c:xVal>
          <c:yVal>
            <c:numRef>
              <c:f>OutCh1!$AO$161:$AO$163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63-4769-8C85-5010400D6A5C}"/>
            </c:ext>
          </c:extLst>
        </c:ser>
        <c:ser>
          <c:idx val="3"/>
          <c:order val="3"/>
          <c:tx>
            <c:strRef>
              <c:f>OutCh1!$AO$164</c:f>
              <c:strCache>
                <c:ptCount val="1"/>
                <c:pt idx="0">
                  <c:v>Kara - 25cl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4</c:v>
              </c:pt>
              <c:pt idx="1">
                <c:v>4</c:v>
              </c:pt>
              <c:pt idx="2">
                <c:v>4</c:v>
              </c:pt>
            </c:numLit>
          </c:xVal>
          <c:yVal>
            <c:numRef>
              <c:f>OutCh1!$AO$165:$AO$167</c:f>
              <c:numCache>
                <c:formatCode>0.0</c:formatCode>
                <c:ptCount val="3"/>
                <c:pt idx="0">
                  <c:v>7.6</c:v>
                </c:pt>
                <c:pt idx="1">
                  <c:v>7.1564585891958119</c:v>
                </c:pt>
                <c:pt idx="2">
                  <c:v>5.0919999999999996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63-4769-8C85-5010400D6A5C}"/>
            </c:ext>
          </c:extLst>
        </c:ser>
        <c:ser>
          <c:idx val="4"/>
          <c:order val="4"/>
          <c:tx>
            <c:strRef>
              <c:f>OutCh1!$AO$168</c:f>
              <c:strCache>
                <c:ptCount val="1"/>
                <c:pt idx="0">
                  <c:v>Kara - 6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5</c:v>
              </c:pt>
            </c:numLit>
          </c:xVal>
          <c:yVal>
            <c:numRef>
              <c:f>OutCh1!$AO$169:$AO$171</c:f>
              <c:numCache>
                <c:formatCode>0.0</c:formatCode>
                <c:ptCount val="3"/>
                <c:pt idx="0">
                  <c:v>7.68</c:v>
                </c:pt>
                <c:pt idx="1">
                  <c:v>7.4481940747854525</c:v>
                </c:pt>
                <c:pt idx="2">
                  <c:v>6.1440000000000001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63-4769-8C85-5010400D6A5C}"/>
            </c:ext>
          </c:extLst>
        </c:ser>
        <c:ser>
          <c:idx val="5"/>
          <c:order val="5"/>
          <c:tx>
            <c:strRef>
              <c:f>OutCh1!$AO$172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6</c:v>
              </c:pt>
              <c:pt idx="1">
                <c:v>6</c:v>
              </c:pt>
              <c:pt idx="2">
                <c:v>6</c:v>
              </c:pt>
            </c:numLit>
          </c:xVal>
          <c:yVal>
            <c:numRef>
              <c:f>OutCh1!$AO$173:$AO$175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63-4769-8C85-5010400D6A5C}"/>
            </c:ext>
          </c:extLst>
        </c:ser>
        <c:ser>
          <c:idx val="6"/>
          <c:order val="6"/>
          <c:tx>
            <c:strRef>
              <c:f>OutCh1!$AO$176</c:f>
              <c:strCache>
                <c:ptCount val="1"/>
                <c:pt idx="0">
                  <c:v>Greenborg - 24 x 33cl Can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7</c:v>
              </c:pt>
              <c:pt idx="1">
                <c:v>7</c:v>
              </c:pt>
              <c:pt idx="2">
                <c:v>7</c:v>
              </c:pt>
            </c:numLit>
          </c:xVal>
          <c:yVal>
            <c:numRef>
              <c:f>OutCh1!$AO$177:$AO$179</c:f>
              <c:numCache>
                <c:formatCode>0.0</c:formatCode>
                <c:ptCount val="3"/>
                <c:pt idx="0">
                  <c:v>7.7</c:v>
                </c:pt>
                <c:pt idx="1">
                  <c:v>6.5011992257350766</c:v>
                </c:pt>
                <c:pt idx="2">
                  <c:v>5.4107798770760969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A63-4769-8C85-5010400D6A5C}"/>
            </c:ext>
          </c:extLst>
        </c:ser>
        <c:ser>
          <c:idx val="7"/>
          <c:order val="7"/>
          <c:tx>
            <c:strRef>
              <c:f>OutCh1!$AO$180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8</c:v>
              </c:pt>
              <c:pt idx="1">
                <c:v>8</c:v>
              </c:pt>
              <c:pt idx="2">
                <c:v>8</c:v>
              </c:pt>
            </c:numLit>
          </c:xVal>
          <c:yVal>
            <c:numRef>
              <c:f>OutCh1!$AO$181:$AO$183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A63-4769-8C85-5010400D6A5C}"/>
            </c:ext>
          </c:extLst>
        </c:ser>
        <c:ser>
          <c:idx val="8"/>
          <c:order val="8"/>
          <c:tx>
            <c:strRef>
              <c:f>OutCh1!$AO$184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9</c:v>
              </c:pt>
              <c:pt idx="1">
                <c:v>9</c:v>
              </c:pt>
              <c:pt idx="2">
                <c:v>9</c:v>
              </c:pt>
            </c:numLit>
          </c:xVal>
          <c:yVal>
            <c:numRef>
              <c:f>OutCh1!$AO$185:$AO$187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A63-4769-8C85-5010400D6A5C}"/>
            </c:ext>
          </c:extLst>
        </c:ser>
        <c:ser>
          <c:idx val="9"/>
          <c:order val="9"/>
          <c:tx>
            <c:strRef>
              <c:f>OutCh1!$AO$188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10</c:v>
              </c:pt>
            </c:numLit>
          </c:xVal>
          <c:yVal>
            <c:numRef>
              <c:f>OutCh1!$AO$189:$AO$191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A63-4769-8C85-5010400D6A5C}"/>
            </c:ext>
          </c:extLst>
        </c:ser>
        <c:ser>
          <c:idx val="10"/>
          <c:order val="10"/>
          <c:tx>
            <c:strRef>
              <c:f>OutCh1!$AO$192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11</c:v>
              </c:pt>
              <c:pt idx="1">
                <c:v>11</c:v>
              </c:pt>
              <c:pt idx="2">
                <c:v>11</c:v>
              </c:pt>
            </c:numLit>
          </c:xVal>
          <c:yVal>
            <c:numRef>
              <c:f>OutCh1!$AO$193:$AO$195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A63-4769-8C85-5010400D6A5C}"/>
            </c:ext>
          </c:extLst>
        </c:ser>
        <c:ser>
          <c:idx val="11"/>
          <c:order val="11"/>
          <c:tx>
            <c:strRef>
              <c:f>OutCh1!$AO$196</c:f>
              <c:strCache>
                <c:ptCount val="1"/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12</c:v>
              </c:pt>
              <c:pt idx="1">
                <c:v>12</c:v>
              </c:pt>
              <c:pt idx="2">
                <c:v>12</c:v>
              </c:pt>
            </c:numLit>
          </c:xVal>
          <c:yVal>
            <c:numRef>
              <c:f>OutCh1!$AO$197:$AO$199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A63-4769-8C85-5010400D6A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89873280"/>
        <c:axId val="289911936"/>
      </c:scatterChart>
      <c:valAx>
        <c:axId val="289873280"/>
        <c:scaling>
          <c:orientation val="minMax"/>
          <c:max val="12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89911936"/>
        <c:crosses val="autoZero"/>
        <c:crossBetween val="midCat"/>
        <c:majorUnit val="1"/>
      </c:valAx>
      <c:valAx>
        <c:axId val="289911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Price Per Liter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2898732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6.9635500988810897E-3"/>
          <c:y val="0.88614163344324315"/>
          <c:w val="0.99303644990111894"/>
          <c:h val="9.7018289826118473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OutCh1!$AG$252</c:f>
          <c:strCache>
            <c:ptCount val="1"/>
            <c:pt idx="0">
              <c:v>Promotion Share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OutCh1!$AG$254</c:f>
              <c:strCache>
                <c:ptCount val="1"/>
                <c:pt idx="0">
                  <c:v>Promotion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OutCh1!$AG$270:$AG$281</c:f>
              <c:numCache>
                <c:formatCode>0%</c:formatCode>
                <c:ptCount val="12"/>
                <c:pt idx="0">
                  <c:v>0.17687065352805156</c:v>
                </c:pt>
                <c:pt idx="1">
                  <c:v>0.15084596985518509</c:v>
                </c:pt>
                <c:pt idx="2">
                  <c:v>0</c:v>
                </c:pt>
                <c:pt idx="3">
                  <c:v>0.17685064226642278</c:v>
                </c:pt>
                <c:pt idx="4">
                  <c:v>0.15091531589488699</c:v>
                </c:pt>
                <c:pt idx="5">
                  <c:v>0</c:v>
                </c:pt>
                <c:pt idx="6">
                  <c:v>0.39195374270733713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6-4415-BA54-CB0A270BAEDC}"/>
            </c:ext>
          </c:extLst>
        </c:ser>
        <c:ser>
          <c:idx val="1"/>
          <c:order val="1"/>
          <c:tx>
            <c:strRef>
              <c:f>OutCh1!$AG$255</c:f>
              <c:strCache>
                <c:ptCount val="1"/>
                <c:pt idx="0">
                  <c:v>Base 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OutCh1!$AG$257:$AG$268</c:f>
              <c:strCache>
                <c:ptCount val="7"/>
                <c:pt idx="0">
                  <c:v>Harken - 33cl Can</c:v>
                </c:pt>
                <c:pt idx="1">
                  <c:v>Harken - 6 x 33cl Can</c:v>
                </c:pt>
                <c:pt idx="3">
                  <c:v>Kara - 25cl Can</c:v>
                </c:pt>
                <c:pt idx="4">
                  <c:v>Kara - 6 x 33cl Can</c:v>
                </c:pt>
                <c:pt idx="6">
                  <c:v>Greenborg - 24 x 33cl Can</c:v>
                </c:pt>
              </c:strCache>
            </c:strRef>
          </c:cat>
          <c:val>
            <c:numRef>
              <c:f>OutCh1!$AG$283:$AG$294</c:f>
              <c:numCache>
                <c:formatCode>0%</c:formatCode>
                <c:ptCount val="12"/>
                <c:pt idx="0">
                  <c:v>0.82312934647194846</c:v>
                </c:pt>
                <c:pt idx="1">
                  <c:v>0.84915403014481494</c:v>
                </c:pt>
                <c:pt idx="2">
                  <c:v>0</c:v>
                </c:pt>
                <c:pt idx="3">
                  <c:v>0.82314935773357722</c:v>
                </c:pt>
                <c:pt idx="4">
                  <c:v>0.84908468410511295</c:v>
                </c:pt>
                <c:pt idx="5">
                  <c:v>0</c:v>
                </c:pt>
                <c:pt idx="6">
                  <c:v>0.60804625729266282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6-4415-BA54-CB0A270BAE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89943552"/>
        <c:axId val="289945088"/>
      </c:barChart>
      <c:catAx>
        <c:axId val="28994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945088"/>
        <c:crosses val="autoZero"/>
        <c:auto val="1"/>
        <c:lblAlgn val="ctr"/>
        <c:lblOffset val="100"/>
        <c:noMultiLvlLbl val="0"/>
      </c:catAx>
      <c:valAx>
        <c:axId val="2899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94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OutCh1!$AO$252</c:f>
          <c:strCache>
            <c:ptCount val="1"/>
            <c:pt idx="0">
              <c:v>GPaL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OutCh1!$AO$254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{E387D70C-DDDC-4CFE-AA69-919DE07B597B}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DBB-4083-9394-362E97929B47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{5EE05930-1EE8-44EA-9198-0A45E54F17B7}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DBB-4083-9394-362E97929B47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OutCh1!$AO$286:$AO$288</c:f>
              <c:strCache>
                <c:ptCount val="3"/>
                <c:pt idx="0">
                  <c:v>-14%</c:v>
                </c:pt>
                <c:pt idx="2">
                  <c:v>87%</c:v>
                </c:pt>
              </c:strCache>
            </c:strRef>
          </c:xVal>
          <c:yVal>
            <c:numRef>
              <c:f>OutCh1!$AO$313:$AO$315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OutCh1!$AO$339:$AO$341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2DBB-4083-9394-362E97929B47}"/>
            </c:ext>
          </c:extLst>
        </c:ser>
        <c:ser>
          <c:idx val="1"/>
          <c:order val="1"/>
          <c:tx>
            <c:strRef>
              <c:f>OutCh1!$AO$255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{7F18F064-4339-4243-A753-3A4FFD85FCE6}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DBB-4083-9394-362E97929B47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{39758AA9-1020-43DF-B1A4-D3F3E03FCC45}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DBB-4083-9394-362E97929B47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OutCh1!$AO$292:$AO$294</c:f>
              <c:strCache>
                <c:ptCount val="3"/>
                <c:pt idx="0">
                  <c:v>-83%</c:v>
                </c:pt>
                <c:pt idx="2">
                  <c:v>28%</c:v>
                </c:pt>
              </c:strCache>
            </c:strRef>
          </c:xVal>
          <c:yVal>
            <c:numRef>
              <c:f>OutCh1!$AO$319:$AO$321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OutCh1!$AO$345:$AO$347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2DBB-4083-9394-362E97929B47}"/>
            </c:ext>
          </c:extLst>
        </c:ser>
        <c:ser>
          <c:idx val="2"/>
          <c:order val="2"/>
          <c:tx>
            <c:strRef>
              <c:f>OutCh1!$AO$256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{466755B7-B436-4B98-8C12-B48DC222C385}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DBB-4083-9394-362E97929B47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OutCh1!$AO$298:$AO$300</c:f>
              <c:strCache>
                <c:ptCount val="2"/>
                <c:pt idx="0">
                  <c:v>-9%</c:v>
                </c:pt>
                <c:pt idx="1">
                  <c:v>188%</c:v>
                </c:pt>
              </c:strCache>
            </c:strRef>
          </c:xVal>
          <c:yVal>
            <c:numRef>
              <c:f>OutCh1!$AO$325:$AO$327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OutCh1!$AO$351:$AO$353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2DBB-4083-9394-362E97929B47}"/>
            </c:ext>
          </c:extLst>
        </c:ser>
        <c:ser>
          <c:idx val="3"/>
          <c:order val="3"/>
          <c:tx>
            <c:strRef>
              <c:f>OutCh1!$AO$257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{4A070CB1-0434-44C8-9BDE-1F3A0BA08808}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DBB-4083-9394-362E97929B47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OutCh1!$AO$304:$AO$306</c:f>
            </c:numRef>
          </c:xVal>
          <c:yVal>
            <c:numRef>
              <c:f>OutCh1!$AO$331:$AO$333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OutCh1!$AO$357:$AO$359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2DBB-4083-9394-362E97929B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89998336"/>
        <c:axId val="290000256"/>
      </c:bubbleChart>
      <c:valAx>
        <c:axId val="289998336"/>
        <c:scaling>
          <c:orientation val="minMax"/>
        </c:scaling>
        <c:delete val="0"/>
        <c:axPos val="b"/>
        <c:title>
          <c:tx>
            <c:strRef>
              <c:f>OutCh1!$AM$284</c:f>
              <c:strCache>
                <c:ptCount val="1"/>
                <c:pt idx="0">
                  <c:v>GPaL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90000256"/>
        <c:crossesAt val="0"/>
        <c:crossBetween val="midCat"/>
      </c:valAx>
      <c:valAx>
        <c:axId val="290000256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899983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OutCh1!$AS$252</c:f>
          <c:strCache>
            <c:ptCount val="1"/>
            <c:pt idx="0">
              <c:v>Volume Uplift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OutCh1!$AS$254</c:f>
              <c:strCache>
                <c:ptCount val="1"/>
                <c:pt idx="0">
                  <c:v>Harken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{57EB746B-9C63-4F45-B0FC-8DD30F3E215B}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A9-4728-838B-82FCDB2A0BC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{82E69BF0-1F05-4BE3-8F2C-10312BE13227}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A9-4728-838B-82FCDB2A0BC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OutCh1!$AS$286:$AS$288</c:f>
              <c:strCache>
                <c:ptCount val="3"/>
                <c:pt idx="0">
                  <c:v>437%</c:v>
                </c:pt>
                <c:pt idx="2">
                  <c:v>313%</c:v>
                </c:pt>
              </c:strCache>
            </c:strRef>
          </c:xVal>
          <c:yVal>
            <c:numRef>
              <c:f>OutCh1!$AS$313:$AS$315</c:f>
              <c:numCache>
                <c:formatCode>0%</c:formatCode>
                <c:ptCount val="3"/>
                <c:pt idx="0">
                  <c:v>-2.8277305841063591</c:v>
                </c:pt>
                <c:pt idx="1">
                  <c:v>0</c:v>
                </c:pt>
                <c:pt idx="2">
                  <c:v>14.626940240458159</c:v>
                </c:pt>
              </c:numCache>
            </c:numRef>
          </c:yVal>
          <c:bubbleSize>
            <c:numRef>
              <c:f>OutCh1!$AS$339:$AS$341</c:f>
              <c:numCache>
                <c:formatCode>_(* #,##0_);_(* \(#,##0\);_(* "-"??_);_(@_)</c:formatCode>
                <c:ptCount val="3"/>
                <c:pt idx="0">
                  <c:v>13887721.867416425</c:v>
                </c:pt>
                <c:pt idx="1">
                  <c:v>0</c:v>
                </c:pt>
                <c:pt idx="2">
                  <c:v>15111374.906943252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D7A9-4728-838B-82FCDB2A0BC5}"/>
            </c:ext>
          </c:extLst>
        </c:ser>
        <c:ser>
          <c:idx val="1"/>
          <c:order val="1"/>
          <c:tx>
            <c:strRef>
              <c:f>OutCh1!$AS$255</c:f>
              <c:strCache>
                <c:ptCount val="1"/>
                <c:pt idx="0">
                  <c:v>Kara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{83153CEB-7E7A-4648-84E4-8A621167A432}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A9-4728-838B-82FCDB2A0BC5}"/>
                </c:ext>
              </c:extLst>
            </c:dLbl>
            <c:dLbl>
              <c:idx val="1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{D14EA7C0-030F-4C9D-995A-FEB5C5CBC4F7}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A9-4728-838B-82FCDB2A0BC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OutCh1!$AS$292:$AS$294</c:f>
              <c:strCache>
                <c:ptCount val="3"/>
                <c:pt idx="0">
                  <c:v>437%</c:v>
                </c:pt>
                <c:pt idx="2">
                  <c:v>190%</c:v>
                </c:pt>
              </c:strCache>
            </c:strRef>
          </c:xVal>
          <c:yVal>
            <c:numRef>
              <c:f>OutCh1!$AS$319:$AS$321</c:f>
              <c:numCache>
                <c:formatCode>0%</c:formatCode>
                <c:ptCount val="3"/>
                <c:pt idx="0">
                  <c:v>-8.0182302035415454</c:v>
                </c:pt>
                <c:pt idx="1">
                  <c:v>0</c:v>
                </c:pt>
                <c:pt idx="2">
                  <c:v>5.1574214705470043</c:v>
                </c:pt>
              </c:numCache>
            </c:numRef>
          </c:yVal>
          <c:bubbleSize>
            <c:numRef>
              <c:f>OutCh1!$AS$345:$AS$347</c:f>
              <c:numCache>
                <c:formatCode>_(* #,##0_);_(* \(#,##0\);_(* "-"??_);_(@_)</c:formatCode>
                <c:ptCount val="3"/>
                <c:pt idx="0">
                  <c:v>8018865.4633856835</c:v>
                </c:pt>
                <c:pt idx="1">
                  <c:v>0</c:v>
                </c:pt>
                <c:pt idx="2">
                  <c:v>11762828.271889577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D7A9-4728-838B-82FCDB2A0BC5}"/>
            </c:ext>
          </c:extLst>
        </c:ser>
        <c:ser>
          <c:idx val="2"/>
          <c:order val="2"/>
          <c:tx>
            <c:strRef>
              <c:f>OutCh1!$AS$256</c:f>
              <c:strCache>
                <c:ptCount val="1"/>
                <c:pt idx="0">
                  <c:v>Greenborg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{25661017-A3AF-4937-9880-8BAB342A9EC6}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A9-4728-838B-82FCDB2A0BC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OutCh1!$AS$298:$AS$300</c:f>
              <c:strCache>
                <c:ptCount val="2"/>
                <c:pt idx="0">
                  <c:v>846%</c:v>
                </c:pt>
                <c:pt idx="1">
                  <c:v>536%</c:v>
                </c:pt>
              </c:strCache>
            </c:strRef>
          </c:xVal>
          <c:yVal>
            <c:numRef>
              <c:f>OutCh1!$AS$325:$AS$327</c:f>
              <c:numCache>
                <c:formatCode>0%</c:formatCode>
                <c:ptCount val="3"/>
                <c:pt idx="0">
                  <c:v>-0.77454301074790421</c:v>
                </c:pt>
                <c:pt idx="1">
                  <c:v>15.798735059822178</c:v>
                </c:pt>
                <c:pt idx="2">
                  <c:v>0</c:v>
                </c:pt>
              </c:numCache>
            </c:numRef>
          </c:yVal>
          <c:bubbleSize>
            <c:numRef>
              <c:f>OutCh1!$AS$351:$AS$353</c:f>
              <c:numCache>
                <c:formatCode>_(* #,##0_);_(* \(#,##0\);_(* "-"??_);_(@_)</c:formatCode>
                <c:ptCount val="3"/>
                <c:pt idx="0">
                  <c:v>22689597.034681819</c:v>
                </c:pt>
                <c:pt idx="1">
                  <c:v>7624973.9929617709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D7A9-4728-838B-82FCDB2A0BC5}"/>
            </c:ext>
          </c:extLst>
        </c:ser>
        <c:ser>
          <c:idx val="3"/>
          <c:order val="3"/>
          <c:tx>
            <c:strRef>
              <c:f>OutCh1!$AS$257</c:f>
              <c:strCache>
                <c:ptCount val="1"/>
                <c:pt idx="0">
                  <c:v>Brew Master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tx>
                <c:strRef>
                  <c:f>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{6EA7F590-0E77-4891-9418-34A59A1D6231}</c15:txfldGUID>
                      <c15:f>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7A9-4728-838B-82FCDB2A0BC5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OutCh1!$AS$304:$AS$306</c:f>
            </c:numRef>
          </c:xVal>
          <c:yVal>
            <c:numRef>
              <c:f>OutCh1!$AS$331:$AS$333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bubbleSize>
            <c:numRef>
              <c:f>OutCh1!$AS$357:$AS$359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D7A9-4728-838B-82FCDB2A0B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20"/>
        <c:showNegBubbles val="0"/>
        <c:axId val="290886400"/>
        <c:axId val="290888320"/>
      </c:bubbleChart>
      <c:valAx>
        <c:axId val="290886400"/>
        <c:scaling>
          <c:orientation val="minMax"/>
        </c:scaling>
        <c:delete val="0"/>
        <c:axPos val="b"/>
        <c:title>
          <c:tx>
            <c:strRef>
              <c:f>OutCh1!$AQ$284</c:f>
              <c:strCache>
                <c:ptCount val="1"/>
                <c:pt idx="0">
                  <c:v>Volume Uplift</c:v>
                </c:pt>
              </c:strCache>
            </c:strRef>
          </c:tx>
          <c:overlay val="0"/>
        </c:title>
        <c:numFmt formatCode="_(* #,##0.0_);_(* \(#,##0.0\);_(* &quot;-&quot;??_);_(@_)" sourceLinked="1"/>
        <c:majorTickMark val="out"/>
        <c:minorTickMark val="none"/>
        <c:tickLblPos val="nextTo"/>
        <c:crossAx val="290888320"/>
        <c:crossesAt val="0"/>
        <c:crossBetween val="midCat"/>
      </c:valAx>
      <c:valAx>
        <c:axId val="290888320"/>
        <c:scaling>
          <c:orientation val="minMax"/>
        </c:scaling>
        <c:delete val="0"/>
        <c:axPos val="l"/>
        <c:title>
          <c:tx>
            <c:strRef>
              <c:f>OutCh1!$AM$311</c:f>
              <c:strCache>
                <c:ptCount val="1"/>
                <c:pt idx="0">
                  <c:v>ROI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crossAx val="2908864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Hypermarkets</a:t>
            </a:r>
            <a:br>
              <a:rPr lang="en-US"/>
            </a:br>
            <a:r>
              <a:rPr lang="en-US" b="0"/>
              <a:t>Volume Demand Forecast per Player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Player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Data!$S$90:$U$90</c:f>
              <c:numCache>
                <c:formatCode>#,##0</c:formatCode>
                <c:ptCount val="3"/>
                <c:pt idx="0">
                  <c:v>27</c:v>
                </c:pt>
                <c:pt idx="1">
                  <c:v>29</c:v>
                </c:pt>
                <c:pt idx="2">
                  <c:v>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4DA-47F4-9898-98FE4CFBAE22}"/>
            </c:ext>
          </c:extLst>
        </c:ser>
        <c:ser>
          <c:idx val="1"/>
          <c:order val="1"/>
          <c:tx>
            <c:v>5 Players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Data!$S$94:$U$94</c:f>
              <c:numCache>
                <c:formatCode>#,##0</c:formatCode>
                <c:ptCount val="3"/>
                <c:pt idx="0">
                  <c:v>19</c:v>
                </c:pt>
                <c:pt idx="1">
                  <c:v>20</c:v>
                </c:pt>
                <c:pt idx="2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4DA-47F4-9898-98FE4CFBA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6338048"/>
        <c:axId val="326339584"/>
      </c:lineChart>
      <c:catAx>
        <c:axId val="326338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6339584"/>
        <c:crosses val="autoZero"/>
        <c:auto val="1"/>
        <c:lblAlgn val="ctr"/>
        <c:lblOffset val="100"/>
        <c:noMultiLvlLbl val="0"/>
      </c:catAx>
      <c:valAx>
        <c:axId val="326339584"/>
        <c:scaling>
          <c:orientation val="minMax"/>
          <c:max val="45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Litres (000S)</a:t>
                </a:r>
              </a:p>
            </c:rich>
          </c:tx>
          <c:layout>
            <c:manualLayout>
              <c:xMode val="edge"/>
              <c:yMode val="edge"/>
              <c:x val="6.2956597222222225E-3"/>
              <c:y val="0.2561400793650793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26338048"/>
        <c:crosses val="autoZero"/>
        <c:crossBetween val="between"/>
        <c:majorUnit val="5"/>
        <c:minorUnit val="1"/>
      </c:valAx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Discounters</a:t>
            </a:r>
            <a:endParaRPr lang="en-US" b="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Player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Data!$S$151:$U$151</c:f>
              <c:numCache>
                <c:formatCode>#,##0</c:formatCode>
                <c:ptCount val="3"/>
                <c:pt idx="0">
                  <c:v>14</c:v>
                </c:pt>
                <c:pt idx="1">
                  <c:v>15</c:v>
                </c:pt>
                <c:pt idx="2">
                  <c:v>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FC8-4932-B1C9-BF385242C619}"/>
            </c:ext>
          </c:extLst>
        </c:ser>
        <c:ser>
          <c:idx val="1"/>
          <c:order val="1"/>
          <c:tx>
            <c:v>5 Players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Data!$S$155:$U$155</c:f>
              <c:numCache>
                <c:formatCode>#,##0</c:formatCode>
                <c:ptCount val="3"/>
                <c:pt idx="0">
                  <c:v>9</c:v>
                </c:pt>
                <c:pt idx="1">
                  <c:v>10</c:v>
                </c:pt>
                <c:pt idx="2">
                  <c:v>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FC8-4932-B1C9-BF385242C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6370048"/>
        <c:axId val="326371584"/>
      </c:lineChart>
      <c:catAx>
        <c:axId val="326370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6371584"/>
        <c:crosses val="autoZero"/>
        <c:auto val="1"/>
        <c:lblAlgn val="ctr"/>
        <c:lblOffset val="100"/>
        <c:noMultiLvlLbl val="0"/>
      </c:catAx>
      <c:valAx>
        <c:axId val="326371584"/>
        <c:scaling>
          <c:orientation val="minMax"/>
          <c:max val="20"/>
          <c:min val="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Litres (000s)</a:t>
                </a:r>
              </a:p>
            </c:rich>
          </c:tx>
          <c:layout>
            <c:manualLayout>
              <c:xMode val="edge"/>
              <c:yMode val="edge"/>
              <c:x val="6.2956597222222225E-3"/>
              <c:y val="0.2838583333333333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26370048"/>
        <c:crosses val="autoZero"/>
        <c:crossBetween val="between"/>
        <c:minorUnit val="1"/>
      </c:valAx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Convenience</a:t>
            </a:r>
            <a:endParaRPr lang="en-US" b="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Player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Data!$S$213:$U$213</c:f>
              <c:numCache>
                <c:formatCode>#,##0</c:formatCode>
                <c:ptCount val="3"/>
                <c:pt idx="0">
                  <c:v>21</c:v>
                </c:pt>
                <c:pt idx="1">
                  <c:v>23</c:v>
                </c:pt>
                <c:pt idx="2">
                  <c:v>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CC-4792-BFB7-B46380ACE190}"/>
            </c:ext>
          </c:extLst>
        </c:ser>
        <c:ser>
          <c:idx val="1"/>
          <c:order val="1"/>
          <c:tx>
            <c:v>5 Players</c:v>
          </c:tx>
          <c:marker>
            <c:symbol val="none"/>
          </c:marker>
          <c:cat>
            <c:strRef>
              <c:f>Data!$S$81:$U$81</c:f>
              <c:strCache>
                <c:ptCount val="3"/>
                <c:pt idx="0">
                  <c:v>Round 1</c:v>
                </c:pt>
                <c:pt idx="1">
                  <c:v>Round 2</c:v>
                </c:pt>
                <c:pt idx="2">
                  <c:v>Round 3</c:v>
                </c:pt>
              </c:strCache>
            </c:strRef>
          </c:cat>
          <c:val>
            <c:numRef>
              <c:f>Data!$S$217:$U$217</c:f>
              <c:numCache>
                <c:formatCode>#,##0</c:formatCode>
                <c:ptCount val="3"/>
                <c:pt idx="0">
                  <c:v>17</c:v>
                </c:pt>
                <c:pt idx="1">
                  <c:v>18</c:v>
                </c:pt>
                <c:pt idx="2">
                  <c:v>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4CC-4792-BFB7-B46380AC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6406144"/>
        <c:axId val="326407680"/>
      </c:lineChart>
      <c:catAx>
        <c:axId val="326406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6407680"/>
        <c:crosses val="autoZero"/>
        <c:auto val="1"/>
        <c:lblAlgn val="ctr"/>
        <c:lblOffset val="100"/>
        <c:noMultiLvlLbl val="0"/>
      </c:catAx>
      <c:valAx>
        <c:axId val="326407680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Litres (000s)</a:t>
                </a:r>
              </a:p>
            </c:rich>
          </c:tx>
          <c:layout>
            <c:manualLayout>
              <c:xMode val="edge"/>
              <c:yMode val="edge"/>
              <c:x val="8.5005208333333339E-3"/>
              <c:y val="0.2720990740740740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26406144"/>
        <c:crosses val="autoZero"/>
        <c:crossBetween val="between"/>
        <c:majorUnit val="5"/>
        <c:minorUnit val="1"/>
      </c:valAx>
    </c:plotArea>
    <c:legend>
      <c:legendPos val="b"/>
      <c:overlay val="0"/>
    </c:legend>
    <c:plotVisOnly val="1"/>
    <c:dispBlanksAs val="zero"/>
    <c:showDLblsOverMax val="0"/>
  </c:chart>
  <c:spPr>
    <a:ln>
      <a:noFill/>
    </a:ln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3.xml"/><Relationship Id="rId5" Type="http://schemas.openxmlformats.org/officeDocument/2006/relationships/chart" Target="../charts/chart8.xml"/><Relationship Id="rId10" Type="http://schemas.openxmlformats.org/officeDocument/2006/relationships/image" Target="../media/image1.emf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1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0.xml"/><Relationship Id="rId5" Type="http://schemas.openxmlformats.org/officeDocument/2006/relationships/chart" Target="../charts/chart25.xml"/><Relationship Id="rId10" Type="http://schemas.openxmlformats.org/officeDocument/2006/relationships/image" Target="../media/image1.emf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2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1.xml"/><Relationship Id="rId5" Type="http://schemas.openxmlformats.org/officeDocument/2006/relationships/chart" Target="../charts/chart36.xml"/><Relationship Id="rId10" Type="http://schemas.openxmlformats.org/officeDocument/2006/relationships/image" Target="../media/image1.emf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2</xdr:row>
      <xdr:rowOff>142875</xdr:rowOff>
    </xdr:from>
    <xdr:to>
      <xdr:col>7</xdr:col>
      <xdr:colOff>1444625</xdr:colOff>
      <xdr:row>7</xdr:row>
      <xdr:rowOff>63500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 bwMode="auto">
        <a:xfrm>
          <a:off x="4048125" y="777875"/>
          <a:ext cx="1095375" cy="1158875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10</xdr:col>
      <xdr:colOff>200025</xdr:colOff>
      <xdr:row>2</xdr:row>
      <xdr:rowOff>120650</xdr:rowOff>
    </xdr:from>
    <xdr:to>
      <xdr:col>10</xdr:col>
      <xdr:colOff>1295400</xdr:colOff>
      <xdr:row>7</xdr:row>
      <xdr:rowOff>41275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 bwMode="auto">
        <a:xfrm>
          <a:off x="5819775" y="755650"/>
          <a:ext cx="1095375" cy="1158875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13</xdr:col>
      <xdr:colOff>177800</xdr:colOff>
      <xdr:row>2</xdr:row>
      <xdr:rowOff>114300</xdr:rowOff>
    </xdr:from>
    <xdr:to>
      <xdr:col>13</xdr:col>
      <xdr:colOff>1273175</xdr:colOff>
      <xdr:row>7</xdr:row>
      <xdr:rowOff>34925</xdr:rowOff>
    </xdr:to>
    <xdr:sp macro="" textlink="">
      <xdr:nvSpPr>
        <xdr:cNvPr id="7" name="Arc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 bwMode="auto">
        <a:xfrm>
          <a:off x="7480300" y="749300"/>
          <a:ext cx="1095375" cy="1158875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489858</xdr:colOff>
      <xdr:row>52</xdr:row>
      <xdr:rowOff>81650</xdr:rowOff>
    </xdr:from>
    <xdr:to>
      <xdr:col>2</xdr:col>
      <xdr:colOff>769637</xdr:colOff>
      <xdr:row>54</xdr:row>
      <xdr:rowOff>1117</xdr:rowOff>
    </xdr:to>
    <xdr:sp macro="" textlink="">
      <xdr:nvSpPr>
        <xdr:cNvPr id="14" name="Cross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807358" y="10336900"/>
          <a:ext cx="279779" cy="28459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84</xdr:row>
      <xdr:rowOff>81650</xdr:rowOff>
    </xdr:from>
    <xdr:to>
      <xdr:col>2</xdr:col>
      <xdr:colOff>769637</xdr:colOff>
      <xdr:row>86</xdr:row>
      <xdr:rowOff>1117</xdr:rowOff>
    </xdr:to>
    <xdr:sp macro="" textlink="">
      <xdr:nvSpPr>
        <xdr:cNvPr id="16" name="Cross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813708" y="14473925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68</xdr:row>
      <xdr:rowOff>81650</xdr:rowOff>
    </xdr:from>
    <xdr:to>
      <xdr:col>2</xdr:col>
      <xdr:colOff>769637</xdr:colOff>
      <xdr:row>70</xdr:row>
      <xdr:rowOff>1116</xdr:rowOff>
    </xdr:to>
    <xdr:sp macro="" textlink="">
      <xdr:nvSpPr>
        <xdr:cNvPr id="18" name="Cross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813708" y="21122375"/>
          <a:ext cx="279779" cy="290941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100</xdr:row>
      <xdr:rowOff>81650</xdr:rowOff>
    </xdr:from>
    <xdr:to>
      <xdr:col>2</xdr:col>
      <xdr:colOff>769637</xdr:colOff>
      <xdr:row>102</xdr:row>
      <xdr:rowOff>1117</xdr:rowOff>
    </xdr:to>
    <xdr:sp macro="" textlink="">
      <xdr:nvSpPr>
        <xdr:cNvPr id="20" name="Cross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813708" y="244466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49788</xdr:colOff>
      <xdr:row>13</xdr:row>
      <xdr:rowOff>85724</xdr:rowOff>
    </xdr:from>
    <xdr:to>
      <xdr:col>34</xdr:col>
      <xdr:colOff>1483243</xdr:colOff>
      <xdr:row>15</xdr:row>
      <xdr:rowOff>24474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 bwMode="auto">
        <a:xfrm>
          <a:off x="19151743" y="3376179"/>
          <a:ext cx="3096000" cy="285113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 editAs="oneCell">
    <xdr:from>
      <xdr:col>10</xdr:col>
      <xdr:colOff>0</xdr:colOff>
      <xdr:row>85</xdr:row>
      <xdr:rowOff>163986</xdr:rowOff>
    </xdr:from>
    <xdr:to>
      <xdr:col>11</xdr:col>
      <xdr:colOff>48370</xdr:colOff>
      <xdr:row>85</xdr:row>
      <xdr:rowOff>235134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6032500" y="1734073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257175</xdr:colOff>
      <xdr:row>3</xdr:row>
      <xdr:rowOff>190500</xdr:rowOff>
    </xdr:from>
    <xdr:to>
      <xdr:col>15</xdr:col>
      <xdr:colOff>1352550</xdr:colOff>
      <xdr:row>7</xdr:row>
      <xdr:rowOff>47625</xdr:rowOff>
    </xdr:to>
    <xdr:sp macro="" textlink="">
      <xdr:nvSpPr>
        <xdr:cNvPr id="17" name="Arc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 bwMode="auto">
        <a:xfrm>
          <a:off x="10067925" y="904875"/>
          <a:ext cx="1095375" cy="1158875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0</xdr:col>
      <xdr:colOff>148432</xdr:colOff>
      <xdr:row>42</xdr:row>
      <xdr:rowOff>0</xdr:rowOff>
    </xdr:from>
    <xdr:to>
      <xdr:col>37</xdr:col>
      <xdr:colOff>91281</xdr:colOff>
      <xdr:row>55</xdr:row>
      <xdr:rowOff>190500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148432" y="8330045"/>
          <a:ext cx="20828576" cy="2926773"/>
          <a:chOff x="223181" y="8159750"/>
          <a:chExt cx="22498758" cy="28416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 bwMode="auto">
          <a:xfrm>
            <a:off x="223181" y="8159750"/>
            <a:ext cx="10270535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 bwMode="auto">
          <a:xfrm>
            <a:off x="10493716" y="8159750"/>
            <a:ext cx="12228223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31</xdr:col>
      <xdr:colOff>49788</xdr:colOff>
      <xdr:row>17</xdr:row>
      <xdr:rowOff>69274</xdr:rowOff>
    </xdr:from>
    <xdr:to>
      <xdr:col>34</xdr:col>
      <xdr:colOff>1483243</xdr:colOff>
      <xdr:row>19</xdr:row>
      <xdr:rowOff>1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SpPr/>
      </xdr:nvSpPr>
      <xdr:spPr bwMode="auto">
        <a:xfrm>
          <a:off x="19151743" y="4052456"/>
          <a:ext cx="3096000" cy="277090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 editAs="oneCell">
    <xdr:from>
      <xdr:col>10</xdr:col>
      <xdr:colOff>0</xdr:colOff>
      <xdr:row>53</xdr:row>
      <xdr:rowOff>125886</xdr:rowOff>
    </xdr:from>
    <xdr:to>
      <xdr:col>11</xdr:col>
      <xdr:colOff>48370</xdr:colOff>
      <xdr:row>53</xdr:row>
      <xdr:rowOff>197034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SpPr/>
      </xdr:nvSpPr>
      <xdr:spPr>
        <a:xfrm>
          <a:off x="7664854" y="1068276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48370</xdr:colOff>
      <xdr:row>69</xdr:row>
      <xdr:rowOff>197034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/>
      </xdr:nvSpPr>
      <xdr:spPr>
        <a:xfrm>
          <a:off x="7664854" y="139688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101</xdr:row>
      <xdr:rowOff>125886</xdr:rowOff>
    </xdr:from>
    <xdr:to>
      <xdr:col>11</xdr:col>
      <xdr:colOff>48370</xdr:colOff>
      <xdr:row>101</xdr:row>
      <xdr:rowOff>197034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SpPr/>
      </xdr:nvSpPr>
      <xdr:spPr>
        <a:xfrm>
          <a:off x="7664854" y="2058876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148432</xdr:colOff>
      <xdr:row>58</xdr:row>
      <xdr:rowOff>3752</xdr:rowOff>
    </xdr:from>
    <xdr:to>
      <xdr:col>37</xdr:col>
      <xdr:colOff>91281</xdr:colOff>
      <xdr:row>71</xdr:row>
      <xdr:rowOff>201468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GrpSpPr/>
      </xdr:nvGrpSpPr>
      <xdr:grpSpPr>
        <a:xfrm>
          <a:off x="148432" y="11728161"/>
          <a:ext cx="20828576" cy="2933989"/>
          <a:chOff x="223181" y="8159750"/>
          <a:chExt cx="22498758" cy="2841625"/>
        </a:xfrm>
      </xdr:grpSpPr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1100-00002A000000}"/>
              </a:ext>
            </a:extLst>
          </xdr:cNvPr>
          <xdr:cNvSpPr/>
        </xdr:nvSpPr>
        <xdr:spPr bwMode="auto">
          <a:xfrm>
            <a:off x="223181" y="8159750"/>
            <a:ext cx="10270535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100-00002B000000}"/>
              </a:ext>
            </a:extLst>
          </xdr:cNvPr>
          <xdr:cNvSpPr/>
        </xdr:nvSpPr>
        <xdr:spPr bwMode="auto">
          <a:xfrm>
            <a:off x="10493716" y="8159750"/>
            <a:ext cx="12228223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0</xdr:col>
      <xdr:colOff>148432</xdr:colOff>
      <xdr:row>74</xdr:row>
      <xdr:rowOff>3175</xdr:rowOff>
    </xdr:from>
    <xdr:to>
      <xdr:col>37</xdr:col>
      <xdr:colOff>91281</xdr:colOff>
      <xdr:row>87</xdr:row>
      <xdr:rowOff>146050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GrpSpPr/>
      </xdr:nvGrpSpPr>
      <xdr:grpSpPr>
        <a:xfrm>
          <a:off x="148432" y="15121948"/>
          <a:ext cx="20828576" cy="2913784"/>
          <a:chOff x="223181" y="8159750"/>
          <a:chExt cx="22498758" cy="2841625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1100-00002D000000}"/>
              </a:ext>
            </a:extLst>
          </xdr:cNvPr>
          <xdr:cNvSpPr/>
        </xdr:nvSpPr>
        <xdr:spPr bwMode="auto">
          <a:xfrm>
            <a:off x="223181" y="8159750"/>
            <a:ext cx="10270535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100-00002E000000}"/>
              </a:ext>
            </a:extLst>
          </xdr:cNvPr>
          <xdr:cNvSpPr/>
        </xdr:nvSpPr>
        <xdr:spPr bwMode="auto">
          <a:xfrm>
            <a:off x="10493716" y="8159750"/>
            <a:ext cx="12228223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0</xdr:col>
      <xdr:colOff>148432</xdr:colOff>
      <xdr:row>90</xdr:row>
      <xdr:rowOff>0</xdr:rowOff>
    </xdr:from>
    <xdr:to>
      <xdr:col>37</xdr:col>
      <xdr:colOff>91281</xdr:colOff>
      <xdr:row>103</xdr:row>
      <xdr:rowOff>190500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GrpSpPr/>
      </xdr:nvGrpSpPr>
      <xdr:grpSpPr>
        <a:xfrm>
          <a:off x="148432" y="18547773"/>
          <a:ext cx="20828576" cy="2926772"/>
          <a:chOff x="223181" y="8159750"/>
          <a:chExt cx="22498758" cy="2841625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1100-000030000000}"/>
              </a:ext>
            </a:extLst>
          </xdr:cNvPr>
          <xdr:cNvSpPr/>
        </xdr:nvSpPr>
        <xdr:spPr bwMode="auto">
          <a:xfrm>
            <a:off x="223181" y="8159750"/>
            <a:ext cx="10270535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100-000031000000}"/>
              </a:ext>
            </a:extLst>
          </xdr:cNvPr>
          <xdr:cNvSpPr/>
        </xdr:nvSpPr>
        <xdr:spPr bwMode="auto">
          <a:xfrm>
            <a:off x="10493716" y="8159750"/>
            <a:ext cx="12228223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39</xdr:row>
      <xdr:rowOff>12700</xdr:rowOff>
    </xdr:from>
    <xdr:to>
      <xdr:col>23</xdr:col>
      <xdr:colOff>114300</xdr:colOff>
      <xdr:row>49</xdr:row>
      <xdr:rowOff>239603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349250</xdr:colOff>
      <xdr:row>2</xdr:row>
      <xdr:rowOff>142875</xdr:rowOff>
    </xdr:from>
    <xdr:to>
      <xdr:col>7</xdr:col>
      <xdr:colOff>1444625</xdr:colOff>
      <xdr:row>7</xdr:row>
      <xdr:rowOff>63500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>
          <a:off x="4044950" y="790575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10</xdr:col>
      <xdr:colOff>205012</xdr:colOff>
      <xdr:row>2</xdr:row>
      <xdr:rowOff>141515</xdr:rowOff>
    </xdr:from>
    <xdr:to>
      <xdr:col>10</xdr:col>
      <xdr:colOff>1300387</xdr:colOff>
      <xdr:row>7</xdr:row>
      <xdr:rowOff>62140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 bwMode="auto">
        <a:xfrm>
          <a:off x="5838369" y="781051"/>
          <a:ext cx="1095375" cy="1158875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489858</xdr:colOff>
      <xdr:row>52</xdr:row>
      <xdr:rowOff>81650</xdr:rowOff>
    </xdr:from>
    <xdr:to>
      <xdr:col>2</xdr:col>
      <xdr:colOff>769637</xdr:colOff>
      <xdr:row>54</xdr:row>
      <xdr:rowOff>1117</xdr:rowOff>
    </xdr:to>
    <xdr:sp macro="" textlink="">
      <xdr:nvSpPr>
        <xdr:cNvPr id="2" name="Cros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813708" y="106925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84</xdr:row>
      <xdr:rowOff>81650</xdr:rowOff>
    </xdr:from>
    <xdr:to>
      <xdr:col>2</xdr:col>
      <xdr:colOff>769637</xdr:colOff>
      <xdr:row>86</xdr:row>
      <xdr:rowOff>1117</xdr:rowOff>
    </xdr:to>
    <xdr:sp macro="" textlink="">
      <xdr:nvSpPr>
        <xdr:cNvPr id="3" name="Cros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813708" y="17388575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68</xdr:row>
      <xdr:rowOff>81650</xdr:rowOff>
    </xdr:from>
    <xdr:to>
      <xdr:col>2</xdr:col>
      <xdr:colOff>769637</xdr:colOff>
      <xdr:row>70</xdr:row>
      <xdr:rowOff>1116</xdr:rowOff>
    </xdr:to>
    <xdr:sp macro="" textlink="">
      <xdr:nvSpPr>
        <xdr:cNvPr id="4" name="Cros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813708" y="14016725"/>
          <a:ext cx="279779" cy="290941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100</xdr:row>
      <xdr:rowOff>81650</xdr:rowOff>
    </xdr:from>
    <xdr:to>
      <xdr:col>2</xdr:col>
      <xdr:colOff>769637</xdr:colOff>
      <xdr:row>102</xdr:row>
      <xdr:rowOff>1117</xdr:rowOff>
    </xdr:to>
    <xdr:sp macro="" textlink="">
      <xdr:nvSpPr>
        <xdr:cNvPr id="5" name="Cross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813708" y="207128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101</xdr:row>
      <xdr:rowOff>125886</xdr:rowOff>
    </xdr:from>
    <xdr:to>
      <xdr:col>11</xdr:col>
      <xdr:colOff>44659</xdr:colOff>
      <xdr:row>101</xdr:row>
      <xdr:rowOff>197034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7677554" y="208522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49788</xdr:colOff>
      <xdr:row>13</xdr:row>
      <xdr:rowOff>85724</xdr:rowOff>
    </xdr:from>
    <xdr:to>
      <xdr:col>34</xdr:col>
      <xdr:colOff>1483243</xdr:colOff>
      <xdr:row>15</xdr:row>
      <xdr:rowOff>24474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 bwMode="auto">
        <a:xfrm>
          <a:off x="19252188" y="3390899"/>
          <a:ext cx="3100330" cy="281650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 editAs="oneCell">
    <xdr:from>
      <xdr:col>10</xdr:col>
      <xdr:colOff>0</xdr:colOff>
      <xdr:row>85</xdr:row>
      <xdr:rowOff>116361</xdr:rowOff>
    </xdr:from>
    <xdr:to>
      <xdr:col>11</xdr:col>
      <xdr:colOff>44659</xdr:colOff>
      <xdr:row>85</xdr:row>
      <xdr:rowOff>187509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7677554" y="1751853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44659</xdr:colOff>
      <xdr:row>69</xdr:row>
      <xdr:rowOff>197034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9363479" y="1412763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406400</xdr:colOff>
      <xdr:row>11</xdr:row>
      <xdr:rowOff>0</xdr:rowOff>
    </xdr:from>
    <xdr:to>
      <xdr:col>14</xdr:col>
      <xdr:colOff>0</xdr:colOff>
      <xdr:row>39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49788</xdr:colOff>
      <xdr:row>17</xdr:row>
      <xdr:rowOff>69274</xdr:rowOff>
    </xdr:from>
    <xdr:to>
      <xdr:col>34</xdr:col>
      <xdr:colOff>1483243</xdr:colOff>
      <xdr:row>19</xdr:row>
      <xdr:rowOff>1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 bwMode="auto">
        <a:xfrm>
          <a:off x="19252188" y="4060249"/>
          <a:ext cx="3100330" cy="273627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 editAs="oneCell">
    <xdr:from>
      <xdr:col>10</xdr:col>
      <xdr:colOff>0</xdr:colOff>
      <xdr:row>53</xdr:row>
      <xdr:rowOff>125886</xdr:rowOff>
    </xdr:from>
    <xdr:to>
      <xdr:col>11</xdr:col>
      <xdr:colOff>44659</xdr:colOff>
      <xdr:row>53</xdr:row>
      <xdr:rowOff>197034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5972579" y="1067006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2</xdr:row>
      <xdr:rowOff>142875</xdr:rowOff>
    </xdr:from>
    <xdr:to>
      <xdr:col>7</xdr:col>
      <xdr:colOff>1444625</xdr:colOff>
      <xdr:row>7</xdr:row>
      <xdr:rowOff>63500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 bwMode="auto">
        <a:xfrm>
          <a:off x="4044950" y="790575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10</xdr:col>
      <xdr:colOff>200025</xdr:colOff>
      <xdr:row>2</xdr:row>
      <xdr:rowOff>120650</xdr:rowOff>
    </xdr:from>
    <xdr:to>
      <xdr:col>10</xdr:col>
      <xdr:colOff>1295400</xdr:colOff>
      <xdr:row>7</xdr:row>
      <xdr:rowOff>41275</xdr:rowOff>
    </xdr:to>
    <xdr:sp macro="" textlink="">
      <xdr:nvSpPr>
        <xdr:cNvPr id="5" name="Arc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 bwMode="auto">
        <a:xfrm>
          <a:off x="5819775" y="768350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13</xdr:col>
      <xdr:colOff>177800</xdr:colOff>
      <xdr:row>2</xdr:row>
      <xdr:rowOff>114300</xdr:rowOff>
    </xdr:from>
    <xdr:to>
      <xdr:col>13</xdr:col>
      <xdr:colOff>1273175</xdr:colOff>
      <xdr:row>7</xdr:row>
      <xdr:rowOff>34925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 bwMode="auto">
        <a:xfrm>
          <a:off x="7483475" y="762000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489858</xdr:colOff>
      <xdr:row>52</xdr:row>
      <xdr:rowOff>81650</xdr:rowOff>
    </xdr:from>
    <xdr:to>
      <xdr:col>2</xdr:col>
      <xdr:colOff>769637</xdr:colOff>
      <xdr:row>54</xdr:row>
      <xdr:rowOff>1117</xdr:rowOff>
    </xdr:to>
    <xdr:sp macro="" textlink="">
      <xdr:nvSpPr>
        <xdr:cNvPr id="2" name="Cros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813708" y="106925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84</xdr:row>
      <xdr:rowOff>81650</xdr:rowOff>
    </xdr:from>
    <xdr:to>
      <xdr:col>2</xdr:col>
      <xdr:colOff>769637</xdr:colOff>
      <xdr:row>86</xdr:row>
      <xdr:rowOff>1117</xdr:rowOff>
    </xdr:to>
    <xdr:sp macro="" textlink="">
      <xdr:nvSpPr>
        <xdr:cNvPr id="3" name="Cros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813708" y="17388575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68</xdr:row>
      <xdr:rowOff>81650</xdr:rowOff>
    </xdr:from>
    <xdr:to>
      <xdr:col>2</xdr:col>
      <xdr:colOff>769637</xdr:colOff>
      <xdr:row>70</xdr:row>
      <xdr:rowOff>1116</xdr:rowOff>
    </xdr:to>
    <xdr:sp macro="" textlink="">
      <xdr:nvSpPr>
        <xdr:cNvPr id="4" name="Cros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813708" y="14016725"/>
          <a:ext cx="279779" cy="290941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100</xdr:row>
      <xdr:rowOff>81650</xdr:rowOff>
    </xdr:from>
    <xdr:to>
      <xdr:col>2</xdr:col>
      <xdr:colOff>769637</xdr:colOff>
      <xdr:row>102</xdr:row>
      <xdr:rowOff>1117</xdr:rowOff>
    </xdr:to>
    <xdr:sp macro="" textlink="">
      <xdr:nvSpPr>
        <xdr:cNvPr id="5" name="Cros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813708" y="207128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49788</xdr:colOff>
      <xdr:row>13</xdr:row>
      <xdr:rowOff>85724</xdr:rowOff>
    </xdr:from>
    <xdr:to>
      <xdr:col>31</xdr:col>
      <xdr:colOff>1483243</xdr:colOff>
      <xdr:row>15</xdr:row>
      <xdr:rowOff>24474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 bwMode="auto">
        <a:xfrm>
          <a:off x="19252188" y="3390899"/>
          <a:ext cx="3100330" cy="281650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>
    <xdr:from>
      <xdr:col>16</xdr:col>
      <xdr:colOff>257175</xdr:colOff>
      <xdr:row>3</xdr:row>
      <xdr:rowOff>190500</xdr:rowOff>
    </xdr:from>
    <xdr:to>
      <xdr:col>16</xdr:col>
      <xdr:colOff>1352550</xdr:colOff>
      <xdr:row>7</xdr:row>
      <xdr:rowOff>47625</xdr:rowOff>
    </xdr:to>
    <xdr:sp macro="" textlink="">
      <xdr:nvSpPr>
        <xdr:cNvPr id="14" name="Arc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 bwMode="auto">
        <a:xfrm>
          <a:off x="10706100" y="1181100"/>
          <a:ext cx="1095375" cy="11430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0</xdr:col>
      <xdr:colOff>69310</xdr:colOff>
      <xdr:row>42</xdr:row>
      <xdr:rowOff>0</xdr:rowOff>
    </xdr:from>
    <xdr:to>
      <xdr:col>26</xdr:col>
      <xdr:colOff>65771</xdr:colOff>
      <xdr:row>55</xdr:row>
      <xdr:rowOff>190500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pSpPr/>
      </xdr:nvGrpSpPr>
      <xdr:grpSpPr>
        <a:xfrm>
          <a:off x="69310" y="8327571"/>
          <a:ext cx="13018497" cy="2843893"/>
          <a:chOff x="192271" y="8159750"/>
          <a:chExt cx="16905301" cy="28416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 bwMode="auto">
          <a:xfrm>
            <a:off x="192271" y="8159750"/>
            <a:ext cx="9654427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 bwMode="auto">
          <a:xfrm>
            <a:off x="9846698" y="8159750"/>
            <a:ext cx="7250874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28</xdr:col>
      <xdr:colOff>49788</xdr:colOff>
      <xdr:row>17</xdr:row>
      <xdr:rowOff>69274</xdr:rowOff>
    </xdr:from>
    <xdr:to>
      <xdr:col>31</xdr:col>
      <xdr:colOff>1483243</xdr:colOff>
      <xdr:row>19</xdr:row>
      <xdr:rowOff>1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 bwMode="auto">
        <a:xfrm>
          <a:off x="19252188" y="4060249"/>
          <a:ext cx="3100330" cy="273627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>
    <xdr:from>
      <xdr:col>0</xdr:col>
      <xdr:colOff>69309</xdr:colOff>
      <xdr:row>58</xdr:row>
      <xdr:rowOff>1484</xdr:rowOff>
    </xdr:from>
    <xdr:to>
      <xdr:col>26</xdr:col>
      <xdr:colOff>65771</xdr:colOff>
      <xdr:row>71</xdr:row>
      <xdr:rowOff>187037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GrpSpPr/>
      </xdr:nvGrpSpPr>
      <xdr:grpSpPr>
        <a:xfrm>
          <a:off x="69309" y="11621984"/>
          <a:ext cx="13018498" cy="2838946"/>
          <a:chOff x="192270" y="8159750"/>
          <a:chExt cx="16905302" cy="2841625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/>
        </xdr:nvSpPr>
        <xdr:spPr bwMode="auto">
          <a:xfrm>
            <a:off x="192270" y="8159750"/>
            <a:ext cx="9632179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 bwMode="auto">
          <a:xfrm>
            <a:off x="9835575" y="8159750"/>
            <a:ext cx="7261997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0</xdr:col>
      <xdr:colOff>69310</xdr:colOff>
      <xdr:row>73</xdr:row>
      <xdr:rowOff>270164</xdr:rowOff>
    </xdr:from>
    <xdr:to>
      <xdr:col>26</xdr:col>
      <xdr:colOff>65771</xdr:colOff>
      <xdr:row>87</xdr:row>
      <xdr:rowOff>148937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GrpSpPr/>
      </xdr:nvGrpSpPr>
      <xdr:grpSpPr>
        <a:xfrm>
          <a:off x="69310" y="14911450"/>
          <a:ext cx="13018497" cy="2858737"/>
          <a:chOff x="192271" y="8159750"/>
          <a:chExt cx="16905301" cy="2841625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 bwMode="auto">
          <a:xfrm>
            <a:off x="192271" y="8159750"/>
            <a:ext cx="9654427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1500-000021000000}"/>
              </a:ext>
            </a:extLst>
          </xdr:cNvPr>
          <xdr:cNvSpPr/>
        </xdr:nvSpPr>
        <xdr:spPr bwMode="auto">
          <a:xfrm>
            <a:off x="9846698" y="8159750"/>
            <a:ext cx="7250874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>
    <xdr:from>
      <xdr:col>0</xdr:col>
      <xdr:colOff>69309</xdr:colOff>
      <xdr:row>90</xdr:row>
      <xdr:rowOff>6928</xdr:rowOff>
    </xdr:from>
    <xdr:to>
      <xdr:col>26</xdr:col>
      <xdr:colOff>65771</xdr:colOff>
      <xdr:row>103</xdr:row>
      <xdr:rowOff>197428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69309" y="18267714"/>
          <a:ext cx="13018498" cy="2843893"/>
          <a:chOff x="192270" y="8159750"/>
          <a:chExt cx="16905302" cy="284162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 bwMode="auto">
          <a:xfrm>
            <a:off x="192270" y="8159750"/>
            <a:ext cx="9643304" cy="284162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 bwMode="auto">
          <a:xfrm>
            <a:off x="9846698" y="8159750"/>
            <a:ext cx="7250874" cy="2835275"/>
          </a:xfrm>
          <a:prstGeom prst="rect">
            <a:avLst/>
          </a:prstGeom>
          <a:noFill/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/>
          <a:p>
            <a:pPr marL="0" marR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endParaRPr>
          </a:p>
        </xdr:txBody>
      </xdr:sp>
    </xdr:grpSp>
    <xdr:clientData/>
  </xdr:twoCellAnchor>
  <xdr:twoCellAnchor editAs="oneCell">
    <xdr:from>
      <xdr:col>10</xdr:col>
      <xdr:colOff>0</xdr:colOff>
      <xdr:row>101</xdr:row>
      <xdr:rowOff>125886</xdr:rowOff>
    </xdr:from>
    <xdr:to>
      <xdr:col>11</xdr:col>
      <xdr:colOff>44659</xdr:colOff>
      <xdr:row>101</xdr:row>
      <xdr:rowOff>197034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8016372" y="20672672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44659</xdr:colOff>
      <xdr:row>69</xdr:row>
      <xdr:rowOff>197034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8016372" y="140323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53</xdr:row>
      <xdr:rowOff>125886</xdr:rowOff>
    </xdr:from>
    <xdr:to>
      <xdr:col>11</xdr:col>
      <xdr:colOff>44659</xdr:colOff>
      <xdr:row>53</xdr:row>
      <xdr:rowOff>197034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/>
      </xdr:nvSpPr>
      <xdr:spPr>
        <a:xfrm>
          <a:off x="5972579" y="108319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44659</xdr:colOff>
      <xdr:row>69</xdr:row>
      <xdr:rowOff>197034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5972579" y="1415621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53</xdr:row>
      <xdr:rowOff>125886</xdr:rowOff>
    </xdr:from>
    <xdr:to>
      <xdr:col>11</xdr:col>
      <xdr:colOff>44659</xdr:colOff>
      <xdr:row>53</xdr:row>
      <xdr:rowOff>197034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5972579" y="108319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44659</xdr:colOff>
      <xdr:row>69</xdr:row>
      <xdr:rowOff>197034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5972579" y="1415621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85</xdr:row>
      <xdr:rowOff>163986</xdr:rowOff>
    </xdr:from>
    <xdr:to>
      <xdr:col>11</xdr:col>
      <xdr:colOff>44659</xdr:colOff>
      <xdr:row>85</xdr:row>
      <xdr:rowOff>235134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SpPr/>
      </xdr:nvSpPr>
      <xdr:spPr>
        <a:xfrm>
          <a:off x="6038850" y="1756616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44659</xdr:colOff>
      <xdr:row>69</xdr:row>
      <xdr:rowOff>197034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5972579" y="1415621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2</xdr:row>
      <xdr:rowOff>142875</xdr:rowOff>
    </xdr:from>
    <xdr:to>
      <xdr:col>7</xdr:col>
      <xdr:colOff>1444625</xdr:colOff>
      <xdr:row>7</xdr:row>
      <xdr:rowOff>63500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 bwMode="auto">
        <a:xfrm>
          <a:off x="4044950" y="790575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10</xdr:col>
      <xdr:colOff>200025</xdr:colOff>
      <xdr:row>2</xdr:row>
      <xdr:rowOff>120650</xdr:rowOff>
    </xdr:from>
    <xdr:to>
      <xdr:col>10</xdr:col>
      <xdr:colOff>1295400</xdr:colOff>
      <xdr:row>7</xdr:row>
      <xdr:rowOff>41275</xdr:rowOff>
    </xdr:to>
    <xdr:sp macro="" textlink="">
      <xdr:nvSpPr>
        <xdr:cNvPr id="5" name="Arc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 bwMode="auto">
        <a:xfrm>
          <a:off x="5819775" y="768350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13</xdr:col>
      <xdr:colOff>177800</xdr:colOff>
      <xdr:row>2</xdr:row>
      <xdr:rowOff>114300</xdr:rowOff>
    </xdr:from>
    <xdr:to>
      <xdr:col>13</xdr:col>
      <xdr:colOff>1273175</xdr:colOff>
      <xdr:row>7</xdr:row>
      <xdr:rowOff>34925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 bwMode="auto">
        <a:xfrm>
          <a:off x="7483475" y="762000"/>
          <a:ext cx="1095375" cy="11684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489858</xdr:colOff>
      <xdr:row>52</xdr:row>
      <xdr:rowOff>81650</xdr:rowOff>
    </xdr:from>
    <xdr:to>
      <xdr:col>2</xdr:col>
      <xdr:colOff>769637</xdr:colOff>
      <xdr:row>54</xdr:row>
      <xdr:rowOff>1117</xdr:rowOff>
    </xdr:to>
    <xdr:sp macro="" textlink="">
      <xdr:nvSpPr>
        <xdr:cNvPr id="2" name="Cros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813708" y="106925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84</xdr:row>
      <xdr:rowOff>81650</xdr:rowOff>
    </xdr:from>
    <xdr:to>
      <xdr:col>2</xdr:col>
      <xdr:colOff>769637</xdr:colOff>
      <xdr:row>86</xdr:row>
      <xdr:rowOff>1117</xdr:rowOff>
    </xdr:to>
    <xdr:sp macro="" textlink="">
      <xdr:nvSpPr>
        <xdr:cNvPr id="3" name="Cros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813708" y="17388575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68</xdr:row>
      <xdr:rowOff>81650</xdr:rowOff>
    </xdr:from>
    <xdr:to>
      <xdr:col>2</xdr:col>
      <xdr:colOff>769637</xdr:colOff>
      <xdr:row>70</xdr:row>
      <xdr:rowOff>1116</xdr:rowOff>
    </xdr:to>
    <xdr:sp macro="" textlink="">
      <xdr:nvSpPr>
        <xdr:cNvPr id="4" name="Cros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813708" y="14016725"/>
          <a:ext cx="279779" cy="290941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489858</xdr:colOff>
      <xdr:row>100</xdr:row>
      <xdr:rowOff>81650</xdr:rowOff>
    </xdr:from>
    <xdr:to>
      <xdr:col>2</xdr:col>
      <xdr:colOff>769637</xdr:colOff>
      <xdr:row>102</xdr:row>
      <xdr:rowOff>1117</xdr:rowOff>
    </xdr:to>
    <xdr:sp macro="" textlink="">
      <xdr:nvSpPr>
        <xdr:cNvPr id="5" name="Cros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813708" y="20712800"/>
          <a:ext cx="279779" cy="290942"/>
        </a:xfrm>
        <a:prstGeom prst="plus">
          <a:avLst>
            <a:gd name="adj" fmla="val 382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49788</xdr:colOff>
      <xdr:row>13</xdr:row>
      <xdr:rowOff>85724</xdr:rowOff>
    </xdr:from>
    <xdr:to>
      <xdr:col>34</xdr:col>
      <xdr:colOff>1483243</xdr:colOff>
      <xdr:row>15</xdr:row>
      <xdr:rowOff>24474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 bwMode="auto">
        <a:xfrm>
          <a:off x="19252188" y="3390899"/>
          <a:ext cx="3100330" cy="281650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>
    <xdr:from>
      <xdr:col>15</xdr:col>
      <xdr:colOff>257175</xdr:colOff>
      <xdr:row>3</xdr:row>
      <xdr:rowOff>190500</xdr:rowOff>
    </xdr:from>
    <xdr:to>
      <xdr:col>15</xdr:col>
      <xdr:colOff>1352550</xdr:colOff>
      <xdr:row>7</xdr:row>
      <xdr:rowOff>47625</xdr:rowOff>
    </xdr:to>
    <xdr:sp macro="" textlink="">
      <xdr:nvSpPr>
        <xdr:cNvPr id="14" name="Arc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/>
      </xdr:nvSpPr>
      <xdr:spPr bwMode="auto">
        <a:xfrm>
          <a:off x="10706100" y="1181100"/>
          <a:ext cx="1095375" cy="1143000"/>
        </a:xfrm>
        <a:prstGeom prst="arc">
          <a:avLst>
            <a:gd name="adj1" fmla="val 10800107"/>
            <a:gd name="adj2" fmla="val 0"/>
          </a:avLst>
        </a:prstGeom>
        <a:noFill/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t" anchorCtr="0" compatLnSpc="1">
          <a:prstTxWarp prst="textNoShape">
            <a:avLst/>
          </a:prstTxWarp>
        </a:bodyPr>
        <a:lstStyle/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Verdana" pitchFamily="34" charset="0"/>
          </a:endParaRPr>
        </a:p>
      </xdr:txBody>
    </xdr:sp>
    <xdr:clientData/>
  </xdr:twoCellAnchor>
  <xdr:twoCellAnchor>
    <xdr:from>
      <xdr:col>31</xdr:col>
      <xdr:colOff>49788</xdr:colOff>
      <xdr:row>17</xdr:row>
      <xdr:rowOff>69274</xdr:rowOff>
    </xdr:from>
    <xdr:to>
      <xdr:col>34</xdr:col>
      <xdr:colOff>1483243</xdr:colOff>
      <xdr:row>19</xdr:row>
      <xdr:rowOff>1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 bwMode="auto">
        <a:xfrm>
          <a:off x="19252188" y="4060249"/>
          <a:ext cx="3100330" cy="273627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en-US" sz="1400" b="0" i="0" u="none" strike="noStrike" cap="none" normalizeH="0" baseline="0" dirty="0" err="1">
              <a:ln>
                <a:noFill/>
              </a:ln>
              <a:solidFill>
                <a:schemeClr val="bg1"/>
              </a:solidFill>
              <a:effectLst/>
              <a:latin typeface="Verdana" pitchFamily="34" charset="0"/>
            </a:rPr>
            <a:t>Buy/Read Report</a:t>
          </a:r>
        </a:p>
      </xdr:txBody>
    </xdr:sp>
    <xdr:clientData/>
  </xdr:twoCellAnchor>
  <xdr:twoCellAnchor editAs="oneCell">
    <xdr:from>
      <xdr:col>10</xdr:col>
      <xdr:colOff>0</xdr:colOff>
      <xdr:row>101</xdr:row>
      <xdr:rowOff>125886</xdr:rowOff>
    </xdr:from>
    <xdr:to>
      <xdr:col>11</xdr:col>
      <xdr:colOff>31052</xdr:colOff>
      <xdr:row>101</xdr:row>
      <xdr:rowOff>197034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/>
      </xdr:nvSpPr>
      <xdr:spPr>
        <a:xfrm>
          <a:off x="7995343" y="21184795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85</xdr:row>
      <xdr:rowOff>116361</xdr:rowOff>
    </xdr:from>
    <xdr:to>
      <xdr:col>11</xdr:col>
      <xdr:colOff>31052</xdr:colOff>
      <xdr:row>85</xdr:row>
      <xdr:rowOff>187509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7995343" y="1778090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69</xdr:row>
      <xdr:rowOff>125886</xdr:rowOff>
    </xdr:from>
    <xdr:to>
      <xdr:col>11</xdr:col>
      <xdr:colOff>31052</xdr:colOff>
      <xdr:row>69</xdr:row>
      <xdr:rowOff>197034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5972579" y="14156211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0</xdr:colOff>
      <xdr:row>53</xdr:row>
      <xdr:rowOff>125886</xdr:rowOff>
    </xdr:from>
    <xdr:to>
      <xdr:col>11</xdr:col>
      <xdr:colOff>31052</xdr:colOff>
      <xdr:row>53</xdr:row>
      <xdr:rowOff>197034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5972579" y="10831986"/>
          <a:ext cx="221552" cy="711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408213</xdr:colOff>
      <xdr:row>152</xdr:row>
      <xdr:rowOff>67236</xdr:rowOff>
    </xdr:from>
    <xdr:to>
      <xdr:col>13</xdr:col>
      <xdr:colOff>2476500</xdr:colOff>
      <xdr:row>171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121227</xdr:colOff>
      <xdr:row>125</xdr:row>
      <xdr:rowOff>87192</xdr:rowOff>
    </xdr:from>
    <xdr:to>
      <xdr:col>33</xdr:col>
      <xdr:colOff>2946400</xdr:colOff>
      <xdr:row>143</xdr:row>
      <xdr:rowOff>34637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40823</xdr:colOff>
      <xdr:row>102</xdr:row>
      <xdr:rowOff>75811</xdr:rowOff>
    </xdr:from>
    <xdr:to>
      <xdr:col>37</xdr:col>
      <xdr:colOff>2667000</xdr:colOff>
      <xdr:row>113</xdr:row>
      <xdr:rowOff>81643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81643</xdr:colOff>
      <xdr:row>111</xdr:row>
      <xdr:rowOff>40821</xdr:rowOff>
    </xdr:from>
    <xdr:to>
      <xdr:col>44</xdr:col>
      <xdr:colOff>1319893</xdr:colOff>
      <xdr:row>133</xdr:row>
      <xdr:rowOff>81643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96734</xdr:colOff>
      <xdr:row>212</xdr:row>
      <xdr:rowOff>96242</xdr:rowOff>
    </xdr:from>
    <xdr:to>
      <xdr:col>33</xdr:col>
      <xdr:colOff>2978727</xdr:colOff>
      <xdr:row>247</xdr:row>
      <xdr:rowOff>83127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96733</xdr:colOff>
      <xdr:row>212</xdr:row>
      <xdr:rowOff>82386</xdr:rowOff>
    </xdr:from>
    <xdr:to>
      <xdr:col>37</xdr:col>
      <xdr:colOff>3144981</xdr:colOff>
      <xdr:row>247</xdr:row>
      <xdr:rowOff>69273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560860</xdr:colOff>
      <xdr:row>363</xdr:row>
      <xdr:rowOff>118170</xdr:rowOff>
    </xdr:from>
    <xdr:to>
      <xdr:col>37</xdr:col>
      <xdr:colOff>3096490</xdr:colOff>
      <xdr:row>398</xdr:row>
      <xdr:rowOff>101869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328055</xdr:colOff>
      <xdr:row>363</xdr:row>
      <xdr:rowOff>42553</xdr:rowOff>
    </xdr:from>
    <xdr:to>
      <xdr:col>41</xdr:col>
      <xdr:colOff>2974274</xdr:colOff>
      <xdr:row>398</xdr:row>
      <xdr:rowOff>45523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53336</xdr:colOff>
      <xdr:row>199</xdr:row>
      <xdr:rowOff>84758</xdr:rowOff>
    </xdr:from>
    <xdr:to>
      <xdr:col>41</xdr:col>
      <xdr:colOff>3006436</xdr:colOff>
      <xdr:row>224</xdr:row>
      <xdr:rowOff>110837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83127</xdr:colOff>
      <xdr:row>301</xdr:row>
      <xdr:rowOff>86591</xdr:rowOff>
    </xdr:from>
    <xdr:to>
      <xdr:col>33</xdr:col>
      <xdr:colOff>3115733</xdr:colOff>
      <xdr:row>326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42</xdr:col>
      <xdr:colOff>445325</xdr:colOff>
      <xdr:row>230</xdr:row>
      <xdr:rowOff>135243</xdr:rowOff>
    </xdr:from>
    <xdr:to>
      <xdr:col>45</xdr:col>
      <xdr:colOff>2814313</xdr:colOff>
      <xdr:row>245</xdr:row>
      <xdr:rowOff>86592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29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7370" y="42547470"/>
          <a:ext cx="7173054" cy="254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42</xdr:col>
      <xdr:colOff>232805</xdr:colOff>
      <xdr:row>362</xdr:row>
      <xdr:rowOff>69767</xdr:rowOff>
    </xdr:from>
    <xdr:to>
      <xdr:col>45</xdr:col>
      <xdr:colOff>2879024</xdr:colOff>
      <xdr:row>397</xdr:row>
      <xdr:rowOff>72737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0.23786</cdr:x>
      <cdr:y>0.18545</cdr:y>
    </cdr:from>
    <cdr:to>
      <cdr:x>0.31491</cdr:x>
      <cdr:y>0.23337</cdr:y>
    </cdr:to>
    <cdr:sp macro="" textlink="OutCh1!$AO$109">
      <cdr:nvSpPr>
        <cdr:cNvPr id="5" name="TextBox 4"/>
        <cdr:cNvSpPr txBox="1"/>
      </cdr:nvSpPr>
      <cdr:spPr>
        <a:xfrm xmlns:a="http://schemas.openxmlformats.org/drawingml/2006/main">
          <a:off x="2761992" y="723770"/>
          <a:ext cx="894693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fld id="{55D98AE3-890B-4295-81BF-43F0A8592782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46%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0.43674</cdr:x>
      <cdr:y>0.18545</cdr:y>
    </cdr:from>
    <cdr:to>
      <cdr:x>0.51379</cdr:x>
      <cdr:y>0.23337</cdr:y>
    </cdr:to>
    <cdr:sp macro="" textlink="OutCh1!$AP$109">
      <cdr:nvSpPr>
        <cdr:cNvPr id="6" name="TextBox 1"/>
        <cdr:cNvSpPr txBox="1"/>
      </cdr:nvSpPr>
      <cdr:spPr>
        <a:xfrm xmlns:a="http://schemas.openxmlformats.org/drawingml/2006/main">
          <a:off x="5071355" y="723770"/>
          <a:ext cx="894693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E41C77-6354-467C-BD50-B9157511951F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47%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0.63272</cdr:x>
      <cdr:y>0.18545</cdr:y>
    </cdr:from>
    <cdr:to>
      <cdr:x>0.70977</cdr:x>
      <cdr:y>0.23337</cdr:y>
    </cdr:to>
    <cdr:sp macro="" textlink="OutCh1!$AQ$109">
      <cdr:nvSpPr>
        <cdr:cNvPr id="7" name="TextBox 1"/>
        <cdr:cNvSpPr txBox="1"/>
      </cdr:nvSpPr>
      <cdr:spPr>
        <a:xfrm xmlns:a="http://schemas.openxmlformats.org/drawingml/2006/main">
          <a:off x="7347044" y="723770"/>
          <a:ext cx="894692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D9F861-41D4-4859-A9B3-A026B1F5292A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31%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0.8421</cdr:x>
      <cdr:y>0.18545</cdr:y>
    </cdr:from>
    <cdr:to>
      <cdr:x>0.91915</cdr:x>
      <cdr:y>0.23337</cdr:y>
    </cdr:to>
    <cdr:sp macro="" textlink="OutCh1!$AR$109">
      <cdr:nvSpPr>
        <cdr:cNvPr id="8" name="TextBox 1"/>
        <cdr:cNvSpPr txBox="1"/>
      </cdr:nvSpPr>
      <cdr:spPr>
        <a:xfrm xmlns:a="http://schemas.openxmlformats.org/drawingml/2006/main">
          <a:off x="9778331" y="723770"/>
          <a:ext cx="894693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4FCDDA-25D7-446E-AEB7-C7E4EC835890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0%</a:t>
          </a:fld>
          <a:endParaRPr lang="en-US" sz="1400" dirty="0" err="1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121227</xdr:colOff>
      <xdr:row>121</xdr:row>
      <xdr:rowOff>87192</xdr:rowOff>
    </xdr:from>
    <xdr:to>
      <xdr:col>33</xdr:col>
      <xdr:colOff>2268682</xdr:colOff>
      <xdr:row>139</xdr:row>
      <xdr:rowOff>34637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40823</xdr:colOff>
      <xdr:row>100</xdr:row>
      <xdr:rowOff>75811</xdr:rowOff>
    </xdr:from>
    <xdr:to>
      <xdr:col>37</xdr:col>
      <xdr:colOff>2667000</xdr:colOff>
      <xdr:row>110</xdr:row>
      <xdr:rowOff>81643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81643</xdr:colOff>
      <xdr:row>109</xdr:row>
      <xdr:rowOff>40821</xdr:rowOff>
    </xdr:from>
    <xdr:to>
      <xdr:col>44</xdr:col>
      <xdr:colOff>1319893</xdr:colOff>
      <xdr:row>129</xdr:row>
      <xdr:rowOff>81643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13606</xdr:colOff>
      <xdr:row>208</xdr:row>
      <xdr:rowOff>40822</xdr:rowOff>
    </xdr:from>
    <xdr:to>
      <xdr:col>33</xdr:col>
      <xdr:colOff>3462617</xdr:colOff>
      <xdr:row>243</xdr:row>
      <xdr:rowOff>68037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2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13606</xdr:colOff>
      <xdr:row>208</xdr:row>
      <xdr:rowOff>40822</xdr:rowOff>
    </xdr:from>
    <xdr:to>
      <xdr:col>37</xdr:col>
      <xdr:colOff>3641911</xdr:colOff>
      <xdr:row>243</xdr:row>
      <xdr:rowOff>68037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2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13606</xdr:colOff>
      <xdr:row>208</xdr:row>
      <xdr:rowOff>40822</xdr:rowOff>
    </xdr:from>
    <xdr:to>
      <xdr:col>33</xdr:col>
      <xdr:colOff>3462617</xdr:colOff>
      <xdr:row>243</xdr:row>
      <xdr:rowOff>68037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2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13606</xdr:colOff>
      <xdr:row>208</xdr:row>
      <xdr:rowOff>40822</xdr:rowOff>
    </xdr:from>
    <xdr:to>
      <xdr:col>37</xdr:col>
      <xdr:colOff>3641911</xdr:colOff>
      <xdr:row>243</xdr:row>
      <xdr:rowOff>68037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2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42</xdr:col>
      <xdr:colOff>81643</xdr:colOff>
      <xdr:row>226</xdr:row>
      <xdr:rowOff>48652</xdr:rowOff>
    </xdr:from>
    <xdr:to>
      <xdr:col>46</xdr:col>
      <xdr:colOff>289232</xdr:colOff>
      <xdr:row>241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2A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9968" y="42806377"/>
          <a:ext cx="7349978" cy="2665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0.23786</cdr:x>
      <cdr:y>0.18545</cdr:y>
    </cdr:from>
    <cdr:to>
      <cdr:x>0.31491</cdr:x>
      <cdr:y>0.23804</cdr:y>
    </cdr:to>
    <cdr:sp macro="" textlink="OutCh2!$AO$107">
      <cdr:nvSpPr>
        <cdr:cNvPr id="5" name="TextBox 4"/>
        <cdr:cNvSpPr txBox="1"/>
      </cdr:nvSpPr>
      <cdr:spPr>
        <a:xfrm xmlns:a="http://schemas.openxmlformats.org/drawingml/2006/main">
          <a:off x="2539550" y="659537"/>
          <a:ext cx="822637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fld id="{55D98AE3-890B-4295-81BF-43F0A8592782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49%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0.43674</cdr:x>
      <cdr:y>0.18545</cdr:y>
    </cdr:from>
    <cdr:to>
      <cdr:x>0.51379</cdr:x>
      <cdr:y>0.23804</cdr:y>
    </cdr:to>
    <cdr:sp macro="" textlink="OutCh2!$AP$107">
      <cdr:nvSpPr>
        <cdr:cNvPr id="6" name="TextBox 1"/>
        <cdr:cNvSpPr txBox="1"/>
      </cdr:nvSpPr>
      <cdr:spPr>
        <a:xfrm xmlns:a="http://schemas.openxmlformats.org/drawingml/2006/main">
          <a:off x="4662924" y="659537"/>
          <a:ext cx="822637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E41C77-6354-467C-BD50-B9157511951F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44%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0.63272</cdr:x>
      <cdr:y>0.18545</cdr:y>
    </cdr:from>
    <cdr:to>
      <cdr:x>0.70977</cdr:x>
      <cdr:y>0.23804</cdr:y>
    </cdr:to>
    <cdr:sp macro="" textlink="OutCh2!$AQ$107">
      <cdr:nvSpPr>
        <cdr:cNvPr id="7" name="TextBox 1"/>
        <cdr:cNvSpPr txBox="1"/>
      </cdr:nvSpPr>
      <cdr:spPr>
        <a:xfrm xmlns:a="http://schemas.openxmlformats.org/drawingml/2006/main">
          <a:off x="6755336" y="659537"/>
          <a:ext cx="822636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D9F861-41D4-4859-A9B3-A026B1F5292A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55%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0.8421</cdr:x>
      <cdr:y>0.18545</cdr:y>
    </cdr:from>
    <cdr:to>
      <cdr:x>0.91915</cdr:x>
      <cdr:y>0.23804</cdr:y>
    </cdr:to>
    <cdr:sp macro="" textlink="OutCh2!$AR$107">
      <cdr:nvSpPr>
        <cdr:cNvPr id="8" name="TextBox 1"/>
        <cdr:cNvSpPr txBox="1"/>
      </cdr:nvSpPr>
      <cdr:spPr>
        <a:xfrm xmlns:a="http://schemas.openxmlformats.org/drawingml/2006/main">
          <a:off x="8990815" y="659537"/>
          <a:ext cx="822636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4FCDDA-25D7-446E-AEB7-C7E4EC835890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0%</a:t>
          </a:fld>
          <a:endParaRPr lang="en-US" sz="1400" dirty="0" err="1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121227</xdr:colOff>
      <xdr:row>121</xdr:row>
      <xdr:rowOff>87192</xdr:rowOff>
    </xdr:from>
    <xdr:to>
      <xdr:col>33</xdr:col>
      <xdr:colOff>2268682</xdr:colOff>
      <xdr:row>139</xdr:row>
      <xdr:rowOff>34637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40823</xdr:colOff>
      <xdr:row>100</xdr:row>
      <xdr:rowOff>75811</xdr:rowOff>
    </xdr:from>
    <xdr:to>
      <xdr:col>37</xdr:col>
      <xdr:colOff>2667000</xdr:colOff>
      <xdr:row>110</xdr:row>
      <xdr:rowOff>81643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81643</xdr:colOff>
      <xdr:row>109</xdr:row>
      <xdr:rowOff>40821</xdr:rowOff>
    </xdr:from>
    <xdr:to>
      <xdr:col>44</xdr:col>
      <xdr:colOff>1319893</xdr:colOff>
      <xdr:row>129</xdr:row>
      <xdr:rowOff>81643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13606</xdr:colOff>
      <xdr:row>209</xdr:row>
      <xdr:rowOff>40822</xdr:rowOff>
    </xdr:from>
    <xdr:to>
      <xdr:col>33</xdr:col>
      <xdr:colOff>3462617</xdr:colOff>
      <xdr:row>244</xdr:row>
      <xdr:rowOff>68037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13606</xdr:colOff>
      <xdr:row>209</xdr:row>
      <xdr:rowOff>40822</xdr:rowOff>
    </xdr:from>
    <xdr:to>
      <xdr:col>37</xdr:col>
      <xdr:colOff>3641911</xdr:colOff>
      <xdr:row>244</xdr:row>
      <xdr:rowOff>68037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13606</xdr:colOff>
      <xdr:row>311</xdr:row>
      <xdr:rowOff>40822</xdr:rowOff>
    </xdr:from>
    <xdr:to>
      <xdr:col>37</xdr:col>
      <xdr:colOff>3641911</xdr:colOff>
      <xdr:row>346</xdr:row>
      <xdr:rowOff>68037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17318</xdr:colOff>
      <xdr:row>311</xdr:row>
      <xdr:rowOff>69274</xdr:rowOff>
    </xdr:from>
    <xdr:to>
      <xdr:col>45</xdr:col>
      <xdr:colOff>3030682</xdr:colOff>
      <xdr:row>346</xdr:row>
      <xdr:rowOff>86592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53336</xdr:colOff>
      <xdr:row>196</xdr:row>
      <xdr:rowOff>57049</xdr:rowOff>
    </xdr:from>
    <xdr:to>
      <xdr:col>45</xdr:col>
      <xdr:colOff>3453302</xdr:colOff>
      <xdr:row>221</xdr:row>
      <xdr:rowOff>146040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145596</xdr:colOff>
      <xdr:row>298</xdr:row>
      <xdr:rowOff>50346</xdr:rowOff>
    </xdr:from>
    <xdr:to>
      <xdr:col>33</xdr:col>
      <xdr:colOff>3325585</xdr:colOff>
      <xdr:row>323</xdr:row>
      <xdr:rowOff>108856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2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81643</xdr:colOff>
      <xdr:row>227</xdr:row>
      <xdr:rowOff>48652</xdr:rowOff>
    </xdr:from>
    <xdr:to>
      <xdr:col>41</xdr:col>
      <xdr:colOff>1421346</xdr:colOff>
      <xdr:row>242</xdr:row>
      <xdr:rowOff>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9968" y="42806377"/>
          <a:ext cx="7349978" cy="2665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38</xdr:col>
      <xdr:colOff>83127</xdr:colOff>
      <xdr:row>311</xdr:row>
      <xdr:rowOff>96982</xdr:rowOff>
    </xdr:from>
    <xdr:to>
      <xdr:col>41</xdr:col>
      <xdr:colOff>2729346</xdr:colOff>
      <xdr:row>346</xdr:row>
      <xdr:rowOff>72738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2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83127</xdr:colOff>
      <xdr:row>311</xdr:row>
      <xdr:rowOff>96982</xdr:rowOff>
    </xdr:from>
    <xdr:to>
      <xdr:col>45</xdr:col>
      <xdr:colOff>2729346</xdr:colOff>
      <xdr:row>346</xdr:row>
      <xdr:rowOff>72738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2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0.23786</cdr:x>
      <cdr:y>0.18545</cdr:y>
    </cdr:from>
    <cdr:to>
      <cdr:x>0.31491</cdr:x>
      <cdr:y>0.23804</cdr:y>
    </cdr:to>
    <cdr:sp macro="" textlink="OutCh3!$AO$107">
      <cdr:nvSpPr>
        <cdr:cNvPr id="5" name="TextBox 4"/>
        <cdr:cNvSpPr txBox="1"/>
      </cdr:nvSpPr>
      <cdr:spPr>
        <a:xfrm xmlns:a="http://schemas.openxmlformats.org/drawingml/2006/main">
          <a:off x="2667249" y="659537"/>
          <a:ext cx="864002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fld id="{55D98AE3-890B-4295-81BF-43F0A8592782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53%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0.43674</cdr:x>
      <cdr:y>0.18545</cdr:y>
    </cdr:from>
    <cdr:to>
      <cdr:x>0.51379</cdr:x>
      <cdr:y>0.23804</cdr:y>
    </cdr:to>
    <cdr:sp macro="" textlink="OutCh3!$AP$107">
      <cdr:nvSpPr>
        <cdr:cNvPr id="6" name="TextBox 1"/>
        <cdr:cNvSpPr txBox="1"/>
      </cdr:nvSpPr>
      <cdr:spPr>
        <a:xfrm xmlns:a="http://schemas.openxmlformats.org/drawingml/2006/main">
          <a:off x="4897394" y="659537"/>
          <a:ext cx="864002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E41C77-6354-467C-BD50-B9157511951F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37%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0.63272</cdr:x>
      <cdr:y>0.18545</cdr:y>
    </cdr:from>
    <cdr:to>
      <cdr:x>0.70977</cdr:x>
      <cdr:y>0.23804</cdr:y>
    </cdr:to>
    <cdr:sp macro="" textlink="OutCh3!$AQ$107">
      <cdr:nvSpPr>
        <cdr:cNvPr id="7" name="TextBox 1"/>
        <cdr:cNvSpPr txBox="1"/>
      </cdr:nvSpPr>
      <cdr:spPr>
        <a:xfrm xmlns:a="http://schemas.openxmlformats.org/drawingml/2006/main">
          <a:off x="7095020" y="659537"/>
          <a:ext cx="864002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D9F861-41D4-4859-A9B3-A026B1F5292A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41%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0.8421</cdr:x>
      <cdr:y>0.18545</cdr:y>
    </cdr:from>
    <cdr:to>
      <cdr:x>0.91915</cdr:x>
      <cdr:y>0.23804</cdr:y>
    </cdr:to>
    <cdr:sp macro="" textlink="OutCh3!$AR$107">
      <cdr:nvSpPr>
        <cdr:cNvPr id="8" name="TextBox 1"/>
        <cdr:cNvSpPr txBox="1"/>
      </cdr:nvSpPr>
      <cdr:spPr>
        <a:xfrm xmlns:a="http://schemas.openxmlformats.org/drawingml/2006/main">
          <a:off x="9442908" y="659537"/>
          <a:ext cx="864002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4FCDDA-25D7-446E-AEB7-C7E4EC835890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0%</a:t>
          </a:fld>
          <a:endParaRPr lang="en-US" sz="1400" dirty="0" err="1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121227</xdr:colOff>
      <xdr:row>121</xdr:row>
      <xdr:rowOff>87192</xdr:rowOff>
    </xdr:from>
    <xdr:to>
      <xdr:col>33</xdr:col>
      <xdr:colOff>2724150</xdr:colOff>
      <xdr:row>139</xdr:row>
      <xdr:rowOff>34637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40823</xdr:colOff>
      <xdr:row>100</xdr:row>
      <xdr:rowOff>75811</xdr:rowOff>
    </xdr:from>
    <xdr:to>
      <xdr:col>37</xdr:col>
      <xdr:colOff>2781300</xdr:colOff>
      <xdr:row>110</xdr:row>
      <xdr:rowOff>81643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119742</xdr:colOff>
      <xdr:row>109</xdr:row>
      <xdr:rowOff>59870</xdr:rowOff>
    </xdr:from>
    <xdr:to>
      <xdr:col>44</xdr:col>
      <xdr:colOff>1676399</xdr:colOff>
      <xdr:row>131</xdr:row>
      <xdr:rowOff>-1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42914</xdr:colOff>
      <xdr:row>209</xdr:row>
      <xdr:rowOff>55476</xdr:rowOff>
    </xdr:from>
    <xdr:to>
      <xdr:col>33</xdr:col>
      <xdr:colOff>2784229</xdr:colOff>
      <xdr:row>244</xdr:row>
      <xdr:rowOff>82691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58614</xdr:colOff>
      <xdr:row>209</xdr:row>
      <xdr:rowOff>55476</xdr:rowOff>
    </xdr:from>
    <xdr:to>
      <xdr:col>37</xdr:col>
      <xdr:colOff>2828192</xdr:colOff>
      <xdr:row>244</xdr:row>
      <xdr:rowOff>82691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86875</xdr:colOff>
      <xdr:row>311</xdr:row>
      <xdr:rowOff>79744</xdr:rowOff>
    </xdr:from>
    <xdr:to>
      <xdr:col>37</xdr:col>
      <xdr:colOff>2842846</xdr:colOff>
      <xdr:row>346</xdr:row>
      <xdr:rowOff>87924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105241</xdr:colOff>
      <xdr:row>311</xdr:row>
      <xdr:rowOff>83928</xdr:rowOff>
    </xdr:from>
    <xdr:to>
      <xdr:col>41</xdr:col>
      <xdr:colOff>2652346</xdr:colOff>
      <xdr:row>346</xdr:row>
      <xdr:rowOff>87923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97299</xdr:colOff>
      <xdr:row>196</xdr:row>
      <xdr:rowOff>50346</xdr:rowOff>
    </xdr:from>
    <xdr:to>
      <xdr:col>45</xdr:col>
      <xdr:colOff>2784231</xdr:colOff>
      <xdr:row>221</xdr:row>
      <xdr:rowOff>65000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2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86980</xdr:colOff>
      <xdr:row>298</xdr:row>
      <xdr:rowOff>50347</xdr:rowOff>
    </xdr:from>
    <xdr:to>
      <xdr:col>33</xdr:col>
      <xdr:colOff>2775479</xdr:colOff>
      <xdr:row>323</xdr:row>
      <xdr:rowOff>68494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81643</xdr:colOff>
      <xdr:row>227</xdr:row>
      <xdr:rowOff>48652</xdr:rowOff>
    </xdr:from>
    <xdr:to>
      <xdr:col>41</xdr:col>
      <xdr:colOff>1545170</xdr:colOff>
      <xdr:row>242</xdr:row>
      <xdr:rowOff>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9968" y="42806377"/>
          <a:ext cx="7349978" cy="2665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38</xdr:col>
      <xdr:colOff>83127</xdr:colOff>
      <xdr:row>311</xdr:row>
      <xdr:rowOff>96982</xdr:rowOff>
    </xdr:from>
    <xdr:to>
      <xdr:col>41</xdr:col>
      <xdr:colOff>2729346</xdr:colOff>
      <xdr:row>346</xdr:row>
      <xdr:rowOff>72738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2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83127</xdr:colOff>
      <xdr:row>311</xdr:row>
      <xdr:rowOff>96982</xdr:rowOff>
    </xdr:from>
    <xdr:to>
      <xdr:col>45</xdr:col>
      <xdr:colOff>2729346</xdr:colOff>
      <xdr:row>346</xdr:row>
      <xdr:rowOff>72738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2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0.23786</cdr:x>
      <cdr:y>0.18545</cdr:y>
    </cdr:from>
    <cdr:to>
      <cdr:x>0.31491</cdr:x>
      <cdr:y>0.23464</cdr:y>
    </cdr:to>
    <cdr:sp macro="" textlink="OutCh4!$AO$107">
      <cdr:nvSpPr>
        <cdr:cNvPr id="5" name="TextBox 4"/>
        <cdr:cNvSpPr txBox="1"/>
      </cdr:nvSpPr>
      <cdr:spPr>
        <a:xfrm xmlns:a="http://schemas.openxmlformats.org/drawingml/2006/main">
          <a:off x="2734747" y="705096"/>
          <a:ext cx="885865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fld id="{55D98AE3-890B-4295-81BF-43F0A8592782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31%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0.43674</cdr:x>
      <cdr:y>0.18545</cdr:y>
    </cdr:from>
    <cdr:to>
      <cdr:x>0.51379</cdr:x>
      <cdr:y>0.23464</cdr:y>
    </cdr:to>
    <cdr:sp macro="" textlink="OutCh4!$AP$107">
      <cdr:nvSpPr>
        <cdr:cNvPr id="6" name="TextBox 1"/>
        <cdr:cNvSpPr txBox="1"/>
      </cdr:nvSpPr>
      <cdr:spPr>
        <a:xfrm xmlns:a="http://schemas.openxmlformats.org/drawingml/2006/main">
          <a:off x="5021328" y="705096"/>
          <a:ext cx="885867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E41C77-6354-467C-BD50-B9157511951F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53%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0.63272</cdr:x>
      <cdr:y>0.18545</cdr:y>
    </cdr:from>
    <cdr:to>
      <cdr:x>0.70977</cdr:x>
      <cdr:y>0.23464</cdr:y>
    </cdr:to>
    <cdr:sp macro="" textlink="OutCh4!$AQ$107">
      <cdr:nvSpPr>
        <cdr:cNvPr id="7" name="TextBox 1"/>
        <cdr:cNvSpPr txBox="1"/>
      </cdr:nvSpPr>
      <cdr:spPr>
        <a:xfrm xmlns:a="http://schemas.openxmlformats.org/drawingml/2006/main">
          <a:off x="7274567" y="705096"/>
          <a:ext cx="885866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D9F861-41D4-4859-A9B3-A026B1F5292A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50%</a:t>
          </a:fld>
          <a:endParaRPr lang="en-US" sz="1400" dirty="0" err="1"/>
        </a:p>
      </cdr:txBody>
    </cdr:sp>
  </cdr:relSizeAnchor>
  <cdr:relSizeAnchor xmlns:cdr="http://schemas.openxmlformats.org/drawingml/2006/chartDrawing">
    <cdr:from>
      <cdr:x>0.8421</cdr:x>
      <cdr:y>0.18545</cdr:y>
    </cdr:from>
    <cdr:to>
      <cdr:x>0.91915</cdr:x>
      <cdr:y>0.23464</cdr:y>
    </cdr:to>
    <cdr:sp macro="" textlink="OutCh4!$AR$107">
      <cdr:nvSpPr>
        <cdr:cNvPr id="8" name="TextBox 1"/>
        <cdr:cNvSpPr txBox="1"/>
      </cdr:nvSpPr>
      <cdr:spPr>
        <a:xfrm xmlns:a="http://schemas.openxmlformats.org/drawingml/2006/main">
          <a:off x="9681871" y="705096"/>
          <a:ext cx="885866" cy="1870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4FCDDA-25D7-446E-AEB7-C7E4EC835890}" type="TxLink">
            <a:rPr lang="en-US" sz="1200" b="0" i="0" u="none" strike="noStrike" dirty="0" err="1" smtClean="0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53%</a:t>
          </a:fld>
          <a:endParaRPr lang="en-US" sz="1400" dirty="0" err="1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830035</xdr:colOff>
      <xdr:row>48</xdr:row>
      <xdr:rowOff>122465</xdr:rowOff>
    </xdr:from>
    <xdr:to>
      <xdr:col>23</xdr:col>
      <xdr:colOff>589285</xdr:colOff>
      <xdr:row>62</xdr:row>
      <xdr:rowOff>165965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23</xdr:col>
      <xdr:colOff>602893</xdr:colOff>
      <xdr:row>125</xdr:row>
      <xdr:rowOff>37286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174</xdr:row>
      <xdr:rowOff>0</xdr:rowOff>
    </xdr:from>
    <xdr:to>
      <xdr:col>23</xdr:col>
      <xdr:colOff>602893</xdr:colOff>
      <xdr:row>188</xdr:row>
      <xdr:rowOff>43500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arlsberg">
  <a:themeElements>
    <a:clrScheme name="Carlsberg Group">
      <a:dk1>
        <a:srgbClr val="000000"/>
      </a:dk1>
      <a:lt1>
        <a:srgbClr val="FFFFFF"/>
      </a:lt1>
      <a:dk2>
        <a:srgbClr val="115622"/>
      </a:dk2>
      <a:lt2>
        <a:srgbClr val="DCDCDC"/>
      </a:lt2>
      <a:accent1>
        <a:srgbClr val="619C35"/>
      </a:accent1>
      <a:accent2>
        <a:srgbClr val="115622"/>
      </a:accent2>
      <a:accent3>
        <a:srgbClr val="BEFF0A"/>
      </a:accent3>
      <a:accent4>
        <a:srgbClr val="636363"/>
      </a:accent4>
      <a:accent5>
        <a:srgbClr val="BEBEBE"/>
      </a:accent5>
      <a:accent6>
        <a:srgbClr val="BA002B"/>
      </a:accent6>
      <a:hlink>
        <a:srgbClr val="000000"/>
      </a:hlink>
      <a:folHlink>
        <a:srgbClr val="000000"/>
      </a:folHlink>
    </a:clrScheme>
    <a:fontScheme name="Carlsberg Group Template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rtlCol="0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sz="1400" b="0" i="0" u="none" strike="noStrike" cap="none" normalizeH="0" baseline="0" dirty="0" err="1" smtClean="0">
            <a:ln>
              <a:noFill/>
            </a:ln>
            <a:solidFill>
              <a:schemeClr val="bg1"/>
            </a:solidFill>
            <a:effectLst/>
            <a:latin typeface="Verdana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18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lnDef>
    <a:txDef>
      <a:spPr>
        <a:noFill/>
      </a:spPr>
      <a:bodyPr wrap="square" lIns="0" tIns="0" rIns="0" bIns="0" rtlCol="0">
        <a:spAutoFit/>
      </a:bodyPr>
      <a:lstStyle>
        <a:defPPr>
          <a:defRPr sz="1400" dirty="0" err="1" smtClean="0"/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oduleFactory@bts.com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oduleFactory@bts.com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H50"/>
  <sheetViews>
    <sheetView topLeftCell="A8" workbookViewId="0">
      <selection activeCell="F23" sqref="F23"/>
    </sheetView>
  </sheetViews>
  <sheetFormatPr defaultRowHeight="14.25"/>
  <cols>
    <col min="1" max="3" width="4.69921875" customWidth="1"/>
    <col min="4" max="4" width="18.69921875" customWidth="1"/>
  </cols>
  <sheetData>
    <row r="1" spans="1:8" s="12" customFormat="1">
      <c r="A1" s="12" t="s">
        <v>166</v>
      </c>
    </row>
    <row r="3" spans="1:8" s="31" customFormat="1">
      <c r="A3" s="31" t="s">
        <v>215</v>
      </c>
    </row>
    <row r="5" spans="1:8">
      <c r="D5" s="142" t="s">
        <v>223</v>
      </c>
      <c r="E5" t="s">
        <v>0</v>
      </c>
      <c r="H5" t="s">
        <v>1</v>
      </c>
    </row>
    <row r="7" spans="1:8">
      <c r="D7" s="142" t="s">
        <v>224</v>
      </c>
      <c r="E7" t="s">
        <v>221</v>
      </c>
      <c r="H7" t="s">
        <v>222</v>
      </c>
    </row>
    <row r="9" spans="1:8">
      <c r="D9" s="142" t="s">
        <v>396</v>
      </c>
      <c r="E9" t="s">
        <v>144</v>
      </c>
      <c r="H9" t="s">
        <v>169</v>
      </c>
    </row>
    <row r="11" spans="1:8" s="31" customFormat="1">
      <c r="A11" s="31" t="s">
        <v>216</v>
      </c>
    </row>
    <row r="13" spans="1:8">
      <c r="D13" s="143">
        <v>1</v>
      </c>
      <c r="E13" t="s">
        <v>74</v>
      </c>
    </row>
    <row r="15" spans="1:8">
      <c r="D15" s="143">
        <v>5</v>
      </c>
      <c r="E15" t="s">
        <v>175</v>
      </c>
      <c r="H15" t="s">
        <v>174</v>
      </c>
    </row>
    <row r="17" spans="1:8" s="31" customFormat="1">
      <c r="A17" s="31" t="s">
        <v>214</v>
      </c>
    </row>
    <row r="19" spans="1:8">
      <c r="D19" s="27">
        <v>1</v>
      </c>
      <c r="E19" t="s">
        <v>12</v>
      </c>
    </row>
    <row r="21" spans="1:8">
      <c r="D21" s="27">
        <v>1</v>
      </c>
      <c r="E21" t="s">
        <v>36</v>
      </c>
    </row>
    <row r="23" spans="1:8">
      <c r="D23" s="27">
        <v>1</v>
      </c>
      <c r="E23" t="s">
        <v>37</v>
      </c>
    </row>
    <row r="25" spans="1:8" s="31" customFormat="1">
      <c r="A25" s="31" t="s">
        <v>213</v>
      </c>
    </row>
    <row r="27" spans="1:8">
      <c r="D27" s="142" t="s">
        <v>145</v>
      </c>
      <c r="E27" t="s">
        <v>146</v>
      </c>
      <c r="H27" t="s">
        <v>147</v>
      </c>
    </row>
    <row r="28" spans="1:8">
      <c r="H28" t="s">
        <v>148</v>
      </c>
    </row>
    <row r="29" spans="1:8">
      <c r="D29" s="142" t="s">
        <v>10596</v>
      </c>
      <c r="E29" t="s">
        <v>212</v>
      </c>
    </row>
    <row r="31" spans="1:8">
      <c r="D31" s="142" t="s">
        <v>6344</v>
      </c>
      <c r="E31" t="s">
        <v>33</v>
      </c>
      <c r="H31" t="s">
        <v>168</v>
      </c>
    </row>
    <row r="33" spans="1:8">
      <c r="D33" s="142" t="s">
        <v>140</v>
      </c>
      <c r="E33" t="s">
        <v>141</v>
      </c>
    </row>
    <row r="35" spans="1:8">
      <c r="D35" s="142" t="s">
        <v>142</v>
      </c>
      <c r="E35" t="s">
        <v>143</v>
      </c>
    </row>
    <row r="37" spans="1:8" s="31" customFormat="1">
      <c r="A37" s="31" t="s">
        <v>5445</v>
      </c>
    </row>
    <row r="39" spans="1:8">
      <c r="D39" s="144" t="str">
        <f>tlInputTeamName</f>
        <v>Greensberg</v>
      </c>
      <c r="E39" t="s">
        <v>13</v>
      </c>
      <c r="H39" t="s">
        <v>18</v>
      </c>
    </row>
    <row r="41" spans="1:8">
      <c r="D41" s="144">
        <f>tlInputTeamNumber</f>
        <v>1</v>
      </c>
      <c r="E41" t="s">
        <v>17</v>
      </c>
      <c r="H41" t="s">
        <v>8295</v>
      </c>
    </row>
    <row r="43" spans="1:8">
      <c r="D43" s="144">
        <f>xxRound</f>
        <v>1</v>
      </c>
      <c r="E43" t="s">
        <v>19</v>
      </c>
      <c r="H43" t="s">
        <v>20</v>
      </c>
    </row>
    <row r="45" spans="1:8">
      <c r="D45" s="144" t="str">
        <f>xxToolPrefix</f>
        <v>tlInput</v>
      </c>
      <c r="E45" t="s">
        <v>173</v>
      </c>
      <c r="H45" t="s">
        <v>2</v>
      </c>
    </row>
    <row r="46" spans="1:8">
      <c r="H46" t="s">
        <v>3</v>
      </c>
    </row>
    <row r="47" spans="1:8">
      <c r="H47" t="s">
        <v>217</v>
      </c>
    </row>
    <row r="49" spans="4:8">
      <c r="D49" s="144" t="str">
        <f>xxToolPrefix</f>
        <v>tlInput</v>
      </c>
      <c r="E49" t="s">
        <v>34</v>
      </c>
      <c r="H49" t="s">
        <v>167</v>
      </c>
    </row>
    <row r="50" spans="4:8">
      <c r="H50" t="s">
        <v>217</v>
      </c>
    </row>
  </sheetData>
  <dataValidations count="1">
    <dataValidation type="list" allowBlank="1" showInputMessage="1" showErrorMessage="1" sqref="D7">
      <formula1>"BA1,Hybrid,BA2,Streamline,Board,MTM"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M72"/>
  <sheetViews>
    <sheetView topLeftCell="A16" zoomScale="55" zoomScaleNormal="55" workbookViewId="0">
      <selection activeCell="R24" sqref="R24"/>
    </sheetView>
  </sheetViews>
  <sheetFormatPr defaultColWidth="8.796875" defaultRowHeight="15"/>
  <cols>
    <col min="1" max="1" width="4.69921875" style="32" customWidth="1"/>
    <col min="2" max="2" width="10.69921875" style="32" customWidth="1"/>
    <col min="3" max="3" width="14.69921875" style="32" customWidth="1"/>
    <col min="4" max="4" width="36.09765625" style="32" customWidth="1"/>
    <col min="5" max="5" width="12.296875" style="38" customWidth="1"/>
    <col min="6" max="6" width="32.69921875" style="32" customWidth="1"/>
    <col min="7" max="8" width="8.69921875" style="32" customWidth="1"/>
    <col min="9" max="9" width="10.5" style="32" customWidth="1"/>
    <col min="10" max="10" width="11.09765625" style="32" customWidth="1"/>
    <col min="11" max="12" width="8.796875" style="32"/>
    <col min="13" max="13" width="37.296875" style="32" customWidth="1"/>
    <col min="14" max="16384" width="8.796875" style="32"/>
  </cols>
  <sheetData>
    <row r="1" spans="1:5" s="51" customFormat="1">
      <c r="A1" s="51" t="s">
        <v>67</v>
      </c>
      <c r="E1" s="52"/>
    </row>
    <row r="3" spans="1:5" s="54" customFormat="1">
      <c r="A3" s="53" t="s">
        <v>28</v>
      </c>
      <c r="E3" s="55"/>
    </row>
    <row r="4" spans="1:5">
      <c r="E4" s="33"/>
    </row>
    <row r="5" spans="1:5">
      <c r="C5" s="34" t="str">
        <f ca="1">SI_WorksheetName &amp; ADDRESS(ROW(M23),COLUMN(M23))&amp;":"&amp;ADDRESS(ROW(M23)+SI_TotalAvailable-1,COLUMN(M23))</f>
        <v>SIs!$M$23:$M$40</v>
      </c>
      <c r="E5" s="33"/>
    </row>
    <row r="6" spans="1:5">
      <c r="C6" s="20" t="s">
        <v>39</v>
      </c>
      <c r="E6" s="33"/>
    </row>
    <row r="7" spans="1:5">
      <c r="E7" s="33"/>
    </row>
    <row r="8" spans="1:5">
      <c r="C8" s="35" t="s">
        <v>40</v>
      </c>
      <c r="E8" s="33"/>
    </row>
    <row r="9" spans="1:5">
      <c r="C9" s="32" t="s">
        <v>41</v>
      </c>
      <c r="E9" s="33"/>
    </row>
    <row r="10" spans="1:5" ht="15.75" thickBot="1">
      <c r="E10" s="33"/>
    </row>
    <row r="11" spans="1:5" ht="15.75" thickBot="1">
      <c r="B11" s="32" t="s">
        <v>42</v>
      </c>
      <c r="C11" s="36" t="s">
        <v>43</v>
      </c>
      <c r="E11" s="33"/>
    </row>
    <row r="12" spans="1:5">
      <c r="E12" s="33"/>
    </row>
    <row r="13" spans="1:5">
      <c r="E13" s="33"/>
    </row>
    <row r="14" spans="1:5" s="54" customFormat="1">
      <c r="A14" s="53" t="s">
        <v>29</v>
      </c>
      <c r="E14" s="55"/>
    </row>
    <row r="15" spans="1:5">
      <c r="E15" s="33"/>
    </row>
    <row r="16" spans="1:5">
      <c r="B16" s="33" t="s">
        <v>30</v>
      </c>
      <c r="C16" s="37">
        <f>xxRound</f>
        <v>1</v>
      </c>
      <c r="D16" s="35" t="s">
        <v>84</v>
      </c>
      <c r="E16" s="33"/>
    </row>
    <row r="17" spans="2:13">
      <c r="B17" s="33"/>
      <c r="C17" s="20" t="s">
        <v>85</v>
      </c>
      <c r="E17" s="33"/>
    </row>
    <row r="18" spans="2:13">
      <c r="B18" s="33"/>
      <c r="E18" s="33"/>
    </row>
    <row r="19" spans="2:13">
      <c r="B19" s="33" t="s">
        <v>44</v>
      </c>
      <c r="C19" s="133" t="s">
        <v>45</v>
      </c>
      <c r="D19" s="35" t="s">
        <v>46</v>
      </c>
    </row>
    <row r="20" spans="2:13">
      <c r="B20" s="33"/>
      <c r="C20" s="20" t="s">
        <v>47</v>
      </c>
    </row>
    <row r="21" spans="2:13">
      <c r="B21" s="33"/>
    </row>
    <row r="22" spans="2:13" ht="30">
      <c r="B22" s="38" t="s">
        <v>48</v>
      </c>
      <c r="C22" s="32" t="s">
        <v>49</v>
      </c>
      <c r="D22" s="32" t="s">
        <v>50</v>
      </c>
      <c r="E22" s="39" t="s">
        <v>52</v>
      </c>
      <c r="F22" s="32" t="s">
        <v>51</v>
      </c>
      <c r="G22" s="39" t="s">
        <v>53</v>
      </c>
      <c r="H22" s="39" t="s">
        <v>54</v>
      </c>
      <c r="I22" s="39" t="s">
        <v>55</v>
      </c>
      <c r="J22" s="39" t="s">
        <v>56</v>
      </c>
      <c r="K22" s="39" t="s">
        <v>57</v>
      </c>
      <c r="L22" s="39" t="s">
        <v>58</v>
      </c>
      <c r="M22" s="39" t="s">
        <v>59</v>
      </c>
    </row>
    <row r="23" spans="2:13">
      <c r="B23" s="38">
        <v>1</v>
      </c>
      <c r="C23" s="134">
        <v>0</v>
      </c>
      <c r="D23" s="134" t="s">
        <v>60</v>
      </c>
      <c r="E23" s="135">
        <v>0</v>
      </c>
      <c r="F23" s="40" t="str">
        <f>D23</f>
        <v>Select Project</v>
      </c>
      <c r="G23" s="41" t="b">
        <f t="shared" ref="G23:G63" si="0">E23&lt;=SI_currentRound</f>
        <v>1</v>
      </c>
      <c r="H23" s="41" t="b">
        <f t="shared" ref="H23:H63" si="1">NOT(D23="")</f>
        <v>1</v>
      </c>
      <c r="I23" s="135" t="b">
        <v>0</v>
      </c>
      <c r="J23" s="134" t="b">
        <v>1</v>
      </c>
      <c r="K23" s="41" t="b">
        <f t="shared" ref="K23:K63" si="2">AND(G23,H23,J23,NOT(I23))</f>
        <v>1</v>
      </c>
      <c r="L23" s="42">
        <f>IF(K23,1,0)</f>
        <v>1</v>
      </c>
      <c r="M23" s="41" t="str">
        <f t="shared" ref="M23:M63" si="3">IFERROR(INDEX(SI_DisplayedName,MATCH(B23,SI_AvailableCount,0)),"")</f>
        <v>Select Project</v>
      </c>
    </row>
    <row r="24" spans="2:13">
      <c r="B24" s="38">
        <v>2</v>
      </c>
      <c r="C24" s="138">
        <v>1</v>
      </c>
      <c r="D24" s="138" t="str">
        <f>"Category Management - "&amp;nmCh1</f>
        <v>Category Management - Hypermarkets</v>
      </c>
      <c r="E24" s="139">
        <v>0</v>
      </c>
      <c r="F24" s="43" t="str">
        <f t="shared" ref="F24:F63" si="4">C24 &amp; SI_selectedSeparator &amp; " " &amp; D24</f>
        <v>1: Category Management - Hypermarkets</v>
      </c>
      <c r="G24" s="43" t="b">
        <f t="shared" si="0"/>
        <v>1</v>
      </c>
      <c r="H24" s="43" t="b">
        <f t="shared" si="1"/>
        <v>1</v>
      </c>
      <c r="I24" s="44" t="b">
        <f t="shared" ref="I24:I63" si="5">OR(INDEX(cbalSI1CodeR1,1)=C24,INDEX(cbalSI2CodeR1,1)=C24,INDEX(cbalSI3CodeR1,1)=C24,INDEX(cbalSI4CodeR1,1)=C24,INDEX(cbalSI5CodeR1,1)=C24,INDEX(cbalSI1CodeR2,1)=C24,INDEX(cbalSI2CodeR2,1)=C24,INDEX(cbalSI3CodeR2,1)=C24,INDEX(cbalSI4CodeR2,1)=C24,INDEX(cbalSI5CodeR2,1)=C24,INDEX(cbalSI1CodeR3,1)=C24,INDEX(cbalSI2CodeR3,1)=C24,INDEX(cbalSI3CodeR3,1)=C24,INDEX(cbalSI4CodeR3,1)=C24,INDEX(cbalSI5CodeR3,1)=C24)</f>
        <v>0</v>
      </c>
      <c r="J24" s="45" t="b">
        <v>1</v>
      </c>
      <c r="K24" s="43" t="b">
        <f t="shared" si="2"/>
        <v>1</v>
      </c>
      <c r="L24" s="46">
        <f>IF(K24,1,0)+L23</f>
        <v>2</v>
      </c>
      <c r="M24" s="43" t="str">
        <f t="shared" si="3"/>
        <v>1: Category Management - Hypermarkets</v>
      </c>
    </row>
    <row r="25" spans="2:13">
      <c r="B25" s="38">
        <v>3</v>
      </c>
      <c r="C25" s="136">
        <v>2</v>
      </c>
      <c r="D25" s="138" t="str">
        <f>"Category Management - "&amp;nmCh2</f>
        <v>Category Management - Discounters</v>
      </c>
      <c r="E25" s="137">
        <v>0</v>
      </c>
      <c r="F25" s="43" t="str">
        <f t="shared" si="4"/>
        <v>2: Category Management - Discounters</v>
      </c>
      <c r="G25" s="43" t="b">
        <f t="shared" si="0"/>
        <v>1</v>
      </c>
      <c r="H25" s="43" t="b">
        <f t="shared" si="1"/>
        <v>1</v>
      </c>
      <c r="I25" s="44" t="b">
        <f t="shared" si="5"/>
        <v>0</v>
      </c>
      <c r="J25" s="45" t="b">
        <v>1</v>
      </c>
      <c r="K25" s="43" t="b">
        <f t="shared" si="2"/>
        <v>1</v>
      </c>
      <c r="L25" s="46">
        <f t="shared" ref="L25:L63" si="6">IF(K25,1,0)+L24</f>
        <v>3</v>
      </c>
      <c r="M25" s="43" t="str">
        <f t="shared" si="3"/>
        <v>2: Category Management - Discounters</v>
      </c>
    </row>
    <row r="26" spans="2:13">
      <c r="B26" s="38">
        <v>4</v>
      </c>
      <c r="C26" s="138">
        <v>3</v>
      </c>
      <c r="D26" s="138" t="str">
        <f>"Category Management - "&amp;nmCh3</f>
        <v>Category Management - Convenience</v>
      </c>
      <c r="E26" s="139">
        <v>0</v>
      </c>
      <c r="F26" s="43" t="str">
        <f t="shared" si="4"/>
        <v>3: Category Management - Convenience</v>
      </c>
      <c r="G26" s="43" t="b">
        <f t="shared" si="0"/>
        <v>1</v>
      </c>
      <c r="H26" s="43" t="b">
        <f t="shared" si="1"/>
        <v>1</v>
      </c>
      <c r="I26" s="44" t="b">
        <f t="shared" si="5"/>
        <v>0</v>
      </c>
      <c r="J26" s="45" t="b">
        <v>1</v>
      </c>
      <c r="K26" s="43" t="b">
        <f t="shared" si="2"/>
        <v>1</v>
      </c>
      <c r="L26" s="46">
        <f t="shared" si="6"/>
        <v>4</v>
      </c>
      <c r="M26" s="43" t="str">
        <f t="shared" si="3"/>
        <v>3: Category Management - Convenience</v>
      </c>
    </row>
    <row r="27" spans="2:13">
      <c r="B27" s="38">
        <v>5</v>
      </c>
      <c r="C27" s="136">
        <v>4</v>
      </c>
      <c r="D27" s="138" t="str">
        <f>"Category Management - "&amp;nmCh4</f>
        <v>Category Management - On-Trade</v>
      </c>
      <c r="E27" s="137">
        <v>0</v>
      </c>
      <c r="F27" s="43" t="str">
        <f t="shared" si="4"/>
        <v>4: Category Management - On-Trade</v>
      </c>
      <c r="G27" s="43" t="b">
        <f t="shared" si="0"/>
        <v>1</v>
      </c>
      <c r="H27" s="43" t="b">
        <f t="shared" si="1"/>
        <v>1</v>
      </c>
      <c r="I27" s="44" t="b">
        <f t="shared" si="5"/>
        <v>0</v>
      </c>
      <c r="J27" s="45" t="b">
        <v>1</v>
      </c>
      <c r="K27" s="43" t="b">
        <f t="shared" si="2"/>
        <v>1</v>
      </c>
      <c r="L27" s="46">
        <f t="shared" si="6"/>
        <v>5</v>
      </c>
      <c r="M27" s="43" t="str">
        <f t="shared" si="3"/>
        <v>4: Category Management - On-Trade</v>
      </c>
    </row>
    <row r="28" spans="2:13">
      <c r="B28" s="38">
        <v>6</v>
      </c>
      <c r="C28" s="138">
        <v>5</v>
      </c>
      <c r="D28" s="138" t="s">
        <v>8431</v>
      </c>
      <c r="E28" s="139">
        <v>0</v>
      </c>
      <c r="F28" s="43" t="str">
        <f t="shared" si="4"/>
        <v>5: Customer Wall</v>
      </c>
      <c r="G28" s="43" t="b">
        <f t="shared" si="0"/>
        <v>1</v>
      </c>
      <c r="H28" s="43" t="b">
        <f t="shared" si="1"/>
        <v>1</v>
      </c>
      <c r="I28" s="44" t="b">
        <f t="shared" si="5"/>
        <v>0</v>
      </c>
      <c r="J28" s="45" t="b">
        <v>1</v>
      </c>
      <c r="K28" s="43" t="b">
        <f t="shared" si="2"/>
        <v>1</v>
      </c>
      <c r="L28" s="46">
        <f t="shared" si="6"/>
        <v>6</v>
      </c>
      <c r="M28" s="43" t="str">
        <f t="shared" si="3"/>
        <v>5: Customer Wall</v>
      </c>
    </row>
    <row r="29" spans="2:13">
      <c r="B29" s="38">
        <v>7</v>
      </c>
      <c r="C29" s="136">
        <v>6</v>
      </c>
      <c r="D29" s="136" t="str">
        <f>"Relationship building in "&amp;nmCh4</f>
        <v>Relationship building in On-Trade</v>
      </c>
      <c r="E29" s="137">
        <v>0</v>
      </c>
      <c r="F29" s="43" t="str">
        <f t="shared" si="4"/>
        <v>6: Relationship building in On-Trade</v>
      </c>
      <c r="G29" s="43" t="b">
        <f t="shared" si="0"/>
        <v>1</v>
      </c>
      <c r="H29" s="43" t="b">
        <f t="shared" si="1"/>
        <v>1</v>
      </c>
      <c r="I29" s="44" t="b">
        <f t="shared" si="5"/>
        <v>0</v>
      </c>
      <c r="J29" s="45" t="b">
        <v>1</v>
      </c>
      <c r="K29" s="43" t="b">
        <f t="shared" si="2"/>
        <v>1</v>
      </c>
      <c r="L29" s="46">
        <f t="shared" si="6"/>
        <v>7</v>
      </c>
      <c r="M29" s="43" t="str">
        <f t="shared" si="3"/>
        <v>6: Relationship building in On-Trade</v>
      </c>
    </row>
    <row r="30" spans="2:13">
      <c r="B30" s="38">
        <v>8</v>
      </c>
      <c r="C30" s="138">
        <v>7</v>
      </c>
      <c r="D30" s="138" t="str">
        <f>nmCh1&amp;" Salesforce Development"</f>
        <v>Hypermarkets Salesforce Development</v>
      </c>
      <c r="E30" s="139">
        <v>0</v>
      </c>
      <c r="F30" s="43" t="str">
        <f t="shared" si="4"/>
        <v>7: Hypermarkets Salesforce Development</v>
      </c>
      <c r="G30" s="43" t="b">
        <f t="shared" si="0"/>
        <v>1</v>
      </c>
      <c r="H30" s="43" t="b">
        <f t="shared" si="1"/>
        <v>1</v>
      </c>
      <c r="I30" s="44" t="b">
        <f t="shared" si="5"/>
        <v>0</v>
      </c>
      <c r="J30" s="45" t="b">
        <v>1</v>
      </c>
      <c r="K30" s="43" t="b">
        <f t="shared" si="2"/>
        <v>1</v>
      </c>
      <c r="L30" s="46">
        <f t="shared" si="6"/>
        <v>8</v>
      </c>
      <c r="M30" s="43" t="str">
        <f t="shared" si="3"/>
        <v>7: Hypermarkets Salesforce Development</v>
      </c>
    </row>
    <row r="31" spans="2:13">
      <c r="B31" s="38">
        <v>9</v>
      </c>
      <c r="C31" s="136">
        <v>8</v>
      </c>
      <c r="D31" s="136" t="s">
        <v>8432</v>
      </c>
      <c r="E31" s="137">
        <v>0</v>
      </c>
      <c r="F31" s="43" t="str">
        <f t="shared" si="4"/>
        <v>8: Trade Marketing Analysis</v>
      </c>
      <c r="G31" s="43" t="b">
        <f t="shared" si="0"/>
        <v>1</v>
      </c>
      <c r="H31" s="43" t="b">
        <f t="shared" si="1"/>
        <v>1</v>
      </c>
      <c r="I31" s="44" t="b">
        <f t="shared" si="5"/>
        <v>0</v>
      </c>
      <c r="J31" s="45" t="b">
        <v>1</v>
      </c>
      <c r="K31" s="43" t="b">
        <f t="shared" si="2"/>
        <v>1</v>
      </c>
      <c r="L31" s="46">
        <f t="shared" si="6"/>
        <v>9</v>
      </c>
      <c r="M31" s="43" t="str">
        <f t="shared" si="3"/>
        <v>8: Trade Marketing Analysis</v>
      </c>
    </row>
    <row r="32" spans="2:13">
      <c r="B32" s="38">
        <v>10</v>
      </c>
      <c r="C32" s="138">
        <v>9</v>
      </c>
      <c r="D32" s="138" t="s">
        <v>8433</v>
      </c>
      <c r="E32" s="139">
        <v>0</v>
      </c>
      <c r="F32" s="43" t="str">
        <f t="shared" si="4"/>
        <v>9: Improve Promotion Effectiveness</v>
      </c>
      <c r="G32" s="43" t="b">
        <f t="shared" si="0"/>
        <v>1</v>
      </c>
      <c r="H32" s="43" t="b">
        <f t="shared" si="1"/>
        <v>1</v>
      </c>
      <c r="I32" s="44" t="b">
        <f t="shared" si="5"/>
        <v>0</v>
      </c>
      <c r="J32" s="45" t="b">
        <v>1</v>
      </c>
      <c r="K32" s="43" t="b">
        <f t="shared" si="2"/>
        <v>1</v>
      </c>
      <c r="L32" s="46">
        <f t="shared" si="6"/>
        <v>10</v>
      </c>
      <c r="M32" s="43" t="str">
        <f t="shared" si="3"/>
        <v>9: Improve Promotion Effectiveness</v>
      </c>
    </row>
    <row r="33" spans="2:13">
      <c r="B33" s="38">
        <v>11</v>
      </c>
      <c r="C33" s="136">
        <v>10</v>
      </c>
      <c r="D33" s="136" t="str">
        <f>"Mystery Shopper "&amp;nmCh1</f>
        <v>Mystery Shopper Hypermarkets</v>
      </c>
      <c r="E33" s="137">
        <v>0</v>
      </c>
      <c r="F33" s="43" t="str">
        <f t="shared" si="4"/>
        <v>10: Mystery Shopper Hypermarkets</v>
      </c>
      <c r="G33" s="43" t="b">
        <f t="shared" si="0"/>
        <v>1</v>
      </c>
      <c r="H33" s="43" t="b">
        <f t="shared" si="1"/>
        <v>1</v>
      </c>
      <c r="I33" s="44" t="b">
        <f t="shared" si="5"/>
        <v>0</v>
      </c>
      <c r="J33" s="45" t="b">
        <v>1</v>
      </c>
      <c r="K33" s="43" t="b">
        <f t="shared" si="2"/>
        <v>1</v>
      </c>
      <c r="L33" s="46">
        <f t="shared" si="6"/>
        <v>11</v>
      </c>
      <c r="M33" s="43" t="str">
        <f t="shared" si="3"/>
        <v>10: Mystery Shopper Hypermarkets</v>
      </c>
    </row>
    <row r="34" spans="2:13">
      <c r="B34" s="38">
        <v>12</v>
      </c>
      <c r="C34" s="138">
        <v>11</v>
      </c>
      <c r="D34" s="138" t="str">
        <f>"Mystery Shopper "&amp;nmCh2</f>
        <v>Mystery Shopper Discounters</v>
      </c>
      <c r="E34" s="139">
        <v>0</v>
      </c>
      <c r="F34" s="43" t="str">
        <f t="shared" si="4"/>
        <v>11: Mystery Shopper Discounters</v>
      </c>
      <c r="G34" s="43" t="b">
        <f t="shared" si="0"/>
        <v>1</v>
      </c>
      <c r="H34" s="43" t="b">
        <f t="shared" si="1"/>
        <v>1</v>
      </c>
      <c r="I34" s="44" t="b">
        <f t="shared" si="5"/>
        <v>0</v>
      </c>
      <c r="J34" s="45" t="b">
        <v>1</v>
      </c>
      <c r="K34" s="43" t="b">
        <f t="shared" si="2"/>
        <v>1</v>
      </c>
      <c r="L34" s="46">
        <f t="shared" si="6"/>
        <v>12</v>
      </c>
      <c r="M34" s="43" t="str">
        <f t="shared" si="3"/>
        <v>11: Mystery Shopper Discounters</v>
      </c>
    </row>
    <row r="35" spans="2:13">
      <c r="B35" s="38">
        <v>13</v>
      </c>
      <c r="C35" s="136">
        <v>12</v>
      </c>
      <c r="D35" s="138" t="str">
        <f>"Mystery Shopper "&amp;nmCh3</f>
        <v>Mystery Shopper Convenience</v>
      </c>
      <c r="E35" s="137">
        <v>0</v>
      </c>
      <c r="F35" s="43" t="str">
        <f t="shared" si="4"/>
        <v>12: Mystery Shopper Convenience</v>
      </c>
      <c r="G35" s="43" t="b">
        <f t="shared" si="0"/>
        <v>1</v>
      </c>
      <c r="H35" s="43" t="b">
        <f t="shared" si="1"/>
        <v>1</v>
      </c>
      <c r="I35" s="44" t="b">
        <f t="shared" si="5"/>
        <v>0</v>
      </c>
      <c r="J35" s="45" t="b">
        <v>1</v>
      </c>
      <c r="K35" s="43" t="b">
        <f t="shared" si="2"/>
        <v>1</v>
      </c>
      <c r="L35" s="46">
        <f t="shared" si="6"/>
        <v>13</v>
      </c>
      <c r="M35" s="43" t="str">
        <f t="shared" si="3"/>
        <v>12: Mystery Shopper Convenience</v>
      </c>
    </row>
    <row r="36" spans="2:13">
      <c r="B36" s="38">
        <v>14</v>
      </c>
      <c r="C36" s="138">
        <v>13</v>
      </c>
      <c r="D36" s="138" t="str">
        <f>"Mystery Shopper "&amp;nmCh4</f>
        <v>Mystery Shopper On-Trade</v>
      </c>
      <c r="E36" s="139">
        <v>0</v>
      </c>
      <c r="F36" s="43" t="str">
        <f t="shared" si="4"/>
        <v>13: Mystery Shopper On-Trade</v>
      </c>
      <c r="G36" s="43" t="b">
        <f t="shared" si="0"/>
        <v>1</v>
      </c>
      <c r="H36" s="43" t="b">
        <f t="shared" si="1"/>
        <v>1</v>
      </c>
      <c r="I36" s="44" t="b">
        <f t="shared" si="5"/>
        <v>0</v>
      </c>
      <c r="J36" s="45" t="b">
        <v>1</v>
      </c>
      <c r="K36" s="43" t="b">
        <f t="shared" si="2"/>
        <v>1</v>
      </c>
      <c r="L36" s="46">
        <f t="shared" si="6"/>
        <v>14</v>
      </c>
      <c r="M36" s="43" t="str">
        <f t="shared" si="3"/>
        <v>13: Mystery Shopper On-Trade</v>
      </c>
    </row>
    <row r="37" spans="2:13">
      <c r="B37" s="38">
        <v>15</v>
      </c>
      <c r="C37" s="136">
        <v>14</v>
      </c>
      <c r="D37" s="136" t="s">
        <v>4728</v>
      </c>
      <c r="E37" s="137">
        <v>0</v>
      </c>
      <c r="F37" s="43" t="str">
        <f t="shared" si="4"/>
        <v>14: Communicating value</v>
      </c>
      <c r="G37" s="43" t="b">
        <f t="shared" si="0"/>
        <v>1</v>
      </c>
      <c r="H37" s="43" t="b">
        <f t="shared" si="1"/>
        <v>1</v>
      </c>
      <c r="I37" s="44" t="b">
        <f t="shared" si="5"/>
        <v>0</v>
      </c>
      <c r="J37" s="45" t="b">
        <v>1</v>
      </c>
      <c r="K37" s="43" t="b">
        <f t="shared" si="2"/>
        <v>1</v>
      </c>
      <c r="L37" s="46">
        <f t="shared" si="6"/>
        <v>15</v>
      </c>
      <c r="M37" s="43" t="str">
        <f t="shared" si="3"/>
        <v>14: Communicating value</v>
      </c>
    </row>
    <row r="38" spans="2:13">
      <c r="B38" s="38">
        <v>16</v>
      </c>
      <c r="C38" s="138">
        <v>15</v>
      </c>
      <c r="D38" s="138" t="s">
        <v>8434</v>
      </c>
      <c r="E38" s="139">
        <v>0</v>
      </c>
      <c r="F38" s="43" t="str">
        <f t="shared" si="4"/>
        <v>15: Optimising Packaging Materials</v>
      </c>
      <c r="G38" s="43" t="b">
        <f t="shared" si="0"/>
        <v>1</v>
      </c>
      <c r="H38" s="43" t="b">
        <f t="shared" si="1"/>
        <v>1</v>
      </c>
      <c r="I38" s="44" t="b">
        <f t="shared" si="5"/>
        <v>0</v>
      </c>
      <c r="J38" s="45" t="b">
        <v>1</v>
      </c>
      <c r="K38" s="43" t="b">
        <f t="shared" si="2"/>
        <v>1</v>
      </c>
      <c r="L38" s="46">
        <f t="shared" si="6"/>
        <v>16</v>
      </c>
      <c r="M38" s="43" t="str">
        <f t="shared" si="3"/>
        <v>15: Optimising Packaging Materials</v>
      </c>
    </row>
    <row r="39" spans="2:13">
      <c r="B39" s="38">
        <v>17</v>
      </c>
      <c r="C39" s="136">
        <v>16</v>
      </c>
      <c r="D39" s="136" t="s">
        <v>8435</v>
      </c>
      <c r="E39" s="137">
        <v>0</v>
      </c>
      <c r="F39" s="43" t="str">
        <f t="shared" si="4"/>
        <v>16: Sales and Operations Planning</v>
      </c>
      <c r="G39" s="43" t="b">
        <f t="shared" si="0"/>
        <v>1</v>
      </c>
      <c r="H39" s="43" t="b">
        <f t="shared" si="1"/>
        <v>1</v>
      </c>
      <c r="I39" s="44" t="b">
        <f t="shared" si="5"/>
        <v>0</v>
      </c>
      <c r="J39" s="45" t="b">
        <v>1</v>
      </c>
      <c r="K39" s="43" t="b">
        <f t="shared" si="2"/>
        <v>1</v>
      </c>
      <c r="L39" s="46">
        <f t="shared" si="6"/>
        <v>17</v>
      </c>
      <c r="M39" s="43" t="str">
        <f t="shared" si="3"/>
        <v>16: Sales and Operations Planning</v>
      </c>
    </row>
    <row r="40" spans="2:13">
      <c r="B40" s="38">
        <v>18</v>
      </c>
      <c r="C40" s="138">
        <v>17</v>
      </c>
      <c r="D40" s="138" t="s">
        <v>8436</v>
      </c>
      <c r="E40" s="139">
        <v>0</v>
      </c>
      <c r="F40" s="43" t="str">
        <f t="shared" si="4"/>
        <v>17: Next Generation Packaging</v>
      </c>
      <c r="G40" s="43" t="b">
        <f t="shared" si="0"/>
        <v>1</v>
      </c>
      <c r="H40" s="43" t="b">
        <f t="shared" si="1"/>
        <v>1</v>
      </c>
      <c r="I40" s="44" t="b">
        <f t="shared" si="5"/>
        <v>0</v>
      </c>
      <c r="J40" s="45" t="b">
        <v>1</v>
      </c>
      <c r="K40" s="43" t="b">
        <f t="shared" si="2"/>
        <v>1</v>
      </c>
      <c r="L40" s="46">
        <f t="shared" si="6"/>
        <v>18</v>
      </c>
      <c r="M40" s="43" t="str">
        <f t="shared" si="3"/>
        <v>17: Next Generation Packaging</v>
      </c>
    </row>
    <row r="41" spans="2:13">
      <c r="B41" s="38">
        <v>19</v>
      </c>
      <c r="C41" s="136">
        <v>18</v>
      </c>
      <c r="D41" s="136"/>
      <c r="E41" s="137">
        <v>0</v>
      </c>
      <c r="F41" s="43" t="str">
        <f t="shared" si="4"/>
        <v xml:space="preserve">18: </v>
      </c>
      <c r="G41" s="43" t="b">
        <f t="shared" si="0"/>
        <v>1</v>
      </c>
      <c r="H41" s="43" t="b">
        <f t="shared" si="1"/>
        <v>0</v>
      </c>
      <c r="I41" s="44" t="b">
        <f t="shared" si="5"/>
        <v>0</v>
      </c>
      <c r="J41" s="45" t="b">
        <v>1</v>
      </c>
      <c r="K41" s="43" t="b">
        <f t="shared" si="2"/>
        <v>0</v>
      </c>
      <c r="L41" s="46">
        <f t="shared" si="6"/>
        <v>18</v>
      </c>
      <c r="M41" s="43" t="str">
        <f t="shared" si="3"/>
        <v/>
      </c>
    </row>
    <row r="42" spans="2:13">
      <c r="B42" s="38">
        <v>20</v>
      </c>
      <c r="C42" s="138">
        <v>19</v>
      </c>
      <c r="D42" s="138"/>
      <c r="E42" s="139">
        <v>0</v>
      </c>
      <c r="F42" s="43" t="str">
        <f t="shared" si="4"/>
        <v xml:space="preserve">19: </v>
      </c>
      <c r="G42" s="43" t="b">
        <f t="shared" si="0"/>
        <v>1</v>
      </c>
      <c r="H42" s="43" t="b">
        <f t="shared" si="1"/>
        <v>0</v>
      </c>
      <c r="I42" s="44" t="b">
        <f t="shared" si="5"/>
        <v>0</v>
      </c>
      <c r="J42" s="45" t="b">
        <v>1</v>
      </c>
      <c r="K42" s="43" t="b">
        <f t="shared" si="2"/>
        <v>0</v>
      </c>
      <c r="L42" s="46">
        <f t="shared" si="6"/>
        <v>18</v>
      </c>
      <c r="M42" s="43" t="str">
        <f t="shared" si="3"/>
        <v/>
      </c>
    </row>
    <row r="43" spans="2:13">
      <c r="B43" s="38">
        <v>21</v>
      </c>
      <c r="C43" s="136">
        <v>20</v>
      </c>
      <c r="D43" s="136"/>
      <c r="E43" s="137">
        <v>0</v>
      </c>
      <c r="F43" s="43" t="str">
        <f t="shared" si="4"/>
        <v xml:space="preserve">20: </v>
      </c>
      <c r="G43" s="43" t="b">
        <f t="shared" si="0"/>
        <v>1</v>
      </c>
      <c r="H43" s="43" t="b">
        <f t="shared" si="1"/>
        <v>0</v>
      </c>
      <c r="I43" s="44" t="b">
        <f t="shared" si="5"/>
        <v>0</v>
      </c>
      <c r="J43" s="45" t="b">
        <v>1</v>
      </c>
      <c r="K43" s="43" t="b">
        <f t="shared" si="2"/>
        <v>0</v>
      </c>
      <c r="L43" s="46">
        <f t="shared" si="6"/>
        <v>18</v>
      </c>
      <c r="M43" s="43" t="str">
        <f t="shared" si="3"/>
        <v/>
      </c>
    </row>
    <row r="44" spans="2:13">
      <c r="B44" s="38">
        <v>22</v>
      </c>
      <c r="C44" s="138">
        <v>21</v>
      </c>
      <c r="D44" s="138"/>
      <c r="E44" s="139">
        <v>0</v>
      </c>
      <c r="F44" s="43" t="str">
        <f t="shared" si="4"/>
        <v xml:space="preserve">21: </v>
      </c>
      <c r="G44" s="43" t="b">
        <f t="shared" si="0"/>
        <v>1</v>
      </c>
      <c r="H44" s="43" t="b">
        <f t="shared" si="1"/>
        <v>0</v>
      </c>
      <c r="I44" s="44" t="b">
        <f t="shared" si="5"/>
        <v>0</v>
      </c>
      <c r="J44" s="45" t="b">
        <v>1</v>
      </c>
      <c r="K44" s="43" t="b">
        <f t="shared" si="2"/>
        <v>0</v>
      </c>
      <c r="L44" s="46">
        <f t="shared" si="6"/>
        <v>18</v>
      </c>
      <c r="M44" s="43" t="str">
        <f t="shared" si="3"/>
        <v/>
      </c>
    </row>
    <row r="45" spans="2:13">
      <c r="B45" s="38">
        <v>23</v>
      </c>
      <c r="C45" s="136">
        <v>22</v>
      </c>
      <c r="D45" s="136"/>
      <c r="E45" s="137">
        <v>0</v>
      </c>
      <c r="F45" s="43" t="str">
        <f t="shared" si="4"/>
        <v xml:space="preserve">22: </v>
      </c>
      <c r="G45" s="43" t="b">
        <f t="shared" si="0"/>
        <v>1</v>
      </c>
      <c r="H45" s="43" t="b">
        <f t="shared" si="1"/>
        <v>0</v>
      </c>
      <c r="I45" s="44" t="b">
        <f t="shared" si="5"/>
        <v>0</v>
      </c>
      <c r="J45" s="45" t="b">
        <v>1</v>
      </c>
      <c r="K45" s="43" t="b">
        <f t="shared" si="2"/>
        <v>0</v>
      </c>
      <c r="L45" s="46">
        <f t="shared" si="6"/>
        <v>18</v>
      </c>
      <c r="M45" s="43" t="str">
        <f t="shared" si="3"/>
        <v/>
      </c>
    </row>
    <row r="46" spans="2:13">
      <c r="B46" s="38">
        <v>24</v>
      </c>
      <c r="C46" s="138">
        <v>23</v>
      </c>
      <c r="D46" s="138"/>
      <c r="E46" s="139">
        <v>0</v>
      </c>
      <c r="F46" s="43" t="str">
        <f t="shared" si="4"/>
        <v xml:space="preserve">23: </v>
      </c>
      <c r="G46" s="43" t="b">
        <f t="shared" si="0"/>
        <v>1</v>
      </c>
      <c r="H46" s="43" t="b">
        <f t="shared" si="1"/>
        <v>0</v>
      </c>
      <c r="I46" s="44" t="b">
        <f t="shared" si="5"/>
        <v>0</v>
      </c>
      <c r="J46" s="45" t="b">
        <v>1</v>
      </c>
      <c r="K46" s="43" t="b">
        <f t="shared" si="2"/>
        <v>0</v>
      </c>
      <c r="L46" s="46">
        <f t="shared" si="6"/>
        <v>18</v>
      </c>
      <c r="M46" s="43" t="str">
        <f t="shared" si="3"/>
        <v/>
      </c>
    </row>
    <row r="47" spans="2:13">
      <c r="B47" s="38">
        <v>25</v>
      </c>
      <c r="C47" s="136">
        <v>24</v>
      </c>
      <c r="D47" s="136"/>
      <c r="E47" s="137">
        <v>0</v>
      </c>
      <c r="F47" s="43" t="str">
        <f t="shared" si="4"/>
        <v xml:space="preserve">24: </v>
      </c>
      <c r="G47" s="43" t="b">
        <f t="shared" si="0"/>
        <v>1</v>
      </c>
      <c r="H47" s="43" t="b">
        <f t="shared" si="1"/>
        <v>0</v>
      </c>
      <c r="I47" s="44" t="b">
        <f t="shared" si="5"/>
        <v>0</v>
      </c>
      <c r="J47" s="45" t="b">
        <v>1</v>
      </c>
      <c r="K47" s="43" t="b">
        <f t="shared" si="2"/>
        <v>0</v>
      </c>
      <c r="L47" s="46">
        <f t="shared" si="6"/>
        <v>18</v>
      </c>
      <c r="M47" s="43" t="str">
        <f t="shared" si="3"/>
        <v/>
      </c>
    </row>
    <row r="48" spans="2:13">
      <c r="B48" s="38">
        <v>26</v>
      </c>
      <c r="C48" s="138">
        <v>25</v>
      </c>
      <c r="D48" s="138"/>
      <c r="E48" s="139">
        <v>0</v>
      </c>
      <c r="F48" s="43" t="str">
        <f t="shared" si="4"/>
        <v xml:space="preserve">25: </v>
      </c>
      <c r="G48" s="43" t="b">
        <f t="shared" si="0"/>
        <v>1</v>
      </c>
      <c r="H48" s="43" t="b">
        <f t="shared" si="1"/>
        <v>0</v>
      </c>
      <c r="I48" s="44" t="b">
        <f t="shared" si="5"/>
        <v>0</v>
      </c>
      <c r="J48" s="45" t="b">
        <v>1</v>
      </c>
      <c r="K48" s="43" t="b">
        <f t="shared" si="2"/>
        <v>0</v>
      </c>
      <c r="L48" s="46">
        <f t="shared" si="6"/>
        <v>18</v>
      </c>
      <c r="M48" s="43" t="str">
        <f t="shared" si="3"/>
        <v/>
      </c>
    </row>
    <row r="49" spans="2:13">
      <c r="B49" s="38">
        <v>27</v>
      </c>
      <c r="C49" s="136">
        <v>26</v>
      </c>
      <c r="D49" s="136"/>
      <c r="E49" s="137">
        <v>0</v>
      </c>
      <c r="F49" s="43" t="str">
        <f t="shared" si="4"/>
        <v xml:space="preserve">26: </v>
      </c>
      <c r="G49" s="43" t="b">
        <f t="shared" si="0"/>
        <v>1</v>
      </c>
      <c r="H49" s="43" t="b">
        <f t="shared" si="1"/>
        <v>0</v>
      </c>
      <c r="I49" s="44" t="b">
        <f t="shared" si="5"/>
        <v>0</v>
      </c>
      <c r="J49" s="45" t="b">
        <v>1</v>
      </c>
      <c r="K49" s="43" t="b">
        <f t="shared" si="2"/>
        <v>0</v>
      </c>
      <c r="L49" s="46">
        <f t="shared" si="6"/>
        <v>18</v>
      </c>
      <c r="M49" s="43" t="str">
        <f t="shared" si="3"/>
        <v/>
      </c>
    </row>
    <row r="50" spans="2:13">
      <c r="B50" s="38">
        <v>28</v>
      </c>
      <c r="C50" s="138">
        <v>27</v>
      </c>
      <c r="D50" s="138"/>
      <c r="E50" s="139">
        <v>0</v>
      </c>
      <c r="F50" s="43" t="str">
        <f t="shared" si="4"/>
        <v xml:space="preserve">27: </v>
      </c>
      <c r="G50" s="43" t="b">
        <f t="shared" si="0"/>
        <v>1</v>
      </c>
      <c r="H50" s="43" t="b">
        <f t="shared" si="1"/>
        <v>0</v>
      </c>
      <c r="I50" s="44" t="b">
        <f t="shared" si="5"/>
        <v>0</v>
      </c>
      <c r="J50" s="45" t="b">
        <v>1</v>
      </c>
      <c r="K50" s="43" t="b">
        <f t="shared" si="2"/>
        <v>0</v>
      </c>
      <c r="L50" s="46">
        <f t="shared" si="6"/>
        <v>18</v>
      </c>
      <c r="M50" s="43" t="str">
        <f t="shared" si="3"/>
        <v/>
      </c>
    </row>
    <row r="51" spans="2:13">
      <c r="B51" s="38">
        <v>29</v>
      </c>
      <c r="C51" s="136">
        <v>28</v>
      </c>
      <c r="D51" s="136"/>
      <c r="E51" s="137">
        <v>0</v>
      </c>
      <c r="F51" s="43" t="str">
        <f t="shared" si="4"/>
        <v xml:space="preserve">28: </v>
      </c>
      <c r="G51" s="43" t="b">
        <f t="shared" si="0"/>
        <v>1</v>
      </c>
      <c r="H51" s="43" t="b">
        <f t="shared" si="1"/>
        <v>0</v>
      </c>
      <c r="I51" s="44" t="b">
        <f t="shared" si="5"/>
        <v>0</v>
      </c>
      <c r="J51" s="45" t="b">
        <v>1</v>
      </c>
      <c r="K51" s="43" t="b">
        <f t="shared" si="2"/>
        <v>0</v>
      </c>
      <c r="L51" s="46">
        <f t="shared" si="6"/>
        <v>18</v>
      </c>
      <c r="M51" s="43" t="str">
        <f t="shared" si="3"/>
        <v/>
      </c>
    </row>
    <row r="52" spans="2:13">
      <c r="B52" s="38">
        <v>30</v>
      </c>
      <c r="C52" s="138">
        <v>29</v>
      </c>
      <c r="D52" s="138"/>
      <c r="E52" s="139">
        <v>0</v>
      </c>
      <c r="F52" s="43" t="str">
        <f t="shared" si="4"/>
        <v xml:space="preserve">29: </v>
      </c>
      <c r="G52" s="43" t="b">
        <f t="shared" si="0"/>
        <v>1</v>
      </c>
      <c r="H52" s="43" t="b">
        <f t="shared" si="1"/>
        <v>0</v>
      </c>
      <c r="I52" s="44" t="b">
        <f t="shared" si="5"/>
        <v>0</v>
      </c>
      <c r="J52" s="45" t="b">
        <v>1</v>
      </c>
      <c r="K52" s="43" t="b">
        <f t="shared" si="2"/>
        <v>0</v>
      </c>
      <c r="L52" s="46">
        <f t="shared" si="6"/>
        <v>18</v>
      </c>
      <c r="M52" s="43" t="str">
        <f t="shared" si="3"/>
        <v/>
      </c>
    </row>
    <row r="53" spans="2:13">
      <c r="B53" s="38">
        <v>31</v>
      </c>
      <c r="C53" s="136">
        <v>30</v>
      </c>
      <c r="D53" s="136"/>
      <c r="E53" s="137">
        <v>0</v>
      </c>
      <c r="F53" s="43" t="str">
        <f t="shared" si="4"/>
        <v xml:space="preserve">30: </v>
      </c>
      <c r="G53" s="43" t="b">
        <f t="shared" si="0"/>
        <v>1</v>
      </c>
      <c r="H53" s="43" t="b">
        <f t="shared" si="1"/>
        <v>0</v>
      </c>
      <c r="I53" s="44" t="b">
        <f t="shared" si="5"/>
        <v>0</v>
      </c>
      <c r="J53" s="45" t="b">
        <v>1</v>
      </c>
      <c r="K53" s="43" t="b">
        <f t="shared" si="2"/>
        <v>0</v>
      </c>
      <c r="L53" s="46">
        <f t="shared" si="6"/>
        <v>18</v>
      </c>
      <c r="M53" s="43" t="str">
        <f t="shared" si="3"/>
        <v/>
      </c>
    </row>
    <row r="54" spans="2:13">
      <c r="B54" s="38">
        <v>32</v>
      </c>
      <c r="C54" s="138">
        <v>31</v>
      </c>
      <c r="D54" s="138"/>
      <c r="E54" s="139">
        <v>0</v>
      </c>
      <c r="F54" s="43" t="str">
        <f t="shared" si="4"/>
        <v xml:space="preserve">31: </v>
      </c>
      <c r="G54" s="43" t="b">
        <f t="shared" si="0"/>
        <v>1</v>
      </c>
      <c r="H54" s="43" t="b">
        <f t="shared" si="1"/>
        <v>0</v>
      </c>
      <c r="I54" s="44" t="b">
        <f t="shared" si="5"/>
        <v>0</v>
      </c>
      <c r="J54" s="45" t="b">
        <v>1</v>
      </c>
      <c r="K54" s="43" t="b">
        <f t="shared" si="2"/>
        <v>0</v>
      </c>
      <c r="L54" s="46">
        <f t="shared" si="6"/>
        <v>18</v>
      </c>
      <c r="M54" s="43" t="str">
        <f t="shared" si="3"/>
        <v/>
      </c>
    </row>
    <row r="55" spans="2:13">
      <c r="B55" s="38">
        <v>33</v>
      </c>
      <c r="C55" s="136">
        <v>32</v>
      </c>
      <c r="D55" s="136"/>
      <c r="E55" s="137">
        <v>0</v>
      </c>
      <c r="F55" s="43" t="str">
        <f t="shared" si="4"/>
        <v xml:space="preserve">32: </v>
      </c>
      <c r="G55" s="43" t="b">
        <f t="shared" si="0"/>
        <v>1</v>
      </c>
      <c r="H55" s="43" t="b">
        <f t="shared" si="1"/>
        <v>0</v>
      </c>
      <c r="I55" s="44" t="b">
        <f t="shared" si="5"/>
        <v>0</v>
      </c>
      <c r="J55" s="45" t="b">
        <v>1</v>
      </c>
      <c r="K55" s="43" t="b">
        <f t="shared" si="2"/>
        <v>0</v>
      </c>
      <c r="L55" s="46">
        <f t="shared" si="6"/>
        <v>18</v>
      </c>
      <c r="M55" s="43" t="str">
        <f t="shared" si="3"/>
        <v/>
      </c>
    </row>
    <row r="56" spans="2:13">
      <c r="B56" s="38">
        <v>34</v>
      </c>
      <c r="C56" s="138">
        <v>33</v>
      </c>
      <c r="D56" s="138"/>
      <c r="E56" s="139">
        <v>0</v>
      </c>
      <c r="F56" s="43" t="str">
        <f t="shared" si="4"/>
        <v xml:space="preserve">33: </v>
      </c>
      <c r="G56" s="43" t="b">
        <f t="shared" si="0"/>
        <v>1</v>
      </c>
      <c r="H56" s="43" t="b">
        <f t="shared" si="1"/>
        <v>0</v>
      </c>
      <c r="I56" s="44" t="b">
        <f t="shared" si="5"/>
        <v>0</v>
      </c>
      <c r="J56" s="45" t="b">
        <v>1</v>
      </c>
      <c r="K56" s="43" t="b">
        <f t="shared" si="2"/>
        <v>0</v>
      </c>
      <c r="L56" s="46">
        <f t="shared" si="6"/>
        <v>18</v>
      </c>
      <c r="M56" s="43" t="str">
        <f t="shared" si="3"/>
        <v/>
      </c>
    </row>
    <row r="57" spans="2:13">
      <c r="B57" s="38">
        <v>35</v>
      </c>
      <c r="C57" s="136">
        <v>34</v>
      </c>
      <c r="D57" s="136"/>
      <c r="E57" s="137">
        <v>0</v>
      </c>
      <c r="F57" s="43" t="str">
        <f t="shared" si="4"/>
        <v xml:space="preserve">34: </v>
      </c>
      <c r="G57" s="43" t="b">
        <f t="shared" si="0"/>
        <v>1</v>
      </c>
      <c r="H57" s="43" t="b">
        <f t="shared" si="1"/>
        <v>0</v>
      </c>
      <c r="I57" s="44" t="b">
        <f t="shared" si="5"/>
        <v>0</v>
      </c>
      <c r="J57" s="45" t="b">
        <v>1</v>
      </c>
      <c r="K57" s="43" t="b">
        <f t="shared" si="2"/>
        <v>0</v>
      </c>
      <c r="L57" s="46">
        <f t="shared" si="6"/>
        <v>18</v>
      </c>
      <c r="M57" s="43" t="str">
        <f t="shared" si="3"/>
        <v/>
      </c>
    </row>
    <row r="58" spans="2:13">
      <c r="B58" s="38">
        <v>36</v>
      </c>
      <c r="C58" s="138">
        <v>35</v>
      </c>
      <c r="D58" s="138"/>
      <c r="E58" s="139">
        <v>0</v>
      </c>
      <c r="F58" s="43" t="str">
        <f t="shared" si="4"/>
        <v xml:space="preserve">35: </v>
      </c>
      <c r="G58" s="43" t="b">
        <f t="shared" si="0"/>
        <v>1</v>
      </c>
      <c r="H58" s="43" t="b">
        <f t="shared" si="1"/>
        <v>0</v>
      </c>
      <c r="I58" s="44" t="b">
        <f t="shared" si="5"/>
        <v>0</v>
      </c>
      <c r="J58" s="45" t="b">
        <v>1</v>
      </c>
      <c r="K58" s="43" t="b">
        <f t="shared" si="2"/>
        <v>0</v>
      </c>
      <c r="L58" s="46">
        <f t="shared" si="6"/>
        <v>18</v>
      </c>
      <c r="M58" s="43" t="str">
        <f t="shared" si="3"/>
        <v/>
      </c>
    </row>
    <row r="59" spans="2:13">
      <c r="B59" s="38">
        <v>37</v>
      </c>
      <c r="C59" s="136">
        <v>36</v>
      </c>
      <c r="D59" s="136"/>
      <c r="E59" s="137">
        <v>0</v>
      </c>
      <c r="F59" s="43" t="str">
        <f t="shared" si="4"/>
        <v xml:space="preserve">36: </v>
      </c>
      <c r="G59" s="43" t="b">
        <f t="shared" si="0"/>
        <v>1</v>
      </c>
      <c r="H59" s="43" t="b">
        <f t="shared" si="1"/>
        <v>0</v>
      </c>
      <c r="I59" s="44" t="b">
        <f t="shared" si="5"/>
        <v>0</v>
      </c>
      <c r="J59" s="45" t="b">
        <v>1</v>
      </c>
      <c r="K59" s="43" t="b">
        <f t="shared" si="2"/>
        <v>0</v>
      </c>
      <c r="L59" s="46">
        <f t="shared" si="6"/>
        <v>18</v>
      </c>
      <c r="M59" s="43" t="str">
        <f t="shared" si="3"/>
        <v/>
      </c>
    </row>
    <row r="60" spans="2:13">
      <c r="B60" s="38">
        <v>38</v>
      </c>
      <c r="C60" s="138">
        <v>37</v>
      </c>
      <c r="D60" s="138"/>
      <c r="E60" s="139">
        <v>0</v>
      </c>
      <c r="F60" s="43" t="str">
        <f t="shared" si="4"/>
        <v xml:space="preserve">37: </v>
      </c>
      <c r="G60" s="43" t="b">
        <f t="shared" si="0"/>
        <v>1</v>
      </c>
      <c r="H60" s="43" t="b">
        <f t="shared" si="1"/>
        <v>0</v>
      </c>
      <c r="I60" s="44" t="b">
        <f t="shared" si="5"/>
        <v>0</v>
      </c>
      <c r="J60" s="45" t="b">
        <v>1</v>
      </c>
      <c r="K60" s="43" t="b">
        <f t="shared" si="2"/>
        <v>0</v>
      </c>
      <c r="L60" s="46">
        <f t="shared" si="6"/>
        <v>18</v>
      </c>
      <c r="M60" s="43" t="str">
        <f t="shared" si="3"/>
        <v/>
      </c>
    </row>
    <row r="61" spans="2:13">
      <c r="B61" s="38">
        <v>39</v>
      </c>
      <c r="C61" s="136">
        <v>38</v>
      </c>
      <c r="D61" s="136"/>
      <c r="E61" s="137">
        <v>0</v>
      </c>
      <c r="F61" s="43" t="str">
        <f t="shared" si="4"/>
        <v xml:space="preserve">38: </v>
      </c>
      <c r="G61" s="43" t="b">
        <f t="shared" si="0"/>
        <v>1</v>
      </c>
      <c r="H61" s="43" t="b">
        <f t="shared" si="1"/>
        <v>0</v>
      </c>
      <c r="I61" s="44" t="b">
        <f t="shared" si="5"/>
        <v>0</v>
      </c>
      <c r="J61" s="45" t="b">
        <v>1</v>
      </c>
      <c r="K61" s="43" t="b">
        <f t="shared" si="2"/>
        <v>0</v>
      </c>
      <c r="L61" s="46">
        <f t="shared" si="6"/>
        <v>18</v>
      </c>
      <c r="M61" s="43" t="str">
        <f t="shared" si="3"/>
        <v/>
      </c>
    </row>
    <row r="62" spans="2:13">
      <c r="B62" s="38">
        <v>40</v>
      </c>
      <c r="C62" s="138">
        <v>39</v>
      </c>
      <c r="D62" s="138"/>
      <c r="E62" s="139">
        <v>0</v>
      </c>
      <c r="F62" s="43" t="str">
        <f t="shared" si="4"/>
        <v xml:space="preserve">39: </v>
      </c>
      <c r="G62" s="43" t="b">
        <f t="shared" si="0"/>
        <v>1</v>
      </c>
      <c r="H62" s="43" t="b">
        <f t="shared" si="1"/>
        <v>0</v>
      </c>
      <c r="I62" s="44" t="b">
        <f t="shared" si="5"/>
        <v>0</v>
      </c>
      <c r="J62" s="45" t="b">
        <v>1</v>
      </c>
      <c r="K62" s="43" t="b">
        <f t="shared" si="2"/>
        <v>0</v>
      </c>
      <c r="L62" s="46">
        <f t="shared" si="6"/>
        <v>18</v>
      </c>
      <c r="M62" s="43" t="str">
        <f t="shared" si="3"/>
        <v/>
      </c>
    </row>
    <row r="63" spans="2:13">
      <c r="B63" s="38">
        <v>41</v>
      </c>
      <c r="C63" s="140">
        <v>40</v>
      </c>
      <c r="D63" s="140"/>
      <c r="E63" s="141">
        <v>0</v>
      </c>
      <c r="F63" s="47" t="str">
        <f t="shared" si="4"/>
        <v xml:space="preserve">40: </v>
      </c>
      <c r="G63" s="47" t="b">
        <f t="shared" si="0"/>
        <v>1</v>
      </c>
      <c r="H63" s="47" t="b">
        <f t="shared" si="1"/>
        <v>0</v>
      </c>
      <c r="I63" s="48" t="b">
        <f t="shared" si="5"/>
        <v>0</v>
      </c>
      <c r="J63" s="49" t="b">
        <v>1</v>
      </c>
      <c r="K63" s="47" t="b">
        <f t="shared" si="2"/>
        <v>0</v>
      </c>
      <c r="L63" s="50">
        <f t="shared" si="6"/>
        <v>18</v>
      </c>
      <c r="M63" s="47" t="str">
        <f t="shared" si="3"/>
        <v/>
      </c>
    </row>
    <row r="64" spans="2:13">
      <c r="B64" s="20" t="s">
        <v>210</v>
      </c>
      <c r="C64" s="20" t="s">
        <v>82</v>
      </c>
      <c r="D64" s="20" t="s">
        <v>202</v>
      </c>
      <c r="E64" s="32"/>
      <c r="F64" s="20" t="s">
        <v>61</v>
      </c>
      <c r="L64" s="20" t="s">
        <v>62</v>
      </c>
      <c r="M64" s="32" t="s">
        <v>8478</v>
      </c>
    </row>
    <row r="65" spans="1:5">
      <c r="E65" s="32"/>
    </row>
    <row r="66" spans="1:5" s="54" customFormat="1">
      <c r="A66" s="53" t="s">
        <v>32</v>
      </c>
      <c r="E66" s="55"/>
    </row>
    <row r="68" spans="1:5">
      <c r="B68" s="33" t="s">
        <v>63</v>
      </c>
      <c r="C68" s="34" t="str">
        <f ca="1">MID(CELL("filename",C68),FIND("]",CELL("filename",C68))+1,255)&amp;"!"</f>
        <v>SIs!</v>
      </c>
    </row>
    <row r="69" spans="1:5">
      <c r="B69" s="33"/>
      <c r="C69" s="20" t="s">
        <v>64</v>
      </c>
    </row>
    <row r="70" spans="1:5">
      <c r="B70" s="33"/>
    </row>
    <row r="71" spans="1:5">
      <c r="B71" s="33" t="s">
        <v>65</v>
      </c>
      <c r="C71" s="34">
        <f>MAX(SI_AvailableCount)</f>
        <v>18</v>
      </c>
    </row>
    <row r="72" spans="1:5">
      <c r="C72" s="20" t="s">
        <v>66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rgb="FFFFFF00"/>
  </sheetPr>
  <dimension ref="A1:M285"/>
  <sheetViews>
    <sheetView topLeftCell="A154" zoomScale="55" zoomScaleNormal="55" workbookViewId="0">
      <selection activeCell="D223" sqref="D223"/>
    </sheetView>
  </sheetViews>
  <sheetFormatPr defaultColWidth="8.796875" defaultRowHeight="15"/>
  <cols>
    <col min="1" max="1" width="4.69921875" style="32" customWidth="1"/>
    <col min="2" max="2" width="10.69921875" style="32" customWidth="1"/>
    <col min="3" max="3" width="14.69921875" style="32" customWidth="1"/>
    <col min="4" max="4" width="32.69921875" style="32" customWidth="1"/>
    <col min="5" max="5" width="12.296875" style="38" customWidth="1"/>
    <col min="6" max="6" width="32.69921875" style="32" customWidth="1"/>
    <col min="7" max="8" width="8.69921875" style="32" customWidth="1"/>
    <col min="9" max="9" width="10.5" style="32" customWidth="1"/>
    <col min="10" max="10" width="11.09765625" style="32" customWidth="1"/>
    <col min="11" max="12" width="8.796875" style="32"/>
    <col min="13" max="13" width="32.69921875" style="32" customWidth="1"/>
    <col min="14" max="16384" width="8.796875" style="32"/>
  </cols>
  <sheetData>
    <row r="1" spans="1:5" s="51" customFormat="1">
      <c r="A1" s="51" t="s">
        <v>4354</v>
      </c>
      <c r="E1" s="52"/>
    </row>
    <row r="3" spans="1:5" s="54" customFormat="1">
      <c r="A3" s="53" t="str">
        <f>nmCh1</f>
        <v>Hypermarkets</v>
      </c>
      <c r="E3" s="55"/>
    </row>
    <row r="4" spans="1:5" s="54" customFormat="1">
      <c r="A4" s="53" t="s">
        <v>28</v>
      </c>
      <c r="E4" s="55"/>
    </row>
    <row r="5" spans="1:5">
      <c r="C5" s="34" t="str">
        <f ca="1">VTCh1_WorksheetName &amp; ADDRESS(ROW(M23),COLUMN(M23))&amp;":"&amp;ADDRESS(ROW(M23)+VTCh1_TotalAvailable-1,COLUMN(M23))</f>
        <v>VTdd!$M$23:$M$31</v>
      </c>
      <c r="E5" s="33"/>
    </row>
    <row r="6" spans="1:5">
      <c r="C6" s="20" t="s">
        <v>3732</v>
      </c>
      <c r="E6" s="33"/>
    </row>
    <row r="7" spans="1:5">
      <c r="E7" s="33"/>
    </row>
    <row r="8" spans="1:5">
      <c r="C8" s="35" t="s">
        <v>3733</v>
      </c>
      <c r="E8" s="33"/>
    </row>
    <row r="9" spans="1:5">
      <c r="C9" s="32" t="s">
        <v>3734</v>
      </c>
      <c r="E9" s="33"/>
    </row>
    <row r="10" spans="1:5" ht="15.75" thickBot="1">
      <c r="E10" s="33"/>
    </row>
    <row r="11" spans="1:5" ht="15.75" thickBot="1">
      <c r="B11" s="32" t="s">
        <v>42</v>
      </c>
      <c r="C11" s="36"/>
      <c r="E11" s="33"/>
    </row>
    <row r="12" spans="1:5">
      <c r="E12" s="33"/>
    </row>
    <row r="13" spans="1:5">
      <c r="E13" s="33"/>
    </row>
    <row r="14" spans="1:5" s="54" customFormat="1">
      <c r="A14" s="53" t="s">
        <v>29</v>
      </c>
      <c r="E14" s="55"/>
    </row>
    <row r="15" spans="1:5">
      <c r="E15" s="33"/>
    </row>
    <row r="16" spans="1:5">
      <c r="B16" s="33" t="s">
        <v>30</v>
      </c>
      <c r="C16" s="37">
        <f>xxRound</f>
        <v>1</v>
      </c>
      <c r="D16" s="35" t="s">
        <v>3745</v>
      </c>
      <c r="E16" s="33"/>
    </row>
    <row r="17" spans="2:13">
      <c r="B17" s="33"/>
      <c r="C17" s="20" t="s">
        <v>3735</v>
      </c>
      <c r="E17" s="33"/>
    </row>
    <row r="18" spans="2:13">
      <c r="B18" s="33"/>
      <c r="E18" s="33"/>
    </row>
    <row r="19" spans="2:13">
      <c r="B19" s="33" t="s">
        <v>44</v>
      </c>
      <c r="C19" s="133"/>
      <c r="D19" s="35" t="s">
        <v>46</v>
      </c>
    </row>
    <row r="20" spans="2:13">
      <c r="B20" s="33"/>
      <c r="C20" s="20" t="s">
        <v>3736</v>
      </c>
    </row>
    <row r="21" spans="2:13">
      <c r="B21" s="33"/>
    </row>
    <row r="22" spans="2:13" ht="30">
      <c r="B22" s="38" t="s">
        <v>48</v>
      </c>
      <c r="C22" s="32" t="s">
        <v>49</v>
      </c>
      <c r="D22" s="32" t="s">
        <v>50</v>
      </c>
      <c r="E22" s="39" t="s">
        <v>52</v>
      </c>
      <c r="F22" s="32" t="s">
        <v>51</v>
      </c>
      <c r="G22" s="39" t="s">
        <v>53</v>
      </c>
      <c r="H22" s="39" t="s">
        <v>54</v>
      </c>
      <c r="I22" s="39" t="s">
        <v>55</v>
      </c>
      <c r="J22" s="39" t="s">
        <v>56</v>
      </c>
      <c r="K22" s="39" t="s">
        <v>57</v>
      </c>
      <c r="L22" s="39" t="s">
        <v>58</v>
      </c>
      <c r="M22" s="39" t="s">
        <v>59</v>
      </c>
    </row>
    <row r="23" spans="2:13">
      <c r="B23" s="38">
        <v>1</v>
      </c>
      <c r="C23" s="134">
        <v>1</v>
      </c>
      <c r="D23" s="134" t="str">
        <f>nmCh1</f>
        <v>Hypermarkets</v>
      </c>
      <c r="E23" s="135">
        <v>0</v>
      </c>
      <c r="F23" s="40" t="str">
        <f>D23</f>
        <v>Hypermarkets</v>
      </c>
      <c r="G23" s="41" t="b">
        <f t="shared" ref="G23:G63" si="0">E23&lt;=VTCh1_currentRound</f>
        <v>1</v>
      </c>
      <c r="H23" s="41" t="b">
        <f t="shared" ref="H23:H63" si="1">NOT(D23="")</f>
        <v>1</v>
      </c>
      <c r="I23" s="135" t="b">
        <v>0</v>
      </c>
      <c r="J23" s="134" t="b">
        <v>1</v>
      </c>
      <c r="K23" s="41" t="b">
        <f t="shared" ref="K23:K63" si="2">AND(G23,H23,J23,NOT(I23))</f>
        <v>1</v>
      </c>
      <c r="L23" s="42">
        <f>IF(K23,1,0)</f>
        <v>1</v>
      </c>
      <c r="M23" s="41" t="str">
        <f t="shared" ref="M23:M63" si="3">IFERROR(INDEX(VTCh1_DisplayedName,MATCH(B23,VTCh1_AvailableCount,0)),"")</f>
        <v>Hypermarkets</v>
      </c>
    </row>
    <row r="24" spans="2:13">
      <c r="B24" s="38">
        <v>2</v>
      </c>
      <c r="C24" s="138">
        <v>2</v>
      </c>
      <c r="D24" s="138" t="str">
        <f>nmProd2</f>
        <v>Harken</v>
      </c>
      <c r="E24" s="139">
        <v>0</v>
      </c>
      <c r="F24" s="43" t="str">
        <f t="shared" ref="F24:F63" si="4">VTCh1_selectedSeparator &amp; "" &amp; D24</f>
        <v>Harken</v>
      </c>
      <c r="G24" s="43" t="b">
        <f t="shared" si="0"/>
        <v>1</v>
      </c>
      <c r="H24" s="43" t="b">
        <f t="shared" si="1"/>
        <v>1</v>
      </c>
      <c r="I24" s="44" t="b">
        <v>0</v>
      </c>
      <c r="J24" s="45" t="b">
        <f>IF(INDEX(calcCh1Prod1Slot1Active,,xxIndexTeam)=1,TRUE,FALSE)</f>
        <v>1</v>
      </c>
      <c r="K24" s="43" t="b">
        <f t="shared" si="2"/>
        <v>1</v>
      </c>
      <c r="L24" s="46">
        <f>IF(K24,1,0)+L23</f>
        <v>2</v>
      </c>
      <c r="M24" s="43" t="str">
        <f t="shared" si="3"/>
        <v>Harken</v>
      </c>
    </row>
    <row r="25" spans="2:13">
      <c r="B25" s="38">
        <v>3</v>
      </c>
      <c r="C25" s="136">
        <v>3</v>
      </c>
      <c r="D25" s="136" t="str">
        <f>nmProd2&amp;" Slot 1"</f>
        <v>Harken Slot 1</v>
      </c>
      <c r="E25" s="137">
        <v>0</v>
      </c>
      <c r="F25" s="43" t="str">
        <f t="shared" si="4"/>
        <v>Harken Slot 1</v>
      </c>
      <c r="G25" s="43" t="b">
        <f t="shared" si="0"/>
        <v>1</v>
      </c>
      <c r="H25" s="43" t="b">
        <f t="shared" si="1"/>
        <v>1</v>
      </c>
      <c r="I25" s="44" t="b">
        <v>0</v>
      </c>
      <c r="J25" s="45" t="b">
        <f>IF(INDEX(calcCh1Prod2Slot1Active,,xxIndexTeam)=1,TRUE,FALSE)</f>
        <v>1</v>
      </c>
      <c r="K25" s="43" t="b">
        <f t="shared" si="2"/>
        <v>1</v>
      </c>
      <c r="L25" s="46">
        <f t="shared" ref="L25:L63" si="5">IF(K25,1,0)+L24</f>
        <v>3</v>
      </c>
      <c r="M25" s="43" t="str">
        <f t="shared" si="3"/>
        <v>Harken Slot 1</v>
      </c>
    </row>
    <row r="26" spans="2:13">
      <c r="B26" s="38">
        <v>4</v>
      </c>
      <c r="C26" s="138">
        <v>4</v>
      </c>
      <c r="D26" s="138" t="str">
        <f>nmProd2&amp;" Slot 2"</f>
        <v>Harken Slot 2</v>
      </c>
      <c r="E26" s="139">
        <v>0</v>
      </c>
      <c r="F26" s="43" t="str">
        <f t="shared" si="4"/>
        <v>Harken Slot 2</v>
      </c>
      <c r="G26" s="43" t="b">
        <f t="shared" si="0"/>
        <v>1</v>
      </c>
      <c r="H26" s="43" t="b">
        <f t="shared" si="1"/>
        <v>1</v>
      </c>
      <c r="I26" s="44" t="b">
        <v>0</v>
      </c>
      <c r="J26" s="45" t="b">
        <f>IF(INDEX(calcCh1Prod2Slot2Active,,xxIndexTeam)=1,TRUE,FALSE)</f>
        <v>1</v>
      </c>
      <c r="K26" s="43" t="b">
        <f t="shared" si="2"/>
        <v>1</v>
      </c>
      <c r="L26" s="46">
        <f t="shared" si="5"/>
        <v>4</v>
      </c>
      <c r="M26" s="43" t="str">
        <f t="shared" si="3"/>
        <v>Harken Slot 2</v>
      </c>
    </row>
    <row r="27" spans="2:13">
      <c r="B27" s="38">
        <v>5</v>
      </c>
      <c r="C27" s="136">
        <v>5</v>
      </c>
      <c r="D27" s="136" t="str">
        <f>nmProd2&amp;" Slot 3"</f>
        <v>Harken Slot 3</v>
      </c>
      <c r="E27" s="137">
        <v>0</v>
      </c>
      <c r="F27" s="43" t="str">
        <f t="shared" si="4"/>
        <v>Harken Slot 3</v>
      </c>
      <c r="G27" s="43" t="b">
        <f t="shared" si="0"/>
        <v>1</v>
      </c>
      <c r="H27" s="43" t="b">
        <f t="shared" si="1"/>
        <v>1</v>
      </c>
      <c r="I27" s="44" t="b">
        <v>0</v>
      </c>
      <c r="J27" s="45" t="b">
        <f>IF(INDEX(calcCh1Prod2Slot3Active,,xxIndexTeam)=1,TRUE,FALSE)</f>
        <v>0</v>
      </c>
      <c r="K27" s="43" t="b">
        <f t="shared" si="2"/>
        <v>0</v>
      </c>
      <c r="L27" s="46">
        <f t="shared" si="5"/>
        <v>4</v>
      </c>
      <c r="M27" s="43" t="str">
        <f t="shared" si="3"/>
        <v>Kara</v>
      </c>
    </row>
    <row r="28" spans="2:13">
      <c r="B28" s="38">
        <v>6</v>
      </c>
      <c r="C28" s="138">
        <v>6</v>
      </c>
      <c r="D28" s="138" t="str">
        <f>nmProd3</f>
        <v>Kara</v>
      </c>
      <c r="E28" s="139">
        <v>0</v>
      </c>
      <c r="F28" s="43" t="str">
        <f t="shared" si="4"/>
        <v>Kara</v>
      </c>
      <c r="G28" s="43" t="b">
        <f t="shared" si="0"/>
        <v>1</v>
      </c>
      <c r="H28" s="43" t="b">
        <f t="shared" si="1"/>
        <v>1</v>
      </c>
      <c r="I28" s="44" t="b">
        <v>0</v>
      </c>
      <c r="J28" s="45" t="b">
        <f>IF(INDEX(calcCh1Prod3Slot1Active,,xxIndexTeam)=1,TRUE,FALSE)</f>
        <v>1</v>
      </c>
      <c r="K28" s="43" t="b">
        <f t="shared" si="2"/>
        <v>1</v>
      </c>
      <c r="L28" s="46">
        <f t="shared" si="5"/>
        <v>5</v>
      </c>
      <c r="M28" s="43" t="str">
        <f t="shared" si="3"/>
        <v>Kara Slot 1</v>
      </c>
    </row>
    <row r="29" spans="2:13">
      <c r="B29" s="38">
        <v>7</v>
      </c>
      <c r="C29" s="136">
        <v>7</v>
      </c>
      <c r="D29" s="136" t="str">
        <f>nmProd3&amp;" Slot 1"</f>
        <v>Kara Slot 1</v>
      </c>
      <c r="E29" s="137">
        <v>0</v>
      </c>
      <c r="F29" s="43" t="str">
        <f t="shared" si="4"/>
        <v>Kara Slot 1</v>
      </c>
      <c r="G29" s="43" t="b">
        <f t="shared" si="0"/>
        <v>1</v>
      </c>
      <c r="H29" s="43" t="b">
        <f t="shared" si="1"/>
        <v>1</v>
      </c>
      <c r="I29" s="44" t="b">
        <v>0</v>
      </c>
      <c r="J29" s="45" t="b">
        <f>IF(INDEX(calcCh1Prod3Slot1Active,,xxIndexTeam)=1,TRUE,FALSE)</f>
        <v>1</v>
      </c>
      <c r="K29" s="43" t="b">
        <f t="shared" si="2"/>
        <v>1</v>
      </c>
      <c r="L29" s="46">
        <f t="shared" si="5"/>
        <v>6</v>
      </c>
      <c r="M29" s="43" t="str">
        <f t="shared" si="3"/>
        <v>Kara Slot 2</v>
      </c>
    </row>
    <row r="30" spans="2:13">
      <c r="B30" s="38">
        <v>8</v>
      </c>
      <c r="C30" s="138">
        <v>8</v>
      </c>
      <c r="D30" s="138" t="str">
        <f>nmProd3&amp;" Slot 2"</f>
        <v>Kara Slot 2</v>
      </c>
      <c r="E30" s="139">
        <v>0</v>
      </c>
      <c r="F30" s="43" t="str">
        <f t="shared" si="4"/>
        <v>Kara Slot 2</v>
      </c>
      <c r="G30" s="43" t="b">
        <f t="shared" si="0"/>
        <v>1</v>
      </c>
      <c r="H30" s="43" t="b">
        <f t="shared" si="1"/>
        <v>1</v>
      </c>
      <c r="I30" s="44" t="b">
        <v>0</v>
      </c>
      <c r="J30" s="45" t="b">
        <f>IF(INDEX(calcCh1Prod3Slot2Active,,xxIndexTeam)=1,TRUE,FALSE)</f>
        <v>1</v>
      </c>
      <c r="K30" s="43" t="b">
        <f t="shared" si="2"/>
        <v>1</v>
      </c>
      <c r="L30" s="46">
        <f t="shared" si="5"/>
        <v>7</v>
      </c>
      <c r="M30" s="43" t="str">
        <f t="shared" si="3"/>
        <v>Greenborg</v>
      </c>
    </row>
    <row r="31" spans="2:13">
      <c r="B31" s="38">
        <v>9</v>
      </c>
      <c r="C31" s="136">
        <v>9</v>
      </c>
      <c r="D31" s="136" t="str">
        <f>nmProd3&amp;" Slot 3"</f>
        <v>Kara Slot 3</v>
      </c>
      <c r="E31" s="137">
        <v>0</v>
      </c>
      <c r="F31" s="43" t="str">
        <f t="shared" si="4"/>
        <v>Kara Slot 3</v>
      </c>
      <c r="G31" s="43" t="b">
        <f t="shared" si="0"/>
        <v>1</v>
      </c>
      <c r="H31" s="43" t="b">
        <f t="shared" si="1"/>
        <v>1</v>
      </c>
      <c r="I31" s="44" t="b">
        <v>0</v>
      </c>
      <c r="J31" s="45" t="b">
        <f>IF(INDEX(calcCh1Prod3Slot3Active,,xxIndexTeam)=1,TRUE,FALSE)</f>
        <v>0</v>
      </c>
      <c r="K31" s="43" t="b">
        <f t="shared" si="2"/>
        <v>0</v>
      </c>
      <c r="L31" s="46">
        <f t="shared" si="5"/>
        <v>7</v>
      </c>
      <c r="M31" s="43" t="str">
        <f t="shared" si="3"/>
        <v>Greenborg Slot 1</v>
      </c>
    </row>
    <row r="32" spans="2:13">
      <c r="B32" s="38">
        <v>10</v>
      </c>
      <c r="C32" s="138">
        <v>10</v>
      </c>
      <c r="D32" s="138" t="str">
        <f>nmProd1</f>
        <v>Greenborg</v>
      </c>
      <c r="E32" s="139">
        <v>0</v>
      </c>
      <c r="F32" s="43" t="str">
        <f t="shared" si="4"/>
        <v>Greenborg</v>
      </c>
      <c r="G32" s="43" t="b">
        <f t="shared" si="0"/>
        <v>1</v>
      </c>
      <c r="H32" s="43" t="b">
        <f t="shared" si="1"/>
        <v>1</v>
      </c>
      <c r="I32" s="44" t="b">
        <v>0</v>
      </c>
      <c r="J32" s="45" t="b">
        <f>IF(INDEX(calcCh1Prod1Slot1Active,,xxIndexTeam)=1,TRUE,FALSE)</f>
        <v>1</v>
      </c>
      <c r="K32" s="43" t="b">
        <f t="shared" si="2"/>
        <v>1</v>
      </c>
      <c r="L32" s="46">
        <f t="shared" si="5"/>
        <v>8</v>
      </c>
      <c r="M32" s="43" t="str">
        <f t="shared" si="3"/>
        <v/>
      </c>
    </row>
    <row r="33" spans="2:13">
      <c r="B33" s="38">
        <v>11</v>
      </c>
      <c r="C33" s="136">
        <v>11</v>
      </c>
      <c r="D33" s="136" t="str">
        <f>nmProd1&amp;" Slot 1"</f>
        <v>Greenborg Slot 1</v>
      </c>
      <c r="E33" s="137">
        <v>0</v>
      </c>
      <c r="F33" s="43" t="str">
        <f t="shared" si="4"/>
        <v>Greenborg Slot 1</v>
      </c>
      <c r="G33" s="43" t="b">
        <f t="shared" si="0"/>
        <v>1</v>
      </c>
      <c r="H33" s="43" t="b">
        <f t="shared" si="1"/>
        <v>1</v>
      </c>
      <c r="I33" s="44" t="b">
        <v>0</v>
      </c>
      <c r="J33" s="45" t="b">
        <f>IF(INDEX(calcCh1Prod1Slot1Active,,xxIndexTeam)=1,TRUE,FALSE)</f>
        <v>1</v>
      </c>
      <c r="K33" s="43" t="b">
        <f t="shared" si="2"/>
        <v>1</v>
      </c>
      <c r="L33" s="46">
        <f t="shared" si="5"/>
        <v>9</v>
      </c>
      <c r="M33" s="43" t="str">
        <f t="shared" si="3"/>
        <v/>
      </c>
    </row>
    <row r="34" spans="2:13">
      <c r="B34" s="38">
        <v>12</v>
      </c>
      <c r="C34" s="138">
        <v>12</v>
      </c>
      <c r="D34" s="138" t="str">
        <f>nmProd1&amp;" Slot 2"</f>
        <v>Greenborg Slot 2</v>
      </c>
      <c r="E34" s="139">
        <v>0</v>
      </c>
      <c r="F34" s="43" t="str">
        <f t="shared" si="4"/>
        <v>Greenborg Slot 2</v>
      </c>
      <c r="G34" s="43" t="b">
        <f t="shared" si="0"/>
        <v>1</v>
      </c>
      <c r="H34" s="43" t="b">
        <f t="shared" si="1"/>
        <v>1</v>
      </c>
      <c r="I34" s="44" t="b">
        <v>0</v>
      </c>
      <c r="J34" s="45" t="b">
        <f>IF(INDEX(calcCh1Prod1Slot2Active,,xxIndexTeam)=1,TRUE,FALSE)</f>
        <v>0</v>
      </c>
      <c r="K34" s="43" t="b">
        <f t="shared" si="2"/>
        <v>0</v>
      </c>
      <c r="L34" s="46">
        <f t="shared" si="5"/>
        <v>9</v>
      </c>
      <c r="M34" s="43" t="str">
        <f t="shared" si="3"/>
        <v/>
      </c>
    </row>
    <row r="35" spans="2:13">
      <c r="B35" s="38">
        <v>13</v>
      </c>
      <c r="C35" s="136">
        <v>13</v>
      </c>
      <c r="D35" s="136" t="str">
        <f>nmProd1&amp;" Slot 3"</f>
        <v>Greenborg Slot 3</v>
      </c>
      <c r="E35" s="137">
        <v>0</v>
      </c>
      <c r="F35" s="43" t="str">
        <f t="shared" si="4"/>
        <v>Greenborg Slot 3</v>
      </c>
      <c r="G35" s="43" t="b">
        <f t="shared" si="0"/>
        <v>1</v>
      </c>
      <c r="H35" s="43" t="b">
        <f t="shared" si="1"/>
        <v>1</v>
      </c>
      <c r="I35" s="44" t="b">
        <v>0</v>
      </c>
      <c r="J35" s="45" t="b">
        <f>IF(INDEX(calcCh1Prod1Slot3Active,,xxIndexTeam)=1,TRUE,FALSE)</f>
        <v>0</v>
      </c>
      <c r="K35" s="43" t="b">
        <f t="shared" si="2"/>
        <v>0</v>
      </c>
      <c r="L35" s="46">
        <f t="shared" si="5"/>
        <v>9</v>
      </c>
      <c r="M35" s="43" t="str">
        <f t="shared" si="3"/>
        <v/>
      </c>
    </row>
    <row r="36" spans="2:13">
      <c r="B36" s="38">
        <v>14</v>
      </c>
      <c r="C36" s="138">
        <v>14</v>
      </c>
      <c r="D36" s="138" t="str">
        <f>nmProd4</f>
        <v>Brew Master</v>
      </c>
      <c r="E36" s="139">
        <v>0</v>
      </c>
      <c r="F36" s="43" t="str">
        <f t="shared" si="4"/>
        <v>Brew Master</v>
      </c>
      <c r="G36" s="43" t="b">
        <f t="shared" si="0"/>
        <v>1</v>
      </c>
      <c r="H36" s="43" t="b">
        <f t="shared" si="1"/>
        <v>1</v>
      </c>
      <c r="I36" s="44" t="b">
        <v>0</v>
      </c>
      <c r="J36" s="45" t="b">
        <f>IF(INDEX(calcCh1Prod4Slot1Active,,xxIndexTeam)=1,TRUE,FALSE)</f>
        <v>0</v>
      </c>
      <c r="K36" s="43" t="b">
        <f t="shared" si="2"/>
        <v>0</v>
      </c>
      <c r="L36" s="46">
        <f t="shared" si="5"/>
        <v>9</v>
      </c>
      <c r="M36" s="43" t="str">
        <f t="shared" si="3"/>
        <v/>
      </c>
    </row>
    <row r="37" spans="2:13">
      <c r="B37" s="38">
        <v>15</v>
      </c>
      <c r="C37" s="136">
        <v>15</v>
      </c>
      <c r="D37" s="136" t="str">
        <f>nmProd4&amp;" Slot 1"</f>
        <v>Brew Master Slot 1</v>
      </c>
      <c r="E37" s="137">
        <v>0</v>
      </c>
      <c r="F37" s="43" t="str">
        <f t="shared" si="4"/>
        <v>Brew Master Slot 1</v>
      </c>
      <c r="G37" s="43" t="b">
        <f t="shared" si="0"/>
        <v>1</v>
      </c>
      <c r="H37" s="43" t="b">
        <f t="shared" si="1"/>
        <v>1</v>
      </c>
      <c r="I37" s="44" t="b">
        <v>0</v>
      </c>
      <c r="J37" s="45" t="b">
        <f>IF(INDEX(calcCh1Prod4Slot1Active,,xxIndexTeam)=1,TRUE,FALSE)</f>
        <v>0</v>
      </c>
      <c r="K37" s="43" t="b">
        <f t="shared" si="2"/>
        <v>0</v>
      </c>
      <c r="L37" s="46">
        <f t="shared" si="5"/>
        <v>9</v>
      </c>
      <c r="M37" s="43" t="str">
        <f t="shared" si="3"/>
        <v/>
      </c>
    </row>
    <row r="38" spans="2:13">
      <c r="B38" s="38">
        <v>16</v>
      </c>
      <c r="C38" s="138">
        <v>16</v>
      </c>
      <c r="D38" s="138" t="str">
        <f>nmProd4&amp;" Slot 2"</f>
        <v>Brew Master Slot 2</v>
      </c>
      <c r="E38" s="139">
        <v>0</v>
      </c>
      <c r="F38" s="43" t="str">
        <f t="shared" si="4"/>
        <v>Brew Master Slot 2</v>
      </c>
      <c r="G38" s="43" t="b">
        <f t="shared" si="0"/>
        <v>1</v>
      </c>
      <c r="H38" s="43" t="b">
        <f t="shared" si="1"/>
        <v>1</v>
      </c>
      <c r="I38" s="44" t="b">
        <v>0</v>
      </c>
      <c r="J38" s="45" t="b">
        <f>IF(INDEX(calcCh1Prod4Slot2Active,,xxIndexTeam)=1,TRUE,FALSE)</f>
        <v>0</v>
      </c>
      <c r="K38" s="43" t="b">
        <f t="shared" si="2"/>
        <v>0</v>
      </c>
      <c r="L38" s="46">
        <f t="shared" si="5"/>
        <v>9</v>
      </c>
      <c r="M38" s="43" t="str">
        <f t="shared" si="3"/>
        <v/>
      </c>
    </row>
    <row r="39" spans="2:13">
      <c r="B39" s="38">
        <v>17</v>
      </c>
      <c r="C39" s="136">
        <v>17</v>
      </c>
      <c r="D39" s="136" t="str">
        <f>nmProd4&amp;" Slot 3"</f>
        <v>Brew Master Slot 3</v>
      </c>
      <c r="E39" s="137">
        <v>0</v>
      </c>
      <c r="F39" s="43" t="str">
        <f t="shared" si="4"/>
        <v>Brew Master Slot 3</v>
      </c>
      <c r="G39" s="43" t="b">
        <f t="shared" si="0"/>
        <v>1</v>
      </c>
      <c r="H39" s="43" t="b">
        <f t="shared" si="1"/>
        <v>1</v>
      </c>
      <c r="I39" s="44" t="b">
        <v>0</v>
      </c>
      <c r="J39" s="45" t="b">
        <f>IF(INDEX(calcCh1Prod4Slot3Active,,xxIndexTeam)=1,TRUE,FALSE)</f>
        <v>0</v>
      </c>
      <c r="K39" s="43" t="b">
        <f t="shared" si="2"/>
        <v>0</v>
      </c>
      <c r="L39" s="46">
        <f t="shared" si="5"/>
        <v>9</v>
      </c>
      <c r="M39" s="43" t="str">
        <f t="shared" si="3"/>
        <v/>
      </c>
    </row>
    <row r="40" spans="2:13">
      <c r="B40" s="38">
        <v>18</v>
      </c>
      <c r="C40" s="138">
        <v>18</v>
      </c>
      <c r="D40" s="138"/>
      <c r="E40" s="139">
        <v>0</v>
      </c>
      <c r="F40" s="43" t="str">
        <f t="shared" si="4"/>
        <v/>
      </c>
      <c r="G40" s="43" t="b">
        <f t="shared" si="0"/>
        <v>1</v>
      </c>
      <c r="H40" s="43" t="b">
        <f t="shared" si="1"/>
        <v>0</v>
      </c>
      <c r="I40" s="44" t="b">
        <v>0</v>
      </c>
      <c r="J40" s="45" t="b">
        <v>1</v>
      </c>
      <c r="K40" s="43" t="b">
        <f t="shared" si="2"/>
        <v>0</v>
      </c>
      <c r="L40" s="46">
        <f t="shared" si="5"/>
        <v>9</v>
      </c>
      <c r="M40" s="43" t="str">
        <f t="shared" si="3"/>
        <v/>
      </c>
    </row>
    <row r="41" spans="2:13">
      <c r="B41" s="38">
        <v>19</v>
      </c>
      <c r="C41" s="136">
        <v>19</v>
      </c>
      <c r="D41" s="136"/>
      <c r="E41" s="137">
        <v>0</v>
      </c>
      <c r="F41" s="43" t="str">
        <f t="shared" si="4"/>
        <v/>
      </c>
      <c r="G41" s="43" t="b">
        <f t="shared" si="0"/>
        <v>1</v>
      </c>
      <c r="H41" s="43" t="b">
        <f t="shared" si="1"/>
        <v>0</v>
      </c>
      <c r="I41" s="44" t="b">
        <v>0</v>
      </c>
      <c r="J41" s="45" t="b">
        <v>1</v>
      </c>
      <c r="K41" s="43" t="b">
        <f t="shared" si="2"/>
        <v>0</v>
      </c>
      <c r="L41" s="46">
        <f t="shared" si="5"/>
        <v>9</v>
      </c>
      <c r="M41" s="43" t="str">
        <f t="shared" si="3"/>
        <v/>
      </c>
    </row>
    <row r="42" spans="2:13">
      <c r="B42" s="38">
        <v>20</v>
      </c>
      <c r="C42" s="138">
        <v>20</v>
      </c>
      <c r="D42" s="138"/>
      <c r="E42" s="139">
        <v>0</v>
      </c>
      <c r="F42" s="43" t="str">
        <f t="shared" si="4"/>
        <v/>
      </c>
      <c r="G42" s="43" t="b">
        <f t="shared" si="0"/>
        <v>1</v>
      </c>
      <c r="H42" s="43" t="b">
        <f t="shared" si="1"/>
        <v>0</v>
      </c>
      <c r="I42" s="44" t="b">
        <v>0</v>
      </c>
      <c r="J42" s="45" t="b">
        <v>1</v>
      </c>
      <c r="K42" s="43" t="b">
        <f t="shared" si="2"/>
        <v>0</v>
      </c>
      <c r="L42" s="46">
        <f t="shared" si="5"/>
        <v>9</v>
      </c>
      <c r="M42" s="43" t="str">
        <f t="shared" si="3"/>
        <v/>
      </c>
    </row>
    <row r="43" spans="2:13">
      <c r="B43" s="38">
        <v>21</v>
      </c>
      <c r="C43" s="136">
        <v>21</v>
      </c>
      <c r="D43" s="136"/>
      <c r="E43" s="137">
        <v>0</v>
      </c>
      <c r="F43" s="43" t="str">
        <f t="shared" si="4"/>
        <v/>
      </c>
      <c r="G43" s="43" t="b">
        <f t="shared" si="0"/>
        <v>1</v>
      </c>
      <c r="H43" s="43" t="b">
        <f t="shared" si="1"/>
        <v>0</v>
      </c>
      <c r="I43" s="44" t="b">
        <v>0</v>
      </c>
      <c r="J43" s="45" t="b">
        <v>1</v>
      </c>
      <c r="K43" s="43" t="b">
        <f t="shared" si="2"/>
        <v>0</v>
      </c>
      <c r="L43" s="46">
        <f t="shared" si="5"/>
        <v>9</v>
      </c>
      <c r="M43" s="43" t="str">
        <f t="shared" si="3"/>
        <v/>
      </c>
    </row>
    <row r="44" spans="2:13">
      <c r="B44" s="38">
        <v>22</v>
      </c>
      <c r="C44" s="138">
        <v>22</v>
      </c>
      <c r="D44" s="138"/>
      <c r="E44" s="139">
        <v>0</v>
      </c>
      <c r="F44" s="43" t="str">
        <f t="shared" si="4"/>
        <v/>
      </c>
      <c r="G44" s="43" t="b">
        <f t="shared" si="0"/>
        <v>1</v>
      </c>
      <c r="H44" s="43" t="b">
        <f t="shared" si="1"/>
        <v>0</v>
      </c>
      <c r="I44" s="44" t="b">
        <v>0</v>
      </c>
      <c r="J44" s="45" t="b">
        <v>1</v>
      </c>
      <c r="K44" s="43" t="b">
        <f t="shared" si="2"/>
        <v>0</v>
      </c>
      <c r="L44" s="46">
        <f t="shared" si="5"/>
        <v>9</v>
      </c>
      <c r="M44" s="43" t="str">
        <f t="shared" si="3"/>
        <v/>
      </c>
    </row>
    <row r="45" spans="2:13">
      <c r="B45" s="38">
        <v>23</v>
      </c>
      <c r="C45" s="136">
        <v>23</v>
      </c>
      <c r="D45" s="136"/>
      <c r="E45" s="137">
        <v>0</v>
      </c>
      <c r="F45" s="43" t="str">
        <f t="shared" si="4"/>
        <v/>
      </c>
      <c r="G45" s="43" t="b">
        <f t="shared" si="0"/>
        <v>1</v>
      </c>
      <c r="H45" s="43" t="b">
        <f t="shared" si="1"/>
        <v>0</v>
      </c>
      <c r="I45" s="44" t="b">
        <v>0</v>
      </c>
      <c r="J45" s="45" t="b">
        <v>1</v>
      </c>
      <c r="K45" s="43" t="b">
        <f t="shared" si="2"/>
        <v>0</v>
      </c>
      <c r="L45" s="46">
        <f t="shared" si="5"/>
        <v>9</v>
      </c>
      <c r="M45" s="43" t="str">
        <f t="shared" si="3"/>
        <v/>
      </c>
    </row>
    <row r="46" spans="2:13">
      <c r="B46" s="38">
        <v>24</v>
      </c>
      <c r="C46" s="138">
        <v>24</v>
      </c>
      <c r="D46" s="138"/>
      <c r="E46" s="139">
        <v>0</v>
      </c>
      <c r="F46" s="43" t="str">
        <f t="shared" si="4"/>
        <v/>
      </c>
      <c r="G46" s="43" t="b">
        <f t="shared" si="0"/>
        <v>1</v>
      </c>
      <c r="H46" s="43" t="b">
        <f t="shared" si="1"/>
        <v>0</v>
      </c>
      <c r="I46" s="44" t="b">
        <v>0</v>
      </c>
      <c r="J46" s="45" t="b">
        <v>1</v>
      </c>
      <c r="K46" s="43" t="b">
        <f t="shared" si="2"/>
        <v>0</v>
      </c>
      <c r="L46" s="46">
        <f t="shared" si="5"/>
        <v>9</v>
      </c>
      <c r="M46" s="43" t="str">
        <f t="shared" si="3"/>
        <v/>
      </c>
    </row>
    <row r="47" spans="2:13">
      <c r="B47" s="38">
        <v>25</v>
      </c>
      <c r="C47" s="136">
        <v>25</v>
      </c>
      <c r="D47" s="136"/>
      <c r="E47" s="137">
        <v>0</v>
      </c>
      <c r="F47" s="43" t="str">
        <f t="shared" si="4"/>
        <v/>
      </c>
      <c r="G47" s="43" t="b">
        <f t="shared" si="0"/>
        <v>1</v>
      </c>
      <c r="H47" s="43" t="b">
        <f t="shared" si="1"/>
        <v>0</v>
      </c>
      <c r="I47" s="44" t="b">
        <v>0</v>
      </c>
      <c r="J47" s="45" t="b">
        <v>1</v>
      </c>
      <c r="K47" s="43" t="b">
        <f t="shared" si="2"/>
        <v>0</v>
      </c>
      <c r="L47" s="46">
        <f t="shared" si="5"/>
        <v>9</v>
      </c>
      <c r="M47" s="43" t="str">
        <f t="shared" si="3"/>
        <v/>
      </c>
    </row>
    <row r="48" spans="2:13">
      <c r="B48" s="38">
        <v>26</v>
      </c>
      <c r="C48" s="138">
        <v>26</v>
      </c>
      <c r="D48" s="138"/>
      <c r="E48" s="139">
        <v>0</v>
      </c>
      <c r="F48" s="43" t="str">
        <f t="shared" si="4"/>
        <v/>
      </c>
      <c r="G48" s="43" t="b">
        <f t="shared" si="0"/>
        <v>1</v>
      </c>
      <c r="H48" s="43" t="b">
        <f t="shared" si="1"/>
        <v>0</v>
      </c>
      <c r="I48" s="44" t="b">
        <v>0</v>
      </c>
      <c r="J48" s="45" t="b">
        <v>1</v>
      </c>
      <c r="K48" s="43" t="b">
        <f t="shared" si="2"/>
        <v>0</v>
      </c>
      <c r="L48" s="46">
        <f t="shared" si="5"/>
        <v>9</v>
      </c>
      <c r="M48" s="43" t="str">
        <f t="shared" si="3"/>
        <v/>
      </c>
    </row>
    <row r="49" spans="2:13">
      <c r="B49" s="38">
        <v>27</v>
      </c>
      <c r="C49" s="136">
        <v>27</v>
      </c>
      <c r="D49" s="136"/>
      <c r="E49" s="137">
        <v>0</v>
      </c>
      <c r="F49" s="43" t="str">
        <f t="shared" si="4"/>
        <v/>
      </c>
      <c r="G49" s="43" t="b">
        <f t="shared" si="0"/>
        <v>1</v>
      </c>
      <c r="H49" s="43" t="b">
        <f t="shared" si="1"/>
        <v>0</v>
      </c>
      <c r="I49" s="44" t="b">
        <v>0</v>
      </c>
      <c r="J49" s="45" t="b">
        <v>1</v>
      </c>
      <c r="K49" s="43" t="b">
        <f t="shared" si="2"/>
        <v>0</v>
      </c>
      <c r="L49" s="46">
        <f t="shared" si="5"/>
        <v>9</v>
      </c>
      <c r="M49" s="43" t="str">
        <f t="shared" si="3"/>
        <v/>
      </c>
    </row>
    <row r="50" spans="2:13">
      <c r="B50" s="38">
        <v>28</v>
      </c>
      <c r="C50" s="138">
        <v>28</v>
      </c>
      <c r="D50" s="138"/>
      <c r="E50" s="139">
        <v>0</v>
      </c>
      <c r="F50" s="43" t="str">
        <f t="shared" si="4"/>
        <v/>
      </c>
      <c r="G50" s="43" t="b">
        <f t="shared" si="0"/>
        <v>1</v>
      </c>
      <c r="H50" s="43" t="b">
        <f t="shared" si="1"/>
        <v>0</v>
      </c>
      <c r="I50" s="44" t="b">
        <v>0</v>
      </c>
      <c r="J50" s="45" t="b">
        <v>1</v>
      </c>
      <c r="K50" s="43" t="b">
        <f t="shared" si="2"/>
        <v>0</v>
      </c>
      <c r="L50" s="46">
        <f t="shared" si="5"/>
        <v>9</v>
      </c>
      <c r="M50" s="43" t="str">
        <f t="shared" si="3"/>
        <v/>
      </c>
    </row>
    <row r="51" spans="2:13">
      <c r="B51" s="38">
        <v>29</v>
      </c>
      <c r="C51" s="136">
        <v>29</v>
      </c>
      <c r="D51" s="136"/>
      <c r="E51" s="137">
        <v>0</v>
      </c>
      <c r="F51" s="43" t="str">
        <f t="shared" si="4"/>
        <v/>
      </c>
      <c r="G51" s="43" t="b">
        <f t="shared" si="0"/>
        <v>1</v>
      </c>
      <c r="H51" s="43" t="b">
        <f t="shared" si="1"/>
        <v>0</v>
      </c>
      <c r="I51" s="44" t="b">
        <v>0</v>
      </c>
      <c r="J51" s="45" t="b">
        <v>1</v>
      </c>
      <c r="K51" s="43" t="b">
        <f t="shared" si="2"/>
        <v>0</v>
      </c>
      <c r="L51" s="46">
        <f t="shared" si="5"/>
        <v>9</v>
      </c>
      <c r="M51" s="43" t="str">
        <f t="shared" si="3"/>
        <v/>
      </c>
    </row>
    <row r="52" spans="2:13">
      <c r="B52" s="38">
        <v>30</v>
      </c>
      <c r="C52" s="138">
        <v>30</v>
      </c>
      <c r="D52" s="138"/>
      <c r="E52" s="139">
        <v>0</v>
      </c>
      <c r="F52" s="43" t="str">
        <f t="shared" si="4"/>
        <v/>
      </c>
      <c r="G52" s="43" t="b">
        <f t="shared" si="0"/>
        <v>1</v>
      </c>
      <c r="H52" s="43" t="b">
        <f t="shared" si="1"/>
        <v>0</v>
      </c>
      <c r="I52" s="44" t="b">
        <v>0</v>
      </c>
      <c r="J52" s="45" t="b">
        <v>1</v>
      </c>
      <c r="K52" s="43" t="b">
        <f t="shared" si="2"/>
        <v>0</v>
      </c>
      <c r="L52" s="46">
        <f t="shared" si="5"/>
        <v>9</v>
      </c>
      <c r="M52" s="43" t="str">
        <f t="shared" si="3"/>
        <v/>
      </c>
    </row>
    <row r="53" spans="2:13">
      <c r="B53" s="38">
        <v>31</v>
      </c>
      <c r="C53" s="136">
        <v>31</v>
      </c>
      <c r="D53" s="136"/>
      <c r="E53" s="137">
        <v>0</v>
      </c>
      <c r="F53" s="43" t="str">
        <f t="shared" si="4"/>
        <v/>
      </c>
      <c r="G53" s="43" t="b">
        <f t="shared" si="0"/>
        <v>1</v>
      </c>
      <c r="H53" s="43" t="b">
        <f t="shared" si="1"/>
        <v>0</v>
      </c>
      <c r="I53" s="44" t="b">
        <v>0</v>
      </c>
      <c r="J53" s="45" t="b">
        <v>1</v>
      </c>
      <c r="K53" s="43" t="b">
        <f t="shared" si="2"/>
        <v>0</v>
      </c>
      <c r="L53" s="46">
        <f t="shared" si="5"/>
        <v>9</v>
      </c>
      <c r="M53" s="43" t="str">
        <f t="shared" si="3"/>
        <v/>
      </c>
    </row>
    <row r="54" spans="2:13">
      <c r="B54" s="38">
        <v>32</v>
      </c>
      <c r="C54" s="138">
        <v>32</v>
      </c>
      <c r="D54" s="138"/>
      <c r="E54" s="139">
        <v>0</v>
      </c>
      <c r="F54" s="43" t="str">
        <f t="shared" si="4"/>
        <v/>
      </c>
      <c r="G54" s="43" t="b">
        <f t="shared" si="0"/>
        <v>1</v>
      </c>
      <c r="H54" s="43" t="b">
        <f t="shared" si="1"/>
        <v>0</v>
      </c>
      <c r="I54" s="44" t="b">
        <v>0</v>
      </c>
      <c r="J54" s="45" t="b">
        <v>1</v>
      </c>
      <c r="K54" s="43" t="b">
        <f t="shared" si="2"/>
        <v>0</v>
      </c>
      <c r="L54" s="46">
        <f t="shared" si="5"/>
        <v>9</v>
      </c>
      <c r="M54" s="43" t="str">
        <f t="shared" si="3"/>
        <v/>
      </c>
    </row>
    <row r="55" spans="2:13">
      <c r="B55" s="38">
        <v>33</v>
      </c>
      <c r="C55" s="136">
        <v>33</v>
      </c>
      <c r="D55" s="136"/>
      <c r="E55" s="137">
        <v>0</v>
      </c>
      <c r="F55" s="43" t="str">
        <f t="shared" si="4"/>
        <v/>
      </c>
      <c r="G55" s="43" t="b">
        <f t="shared" si="0"/>
        <v>1</v>
      </c>
      <c r="H55" s="43" t="b">
        <f t="shared" si="1"/>
        <v>0</v>
      </c>
      <c r="I55" s="44" t="b">
        <v>0</v>
      </c>
      <c r="J55" s="45" t="b">
        <v>1</v>
      </c>
      <c r="K55" s="43" t="b">
        <f t="shared" si="2"/>
        <v>0</v>
      </c>
      <c r="L55" s="46">
        <f t="shared" si="5"/>
        <v>9</v>
      </c>
      <c r="M55" s="43" t="str">
        <f t="shared" si="3"/>
        <v/>
      </c>
    </row>
    <row r="56" spans="2:13">
      <c r="B56" s="38">
        <v>34</v>
      </c>
      <c r="C56" s="138">
        <v>34</v>
      </c>
      <c r="D56" s="138"/>
      <c r="E56" s="139">
        <v>0</v>
      </c>
      <c r="F56" s="43" t="str">
        <f t="shared" si="4"/>
        <v/>
      </c>
      <c r="G56" s="43" t="b">
        <f t="shared" si="0"/>
        <v>1</v>
      </c>
      <c r="H56" s="43" t="b">
        <f t="shared" si="1"/>
        <v>0</v>
      </c>
      <c r="I56" s="44" t="b">
        <v>0</v>
      </c>
      <c r="J56" s="45" t="b">
        <v>1</v>
      </c>
      <c r="K56" s="43" t="b">
        <f t="shared" si="2"/>
        <v>0</v>
      </c>
      <c r="L56" s="46">
        <f t="shared" si="5"/>
        <v>9</v>
      </c>
      <c r="M56" s="43" t="str">
        <f t="shared" si="3"/>
        <v/>
      </c>
    </row>
    <row r="57" spans="2:13">
      <c r="B57" s="38">
        <v>35</v>
      </c>
      <c r="C57" s="136">
        <v>35</v>
      </c>
      <c r="D57" s="136"/>
      <c r="E57" s="137">
        <v>0</v>
      </c>
      <c r="F57" s="43" t="str">
        <f t="shared" si="4"/>
        <v/>
      </c>
      <c r="G57" s="43" t="b">
        <f t="shared" si="0"/>
        <v>1</v>
      </c>
      <c r="H57" s="43" t="b">
        <f t="shared" si="1"/>
        <v>0</v>
      </c>
      <c r="I57" s="44" t="b">
        <v>0</v>
      </c>
      <c r="J57" s="45" t="b">
        <v>1</v>
      </c>
      <c r="K57" s="43" t="b">
        <f t="shared" si="2"/>
        <v>0</v>
      </c>
      <c r="L57" s="46">
        <f t="shared" si="5"/>
        <v>9</v>
      </c>
      <c r="M57" s="43" t="str">
        <f t="shared" si="3"/>
        <v/>
      </c>
    </row>
    <row r="58" spans="2:13">
      <c r="B58" s="38">
        <v>36</v>
      </c>
      <c r="C58" s="138">
        <v>36</v>
      </c>
      <c r="D58" s="138"/>
      <c r="E58" s="139">
        <v>0</v>
      </c>
      <c r="F58" s="43" t="str">
        <f t="shared" si="4"/>
        <v/>
      </c>
      <c r="G58" s="43" t="b">
        <f t="shared" si="0"/>
        <v>1</v>
      </c>
      <c r="H58" s="43" t="b">
        <f t="shared" si="1"/>
        <v>0</v>
      </c>
      <c r="I58" s="44" t="b">
        <v>0</v>
      </c>
      <c r="J58" s="45" t="b">
        <v>1</v>
      </c>
      <c r="K58" s="43" t="b">
        <f t="shared" si="2"/>
        <v>0</v>
      </c>
      <c r="L58" s="46">
        <f t="shared" si="5"/>
        <v>9</v>
      </c>
      <c r="M58" s="43" t="str">
        <f t="shared" si="3"/>
        <v/>
      </c>
    </row>
    <row r="59" spans="2:13">
      <c r="B59" s="38">
        <v>37</v>
      </c>
      <c r="C59" s="136">
        <v>37</v>
      </c>
      <c r="D59" s="136"/>
      <c r="E59" s="137">
        <v>0</v>
      </c>
      <c r="F59" s="43" t="str">
        <f t="shared" si="4"/>
        <v/>
      </c>
      <c r="G59" s="43" t="b">
        <f t="shared" si="0"/>
        <v>1</v>
      </c>
      <c r="H59" s="43" t="b">
        <f t="shared" si="1"/>
        <v>0</v>
      </c>
      <c r="I59" s="44" t="b">
        <v>0</v>
      </c>
      <c r="J59" s="45" t="b">
        <v>1</v>
      </c>
      <c r="K59" s="43" t="b">
        <f t="shared" si="2"/>
        <v>0</v>
      </c>
      <c r="L59" s="46">
        <f t="shared" si="5"/>
        <v>9</v>
      </c>
      <c r="M59" s="43" t="str">
        <f t="shared" si="3"/>
        <v/>
      </c>
    </row>
    <row r="60" spans="2:13">
      <c r="B60" s="38">
        <v>38</v>
      </c>
      <c r="C60" s="138">
        <v>38</v>
      </c>
      <c r="D60" s="138"/>
      <c r="E60" s="139">
        <v>0</v>
      </c>
      <c r="F60" s="43" t="str">
        <f t="shared" si="4"/>
        <v/>
      </c>
      <c r="G60" s="43" t="b">
        <f t="shared" si="0"/>
        <v>1</v>
      </c>
      <c r="H60" s="43" t="b">
        <f t="shared" si="1"/>
        <v>0</v>
      </c>
      <c r="I60" s="44" t="b">
        <v>0</v>
      </c>
      <c r="J60" s="45" t="b">
        <v>1</v>
      </c>
      <c r="K60" s="43" t="b">
        <f t="shared" si="2"/>
        <v>0</v>
      </c>
      <c r="L60" s="46">
        <f t="shared" si="5"/>
        <v>9</v>
      </c>
      <c r="M60" s="43" t="str">
        <f t="shared" si="3"/>
        <v/>
      </c>
    </row>
    <row r="61" spans="2:13">
      <c r="B61" s="38">
        <v>39</v>
      </c>
      <c r="C61" s="136">
        <v>39</v>
      </c>
      <c r="D61" s="136"/>
      <c r="E61" s="137">
        <v>0</v>
      </c>
      <c r="F61" s="43" t="str">
        <f t="shared" si="4"/>
        <v/>
      </c>
      <c r="G61" s="43" t="b">
        <f t="shared" si="0"/>
        <v>1</v>
      </c>
      <c r="H61" s="43" t="b">
        <f t="shared" si="1"/>
        <v>0</v>
      </c>
      <c r="I61" s="44" t="b">
        <v>0</v>
      </c>
      <c r="J61" s="45" t="b">
        <v>1</v>
      </c>
      <c r="K61" s="43" t="b">
        <f t="shared" si="2"/>
        <v>0</v>
      </c>
      <c r="L61" s="46">
        <f t="shared" si="5"/>
        <v>9</v>
      </c>
      <c r="M61" s="43" t="str">
        <f t="shared" si="3"/>
        <v/>
      </c>
    </row>
    <row r="62" spans="2:13">
      <c r="B62" s="38">
        <v>40</v>
      </c>
      <c r="C62" s="138">
        <v>40</v>
      </c>
      <c r="D62" s="138"/>
      <c r="E62" s="139">
        <v>0</v>
      </c>
      <c r="F62" s="43" t="str">
        <f t="shared" si="4"/>
        <v/>
      </c>
      <c r="G62" s="43" t="b">
        <f t="shared" si="0"/>
        <v>1</v>
      </c>
      <c r="H62" s="43" t="b">
        <f t="shared" si="1"/>
        <v>0</v>
      </c>
      <c r="I62" s="44" t="b">
        <v>0</v>
      </c>
      <c r="J62" s="45" t="b">
        <v>1</v>
      </c>
      <c r="K62" s="43" t="b">
        <f t="shared" si="2"/>
        <v>0</v>
      </c>
      <c r="L62" s="46">
        <f t="shared" si="5"/>
        <v>9</v>
      </c>
      <c r="M62" s="43" t="str">
        <f t="shared" si="3"/>
        <v/>
      </c>
    </row>
    <row r="63" spans="2:13">
      <c r="B63" s="38">
        <v>41</v>
      </c>
      <c r="C63" s="140">
        <v>41</v>
      </c>
      <c r="D63" s="140"/>
      <c r="E63" s="141">
        <v>0</v>
      </c>
      <c r="F63" s="47" t="str">
        <f t="shared" si="4"/>
        <v/>
      </c>
      <c r="G63" s="47" t="b">
        <f t="shared" si="0"/>
        <v>1</v>
      </c>
      <c r="H63" s="47" t="b">
        <f t="shared" si="1"/>
        <v>0</v>
      </c>
      <c r="I63" s="48" t="b">
        <v>0</v>
      </c>
      <c r="J63" s="49" t="b">
        <v>1</v>
      </c>
      <c r="K63" s="47" t="b">
        <f t="shared" si="2"/>
        <v>0</v>
      </c>
      <c r="L63" s="50">
        <f t="shared" si="5"/>
        <v>9</v>
      </c>
      <c r="M63" s="47" t="str">
        <f t="shared" si="3"/>
        <v/>
      </c>
    </row>
    <row r="64" spans="2:13">
      <c r="B64" s="20" t="s">
        <v>3737</v>
      </c>
      <c r="C64" s="20" t="s">
        <v>3738</v>
      </c>
      <c r="D64" s="20" t="s">
        <v>3739</v>
      </c>
      <c r="E64" s="32"/>
      <c r="F64" s="20" t="s">
        <v>3740</v>
      </c>
      <c r="L64" s="20" t="s">
        <v>3741</v>
      </c>
      <c r="M64" s="32" t="s">
        <v>8474</v>
      </c>
    </row>
    <row r="65" spans="1:5">
      <c r="E65" s="32"/>
    </row>
    <row r="66" spans="1:5" s="54" customFormat="1">
      <c r="A66" s="53" t="s">
        <v>32</v>
      </c>
      <c r="E66" s="55"/>
    </row>
    <row r="68" spans="1:5">
      <c r="B68" s="33" t="s">
        <v>63</v>
      </c>
      <c r="C68" s="34" t="str">
        <f ca="1">MID(CELL("filename",C68),FIND("]",CELL("filename",C68))+1,255)&amp;"!"</f>
        <v>VTdd!</v>
      </c>
    </row>
    <row r="69" spans="1:5">
      <c r="B69" s="33"/>
      <c r="C69" s="20" t="s">
        <v>3742</v>
      </c>
    </row>
    <row r="70" spans="1:5">
      <c r="B70" s="33"/>
    </row>
    <row r="71" spans="1:5">
      <c r="B71" s="33" t="s">
        <v>3743</v>
      </c>
      <c r="C71" s="34">
        <f>MAX(VTCh1_AvailableCount)</f>
        <v>9</v>
      </c>
    </row>
    <row r="72" spans="1:5">
      <c r="C72" s="20" t="s">
        <v>3744</v>
      </c>
    </row>
    <row r="74" spans="1:5" s="54" customFormat="1">
      <c r="A74" s="53" t="str">
        <f>nmCh2</f>
        <v>Discounters</v>
      </c>
      <c r="E74" s="55"/>
    </row>
    <row r="75" spans="1:5" s="54" customFormat="1">
      <c r="A75" s="53" t="s">
        <v>28</v>
      </c>
      <c r="E75" s="55"/>
    </row>
    <row r="76" spans="1:5">
      <c r="C76" s="34" t="str">
        <f ca="1">VTCh2_WorksheetName &amp; ADDRESS(ROW(M94),COLUMN(M94))&amp;":"&amp;ADDRESS(ROW(M94)+VTCh2_TotalAvailable-1,COLUMN(M94))</f>
        <v>VTdd!$M$94:$M$100</v>
      </c>
      <c r="E76" s="33"/>
    </row>
    <row r="77" spans="1:5">
      <c r="C77" s="20" t="s">
        <v>4355</v>
      </c>
      <c r="E77" s="33"/>
    </row>
    <row r="78" spans="1:5">
      <c r="E78" s="33"/>
    </row>
    <row r="79" spans="1:5">
      <c r="C79" s="35" t="s">
        <v>4356</v>
      </c>
      <c r="E79" s="33"/>
    </row>
    <row r="80" spans="1:5">
      <c r="C80" s="32" t="s">
        <v>4357</v>
      </c>
      <c r="E80" s="33"/>
    </row>
    <row r="81" spans="1:13" ht="15.75" thickBot="1">
      <c r="E81" s="33"/>
    </row>
    <row r="82" spans="1:13" ht="15.75" thickBot="1">
      <c r="B82" s="32" t="s">
        <v>42</v>
      </c>
      <c r="C82" s="36"/>
      <c r="E82" s="33"/>
    </row>
    <row r="83" spans="1:13">
      <c r="E83" s="33"/>
    </row>
    <row r="84" spans="1:13">
      <c r="E84" s="33"/>
    </row>
    <row r="85" spans="1:13" s="54" customFormat="1">
      <c r="A85" s="53" t="s">
        <v>29</v>
      </c>
      <c r="E85" s="55"/>
    </row>
    <row r="86" spans="1:13">
      <c r="E86" s="33"/>
    </row>
    <row r="87" spans="1:13">
      <c r="B87" s="33" t="s">
        <v>30</v>
      </c>
      <c r="C87" s="37">
        <f>xxRound</f>
        <v>1</v>
      </c>
      <c r="D87" s="35" t="s">
        <v>3745</v>
      </c>
      <c r="E87" s="33"/>
    </row>
    <row r="88" spans="1:13">
      <c r="B88" s="33"/>
      <c r="C88" s="20" t="s">
        <v>4358</v>
      </c>
      <c r="E88" s="33"/>
    </row>
    <row r="89" spans="1:13">
      <c r="B89" s="33"/>
      <c r="E89" s="33"/>
    </row>
    <row r="90" spans="1:13">
      <c r="B90" s="33" t="s">
        <v>44</v>
      </c>
      <c r="C90" s="133"/>
      <c r="D90" s="35" t="s">
        <v>46</v>
      </c>
    </row>
    <row r="91" spans="1:13">
      <c r="B91" s="33"/>
      <c r="C91" s="20" t="s">
        <v>4359</v>
      </c>
    </row>
    <row r="92" spans="1:13">
      <c r="B92" s="33"/>
    </row>
    <row r="93" spans="1:13" ht="30">
      <c r="B93" s="38" t="s">
        <v>48</v>
      </c>
      <c r="C93" s="32" t="s">
        <v>49</v>
      </c>
      <c r="D93" s="32" t="s">
        <v>50</v>
      </c>
      <c r="E93" s="39" t="s">
        <v>52</v>
      </c>
      <c r="F93" s="32" t="s">
        <v>51</v>
      </c>
      <c r="G93" s="39" t="s">
        <v>53</v>
      </c>
      <c r="H93" s="39" t="s">
        <v>54</v>
      </c>
      <c r="I93" s="39" t="s">
        <v>55</v>
      </c>
      <c r="J93" s="39" t="s">
        <v>56</v>
      </c>
      <c r="K93" s="39" t="s">
        <v>57</v>
      </c>
      <c r="L93" s="39" t="s">
        <v>58</v>
      </c>
      <c r="M93" s="39" t="s">
        <v>59</v>
      </c>
    </row>
    <row r="94" spans="1:13">
      <c r="B94" s="38">
        <v>1</v>
      </c>
      <c r="C94" s="134">
        <v>1</v>
      </c>
      <c r="D94" s="134" t="str">
        <f>nmCh2</f>
        <v>Discounters</v>
      </c>
      <c r="E94" s="135">
        <v>0</v>
      </c>
      <c r="F94" s="40" t="str">
        <f>D94</f>
        <v>Discounters</v>
      </c>
      <c r="G94" s="41" t="b">
        <f t="shared" ref="G94:G134" si="6">E94&lt;=VTCh2_currentRound</f>
        <v>1</v>
      </c>
      <c r="H94" s="41" t="b">
        <f t="shared" ref="H94:H134" si="7">NOT(D94="")</f>
        <v>1</v>
      </c>
      <c r="I94" s="135" t="b">
        <v>0</v>
      </c>
      <c r="J94" s="134" t="b">
        <v>1</v>
      </c>
      <c r="K94" s="41" t="b">
        <f t="shared" ref="K94:K134" si="8">AND(G94,H94,J94,NOT(I94))</f>
        <v>1</v>
      </c>
      <c r="L94" s="42">
        <f>IF(K94,1,0)</f>
        <v>1</v>
      </c>
      <c r="M94" s="41" t="str">
        <f t="shared" ref="M94:M134" si="9">IFERROR(INDEX(VTCh2_DisplayedName,MATCH(B94,VTCh2_AvailableCount,0)),"")</f>
        <v>Discounters</v>
      </c>
    </row>
    <row r="95" spans="1:13">
      <c r="B95" s="38">
        <v>2</v>
      </c>
      <c r="C95" s="138">
        <v>2</v>
      </c>
      <c r="D95" s="138" t="str">
        <f>nmProd2</f>
        <v>Harken</v>
      </c>
      <c r="E95" s="139">
        <v>0</v>
      </c>
      <c r="F95" s="43" t="str">
        <f t="shared" ref="F95:F134" si="10">VTCh2_selectedSeparator &amp; "" &amp; D95</f>
        <v>Harken</v>
      </c>
      <c r="G95" s="43" t="b">
        <f t="shared" si="6"/>
        <v>1</v>
      </c>
      <c r="H95" s="43" t="b">
        <f t="shared" si="7"/>
        <v>1</v>
      </c>
      <c r="I95" s="44" t="b">
        <v>0</v>
      </c>
      <c r="J95" s="45" t="b">
        <f>IF(INDEX(calcCh2Prod2Slot1Active,,xxIndexTeam)=1,TRUE,FALSE)</f>
        <v>1</v>
      </c>
      <c r="K95" s="43" t="b">
        <f t="shared" si="8"/>
        <v>1</v>
      </c>
      <c r="L95" s="46">
        <f>IF(K95,1,0)+L94</f>
        <v>2</v>
      </c>
      <c r="M95" s="43" t="str">
        <f t="shared" si="9"/>
        <v>Harken</v>
      </c>
    </row>
    <row r="96" spans="1:13">
      <c r="B96" s="38">
        <v>3</v>
      </c>
      <c r="C96" s="136">
        <v>3</v>
      </c>
      <c r="D96" s="136" t="str">
        <f>nmProd2&amp;" Slot 1"</f>
        <v>Harken Slot 1</v>
      </c>
      <c r="E96" s="137">
        <v>0</v>
      </c>
      <c r="F96" s="43" t="str">
        <f t="shared" si="10"/>
        <v>Harken Slot 1</v>
      </c>
      <c r="G96" s="43" t="b">
        <f t="shared" si="6"/>
        <v>1</v>
      </c>
      <c r="H96" s="43" t="b">
        <f t="shared" si="7"/>
        <v>1</v>
      </c>
      <c r="I96" s="44" t="b">
        <v>0</v>
      </c>
      <c r="J96" s="45" t="b">
        <f>IF(INDEX(calcCh2Prod2Slot1Active,,xxIndexTeam)=1,TRUE,FALSE)</f>
        <v>1</v>
      </c>
      <c r="K96" s="43" t="b">
        <f t="shared" si="8"/>
        <v>1</v>
      </c>
      <c r="L96" s="46">
        <f t="shared" ref="L96:L134" si="11">IF(K96,1,0)+L95</f>
        <v>3</v>
      </c>
      <c r="M96" s="43" t="str">
        <f t="shared" si="9"/>
        <v>Harken Slot 1</v>
      </c>
    </row>
    <row r="97" spans="2:13">
      <c r="B97" s="38">
        <v>4</v>
      </c>
      <c r="C97" s="138">
        <v>4</v>
      </c>
      <c r="D97" s="138" t="str">
        <f>nmProd2&amp;" Slot 2"</f>
        <v>Harken Slot 2</v>
      </c>
      <c r="E97" s="139">
        <v>0</v>
      </c>
      <c r="F97" s="43" t="str">
        <f t="shared" si="10"/>
        <v>Harken Slot 2</v>
      </c>
      <c r="G97" s="43" t="b">
        <f t="shared" si="6"/>
        <v>1</v>
      </c>
      <c r="H97" s="43" t="b">
        <f t="shared" si="7"/>
        <v>1</v>
      </c>
      <c r="I97" s="44" t="b">
        <v>0</v>
      </c>
      <c r="J97" s="45" t="b">
        <f>IF(INDEX(calcCh2Prod2Slot2Active,,xxIndexTeam)=1,TRUE,FALSE)</f>
        <v>0</v>
      </c>
      <c r="K97" s="43" t="b">
        <f t="shared" si="8"/>
        <v>0</v>
      </c>
      <c r="L97" s="46">
        <f t="shared" si="11"/>
        <v>3</v>
      </c>
      <c r="M97" s="43" t="str">
        <f t="shared" si="9"/>
        <v>Kara</v>
      </c>
    </row>
    <row r="98" spans="2:13">
      <c r="B98" s="38">
        <v>5</v>
      </c>
      <c r="C98" s="136">
        <v>5</v>
      </c>
      <c r="D98" s="136" t="str">
        <f>nmProd2&amp;" Slot 3"</f>
        <v>Harken Slot 3</v>
      </c>
      <c r="E98" s="137">
        <v>0</v>
      </c>
      <c r="F98" s="43" t="str">
        <f t="shared" si="10"/>
        <v>Harken Slot 3</v>
      </c>
      <c r="G98" s="43" t="b">
        <f t="shared" si="6"/>
        <v>1</v>
      </c>
      <c r="H98" s="43" t="b">
        <f t="shared" si="7"/>
        <v>1</v>
      </c>
      <c r="I98" s="44" t="b">
        <v>0</v>
      </c>
      <c r="J98" s="45" t="b">
        <f>IF(INDEX(calcCh2Prod2Slot3Active,,xxIndexTeam)=1,TRUE,FALSE)</f>
        <v>0</v>
      </c>
      <c r="K98" s="43" t="b">
        <f t="shared" si="8"/>
        <v>0</v>
      </c>
      <c r="L98" s="46">
        <f t="shared" si="11"/>
        <v>3</v>
      </c>
      <c r="M98" s="43" t="str">
        <f t="shared" si="9"/>
        <v>Kara Slot 1</v>
      </c>
    </row>
    <row r="99" spans="2:13">
      <c r="B99" s="38">
        <v>6</v>
      </c>
      <c r="C99" s="138">
        <v>6</v>
      </c>
      <c r="D99" s="138" t="str">
        <f>nmProd3</f>
        <v>Kara</v>
      </c>
      <c r="E99" s="139">
        <v>0</v>
      </c>
      <c r="F99" s="43" t="str">
        <f t="shared" si="10"/>
        <v>Kara</v>
      </c>
      <c r="G99" s="43" t="b">
        <f t="shared" si="6"/>
        <v>1</v>
      </c>
      <c r="H99" s="43" t="b">
        <f t="shared" si="7"/>
        <v>1</v>
      </c>
      <c r="I99" s="44" t="b">
        <v>0</v>
      </c>
      <c r="J99" s="45" t="b">
        <f>IF(INDEX(calcCh2Prod3Slot1Active,,xxIndexTeam)=1,TRUE,FALSE)</f>
        <v>1</v>
      </c>
      <c r="K99" s="43" t="b">
        <f t="shared" si="8"/>
        <v>1</v>
      </c>
      <c r="L99" s="46">
        <f t="shared" si="11"/>
        <v>4</v>
      </c>
      <c r="M99" s="43" t="str">
        <f t="shared" si="9"/>
        <v>Greenborg</v>
      </c>
    </row>
    <row r="100" spans="2:13">
      <c r="B100" s="38">
        <v>7</v>
      </c>
      <c r="C100" s="136">
        <v>7</v>
      </c>
      <c r="D100" s="136" t="str">
        <f>nmProd3&amp;" Slot 1"</f>
        <v>Kara Slot 1</v>
      </c>
      <c r="E100" s="137">
        <v>0</v>
      </c>
      <c r="F100" s="43" t="str">
        <f t="shared" si="10"/>
        <v>Kara Slot 1</v>
      </c>
      <c r="G100" s="43" t="b">
        <f t="shared" si="6"/>
        <v>1</v>
      </c>
      <c r="H100" s="43" t="b">
        <f t="shared" si="7"/>
        <v>1</v>
      </c>
      <c r="I100" s="44" t="b">
        <v>0</v>
      </c>
      <c r="J100" s="45" t="b">
        <f>IF(INDEX(calcCh2Prod3Slot1Active,,xxIndexTeam)=1,TRUE,FALSE)</f>
        <v>1</v>
      </c>
      <c r="K100" s="43" t="b">
        <f t="shared" si="8"/>
        <v>1</v>
      </c>
      <c r="L100" s="46">
        <f t="shared" si="11"/>
        <v>5</v>
      </c>
      <c r="M100" s="43" t="str">
        <f t="shared" si="9"/>
        <v>Greenborg Slot 1</v>
      </c>
    </row>
    <row r="101" spans="2:13">
      <c r="B101" s="38">
        <v>8</v>
      </c>
      <c r="C101" s="138">
        <v>8</v>
      </c>
      <c r="D101" s="138" t="str">
        <f>nmProd3&amp;" Slot 2"</f>
        <v>Kara Slot 2</v>
      </c>
      <c r="E101" s="139">
        <v>0</v>
      </c>
      <c r="F101" s="43" t="str">
        <f t="shared" si="10"/>
        <v>Kara Slot 2</v>
      </c>
      <c r="G101" s="43" t="b">
        <f t="shared" si="6"/>
        <v>1</v>
      </c>
      <c r="H101" s="43" t="b">
        <f t="shared" si="7"/>
        <v>1</v>
      </c>
      <c r="I101" s="44" t="b">
        <v>0</v>
      </c>
      <c r="J101" s="45" t="b">
        <f>IF(INDEX(calcCh2Prod3Slot2Active,,xxIndexTeam)=1,TRUE,FALSE)</f>
        <v>0</v>
      </c>
      <c r="K101" s="43" t="b">
        <f t="shared" si="8"/>
        <v>0</v>
      </c>
      <c r="L101" s="46">
        <f t="shared" si="11"/>
        <v>5</v>
      </c>
      <c r="M101" s="43" t="str">
        <f t="shared" si="9"/>
        <v/>
      </c>
    </row>
    <row r="102" spans="2:13">
      <c r="B102" s="38">
        <v>9</v>
      </c>
      <c r="C102" s="136">
        <v>9</v>
      </c>
      <c r="D102" s="136" t="str">
        <f>nmProd3&amp;" Slot 3"</f>
        <v>Kara Slot 3</v>
      </c>
      <c r="E102" s="137">
        <v>0</v>
      </c>
      <c r="F102" s="43" t="str">
        <f t="shared" si="10"/>
        <v>Kara Slot 3</v>
      </c>
      <c r="G102" s="43" t="b">
        <f t="shared" si="6"/>
        <v>1</v>
      </c>
      <c r="H102" s="43" t="b">
        <f t="shared" si="7"/>
        <v>1</v>
      </c>
      <c r="I102" s="44" t="b">
        <v>0</v>
      </c>
      <c r="J102" s="45" t="b">
        <f>IF(INDEX(calcCh2Prod3Slot3Active,,xxIndexTeam)=1,TRUE,FALSE)</f>
        <v>0</v>
      </c>
      <c r="K102" s="43" t="b">
        <f t="shared" si="8"/>
        <v>0</v>
      </c>
      <c r="L102" s="46">
        <f t="shared" si="11"/>
        <v>5</v>
      </c>
      <c r="M102" s="43" t="str">
        <f t="shared" si="9"/>
        <v/>
      </c>
    </row>
    <row r="103" spans="2:13">
      <c r="B103" s="38">
        <v>10</v>
      </c>
      <c r="C103" s="138">
        <v>10</v>
      </c>
      <c r="D103" s="138" t="str">
        <f>nmProd1</f>
        <v>Greenborg</v>
      </c>
      <c r="E103" s="139">
        <v>0</v>
      </c>
      <c r="F103" s="43" t="str">
        <f t="shared" si="10"/>
        <v>Greenborg</v>
      </c>
      <c r="G103" s="43" t="b">
        <f t="shared" si="6"/>
        <v>1</v>
      </c>
      <c r="H103" s="43" t="b">
        <f t="shared" si="7"/>
        <v>1</v>
      </c>
      <c r="I103" s="44" t="b">
        <v>0</v>
      </c>
      <c r="J103" s="45" t="b">
        <f>IF(INDEX(calcCh2Prod1Slot1Active,,xxIndexTeam)=1,TRUE,FALSE)</f>
        <v>1</v>
      </c>
      <c r="K103" s="43" t="b">
        <f t="shared" si="8"/>
        <v>1</v>
      </c>
      <c r="L103" s="46">
        <f t="shared" si="11"/>
        <v>6</v>
      </c>
      <c r="M103" s="43" t="str">
        <f t="shared" si="9"/>
        <v/>
      </c>
    </row>
    <row r="104" spans="2:13">
      <c r="B104" s="38">
        <v>11</v>
      </c>
      <c r="C104" s="136">
        <v>11</v>
      </c>
      <c r="D104" s="136" t="str">
        <f>nmProd1&amp;" Slot 1"</f>
        <v>Greenborg Slot 1</v>
      </c>
      <c r="E104" s="137">
        <v>0</v>
      </c>
      <c r="F104" s="43" t="str">
        <f t="shared" si="10"/>
        <v>Greenborg Slot 1</v>
      </c>
      <c r="G104" s="43" t="b">
        <f t="shared" si="6"/>
        <v>1</v>
      </c>
      <c r="H104" s="43" t="b">
        <f t="shared" si="7"/>
        <v>1</v>
      </c>
      <c r="I104" s="44" t="b">
        <v>0</v>
      </c>
      <c r="J104" s="45" t="b">
        <f>IF(INDEX(calcCh2Prod1Slot1Active,,xxIndexTeam)=1,TRUE,FALSE)</f>
        <v>1</v>
      </c>
      <c r="K104" s="43" t="b">
        <f t="shared" si="8"/>
        <v>1</v>
      </c>
      <c r="L104" s="46">
        <f t="shared" si="11"/>
        <v>7</v>
      </c>
      <c r="M104" s="43" t="str">
        <f t="shared" si="9"/>
        <v/>
      </c>
    </row>
    <row r="105" spans="2:13">
      <c r="B105" s="38">
        <v>12</v>
      </c>
      <c r="C105" s="138">
        <v>12</v>
      </c>
      <c r="D105" s="138" t="str">
        <f>nmProd1&amp;" Slot 2"</f>
        <v>Greenborg Slot 2</v>
      </c>
      <c r="E105" s="139">
        <v>0</v>
      </c>
      <c r="F105" s="43" t="str">
        <f t="shared" si="10"/>
        <v>Greenborg Slot 2</v>
      </c>
      <c r="G105" s="43" t="b">
        <f t="shared" si="6"/>
        <v>1</v>
      </c>
      <c r="H105" s="43" t="b">
        <f t="shared" si="7"/>
        <v>1</v>
      </c>
      <c r="I105" s="44" t="b">
        <v>0</v>
      </c>
      <c r="J105" s="45" t="b">
        <f>IF(INDEX(calcCh2Prod1Slot2Active,,xxIndexTeam)=1,TRUE,FALSE)</f>
        <v>0</v>
      </c>
      <c r="K105" s="43" t="b">
        <f t="shared" si="8"/>
        <v>0</v>
      </c>
      <c r="L105" s="46">
        <f t="shared" si="11"/>
        <v>7</v>
      </c>
      <c r="M105" s="43" t="str">
        <f t="shared" si="9"/>
        <v/>
      </c>
    </row>
    <row r="106" spans="2:13">
      <c r="B106" s="38">
        <v>13</v>
      </c>
      <c r="C106" s="136">
        <v>13</v>
      </c>
      <c r="D106" s="136" t="str">
        <f>nmProd1&amp;" Slot 3"</f>
        <v>Greenborg Slot 3</v>
      </c>
      <c r="E106" s="137">
        <v>0</v>
      </c>
      <c r="F106" s="43" t="str">
        <f t="shared" si="10"/>
        <v>Greenborg Slot 3</v>
      </c>
      <c r="G106" s="43" t="b">
        <f t="shared" si="6"/>
        <v>1</v>
      </c>
      <c r="H106" s="43" t="b">
        <f t="shared" si="7"/>
        <v>1</v>
      </c>
      <c r="I106" s="44" t="b">
        <v>0</v>
      </c>
      <c r="J106" s="45" t="b">
        <f>IF(INDEX(calcCh2Prod1Slot3Active,,xxIndexTeam)=1,TRUE,FALSE)</f>
        <v>0</v>
      </c>
      <c r="K106" s="43" t="b">
        <f t="shared" si="8"/>
        <v>0</v>
      </c>
      <c r="L106" s="46">
        <f t="shared" si="11"/>
        <v>7</v>
      </c>
      <c r="M106" s="43" t="str">
        <f t="shared" si="9"/>
        <v/>
      </c>
    </row>
    <row r="107" spans="2:13">
      <c r="B107" s="38">
        <v>14</v>
      </c>
      <c r="C107" s="138">
        <v>14</v>
      </c>
      <c r="D107" s="138" t="str">
        <f>nmProd4</f>
        <v>Brew Master</v>
      </c>
      <c r="E107" s="139">
        <v>0</v>
      </c>
      <c r="F107" s="43" t="str">
        <f t="shared" si="10"/>
        <v>Brew Master</v>
      </c>
      <c r="G107" s="43" t="b">
        <f t="shared" si="6"/>
        <v>1</v>
      </c>
      <c r="H107" s="43" t="b">
        <f t="shared" si="7"/>
        <v>1</v>
      </c>
      <c r="I107" s="44" t="b">
        <v>0</v>
      </c>
      <c r="J107" s="45" t="b">
        <f>IF(INDEX(calcCh2Prod4Slot1Active,,xxIndexTeam)=1,TRUE,FALSE)</f>
        <v>0</v>
      </c>
      <c r="K107" s="43" t="b">
        <f t="shared" si="8"/>
        <v>0</v>
      </c>
      <c r="L107" s="46">
        <f t="shared" si="11"/>
        <v>7</v>
      </c>
      <c r="M107" s="43" t="str">
        <f t="shared" si="9"/>
        <v/>
      </c>
    </row>
    <row r="108" spans="2:13">
      <c r="B108" s="38">
        <v>15</v>
      </c>
      <c r="C108" s="136">
        <v>15</v>
      </c>
      <c r="D108" s="136" t="str">
        <f>nmProd4&amp;" Slot 1"</f>
        <v>Brew Master Slot 1</v>
      </c>
      <c r="E108" s="137">
        <v>0</v>
      </c>
      <c r="F108" s="43" t="str">
        <f t="shared" si="10"/>
        <v>Brew Master Slot 1</v>
      </c>
      <c r="G108" s="43" t="b">
        <f t="shared" si="6"/>
        <v>1</v>
      </c>
      <c r="H108" s="43" t="b">
        <f t="shared" si="7"/>
        <v>1</v>
      </c>
      <c r="I108" s="44" t="b">
        <v>0</v>
      </c>
      <c r="J108" s="45" t="b">
        <f>IF(INDEX(calcCh2Prod4Slot1Active,,xxIndexTeam)=1,TRUE,FALSE)</f>
        <v>0</v>
      </c>
      <c r="K108" s="43" t="b">
        <f t="shared" si="8"/>
        <v>0</v>
      </c>
      <c r="L108" s="46">
        <f t="shared" si="11"/>
        <v>7</v>
      </c>
      <c r="M108" s="43" t="str">
        <f t="shared" si="9"/>
        <v/>
      </c>
    </row>
    <row r="109" spans="2:13">
      <c r="B109" s="38">
        <v>16</v>
      </c>
      <c r="C109" s="138">
        <v>16</v>
      </c>
      <c r="D109" s="138" t="str">
        <f>nmProd4&amp;" Slot 2"</f>
        <v>Brew Master Slot 2</v>
      </c>
      <c r="E109" s="139">
        <v>0</v>
      </c>
      <c r="F109" s="43" t="str">
        <f t="shared" si="10"/>
        <v>Brew Master Slot 2</v>
      </c>
      <c r="G109" s="43" t="b">
        <f t="shared" si="6"/>
        <v>1</v>
      </c>
      <c r="H109" s="43" t="b">
        <f t="shared" si="7"/>
        <v>1</v>
      </c>
      <c r="I109" s="44" t="b">
        <v>0</v>
      </c>
      <c r="J109" s="45" t="b">
        <f>IF(INDEX(calcCh2Prod4Slot2Active,,xxIndexTeam)=1,TRUE,FALSE)</f>
        <v>0</v>
      </c>
      <c r="K109" s="43" t="b">
        <f t="shared" si="8"/>
        <v>0</v>
      </c>
      <c r="L109" s="46">
        <f t="shared" si="11"/>
        <v>7</v>
      </c>
      <c r="M109" s="43" t="str">
        <f t="shared" si="9"/>
        <v/>
      </c>
    </row>
    <row r="110" spans="2:13">
      <c r="B110" s="38">
        <v>17</v>
      </c>
      <c r="C110" s="136">
        <v>17</v>
      </c>
      <c r="D110" s="136" t="str">
        <f>nmProd4&amp;" Slot 3"</f>
        <v>Brew Master Slot 3</v>
      </c>
      <c r="E110" s="137">
        <v>0</v>
      </c>
      <c r="F110" s="43" t="str">
        <f t="shared" si="10"/>
        <v>Brew Master Slot 3</v>
      </c>
      <c r="G110" s="43" t="b">
        <f t="shared" si="6"/>
        <v>1</v>
      </c>
      <c r="H110" s="43" t="b">
        <f t="shared" si="7"/>
        <v>1</v>
      </c>
      <c r="I110" s="44" t="b">
        <v>0</v>
      </c>
      <c r="J110" s="45" t="b">
        <f>IF(INDEX(calcCh2Prod4Slot3Active,,xxIndexTeam)=1,TRUE,FALSE)</f>
        <v>0</v>
      </c>
      <c r="K110" s="43" t="b">
        <f t="shared" si="8"/>
        <v>0</v>
      </c>
      <c r="L110" s="46">
        <f t="shared" si="11"/>
        <v>7</v>
      </c>
      <c r="M110" s="43" t="str">
        <f t="shared" si="9"/>
        <v/>
      </c>
    </row>
    <row r="111" spans="2:13">
      <c r="B111" s="38">
        <v>18</v>
      </c>
      <c r="C111" s="138">
        <v>18</v>
      </c>
      <c r="D111" s="138"/>
      <c r="E111" s="139">
        <v>0</v>
      </c>
      <c r="F111" s="43" t="str">
        <f t="shared" si="10"/>
        <v/>
      </c>
      <c r="G111" s="43" t="b">
        <f t="shared" si="6"/>
        <v>1</v>
      </c>
      <c r="H111" s="43" t="b">
        <f t="shared" si="7"/>
        <v>0</v>
      </c>
      <c r="I111" s="44" t="b">
        <v>0</v>
      </c>
      <c r="J111" s="45" t="b">
        <v>1</v>
      </c>
      <c r="K111" s="43" t="b">
        <f t="shared" si="8"/>
        <v>0</v>
      </c>
      <c r="L111" s="46">
        <f t="shared" si="11"/>
        <v>7</v>
      </c>
      <c r="M111" s="43" t="str">
        <f t="shared" si="9"/>
        <v/>
      </c>
    </row>
    <row r="112" spans="2:13">
      <c r="B112" s="38">
        <v>19</v>
      </c>
      <c r="C112" s="136">
        <v>19</v>
      </c>
      <c r="D112" s="136"/>
      <c r="E112" s="137">
        <v>0</v>
      </c>
      <c r="F112" s="43" t="str">
        <f t="shared" si="10"/>
        <v/>
      </c>
      <c r="G112" s="43" t="b">
        <f t="shared" si="6"/>
        <v>1</v>
      </c>
      <c r="H112" s="43" t="b">
        <f t="shared" si="7"/>
        <v>0</v>
      </c>
      <c r="I112" s="44" t="b">
        <v>0</v>
      </c>
      <c r="J112" s="45" t="b">
        <v>1</v>
      </c>
      <c r="K112" s="43" t="b">
        <f t="shared" si="8"/>
        <v>0</v>
      </c>
      <c r="L112" s="46">
        <f t="shared" si="11"/>
        <v>7</v>
      </c>
      <c r="M112" s="43" t="str">
        <f t="shared" si="9"/>
        <v/>
      </c>
    </row>
    <row r="113" spans="2:13">
      <c r="B113" s="38">
        <v>20</v>
      </c>
      <c r="C113" s="138">
        <v>20</v>
      </c>
      <c r="D113" s="138"/>
      <c r="E113" s="139">
        <v>0</v>
      </c>
      <c r="F113" s="43" t="str">
        <f t="shared" si="10"/>
        <v/>
      </c>
      <c r="G113" s="43" t="b">
        <f t="shared" si="6"/>
        <v>1</v>
      </c>
      <c r="H113" s="43" t="b">
        <f t="shared" si="7"/>
        <v>0</v>
      </c>
      <c r="I113" s="44" t="b">
        <v>0</v>
      </c>
      <c r="J113" s="45" t="b">
        <v>1</v>
      </c>
      <c r="K113" s="43" t="b">
        <f t="shared" si="8"/>
        <v>0</v>
      </c>
      <c r="L113" s="46">
        <f t="shared" si="11"/>
        <v>7</v>
      </c>
      <c r="M113" s="43" t="str">
        <f t="shared" si="9"/>
        <v/>
      </c>
    </row>
    <row r="114" spans="2:13">
      <c r="B114" s="38">
        <v>21</v>
      </c>
      <c r="C114" s="136">
        <v>21</v>
      </c>
      <c r="D114" s="136"/>
      <c r="E114" s="137">
        <v>0</v>
      </c>
      <c r="F114" s="43" t="str">
        <f t="shared" si="10"/>
        <v/>
      </c>
      <c r="G114" s="43" t="b">
        <f t="shared" si="6"/>
        <v>1</v>
      </c>
      <c r="H114" s="43" t="b">
        <f t="shared" si="7"/>
        <v>0</v>
      </c>
      <c r="I114" s="44" t="b">
        <v>0</v>
      </c>
      <c r="J114" s="45" t="b">
        <v>1</v>
      </c>
      <c r="K114" s="43" t="b">
        <f t="shared" si="8"/>
        <v>0</v>
      </c>
      <c r="L114" s="46">
        <f t="shared" si="11"/>
        <v>7</v>
      </c>
      <c r="M114" s="43" t="str">
        <f t="shared" si="9"/>
        <v/>
      </c>
    </row>
    <row r="115" spans="2:13">
      <c r="B115" s="38">
        <v>22</v>
      </c>
      <c r="C115" s="138">
        <v>22</v>
      </c>
      <c r="D115" s="138"/>
      <c r="E115" s="139">
        <v>0</v>
      </c>
      <c r="F115" s="43" t="str">
        <f t="shared" si="10"/>
        <v/>
      </c>
      <c r="G115" s="43" t="b">
        <f t="shared" si="6"/>
        <v>1</v>
      </c>
      <c r="H115" s="43" t="b">
        <f t="shared" si="7"/>
        <v>0</v>
      </c>
      <c r="I115" s="44" t="b">
        <v>0</v>
      </c>
      <c r="J115" s="45" t="b">
        <v>1</v>
      </c>
      <c r="K115" s="43" t="b">
        <f t="shared" si="8"/>
        <v>0</v>
      </c>
      <c r="L115" s="46">
        <f t="shared" si="11"/>
        <v>7</v>
      </c>
      <c r="M115" s="43" t="str">
        <f t="shared" si="9"/>
        <v/>
      </c>
    </row>
    <row r="116" spans="2:13">
      <c r="B116" s="38">
        <v>23</v>
      </c>
      <c r="C116" s="136">
        <v>23</v>
      </c>
      <c r="D116" s="136"/>
      <c r="E116" s="137">
        <v>0</v>
      </c>
      <c r="F116" s="43" t="str">
        <f t="shared" si="10"/>
        <v/>
      </c>
      <c r="G116" s="43" t="b">
        <f t="shared" si="6"/>
        <v>1</v>
      </c>
      <c r="H116" s="43" t="b">
        <f t="shared" si="7"/>
        <v>0</v>
      </c>
      <c r="I116" s="44" t="b">
        <v>0</v>
      </c>
      <c r="J116" s="45" t="b">
        <v>1</v>
      </c>
      <c r="K116" s="43" t="b">
        <f t="shared" si="8"/>
        <v>0</v>
      </c>
      <c r="L116" s="46">
        <f t="shared" si="11"/>
        <v>7</v>
      </c>
      <c r="M116" s="43" t="str">
        <f t="shared" si="9"/>
        <v/>
      </c>
    </row>
    <row r="117" spans="2:13">
      <c r="B117" s="38">
        <v>24</v>
      </c>
      <c r="C117" s="138">
        <v>24</v>
      </c>
      <c r="D117" s="138"/>
      <c r="E117" s="139">
        <v>0</v>
      </c>
      <c r="F117" s="43" t="str">
        <f t="shared" si="10"/>
        <v/>
      </c>
      <c r="G117" s="43" t="b">
        <f t="shared" si="6"/>
        <v>1</v>
      </c>
      <c r="H117" s="43" t="b">
        <f t="shared" si="7"/>
        <v>0</v>
      </c>
      <c r="I117" s="44" t="b">
        <v>0</v>
      </c>
      <c r="J117" s="45" t="b">
        <v>1</v>
      </c>
      <c r="K117" s="43" t="b">
        <f t="shared" si="8"/>
        <v>0</v>
      </c>
      <c r="L117" s="46">
        <f t="shared" si="11"/>
        <v>7</v>
      </c>
      <c r="M117" s="43" t="str">
        <f t="shared" si="9"/>
        <v/>
      </c>
    </row>
    <row r="118" spans="2:13">
      <c r="B118" s="38">
        <v>25</v>
      </c>
      <c r="C118" s="136">
        <v>25</v>
      </c>
      <c r="D118" s="136"/>
      <c r="E118" s="137">
        <v>0</v>
      </c>
      <c r="F118" s="43" t="str">
        <f t="shared" si="10"/>
        <v/>
      </c>
      <c r="G118" s="43" t="b">
        <f t="shared" si="6"/>
        <v>1</v>
      </c>
      <c r="H118" s="43" t="b">
        <f t="shared" si="7"/>
        <v>0</v>
      </c>
      <c r="I118" s="44" t="b">
        <v>0</v>
      </c>
      <c r="J118" s="45" t="b">
        <v>1</v>
      </c>
      <c r="K118" s="43" t="b">
        <f t="shared" si="8"/>
        <v>0</v>
      </c>
      <c r="L118" s="46">
        <f t="shared" si="11"/>
        <v>7</v>
      </c>
      <c r="M118" s="43" t="str">
        <f t="shared" si="9"/>
        <v/>
      </c>
    </row>
    <row r="119" spans="2:13">
      <c r="B119" s="38">
        <v>26</v>
      </c>
      <c r="C119" s="138">
        <v>26</v>
      </c>
      <c r="D119" s="138"/>
      <c r="E119" s="139">
        <v>0</v>
      </c>
      <c r="F119" s="43" t="str">
        <f t="shared" si="10"/>
        <v/>
      </c>
      <c r="G119" s="43" t="b">
        <f t="shared" si="6"/>
        <v>1</v>
      </c>
      <c r="H119" s="43" t="b">
        <f t="shared" si="7"/>
        <v>0</v>
      </c>
      <c r="I119" s="44" t="b">
        <v>0</v>
      </c>
      <c r="J119" s="45" t="b">
        <v>1</v>
      </c>
      <c r="K119" s="43" t="b">
        <f t="shared" si="8"/>
        <v>0</v>
      </c>
      <c r="L119" s="46">
        <f t="shared" si="11"/>
        <v>7</v>
      </c>
      <c r="M119" s="43" t="str">
        <f t="shared" si="9"/>
        <v/>
      </c>
    </row>
    <row r="120" spans="2:13">
      <c r="B120" s="38">
        <v>27</v>
      </c>
      <c r="C120" s="136">
        <v>27</v>
      </c>
      <c r="D120" s="136"/>
      <c r="E120" s="137">
        <v>0</v>
      </c>
      <c r="F120" s="43" t="str">
        <f t="shared" si="10"/>
        <v/>
      </c>
      <c r="G120" s="43" t="b">
        <f t="shared" si="6"/>
        <v>1</v>
      </c>
      <c r="H120" s="43" t="b">
        <f t="shared" si="7"/>
        <v>0</v>
      </c>
      <c r="I120" s="44" t="b">
        <v>0</v>
      </c>
      <c r="J120" s="45" t="b">
        <v>1</v>
      </c>
      <c r="K120" s="43" t="b">
        <f t="shared" si="8"/>
        <v>0</v>
      </c>
      <c r="L120" s="46">
        <f t="shared" si="11"/>
        <v>7</v>
      </c>
      <c r="M120" s="43" t="str">
        <f t="shared" si="9"/>
        <v/>
      </c>
    </row>
    <row r="121" spans="2:13">
      <c r="B121" s="38">
        <v>28</v>
      </c>
      <c r="C121" s="138">
        <v>28</v>
      </c>
      <c r="D121" s="138"/>
      <c r="E121" s="139">
        <v>0</v>
      </c>
      <c r="F121" s="43" t="str">
        <f t="shared" si="10"/>
        <v/>
      </c>
      <c r="G121" s="43" t="b">
        <f t="shared" si="6"/>
        <v>1</v>
      </c>
      <c r="H121" s="43" t="b">
        <f t="shared" si="7"/>
        <v>0</v>
      </c>
      <c r="I121" s="44" t="b">
        <v>0</v>
      </c>
      <c r="J121" s="45" t="b">
        <v>1</v>
      </c>
      <c r="K121" s="43" t="b">
        <f t="shared" si="8"/>
        <v>0</v>
      </c>
      <c r="L121" s="46">
        <f t="shared" si="11"/>
        <v>7</v>
      </c>
      <c r="M121" s="43" t="str">
        <f t="shared" si="9"/>
        <v/>
      </c>
    </row>
    <row r="122" spans="2:13">
      <c r="B122" s="38">
        <v>29</v>
      </c>
      <c r="C122" s="136">
        <v>29</v>
      </c>
      <c r="D122" s="136"/>
      <c r="E122" s="137">
        <v>0</v>
      </c>
      <c r="F122" s="43" t="str">
        <f t="shared" si="10"/>
        <v/>
      </c>
      <c r="G122" s="43" t="b">
        <f t="shared" si="6"/>
        <v>1</v>
      </c>
      <c r="H122" s="43" t="b">
        <f t="shared" si="7"/>
        <v>0</v>
      </c>
      <c r="I122" s="44" t="b">
        <v>0</v>
      </c>
      <c r="J122" s="45" t="b">
        <v>1</v>
      </c>
      <c r="K122" s="43" t="b">
        <f t="shared" si="8"/>
        <v>0</v>
      </c>
      <c r="L122" s="46">
        <f t="shared" si="11"/>
        <v>7</v>
      </c>
      <c r="M122" s="43" t="str">
        <f t="shared" si="9"/>
        <v/>
      </c>
    </row>
    <row r="123" spans="2:13">
      <c r="B123" s="38">
        <v>30</v>
      </c>
      <c r="C123" s="138">
        <v>30</v>
      </c>
      <c r="D123" s="138"/>
      <c r="E123" s="139">
        <v>0</v>
      </c>
      <c r="F123" s="43" t="str">
        <f t="shared" si="10"/>
        <v/>
      </c>
      <c r="G123" s="43" t="b">
        <f t="shared" si="6"/>
        <v>1</v>
      </c>
      <c r="H123" s="43" t="b">
        <f t="shared" si="7"/>
        <v>0</v>
      </c>
      <c r="I123" s="44" t="b">
        <v>0</v>
      </c>
      <c r="J123" s="45" t="b">
        <v>1</v>
      </c>
      <c r="K123" s="43" t="b">
        <f t="shared" si="8"/>
        <v>0</v>
      </c>
      <c r="L123" s="46">
        <f t="shared" si="11"/>
        <v>7</v>
      </c>
      <c r="M123" s="43" t="str">
        <f t="shared" si="9"/>
        <v/>
      </c>
    </row>
    <row r="124" spans="2:13">
      <c r="B124" s="38">
        <v>31</v>
      </c>
      <c r="C124" s="136">
        <v>31</v>
      </c>
      <c r="D124" s="136"/>
      <c r="E124" s="137">
        <v>0</v>
      </c>
      <c r="F124" s="43" t="str">
        <f t="shared" si="10"/>
        <v/>
      </c>
      <c r="G124" s="43" t="b">
        <f t="shared" si="6"/>
        <v>1</v>
      </c>
      <c r="H124" s="43" t="b">
        <f t="shared" si="7"/>
        <v>0</v>
      </c>
      <c r="I124" s="44" t="b">
        <v>0</v>
      </c>
      <c r="J124" s="45" t="b">
        <v>1</v>
      </c>
      <c r="K124" s="43" t="b">
        <f t="shared" si="8"/>
        <v>0</v>
      </c>
      <c r="L124" s="46">
        <f t="shared" si="11"/>
        <v>7</v>
      </c>
      <c r="M124" s="43" t="str">
        <f t="shared" si="9"/>
        <v/>
      </c>
    </row>
    <row r="125" spans="2:13">
      <c r="B125" s="38">
        <v>32</v>
      </c>
      <c r="C125" s="138">
        <v>32</v>
      </c>
      <c r="D125" s="138"/>
      <c r="E125" s="139">
        <v>0</v>
      </c>
      <c r="F125" s="43" t="str">
        <f t="shared" si="10"/>
        <v/>
      </c>
      <c r="G125" s="43" t="b">
        <f t="shared" si="6"/>
        <v>1</v>
      </c>
      <c r="H125" s="43" t="b">
        <f t="shared" si="7"/>
        <v>0</v>
      </c>
      <c r="I125" s="44" t="b">
        <v>0</v>
      </c>
      <c r="J125" s="45" t="b">
        <v>1</v>
      </c>
      <c r="K125" s="43" t="b">
        <f t="shared" si="8"/>
        <v>0</v>
      </c>
      <c r="L125" s="46">
        <f t="shared" si="11"/>
        <v>7</v>
      </c>
      <c r="M125" s="43" t="str">
        <f t="shared" si="9"/>
        <v/>
      </c>
    </row>
    <row r="126" spans="2:13">
      <c r="B126" s="38">
        <v>33</v>
      </c>
      <c r="C126" s="136">
        <v>33</v>
      </c>
      <c r="D126" s="136"/>
      <c r="E126" s="137">
        <v>0</v>
      </c>
      <c r="F126" s="43" t="str">
        <f t="shared" si="10"/>
        <v/>
      </c>
      <c r="G126" s="43" t="b">
        <f t="shared" si="6"/>
        <v>1</v>
      </c>
      <c r="H126" s="43" t="b">
        <f t="shared" si="7"/>
        <v>0</v>
      </c>
      <c r="I126" s="44" t="b">
        <v>0</v>
      </c>
      <c r="J126" s="45" t="b">
        <v>1</v>
      </c>
      <c r="K126" s="43" t="b">
        <f t="shared" si="8"/>
        <v>0</v>
      </c>
      <c r="L126" s="46">
        <f t="shared" si="11"/>
        <v>7</v>
      </c>
      <c r="M126" s="43" t="str">
        <f t="shared" si="9"/>
        <v/>
      </c>
    </row>
    <row r="127" spans="2:13">
      <c r="B127" s="38">
        <v>34</v>
      </c>
      <c r="C127" s="138">
        <v>34</v>
      </c>
      <c r="D127" s="138"/>
      <c r="E127" s="139">
        <v>0</v>
      </c>
      <c r="F127" s="43" t="str">
        <f t="shared" si="10"/>
        <v/>
      </c>
      <c r="G127" s="43" t="b">
        <f t="shared" si="6"/>
        <v>1</v>
      </c>
      <c r="H127" s="43" t="b">
        <f t="shared" si="7"/>
        <v>0</v>
      </c>
      <c r="I127" s="44" t="b">
        <v>0</v>
      </c>
      <c r="J127" s="45" t="b">
        <v>1</v>
      </c>
      <c r="K127" s="43" t="b">
        <f t="shared" si="8"/>
        <v>0</v>
      </c>
      <c r="L127" s="46">
        <f t="shared" si="11"/>
        <v>7</v>
      </c>
      <c r="M127" s="43" t="str">
        <f t="shared" si="9"/>
        <v/>
      </c>
    </row>
    <row r="128" spans="2:13">
      <c r="B128" s="38">
        <v>35</v>
      </c>
      <c r="C128" s="136">
        <v>35</v>
      </c>
      <c r="D128" s="136"/>
      <c r="E128" s="137">
        <v>0</v>
      </c>
      <c r="F128" s="43" t="str">
        <f t="shared" si="10"/>
        <v/>
      </c>
      <c r="G128" s="43" t="b">
        <f t="shared" si="6"/>
        <v>1</v>
      </c>
      <c r="H128" s="43" t="b">
        <f t="shared" si="7"/>
        <v>0</v>
      </c>
      <c r="I128" s="44" t="b">
        <v>0</v>
      </c>
      <c r="J128" s="45" t="b">
        <v>1</v>
      </c>
      <c r="K128" s="43" t="b">
        <f t="shared" si="8"/>
        <v>0</v>
      </c>
      <c r="L128" s="46">
        <f t="shared" si="11"/>
        <v>7</v>
      </c>
      <c r="M128" s="43" t="str">
        <f t="shared" si="9"/>
        <v/>
      </c>
    </row>
    <row r="129" spans="1:13">
      <c r="B129" s="38">
        <v>36</v>
      </c>
      <c r="C129" s="138">
        <v>36</v>
      </c>
      <c r="D129" s="138"/>
      <c r="E129" s="139">
        <v>0</v>
      </c>
      <c r="F129" s="43" t="str">
        <f t="shared" si="10"/>
        <v/>
      </c>
      <c r="G129" s="43" t="b">
        <f t="shared" si="6"/>
        <v>1</v>
      </c>
      <c r="H129" s="43" t="b">
        <f t="shared" si="7"/>
        <v>0</v>
      </c>
      <c r="I129" s="44" t="b">
        <v>0</v>
      </c>
      <c r="J129" s="45" t="b">
        <v>1</v>
      </c>
      <c r="K129" s="43" t="b">
        <f t="shared" si="8"/>
        <v>0</v>
      </c>
      <c r="L129" s="46">
        <f t="shared" si="11"/>
        <v>7</v>
      </c>
      <c r="M129" s="43" t="str">
        <f t="shared" si="9"/>
        <v/>
      </c>
    </row>
    <row r="130" spans="1:13">
      <c r="B130" s="38">
        <v>37</v>
      </c>
      <c r="C130" s="136">
        <v>37</v>
      </c>
      <c r="D130" s="136"/>
      <c r="E130" s="137">
        <v>0</v>
      </c>
      <c r="F130" s="43" t="str">
        <f t="shared" si="10"/>
        <v/>
      </c>
      <c r="G130" s="43" t="b">
        <f t="shared" si="6"/>
        <v>1</v>
      </c>
      <c r="H130" s="43" t="b">
        <f t="shared" si="7"/>
        <v>0</v>
      </c>
      <c r="I130" s="44" t="b">
        <v>0</v>
      </c>
      <c r="J130" s="45" t="b">
        <v>1</v>
      </c>
      <c r="K130" s="43" t="b">
        <f t="shared" si="8"/>
        <v>0</v>
      </c>
      <c r="L130" s="46">
        <f t="shared" si="11"/>
        <v>7</v>
      </c>
      <c r="M130" s="43" t="str">
        <f t="shared" si="9"/>
        <v/>
      </c>
    </row>
    <row r="131" spans="1:13">
      <c r="B131" s="38">
        <v>38</v>
      </c>
      <c r="C131" s="138">
        <v>38</v>
      </c>
      <c r="D131" s="138"/>
      <c r="E131" s="139">
        <v>0</v>
      </c>
      <c r="F131" s="43" t="str">
        <f t="shared" si="10"/>
        <v/>
      </c>
      <c r="G131" s="43" t="b">
        <f t="shared" si="6"/>
        <v>1</v>
      </c>
      <c r="H131" s="43" t="b">
        <f t="shared" si="7"/>
        <v>0</v>
      </c>
      <c r="I131" s="44" t="b">
        <v>0</v>
      </c>
      <c r="J131" s="45" t="b">
        <v>1</v>
      </c>
      <c r="K131" s="43" t="b">
        <f t="shared" si="8"/>
        <v>0</v>
      </c>
      <c r="L131" s="46">
        <f t="shared" si="11"/>
        <v>7</v>
      </c>
      <c r="M131" s="43" t="str">
        <f t="shared" si="9"/>
        <v/>
      </c>
    </row>
    <row r="132" spans="1:13">
      <c r="B132" s="38">
        <v>39</v>
      </c>
      <c r="C132" s="136">
        <v>39</v>
      </c>
      <c r="D132" s="136"/>
      <c r="E132" s="137">
        <v>0</v>
      </c>
      <c r="F132" s="43" t="str">
        <f t="shared" si="10"/>
        <v/>
      </c>
      <c r="G132" s="43" t="b">
        <f t="shared" si="6"/>
        <v>1</v>
      </c>
      <c r="H132" s="43" t="b">
        <f t="shared" si="7"/>
        <v>0</v>
      </c>
      <c r="I132" s="44" t="b">
        <v>0</v>
      </c>
      <c r="J132" s="45" t="b">
        <v>1</v>
      </c>
      <c r="K132" s="43" t="b">
        <f t="shared" si="8"/>
        <v>0</v>
      </c>
      <c r="L132" s="46">
        <f t="shared" si="11"/>
        <v>7</v>
      </c>
      <c r="M132" s="43" t="str">
        <f t="shared" si="9"/>
        <v/>
      </c>
    </row>
    <row r="133" spans="1:13">
      <c r="B133" s="38">
        <v>40</v>
      </c>
      <c r="C133" s="138">
        <v>40</v>
      </c>
      <c r="D133" s="138"/>
      <c r="E133" s="139">
        <v>0</v>
      </c>
      <c r="F133" s="43" t="str">
        <f t="shared" si="10"/>
        <v/>
      </c>
      <c r="G133" s="43" t="b">
        <f t="shared" si="6"/>
        <v>1</v>
      </c>
      <c r="H133" s="43" t="b">
        <f t="shared" si="7"/>
        <v>0</v>
      </c>
      <c r="I133" s="44" t="b">
        <v>0</v>
      </c>
      <c r="J133" s="45" t="b">
        <v>1</v>
      </c>
      <c r="K133" s="43" t="b">
        <f t="shared" si="8"/>
        <v>0</v>
      </c>
      <c r="L133" s="46">
        <f t="shared" si="11"/>
        <v>7</v>
      </c>
      <c r="M133" s="43" t="str">
        <f t="shared" si="9"/>
        <v/>
      </c>
    </row>
    <row r="134" spans="1:13">
      <c r="B134" s="38">
        <v>41</v>
      </c>
      <c r="C134" s="140">
        <v>41</v>
      </c>
      <c r="D134" s="140"/>
      <c r="E134" s="141">
        <v>0</v>
      </c>
      <c r="F134" s="47" t="str">
        <f t="shared" si="10"/>
        <v/>
      </c>
      <c r="G134" s="47" t="b">
        <f t="shared" si="6"/>
        <v>1</v>
      </c>
      <c r="H134" s="47" t="b">
        <f t="shared" si="7"/>
        <v>0</v>
      </c>
      <c r="I134" s="48" t="b">
        <v>0</v>
      </c>
      <c r="J134" s="49" t="b">
        <v>1</v>
      </c>
      <c r="K134" s="47" t="b">
        <f t="shared" si="8"/>
        <v>0</v>
      </c>
      <c r="L134" s="50">
        <f t="shared" si="11"/>
        <v>7</v>
      </c>
      <c r="M134" s="47" t="str">
        <f t="shared" si="9"/>
        <v/>
      </c>
    </row>
    <row r="135" spans="1:13">
      <c r="B135" s="20" t="s">
        <v>4360</v>
      </c>
      <c r="C135" s="20" t="s">
        <v>4361</v>
      </c>
      <c r="D135" s="20" t="s">
        <v>4362</v>
      </c>
      <c r="E135" s="32"/>
      <c r="F135" s="20" t="s">
        <v>4363</v>
      </c>
      <c r="L135" s="20" t="s">
        <v>4364</v>
      </c>
      <c r="M135" s="32" t="s">
        <v>8475</v>
      </c>
    </row>
    <row r="136" spans="1:13">
      <c r="E136" s="32"/>
    </row>
    <row r="137" spans="1:13" s="54" customFormat="1">
      <c r="A137" s="53" t="s">
        <v>32</v>
      </c>
      <c r="E137" s="55"/>
    </row>
    <row r="139" spans="1:13">
      <c r="B139" s="33" t="s">
        <v>63</v>
      </c>
      <c r="C139" s="34" t="str">
        <f ca="1">MID(CELL("filename",C139),FIND("]",CELL("filename",C139))+1,255)&amp;"!"</f>
        <v>VTdd!</v>
      </c>
    </row>
    <row r="140" spans="1:13">
      <c r="B140" s="33"/>
      <c r="C140" s="20" t="s">
        <v>4365</v>
      </c>
    </row>
    <row r="141" spans="1:13">
      <c r="B141" s="33"/>
    </row>
    <row r="142" spans="1:13">
      <c r="B142" s="33" t="s">
        <v>4366</v>
      </c>
      <c r="C142" s="34">
        <f>MAX(VTCh2_AvailableCount)</f>
        <v>7</v>
      </c>
    </row>
    <row r="143" spans="1:13">
      <c r="C143" s="20" t="s">
        <v>4367</v>
      </c>
    </row>
    <row r="145" spans="1:5" s="54" customFormat="1">
      <c r="A145" s="53" t="str">
        <f>nmCh3</f>
        <v>Convenience</v>
      </c>
      <c r="E145" s="55"/>
    </row>
    <row r="146" spans="1:5" s="54" customFormat="1">
      <c r="A146" s="53" t="s">
        <v>28</v>
      </c>
      <c r="E146" s="55"/>
    </row>
    <row r="147" spans="1:5">
      <c r="C147" s="34" t="str">
        <f ca="1">VTCh3_WorksheetName &amp; ADDRESS(ROW(M165),COLUMN(M165))&amp;":"&amp;ADDRESS(ROW(M165)+VTCh3_TotalAvailable-1,COLUMN(M165))</f>
        <v>VTdd!$M$165:$M$172</v>
      </c>
      <c r="E147" s="33"/>
    </row>
    <row r="148" spans="1:5">
      <c r="C148" s="20" t="s">
        <v>4381</v>
      </c>
      <c r="E148" s="33"/>
    </row>
    <row r="149" spans="1:5">
      <c r="E149" s="33"/>
    </row>
    <row r="150" spans="1:5">
      <c r="C150" s="35" t="s">
        <v>4382</v>
      </c>
      <c r="E150" s="33"/>
    </row>
    <row r="151" spans="1:5">
      <c r="C151" s="32" t="s">
        <v>4383</v>
      </c>
      <c r="E151" s="33"/>
    </row>
    <row r="152" spans="1:5" ht="15.75" thickBot="1">
      <c r="E152" s="33"/>
    </row>
    <row r="153" spans="1:5" ht="15.75" thickBot="1">
      <c r="B153" s="32" t="s">
        <v>42</v>
      </c>
      <c r="C153" s="36"/>
      <c r="E153" s="33"/>
    </row>
    <row r="154" spans="1:5">
      <c r="E154" s="33"/>
    </row>
    <row r="155" spans="1:5">
      <c r="E155" s="33"/>
    </row>
    <row r="156" spans="1:5" s="54" customFormat="1">
      <c r="A156" s="53" t="s">
        <v>29</v>
      </c>
      <c r="E156" s="55"/>
    </row>
    <row r="157" spans="1:5">
      <c r="E157" s="33"/>
    </row>
    <row r="158" spans="1:5">
      <c r="B158" s="33" t="s">
        <v>30</v>
      </c>
      <c r="C158" s="37">
        <f>xxRound</f>
        <v>1</v>
      </c>
      <c r="D158" s="35" t="s">
        <v>3745</v>
      </c>
      <c r="E158" s="33"/>
    </row>
    <row r="159" spans="1:5">
      <c r="B159" s="33"/>
      <c r="C159" s="20" t="s">
        <v>4384</v>
      </c>
      <c r="E159" s="33"/>
    </row>
    <row r="160" spans="1:5">
      <c r="B160" s="33"/>
      <c r="E160" s="33"/>
    </row>
    <row r="161" spans="2:13">
      <c r="B161" s="33" t="s">
        <v>44</v>
      </c>
      <c r="C161" s="133"/>
      <c r="D161" s="35" t="s">
        <v>46</v>
      </c>
    </row>
    <row r="162" spans="2:13">
      <c r="B162" s="33"/>
      <c r="C162" s="20" t="s">
        <v>4385</v>
      </c>
    </row>
    <row r="163" spans="2:13">
      <c r="B163" s="33"/>
    </row>
    <row r="164" spans="2:13" ht="30">
      <c r="B164" s="38" t="s">
        <v>48</v>
      </c>
      <c r="C164" s="32" t="s">
        <v>49</v>
      </c>
      <c r="D164" s="32" t="s">
        <v>50</v>
      </c>
      <c r="E164" s="39" t="s">
        <v>52</v>
      </c>
      <c r="F164" s="32" t="s">
        <v>51</v>
      </c>
      <c r="G164" s="39" t="s">
        <v>53</v>
      </c>
      <c r="H164" s="39" t="s">
        <v>54</v>
      </c>
      <c r="I164" s="39" t="s">
        <v>55</v>
      </c>
      <c r="J164" s="39" t="s">
        <v>56</v>
      </c>
      <c r="K164" s="39" t="s">
        <v>57</v>
      </c>
      <c r="L164" s="39" t="s">
        <v>58</v>
      </c>
      <c r="M164" s="39" t="s">
        <v>59</v>
      </c>
    </row>
    <row r="165" spans="2:13">
      <c r="B165" s="38">
        <v>1</v>
      </c>
      <c r="C165" s="134">
        <v>1</v>
      </c>
      <c r="D165" s="134" t="str">
        <f>nmCh3</f>
        <v>Convenience</v>
      </c>
      <c r="E165" s="135">
        <v>0</v>
      </c>
      <c r="F165" s="40" t="str">
        <f>D165</f>
        <v>Convenience</v>
      </c>
      <c r="G165" s="41" t="b">
        <f t="shared" ref="G165:G205" si="12">E165&lt;=VTCh3_currentRound</f>
        <v>1</v>
      </c>
      <c r="H165" s="41" t="b">
        <f t="shared" ref="H165:H205" si="13">NOT(D165="")</f>
        <v>1</v>
      </c>
      <c r="I165" s="135" t="b">
        <v>0</v>
      </c>
      <c r="J165" s="134" t="b">
        <v>1</v>
      </c>
      <c r="K165" s="41" t="b">
        <f t="shared" ref="K165:K205" si="14">AND(G165,H165,J165,NOT(I165))</f>
        <v>1</v>
      </c>
      <c r="L165" s="42">
        <f>IF(K165,1,0)</f>
        <v>1</v>
      </c>
      <c r="M165" s="41" t="str">
        <f t="shared" ref="M165:M205" si="15">IFERROR(INDEX(VTCh3_DisplayedName,MATCH(B165,VTCh3_AvailableCount,0)),0)</f>
        <v>Convenience</v>
      </c>
    </row>
    <row r="166" spans="2:13">
      <c r="B166" s="38">
        <v>2</v>
      </c>
      <c r="C166" s="138">
        <v>2</v>
      </c>
      <c r="D166" s="138" t="str">
        <f>nmProd2</f>
        <v>Harken</v>
      </c>
      <c r="E166" s="139">
        <v>0</v>
      </c>
      <c r="F166" s="43" t="str">
        <f t="shared" ref="F166:F205" si="16">VTCh3_selectedSeparator &amp; "" &amp; D166</f>
        <v>Harken</v>
      </c>
      <c r="G166" s="43" t="b">
        <f t="shared" si="12"/>
        <v>1</v>
      </c>
      <c r="H166" s="43" t="b">
        <f t="shared" si="13"/>
        <v>1</v>
      </c>
      <c r="I166" s="44" t="b">
        <v>0</v>
      </c>
      <c r="J166" s="45" t="b">
        <f>IF(INDEX(calcCh3Prod2Slot1Active,,xxIndexTeam)=1,TRUE,FALSE)</f>
        <v>1</v>
      </c>
      <c r="K166" s="43" t="b">
        <f t="shared" si="14"/>
        <v>1</v>
      </c>
      <c r="L166" s="46">
        <f>IF(K166,1,0)+L165</f>
        <v>2</v>
      </c>
      <c r="M166" s="43" t="str">
        <f t="shared" si="15"/>
        <v>Harken</v>
      </c>
    </row>
    <row r="167" spans="2:13">
      <c r="B167" s="38">
        <v>3</v>
      </c>
      <c r="C167" s="136">
        <v>3</v>
      </c>
      <c r="D167" s="136" t="str">
        <f>nmProd2&amp;" Slot 1"</f>
        <v>Harken Slot 1</v>
      </c>
      <c r="E167" s="137">
        <v>0</v>
      </c>
      <c r="F167" s="43" t="str">
        <f t="shared" si="16"/>
        <v>Harken Slot 1</v>
      </c>
      <c r="G167" s="43" t="b">
        <f t="shared" si="12"/>
        <v>1</v>
      </c>
      <c r="H167" s="43" t="b">
        <f t="shared" si="13"/>
        <v>1</v>
      </c>
      <c r="I167" s="44" t="b">
        <v>0</v>
      </c>
      <c r="J167" s="45" t="b">
        <f>IF(INDEX(calcCh3Prod2Slot1Active,,xxIndexTeam)=1,TRUE,FALSE)</f>
        <v>1</v>
      </c>
      <c r="K167" s="43" t="b">
        <f t="shared" si="14"/>
        <v>1</v>
      </c>
      <c r="L167" s="46">
        <f t="shared" ref="L167:L205" si="17">IF(K167,1,0)+L166</f>
        <v>3</v>
      </c>
      <c r="M167" s="43" t="str">
        <f t="shared" si="15"/>
        <v>Harken Slot 1</v>
      </c>
    </row>
    <row r="168" spans="2:13">
      <c r="B168" s="38">
        <v>4</v>
      </c>
      <c r="C168" s="138">
        <v>4</v>
      </c>
      <c r="D168" s="138" t="str">
        <f>nmProd2&amp;" Slot 2"</f>
        <v>Harken Slot 2</v>
      </c>
      <c r="E168" s="139">
        <v>0</v>
      </c>
      <c r="F168" s="43" t="str">
        <f t="shared" si="16"/>
        <v>Harken Slot 2</v>
      </c>
      <c r="G168" s="43" t="b">
        <f t="shared" si="12"/>
        <v>1</v>
      </c>
      <c r="H168" s="43" t="b">
        <f t="shared" si="13"/>
        <v>1</v>
      </c>
      <c r="I168" s="44" t="b">
        <v>0</v>
      </c>
      <c r="J168" s="45" t="b">
        <f>IF(INDEX(calcCh3Prod2Slot2Active,,xxIndexTeam)=1,TRUE,FALSE)</f>
        <v>1</v>
      </c>
      <c r="K168" s="43" t="b">
        <f t="shared" si="14"/>
        <v>1</v>
      </c>
      <c r="L168" s="46">
        <f t="shared" si="17"/>
        <v>4</v>
      </c>
      <c r="M168" s="43" t="str">
        <f t="shared" si="15"/>
        <v>Harken Slot 2</v>
      </c>
    </row>
    <row r="169" spans="2:13">
      <c r="B169" s="38">
        <v>5</v>
      </c>
      <c r="C169" s="136">
        <v>5</v>
      </c>
      <c r="D169" s="136" t="str">
        <f>nmProd2&amp;" Slot 3"</f>
        <v>Harken Slot 3</v>
      </c>
      <c r="E169" s="137">
        <v>0</v>
      </c>
      <c r="F169" s="43" t="str">
        <f t="shared" si="16"/>
        <v>Harken Slot 3</v>
      </c>
      <c r="G169" s="43" t="b">
        <f t="shared" si="12"/>
        <v>1</v>
      </c>
      <c r="H169" s="43" t="b">
        <f t="shared" si="13"/>
        <v>1</v>
      </c>
      <c r="I169" s="44" t="b">
        <v>0</v>
      </c>
      <c r="J169" s="45" t="b">
        <f>IF(INDEX(calcCh3Prod2Slot3Active,,xxIndexTeam)=1,TRUE,FALSE)</f>
        <v>0</v>
      </c>
      <c r="K169" s="43" t="b">
        <f t="shared" si="14"/>
        <v>0</v>
      </c>
      <c r="L169" s="46">
        <f t="shared" si="17"/>
        <v>4</v>
      </c>
      <c r="M169" s="43" t="str">
        <f t="shared" si="15"/>
        <v>Kara</v>
      </c>
    </row>
    <row r="170" spans="2:13">
      <c r="B170" s="38">
        <v>6</v>
      </c>
      <c r="C170" s="138">
        <v>6</v>
      </c>
      <c r="D170" s="138" t="str">
        <f>nmProd3</f>
        <v>Kara</v>
      </c>
      <c r="E170" s="139">
        <v>0</v>
      </c>
      <c r="F170" s="43" t="str">
        <f t="shared" si="16"/>
        <v>Kara</v>
      </c>
      <c r="G170" s="43" t="b">
        <f t="shared" si="12"/>
        <v>1</v>
      </c>
      <c r="H170" s="43" t="b">
        <f t="shared" si="13"/>
        <v>1</v>
      </c>
      <c r="I170" s="44" t="b">
        <v>0</v>
      </c>
      <c r="J170" s="45" t="b">
        <f>IF(INDEX(calcCh3Prod3Slot1Active,,xxIndexTeam)=1,TRUE,FALSE)</f>
        <v>1</v>
      </c>
      <c r="K170" s="43" t="b">
        <f t="shared" si="14"/>
        <v>1</v>
      </c>
      <c r="L170" s="46">
        <f t="shared" si="17"/>
        <v>5</v>
      </c>
      <c r="M170" s="43" t="str">
        <f t="shared" si="15"/>
        <v>Kara Slot 1</v>
      </c>
    </row>
    <row r="171" spans="2:13">
      <c r="B171" s="38">
        <v>7</v>
      </c>
      <c r="C171" s="136">
        <v>7</v>
      </c>
      <c r="D171" s="136" t="str">
        <f>nmProd3&amp;" Slot 1"</f>
        <v>Kara Slot 1</v>
      </c>
      <c r="E171" s="137">
        <v>0</v>
      </c>
      <c r="F171" s="43" t="str">
        <f t="shared" si="16"/>
        <v>Kara Slot 1</v>
      </c>
      <c r="G171" s="43" t="b">
        <f t="shared" si="12"/>
        <v>1</v>
      </c>
      <c r="H171" s="43" t="b">
        <f t="shared" si="13"/>
        <v>1</v>
      </c>
      <c r="I171" s="44" t="b">
        <v>0</v>
      </c>
      <c r="J171" s="45" t="b">
        <f>IF(INDEX(calcCh3Prod3Slot1Active,,xxIndexTeam)=1,TRUE,FALSE)</f>
        <v>1</v>
      </c>
      <c r="K171" s="43" t="b">
        <f t="shared" si="14"/>
        <v>1</v>
      </c>
      <c r="L171" s="46">
        <f t="shared" si="17"/>
        <v>6</v>
      </c>
      <c r="M171" s="43" t="str">
        <f t="shared" si="15"/>
        <v>Greenborg</v>
      </c>
    </row>
    <row r="172" spans="2:13">
      <c r="B172" s="38">
        <v>8</v>
      </c>
      <c r="C172" s="138">
        <v>8</v>
      </c>
      <c r="D172" s="138" t="str">
        <f>nmProd3&amp;" Slot 2"</f>
        <v>Kara Slot 2</v>
      </c>
      <c r="E172" s="139">
        <v>0</v>
      </c>
      <c r="F172" s="43" t="str">
        <f t="shared" si="16"/>
        <v>Kara Slot 2</v>
      </c>
      <c r="G172" s="43" t="b">
        <f t="shared" si="12"/>
        <v>1</v>
      </c>
      <c r="H172" s="43" t="b">
        <f t="shared" si="13"/>
        <v>1</v>
      </c>
      <c r="I172" s="44" t="b">
        <v>0</v>
      </c>
      <c r="J172" s="45" t="b">
        <f>IF(INDEX(calcCh3Prod3Slot2Active,,xxIndexTeam)=1,TRUE,FALSE)</f>
        <v>0</v>
      </c>
      <c r="K172" s="43" t="b">
        <f t="shared" si="14"/>
        <v>0</v>
      </c>
      <c r="L172" s="46">
        <f t="shared" si="17"/>
        <v>6</v>
      </c>
      <c r="M172" s="43" t="str">
        <f t="shared" si="15"/>
        <v>Greenborg Slot 1</v>
      </c>
    </row>
    <row r="173" spans="2:13">
      <c r="B173" s="38">
        <v>9</v>
      </c>
      <c r="C173" s="136">
        <v>9</v>
      </c>
      <c r="D173" s="136" t="str">
        <f>nmProd3&amp;" Slot 3"</f>
        <v>Kara Slot 3</v>
      </c>
      <c r="E173" s="137">
        <v>0</v>
      </c>
      <c r="F173" s="43" t="str">
        <f t="shared" si="16"/>
        <v>Kara Slot 3</v>
      </c>
      <c r="G173" s="43" t="b">
        <f t="shared" si="12"/>
        <v>1</v>
      </c>
      <c r="H173" s="43" t="b">
        <f t="shared" si="13"/>
        <v>1</v>
      </c>
      <c r="I173" s="44" t="b">
        <v>0</v>
      </c>
      <c r="J173" s="45" t="b">
        <f>IF(INDEX(calcCh3Prod3Slot3Active,,xxIndexTeam)=1,TRUE,FALSE)</f>
        <v>0</v>
      </c>
      <c r="K173" s="43" t="b">
        <f t="shared" si="14"/>
        <v>0</v>
      </c>
      <c r="L173" s="46">
        <f t="shared" si="17"/>
        <v>6</v>
      </c>
      <c r="M173" s="43">
        <f t="shared" si="15"/>
        <v>0</v>
      </c>
    </row>
    <row r="174" spans="2:13">
      <c r="B174" s="38">
        <v>10</v>
      </c>
      <c r="C174" s="138">
        <v>10</v>
      </c>
      <c r="D174" s="138" t="str">
        <f>nmProd1</f>
        <v>Greenborg</v>
      </c>
      <c r="E174" s="139">
        <v>0</v>
      </c>
      <c r="F174" s="43" t="str">
        <f t="shared" si="16"/>
        <v>Greenborg</v>
      </c>
      <c r="G174" s="43" t="b">
        <f t="shared" si="12"/>
        <v>1</v>
      </c>
      <c r="H174" s="43" t="b">
        <f t="shared" si="13"/>
        <v>1</v>
      </c>
      <c r="I174" s="44" t="b">
        <v>0</v>
      </c>
      <c r="J174" s="45" t="b">
        <f>IF(INDEX(calcCh3Prod1Slot1Active,,xxIndexTeam)=1,TRUE,FALSE)</f>
        <v>1</v>
      </c>
      <c r="K174" s="43" t="b">
        <f t="shared" si="14"/>
        <v>1</v>
      </c>
      <c r="L174" s="46">
        <f t="shared" si="17"/>
        <v>7</v>
      </c>
      <c r="M174" s="43">
        <f t="shared" si="15"/>
        <v>0</v>
      </c>
    </row>
    <row r="175" spans="2:13">
      <c r="B175" s="38">
        <v>11</v>
      </c>
      <c r="C175" s="136">
        <v>11</v>
      </c>
      <c r="D175" s="136" t="str">
        <f>nmProd1&amp;" Slot 1"</f>
        <v>Greenborg Slot 1</v>
      </c>
      <c r="E175" s="137">
        <v>0</v>
      </c>
      <c r="F175" s="43" t="str">
        <f t="shared" si="16"/>
        <v>Greenborg Slot 1</v>
      </c>
      <c r="G175" s="43" t="b">
        <f t="shared" si="12"/>
        <v>1</v>
      </c>
      <c r="H175" s="43" t="b">
        <f t="shared" si="13"/>
        <v>1</v>
      </c>
      <c r="I175" s="44" t="b">
        <v>0</v>
      </c>
      <c r="J175" s="45" t="b">
        <f>IF(INDEX(calcCh3Prod1Slot1Active,,xxIndexTeam)=1,TRUE,FALSE)</f>
        <v>1</v>
      </c>
      <c r="K175" s="43" t="b">
        <f t="shared" si="14"/>
        <v>1</v>
      </c>
      <c r="L175" s="46">
        <f t="shared" si="17"/>
        <v>8</v>
      </c>
      <c r="M175" s="43">
        <f t="shared" si="15"/>
        <v>0</v>
      </c>
    </row>
    <row r="176" spans="2:13">
      <c r="B176" s="38">
        <v>12</v>
      </c>
      <c r="C176" s="138">
        <v>12</v>
      </c>
      <c r="D176" s="138" t="str">
        <f>nmProd1&amp;" Slot 2"</f>
        <v>Greenborg Slot 2</v>
      </c>
      <c r="E176" s="139">
        <v>0</v>
      </c>
      <c r="F176" s="43" t="str">
        <f t="shared" si="16"/>
        <v>Greenborg Slot 2</v>
      </c>
      <c r="G176" s="43" t="b">
        <f t="shared" si="12"/>
        <v>1</v>
      </c>
      <c r="H176" s="43" t="b">
        <f t="shared" si="13"/>
        <v>1</v>
      </c>
      <c r="I176" s="44" t="b">
        <v>0</v>
      </c>
      <c r="J176" s="45" t="b">
        <f>IF(INDEX(calcCh3Prod1Slot2Active,,xxIndexTeam)=1,TRUE,FALSE)</f>
        <v>0</v>
      </c>
      <c r="K176" s="43" t="b">
        <f t="shared" si="14"/>
        <v>0</v>
      </c>
      <c r="L176" s="46">
        <f t="shared" si="17"/>
        <v>8</v>
      </c>
      <c r="M176" s="43">
        <f t="shared" si="15"/>
        <v>0</v>
      </c>
    </row>
    <row r="177" spans="2:13">
      <c r="B177" s="38">
        <v>13</v>
      </c>
      <c r="C177" s="136">
        <v>13</v>
      </c>
      <c r="D177" s="136" t="str">
        <f>nmProd1&amp;" Slot 3"</f>
        <v>Greenborg Slot 3</v>
      </c>
      <c r="E177" s="137">
        <v>0</v>
      </c>
      <c r="F177" s="43" t="str">
        <f t="shared" si="16"/>
        <v>Greenborg Slot 3</v>
      </c>
      <c r="G177" s="43" t="b">
        <f t="shared" si="12"/>
        <v>1</v>
      </c>
      <c r="H177" s="43" t="b">
        <f t="shared" si="13"/>
        <v>1</v>
      </c>
      <c r="I177" s="44" t="b">
        <v>0</v>
      </c>
      <c r="J177" s="45" t="b">
        <f>IF(INDEX(calcCh3Prod1Slot3Active,,xxIndexTeam)=1,TRUE,FALSE)</f>
        <v>0</v>
      </c>
      <c r="K177" s="43" t="b">
        <f t="shared" si="14"/>
        <v>0</v>
      </c>
      <c r="L177" s="46">
        <f t="shared" si="17"/>
        <v>8</v>
      </c>
      <c r="M177" s="43">
        <f t="shared" si="15"/>
        <v>0</v>
      </c>
    </row>
    <row r="178" spans="2:13">
      <c r="B178" s="38">
        <v>14</v>
      </c>
      <c r="C178" s="138">
        <v>14</v>
      </c>
      <c r="D178" s="138" t="str">
        <f>nmProd4</f>
        <v>Brew Master</v>
      </c>
      <c r="E178" s="139">
        <v>0</v>
      </c>
      <c r="F178" s="43" t="str">
        <f t="shared" si="16"/>
        <v>Brew Master</v>
      </c>
      <c r="G178" s="43" t="b">
        <f t="shared" si="12"/>
        <v>1</v>
      </c>
      <c r="H178" s="43" t="b">
        <f t="shared" si="13"/>
        <v>1</v>
      </c>
      <c r="I178" s="44" t="b">
        <v>0</v>
      </c>
      <c r="J178" s="45" t="b">
        <f>IF(INDEX(calcCh3Prod4Slot1Active,,xxIndexTeam)=1,TRUE,FALSE)</f>
        <v>0</v>
      </c>
      <c r="K178" s="43" t="b">
        <f t="shared" si="14"/>
        <v>0</v>
      </c>
      <c r="L178" s="46">
        <f t="shared" si="17"/>
        <v>8</v>
      </c>
      <c r="M178" s="43">
        <f t="shared" si="15"/>
        <v>0</v>
      </c>
    </row>
    <row r="179" spans="2:13">
      <c r="B179" s="38">
        <v>15</v>
      </c>
      <c r="C179" s="136">
        <v>15</v>
      </c>
      <c r="D179" s="136" t="str">
        <f>nmProd4&amp;" Slot 1"</f>
        <v>Brew Master Slot 1</v>
      </c>
      <c r="E179" s="137">
        <v>0</v>
      </c>
      <c r="F179" s="43" t="str">
        <f t="shared" si="16"/>
        <v>Brew Master Slot 1</v>
      </c>
      <c r="G179" s="43" t="b">
        <f t="shared" si="12"/>
        <v>1</v>
      </c>
      <c r="H179" s="43" t="b">
        <f t="shared" si="13"/>
        <v>1</v>
      </c>
      <c r="I179" s="44" t="b">
        <v>0</v>
      </c>
      <c r="J179" s="45" t="b">
        <f>IF(INDEX(calcCh3Prod4Slot1Active,,xxIndexTeam)=1,TRUE,FALSE)</f>
        <v>0</v>
      </c>
      <c r="K179" s="43" t="b">
        <f t="shared" si="14"/>
        <v>0</v>
      </c>
      <c r="L179" s="46">
        <f t="shared" si="17"/>
        <v>8</v>
      </c>
      <c r="M179" s="43">
        <f t="shared" si="15"/>
        <v>0</v>
      </c>
    </row>
    <row r="180" spans="2:13">
      <c r="B180" s="38">
        <v>16</v>
      </c>
      <c r="C180" s="138">
        <v>16</v>
      </c>
      <c r="D180" s="138" t="str">
        <f>nmProd4&amp;" Slot 2"</f>
        <v>Brew Master Slot 2</v>
      </c>
      <c r="E180" s="139">
        <v>0</v>
      </c>
      <c r="F180" s="43" t="str">
        <f t="shared" si="16"/>
        <v>Brew Master Slot 2</v>
      </c>
      <c r="G180" s="43" t="b">
        <f t="shared" si="12"/>
        <v>1</v>
      </c>
      <c r="H180" s="43" t="b">
        <f t="shared" si="13"/>
        <v>1</v>
      </c>
      <c r="I180" s="44" t="b">
        <v>0</v>
      </c>
      <c r="J180" s="45" t="b">
        <f>IF(INDEX(calcCh3Prod4Slot2Active,,xxIndexTeam)=1,TRUE,FALSE)</f>
        <v>0</v>
      </c>
      <c r="K180" s="43" t="b">
        <f t="shared" si="14"/>
        <v>0</v>
      </c>
      <c r="L180" s="46">
        <f t="shared" si="17"/>
        <v>8</v>
      </c>
      <c r="M180" s="43">
        <f t="shared" si="15"/>
        <v>0</v>
      </c>
    </row>
    <row r="181" spans="2:13">
      <c r="B181" s="38">
        <v>17</v>
      </c>
      <c r="C181" s="136">
        <v>17</v>
      </c>
      <c r="D181" s="136" t="str">
        <f>nmProd4&amp;" Slot 3"</f>
        <v>Brew Master Slot 3</v>
      </c>
      <c r="E181" s="137">
        <v>0</v>
      </c>
      <c r="F181" s="43" t="str">
        <f t="shared" si="16"/>
        <v>Brew Master Slot 3</v>
      </c>
      <c r="G181" s="43" t="b">
        <f t="shared" si="12"/>
        <v>1</v>
      </c>
      <c r="H181" s="43" t="b">
        <f t="shared" si="13"/>
        <v>1</v>
      </c>
      <c r="I181" s="44" t="b">
        <v>0</v>
      </c>
      <c r="J181" s="45" t="b">
        <f>IF(INDEX(calcCh3Prod4Slot3Active,,xxIndexTeam)=1,TRUE,FALSE)</f>
        <v>0</v>
      </c>
      <c r="K181" s="43" t="b">
        <f t="shared" si="14"/>
        <v>0</v>
      </c>
      <c r="L181" s="46">
        <f t="shared" si="17"/>
        <v>8</v>
      </c>
      <c r="M181" s="43">
        <f t="shared" si="15"/>
        <v>0</v>
      </c>
    </row>
    <row r="182" spans="2:13">
      <c r="B182" s="38">
        <v>18</v>
      </c>
      <c r="C182" s="138">
        <v>18</v>
      </c>
      <c r="D182" s="138"/>
      <c r="E182" s="139">
        <v>0</v>
      </c>
      <c r="F182" s="43" t="str">
        <f t="shared" si="16"/>
        <v/>
      </c>
      <c r="G182" s="43" t="b">
        <f t="shared" si="12"/>
        <v>1</v>
      </c>
      <c r="H182" s="43" t="b">
        <f t="shared" si="13"/>
        <v>0</v>
      </c>
      <c r="I182" s="44" t="b">
        <v>0</v>
      </c>
      <c r="J182" s="45" t="b">
        <v>1</v>
      </c>
      <c r="K182" s="43" t="b">
        <f t="shared" si="14"/>
        <v>0</v>
      </c>
      <c r="L182" s="46">
        <f t="shared" si="17"/>
        <v>8</v>
      </c>
      <c r="M182" s="43">
        <f t="shared" si="15"/>
        <v>0</v>
      </c>
    </row>
    <row r="183" spans="2:13">
      <c r="B183" s="38">
        <v>19</v>
      </c>
      <c r="C183" s="136">
        <v>19</v>
      </c>
      <c r="D183" s="136"/>
      <c r="E183" s="137">
        <v>0</v>
      </c>
      <c r="F183" s="43" t="str">
        <f t="shared" si="16"/>
        <v/>
      </c>
      <c r="G183" s="43" t="b">
        <f t="shared" si="12"/>
        <v>1</v>
      </c>
      <c r="H183" s="43" t="b">
        <f t="shared" si="13"/>
        <v>0</v>
      </c>
      <c r="I183" s="44" t="b">
        <v>0</v>
      </c>
      <c r="J183" s="45" t="b">
        <v>1</v>
      </c>
      <c r="K183" s="43" t="b">
        <f t="shared" si="14"/>
        <v>0</v>
      </c>
      <c r="L183" s="46">
        <f t="shared" si="17"/>
        <v>8</v>
      </c>
      <c r="M183" s="43">
        <f t="shared" si="15"/>
        <v>0</v>
      </c>
    </row>
    <row r="184" spans="2:13">
      <c r="B184" s="38">
        <v>20</v>
      </c>
      <c r="C184" s="138">
        <v>20</v>
      </c>
      <c r="D184" s="138"/>
      <c r="E184" s="139">
        <v>0</v>
      </c>
      <c r="F184" s="43" t="str">
        <f t="shared" si="16"/>
        <v/>
      </c>
      <c r="G184" s="43" t="b">
        <f t="shared" si="12"/>
        <v>1</v>
      </c>
      <c r="H184" s="43" t="b">
        <f t="shared" si="13"/>
        <v>0</v>
      </c>
      <c r="I184" s="44" t="b">
        <v>0</v>
      </c>
      <c r="J184" s="45" t="b">
        <v>1</v>
      </c>
      <c r="K184" s="43" t="b">
        <f t="shared" si="14"/>
        <v>0</v>
      </c>
      <c r="L184" s="46">
        <f t="shared" si="17"/>
        <v>8</v>
      </c>
      <c r="M184" s="43">
        <f t="shared" si="15"/>
        <v>0</v>
      </c>
    </row>
    <row r="185" spans="2:13">
      <c r="B185" s="38">
        <v>21</v>
      </c>
      <c r="C185" s="136">
        <v>21</v>
      </c>
      <c r="D185" s="136"/>
      <c r="E185" s="137">
        <v>0</v>
      </c>
      <c r="F185" s="43" t="str">
        <f t="shared" si="16"/>
        <v/>
      </c>
      <c r="G185" s="43" t="b">
        <f t="shared" si="12"/>
        <v>1</v>
      </c>
      <c r="H185" s="43" t="b">
        <f t="shared" si="13"/>
        <v>0</v>
      </c>
      <c r="I185" s="44" t="b">
        <v>0</v>
      </c>
      <c r="J185" s="45" t="b">
        <v>1</v>
      </c>
      <c r="K185" s="43" t="b">
        <f t="shared" si="14"/>
        <v>0</v>
      </c>
      <c r="L185" s="46">
        <f t="shared" si="17"/>
        <v>8</v>
      </c>
      <c r="M185" s="43">
        <f t="shared" si="15"/>
        <v>0</v>
      </c>
    </row>
    <row r="186" spans="2:13">
      <c r="B186" s="38">
        <v>22</v>
      </c>
      <c r="C186" s="138">
        <v>22</v>
      </c>
      <c r="D186" s="138"/>
      <c r="E186" s="139">
        <v>0</v>
      </c>
      <c r="F186" s="43" t="str">
        <f t="shared" si="16"/>
        <v/>
      </c>
      <c r="G186" s="43" t="b">
        <f t="shared" si="12"/>
        <v>1</v>
      </c>
      <c r="H186" s="43" t="b">
        <f t="shared" si="13"/>
        <v>0</v>
      </c>
      <c r="I186" s="44" t="b">
        <v>0</v>
      </c>
      <c r="J186" s="45" t="b">
        <v>1</v>
      </c>
      <c r="K186" s="43" t="b">
        <f t="shared" si="14"/>
        <v>0</v>
      </c>
      <c r="L186" s="46">
        <f t="shared" si="17"/>
        <v>8</v>
      </c>
      <c r="M186" s="43">
        <f t="shared" si="15"/>
        <v>0</v>
      </c>
    </row>
    <row r="187" spans="2:13">
      <c r="B187" s="38">
        <v>23</v>
      </c>
      <c r="C187" s="136">
        <v>23</v>
      </c>
      <c r="D187" s="136"/>
      <c r="E187" s="137">
        <v>0</v>
      </c>
      <c r="F187" s="43" t="str">
        <f t="shared" si="16"/>
        <v/>
      </c>
      <c r="G187" s="43" t="b">
        <f t="shared" si="12"/>
        <v>1</v>
      </c>
      <c r="H187" s="43" t="b">
        <f t="shared" si="13"/>
        <v>0</v>
      </c>
      <c r="I187" s="44" t="b">
        <v>0</v>
      </c>
      <c r="J187" s="45" t="b">
        <v>1</v>
      </c>
      <c r="K187" s="43" t="b">
        <f t="shared" si="14"/>
        <v>0</v>
      </c>
      <c r="L187" s="46">
        <f t="shared" si="17"/>
        <v>8</v>
      </c>
      <c r="M187" s="43">
        <f t="shared" si="15"/>
        <v>0</v>
      </c>
    </row>
    <row r="188" spans="2:13">
      <c r="B188" s="38">
        <v>24</v>
      </c>
      <c r="C188" s="138">
        <v>24</v>
      </c>
      <c r="D188" s="138"/>
      <c r="E188" s="139">
        <v>0</v>
      </c>
      <c r="F188" s="43" t="str">
        <f t="shared" si="16"/>
        <v/>
      </c>
      <c r="G188" s="43" t="b">
        <f t="shared" si="12"/>
        <v>1</v>
      </c>
      <c r="H188" s="43" t="b">
        <f t="shared" si="13"/>
        <v>0</v>
      </c>
      <c r="I188" s="44" t="b">
        <v>0</v>
      </c>
      <c r="J188" s="45" t="b">
        <v>1</v>
      </c>
      <c r="K188" s="43" t="b">
        <f t="shared" si="14"/>
        <v>0</v>
      </c>
      <c r="L188" s="46">
        <f t="shared" si="17"/>
        <v>8</v>
      </c>
      <c r="M188" s="43">
        <f t="shared" si="15"/>
        <v>0</v>
      </c>
    </row>
    <row r="189" spans="2:13">
      <c r="B189" s="38">
        <v>25</v>
      </c>
      <c r="C189" s="136">
        <v>25</v>
      </c>
      <c r="D189" s="136"/>
      <c r="E189" s="137">
        <v>0</v>
      </c>
      <c r="F189" s="43" t="str">
        <f t="shared" si="16"/>
        <v/>
      </c>
      <c r="G189" s="43" t="b">
        <f t="shared" si="12"/>
        <v>1</v>
      </c>
      <c r="H189" s="43" t="b">
        <f t="shared" si="13"/>
        <v>0</v>
      </c>
      <c r="I189" s="44" t="b">
        <v>0</v>
      </c>
      <c r="J189" s="45" t="b">
        <v>1</v>
      </c>
      <c r="K189" s="43" t="b">
        <f t="shared" si="14"/>
        <v>0</v>
      </c>
      <c r="L189" s="46">
        <f t="shared" si="17"/>
        <v>8</v>
      </c>
      <c r="M189" s="43">
        <f t="shared" si="15"/>
        <v>0</v>
      </c>
    </row>
    <row r="190" spans="2:13">
      <c r="B190" s="38">
        <v>26</v>
      </c>
      <c r="C190" s="138">
        <v>26</v>
      </c>
      <c r="D190" s="138"/>
      <c r="E190" s="139">
        <v>0</v>
      </c>
      <c r="F190" s="43" t="str">
        <f t="shared" si="16"/>
        <v/>
      </c>
      <c r="G190" s="43" t="b">
        <f t="shared" si="12"/>
        <v>1</v>
      </c>
      <c r="H190" s="43" t="b">
        <f t="shared" si="13"/>
        <v>0</v>
      </c>
      <c r="I190" s="44" t="b">
        <v>0</v>
      </c>
      <c r="J190" s="45" t="b">
        <v>1</v>
      </c>
      <c r="K190" s="43" t="b">
        <f t="shared" si="14"/>
        <v>0</v>
      </c>
      <c r="L190" s="46">
        <f t="shared" si="17"/>
        <v>8</v>
      </c>
      <c r="M190" s="43">
        <f t="shared" si="15"/>
        <v>0</v>
      </c>
    </row>
    <row r="191" spans="2:13">
      <c r="B191" s="38">
        <v>27</v>
      </c>
      <c r="C191" s="136">
        <v>27</v>
      </c>
      <c r="D191" s="136"/>
      <c r="E191" s="137">
        <v>0</v>
      </c>
      <c r="F191" s="43" t="str">
        <f t="shared" si="16"/>
        <v/>
      </c>
      <c r="G191" s="43" t="b">
        <f t="shared" si="12"/>
        <v>1</v>
      </c>
      <c r="H191" s="43" t="b">
        <f t="shared" si="13"/>
        <v>0</v>
      </c>
      <c r="I191" s="44" t="b">
        <v>0</v>
      </c>
      <c r="J191" s="45" t="b">
        <v>1</v>
      </c>
      <c r="K191" s="43" t="b">
        <f t="shared" si="14"/>
        <v>0</v>
      </c>
      <c r="L191" s="46">
        <f t="shared" si="17"/>
        <v>8</v>
      </c>
      <c r="M191" s="43">
        <f t="shared" si="15"/>
        <v>0</v>
      </c>
    </row>
    <row r="192" spans="2:13">
      <c r="B192" s="38">
        <v>28</v>
      </c>
      <c r="C192" s="138">
        <v>28</v>
      </c>
      <c r="D192" s="138"/>
      <c r="E192" s="139">
        <v>0</v>
      </c>
      <c r="F192" s="43" t="str">
        <f t="shared" si="16"/>
        <v/>
      </c>
      <c r="G192" s="43" t="b">
        <f t="shared" si="12"/>
        <v>1</v>
      </c>
      <c r="H192" s="43" t="b">
        <f t="shared" si="13"/>
        <v>0</v>
      </c>
      <c r="I192" s="44" t="b">
        <v>0</v>
      </c>
      <c r="J192" s="45" t="b">
        <v>1</v>
      </c>
      <c r="K192" s="43" t="b">
        <f t="shared" si="14"/>
        <v>0</v>
      </c>
      <c r="L192" s="46">
        <f t="shared" si="17"/>
        <v>8</v>
      </c>
      <c r="M192" s="43">
        <f t="shared" si="15"/>
        <v>0</v>
      </c>
    </row>
    <row r="193" spans="1:13">
      <c r="B193" s="38">
        <v>29</v>
      </c>
      <c r="C193" s="136">
        <v>29</v>
      </c>
      <c r="D193" s="136"/>
      <c r="E193" s="137">
        <v>0</v>
      </c>
      <c r="F193" s="43" t="str">
        <f t="shared" si="16"/>
        <v/>
      </c>
      <c r="G193" s="43" t="b">
        <f t="shared" si="12"/>
        <v>1</v>
      </c>
      <c r="H193" s="43" t="b">
        <f t="shared" si="13"/>
        <v>0</v>
      </c>
      <c r="I193" s="44" t="b">
        <v>0</v>
      </c>
      <c r="J193" s="45" t="b">
        <v>1</v>
      </c>
      <c r="K193" s="43" t="b">
        <f t="shared" si="14"/>
        <v>0</v>
      </c>
      <c r="L193" s="46">
        <f t="shared" si="17"/>
        <v>8</v>
      </c>
      <c r="M193" s="43">
        <f t="shared" si="15"/>
        <v>0</v>
      </c>
    </row>
    <row r="194" spans="1:13">
      <c r="B194" s="38">
        <v>30</v>
      </c>
      <c r="C194" s="138">
        <v>30</v>
      </c>
      <c r="D194" s="138"/>
      <c r="E194" s="139">
        <v>0</v>
      </c>
      <c r="F194" s="43" t="str">
        <f t="shared" si="16"/>
        <v/>
      </c>
      <c r="G194" s="43" t="b">
        <f t="shared" si="12"/>
        <v>1</v>
      </c>
      <c r="H194" s="43" t="b">
        <f t="shared" si="13"/>
        <v>0</v>
      </c>
      <c r="I194" s="44" t="b">
        <v>0</v>
      </c>
      <c r="J194" s="45" t="b">
        <v>1</v>
      </c>
      <c r="K194" s="43" t="b">
        <f t="shared" si="14"/>
        <v>0</v>
      </c>
      <c r="L194" s="46">
        <f t="shared" si="17"/>
        <v>8</v>
      </c>
      <c r="M194" s="43">
        <f t="shared" si="15"/>
        <v>0</v>
      </c>
    </row>
    <row r="195" spans="1:13">
      <c r="B195" s="38">
        <v>31</v>
      </c>
      <c r="C195" s="136">
        <v>31</v>
      </c>
      <c r="D195" s="136"/>
      <c r="E195" s="137">
        <v>0</v>
      </c>
      <c r="F195" s="43" t="str">
        <f t="shared" si="16"/>
        <v/>
      </c>
      <c r="G195" s="43" t="b">
        <f t="shared" si="12"/>
        <v>1</v>
      </c>
      <c r="H195" s="43" t="b">
        <f t="shared" si="13"/>
        <v>0</v>
      </c>
      <c r="I195" s="44" t="b">
        <v>0</v>
      </c>
      <c r="J195" s="45" t="b">
        <v>1</v>
      </c>
      <c r="K195" s="43" t="b">
        <f t="shared" si="14"/>
        <v>0</v>
      </c>
      <c r="L195" s="46">
        <f t="shared" si="17"/>
        <v>8</v>
      </c>
      <c r="M195" s="43">
        <f t="shared" si="15"/>
        <v>0</v>
      </c>
    </row>
    <row r="196" spans="1:13">
      <c r="B196" s="38">
        <v>32</v>
      </c>
      <c r="C196" s="138">
        <v>32</v>
      </c>
      <c r="D196" s="138"/>
      <c r="E196" s="139">
        <v>0</v>
      </c>
      <c r="F196" s="43" t="str">
        <f t="shared" si="16"/>
        <v/>
      </c>
      <c r="G196" s="43" t="b">
        <f t="shared" si="12"/>
        <v>1</v>
      </c>
      <c r="H196" s="43" t="b">
        <f t="shared" si="13"/>
        <v>0</v>
      </c>
      <c r="I196" s="44" t="b">
        <v>0</v>
      </c>
      <c r="J196" s="45" t="b">
        <v>1</v>
      </c>
      <c r="K196" s="43" t="b">
        <f t="shared" si="14"/>
        <v>0</v>
      </c>
      <c r="L196" s="46">
        <f t="shared" si="17"/>
        <v>8</v>
      </c>
      <c r="M196" s="43">
        <f t="shared" si="15"/>
        <v>0</v>
      </c>
    </row>
    <row r="197" spans="1:13">
      <c r="B197" s="38">
        <v>33</v>
      </c>
      <c r="C197" s="136">
        <v>33</v>
      </c>
      <c r="D197" s="136"/>
      <c r="E197" s="137">
        <v>0</v>
      </c>
      <c r="F197" s="43" t="str">
        <f t="shared" si="16"/>
        <v/>
      </c>
      <c r="G197" s="43" t="b">
        <f t="shared" si="12"/>
        <v>1</v>
      </c>
      <c r="H197" s="43" t="b">
        <f t="shared" si="13"/>
        <v>0</v>
      </c>
      <c r="I197" s="44" t="b">
        <v>0</v>
      </c>
      <c r="J197" s="45" t="b">
        <v>1</v>
      </c>
      <c r="K197" s="43" t="b">
        <f t="shared" si="14"/>
        <v>0</v>
      </c>
      <c r="L197" s="46">
        <f t="shared" si="17"/>
        <v>8</v>
      </c>
      <c r="M197" s="43">
        <f t="shared" si="15"/>
        <v>0</v>
      </c>
    </row>
    <row r="198" spans="1:13">
      <c r="B198" s="38">
        <v>34</v>
      </c>
      <c r="C198" s="138">
        <v>34</v>
      </c>
      <c r="D198" s="138"/>
      <c r="E198" s="139">
        <v>0</v>
      </c>
      <c r="F198" s="43" t="str">
        <f t="shared" si="16"/>
        <v/>
      </c>
      <c r="G198" s="43" t="b">
        <f t="shared" si="12"/>
        <v>1</v>
      </c>
      <c r="H198" s="43" t="b">
        <f t="shared" si="13"/>
        <v>0</v>
      </c>
      <c r="I198" s="44" t="b">
        <v>0</v>
      </c>
      <c r="J198" s="45" t="b">
        <v>1</v>
      </c>
      <c r="K198" s="43" t="b">
        <f t="shared" si="14"/>
        <v>0</v>
      </c>
      <c r="L198" s="46">
        <f t="shared" si="17"/>
        <v>8</v>
      </c>
      <c r="M198" s="43">
        <f t="shared" si="15"/>
        <v>0</v>
      </c>
    </row>
    <row r="199" spans="1:13">
      <c r="B199" s="38">
        <v>35</v>
      </c>
      <c r="C199" s="136">
        <v>35</v>
      </c>
      <c r="D199" s="136"/>
      <c r="E199" s="137">
        <v>0</v>
      </c>
      <c r="F199" s="43" t="str">
        <f t="shared" si="16"/>
        <v/>
      </c>
      <c r="G199" s="43" t="b">
        <f t="shared" si="12"/>
        <v>1</v>
      </c>
      <c r="H199" s="43" t="b">
        <f t="shared" si="13"/>
        <v>0</v>
      </c>
      <c r="I199" s="44" t="b">
        <v>0</v>
      </c>
      <c r="J199" s="45" t="b">
        <v>1</v>
      </c>
      <c r="K199" s="43" t="b">
        <f t="shared" si="14"/>
        <v>0</v>
      </c>
      <c r="L199" s="46">
        <f t="shared" si="17"/>
        <v>8</v>
      </c>
      <c r="M199" s="43">
        <f t="shared" si="15"/>
        <v>0</v>
      </c>
    </row>
    <row r="200" spans="1:13">
      <c r="B200" s="38">
        <v>36</v>
      </c>
      <c r="C200" s="138">
        <v>36</v>
      </c>
      <c r="D200" s="138"/>
      <c r="E200" s="139">
        <v>0</v>
      </c>
      <c r="F200" s="43" t="str">
        <f t="shared" si="16"/>
        <v/>
      </c>
      <c r="G200" s="43" t="b">
        <f t="shared" si="12"/>
        <v>1</v>
      </c>
      <c r="H200" s="43" t="b">
        <f t="shared" si="13"/>
        <v>0</v>
      </c>
      <c r="I200" s="44" t="b">
        <v>0</v>
      </c>
      <c r="J200" s="45" t="b">
        <v>1</v>
      </c>
      <c r="K200" s="43" t="b">
        <f t="shared" si="14"/>
        <v>0</v>
      </c>
      <c r="L200" s="46">
        <f t="shared" si="17"/>
        <v>8</v>
      </c>
      <c r="M200" s="43">
        <f t="shared" si="15"/>
        <v>0</v>
      </c>
    </row>
    <row r="201" spans="1:13">
      <c r="B201" s="38">
        <v>37</v>
      </c>
      <c r="C201" s="136">
        <v>37</v>
      </c>
      <c r="D201" s="136"/>
      <c r="E201" s="137">
        <v>0</v>
      </c>
      <c r="F201" s="43" t="str">
        <f t="shared" si="16"/>
        <v/>
      </c>
      <c r="G201" s="43" t="b">
        <f t="shared" si="12"/>
        <v>1</v>
      </c>
      <c r="H201" s="43" t="b">
        <f t="shared" si="13"/>
        <v>0</v>
      </c>
      <c r="I201" s="44" t="b">
        <v>0</v>
      </c>
      <c r="J201" s="45" t="b">
        <v>1</v>
      </c>
      <c r="K201" s="43" t="b">
        <f t="shared" si="14"/>
        <v>0</v>
      </c>
      <c r="L201" s="46">
        <f t="shared" si="17"/>
        <v>8</v>
      </c>
      <c r="M201" s="43">
        <f t="shared" si="15"/>
        <v>0</v>
      </c>
    </row>
    <row r="202" spans="1:13">
      <c r="B202" s="38">
        <v>38</v>
      </c>
      <c r="C202" s="138">
        <v>38</v>
      </c>
      <c r="D202" s="138"/>
      <c r="E202" s="139">
        <v>0</v>
      </c>
      <c r="F202" s="43" t="str">
        <f t="shared" si="16"/>
        <v/>
      </c>
      <c r="G202" s="43" t="b">
        <f t="shared" si="12"/>
        <v>1</v>
      </c>
      <c r="H202" s="43" t="b">
        <f t="shared" si="13"/>
        <v>0</v>
      </c>
      <c r="I202" s="44" t="b">
        <v>0</v>
      </c>
      <c r="J202" s="45" t="b">
        <v>1</v>
      </c>
      <c r="K202" s="43" t="b">
        <f t="shared" si="14"/>
        <v>0</v>
      </c>
      <c r="L202" s="46">
        <f t="shared" si="17"/>
        <v>8</v>
      </c>
      <c r="M202" s="43">
        <f t="shared" si="15"/>
        <v>0</v>
      </c>
    </row>
    <row r="203" spans="1:13">
      <c r="B203" s="38">
        <v>39</v>
      </c>
      <c r="C203" s="136">
        <v>39</v>
      </c>
      <c r="D203" s="136"/>
      <c r="E203" s="137">
        <v>0</v>
      </c>
      <c r="F203" s="43" t="str">
        <f t="shared" si="16"/>
        <v/>
      </c>
      <c r="G203" s="43" t="b">
        <f t="shared" si="12"/>
        <v>1</v>
      </c>
      <c r="H203" s="43" t="b">
        <f t="shared" si="13"/>
        <v>0</v>
      </c>
      <c r="I203" s="44" t="b">
        <v>0</v>
      </c>
      <c r="J203" s="45" t="b">
        <v>1</v>
      </c>
      <c r="K203" s="43" t="b">
        <f t="shared" si="14"/>
        <v>0</v>
      </c>
      <c r="L203" s="46">
        <f t="shared" si="17"/>
        <v>8</v>
      </c>
      <c r="M203" s="43">
        <f t="shared" si="15"/>
        <v>0</v>
      </c>
    </row>
    <row r="204" spans="1:13">
      <c r="B204" s="38">
        <v>40</v>
      </c>
      <c r="C204" s="138">
        <v>40</v>
      </c>
      <c r="D204" s="138"/>
      <c r="E204" s="139">
        <v>0</v>
      </c>
      <c r="F204" s="43" t="str">
        <f t="shared" si="16"/>
        <v/>
      </c>
      <c r="G204" s="43" t="b">
        <f t="shared" si="12"/>
        <v>1</v>
      </c>
      <c r="H204" s="43" t="b">
        <f t="shared" si="13"/>
        <v>0</v>
      </c>
      <c r="I204" s="44" t="b">
        <v>0</v>
      </c>
      <c r="J204" s="45" t="b">
        <v>1</v>
      </c>
      <c r="K204" s="43" t="b">
        <f t="shared" si="14"/>
        <v>0</v>
      </c>
      <c r="L204" s="46">
        <f t="shared" si="17"/>
        <v>8</v>
      </c>
      <c r="M204" s="43">
        <f t="shared" si="15"/>
        <v>0</v>
      </c>
    </row>
    <row r="205" spans="1:13">
      <c r="B205" s="38">
        <v>41</v>
      </c>
      <c r="C205" s="140">
        <v>41</v>
      </c>
      <c r="D205" s="140"/>
      <c r="E205" s="141">
        <v>0</v>
      </c>
      <c r="F205" s="47" t="str">
        <f t="shared" si="16"/>
        <v/>
      </c>
      <c r="G205" s="47" t="b">
        <f t="shared" si="12"/>
        <v>1</v>
      </c>
      <c r="H205" s="47" t="b">
        <f t="shared" si="13"/>
        <v>0</v>
      </c>
      <c r="I205" s="48" t="b">
        <v>0</v>
      </c>
      <c r="J205" s="49" t="b">
        <v>1</v>
      </c>
      <c r="K205" s="47" t="b">
        <f t="shared" si="14"/>
        <v>0</v>
      </c>
      <c r="L205" s="50">
        <f t="shared" si="17"/>
        <v>8</v>
      </c>
      <c r="M205" s="47">
        <f t="shared" si="15"/>
        <v>0</v>
      </c>
    </row>
    <row r="206" spans="1:13">
      <c r="B206" s="20" t="s">
        <v>4386</v>
      </c>
      <c r="C206" s="20" t="s">
        <v>4387</v>
      </c>
      <c r="D206" s="20" t="s">
        <v>4388</v>
      </c>
      <c r="E206" s="32"/>
      <c r="F206" s="20" t="s">
        <v>4389</v>
      </c>
      <c r="L206" s="20" t="s">
        <v>4390</v>
      </c>
      <c r="M206" s="32" t="s">
        <v>8476</v>
      </c>
    </row>
    <row r="207" spans="1:13">
      <c r="E207" s="32"/>
    </row>
    <row r="208" spans="1:13" s="54" customFormat="1">
      <c r="A208" s="53" t="s">
        <v>32</v>
      </c>
      <c r="E208" s="55"/>
    </row>
    <row r="210" spans="1:5">
      <c r="B210" s="33" t="s">
        <v>63</v>
      </c>
      <c r="C210" s="34" t="str">
        <f ca="1">MID(CELL("filename",C210),FIND("]",CELL("filename",C210))+1,255)&amp;"!"</f>
        <v>VTdd!</v>
      </c>
    </row>
    <row r="211" spans="1:5">
      <c r="B211" s="33"/>
      <c r="C211" s="20" t="s">
        <v>4391</v>
      </c>
    </row>
    <row r="212" spans="1:5">
      <c r="B212" s="33"/>
    </row>
    <row r="213" spans="1:5">
      <c r="B213" s="33" t="s">
        <v>4392</v>
      </c>
      <c r="C213" s="34">
        <f>MAX(VTCh3_AvailableCount)</f>
        <v>8</v>
      </c>
    </row>
    <row r="214" spans="1:5">
      <c r="C214" s="20" t="s">
        <v>4393</v>
      </c>
    </row>
    <row r="216" spans="1:5" s="54" customFormat="1">
      <c r="A216" s="53" t="str">
        <f>nmCh4</f>
        <v>On-Trade</v>
      </c>
      <c r="E216" s="55"/>
    </row>
    <row r="217" spans="1:5" s="54" customFormat="1">
      <c r="A217" s="53" t="s">
        <v>28</v>
      </c>
      <c r="E217" s="55"/>
    </row>
    <row r="218" spans="1:5">
      <c r="C218" s="34" t="str">
        <f ca="1">VTCh4_WorksheetName &amp; ADDRESS(ROW(M236),COLUMN(M236))&amp;":"&amp;ADDRESS(ROW(M236)+VTCh4_TotalAvailable-1,COLUMN(M236))</f>
        <v>VTdd!$M$236:$M$244</v>
      </c>
      <c r="E218" s="33"/>
    </row>
    <row r="219" spans="1:5">
      <c r="C219" s="20" t="s">
        <v>4368</v>
      </c>
      <c r="E219" s="33"/>
    </row>
    <row r="220" spans="1:5">
      <c r="E220" s="33"/>
    </row>
    <row r="221" spans="1:5">
      <c r="C221" s="35" t="s">
        <v>4369</v>
      </c>
      <c r="E221" s="33"/>
    </row>
    <row r="222" spans="1:5">
      <c r="C222" s="32" t="s">
        <v>4370</v>
      </c>
      <c r="E222" s="33"/>
    </row>
    <row r="223" spans="1:5" ht="15.75" thickBot="1">
      <c r="E223" s="33"/>
    </row>
    <row r="224" spans="1:5" ht="15.75" thickBot="1">
      <c r="B224" s="32" t="s">
        <v>42</v>
      </c>
      <c r="C224" s="36"/>
      <c r="E224" s="33"/>
    </row>
    <row r="225" spans="1:13">
      <c r="E225" s="33"/>
    </row>
    <row r="226" spans="1:13">
      <c r="E226" s="33"/>
    </row>
    <row r="227" spans="1:13" s="54" customFormat="1">
      <c r="A227" s="53" t="s">
        <v>29</v>
      </c>
      <c r="E227" s="55"/>
    </row>
    <row r="228" spans="1:13">
      <c r="E228" s="33"/>
    </row>
    <row r="229" spans="1:13">
      <c r="B229" s="33" t="s">
        <v>30</v>
      </c>
      <c r="C229" s="37">
        <f>xxRound</f>
        <v>1</v>
      </c>
      <c r="D229" s="35" t="s">
        <v>3745</v>
      </c>
      <c r="E229" s="33"/>
    </row>
    <row r="230" spans="1:13">
      <c r="B230" s="33"/>
      <c r="C230" s="20" t="s">
        <v>4371</v>
      </c>
      <c r="E230" s="33"/>
    </row>
    <row r="231" spans="1:13">
      <c r="B231" s="33"/>
      <c r="E231" s="33"/>
    </row>
    <row r="232" spans="1:13">
      <c r="B232" s="33" t="s">
        <v>44</v>
      </c>
      <c r="C232" s="133"/>
      <c r="D232" s="35" t="s">
        <v>46</v>
      </c>
    </row>
    <row r="233" spans="1:13">
      <c r="B233" s="33"/>
      <c r="C233" s="20" t="s">
        <v>4372</v>
      </c>
    </row>
    <row r="234" spans="1:13">
      <c r="B234" s="33"/>
    </row>
    <row r="235" spans="1:13" ht="30">
      <c r="B235" s="38" t="s">
        <v>48</v>
      </c>
      <c r="C235" s="32" t="s">
        <v>49</v>
      </c>
      <c r="D235" s="32" t="s">
        <v>50</v>
      </c>
      <c r="E235" s="39" t="s">
        <v>52</v>
      </c>
      <c r="F235" s="32" t="s">
        <v>51</v>
      </c>
      <c r="G235" s="39" t="s">
        <v>53</v>
      </c>
      <c r="H235" s="39" t="s">
        <v>54</v>
      </c>
      <c r="I235" s="39" t="s">
        <v>55</v>
      </c>
      <c r="J235" s="39" t="s">
        <v>56</v>
      </c>
      <c r="K235" s="39" t="s">
        <v>57</v>
      </c>
      <c r="L235" s="39" t="s">
        <v>58</v>
      </c>
      <c r="M235" s="39" t="s">
        <v>59</v>
      </c>
    </row>
    <row r="236" spans="1:13">
      <c r="B236" s="38">
        <v>1</v>
      </c>
      <c r="C236" s="134">
        <v>1</v>
      </c>
      <c r="D236" s="134" t="str">
        <f>nmCh4</f>
        <v>On-Trade</v>
      </c>
      <c r="E236" s="135">
        <v>0</v>
      </c>
      <c r="F236" s="40" t="str">
        <f>D236</f>
        <v>On-Trade</v>
      </c>
      <c r="G236" s="41" t="b">
        <f t="shared" ref="G236:G276" si="18">E236&lt;=VTCh4_currentRound</f>
        <v>1</v>
      </c>
      <c r="H236" s="41" t="b">
        <f t="shared" ref="H236:H276" si="19">NOT(D236="")</f>
        <v>1</v>
      </c>
      <c r="I236" s="135" t="b">
        <v>0</v>
      </c>
      <c r="J236" s="134" t="b">
        <v>1</v>
      </c>
      <c r="K236" s="41" t="b">
        <f t="shared" ref="K236:K276" si="20">AND(G236,H236,J236,NOT(I236))</f>
        <v>1</v>
      </c>
      <c r="L236" s="42">
        <f>IF(K236,1,0)</f>
        <v>1</v>
      </c>
      <c r="M236" s="41" t="str">
        <f t="shared" ref="M236:M276" si="21">IFERROR(INDEX(VTCh4_DisplayedName,MATCH(B236,VTCh4_AvailableCount,0)),"")</f>
        <v>On-Trade</v>
      </c>
    </row>
    <row r="237" spans="1:13">
      <c r="B237" s="38">
        <v>2</v>
      </c>
      <c r="C237" s="138">
        <v>2</v>
      </c>
      <c r="D237" s="138" t="str">
        <f>nmProd2</f>
        <v>Harken</v>
      </c>
      <c r="E237" s="139">
        <v>0</v>
      </c>
      <c r="F237" s="43" t="str">
        <f t="shared" ref="F237:F276" si="22">VTCh4_selectedSeparator &amp; "" &amp; D237</f>
        <v>Harken</v>
      </c>
      <c r="G237" s="43" t="b">
        <f t="shared" si="18"/>
        <v>1</v>
      </c>
      <c r="H237" s="43" t="b">
        <f t="shared" si="19"/>
        <v>1</v>
      </c>
      <c r="I237" s="44" t="b">
        <v>0</v>
      </c>
      <c r="J237" s="45" t="b">
        <f>IF(INDEX(calcCh4Prod2Slot1Active,,xxIndexTeam)=1,TRUE,FALSE)</f>
        <v>1</v>
      </c>
      <c r="K237" s="43" t="b">
        <f t="shared" si="20"/>
        <v>1</v>
      </c>
      <c r="L237" s="46">
        <f>IF(K237,1,0)+L236</f>
        <v>2</v>
      </c>
      <c r="M237" s="43" t="str">
        <f t="shared" si="21"/>
        <v>Harken</v>
      </c>
    </row>
    <row r="238" spans="1:13">
      <c r="B238" s="38">
        <v>3</v>
      </c>
      <c r="C238" s="136">
        <v>3</v>
      </c>
      <c r="D238" s="136" t="str">
        <f>nmProd2&amp;" Slot 1"</f>
        <v>Harken Slot 1</v>
      </c>
      <c r="E238" s="137">
        <v>0</v>
      </c>
      <c r="F238" s="43" t="str">
        <f t="shared" si="22"/>
        <v>Harken Slot 1</v>
      </c>
      <c r="G238" s="43" t="b">
        <f t="shared" si="18"/>
        <v>1</v>
      </c>
      <c r="H238" s="43" t="b">
        <f t="shared" si="19"/>
        <v>1</v>
      </c>
      <c r="I238" s="44" t="b">
        <v>0</v>
      </c>
      <c r="J238" s="45" t="b">
        <f>IF(INDEX(calcCh4Prod2Slot1Active,,xxIndexTeam)=1,TRUE,FALSE)</f>
        <v>1</v>
      </c>
      <c r="K238" s="43" t="b">
        <f t="shared" si="20"/>
        <v>1</v>
      </c>
      <c r="L238" s="46">
        <f t="shared" ref="L238:L276" si="23">IF(K238,1,0)+L237</f>
        <v>3</v>
      </c>
      <c r="M238" s="43" t="str">
        <f t="shared" si="21"/>
        <v>Harken Slot 1</v>
      </c>
    </row>
    <row r="239" spans="1:13">
      <c r="B239" s="38">
        <v>4</v>
      </c>
      <c r="C239" s="138">
        <v>4</v>
      </c>
      <c r="D239" s="138" t="str">
        <f>nmProd2&amp;" Slot 2"</f>
        <v>Harken Slot 2</v>
      </c>
      <c r="E239" s="139">
        <v>0</v>
      </c>
      <c r="F239" s="43" t="str">
        <f t="shared" si="22"/>
        <v>Harken Slot 2</v>
      </c>
      <c r="G239" s="43" t="b">
        <f t="shared" si="18"/>
        <v>1</v>
      </c>
      <c r="H239" s="43" t="b">
        <f t="shared" si="19"/>
        <v>1</v>
      </c>
      <c r="I239" s="44" t="b">
        <v>0</v>
      </c>
      <c r="J239" s="45" t="b">
        <f>IF(INDEX(calcCh4Prod2Slot2Active,,xxIndexTeam)=1,TRUE,FALSE)</f>
        <v>0</v>
      </c>
      <c r="K239" s="43" t="b">
        <f t="shared" si="20"/>
        <v>0</v>
      </c>
      <c r="L239" s="46">
        <f t="shared" si="23"/>
        <v>3</v>
      </c>
      <c r="M239" s="43" t="str">
        <f t="shared" si="21"/>
        <v>Kara</v>
      </c>
    </row>
    <row r="240" spans="1:13">
      <c r="B240" s="38">
        <v>5</v>
      </c>
      <c r="C240" s="136">
        <v>5</v>
      </c>
      <c r="D240" s="136" t="str">
        <f>nmProd2&amp;" Slot 3"</f>
        <v>Harken Slot 3</v>
      </c>
      <c r="E240" s="137">
        <v>0</v>
      </c>
      <c r="F240" s="43" t="str">
        <f t="shared" si="22"/>
        <v>Harken Slot 3</v>
      </c>
      <c r="G240" s="43" t="b">
        <f t="shared" si="18"/>
        <v>1</v>
      </c>
      <c r="H240" s="43" t="b">
        <f t="shared" si="19"/>
        <v>1</v>
      </c>
      <c r="I240" s="44" t="b">
        <v>0</v>
      </c>
      <c r="J240" s="45" t="b">
        <f>IF(INDEX(calcCh4Prod2Slot3Active,,xxIndexTeam)=1,TRUE,FALSE)</f>
        <v>0</v>
      </c>
      <c r="K240" s="43" t="b">
        <f t="shared" si="20"/>
        <v>0</v>
      </c>
      <c r="L240" s="46">
        <f t="shared" si="23"/>
        <v>3</v>
      </c>
      <c r="M240" s="43" t="str">
        <f t="shared" si="21"/>
        <v>Kara Slot 1</v>
      </c>
    </row>
    <row r="241" spans="2:13">
      <c r="B241" s="38">
        <v>6</v>
      </c>
      <c r="C241" s="138">
        <v>6</v>
      </c>
      <c r="D241" s="138" t="str">
        <f>nmProd3</f>
        <v>Kara</v>
      </c>
      <c r="E241" s="139">
        <v>0</v>
      </c>
      <c r="F241" s="43" t="str">
        <f t="shared" si="22"/>
        <v>Kara</v>
      </c>
      <c r="G241" s="43" t="b">
        <f t="shared" si="18"/>
        <v>1</v>
      </c>
      <c r="H241" s="43" t="b">
        <f t="shared" si="19"/>
        <v>1</v>
      </c>
      <c r="I241" s="44" t="b">
        <v>0</v>
      </c>
      <c r="J241" s="45" t="b">
        <f>IF(INDEX(calcCh4Prod3Slot1Active,,xxIndexTeam)=1,TRUE,FALSE)</f>
        <v>1</v>
      </c>
      <c r="K241" s="43" t="b">
        <f t="shared" si="20"/>
        <v>1</v>
      </c>
      <c r="L241" s="46">
        <f t="shared" si="23"/>
        <v>4</v>
      </c>
      <c r="M241" s="43" t="str">
        <f t="shared" si="21"/>
        <v>Greenborg</v>
      </c>
    </row>
    <row r="242" spans="2:13">
      <c r="B242" s="38">
        <v>7</v>
      </c>
      <c r="C242" s="136">
        <v>7</v>
      </c>
      <c r="D242" s="136" t="str">
        <f>nmProd3&amp;" Slot 1"</f>
        <v>Kara Slot 1</v>
      </c>
      <c r="E242" s="137">
        <v>0</v>
      </c>
      <c r="F242" s="43" t="str">
        <f t="shared" si="22"/>
        <v>Kara Slot 1</v>
      </c>
      <c r="G242" s="43" t="b">
        <f t="shared" si="18"/>
        <v>1</v>
      </c>
      <c r="H242" s="43" t="b">
        <f t="shared" si="19"/>
        <v>1</v>
      </c>
      <c r="I242" s="44" t="b">
        <v>0</v>
      </c>
      <c r="J242" s="45" t="b">
        <f>IF(INDEX(calcCh4Prod3Slot1Active,,xxIndexTeam)=1,TRUE,FALSE)</f>
        <v>1</v>
      </c>
      <c r="K242" s="43" t="b">
        <f t="shared" si="20"/>
        <v>1</v>
      </c>
      <c r="L242" s="46">
        <f t="shared" si="23"/>
        <v>5</v>
      </c>
      <c r="M242" s="43" t="str">
        <f t="shared" si="21"/>
        <v>Greenborg Slot 1</v>
      </c>
    </row>
    <row r="243" spans="2:13">
      <c r="B243" s="38">
        <v>8</v>
      </c>
      <c r="C243" s="138">
        <v>8</v>
      </c>
      <c r="D243" s="138" t="str">
        <f>nmProd3&amp;" Slot 2"</f>
        <v>Kara Slot 2</v>
      </c>
      <c r="E243" s="139">
        <v>0</v>
      </c>
      <c r="F243" s="43" t="str">
        <f t="shared" si="22"/>
        <v>Kara Slot 2</v>
      </c>
      <c r="G243" s="43" t="b">
        <f t="shared" si="18"/>
        <v>1</v>
      </c>
      <c r="H243" s="43" t="b">
        <f t="shared" si="19"/>
        <v>1</v>
      </c>
      <c r="I243" s="44" t="b">
        <v>0</v>
      </c>
      <c r="J243" s="45" t="b">
        <f>IF(INDEX(calcCh4Prod3Slot2Active,,xxIndexTeam)=1,TRUE,FALSE)</f>
        <v>0</v>
      </c>
      <c r="K243" s="43" t="b">
        <f t="shared" si="20"/>
        <v>0</v>
      </c>
      <c r="L243" s="46">
        <f t="shared" si="23"/>
        <v>5</v>
      </c>
      <c r="M243" s="43" t="str">
        <f t="shared" si="21"/>
        <v>Brew Master</v>
      </c>
    </row>
    <row r="244" spans="2:13">
      <c r="B244" s="38">
        <v>9</v>
      </c>
      <c r="C244" s="136">
        <v>9</v>
      </c>
      <c r="D244" s="136" t="str">
        <f>nmProd3&amp;" Slot 3"</f>
        <v>Kara Slot 3</v>
      </c>
      <c r="E244" s="137">
        <v>0</v>
      </c>
      <c r="F244" s="43" t="str">
        <f t="shared" si="22"/>
        <v>Kara Slot 3</v>
      </c>
      <c r="G244" s="43" t="b">
        <f t="shared" si="18"/>
        <v>1</v>
      </c>
      <c r="H244" s="43" t="b">
        <f t="shared" si="19"/>
        <v>1</v>
      </c>
      <c r="I244" s="44" t="b">
        <v>0</v>
      </c>
      <c r="J244" s="45" t="b">
        <f>IF(INDEX(calcCh4Prod3Slot3Active,,xxIndexTeam)=1,TRUE,FALSE)</f>
        <v>0</v>
      </c>
      <c r="K244" s="43" t="b">
        <f t="shared" si="20"/>
        <v>0</v>
      </c>
      <c r="L244" s="46">
        <f t="shared" si="23"/>
        <v>5</v>
      </c>
      <c r="M244" s="43" t="str">
        <f t="shared" si="21"/>
        <v>Brew Master Slot 1</v>
      </c>
    </row>
    <row r="245" spans="2:13">
      <c r="B245" s="38">
        <v>10</v>
      </c>
      <c r="C245" s="138">
        <v>10</v>
      </c>
      <c r="D245" s="138" t="str">
        <f>nmProd1</f>
        <v>Greenborg</v>
      </c>
      <c r="E245" s="139">
        <v>0</v>
      </c>
      <c r="F245" s="43" t="str">
        <f t="shared" si="22"/>
        <v>Greenborg</v>
      </c>
      <c r="G245" s="43" t="b">
        <f t="shared" si="18"/>
        <v>1</v>
      </c>
      <c r="H245" s="43" t="b">
        <f t="shared" si="19"/>
        <v>1</v>
      </c>
      <c r="I245" s="44" t="b">
        <v>0</v>
      </c>
      <c r="J245" s="45" t="b">
        <f>IF(INDEX(calcCh4Prod1Slot1Active,,xxIndexTeam)=1,TRUE,FALSE)</f>
        <v>1</v>
      </c>
      <c r="K245" s="43" t="b">
        <f t="shared" si="20"/>
        <v>1</v>
      </c>
      <c r="L245" s="46">
        <f t="shared" si="23"/>
        <v>6</v>
      </c>
      <c r="M245" s="43" t="str">
        <f t="shared" si="21"/>
        <v/>
      </c>
    </row>
    <row r="246" spans="2:13">
      <c r="B246" s="38">
        <v>11</v>
      </c>
      <c r="C246" s="136">
        <v>11</v>
      </c>
      <c r="D246" s="136" t="str">
        <f>nmProd1&amp;" Slot 1"</f>
        <v>Greenborg Slot 1</v>
      </c>
      <c r="E246" s="137">
        <v>0</v>
      </c>
      <c r="F246" s="43" t="str">
        <f t="shared" si="22"/>
        <v>Greenborg Slot 1</v>
      </c>
      <c r="G246" s="43" t="b">
        <f t="shared" si="18"/>
        <v>1</v>
      </c>
      <c r="H246" s="43" t="b">
        <f t="shared" si="19"/>
        <v>1</v>
      </c>
      <c r="I246" s="44" t="b">
        <v>0</v>
      </c>
      <c r="J246" s="45" t="b">
        <f>IF(INDEX(calcCh4Prod1Slot1Active,,xxIndexTeam)=1,TRUE,FALSE)</f>
        <v>1</v>
      </c>
      <c r="K246" s="43" t="b">
        <f t="shared" si="20"/>
        <v>1</v>
      </c>
      <c r="L246" s="46">
        <f t="shared" si="23"/>
        <v>7</v>
      </c>
      <c r="M246" s="43" t="str">
        <f t="shared" si="21"/>
        <v/>
      </c>
    </row>
    <row r="247" spans="2:13">
      <c r="B247" s="38">
        <v>12</v>
      </c>
      <c r="C247" s="138">
        <v>12</v>
      </c>
      <c r="D247" s="138" t="str">
        <f>nmProd1&amp;" Slot 2"</f>
        <v>Greenborg Slot 2</v>
      </c>
      <c r="E247" s="139">
        <v>0</v>
      </c>
      <c r="F247" s="43" t="str">
        <f t="shared" si="22"/>
        <v>Greenborg Slot 2</v>
      </c>
      <c r="G247" s="43" t="b">
        <f t="shared" si="18"/>
        <v>1</v>
      </c>
      <c r="H247" s="43" t="b">
        <f t="shared" si="19"/>
        <v>1</v>
      </c>
      <c r="I247" s="44" t="b">
        <v>0</v>
      </c>
      <c r="J247" s="45" t="b">
        <f>IF(INDEX(calcCh4Prod1Slot2Active,,xxIndexTeam)=1,TRUE,FALSE)</f>
        <v>0</v>
      </c>
      <c r="K247" s="43" t="b">
        <f t="shared" si="20"/>
        <v>0</v>
      </c>
      <c r="L247" s="46">
        <f t="shared" si="23"/>
        <v>7</v>
      </c>
      <c r="M247" s="43" t="str">
        <f t="shared" si="21"/>
        <v/>
      </c>
    </row>
    <row r="248" spans="2:13">
      <c r="B248" s="38">
        <v>13</v>
      </c>
      <c r="C248" s="136">
        <v>13</v>
      </c>
      <c r="D248" s="136" t="str">
        <f>nmProd1&amp;" Slot 3"</f>
        <v>Greenborg Slot 3</v>
      </c>
      <c r="E248" s="137">
        <v>0</v>
      </c>
      <c r="F248" s="43" t="str">
        <f t="shared" si="22"/>
        <v>Greenborg Slot 3</v>
      </c>
      <c r="G248" s="43" t="b">
        <f t="shared" si="18"/>
        <v>1</v>
      </c>
      <c r="H248" s="43" t="b">
        <f t="shared" si="19"/>
        <v>1</v>
      </c>
      <c r="I248" s="44" t="b">
        <v>0</v>
      </c>
      <c r="J248" s="45" t="b">
        <f>IF(INDEX(calcCh4Prod1Slot3Active,,xxIndexTeam)=1,TRUE,FALSE)</f>
        <v>0</v>
      </c>
      <c r="K248" s="43" t="b">
        <f t="shared" si="20"/>
        <v>0</v>
      </c>
      <c r="L248" s="46">
        <f t="shared" si="23"/>
        <v>7</v>
      </c>
      <c r="M248" s="43" t="str">
        <f t="shared" si="21"/>
        <v/>
      </c>
    </row>
    <row r="249" spans="2:13">
      <c r="B249" s="38">
        <v>14</v>
      </c>
      <c r="C249" s="138">
        <v>14</v>
      </c>
      <c r="D249" s="138" t="str">
        <f>nmProd4</f>
        <v>Brew Master</v>
      </c>
      <c r="E249" s="139">
        <v>0</v>
      </c>
      <c r="F249" s="43" t="str">
        <f t="shared" si="22"/>
        <v>Brew Master</v>
      </c>
      <c r="G249" s="43" t="b">
        <f t="shared" si="18"/>
        <v>1</v>
      </c>
      <c r="H249" s="43" t="b">
        <f t="shared" si="19"/>
        <v>1</v>
      </c>
      <c r="I249" s="44" t="b">
        <v>0</v>
      </c>
      <c r="J249" s="45" t="b">
        <f>IF(INDEX(calcCh4Prod4Slot1Active,,xxIndexTeam)=1,TRUE,FALSE)</f>
        <v>1</v>
      </c>
      <c r="K249" s="43" t="b">
        <f t="shared" si="20"/>
        <v>1</v>
      </c>
      <c r="L249" s="46">
        <f t="shared" si="23"/>
        <v>8</v>
      </c>
      <c r="M249" s="43" t="str">
        <f t="shared" si="21"/>
        <v/>
      </c>
    </row>
    <row r="250" spans="2:13">
      <c r="B250" s="38">
        <v>15</v>
      </c>
      <c r="C250" s="136">
        <v>15</v>
      </c>
      <c r="D250" s="136" t="str">
        <f>nmProd4&amp;" Slot 1"</f>
        <v>Brew Master Slot 1</v>
      </c>
      <c r="E250" s="137">
        <v>0</v>
      </c>
      <c r="F250" s="43" t="str">
        <f t="shared" si="22"/>
        <v>Brew Master Slot 1</v>
      </c>
      <c r="G250" s="43" t="b">
        <f t="shared" si="18"/>
        <v>1</v>
      </c>
      <c r="H250" s="43" t="b">
        <f t="shared" si="19"/>
        <v>1</v>
      </c>
      <c r="I250" s="44" t="b">
        <v>0</v>
      </c>
      <c r="J250" s="45" t="b">
        <f>IF(INDEX(calcCh4Prod4Slot1Active,,xxIndexTeam)=1,TRUE,FALSE)</f>
        <v>1</v>
      </c>
      <c r="K250" s="43" t="b">
        <f t="shared" si="20"/>
        <v>1</v>
      </c>
      <c r="L250" s="46">
        <f t="shared" si="23"/>
        <v>9</v>
      </c>
      <c r="M250" s="43" t="str">
        <f t="shared" si="21"/>
        <v/>
      </c>
    </row>
    <row r="251" spans="2:13">
      <c r="B251" s="38">
        <v>16</v>
      </c>
      <c r="C251" s="138">
        <v>16</v>
      </c>
      <c r="D251" s="138" t="str">
        <f>nmProd4&amp;" Slot 2"</f>
        <v>Brew Master Slot 2</v>
      </c>
      <c r="E251" s="139">
        <v>0</v>
      </c>
      <c r="F251" s="43" t="str">
        <f t="shared" si="22"/>
        <v>Brew Master Slot 2</v>
      </c>
      <c r="G251" s="43" t="b">
        <f t="shared" si="18"/>
        <v>1</v>
      </c>
      <c r="H251" s="43" t="b">
        <f t="shared" si="19"/>
        <v>1</v>
      </c>
      <c r="I251" s="44" t="b">
        <v>0</v>
      </c>
      <c r="J251" s="45" t="b">
        <f>IF(INDEX(calcCh4Prod4Slot2Active,,xxIndexTeam)=1,TRUE,FALSE)</f>
        <v>0</v>
      </c>
      <c r="K251" s="43" t="b">
        <f t="shared" si="20"/>
        <v>0</v>
      </c>
      <c r="L251" s="46">
        <f t="shared" si="23"/>
        <v>9</v>
      </c>
      <c r="M251" s="43" t="str">
        <f t="shared" si="21"/>
        <v/>
      </c>
    </row>
    <row r="252" spans="2:13">
      <c r="B252" s="38">
        <v>17</v>
      </c>
      <c r="C252" s="136">
        <v>17</v>
      </c>
      <c r="D252" s="136" t="str">
        <f>nmProd4&amp;" Slot 3"</f>
        <v>Brew Master Slot 3</v>
      </c>
      <c r="E252" s="137">
        <v>0</v>
      </c>
      <c r="F252" s="43" t="str">
        <f t="shared" si="22"/>
        <v>Brew Master Slot 3</v>
      </c>
      <c r="G252" s="43" t="b">
        <f t="shared" si="18"/>
        <v>1</v>
      </c>
      <c r="H252" s="43" t="b">
        <f t="shared" si="19"/>
        <v>1</v>
      </c>
      <c r="I252" s="44" t="b">
        <v>0</v>
      </c>
      <c r="J252" s="45" t="b">
        <f>IF(INDEX(calcCh4Prod4Slot3Active,,xxIndexTeam)=1,TRUE,FALSE)</f>
        <v>0</v>
      </c>
      <c r="K252" s="43" t="b">
        <f t="shared" si="20"/>
        <v>0</v>
      </c>
      <c r="L252" s="46">
        <f t="shared" si="23"/>
        <v>9</v>
      </c>
      <c r="M252" s="43" t="str">
        <f t="shared" si="21"/>
        <v/>
      </c>
    </row>
    <row r="253" spans="2:13">
      <c r="B253" s="38">
        <v>18</v>
      </c>
      <c r="C253" s="138">
        <v>18</v>
      </c>
      <c r="D253" s="138"/>
      <c r="E253" s="139">
        <v>0</v>
      </c>
      <c r="F253" s="43" t="str">
        <f t="shared" si="22"/>
        <v/>
      </c>
      <c r="G253" s="43" t="b">
        <f t="shared" si="18"/>
        <v>1</v>
      </c>
      <c r="H253" s="43" t="b">
        <f t="shared" si="19"/>
        <v>0</v>
      </c>
      <c r="I253" s="44" t="b">
        <v>0</v>
      </c>
      <c r="J253" s="45" t="b">
        <v>1</v>
      </c>
      <c r="K253" s="43" t="b">
        <f t="shared" si="20"/>
        <v>0</v>
      </c>
      <c r="L253" s="46">
        <f t="shared" si="23"/>
        <v>9</v>
      </c>
      <c r="M253" s="43" t="str">
        <f t="shared" si="21"/>
        <v/>
      </c>
    </row>
    <row r="254" spans="2:13">
      <c r="B254" s="38">
        <v>19</v>
      </c>
      <c r="C254" s="136">
        <v>19</v>
      </c>
      <c r="D254" s="136"/>
      <c r="E254" s="137">
        <v>0</v>
      </c>
      <c r="F254" s="43" t="str">
        <f t="shared" si="22"/>
        <v/>
      </c>
      <c r="G254" s="43" t="b">
        <f t="shared" si="18"/>
        <v>1</v>
      </c>
      <c r="H254" s="43" t="b">
        <f t="shared" si="19"/>
        <v>0</v>
      </c>
      <c r="I254" s="44" t="b">
        <v>0</v>
      </c>
      <c r="J254" s="45" t="b">
        <v>1</v>
      </c>
      <c r="K254" s="43" t="b">
        <f t="shared" si="20"/>
        <v>0</v>
      </c>
      <c r="L254" s="46">
        <f t="shared" si="23"/>
        <v>9</v>
      </c>
      <c r="M254" s="43" t="str">
        <f t="shared" si="21"/>
        <v/>
      </c>
    </row>
    <row r="255" spans="2:13">
      <c r="B255" s="38">
        <v>20</v>
      </c>
      <c r="C255" s="138">
        <v>20</v>
      </c>
      <c r="D255" s="138"/>
      <c r="E255" s="139">
        <v>0</v>
      </c>
      <c r="F255" s="43" t="str">
        <f t="shared" si="22"/>
        <v/>
      </c>
      <c r="G255" s="43" t="b">
        <f t="shared" si="18"/>
        <v>1</v>
      </c>
      <c r="H255" s="43" t="b">
        <f t="shared" si="19"/>
        <v>0</v>
      </c>
      <c r="I255" s="44" t="b">
        <v>0</v>
      </c>
      <c r="J255" s="45" t="b">
        <v>1</v>
      </c>
      <c r="K255" s="43" t="b">
        <f t="shared" si="20"/>
        <v>0</v>
      </c>
      <c r="L255" s="46">
        <f t="shared" si="23"/>
        <v>9</v>
      </c>
      <c r="M255" s="43" t="str">
        <f t="shared" si="21"/>
        <v/>
      </c>
    </row>
    <row r="256" spans="2:13">
      <c r="B256" s="38">
        <v>21</v>
      </c>
      <c r="C256" s="136">
        <v>21</v>
      </c>
      <c r="D256" s="136"/>
      <c r="E256" s="137">
        <v>0</v>
      </c>
      <c r="F256" s="43" t="str">
        <f t="shared" si="22"/>
        <v/>
      </c>
      <c r="G256" s="43" t="b">
        <f t="shared" si="18"/>
        <v>1</v>
      </c>
      <c r="H256" s="43" t="b">
        <f t="shared" si="19"/>
        <v>0</v>
      </c>
      <c r="I256" s="44" t="b">
        <v>0</v>
      </c>
      <c r="J256" s="45" t="b">
        <v>1</v>
      </c>
      <c r="K256" s="43" t="b">
        <f t="shared" si="20"/>
        <v>0</v>
      </c>
      <c r="L256" s="46">
        <f t="shared" si="23"/>
        <v>9</v>
      </c>
      <c r="M256" s="43" t="str">
        <f t="shared" si="21"/>
        <v/>
      </c>
    </row>
    <row r="257" spans="2:13">
      <c r="B257" s="38">
        <v>22</v>
      </c>
      <c r="C257" s="138">
        <v>22</v>
      </c>
      <c r="D257" s="138"/>
      <c r="E257" s="139">
        <v>0</v>
      </c>
      <c r="F257" s="43" t="str">
        <f t="shared" si="22"/>
        <v/>
      </c>
      <c r="G257" s="43" t="b">
        <f t="shared" si="18"/>
        <v>1</v>
      </c>
      <c r="H257" s="43" t="b">
        <f t="shared" si="19"/>
        <v>0</v>
      </c>
      <c r="I257" s="44" t="b">
        <v>0</v>
      </c>
      <c r="J257" s="45" t="b">
        <v>1</v>
      </c>
      <c r="K257" s="43" t="b">
        <f t="shared" si="20"/>
        <v>0</v>
      </c>
      <c r="L257" s="46">
        <f t="shared" si="23"/>
        <v>9</v>
      </c>
      <c r="M257" s="43" t="str">
        <f t="shared" si="21"/>
        <v/>
      </c>
    </row>
    <row r="258" spans="2:13">
      <c r="B258" s="38">
        <v>23</v>
      </c>
      <c r="C258" s="136">
        <v>23</v>
      </c>
      <c r="D258" s="136"/>
      <c r="E258" s="137">
        <v>0</v>
      </c>
      <c r="F258" s="43" t="str">
        <f t="shared" si="22"/>
        <v/>
      </c>
      <c r="G258" s="43" t="b">
        <f t="shared" si="18"/>
        <v>1</v>
      </c>
      <c r="H258" s="43" t="b">
        <f t="shared" si="19"/>
        <v>0</v>
      </c>
      <c r="I258" s="44" t="b">
        <v>0</v>
      </c>
      <c r="J258" s="45" t="b">
        <v>1</v>
      </c>
      <c r="K258" s="43" t="b">
        <f t="shared" si="20"/>
        <v>0</v>
      </c>
      <c r="L258" s="46">
        <f t="shared" si="23"/>
        <v>9</v>
      </c>
      <c r="M258" s="43" t="str">
        <f t="shared" si="21"/>
        <v/>
      </c>
    </row>
    <row r="259" spans="2:13">
      <c r="B259" s="38">
        <v>24</v>
      </c>
      <c r="C259" s="138">
        <v>24</v>
      </c>
      <c r="D259" s="138"/>
      <c r="E259" s="139">
        <v>0</v>
      </c>
      <c r="F259" s="43" t="str">
        <f t="shared" si="22"/>
        <v/>
      </c>
      <c r="G259" s="43" t="b">
        <f t="shared" si="18"/>
        <v>1</v>
      </c>
      <c r="H259" s="43" t="b">
        <f t="shared" si="19"/>
        <v>0</v>
      </c>
      <c r="I259" s="44" t="b">
        <v>0</v>
      </c>
      <c r="J259" s="45" t="b">
        <v>1</v>
      </c>
      <c r="K259" s="43" t="b">
        <f t="shared" si="20"/>
        <v>0</v>
      </c>
      <c r="L259" s="46">
        <f t="shared" si="23"/>
        <v>9</v>
      </c>
      <c r="M259" s="43" t="str">
        <f t="shared" si="21"/>
        <v/>
      </c>
    </row>
    <row r="260" spans="2:13">
      <c r="B260" s="38">
        <v>25</v>
      </c>
      <c r="C260" s="136">
        <v>25</v>
      </c>
      <c r="D260" s="136"/>
      <c r="E260" s="137">
        <v>0</v>
      </c>
      <c r="F260" s="43" t="str">
        <f t="shared" si="22"/>
        <v/>
      </c>
      <c r="G260" s="43" t="b">
        <f t="shared" si="18"/>
        <v>1</v>
      </c>
      <c r="H260" s="43" t="b">
        <f t="shared" si="19"/>
        <v>0</v>
      </c>
      <c r="I260" s="44" t="b">
        <v>0</v>
      </c>
      <c r="J260" s="45" t="b">
        <v>1</v>
      </c>
      <c r="K260" s="43" t="b">
        <f t="shared" si="20"/>
        <v>0</v>
      </c>
      <c r="L260" s="46">
        <f t="shared" si="23"/>
        <v>9</v>
      </c>
      <c r="M260" s="43" t="str">
        <f t="shared" si="21"/>
        <v/>
      </c>
    </row>
    <row r="261" spans="2:13">
      <c r="B261" s="38">
        <v>26</v>
      </c>
      <c r="C261" s="138">
        <v>26</v>
      </c>
      <c r="D261" s="138"/>
      <c r="E261" s="139">
        <v>0</v>
      </c>
      <c r="F261" s="43" t="str">
        <f t="shared" si="22"/>
        <v/>
      </c>
      <c r="G261" s="43" t="b">
        <f t="shared" si="18"/>
        <v>1</v>
      </c>
      <c r="H261" s="43" t="b">
        <f t="shared" si="19"/>
        <v>0</v>
      </c>
      <c r="I261" s="44" t="b">
        <v>0</v>
      </c>
      <c r="J261" s="45" t="b">
        <v>1</v>
      </c>
      <c r="K261" s="43" t="b">
        <f t="shared" si="20"/>
        <v>0</v>
      </c>
      <c r="L261" s="46">
        <f t="shared" si="23"/>
        <v>9</v>
      </c>
      <c r="M261" s="43" t="str">
        <f t="shared" si="21"/>
        <v/>
      </c>
    </row>
    <row r="262" spans="2:13">
      <c r="B262" s="38">
        <v>27</v>
      </c>
      <c r="C262" s="136">
        <v>27</v>
      </c>
      <c r="D262" s="136"/>
      <c r="E262" s="137">
        <v>0</v>
      </c>
      <c r="F262" s="43" t="str">
        <f t="shared" si="22"/>
        <v/>
      </c>
      <c r="G262" s="43" t="b">
        <f t="shared" si="18"/>
        <v>1</v>
      </c>
      <c r="H262" s="43" t="b">
        <f t="shared" si="19"/>
        <v>0</v>
      </c>
      <c r="I262" s="44" t="b">
        <v>0</v>
      </c>
      <c r="J262" s="45" t="b">
        <v>1</v>
      </c>
      <c r="K262" s="43" t="b">
        <f t="shared" si="20"/>
        <v>0</v>
      </c>
      <c r="L262" s="46">
        <f t="shared" si="23"/>
        <v>9</v>
      </c>
      <c r="M262" s="43" t="str">
        <f t="shared" si="21"/>
        <v/>
      </c>
    </row>
    <row r="263" spans="2:13">
      <c r="B263" s="38">
        <v>28</v>
      </c>
      <c r="C263" s="138">
        <v>28</v>
      </c>
      <c r="D263" s="138"/>
      <c r="E263" s="139">
        <v>0</v>
      </c>
      <c r="F263" s="43" t="str">
        <f t="shared" si="22"/>
        <v/>
      </c>
      <c r="G263" s="43" t="b">
        <f t="shared" si="18"/>
        <v>1</v>
      </c>
      <c r="H263" s="43" t="b">
        <f t="shared" si="19"/>
        <v>0</v>
      </c>
      <c r="I263" s="44" t="b">
        <v>0</v>
      </c>
      <c r="J263" s="45" t="b">
        <v>1</v>
      </c>
      <c r="K263" s="43" t="b">
        <f t="shared" si="20"/>
        <v>0</v>
      </c>
      <c r="L263" s="46">
        <f t="shared" si="23"/>
        <v>9</v>
      </c>
      <c r="M263" s="43" t="str">
        <f t="shared" si="21"/>
        <v/>
      </c>
    </row>
    <row r="264" spans="2:13">
      <c r="B264" s="38">
        <v>29</v>
      </c>
      <c r="C264" s="136">
        <v>29</v>
      </c>
      <c r="D264" s="136"/>
      <c r="E264" s="137">
        <v>0</v>
      </c>
      <c r="F264" s="43" t="str">
        <f t="shared" si="22"/>
        <v/>
      </c>
      <c r="G264" s="43" t="b">
        <f t="shared" si="18"/>
        <v>1</v>
      </c>
      <c r="H264" s="43" t="b">
        <f t="shared" si="19"/>
        <v>0</v>
      </c>
      <c r="I264" s="44" t="b">
        <v>0</v>
      </c>
      <c r="J264" s="45" t="b">
        <v>1</v>
      </c>
      <c r="K264" s="43" t="b">
        <f t="shared" si="20"/>
        <v>0</v>
      </c>
      <c r="L264" s="46">
        <f t="shared" si="23"/>
        <v>9</v>
      </c>
      <c r="M264" s="43" t="str">
        <f t="shared" si="21"/>
        <v/>
      </c>
    </row>
    <row r="265" spans="2:13">
      <c r="B265" s="38">
        <v>30</v>
      </c>
      <c r="C265" s="138">
        <v>30</v>
      </c>
      <c r="D265" s="138"/>
      <c r="E265" s="139">
        <v>0</v>
      </c>
      <c r="F265" s="43" t="str">
        <f t="shared" si="22"/>
        <v/>
      </c>
      <c r="G265" s="43" t="b">
        <f t="shared" si="18"/>
        <v>1</v>
      </c>
      <c r="H265" s="43" t="b">
        <f t="shared" si="19"/>
        <v>0</v>
      </c>
      <c r="I265" s="44" t="b">
        <v>0</v>
      </c>
      <c r="J265" s="45" t="b">
        <v>1</v>
      </c>
      <c r="K265" s="43" t="b">
        <f t="shared" si="20"/>
        <v>0</v>
      </c>
      <c r="L265" s="46">
        <f t="shared" si="23"/>
        <v>9</v>
      </c>
      <c r="M265" s="43" t="str">
        <f t="shared" si="21"/>
        <v/>
      </c>
    </row>
    <row r="266" spans="2:13">
      <c r="B266" s="38">
        <v>31</v>
      </c>
      <c r="C266" s="136">
        <v>31</v>
      </c>
      <c r="D266" s="136"/>
      <c r="E266" s="137">
        <v>0</v>
      </c>
      <c r="F266" s="43" t="str">
        <f t="shared" si="22"/>
        <v/>
      </c>
      <c r="G266" s="43" t="b">
        <f t="shared" si="18"/>
        <v>1</v>
      </c>
      <c r="H266" s="43" t="b">
        <f t="shared" si="19"/>
        <v>0</v>
      </c>
      <c r="I266" s="44" t="b">
        <v>0</v>
      </c>
      <c r="J266" s="45" t="b">
        <v>1</v>
      </c>
      <c r="K266" s="43" t="b">
        <f t="shared" si="20"/>
        <v>0</v>
      </c>
      <c r="L266" s="46">
        <f t="shared" si="23"/>
        <v>9</v>
      </c>
      <c r="M266" s="43" t="str">
        <f t="shared" si="21"/>
        <v/>
      </c>
    </row>
    <row r="267" spans="2:13">
      <c r="B267" s="38">
        <v>32</v>
      </c>
      <c r="C267" s="138">
        <v>32</v>
      </c>
      <c r="D267" s="138"/>
      <c r="E267" s="139">
        <v>0</v>
      </c>
      <c r="F267" s="43" t="str">
        <f t="shared" si="22"/>
        <v/>
      </c>
      <c r="G267" s="43" t="b">
        <f t="shared" si="18"/>
        <v>1</v>
      </c>
      <c r="H267" s="43" t="b">
        <f t="shared" si="19"/>
        <v>0</v>
      </c>
      <c r="I267" s="44" t="b">
        <v>0</v>
      </c>
      <c r="J267" s="45" t="b">
        <v>1</v>
      </c>
      <c r="K267" s="43" t="b">
        <f t="shared" si="20"/>
        <v>0</v>
      </c>
      <c r="L267" s="46">
        <f t="shared" si="23"/>
        <v>9</v>
      </c>
      <c r="M267" s="43" t="str">
        <f t="shared" si="21"/>
        <v/>
      </c>
    </row>
    <row r="268" spans="2:13">
      <c r="B268" s="38">
        <v>33</v>
      </c>
      <c r="C268" s="136">
        <v>33</v>
      </c>
      <c r="D268" s="136"/>
      <c r="E268" s="137">
        <v>0</v>
      </c>
      <c r="F268" s="43" t="str">
        <f t="shared" si="22"/>
        <v/>
      </c>
      <c r="G268" s="43" t="b">
        <f t="shared" si="18"/>
        <v>1</v>
      </c>
      <c r="H268" s="43" t="b">
        <f t="shared" si="19"/>
        <v>0</v>
      </c>
      <c r="I268" s="44" t="b">
        <v>0</v>
      </c>
      <c r="J268" s="45" t="b">
        <v>1</v>
      </c>
      <c r="K268" s="43" t="b">
        <f t="shared" si="20"/>
        <v>0</v>
      </c>
      <c r="L268" s="46">
        <f t="shared" si="23"/>
        <v>9</v>
      </c>
      <c r="M268" s="43" t="str">
        <f t="shared" si="21"/>
        <v/>
      </c>
    </row>
    <row r="269" spans="2:13">
      <c r="B269" s="38">
        <v>34</v>
      </c>
      <c r="C269" s="138">
        <v>34</v>
      </c>
      <c r="D269" s="138"/>
      <c r="E269" s="139">
        <v>0</v>
      </c>
      <c r="F269" s="43" t="str">
        <f t="shared" si="22"/>
        <v/>
      </c>
      <c r="G269" s="43" t="b">
        <f t="shared" si="18"/>
        <v>1</v>
      </c>
      <c r="H269" s="43" t="b">
        <f t="shared" si="19"/>
        <v>0</v>
      </c>
      <c r="I269" s="44" t="b">
        <v>0</v>
      </c>
      <c r="J269" s="45" t="b">
        <v>1</v>
      </c>
      <c r="K269" s="43" t="b">
        <f t="shared" si="20"/>
        <v>0</v>
      </c>
      <c r="L269" s="46">
        <f t="shared" si="23"/>
        <v>9</v>
      </c>
      <c r="M269" s="43" t="str">
        <f t="shared" si="21"/>
        <v/>
      </c>
    </row>
    <row r="270" spans="2:13">
      <c r="B270" s="38">
        <v>35</v>
      </c>
      <c r="C270" s="136">
        <v>35</v>
      </c>
      <c r="D270" s="136"/>
      <c r="E270" s="137">
        <v>0</v>
      </c>
      <c r="F270" s="43" t="str">
        <f t="shared" si="22"/>
        <v/>
      </c>
      <c r="G270" s="43" t="b">
        <f t="shared" si="18"/>
        <v>1</v>
      </c>
      <c r="H270" s="43" t="b">
        <f t="shared" si="19"/>
        <v>0</v>
      </c>
      <c r="I270" s="44" t="b">
        <v>0</v>
      </c>
      <c r="J270" s="45" t="b">
        <v>1</v>
      </c>
      <c r="K270" s="43" t="b">
        <f t="shared" si="20"/>
        <v>0</v>
      </c>
      <c r="L270" s="46">
        <f t="shared" si="23"/>
        <v>9</v>
      </c>
      <c r="M270" s="43" t="str">
        <f t="shared" si="21"/>
        <v/>
      </c>
    </row>
    <row r="271" spans="2:13">
      <c r="B271" s="38">
        <v>36</v>
      </c>
      <c r="C271" s="138">
        <v>36</v>
      </c>
      <c r="D271" s="138"/>
      <c r="E271" s="139">
        <v>0</v>
      </c>
      <c r="F271" s="43" t="str">
        <f t="shared" si="22"/>
        <v/>
      </c>
      <c r="G271" s="43" t="b">
        <f t="shared" si="18"/>
        <v>1</v>
      </c>
      <c r="H271" s="43" t="b">
        <f t="shared" si="19"/>
        <v>0</v>
      </c>
      <c r="I271" s="44" t="b">
        <v>0</v>
      </c>
      <c r="J271" s="45" t="b">
        <v>1</v>
      </c>
      <c r="K271" s="43" t="b">
        <f t="shared" si="20"/>
        <v>0</v>
      </c>
      <c r="L271" s="46">
        <f t="shared" si="23"/>
        <v>9</v>
      </c>
      <c r="M271" s="43" t="str">
        <f t="shared" si="21"/>
        <v/>
      </c>
    </row>
    <row r="272" spans="2:13">
      <c r="B272" s="38">
        <v>37</v>
      </c>
      <c r="C272" s="136">
        <v>37</v>
      </c>
      <c r="D272" s="136"/>
      <c r="E272" s="137">
        <v>0</v>
      </c>
      <c r="F272" s="43" t="str">
        <f t="shared" si="22"/>
        <v/>
      </c>
      <c r="G272" s="43" t="b">
        <f t="shared" si="18"/>
        <v>1</v>
      </c>
      <c r="H272" s="43" t="b">
        <f t="shared" si="19"/>
        <v>0</v>
      </c>
      <c r="I272" s="44" t="b">
        <v>0</v>
      </c>
      <c r="J272" s="45" t="b">
        <v>1</v>
      </c>
      <c r="K272" s="43" t="b">
        <f t="shared" si="20"/>
        <v>0</v>
      </c>
      <c r="L272" s="46">
        <f t="shared" si="23"/>
        <v>9</v>
      </c>
      <c r="M272" s="43" t="str">
        <f t="shared" si="21"/>
        <v/>
      </c>
    </row>
    <row r="273" spans="1:13">
      <c r="B273" s="38">
        <v>38</v>
      </c>
      <c r="C273" s="138">
        <v>38</v>
      </c>
      <c r="D273" s="138"/>
      <c r="E273" s="139">
        <v>0</v>
      </c>
      <c r="F273" s="43" t="str">
        <f t="shared" si="22"/>
        <v/>
      </c>
      <c r="G273" s="43" t="b">
        <f t="shared" si="18"/>
        <v>1</v>
      </c>
      <c r="H273" s="43" t="b">
        <f t="shared" si="19"/>
        <v>0</v>
      </c>
      <c r="I273" s="44" t="b">
        <v>0</v>
      </c>
      <c r="J273" s="45" t="b">
        <v>1</v>
      </c>
      <c r="K273" s="43" t="b">
        <f t="shared" si="20"/>
        <v>0</v>
      </c>
      <c r="L273" s="46">
        <f t="shared" si="23"/>
        <v>9</v>
      </c>
      <c r="M273" s="43" t="str">
        <f t="shared" si="21"/>
        <v/>
      </c>
    </row>
    <row r="274" spans="1:13">
      <c r="B274" s="38">
        <v>39</v>
      </c>
      <c r="C274" s="136">
        <v>39</v>
      </c>
      <c r="D274" s="136"/>
      <c r="E274" s="137">
        <v>0</v>
      </c>
      <c r="F274" s="43" t="str">
        <f t="shared" si="22"/>
        <v/>
      </c>
      <c r="G274" s="43" t="b">
        <f t="shared" si="18"/>
        <v>1</v>
      </c>
      <c r="H274" s="43" t="b">
        <f t="shared" si="19"/>
        <v>0</v>
      </c>
      <c r="I274" s="44" t="b">
        <v>0</v>
      </c>
      <c r="J274" s="45" t="b">
        <v>1</v>
      </c>
      <c r="K274" s="43" t="b">
        <f t="shared" si="20"/>
        <v>0</v>
      </c>
      <c r="L274" s="46">
        <f t="shared" si="23"/>
        <v>9</v>
      </c>
      <c r="M274" s="43" t="str">
        <f t="shared" si="21"/>
        <v/>
      </c>
    </row>
    <row r="275" spans="1:13">
      <c r="B275" s="38">
        <v>40</v>
      </c>
      <c r="C275" s="138">
        <v>40</v>
      </c>
      <c r="D275" s="138"/>
      <c r="E275" s="139">
        <v>0</v>
      </c>
      <c r="F275" s="43" t="str">
        <f t="shared" si="22"/>
        <v/>
      </c>
      <c r="G275" s="43" t="b">
        <f t="shared" si="18"/>
        <v>1</v>
      </c>
      <c r="H275" s="43" t="b">
        <f t="shared" si="19"/>
        <v>0</v>
      </c>
      <c r="I275" s="44" t="b">
        <v>0</v>
      </c>
      <c r="J275" s="45" t="b">
        <v>1</v>
      </c>
      <c r="K275" s="43" t="b">
        <f t="shared" si="20"/>
        <v>0</v>
      </c>
      <c r="L275" s="46">
        <f t="shared" si="23"/>
        <v>9</v>
      </c>
      <c r="M275" s="43" t="str">
        <f t="shared" si="21"/>
        <v/>
      </c>
    </row>
    <row r="276" spans="1:13">
      <c r="B276" s="38">
        <v>41</v>
      </c>
      <c r="C276" s="140">
        <v>41</v>
      </c>
      <c r="D276" s="140"/>
      <c r="E276" s="141">
        <v>0</v>
      </c>
      <c r="F276" s="47" t="str">
        <f t="shared" si="22"/>
        <v/>
      </c>
      <c r="G276" s="47" t="b">
        <f t="shared" si="18"/>
        <v>1</v>
      </c>
      <c r="H276" s="47" t="b">
        <f t="shared" si="19"/>
        <v>0</v>
      </c>
      <c r="I276" s="48" t="b">
        <v>0</v>
      </c>
      <c r="J276" s="49" t="b">
        <v>1</v>
      </c>
      <c r="K276" s="47" t="b">
        <f t="shared" si="20"/>
        <v>0</v>
      </c>
      <c r="L276" s="50">
        <f t="shared" si="23"/>
        <v>9</v>
      </c>
      <c r="M276" s="47" t="str">
        <f t="shared" si="21"/>
        <v/>
      </c>
    </row>
    <row r="277" spans="1:13">
      <c r="B277" s="20" t="s">
        <v>4373</v>
      </c>
      <c r="C277" s="20" t="s">
        <v>4374</v>
      </c>
      <c r="D277" s="20" t="s">
        <v>4375</v>
      </c>
      <c r="E277" s="32"/>
      <c r="F277" s="20" t="s">
        <v>4376</v>
      </c>
      <c r="L277" s="20" t="s">
        <v>4377</v>
      </c>
      <c r="M277" s="32" t="s">
        <v>8477</v>
      </c>
    </row>
    <row r="278" spans="1:13">
      <c r="E278" s="32"/>
    </row>
    <row r="279" spans="1:13" s="54" customFormat="1">
      <c r="A279" s="53" t="s">
        <v>32</v>
      </c>
      <c r="E279" s="55"/>
    </row>
    <row r="281" spans="1:13">
      <c r="B281" s="33" t="s">
        <v>63</v>
      </c>
      <c r="C281" s="34" t="str">
        <f ca="1">MID(CELL("filename",C281),FIND("]",CELL("filename",C281))+1,255)&amp;"!"</f>
        <v>VTdd!</v>
      </c>
    </row>
    <row r="282" spans="1:13">
      <c r="B282" s="33"/>
      <c r="C282" s="20" t="s">
        <v>4378</v>
      </c>
    </row>
    <row r="283" spans="1:13">
      <c r="B283" s="33"/>
    </row>
    <row r="284" spans="1:13">
      <c r="B284" s="33" t="s">
        <v>4379</v>
      </c>
      <c r="C284" s="34">
        <f>MAX(VTCh4_AvailableCount)</f>
        <v>9</v>
      </c>
    </row>
    <row r="285" spans="1:13">
      <c r="C285" s="20" t="s">
        <v>4380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FF00"/>
  </sheetPr>
  <dimension ref="A1:P145"/>
  <sheetViews>
    <sheetView topLeftCell="A50" zoomScale="55" zoomScaleNormal="55" workbookViewId="0">
      <selection activeCell="M82" sqref="M82"/>
    </sheetView>
  </sheetViews>
  <sheetFormatPr defaultColWidth="8.796875" defaultRowHeight="15"/>
  <cols>
    <col min="1" max="1" width="4.69921875" style="32" customWidth="1"/>
    <col min="2" max="2" width="10.69921875" style="32" customWidth="1"/>
    <col min="3" max="3" width="14.69921875" style="32" customWidth="1"/>
    <col min="4" max="4" width="32.69921875" style="32" customWidth="1"/>
    <col min="5" max="5" width="12.296875" style="38" customWidth="1"/>
    <col min="6" max="6" width="32.69921875" style="32" customWidth="1"/>
    <col min="7" max="8" width="8.69921875" style="32" customWidth="1"/>
    <col min="9" max="9" width="10.5" style="32" customWidth="1"/>
    <col min="10" max="10" width="11.09765625" style="32" customWidth="1"/>
    <col min="11" max="12" width="8.796875" style="32"/>
    <col min="13" max="13" width="32.69921875" style="32" customWidth="1"/>
    <col min="14" max="16" width="25.5" style="32" bestFit="1" customWidth="1"/>
    <col min="17" max="16384" width="8.796875" style="32"/>
  </cols>
  <sheetData>
    <row r="1" spans="1:5" s="51" customFormat="1">
      <c r="A1" s="51" t="s">
        <v>364</v>
      </c>
      <c r="E1" s="52"/>
    </row>
    <row r="3" spans="1:5" s="54" customFormat="1">
      <c r="A3" s="53" t="s">
        <v>28</v>
      </c>
      <c r="E3" s="55"/>
    </row>
    <row r="4" spans="1:5">
      <c r="E4" s="33"/>
    </row>
    <row r="5" spans="1:5">
      <c r="C5" s="34" t="str">
        <f ca="1">Pack_WorksheetName &amp; ADDRESS(ROW(M23),COLUMN(M23))&amp;":"&amp;ADDRESS(ROW(M23)+Pack_TotalAvailable-1,COLUMN(M23))</f>
        <v>Packs!$M$23:$M$40</v>
      </c>
      <c r="E5" s="33"/>
    </row>
    <row r="6" spans="1:5">
      <c r="C6" s="20" t="s">
        <v>340</v>
      </c>
      <c r="E6" s="33"/>
    </row>
    <row r="7" spans="1:5">
      <c r="E7" s="33"/>
    </row>
    <row r="8" spans="1:5">
      <c r="C8" s="35" t="s">
        <v>40</v>
      </c>
      <c r="E8" s="33"/>
    </row>
    <row r="9" spans="1:5">
      <c r="C9" s="32" t="s">
        <v>378</v>
      </c>
      <c r="E9" s="33"/>
    </row>
    <row r="10" spans="1:5" ht="15.75" thickBot="1">
      <c r="E10" s="33"/>
    </row>
    <row r="11" spans="1:5" ht="15.75" thickBot="1">
      <c r="B11" s="32" t="s">
        <v>42</v>
      </c>
      <c r="C11" s="36" t="s">
        <v>375</v>
      </c>
      <c r="E11" s="33"/>
    </row>
    <row r="12" spans="1:5">
      <c r="E12" s="33"/>
    </row>
    <row r="13" spans="1:5">
      <c r="E13" s="33"/>
    </row>
    <row r="14" spans="1:5" s="54" customFormat="1">
      <c r="A14" s="53" t="s">
        <v>29</v>
      </c>
      <c r="E14" s="55"/>
    </row>
    <row r="15" spans="1:5">
      <c r="E15" s="33"/>
    </row>
    <row r="16" spans="1:5">
      <c r="B16" s="33" t="s">
        <v>30</v>
      </c>
      <c r="C16" s="37">
        <f>xxRound</f>
        <v>1</v>
      </c>
      <c r="D16" s="35" t="s">
        <v>84</v>
      </c>
      <c r="E16" s="33"/>
    </row>
    <row r="17" spans="2:13">
      <c r="B17" s="33"/>
      <c r="C17" s="20" t="s">
        <v>341</v>
      </c>
      <c r="E17" s="33"/>
    </row>
    <row r="18" spans="2:13">
      <c r="B18" s="33"/>
      <c r="E18" s="33"/>
    </row>
    <row r="19" spans="2:13">
      <c r="B19" s="33" t="s">
        <v>44</v>
      </c>
      <c r="C19" s="133" t="s">
        <v>45</v>
      </c>
      <c r="D19" s="35" t="s">
        <v>46</v>
      </c>
    </row>
    <row r="20" spans="2:13">
      <c r="B20" s="33"/>
      <c r="C20" s="20" t="s">
        <v>342</v>
      </c>
    </row>
    <row r="21" spans="2:13">
      <c r="B21" s="33"/>
    </row>
    <row r="22" spans="2:13" ht="30">
      <c r="B22" s="38" t="s">
        <v>48</v>
      </c>
      <c r="C22" s="32" t="s">
        <v>49</v>
      </c>
      <c r="D22" s="32" t="s">
        <v>50</v>
      </c>
      <c r="E22" s="39" t="s">
        <v>52</v>
      </c>
      <c r="F22" s="32" t="s">
        <v>51</v>
      </c>
      <c r="G22" s="39" t="s">
        <v>53</v>
      </c>
      <c r="H22" s="39" t="s">
        <v>54</v>
      </c>
      <c r="I22" s="39" t="s">
        <v>55</v>
      </c>
      <c r="J22" s="39" t="s">
        <v>56</v>
      </c>
      <c r="K22" s="39" t="s">
        <v>57</v>
      </c>
      <c r="L22" s="39" t="s">
        <v>58</v>
      </c>
      <c r="M22" s="39" t="s">
        <v>59</v>
      </c>
    </row>
    <row r="23" spans="2:13">
      <c r="B23" s="38">
        <v>1</v>
      </c>
      <c r="C23" s="134">
        <v>0</v>
      </c>
      <c r="D23" s="134" t="s">
        <v>350</v>
      </c>
      <c r="E23" s="135">
        <v>0</v>
      </c>
      <c r="F23" s="40" t="str">
        <f>D23</f>
        <v>Select Pack</v>
      </c>
      <c r="G23" s="41" t="b">
        <f t="shared" ref="G23:G63" si="0">E23&lt;=Pack_currentRound</f>
        <v>1</v>
      </c>
      <c r="H23" s="41" t="b">
        <f t="shared" ref="H23:H63" si="1">NOT(D23="")</f>
        <v>1</v>
      </c>
      <c r="I23" s="135" t="b">
        <v>0</v>
      </c>
      <c r="J23" s="134" t="b">
        <v>1</v>
      </c>
      <c r="K23" s="41" t="b">
        <f t="shared" ref="K23:K63" si="2">AND(G23,H23,J23,NOT(I23))</f>
        <v>1</v>
      </c>
      <c r="L23" s="42">
        <f>IF(K23,1,0)</f>
        <v>1</v>
      </c>
      <c r="M23" s="41" t="str">
        <f t="shared" ref="M23:M63" si="3">IFERROR(INDEX(Pack_DisplayedName,MATCH(B23,Pack_AvailableCount,0)),"")</f>
        <v>Select Pack</v>
      </c>
    </row>
    <row r="24" spans="2:13">
      <c r="B24" s="38">
        <v>2</v>
      </c>
      <c r="C24" s="138">
        <v>1</v>
      </c>
      <c r="D24" s="138" t="str">
        <f>nmPack1</f>
        <v>25cl Can</v>
      </c>
      <c r="E24" s="139">
        <v>0</v>
      </c>
      <c r="F24" s="43" t="str">
        <f>D24</f>
        <v>25cl Can</v>
      </c>
      <c r="G24" s="43" t="b">
        <f t="shared" si="0"/>
        <v>1</v>
      </c>
      <c r="H24" s="43" t="b">
        <f t="shared" si="1"/>
        <v>1</v>
      </c>
      <c r="I24" s="199" t="b">
        <v>0</v>
      </c>
      <c r="J24" s="45" t="b">
        <f>IF(INDEX(cbalPack1Avail,,xxIndexTeam)=0,TRUE,FALSE)</f>
        <v>0</v>
      </c>
      <c r="K24" s="43" t="b">
        <f>AND(G24,H24,J24,NOT(I24))</f>
        <v>0</v>
      </c>
      <c r="L24" s="46">
        <f>IF(K24,1,0)+L23</f>
        <v>1</v>
      </c>
      <c r="M24" s="43" t="str">
        <f t="shared" si="3"/>
        <v>50cl Can</v>
      </c>
    </row>
    <row r="25" spans="2:13">
      <c r="B25" s="38">
        <v>3</v>
      </c>
      <c r="C25" s="136">
        <v>2</v>
      </c>
      <c r="D25" s="136" t="str">
        <f>nmPack2</f>
        <v>33cl Can</v>
      </c>
      <c r="E25" s="137">
        <v>0</v>
      </c>
      <c r="F25" s="43" t="str">
        <f t="shared" ref="F25:F63" si="4">D25</f>
        <v>33cl Can</v>
      </c>
      <c r="G25" s="43" t="b">
        <f t="shared" si="0"/>
        <v>1</v>
      </c>
      <c r="H25" s="43" t="b">
        <f t="shared" si="1"/>
        <v>1</v>
      </c>
      <c r="I25" s="199" t="b">
        <v>0</v>
      </c>
      <c r="J25" s="45" t="b">
        <f>IF(INDEX(cbalPack2Avail,,xxIndexTeam)=0,TRUE,FALSE)</f>
        <v>0</v>
      </c>
      <c r="K25" s="43" t="b">
        <f t="shared" si="2"/>
        <v>0</v>
      </c>
      <c r="L25" s="46">
        <f t="shared" ref="L25:L63" si="5">IF(K25,1,0)+L24</f>
        <v>1</v>
      </c>
      <c r="M25" s="43" t="str">
        <f t="shared" si="3"/>
        <v>50cl Bottle</v>
      </c>
    </row>
    <row r="26" spans="2:13">
      <c r="B26" s="38">
        <v>4</v>
      </c>
      <c r="C26" s="138">
        <v>3</v>
      </c>
      <c r="D26" s="138" t="str">
        <f>nmPack3</f>
        <v>50cl Can</v>
      </c>
      <c r="E26" s="139">
        <v>0</v>
      </c>
      <c r="F26" s="43" t="str">
        <f t="shared" si="4"/>
        <v>50cl Can</v>
      </c>
      <c r="G26" s="43" t="b">
        <f t="shared" si="0"/>
        <v>1</v>
      </c>
      <c r="H26" s="43" t="b">
        <f t="shared" si="1"/>
        <v>1</v>
      </c>
      <c r="I26" s="199" t="b">
        <v>0</v>
      </c>
      <c r="J26" s="45" t="b">
        <f>IF(INDEX(cbalPack3Avail,,xxIndexTeam)=0,TRUE,FALSE)</f>
        <v>1</v>
      </c>
      <c r="K26" s="43" t="b">
        <f t="shared" si="2"/>
        <v>1</v>
      </c>
      <c r="L26" s="46">
        <f t="shared" si="5"/>
        <v>2</v>
      </c>
      <c r="M26" s="43" t="str">
        <f t="shared" si="3"/>
        <v>66cl Bottle</v>
      </c>
    </row>
    <row r="27" spans="2:13">
      <c r="B27" s="38">
        <v>5</v>
      </c>
      <c r="C27" s="136">
        <v>4</v>
      </c>
      <c r="D27" s="136" t="str">
        <f>nmPack4</f>
        <v>33cl Bottle</v>
      </c>
      <c r="E27" s="137">
        <v>0</v>
      </c>
      <c r="F27" s="43" t="str">
        <f t="shared" si="4"/>
        <v>33cl Bottle</v>
      </c>
      <c r="G27" s="43" t="b">
        <f t="shared" si="0"/>
        <v>1</v>
      </c>
      <c r="H27" s="43" t="b">
        <f t="shared" si="1"/>
        <v>1</v>
      </c>
      <c r="I27" s="199" t="b">
        <v>0</v>
      </c>
      <c r="J27" s="45" t="b">
        <f>IF(INDEX(cbalPack4Avail,,xxIndexTeam)=0,TRUE,FALSE)</f>
        <v>0</v>
      </c>
      <c r="K27" s="43" t="b">
        <f t="shared" si="2"/>
        <v>0</v>
      </c>
      <c r="L27" s="46">
        <f t="shared" si="5"/>
        <v>2</v>
      </c>
      <c r="M27" s="43" t="str">
        <f t="shared" si="3"/>
        <v>50cl PET</v>
      </c>
    </row>
    <row r="28" spans="2:13">
      <c r="B28" s="38">
        <v>6</v>
      </c>
      <c r="C28" s="138">
        <v>5</v>
      </c>
      <c r="D28" s="138" t="str">
        <f>nmPack5</f>
        <v>50cl Bottle</v>
      </c>
      <c r="E28" s="139">
        <v>0</v>
      </c>
      <c r="F28" s="43" t="str">
        <f t="shared" si="4"/>
        <v>50cl Bottle</v>
      </c>
      <c r="G28" s="43" t="b">
        <f t="shared" si="0"/>
        <v>1</v>
      </c>
      <c r="H28" s="43" t="b">
        <f t="shared" si="1"/>
        <v>1</v>
      </c>
      <c r="I28" s="199" t="b">
        <v>0</v>
      </c>
      <c r="J28" s="45" t="b">
        <f>IF(INDEX(cbalPack5Avail,,xxIndexTeam)=0,TRUE,FALSE)</f>
        <v>1</v>
      </c>
      <c r="K28" s="43" t="b">
        <f t="shared" si="2"/>
        <v>1</v>
      </c>
      <c r="L28" s="46">
        <f t="shared" si="5"/>
        <v>3</v>
      </c>
      <c r="M28" s="43" t="str">
        <f t="shared" si="3"/>
        <v>1.5Ltr Pet</v>
      </c>
    </row>
    <row r="29" spans="2:13">
      <c r="B29" s="38">
        <v>7</v>
      </c>
      <c r="C29" s="136">
        <v>6</v>
      </c>
      <c r="D29" s="138" t="str">
        <f>nmPack6</f>
        <v>66cl Bottle</v>
      </c>
      <c r="E29" s="137">
        <v>0</v>
      </c>
      <c r="F29" s="43" t="str">
        <f t="shared" si="4"/>
        <v>66cl Bottle</v>
      </c>
      <c r="G29" s="43" t="b">
        <f t="shared" si="0"/>
        <v>1</v>
      </c>
      <c r="H29" s="43" t="b">
        <f t="shared" si="1"/>
        <v>1</v>
      </c>
      <c r="I29" s="199" t="b">
        <v>0</v>
      </c>
      <c r="J29" s="45" t="b">
        <f>IF(INDEX(cbalPack6Avail,,xxIndexTeam)=0,TRUE,FALSE)</f>
        <v>1</v>
      </c>
      <c r="K29" s="43" t="b">
        <f t="shared" si="2"/>
        <v>1</v>
      </c>
      <c r="L29" s="46">
        <f t="shared" si="5"/>
        <v>4</v>
      </c>
      <c r="M29" s="43" t="str">
        <f t="shared" si="3"/>
        <v>4Ltr Keg</v>
      </c>
    </row>
    <row r="30" spans="2:13">
      <c r="B30" s="38">
        <v>8</v>
      </c>
      <c r="C30" s="138">
        <v>7</v>
      </c>
      <c r="D30" s="138" t="str">
        <f>nmPack7</f>
        <v>50cl PET</v>
      </c>
      <c r="E30" s="139">
        <v>0</v>
      </c>
      <c r="F30" s="43" t="str">
        <f t="shared" si="4"/>
        <v>50cl PET</v>
      </c>
      <c r="G30" s="43" t="b">
        <f t="shared" si="0"/>
        <v>1</v>
      </c>
      <c r="H30" s="43" t="b">
        <f t="shared" si="1"/>
        <v>1</v>
      </c>
      <c r="I30" s="199" t="b">
        <v>0</v>
      </c>
      <c r="J30" s="45" t="b">
        <f>IF(INDEX(cbalPack7Avail,,xxIndexTeam)=0,TRUE,FALSE)</f>
        <v>1</v>
      </c>
      <c r="K30" s="43" t="b">
        <f t="shared" si="2"/>
        <v>1</v>
      </c>
      <c r="L30" s="46">
        <f t="shared" si="5"/>
        <v>5</v>
      </c>
      <c r="M30" s="43" t="str">
        <f t="shared" si="3"/>
        <v>4 x 33cl Can</v>
      </c>
    </row>
    <row r="31" spans="2:13">
      <c r="B31" s="38">
        <v>9</v>
      </c>
      <c r="C31" s="136">
        <v>8</v>
      </c>
      <c r="D31" s="136" t="str">
        <f>nmPack8</f>
        <v>1.5Ltr Pet</v>
      </c>
      <c r="E31" s="137">
        <v>0</v>
      </c>
      <c r="F31" s="43" t="str">
        <f t="shared" si="4"/>
        <v>1.5Ltr Pet</v>
      </c>
      <c r="G31" s="43" t="b">
        <f t="shared" si="0"/>
        <v>1</v>
      </c>
      <c r="H31" s="43" t="b">
        <f t="shared" si="1"/>
        <v>1</v>
      </c>
      <c r="I31" s="199" t="b">
        <v>0</v>
      </c>
      <c r="J31" s="45" t="b">
        <f>IF(INDEX(cbalPack8Avail,,xxIndexTeam)=0,TRUE,FALSE)</f>
        <v>1</v>
      </c>
      <c r="K31" s="43" t="b">
        <f t="shared" si="2"/>
        <v>1</v>
      </c>
      <c r="L31" s="46">
        <f t="shared" si="5"/>
        <v>6</v>
      </c>
      <c r="M31" s="43" t="str">
        <f t="shared" si="3"/>
        <v>6 x 50cl Can</v>
      </c>
    </row>
    <row r="32" spans="2:13">
      <c r="B32" s="38">
        <v>10</v>
      </c>
      <c r="C32" s="138">
        <v>9</v>
      </c>
      <c r="D32" s="138" t="str">
        <f>nmPack9</f>
        <v>4Ltr Keg</v>
      </c>
      <c r="E32" s="139">
        <v>0</v>
      </c>
      <c r="F32" s="43" t="str">
        <f t="shared" si="4"/>
        <v>4Ltr Keg</v>
      </c>
      <c r="G32" s="43" t="b">
        <f t="shared" si="0"/>
        <v>1</v>
      </c>
      <c r="H32" s="43" t="b">
        <f t="shared" si="1"/>
        <v>1</v>
      </c>
      <c r="I32" s="199" t="b">
        <v>0</v>
      </c>
      <c r="J32" s="45" t="b">
        <f>IF(INDEX(cbalPack9Avail,,xxIndexTeam)=0,TRUE,FALSE)</f>
        <v>1</v>
      </c>
      <c r="K32" s="43" t="b">
        <f t="shared" si="2"/>
        <v>1</v>
      </c>
      <c r="L32" s="46">
        <f t="shared" si="5"/>
        <v>7</v>
      </c>
      <c r="M32" s="43" t="str">
        <f t="shared" si="3"/>
        <v>8 x 25cl Can</v>
      </c>
    </row>
    <row r="33" spans="2:13">
      <c r="B33" s="38">
        <v>11</v>
      </c>
      <c r="C33" s="136">
        <v>10</v>
      </c>
      <c r="D33" s="136" t="str">
        <f>nmPack10</f>
        <v>25Ltr Keg</v>
      </c>
      <c r="E33" s="137">
        <v>0</v>
      </c>
      <c r="F33" s="43" t="str">
        <f t="shared" si="4"/>
        <v>25Ltr Keg</v>
      </c>
      <c r="G33" s="43" t="b">
        <f t="shared" si="0"/>
        <v>1</v>
      </c>
      <c r="H33" s="43" t="b">
        <f t="shared" si="1"/>
        <v>1</v>
      </c>
      <c r="I33" s="199" t="b">
        <v>0</v>
      </c>
      <c r="J33" s="45" t="b">
        <f>IF(INDEX(cbalPack10Avail,,xxIndexTeam)=0,TRUE,FALSE)</f>
        <v>0</v>
      </c>
      <c r="K33" s="43" t="b">
        <f t="shared" si="2"/>
        <v>0</v>
      </c>
      <c r="L33" s="46">
        <f t="shared" si="5"/>
        <v>7</v>
      </c>
      <c r="M33" s="43" t="str">
        <f t="shared" si="3"/>
        <v>12 x 33cl Can</v>
      </c>
    </row>
    <row r="34" spans="2:13">
      <c r="B34" s="38">
        <v>12</v>
      </c>
      <c r="C34" s="138">
        <v>11</v>
      </c>
      <c r="D34" s="138" t="str">
        <f>nmPack11</f>
        <v>4 x 33cl Can</v>
      </c>
      <c r="E34" s="139">
        <v>0</v>
      </c>
      <c r="F34" s="43" t="str">
        <f t="shared" si="4"/>
        <v>4 x 33cl Can</v>
      </c>
      <c r="G34" s="43" t="b">
        <f t="shared" si="0"/>
        <v>1</v>
      </c>
      <c r="H34" s="43" t="b">
        <f t="shared" si="1"/>
        <v>1</v>
      </c>
      <c r="I34" s="199" t="b">
        <v>0</v>
      </c>
      <c r="J34" s="45" t="b">
        <f>IF(INDEX(cbalPack11Avail,,xxIndexTeam)=0,TRUE,FALSE)</f>
        <v>1</v>
      </c>
      <c r="K34" s="43" t="b">
        <f t="shared" si="2"/>
        <v>1</v>
      </c>
      <c r="L34" s="46">
        <f t="shared" si="5"/>
        <v>8</v>
      </c>
      <c r="M34" s="43" t="str">
        <f t="shared" si="3"/>
        <v>6 x 33cl Btl</v>
      </c>
    </row>
    <row r="35" spans="2:13">
      <c r="B35" s="38">
        <v>13</v>
      </c>
      <c r="C35" s="136">
        <v>12</v>
      </c>
      <c r="D35" s="136" t="str">
        <f>nmPack12</f>
        <v>6 x 50cl Can</v>
      </c>
      <c r="E35" s="137">
        <v>0</v>
      </c>
      <c r="F35" s="43" t="str">
        <f t="shared" si="4"/>
        <v>6 x 50cl Can</v>
      </c>
      <c r="G35" s="43" t="b">
        <f t="shared" si="0"/>
        <v>1</v>
      </c>
      <c r="H35" s="43" t="b">
        <f t="shared" si="1"/>
        <v>1</v>
      </c>
      <c r="I35" s="199" t="b">
        <v>0</v>
      </c>
      <c r="J35" s="45" t="b">
        <f>IF(INDEX(cbalPack12Avail,,xxIndexTeam)=0,TRUE,FALSE)</f>
        <v>1</v>
      </c>
      <c r="K35" s="43" t="b">
        <f t="shared" si="2"/>
        <v>1</v>
      </c>
      <c r="L35" s="46">
        <f t="shared" si="5"/>
        <v>9</v>
      </c>
      <c r="M35" s="43" t="str">
        <f t="shared" si="3"/>
        <v>24 x 33cl Btl</v>
      </c>
    </row>
    <row r="36" spans="2:13">
      <c r="B36" s="38">
        <v>14</v>
      </c>
      <c r="C36" s="138">
        <v>13</v>
      </c>
      <c r="D36" s="138" t="str">
        <f>nmPack13</f>
        <v>6 x 33cl Can</v>
      </c>
      <c r="E36" s="139">
        <v>0</v>
      </c>
      <c r="F36" s="43" t="str">
        <f t="shared" si="4"/>
        <v>6 x 33cl Can</v>
      </c>
      <c r="G36" s="43" t="b">
        <f t="shared" si="0"/>
        <v>1</v>
      </c>
      <c r="H36" s="43" t="b">
        <f t="shared" si="1"/>
        <v>1</v>
      </c>
      <c r="I36" s="199" t="b">
        <v>0</v>
      </c>
      <c r="J36" s="45" t="b">
        <f>IF(INDEX(cbalPack13Avail,,xxIndexTeam)=0,TRUE,FALSE)</f>
        <v>0</v>
      </c>
      <c r="K36" s="43" t="b">
        <f t="shared" si="2"/>
        <v>0</v>
      </c>
      <c r="L36" s="46">
        <f t="shared" si="5"/>
        <v>9</v>
      </c>
      <c r="M36" s="43" t="str">
        <f t="shared" si="3"/>
        <v>6 x 50cl Btl</v>
      </c>
    </row>
    <row r="37" spans="2:13">
      <c r="B37" s="38">
        <v>15</v>
      </c>
      <c r="C37" s="136">
        <v>14</v>
      </c>
      <c r="D37" s="136" t="str">
        <f>nmPack14</f>
        <v>8 x 25cl Can</v>
      </c>
      <c r="E37" s="137">
        <v>0</v>
      </c>
      <c r="F37" s="43" t="str">
        <f t="shared" si="4"/>
        <v>8 x 25cl Can</v>
      </c>
      <c r="G37" s="43" t="b">
        <f t="shared" si="0"/>
        <v>1</v>
      </c>
      <c r="H37" s="43" t="b">
        <f t="shared" si="1"/>
        <v>1</v>
      </c>
      <c r="I37" s="199" t="b">
        <v>0</v>
      </c>
      <c r="J37" s="45" t="b">
        <f>IF(INDEX(cbalPack14Avail,,xxIndexTeam)=0,TRUE,FALSE)</f>
        <v>1</v>
      </c>
      <c r="K37" s="43" t="b">
        <f t="shared" si="2"/>
        <v>1</v>
      </c>
      <c r="L37" s="46">
        <f t="shared" si="5"/>
        <v>10</v>
      </c>
      <c r="M37" s="43" t="str">
        <f t="shared" si="3"/>
        <v>30 x 33cl Can</v>
      </c>
    </row>
    <row r="38" spans="2:13">
      <c r="B38" s="38">
        <v>16</v>
      </c>
      <c r="C38" s="138">
        <v>15</v>
      </c>
      <c r="D38" s="138" t="str">
        <f>nmPack15</f>
        <v>10 x 33cl Can</v>
      </c>
      <c r="E38" s="139">
        <v>0</v>
      </c>
      <c r="F38" s="43" t="str">
        <f t="shared" si="4"/>
        <v>10 x 33cl Can</v>
      </c>
      <c r="G38" s="43" t="b">
        <f t="shared" si="0"/>
        <v>1</v>
      </c>
      <c r="H38" s="43" t="b">
        <f t="shared" si="1"/>
        <v>1</v>
      </c>
      <c r="I38" s="199" t="b">
        <v>0</v>
      </c>
      <c r="J38" s="45" t="b">
        <f>IF(INDEX(cbalPack15Avail,,xxIndexTeam)=0,TRUE,FALSE)</f>
        <v>0</v>
      </c>
      <c r="K38" s="43" t="b">
        <f t="shared" si="2"/>
        <v>0</v>
      </c>
      <c r="L38" s="46">
        <f t="shared" si="5"/>
        <v>10</v>
      </c>
      <c r="M38" s="43" t="str">
        <f t="shared" si="3"/>
        <v>6 x 66cl Btl</v>
      </c>
    </row>
    <row r="39" spans="2:13">
      <c r="B39" s="38">
        <v>17</v>
      </c>
      <c r="C39" s="136">
        <v>16</v>
      </c>
      <c r="D39" s="136" t="str">
        <f>nmPack16</f>
        <v>12 x 33cl Can</v>
      </c>
      <c r="E39" s="137">
        <v>0</v>
      </c>
      <c r="F39" s="43" t="str">
        <f t="shared" si="4"/>
        <v>12 x 33cl Can</v>
      </c>
      <c r="G39" s="43" t="b">
        <f t="shared" si="0"/>
        <v>1</v>
      </c>
      <c r="H39" s="43" t="b">
        <f t="shared" si="1"/>
        <v>1</v>
      </c>
      <c r="I39" s="199" t="b">
        <v>0</v>
      </c>
      <c r="J39" s="45" t="b">
        <f>IF(INDEX(cbalPack16Avail,,xxIndexTeam)=0,TRUE,FALSE)</f>
        <v>1</v>
      </c>
      <c r="K39" s="43" t="b">
        <f t="shared" si="2"/>
        <v>1</v>
      </c>
      <c r="L39" s="46">
        <f t="shared" si="5"/>
        <v>11</v>
      </c>
      <c r="M39" s="43" t="str">
        <f t="shared" si="3"/>
        <v>4 x 50cl PET</v>
      </c>
    </row>
    <row r="40" spans="2:13">
      <c r="B40" s="38">
        <v>18</v>
      </c>
      <c r="C40" s="138">
        <v>17</v>
      </c>
      <c r="D40" s="138" t="str">
        <f>nmPack17</f>
        <v>24 x 33cl Can</v>
      </c>
      <c r="E40" s="139">
        <v>0</v>
      </c>
      <c r="F40" s="43" t="str">
        <f t="shared" si="4"/>
        <v>24 x 33cl Can</v>
      </c>
      <c r="G40" s="43" t="b">
        <f t="shared" si="0"/>
        <v>1</v>
      </c>
      <c r="H40" s="43" t="b">
        <f t="shared" si="1"/>
        <v>1</v>
      </c>
      <c r="I40" s="199" t="b">
        <v>0</v>
      </c>
      <c r="J40" s="45" t="b">
        <f>IF(INDEX(cbalPack17Avail,,xxIndexTeam)=0,TRUE,FALSE)</f>
        <v>0</v>
      </c>
      <c r="K40" s="43" t="b">
        <f t="shared" si="2"/>
        <v>0</v>
      </c>
      <c r="L40" s="46">
        <f t="shared" si="5"/>
        <v>11</v>
      </c>
      <c r="M40" s="43" t="str">
        <f t="shared" si="3"/>
        <v>4 x 1.5Ltr PET</v>
      </c>
    </row>
    <row r="41" spans="2:13">
      <c r="B41" s="38">
        <v>19</v>
      </c>
      <c r="C41" s="136">
        <v>18</v>
      </c>
      <c r="D41" s="136" t="str">
        <f>nmPack18</f>
        <v>6 x 33cl Btl</v>
      </c>
      <c r="E41" s="137">
        <v>0</v>
      </c>
      <c r="F41" s="43" t="str">
        <f t="shared" si="4"/>
        <v>6 x 33cl Btl</v>
      </c>
      <c r="G41" s="43" t="b">
        <f t="shared" si="0"/>
        <v>1</v>
      </c>
      <c r="H41" s="43" t="b">
        <f>NOT(D41="")</f>
        <v>1</v>
      </c>
      <c r="I41" s="199" t="b">
        <v>0</v>
      </c>
      <c r="J41" s="45" t="b">
        <f>IF(INDEX(cbalPack18Avail,,xxIndexTeam)=0,TRUE,FALSE)</f>
        <v>1</v>
      </c>
      <c r="K41" s="43" t="b">
        <f t="shared" si="2"/>
        <v>1</v>
      </c>
      <c r="L41" s="46">
        <f t="shared" si="5"/>
        <v>12</v>
      </c>
      <c r="M41" s="43" t="str">
        <f t="shared" si="3"/>
        <v/>
      </c>
    </row>
    <row r="42" spans="2:13">
      <c r="B42" s="38">
        <v>20</v>
      </c>
      <c r="C42" s="138">
        <v>19</v>
      </c>
      <c r="D42" s="138" t="str">
        <f>nmPack19</f>
        <v>24 x 33cl Btl</v>
      </c>
      <c r="E42" s="139">
        <v>0</v>
      </c>
      <c r="F42" s="43" t="str">
        <f t="shared" si="4"/>
        <v>24 x 33cl Btl</v>
      </c>
      <c r="G42" s="43" t="b">
        <f t="shared" si="0"/>
        <v>1</v>
      </c>
      <c r="H42" s="43" t="b">
        <f t="shared" si="1"/>
        <v>1</v>
      </c>
      <c r="I42" s="199" t="b">
        <v>0</v>
      </c>
      <c r="J42" s="45" t="b">
        <f>IF(INDEX(cbalPack19Avail,,xxIndexTeam)=0,TRUE,FALSE)</f>
        <v>1</v>
      </c>
      <c r="K42" s="43" t="b">
        <f t="shared" si="2"/>
        <v>1</v>
      </c>
      <c r="L42" s="46">
        <f t="shared" si="5"/>
        <v>13</v>
      </c>
      <c r="M42" s="43" t="str">
        <f t="shared" si="3"/>
        <v/>
      </c>
    </row>
    <row r="43" spans="2:13">
      <c r="B43" s="38">
        <v>21</v>
      </c>
      <c r="C43" s="136">
        <v>20</v>
      </c>
      <c r="D43" s="136" t="str">
        <f>nmPack20</f>
        <v>6 x 50cl Btl</v>
      </c>
      <c r="E43" s="137">
        <v>0</v>
      </c>
      <c r="F43" s="43" t="str">
        <f t="shared" si="4"/>
        <v>6 x 50cl Btl</v>
      </c>
      <c r="G43" s="43" t="b">
        <f t="shared" si="0"/>
        <v>1</v>
      </c>
      <c r="H43" s="43" t="b">
        <f t="shared" si="1"/>
        <v>1</v>
      </c>
      <c r="I43" s="199" t="b">
        <v>0</v>
      </c>
      <c r="J43" s="45" t="b">
        <f>IF(INDEX(cbalPack20Avail,,xxIndexTeam)=0,TRUE,FALSE)</f>
        <v>1</v>
      </c>
      <c r="K43" s="43" t="b">
        <f t="shared" si="2"/>
        <v>1</v>
      </c>
      <c r="L43" s="46">
        <f t="shared" si="5"/>
        <v>14</v>
      </c>
      <c r="M43" s="43" t="str">
        <f t="shared" si="3"/>
        <v/>
      </c>
    </row>
    <row r="44" spans="2:13">
      <c r="B44" s="38">
        <v>22</v>
      </c>
      <c r="C44" s="138">
        <v>21</v>
      </c>
      <c r="D44" s="138" t="str">
        <f>nmPack21</f>
        <v>30 x 33cl Can</v>
      </c>
      <c r="E44" s="139">
        <v>0</v>
      </c>
      <c r="F44" s="43" t="str">
        <f t="shared" si="4"/>
        <v>30 x 33cl Can</v>
      </c>
      <c r="G44" s="43" t="b">
        <f t="shared" si="0"/>
        <v>1</v>
      </c>
      <c r="H44" s="43" t="b">
        <f t="shared" si="1"/>
        <v>1</v>
      </c>
      <c r="I44" s="199" t="b">
        <v>0</v>
      </c>
      <c r="J44" s="45" t="b">
        <f>IF(INDEX(cbalPack21Avail,,xxIndexTeam)=0,TRUE,FALSE)</f>
        <v>1</v>
      </c>
      <c r="K44" s="43" t="b">
        <f t="shared" si="2"/>
        <v>1</v>
      </c>
      <c r="L44" s="46">
        <f t="shared" si="5"/>
        <v>15</v>
      </c>
      <c r="M44" s="43" t="str">
        <f t="shared" si="3"/>
        <v/>
      </c>
    </row>
    <row r="45" spans="2:13">
      <c r="B45" s="38">
        <v>23</v>
      </c>
      <c r="C45" s="136">
        <v>22</v>
      </c>
      <c r="D45" s="136" t="str">
        <f>nmPack22</f>
        <v>6 x 66cl Btl</v>
      </c>
      <c r="E45" s="137">
        <v>0</v>
      </c>
      <c r="F45" s="43" t="str">
        <f t="shared" si="4"/>
        <v>6 x 66cl Btl</v>
      </c>
      <c r="G45" s="43" t="b">
        <f t="shared" si="0"/>
        <v>1</v>
      </c>
      <c r="H45" s="43" t="b">
        <f t="shared" si="1"/>
        <v>1</v>
      </c>
      <c r="I45" s="199" t="b">
        <v>0</v>
      </c>
      <c r="J45" s="45" t="b">
        <f>IF(INDEX(cbalPack22Avail,,xxIndexTeam)=0,TRUE,FALSE)</f>
        <v>1</v>
      </c>
      <c r="K45" s="43" t="b">
        <f t="shared" si="2"/>
        <v>1</v>
      </c>
      <c r="L45" s="46">
        <f t="shared" si="5"/>
        <v>16</v>
      </c>
      <c r="M45" s="43" t="str">
        <f t="shared" si="3"/>
        <v/>
      </c>
    </row>
    <row r="46" spans="2:13">
      <c r="B46" s="38">
        <v>24</v>
      </c>
      <c r="C46" s="138">
        <v>23</v>
      </c>
      <c r="D46" s="138" t="str">
        <f>nmPack23</f>
        <v>30 x 33cl Btl</v>
      </c>
      <c r="E46" s="139">
        <v>0</v>
      </c>
      <c r="F46" s="43" t="str">
        <f t="shared" si="4"/>
        <v>30 x 33cl Btl</v>
      </c>
      <c r="G46" s="43" t="b">
        <f t="shared" si="0"/>
        <v>1</v>
      </c>
      <c r="H46" s="43" t="b">
        <f t="shared" si="1"/>
        <v>1</v>
      </c>
      <c r="I46" s="199" t="b">
        <v>0</v>
      </c>
      <c r="J46" s="45" t="b">
        <f>IF(INDEX(cbalPack23Avail,,xxIndexTeam)=0,TRUE,FALSE)</f>
        <v>0</v>
      </c>
      <c r="K46" s="43" t="b">
        <f t="shared" si="2"/>
        <v>0</v>
      </c>
      <c r="L46" s="46">
        <f t="shared" si="5"/>
        <v>16</v>
      </c>
      <c r="M46" s="43" t="str">
        <f t="shared" si="3"/>
        <v/>
      </c>
    </row>
    <row r="47" spans="2:13">
      <c r="B47" s="38">
        <v>25</v>
      </c>
      <c r="C47" s="136">
        <v>24</v>
      </c>
      <c r="D47" s="136" t="str">
        <f>nmPack24</f>
        <v>4 x 50cl PET</v>
      </c>
      <c r="E47" s="137">
        <v>0</v>
      </c>
      <c r="F47" s="43" t="str">
        <f t="shared" si="4"/>
        <v>4 x 50cl PET</v>
      </c>
      <c r="G47" s="43" t="b">
        <f t="shared" si="0"/>
        <v>1</v>
      </c>
      <c r="H47" s="43" t="b">
        <f t="shared" si="1"/>
        <v>1</v>
      </c>
      <c r="I47" s="199" t="b">
        <v>0</v>
      </c>
      <c r="J47" s="45" t="b">
        <f>IF(INDEX(cbalPack24Avail,,xxIndexTeam)=0,TRUE,FALSE)</f>
        <v>1</v>
      </c>
      <c r="K47" s="43" t="b">
        <f t="shared" si="2"/>
        <v>1</v>
      </c>
      <c r="L47" s="46">
        <f t="shared" si="5"/>
        <v>17</v>
      </c>
      <c r="M47" s="43" t="str">
        <f t="shared" si="3"/>
        <v/>
      </c>
    </row>
    <row r="48" spans="2:13">
      <c r="B48" s="38">
        <v>26</v>
      </c>
      <c r="C48" s="138">
        <v>25</v>
      </c>
      <c r="D48" s="138" t="str">
        <f>nmPack25</f>
        <v>4 x 1.5Ltr PET</v>
      </c>
      <c r="E48" s="139">
        <v>0</v>
      </c>
      <c r="F48" s="43" t="str">
        <f t="shared" si="4"/>
        <v>4 x 1.5Ltr PET</v>
      </c>
      <c r="G48" s="43" t="b">
        <f t="shared" si="0"/>
        <v>1</v>
      </c>
      <c r="H48" s="43" t="b">
        <f t="shared" si="1"/>
        <v>1</v>
      </c>
      <c r="I48" s="199" t="b">
        <v>0</v>
      </c>
      <c r="J48" s="45" t="b">
        <f>IF(INDEX(cbalPack25Avail,,xxIndexTeam)=0,TRUE,FALSE)</f>
        <v>1</v>
      </c>
      <c r="K48" s="43" t="b">
        <f t="shared" si="2"/>
        <v>1</v>
      </c>
      <c r="L48" s="46">
        <f t="shared" si="5"/>
        <v>18</v>
      </c>
      <c r="M48" s="43" t="str">
        <f t="shared" si="3"/>
        <v/>
      </c>
    </row>
    <row r="49" spans="2:13">
      <c r="B49" s="38">
        <v>27</v>
      </c>
      <c r="C49" s="136">
        <v>26</v>
      </c>
      <c r="D49" s="136" t="str">
        <f>nmPack26</f>
        <v/>
      </c>
      <c r="E49" s="137">
        <v>0</v>
      </c>
      <c r="F49" s="43" t="str">
        <f t="shared" si="4"/>
        <v/>
      </c>
      <c r="G49" s="43" t="b">
        <f t="shared" si="0"/>
        <v>1</v>
      </c>
      <c r="H49" s="43" t="b">
        <f t="shared" si="1"/>
        <v>0</v>
      </c>
      <c r="I49" s="199" t="b">
        <v>0</v>
      </c>
      <c r="J49" s="45" t="b">
        <f>IF(INDEX(cbalPack26Avail,,xxIndexTeam)=0,TRUE,FALSE)</f>
        <v>1</v>
      </c>
      <c r="K49" s="43" t="b">
        <f t="shared" si="2"/>
        <v>0</v>
      </c>
      <c r="L49" s="46">
        <f t="shared" si="5"/>
        <v>18</v>
      </c>
      <c r="M49" s="43" t="str">
        <f t="shared" si="3"/>
        <v/>
      </c>
    </row>
    <row r="50" spans="2:13">
      <c r="B50" s="38">
        <v>28</v>
      </c>
      <c r="C50" s="138">
        <v>27</v>
      </c>
      <c r="D50" s="138" t="str">
        <f>nmPack27</f>
        <v/>
      </c>
      <c r="E50" s="139">
        <v>0</v>
      </c>
      <c r="F50" s="43" t="str">
        <f t="shared" si="4"/>
        <v/>
      </c>
      <c r="G50" s="43" t="b">
        <f t="shared" si="0"/>
        <v>1</v>
      </c>
      <c r="H50" s="43" t="b">
        <f t="shared" si="1"/>
        <v>0</v>
      </c>
      <c r="I50" s="199" t="b">
        <v>0</v>
      </c>
      <c r="J50" s="45" t="b">
        <f>IF(INDEX(cbalPack27Avail,,xxIndexTeam)=0,TRUE,FALSE)</f>
        <v>1</v>
      </c>
      <c r="K50" s="43" t="b">
        <f t="shared" si="2"/>
        <v>0</v>
      </c>
      <c r="L50" s="46">
        <f t="shared" si="5"/>
        <v>18</v>
      </c>
      <c r="M50" s="43" t="str">
        <f t="shared" si="3"/>
        <v/>
      </c>
    </row>
    <row r="51" spans="2:13">
      <c r="B51" s="38">
        <v>29</v>
      </c>
      <c r="C51" s="136">
        <v>28</v>
      </c>
      <c r="D51" s="136" t="str">
        <f>nmPack28</f>
        <v/>
      </c>
      <c r="E51" s="137">
        <v>0</v>
      </c>
      <c r="F51" s="43" t="str">
        <f t="shared" si="4"/>
        <v/>
      </c>
      <c r="G51" s="43" t="b">
        <f t="shared" si="0"/>
        <v>1</v>
      </c>
      <c r="H51" s="43" t="b">
        <f t="shared" si="1"/>
        <v>0</v>
      </c>
      <c r="I51" s="199" t="b">
        <v>0</v>
      </c>
      <c r="J51" s="45" t="b">
        <f>IF(INDEX(cbalPack28Avail,,xxIndexTeam)=0,TRUE,FALSE)</f>
        <v>1</v>
      </c>
      <c r="K51" s="43" t="b">
        <f t="shared" si="2"/>
        <v>0</v>
      </c>
      <c r="L51" s="46">
        <f t="shared" si="5"/>
        <v>18</v>
      </c>
      <c r="M51" s="43" t="str">
        <f t="shared" si="3"/>
        <v/>
      </c>
    </row>
    <row r="52" spans="2:13">
      <c r="B52" s="38">
        <v>30</v>
      </c>
      <c r="C52" s="138">
        <v>29</v>
      </c>
      <c r="D52" s="138" t="str">
        <f>nmPack29</f>
        <v/>
      </c>
      <c r="E52" s="139">
        <v>0</v>
      </c>
      <c r="F52" s="43" t="str">
        <f t="shared" si="4"/>
        <v/>
      </c>
      <c r="G52" s="43" t="b">
        <f t="shared" si="0"/>
        <v>1</v>
      </c>
      <c r="H52" s="43" t="b">
        <f t="shared" si="1"/>
        <v>0</v>
      </c>
      <c r="I52" s="199" t="b">
        <v>0</v>
      </c>
      <c r="J52" s="45" t="b">
        <f>IF(INDEX(cbalPack29Avail,,xxIndexTeam)=0,TRUE,FALSE)</f>
        <v>1</v>
      </c>
      <c r="K52" s="43" t="b">
        <f t="shared" si="2"/>
        <v>0</v>
      </c>
      <c r="L52" s="46">
        <f t="shared" si="5"/>
        <v>18</v>
      </c>
      <c r="M52" s="43" t="str">
        <f t="shared" si="3"/>
        <v/>
      </c>
    </row>
    <row r="53" spans="2:13">
      <c r="B53" s="38">
        <v>31</v>
      </c>
      <c r="C53" s="136">
        <v>30</v>
      </c>
      <c r="D53" s="136" t="str">
        <f>nmPack30</f>
        <v/>
      </c>
      <c r="E53" s="137">
        <v>0</v>
      </c>
      <c r="F53" s="43" t="str">
        <f t="shared" si="4"/>
        <v/>
      </c>
      <c r="G53" s="43" t="b">
        <f t="shared" si="0"/>
        <v>1</v>
      </c>
      <c r="H53" s="43" t="b">
        <f t="shared" si="1"/>
        <v>0</v>
      </c>
      <c r="I53" s="199" t="b">
        <v>0</v>
      </c>
      <c r="J53" s="45" t="b">
        <f>IF(INDEX(cbalPack30Avail,,xxIndexTeam)=0,TRUE,FALSE)</f>
        <v>1</v>
      </c>
      <c r="K53" s="43" t="b">
        <f t="shared" si="2"/>
        <v>0</v>
      </c>
      <c r="L53" s="46">
        <f t="shared" si="5"/>
        <v>18</v>
      </c>
      <c r="M53" s="43" t="str">
        <f t="shared" si="3"/>
        <v/>
      </c>
    </row>
    <row r="54" spans="2:13">
      <c r="B54" s="38">
        <v>32</v>
      </c>
      <c r="C54" s="138">
        <v>31</v>
      </c>
      <c r="D54" s="138"/>
      <c r="E54" s="139">
        <v>0</v>
      </c>
      <c r="F54" s="43">
        <f t="shared" si="4"/>
        <v>0</v>
      </c>
      <c r="G54" s="43" t="b">
        <f t="shared" si="0"/>
        <v>1</v>
      </c>
      <c r="H54" s="43" t="b">
        <f t="shared" si="1"/>
        <v>0</v>
      </c>
      <c r="I54" s="199" t="b">
        <v>0</v>
      </c>
      <c r="J54" s="45" t="b">
        <v>1</v>
      </c>
      <c r="K54" s="43" t="b">
        <f t="shared" si="2"/>
        <v>0</v>
      </c>
      <c r="L54" s="46">
        <f t="shared" si="5"/>
        <v>18</v>
      </c>
      <c r="M54" s="43" t="str">
        <f t="shared" si="3"/>
        <v/>
      </c>
    </row>
    <row r="55" spans="2:13">
      <c r="B55" s="38">
        <v>33</v>
      </c>
      <c r="C55" s="136">
        <v>32</v>
      </c>
      <c r="D55" s="136"/>
      <c r="E55" s="137">
        <v>0</v>
      </c>
      <c r="F55" s="43">
        <f t="shared" si="4"/>
        <v>0</v>
      </c>
      <c r="G55" s="43" t="b">
        <f t="shared" si="0"/>
        <v>1</v>
      </c>
      <c r="H55" s="43" t="b">
        <f t="shared" si="1"/>
        <v>0</v>
      </c>
      <c r="I55" s="199" t="b">
        <v>0</v>
      </c>
      <c r="J55" s="45" t="b">
        <v>1</v>
      </c>
      <c r="K55" s="43" t="b">
        <f t="shared" si="2"/>
        <v>0</v>
      </c>
      <c r="L55" s="46">
        <f t="shared" si="5"/>
        <v>18</v>
      </c>
      <c r="M55" s="43" t="str">
        <f t="shared" si="3"/>
        <v/>
      </c>
    </row>
    <row r="56" spans="2:13">
      <c r="B56" s="38">
        <v>34</v>
      </c>
      <c r="C56" s="138">
        <v>33</v>
      </c>
      <c r="D56" s="138"/>
      <c r="E56" s="139">
        <v>0</v>
      </c>
      <c r="F56" s="43">
        <f t="shared" si="4"/>
        <v>0</v>
      </c>
      <c r="G56" s="43" t="b">
        <f t="shared" si="0"/>
        <v>1</v>
      </c>
      <c r="H56" s="43" t="b">
        <f t="shared" si="1"/>
        <v>0</v>
      </c>
      <c r="I56" s="199" t="b">
        <v>0</v>
      </c>
      <c r="J56" s="45" t="b">
        <v>1</v>
      </c>
      <c r="K56" s="43" t="b">
        <f t="shared" si="2"/>
        <v>0</v>
      </c>
      <c r="L56" s="46">
        <f t="shared" si="5"/>
        <v>18</v>
      </c>
      <c r="M56" s="43" t="str">
        <f t="shared" si="3"/>
        <v/>
      </c>
    </row>
    <row r="57" spans="2:13">
      <c r="B57" s="38">
        <v>35</v>
      </c>
      <c r="C57" s="136">
        <v>34</v>
      </c>
      <c r="D57" s="136"/>
      <c r="E57" s="137">
        <v>0</v>
      </c>
      <c r="F57" s="43">
        <f t="shared" si="4"/>
        <v>0</v>
      </c>
      <c r="G57" s="43" t="b">
        <f t="shared" si="0"/>
        <v>1</v>
      </c>
      <c r="H57" s="43" t="b">
        <f t="shared" si="1"/>
        <v>0</v>
      </c>
      <c r="I57" s="199" t="b">
        <v>0</v>
      </c>
      <c r="J57" s="45" t="b">
        <v>1</v>
      </c>
      <c r="K57" s="43" t="b">
        <f t="shared" si="2"/>
        <v>0</v>
      </c>
      <c r="L57" s="46">
        <f t="shared" si="5"/>
        <v>18</v>
      </c>
      <c r="M57" s="43" t="str">
        <f t="shared" si="3"/>
        <v/>
      </c>
    </row>
    <row r="58" spans="2:13">
      <c r="B58" s="38">
        <v>36</v>
      </c>
      <c r="C58" s="138">
        <v>35</v>
      </c>
      <c r="D58" s="138"/>
      <c r="E58" s="139">
        <v>0</v>
      </c>
      <c r="F58" s="43">
        <f t="shared" si="4"/>
        <v>0</v>
      </c>
      <c r="G58" s="43" t="b">
        <f t="shared" si="0"/>
        <v>1</v>
      </c>
      <c r="H58" s="43" t="b">
        <f t="shared" si="1"/>
        <v>0</v>
      </c>
      <c r="I58" s="199" t="b">
        <v>0</v>
      </c>
      <c r="J58" s="45" t="b">
        <v>1</v>
      </c>
      <c r="K58" s="43" t="b">
        <f t="shared" si="2"/>
        <v>0</v>
      </c>
      <c r="L58" s="46">
        <f t="shared" si="5"/>
        <v>18</v>
      </c>
      <c r="M58" s="43" t="str">
        <f t="shared" si="3"/>
        <v/>
      </c>
    </row>
    <row r="59" spans="2:13">
      <c r="B59" s="38">
        <v>37</v>
      </c>
      <c r="C59" s="136">
        <v>36</v>
      </c>
      <c r="D59" s="136"/>
      <c r="E59" s="137">
        <v>0</v>
      </c>
      <c r="F59" s="43">
        <f t="shared" si="4"/>
        <v>0</v>
      </c>
      <c r="G59" s="43" t="b">
        <f t="shared" si="0"/>
        <v>1</v>
      </c>
      <c r="H59" s="43" t="b">
        <f t="shared" si="1"/>
        <v>0</v>
      </c>
      <c r="I59" s="199" t="b">
        <v>0</v>
      </c>
      <c r="J59" s="45" t="b">
        <v>1</v>
      </c>
      <c r="K59" s="43" t="b">
        <f t="shared" si="2"/>
        <v>0</v>
      </c>
      <c r="L59" s="46">
        <f t="shared" si="5"/>
        <v>18</v>
      </c>
      <c r="M59" s="43" t="str">
        <f t="shared" si="3"/>
        <v/>
      </c>
    </row>
    <row r="60" spans="2:13">
      <c r="B60" s="38">
        <v>38</v>
      </c>
      <c r="C60" s="138">
        <v>37</v>
      </c>
      <c r="D60" s="138"/>
      <c r="E60" s="139">
        <v>0</v>
      </c>
      <c r="F60" s="43">
        <f t="shared" si="4"/>
        <v>0</v>
      </c>
      <c r="G60" s="43" t="b">
        <f t="shared" si="0"/>
        <v>1</v>
      </c>
      <c r="H60" s="43" t="b">
        <f t="shared" si="1"/>
        <v>0</v>
      </c>
      <c r="I60" s="199" t="b">
        <v>0</v>
      </c>
      <c r="J60" s="45" t="b">
        <v>1</v>
      </c>
      <c r="K60" s="43" t="b">
        <f t="shared" si="2"/>
        <v>0</v>
      </c>
      <c r="L60" s="46">
        <f t="shared" si="5"/>
        <v>18</v>
      </c>
      <c r="M60" s="43" t="str">
        <f t="shared" si="3"/>
        <v/>
      </c>
    </row>
    <row r="61" spans="2:13">
      <c r="B61" s="38">
        <v>39</v>
      </c>
      <c r="C61" s="136">
        <v>38</v>
      </c>
      <c r="D61" s="136"/>
      <c r="E61" s="137">
        <v>0</v>
      </c>
      <c r="F61" s="43">
        <f t="shared" si="4"/>
        <v>0</v>
      </c>
      <c r="G61" s="43" t="b">
        <f t="shared" si="0"/>
        <v>1</v>
      </c>
      <c r="H61" s="43" t="b">
        <f t="shared" si="1"/>
        <v>0</v>
      </c>
      <c r="I61" s="199" t="b">
        <v>0</v>
      </c>
      <c r="J61" s="45" t="b">
        <v>1</v>
      </c>
      <c r="K61" s="43" t="b">
        <f t="shared" si="2"/>
        <v>0</v>
      </c>
      <c r="L61" s="46">
        <f t="shared" si="5"/>
        <v>18</v>
      </c>
      <c r="M61" s="43" t="str">
        <f t="shared" si="3"/>
        <v/>
      </c>
    </row>
    <row r="62" spans="2:13">
      <c r="B62" s="38">
        <v>40</v>
      </c>
      <c r="C62" s="138">
        <v>39</v>
      </c>
      <c r="D62" s="138"/>
      <c r="E62" s="139">
        <v>0</v>
      </c>
      <c r="F62" s="43">
        <f t="shared" si="4"/>
        <v>0</v>
      </c>
      <c r="G62" s="43" t="b">
        <f t="shared" si="0"/>
        <v>1</v>
      </c>
      <c r="H62" s="43" t="b">
        <f t="shared" si="1"/>
        <v>0</v>
      </c>
      <c r="I62" s="199" t="b">
        <v>0</v>
      </c>
      <c r="J62" s="45" t="b">
        <v>1</v>
      </c>
      <c r="K62" s="43" t="b">
        <f t="shared" si="2"/>
        <v>0</v>
      </c>
      <c r="L62" s="46">
        <f t="shared" si="5"/>
        <v>18</v>
      </c>
      <c r="M62" s="43" t="str">
        <f t="shared" si="3"/>
        <v/>
      </c>
    </row>
    <row r="63" spans="2:13">
      <c r="B63" s="38">
        <v>41</v>
      </c>
      <c r="C63" s="140">
        <v>40</v>
      </c>
      <c r="D63" s="140"/>
      <c r="E63" s="141">
        <v>0</v>
      </c>
      <c r="F63" s="47">
        <f t="shared" si="4"/>
        <v>0</v>
      </c>
      <c r="G63" s="47" t="b">
        <f t="shared" si="0"/>
        <v>1</v>
      </c>
      <c r="H63" s="47" t="b">
        <f t="shared" si="1"/>
        <v>0</v>
      </c>
      <c r="I63" s="200" t="b">
        <v>0</v>
      </c>
      <c r="J63" s="49" t="b">
        <v>1</v>
      </c>
      <c r="K63" s="47" t="b">
        <f t="shared" si="2"/>
        <v>0</v>
      </c>
      <c r="L63" s="50">
        <f t="shared" si="5"/>
        <v>18</v>
      </c>
      <c r="M63" s="47" t="str">
        <f t="shared" si="3"/>
        <v/>
      </c>
    </row>
    <row r="64" spans="2:13">
      <c r="B64" s="20" t="s">
        <v>343</v>
      </c>
      <c r="C64" s="20" t="s">
        <v>344</v>
      </c>
      <c r="D64" s="20" t="s">
        <v>345</v>
      </c>
      <c r="E64" s="32"/>
      <c r="F64" s="20" t="s">
        <v>346</v>
      </c>
      <c r="L64" s="20" t="s">
        <v>347</v>
      </c>
      <c r="M64" s="32" t="s">
        <v>8469</v>
      </c>
    </row>
    <row r="65" spans="1:5">
      <c r="E65" s="32"/>
    </row>
    <row r="66" spans="1:5" s="54" customFormat="1">
      <c r="A66" s="53" t="s">
        <v>32</v>
      </c>
      <c r="E66" s="55"/>
    </row>
    <row r="68" spans="1:5">
      <c r="B68" s="33" t="s">
        <v>63</v>
      </c>
      <c r="C68" s="34" t="str">
        <f ca="1">MID(CELL("filename",C68),FIND("]",CELL("filename",C68))+1,255)&amp;"!"</f>
        <v>Packs!</v>
      </c>
    </row>
    <row r="69" spans="1:5">
      <c r="B69" s="33"/>
      <c r="C69" s="20" t="s">
        <v>348</v>
      </c>
    </row>
    <row r="70" spans="1:5">
      <c r="B70" s="33"/>
    </row>
    <row r="71" spans="1:5">
      <c r="B71" s="33" t="s">
        <v>376</v>
      </c>
      <c r="C71" s="34">
        <f>MAX(Pack_AvailableCount)</f>
        <v>18</v>
      </c>
    </row>
    <row r="72" spans="1:5">
      <c r="C72" s="20" t="s">
        <v>349</v>
      </c>
    </row>
    <row r="74" spans="1:5" s="51" customFormat="1">
      <c r="A74" s="51" t="s">
        <v>364</v>
      </c>
      <c r="E74" s="52"/>
    </row>
    <row r="76" spans="1:5" s="54" customFormat="1">
      <c r="A76" s="53" t="s">
        <v>28</v>
      </c>
      <c r="E76" s="55"/>
    </row>
    <row r="77" spans="1:5">
      <c r="E77" s="33"/>
    </row>
    <row r="78" spans="1:5">
      <c r="C78" s="34" t="str">
        <f ca="1">PackAvailable_WorksheetName &amp; ADDRESS(ROW(M96),COLUMN(M96))&amp;":"&amp;ADDRESS(ROW(M96)+PackAvailable_TotalAvailable-1,COLUMN(M96))</f>
        <v>Packs!$M$96:$M$104</v>
      </c>
      <c r="E78" s="33"/>
    </row>
    <row r="79" spans="1:5">
      <c r="C79" s="20" t="s">
        <v>365</v>
      </c>
      <c r="E79" s="33"/>
    </row>
    <row r="80" spans="1:5">
      <c r="E80" s="33"/>
    </row>
    <row r="81" spans="1:16">
      <c r="C81" s="35" t="s">
        <v>40</v>
      </c>
      <c r="E81" s="33"/>
    </row>
    <row r="82" spans="1:16">
      <c r="C82" s="32" t="s">
        <v>377</v>
      </c>
      <c r="E82" s="33"/>
    </row>
    <row r="83" spans="1:16" ht="15.75" thickBot="1">
      <c r="E83" s="33"/>
    </row>
    <row r="84" spans="1:16" ht="15.75" thickBot="1">
      <c r="B84" s="32" t="s">
        <v>42</v>
      </c>
      <c r="C84" s="36" t="s">
        <v>375</v>
      </c>
      <c r="E84" s="33"/>
    </row>
    <row r="85" spans="1:16">
      <c r="E85" s="33"/>
    </row>
    <row r="86" spans="1:16">
      <c r="E86" s="33"/>
    </row>
    <row r="87" spans="1:16" s="54" customFormat="1">
      <c r="A87" s="53" t="s">
        <v>29</v>
      </c>
      <c r="E87" s="55"/>
    </row>
    <row r="88" spans="1:16">
      <c r="E88" s="33"/>
    </row>
    <row r="89" spans="1:16">
      <c r="B89" s="33" t="s">
        <v>30</v>
      </c>
      <c r="C89" s="37">
        <f>xxRound</f>
        <v>1</v>
      </c>
      <c r="D89" s="35" t="s">
        <v>84</v>
      </c>
      <c r="E89" s="33"/>
    </row>
    <row r="90" spans="1:16">
      <c r="B90" s="33"/>
      <c r="C90" s="20" t="s">
        <v>366</v>
      </c>
      <c r="E90" s="33"/>
    </row>
    <row r="91" spans="1:16">
      <c r="B91" s="33"/>
      <c r="E91" s="33"/>
    </row>
    <row r="92" spans="1:16">
      <c r="B92" s="33" t="s">
        <v>44</v>
      </c>
      <c r="C92" s="133" t="s">
        <v>45</v>
      </c>
      <c r="D92" s="35" t="s">
        <v>46</v>
      </c>
    </row>
    <row r="93" spans="1:16">
      <c r="B93" s="33"/>
      <c r="C93" s="20" t="s">
        <v>367</v>
      </c>
    </row>
    <row r="94" spans="1:16">
      <c r="B94" s="33"/>
    </row>
    <row r="95" spans="1:16" ht="30">
      <c r="B95" s="38" t="s">
        <v>48</v>
      </c>
      <c r="C95" s="32" t="s">
        <v>49</v>
      </c>
      <c r="D95" s="32" t="s">
        <v>50</v>
      </c>
      <c r="E95" s="39" t="s">
        <v>52</v>
      </c>
      <c r="F95" s="32" t="s">
        <v>51</v>
      </c>
      <c r="G95" s="39" t="s">
        <v>53</v>
      </c>
      <c r="H95" s="39" t="s">
        <v>54</v>
      </c>
      <c r="I95" s="39" t="s">
        <v>55</v>
      </c>
      <c r="J95" s="39" t="s">
        <v>56</v>
      </c>
      <c r="K95" s="39" t="s">
        <v>57</v>
      </c>
      <c r="L95" s="39" t="s">
        <v>58</v>
      </c>
      <c r="M95" s="39" t="s">
        <v>59</v>
      </c>
    </row>
    <row r="96" spans="1:16">
      <c r="B96" s="38">
        <v>1</v>
      </c>
      <c r="C96" s="134">
        <v>0</v>
      </c>
      <c r="D96" s="134" t="s">
        <v>350</v>
      </c>
      <c r="E96" s="135">
        <v>0</v>
      </c>
      <c r="F96" s="40" t="str">
        <f>D96</f>
        <v>Select Pack</v>
      </c>
      <c r="G96" s="41" t="b">
        <f t="shared" ref="G96:G136" si="6">E96&lt;=PackAvailable_currentRound</f>
        <v>1</v>
      </c>
      <c r="H96" s="41" t="b">
        <f t="shared" ref="H96:H136" si="7">NOT(D96="")</f>
        <v>1</v>
      </c>
      <c r="I96" s="135" t="b">
        <v>0</v>
      </c>
      <c r="J96" s="134" t="b">
        <v>1</v>
      </c>
      <c r="K96" s="41" t="b">
        <f t="shared" ref="K96:K136" si="8">AND(G96,H96,J96,NOT(I96))</f>
        <v>1</v>
      </c>
      <c r="L96" s="42">
        <f>IF(K96,1,0)</f>
        <v>1</v>
      </c>
      <c r="M96" s="41" t="str">
        <f t="shared" ref="M96" si="9">IFERROR(INDEX(PackAvailable_DisplayedName,MATCH(B96,PackAvailable_AvailableCount,0)),"")</f>
        <v>Select Pack</v>
      </c>
      <c r="N96" s="41" t="str">
        <f t="shared" ref="N96:N136" si="10">IFERROR(INDEX(PackAvailable_DisplayedName,MATCH(B96,PackAvailable_AvailableCount,0)),"")</f>
        <v>Select Pack</v>
      </c>
      <c r="O96" s="41" t="str">
        <f t="shared" ref="O96:O136" si="11">IFERROR(INDEX(PackAvailable_DisplayedName,MATCH(B96,PackAvailable_AvailableCount,0)),"")</f>
        <v>Select Pack</v>
      </c>
      <c r="P96" s="41" t="str">
        <f t="shared" ref="P96:P136" si="12">IFERROR(INDEX(PackAvailable_DisplayedName,MATCH(B96,PackAvailable_AvailableCount,0)),"")</f>
        <v>Select Pack</v>
      </c>
    </row>
    <row r="97" spans="2:16">
      <c r="B97" s="38">
        <v>2</v>
      </c>
      <c r="C97" s="138">
        <v>1</v>
      </c>
      <c r="D97" s="138" t="str">
        <f>nmPack1</f>
        <v>25cl Can</v>
      </c>
      <c r="E97" s="139">
        <v>0</v>
      </c>
      <c r="F97" s="43" t="str">
        <f>D97</f>
        <v>25cl Can</v>
      </c>
      <c r="G97" s="43" t="b">
        <f t="shared" si="6"/>
        <v>1</v>
      </c>
      <c r="H97" s="43" t="b">
        <f t="shared" si="7"/>
        <v>1</v>
      </c>
      <c r="I97" s="199" t="b">
        <v>0</v>
      </c>
      <c r="J97" s="45" t="b">
        <f>IF(INDEX(cbalPack1Avail,,xxIndexTeam)=1,TRUE,FALSE)</f>
        <v>1</v>
      </c>
      <c r="K97" s="43" t="b">
        <f>AND(G97,H97,J97,NOT(I97))</f>
        <v>1</v>
      </c>
      <c r="L97" s="46">
        <f>IF(K97,1,0)+L96</f>
        <v>2</v>
      </c>
      <c r="M97" s="43" t="str">
        <f t="shared" ref="M97:M136" si="13">IFERROR(INDEX(PackAvailable_DisplayedName,MATCH(B97,PackAvailable_AvailableCount,0)),"")</f>
        <v>25cl Can</v>
      </c>
      <c r="N97" s="43" t="str">
        <f t="shared" si="10"/>
        <v>25cl Can</v>
      </c>
      <c r="O97" s="43" t="str">
        <f t="shared" si="11"/>
        <v>25cl Can</v>
      </c>
      <c r="P97" s="43" t="str">
        <f t="shared" si="12"/>
        <v>25cl Can</v>
      </c>
    </row>
    <row r="98" spans="2:16">
      <c r="B98" s="38">
        <v>3</v>
      </c>
      <c r="C98" s="136">
        <v>2</v>
      </c>
      <c r="D98" s="136" t="str">
        <f>nmPack2</f>
        <v>33cl Can</v>
      </c>
      <c r="E98" s="137">
        <v>0</v>
      </c>
      <c r="F98" s="43" t="str">
        <f t="shared" ref="F98:F136" si="14">D98</f>
        <v>33cl Can</v>
      </c>
      <c r="G98" s="43" t="b">
        <f t="shared" si="6"/>
        <v>1</v>
      </c>
      <c r="H98" s="43" t="b">
        <f t="shared" si="7"/>
        <v>1</v>
      </c>
      <c r="I98" s="199" t="b">
        <v>0</v>
      </c>
      <c r="J98" s="45" t="b">
        <f>IF(INDEX(cbalPack2Avail,,xxIndexTeam)=1,TRUE,FALSE)</f>
        <v>1</v>
      </c>
      <c r="K98" s="43" t="b">
        <f t="shared" si="8"/>
        <v>1</v>
      </c>
      <c r="L98" s="46">
        <f t="shared" ref="L98:L136" si="15">IF(K98,1,0)+L97</f>
        <v>3</v>
      </c>
      <c r="M98" s="43" t="str">
        <f t="shared" si="13"/>
        <v>33cl Can</v>
      </c>
      <c r="N98" s="43" t="str">
        <f t="shared" si="10"/>
        <v>33cl Can</v>
      </c>
      <c r="O98" s="43" t="str">
        <f t="shared" si="11"/>
        <v>33cl Can</v>
      </c>
      <c r="P98" s="43" t="str">
        <f t="shared" si="12"/>
        <v>33cl Can</v>
      </c>
    </row>
    <row r="99" spans="2:16">
      <c r="B99" s="38">
        <v>4</v>
      </c>
      <c r="C99" s="138">
        <v>3</v>
      </c>
      <c r="D99" s="138" t="str">
        <f>nmPack3</f>
        <v>50cl Can</v>
      </c>
      <c r="E99" s="139">
        <v>0</v>
      </c>
      <c r="F99" s="43" t="str">
        <f t="shared" si="14"/>
        <v>50cl Can</v>
      </c>
      <c r="G99" s="43" t="b">
        <f t="shared" si="6"/>
        <v>1</v>
      </c>
      <c r="H99" s="43" t="b">
        <f t="shared" si="7"/>
        <v>1</v>
      </c>
      <c r="I99" s="199" t="b">
        <v>0</v>
      </c>
      <c r="J99" s="45" t="b">
        <f>IF(INDEX(cbalPack3Avail,,xxIndexTeam)=1,TRUE,FALSE)</f>
        <v>0</v>
      </c>
      <c r="K99" s="43" t="b">
        <f>AND(G99,H99,J99,NOT(I99))</f>
        <v>0</v>
      </c>
      <c r="L99" s="46">
        <f t="shared" si="15"/>
        <v>3</v>
      </c>
      <c r="M99" s="43" t="str">
        <f t="shared" si="13"/>
        <v>33cl Bottle</v>
      </c>
      <c r="N99" s="43" t="str">
        <f t="shared" si="10"/>
        <v>33cl Bottle</v>
      </c>
      <c r="O99" s="43" t="str">
        <f t="shared" si="11"/>
        <v>33cl Bottle</v>
      </c>
      <c r="P99" s="43" t="str">
        <f t="shared" si="12"/>
        <v>33cl Bottle</v>
      </c>
    </row>
    <row r="100" spans="2:16">
      <c r="B100" s="38">
        <v>5</v>
      </c>
      <c r="C100" s="136">
        <v>4</v>
      </c>
      <c r="D100" s="136" t="str">
        <f>nmPack4</f>
        <v>33cl Bottle</v>
      </c>
      <c r="E100" s="137">
        <v>0</v>
      </c>
      <c r="F100" s="43" t="str">
        <f t="shared" si="14"/>
        <v>33cl Bottle</v>
      </c>
      <c r="G100" s="43" t="b">
        <f t="shared" si="6"/>
        <v>1</v>
      </c>
      <c r="H100" s="43" t="b">
        <f t="shared" si="7"/>
        <v>1</v>
      </c>
      <c r="I100" s="199" t="b">
        <v>0</v>
      </c>
      <c r="J100" s="45" t="b">
        <f>IF(INDEX(cbalPack4Avail,,xxIndexTeam)=1,TRUE,FALSE)</f>
        <v>1</v>
      </c>
      <c r="K100" s="43" t="b">
        <f t="shared" si="8"/>
        <v>1</v>
      </c>
      <c r="L100" s="46">
        <f t="shared" si="15"/>
        <v>4</v>
      </c>
      <c r="M100" s="43" t="str">
        <f t="shared" si="13"/>
        <v>25Ltr Keg</v>
      </c>
      <c r="N100" s="43" t="str">
        <f t="shared" si="10"/>
        <v>25Ltr Keg</v>
      </c>
      <c r="O100" s="43" t="str">
        <f t="shared" si="11"/>
        <v>25Ltr Keg</v>
      </c>
      <c r="P100" s="43" t="str">
        <f t="shared" si="12"/>
        <v>25Ltr Keg</v>
      </c>
    </row>
    <row r="101" spans="2:16">
      <c r="B101" s="38">
        <v>6</v>
      </c>
      <c r="C101" s="138">
        <v>5</v>
      </c>
      <c r="D101" s="138" t="str">
        <f>nmPack5</f>
        <v>50cl Bottle</v>
      </c>
      <c r="E101" s="139">
        <v>0</v>
      </c>
      <c r="F101" s="43" t="str">
        <f t="shared" si="14"/>
        <v>50cl Bottle</v>
      </c>
      <c r="G101" s="43" t="b">
        <f t="shared" si="6"/>
        <v>1</v>
      </c>
      <c r="H101" s="43" t="b">
        <f t="shared" si="7"/>
        <v>1</v>
      </c>
      <c r="I101" s="199" t="b">
        <v>0</v>
      </c>
      <c r="J101" s="45" t="b">
        <f>IF(INDEX(cbalPack5Avail,,xxIndexTeam)=1,TRUE,FALSE)</f>
        <v>0</v>
      </c>
      <c r="K101" s="43" t="b">
        <f t="shared" si="8"/>
        <v>0</v>
      </c>
      <c r="L101" s="46">
        <f t="shared" si="15"/>
        <v>4</v>
      </c>
      <c r="M101" s="43" t="str">
        <f t="shared" si="13"/>
        <v>6 x 33cl Can</v>
      </c>
      <c r="N101" s="43" t="str">
        <f t="shared" si="10"/>
        <v>6 x 33cl Can</v>
      </c>
      <c r="O101" s="43" t="str">
        <f t="shared" si="11"/>
        <v>6 x 33cl Can</v>
      </c>
      <c r="P101" s="43" t="str">
        <f t="shared" si="12"/>
        <v>6 x 33cl Can</v>
      </c>
    </row>
    <row r="102" spans="2:16">
      <c r="B102" s="38">
        <v>7</v>
      </c>
      <c r="C102" s="136">
        <v>6</v>
      </c>
      <c r="D102" s="136" t="str">
        <f>nmPack6</f>
        <v>66cl Bottle</v>
      </c>
      <c r="E102" s="137">
        <v>0</v>
      </c>
      <c r="F102" s="43" t="str">
        <f t="shared" si="14"/>
        <v>66cl Bottle</v>
      </c>
      <c r="G102" s="43" t="b">
        <f t="shared" si="6"/>
        <v>1</v>
      </c>
      <c r="H102" s="43" t="b">
        <f t="shared" si="7"/>
        <v>1</v>
      </c>
      <c r="I102" s="199" t="b">
        <v>0</v>
      </c>
      <c r="J102" s="45" t="b">
        <f>IF(INDEX(cbalPack6Avail,,xxIndexTeam)=1,TRUE,FALSE)</f>
        <v>0</v>
      </c>
      <c r="K102" s="43" t="b">
        <f t="shared" si="8"/>
        <v>0</v>
      </c>
      <c r="L102" s="46">
        <f t="shared" si="15"/>
        <v>4</v>
      </c>
      <c r="M102" s="43" t="str">
        <f t="shared" si="13"/>
        <v>10 x 33cl Can</v>
      </c>
      <c r="N102" s="43" t="str">
        <f t="shared" si="10"/>
        <v>10 x 33cl Can</v>
      </c>
      <c r="O102" s="43" t="str">
        <f t="shared" si="11"/>
        <v>10 x 33cl Can</v>
      </c>
      <c r="P102" s="43" t="str">
        <f t="shared" si="12"/>
        <v>10 x 33cl Can</v>
      </c>
    </row>
    <row r="103" spans="2:16">
      <c r="B103" s="38">
        <v>8</v>
      </c>
      <c r="C103" s="138">
        <v>7</v>
      </c>
      <c r="D103" s="138" t="str">
        <f>nmPack7</f>
        <v>50cl PET</v>
      </c>
      <c r="E103" s="139">
        <v>0</v>
      </c>
      <c r="F103" s="43" t="str">
        <f t="shared" si="14"/>
        <v>50cl PET</v>
      </c>
      <c r="G103" s="43" t="b">
        <f t="shared" si="6"/>
        <v>1</v>
      </c>
      <c r="H103" s="43" t="b">
        <f t="shared" si="7"/>
        <v>1</v>
      </c>
      <c r="I103" s="199" t="b">
        <v>0</v>
      </c>
      <c r="J103" s="45" t="b">
        <f>IF(INDEX(cbalPack7Avail,,xxIndexTeam)=1,TRUE,FALSE)</f>
        <v>0</v>
      </c>
      <c r="K103" s="43" t="b">
        <f t="shared" si="8"/>
        <v>0</v>
      </c>
      <c r="L103" s="46">
        <f t="shared" si="15"/>
        <v>4</v>
      </c>
      <c r="M103" s="43" t="str">
        <f t="shared" si="13"/>
        <v>24 x 33cl Can</v>
      </c>
      <c r="N103" s="43" t="str">
        <f t="shared" si="10"/>
        <v>24 x 33cl Can</v>
      </c>
      <c r="O103" s="43" t="str">
        <f t="shared" si="11"/>
        <v>24 x 33cl Can</v>
      </c>
      <c r="P103" s="43" t="str">
        <f t="shared" si="12"/>
        <v>24 x 33cl Can</v>
      </c>
    </row>
    <row r="104" spans="2:16">
      <c r="B104" s="38">
        <v>9</v>
      </c>
      <c r="C104" s="136">
        <v>8</v>
      </c>
      <c r="D104" s="136" t="str">
        <f>nmPack8</f>
        <v>1.5Ltr Pet</v>
      </c>
      <c r="E104" s="137">
        <v>0</v>
      </c>
      <c r="F104" s="43" t="str">
        <f t="shared" si="14"/>
        <v>1.5Ltr Pet</v>
      </c>
      <c r="G104" s="43" t="b">
        <f t="shared" si="6"/>
        <v>1</v>
      </c>
      <c r="H104" s="43" t="b">
        <f t="shared" si="7"/>
        <v>1</v>
      </c>
      <c r="I104" s="199" t="b">
        <v>0</v>
      </c>
      <c r="J104" s="45" t="b">
        <f>IF(INDEX(cbalPack8Avail,,xxIndexTeam)=1,TRUE,FALSE)</f>
        <v>0</v>
      </c>
      <c r="K104" s="43" t="b">
        <f t="shared" si="8"/>
        <v>0</v>
      </c>
      <c r="L104" s="46">
        <f t="shared" si="15"/>
        <v>4</v>
      </c>
      <c r="M104" s="43" t="str">
        <f t="shared" si="13"/>
        <v>30 x 33cl Btl</v>
      </c>
      <c r="N104" s="43" t="str">
        <f t="shared" si="10"/>
        <v>30 x 33cl Btl</v>
      </c>
      <c r="O104" s="43" t="str">
        <f t="shared" si="11"/>
        <v>30 x 33cl Btl</v>
      </c>
      <c r="P104" s="43" t="str">
        <f t="shared" si="12"/>
        <v>30 x 33cl Btl</v>
      </c>
    </row>
    <row r="105" spans="2:16">
      <c r="B105" s="38">
        <v>10</v>
      </c>
      <c r="C105" s="138">
        <v>9</v>
      </c>
      <c r="D105" s="138" t="str">
        <f>nmPack9</f>
        <v>4Ltr Keg</v>
      </c>
      <c r="E105" s="139">
        <v>0</v>
      </c>
      <c r="F105" s="43" t="str">
        <f t="shared" si="14"/>
        <v>4Ltr Keg</v>
      </c>
      <c r="G105" s="43" t="b">
        <f t="shared" si="6"/>
        <v>1</v>
      </c>
      <c r="H105" s="43" t="b">
        <f t="shared" si="7"/>
        <v>1</v>
      </c>
      <c r="I105" s="199" t="b">
        <v>0</v>
      </c>
      <c r="J105" s="45" t="b">
        <f>IF(INDEX(cbalPack9Avail,,xxIndexTeam)=1,TRUE,FALSE)</f>
        <v>0</v>
      </c>
      <c r="K105" s="43" t="b">
        <f t="shared" si="8"/>
        <v>0</v>
      </c>
      <c r="L105" s="46">
        <f t="shared" si="15"/>
        <v>4</v>
      </c>
      <c r="M105" s="43" t="str">
        <f t="shared" si="13"/>
        <v/>
      </c>
      <c r="N105" s="43" t="str">
        <f t="shared" si="10"/>
        <v/>
      </c>
      <c r="O105" s="43" t="str">
        <f t="shared" si="11"/>
        <v/>
      </c>
      <c r="P105" s="43" t="str">
        <f t="shared" si="12"/>
        <v/>
      </c>
    </row>
    <row r="106" spans="2:16">
      <c r="B106" s="38">
        <v>11</v>
      </c>
      <c r="C106" s="136">
        <v>10</v>
      </c>
      <c r="D106" s="136" t="str">
        <f>nmPack10</f>
        <v>25Ltr Keg</v>
      </c>
      <c r="E106" s="137">
        <v>0</v>
      </c>
      <c r="F106" s="43" t="str">
        <f t="shared" si="14"/>
        <v>25Ltr Keg</v>
      </c>
      <c r="G106" s="43" t="b">
        <f t="shared" si="6"/>
        <v>1</v>
      </c>
      <c r="H106" s="43" t="b">
        <f t="shared" si="7"/>
        <v>1</v>
      </c>
      <c r="I106" s="199" t="b">
        <v>0</v>
      </c>
      <c r="J106" s="45" t="b">
        <f>IF(INDEX(cbalPack10Avail,,xxIndexTeam)=1,TRUE,FALSE)</f>
        <v>1</v>
      </c>
      <c r="K106" s="43" t="b">
        <f t="shared" si="8"/>
        <v>1</v>
      </c>
      <c r="L106" s="46">
        <f t="shared" si="15"/>
        <v>5</v>
      </c>
      <c r="M106" s="43" t="str">
        <f t="shared" si="13"/>
        <v/>
      </c>
      <c r="N106" s="43" t="str">
        <f t="shared" si="10"/>
        <v/>
      </c>
      <c r="O106" s="43" t="str">
        <f t="shared" si="11"/>
        <v/>
      </c>
      <c r="P106" s="43" t="str">
        <f t="shared" si="12"/>
        <v/>
      </c>
    </row>
    <row r="107" spans="2:16">
      <c r="B107" s="38">
        <v>12</v>
      </c>
      <c r="C107" s="138">
        <v>11</v>
      </c>
      <c r="D107" s="138" t="str">
        <f>nmPack11</f>
        <v>4 x 33cl Can</v>
      </c>
      <c r="E107" s="139">
        <v>0</v>
      </c>
      <c r="F107" s="43" t="str">
        <f t="shared" si="14"/>
        <v>4 x 33cl Can</v>
      </c>
      <c r="G107" s="43" t="b">
        <f t="shared" si="6"/>
        <v>1</v>
      </c>
      <c r="H107" s="43" t="b">
        <f t="shared" si="7"/>
        <v>1</v>
      </c>
      <c r="I107" s="199" t="b">
        <v>0</v>
      </c>
      <c r="J107" s="45" t="b">
        <f>IF(INDEX(cbalPack11Avail,,xxIndexTeam)=1,TRUE,FALSE)</f>
        <v>0</v>
      </c>
      <c r="K107" s="43" t="b">
        <f t="shared" si="8"/>
        <v>0</v>
      </c>
      <c r="L107" s="46">
        <f t="shared" si="15"/>
        <v>5</v>
      </c>
      <c r="M107" s="43" t="str">
        <f t="shared" si="13"/>
        <v/>
      </c>
      <c r="N107" s="43" t="str">
        <f t="shared" si="10"/>
        <v/>
      </c>
      <c r="O107" s="43" t="str">
        <f t="shared" si="11"/>
        <v/>
      </c>
      <c r="P107" s="43" t="str">
        <f t="shared" si="12"/>
        <v/>
      </c>
    </row>
    <row r="108" spans="2:16">
      <c r="B108" s="38">
        <v>13</v>
      </c>
      <c r="C108" s="136">
        <v>12</v>
      </c>
      <c r="D108" s="136" t="str">
        <f>nmPack12</f>
        <v>6 x 50cl Can</v>
      </c>
      <c r="E108" s="137">
        <v>0</v>
      </c>
      <c r="F108" s="43" t="str">
        <f t="shared" si="14"/>
        <v>6 x 50cl Can</v>
      </c>
      <c r="G108" s="43" t="b">
        <f t="shared" si="6"/>
        <v>1</v>
      </c>
      <c r="H108" s="43" t="b">
        <f t="shared" si="7"/>
        <v>1</v>
      </c>
      <c r="I108" s="199" t="b">
        <v>0</v>
      </c>
      <c r="J108" s="45" t="b">
        <f>IF(INDEX(cbalPack12Avail,,xxIndexTeam)=1,TRUE,FALSE)</f>
        <v>0</v>
      </c>
      <c r="K108" s="43" t="b">
        <f t="shared" si="8"/>
        <v>0</v>
      </c>
      <c r="L108" s="46">
        <f t="shared" si="15"/>
        <v>5</v>
      </c>
      <c r="M108" s="43" t="str">
        <f t="shared" si="13"/>
        <v/>
      </c>
      <c r="N108" s="43" t="str">
        <f t="shared" si="10"/>
        <v/>
      </c>
      <c r="O108" s="43" t="str">
        <f t="shared" si="11"/>
        <v/>
      </c>
      <c r="P108" s="43" t="str">
        <f t="shared" si="12"/>
        <v/>
      </c>
    </row>
    <row r="109" spans="2:16">
      <c r="B109" s="38">
        <v>14</v>
      </c>
      <c r="C109" s="138">
        <v>13</v>
      </c>
      <c r="D109" s="138" t="str">
        <f>nmPack13</f>
        <v>6 x 33cl Can</v>
      </c>
      <c r="E109" s="139">
        <v>0</v>
      </c>
      <c r="F109" s="43" t="str">
        <f t="shared" si="14"/>
        <v>6 x 33cl Can</v>
      </c>
      <c r="G109" s="43" t="b">
        <f t="shared" si="6"/>
        <v>1</v>
      </c>
      <c r="H109" s="43" t="b">
        <f t="shared" si="7"/>
        <v>1</v>
      </c>
      <c r="I109" s="199" t="b">
        <v>0</v>
      </c>
      <c r="J109" s="45" t="b">
        <f>IF(INDEX(cbalPack13Avail,,xxIndexTeam)=1,TRUE,FALSE)</f>
        <v>1</v>
      </c>
      <c r="K109" s="43" t="b">
        <f t="shared" si="8"/>
        <v>1</v>
      </c>
      <c r="L109" s="46">
        <f t="shared" si="15"/>
        <v>6</v>
      </c>
      <c r="M109" s="43" t="str">
        <f t="shared" si="13"/>
        <v/>
      </c>
      <c r="N109" s="43" t="str">
        <f t="shared" si="10"/>
        <v/>
      </c>
      <c r="O109" s="43" t="str">
        <f t="shared" si="11"/>
        <v/>
      </c>
      <c r="P109" s="43" t="str">
        <f t="shared" si="12"/>
        <v/>
      </c>
    </row>
    <row r="110" spans="2:16">
      <c r="B110" s="38">
        <v>15</v>
      </c>
      <c r="C110" s="136">
        <v>14</v>
      </c>
      <c r="D110" s="136" t="str">
        <f>nmPack14</f>
        <v>8 x 25cl Can</v>
      </c>
      <c r="E110" s="137">
        <v>0</v>
      </c>
      <c r="F110" s="43" t="str">
        <f t="shared" si="14"/>
        <v>8 x 25cl Can</v>
      </c>
      <c r="G110" s="43" t="b">
        <f t="shared" si="6"/>
        <v>1</v>
      </c>
      <c r="H110" s="43" t="b">
        <f t="shared" si="7"/>
        <v>1</v>
      </c>
      <c r="I110" s="199" t="b">
        <v>0</v>
      </c>
      <c r="J110" s="45" t="b">
        <f>IF(INDEX(cbalPack14Avail,,xxIndexTeam)=1,TRUE,FALSE)</f>
        <v>0</v>
      </c>
      <c r="K110" s="43" t="b">
        <f t="shared" si="8"/>
        <v>0</v>
      </c>
      <c r="L110" s="46">
        <f t="shared" si="15"/>
        <v>6</v>
      </c>
      <c r="M110" s="43" t="str">
        <f t="shared" si="13"/>
        <v/>
      </c>
      <c r="N110" s="43" t="str">
        <f t="shared" si="10"/>
        <v/>
      </c>
      <c r="O110" s="43" t="str">
        <f t="shared" si="11"/>
        <v/>
      </c>
      <c r="P110" s="43" t="str">
        <f t="shared" si="12"/>
        <v/>
      </c>
    </row>
    <row r="111" spans="2:16">
      <c r="B111" s="38">
        <v>16</v>
      </c>
      <c r="C111" s="138">
        <v>15</v>
      </c>
      <c r="D111" s="138" t="str">
        <f>nmPack15</f>
        <v>10 x 33cl Can</v>
      </c>
      <c r="E111" s="139">
        <v>0</v>
      </c>
      <c r="F111" s="43" t="str">
        <f t="shared" si="14"/>
        <v>10 x 33cl Can</v>
      </c>
      <c r="G111" s="43" t="b">
        <f t="shared" si="6"/>
        <v>1</v>
      </c>
      <c r="H111" s="43" t="b">
        <f t="shared" si="7"/>
        <v>1</v>
      </c>
      <c r="I111" s="199" t="b">
        <v>0</v>
      </c>
      <c r="J111" s="45" t="b">
        <f>IF(INDEX(cbalPack15Avail,,xxIndexTeam)=1,TRUE,FALSE)</f>
        <v>1</v>
      </c>
      <c r="K111" s="43" t="b">
        <f t="shared" si="8"/>
        <v>1</v>
      </c>
      <c r="L111" s="46">
        <f t="shared" si="15"/>
        <v>7</v>
      </c>
      <c r="M111" s="43" t="str">
        <f t="shared" si="13"/>
        <v/>
      </c>
      <c r="N111" s="43" t="str">
        <f t="shared" si="10"/>
        <v/>
      </c>
      <c r="O111" s="43" t="str">
        <f t="shared" si="11"/>
        <v/>
      </c>
      <c r="P111" s="43" t="str">
        <f t="shared" si="12"/>
        <v/>
      </c>
    </row>
    <row r="112" spans="2:16">
      <c r="B112" s="38">
        <v>17</v>
      </c>
      <c r="C112" s="136">
        <v>16</v>
      </c>
      <c r="D112" s="136" t="str">
        <f>nmPack16</f>
        <v>12 x 33cl Can</v>
      </c>
      <c r="E112" s="137">
        <v>0</v>
      </c>
      <c r="F112" s="43" t="str">
        <f t="shared" si="14"/>
        <v>12 x 33cl Can</v>
      </c>
      <c r="G112" s="43" t="b">
        <f t="shared" si="6"/>
        <v>1</v>
      </c>
      <c r="H112" s="43" t="b">
        <f t="shared" si="7"/>
        <v>1</v>
      </c>
      <c r="I112" s="199" t="b">
        <v>0</v>
      </c>
      <c r="J112" s="45" t="b">
        <f>IF(INDEX(cbalPack16Avail,,xxIndexTeam)=1,TRUE,FALSE)</f>
        <v>0</v>
      </c>
      <c r="K112" s="43" t="b">
        <f t="shared" si="8"/>
        <v>0</v>
      </c>
      <c r="L112" s="46">
        <f t="shared" si="15"/>
        <v>7</v>
      </c>
      <c r="M112" s="43" t="str">
        <f t="shared" si="13"/>
        <v/>
      </c>
      <c r="N112" s="43" t="str">
        <f t="shared" si="10"/>
        <v/>
      </c>
      <c r="O112" s="43" t="str">
        <f t="shared" si="11"/>
        <v/>
      </c>
      <c r="P112" s="43" t="str">
        <f t="shared" si="12"/>
        <v/>
      </c>
    </row>
    <row r="113" spans="2:16">
      <c r="B113" s="38">
        <v>18</v>
      </c>
      <c r="C113" s="138">
        <v>17</v>
      </c>
      <c r="D113" s="138" t="str">
        <f>nmPack17</f>
        <v>24 x 33cl Can</v>
      </c>
      <c r="E113" s="139">
        <v>0</v>
      </c>
      <c r="F113" s="43" t="str">
        <f t="shared" si="14"/>
        <v>24 x 33cl Can</v>
      </c>
      <c r="G113" s="43" t="b">
        <f t="shared" si="6"/>
        <v>1</v>
      </c>
      <c r="H113" s="43" t="b">
        <f t="shared" si="7"/>
        <v>1</v>
      </c>
      <c r="I113" s="199" t="b">
        <v>0</v>
      </c>
      <c r="J113" s="45" t="b">
        <f>IF(INDEX(cbalPack17Avail,,xxIndexTeam)=1,TRUE,FALSE)</f>
        <v>1</v>
      </c>
      <c r="K113" s="43" t="b">
        <f t="shared" si="8"/>
        <v>1</v>
      </c>
      <c r="L113" s="46">
        <f t="shared" si="15"/>
        <v>8</v>
      </c>
      <c r="M113" s="43" t="str">
        <f t="shared" si="13"/>
        <v/>
      </c>
      <c r="N113" s="43" t="str">
        <f t="shared" si="10"/>
        <v/>
      </c>
      <c r="O113" s="43" t="str">
        <f t="shared" si="11"/>
        <v/>
      </c>
      <c r="P113" s="43" t="str">
        <f t="shared" si="12"/>
        <v/>
      </c>
    </row>
    <row r="114" spans="2:16">
      <c r="B114" s="38">
        <v>19</v>
      </c>
      <c r="C114" s="136">
        <v>18</v>
      </c>
      <c r="D114" s="136" t="str">
        <f>nmPack18</f>
        <v>6 x 33cl Btl</v>
      </c>
      <c r="E114" s="137">
        <v>0</v>
      </c>
      <c r="F114" s="43" t="str">
        <f t="shared" si="14"/>
        <v>6 x 33cl Btl</v>
      </c>
      <c r="G114" s="43" t="b">
        <f t="shared" si="6"/>
        <v>1</v>
      </c>
      <c r="H114" s="43" t="b">
        <f t="shared" si="7"/>
        <v>1</v>
      </c>
      <c r="I114" s="199" t="b">
        <v>0</v>
      </c>
      <c r="J114" s="45" t="b">
        <f>IF(INDEX(cbalPack18Avail,,xxIndexTeam)=1,TRUE,FALSE)</f>
        <v>0</v>
      </c>
      <c r="K114" s="43" t="b">
        <f t="shared" si="8"/>
        <v>0</v>
      </c>
      <c r="L114" s="46">
        <f t="shared" si="15"/>
        <v>8</v>
      </c>
      <c r="M114" s="43" t="str">
        <f t="shared" si="13"/>
        <v/>
      </c>
      <c r="N114" s="43" t="str">
        <f t="shared" si="10"/>
        <v/>
      </c>
      <c r="O114" s="43" t="str">
        <f t="shared" si="11"/>
        <v/>
      </c>
      <c r="P114" s="43" t="str">
        <f t="shared" si="12"/>
        <v/>
      </c>
    </row>
    <row r="115" spans="2:16">
      <c r="B115" s="38">
        <v>20</v>
      </c>
      <c r="C115" s="138">
        <v>19</v>
      </c>
      <c r="D115" s="138" t="str">
        <f>nmPack19</f>
        <v>24 x 33cl Btl</v>
      </c>
      <c r="E115" s="139">
        <v>0</v>
      </c>
      <c r="F115" s="43" t="str">
        <f t="shared" si="14"/>
        <v>24 x 33cl Btl</v>
      </c>
      <c r="G115" s="43" t="b">
        <f t="shared" si="6"/>
        <v>1</v>
      </c>
      <c r="H115" s="43" t="b">
        <f t="shared" si="7"/>
        <v>1</v>
      </c>
      <c r="I115" s="199" t="b">
        <v>0</v>
      </c>
      <c r="J115" s="45" t="b">
        <f>IF(INDEX(cbalPack19Avail,,xxIndexTeam)=1,TRUE,FALSE)</f>
        <v>0</v>
      </c>
      <c r="K115" s="43" t="b">
        <f t="shared" si="8"/>
        <v>0</v>
      </c>
      <c r="L115" s="46">
        <f t="shared" si="15"/>
        <v>8</v>
      </c>
      <c r="M115" s="43" t="str">
        <f t="shared" si="13"/>
        <v/>
      </c>
      <c r="N115" s="43" t="str">
        <f t="shared" si="10"/>
        <v/>
      </c>
      <c r="O115" s="43" t="str">
        <f t="shared" si="11"/>
        <v/>
      </c>
      <c r="P115" s="43" t="str">
        <f t="shared" si="12"/>
        <v/>
      </c>
    </row>
    <row r="116" spans="2:16">
      <c r="B116" s="38">
        <v>21</v>
      </c>
      <c r="C116" s="136">
        <v>20</v>
      </c>
      <c r="D116" s="136" t="str">
        <f>nmPack20</f>
        <v>6 x 50cl Btl</v>
      </c>
      <c r="E116" s="137">
        <v>0</v>
      </c>
      <c r="F116" s="43" t="str">
        <f t="shared" si="14"/>
        <v>6 x 50cl Btl</v>
      </c>
      <c r="G116" s="43" t="b">
        <f t="shared" si="6"/>
        <v>1</v>
      </c>
      <c r="H116" s="43" t="b">
        <f t="shared" si="7"/>
        <v>1</v>
      </c>
      <c r="I116" s="199" t="b">
        <v>0</v>
      </c>
      <c r="J116" s="45" t="b">
        <f>IF(INDEX(cbalPack20Avail,,xxIndexTeam)=1,TRUE,FALSE)</f>
        <v>0</v>
      </c>
      <c r="K116" s="43" t="b">
        <f t="shared" si="8"/>
        <v>0</v>
      </c>
      <c r="L116" s="46">
        <f t="shared" si="15"/>
        <v>8</v>
      </c>
      <c r="M116" s="43" t="str">
        <f t="shared" si="13"/>
        <v/>
      </c>
      <c r="N116" s="43" t="str">
        <f t="shared" si="10"/>
        <v/>
      </c>
      <c r="O116" s="43" t="str">
        <f t="shared" si="11"/>
        <v/>
      </c>
      <c r="P116" s="43" t="str">
        <f t="shared" si="12"/>
        <v/>
      </c>
    </row>
    <row r="117" spans="2:16">
      <c r="B117" s="38">
        <v>22</v>
      </c>
      <c r="C117" s="138">
        <v>21</v>
      </c>
      <c r="D117" s="138" t="str">
        <f>nmPack21</f>
        <v>30 x 33cl Can</v>
      </c>
      <c r="E117" s="139">
        <v>0</v>
      </c>
      <c r="F117" s="43" t="str">
        <f t="shared" si="14"/>
        <v>30 x 33cl Can</v>
      </c>
      <c r="G117" s="43" t="b">
        <f t="shared" si="6"/>
        <v>1</v>
      </c>
      <c r="H117" s="43" t="b">
        <f t="shared" si="7"/>
        <v>1</v>
      </c>
      <c r="I117" s="199" t="b">
        <v>0</v>
      </c>
      <c r="J117" s="45" t="b">
        <f>IF(INDEX(cbalPack21Avail,,xxIndexTeam)=1,TRUE,FALSE)</f>
        <v>0</v>
      </c>
      <c r="K117" s="43" t="b">
        <f t="shared" si="8"/>
        <v>0</v>
      </c>
      <c r="L117" s="46">
        <f t="shared" si="15"/>
        <v>8</v>
      </c>
      <c r="M117" s="43" t="str">
        <f t="shared" si="13"/>
        <v/>
      </c>
      <c r="N117" s="43" t="str">
        <f t="shared" si="10"/>
        <v/>
      </c>
      <c r="O117" s="43" t="str">
        <f t="shared" si="11"/>
        <v/>
      </c>
      <c r="P117" s="43" t="str">
        <f t="shared" si="12"/>
        <v/>
      </c>
    </row>
    <row r="118" spans="2:16">
      <c r="B118" s="38">
        <v>23</v>
      </c>
      <c r="C118" s="136">
        <v>22</v>
      </c>
      <c r="D118" s="136" t="str">
        <f>nmPack22</f>
        <v>6 x 66cl Btl</v>
      </c>
      <c r="E118" s="137">
        <v>0</v>
      </c>
      <c r="F118" s="43" t="str">
        <f t="shared" si="14"/>
        <v>6 x 66cl Btl</v>
      </c>
      <c r="G118" s="43" t="b">
        <f t="shared" si="6"/>
        <v>1</v>
      </c>
      <c r="H118" s="43" t="b">
        <f t="shared" si="7"/>
        <v>1</v>
      </c>
      <c r="I118" s="199" t="b">
        <v>0</v>
      </c>
      <c r="J118" s="45" t="b">
        <f>IF(INDEX(cbalPack22Avail,,xxIndexTeam)=1,TRUE,FALSE)</f>
        <v>0</v>
      </c>
      <c r="K118" s="43" t="b">
        <f t="shared" si="8"/>
        <v>0</v>
      </c>
      <c r="L118" s="46">
        <f t="shared" si="15"/>
        <v>8</v>
      </c>
      <c r="M118" s="43" t="str">
        <f t="shared" si="13"/>
        <v/>
      </c>
      <c r="N118" s="43" t="str">
        <f t="shared" si="10"/>
        <v/>
      </c>
      <c r="O118" s="43" t="str">
        <f t="shared" si="11"/>
        <v/>
      </c>
      <c r="P118" s="43" t="str">
        <f t="shared" si="12"/>
        <v/>
      </c>
    </row>
    <row r="119" spans="2:16">
      <c r="B119" s="38">
        <v>24</v>
      </c>
      <c r="C119" s="138">
        <v>23</v>
      </c>
      <c r="D119" s="138" t="str">
        <f>nmPack23</f>
        <v>30 x 33cl Btl</v>
      </c>
      <c r="E119" s="139">
        <v>0</v>
      </c>
      <c r="F119" s="43" t="str">
        <f t="shared" si="14"/>
        <v>30 x 33cl Btl</v>
      </c>
      <c r="G119" s="43" t="b">
        <f t="shared" si="6"/>
        <v>1</v>
      </c>
      <c r="H119" s="43" t="b">
        <f t="shared" si="7"/>
        <v>1</v>
      </c>
      <c r="I119" s="199" t="b">
        <v>0</v>
      </c>
      <c r="J119" s="45" t="b">
        <f>IF(INDEX(cbalPack23Avail,,xxIndexTeam)=1,TRUE,FALSE)</f>
        <v>1</v>
      </c>
      <c r="K119" s="43" t="b">
        <f t="shared" si="8"/>
        <v>1</v>
      </c>
      <c r="L119" s="46">
        <f t="shared" si="15"/>
        <v>9</v>
      </c>
      <c r="M119" s="43" t="str">
        <f t="shared" si="13"/>
        <v/>
      </c>
      <c r="N119" s="43" t="str">
        <f t="shared" si="10"/>
        <v/>
      </c>
      <c r="O119" s="43" t="str">
        <f t="shared" si="11"/>
        <v/>
      </c>
      <c r="P119" s="43" t="str">
        <f t="shared" si="12"/>
        <v/>
      </c>
    </row>
    <row r="120" spans="2:16">
      <c r="B120" s="38">
        <v>25</v>
      </c>
      <c r="C120" s="136">
        <v>24</v>
      </c>
      <c r="D120" s="136" t="str">
        <f>nmPack24</f>
        <v>4 x 50cl PET</v>
      </c>
      <c r="E120" s="137">
        <v>0</v>
      </c>
      <c r="F120" s="43" t="str">
        <f t="shared" si="14"/>
        <v>4 x 50cl PET</v>
      </c>
      <c r="G120" s="43" t="b">
        <f t="shared" si="6"/>
        <v>1</v>
      </c>
      <c r="H120" s="43" t="b">
        <f t="shared" si="7"/>
        <v>1</v>
      </c>
      <c r="I120" s="199" t="b">
        <v>0</v>
      </c>
      <c r="J120" s="45" t="b">
        <f>IF(INDEX(cbalPack24Avail,,xxIndexTeam)=1,TRUE,FALSE)</f>
        <v>0</v>
      </c>
      <c r="K120" s="43" t="b">
        <f t="shared" si="8"/>
        <v>0</v>
      </c>
      <c r="L120" s="46">
        <f t="shared" si="15"/>
        <v>9</v>
      </c>
      <c r="M120" s="43" t="str">
        <f t="shared" si="13"/>
        <v/>
      </c>
      <c r="N120" s="43" t="str">
        <f t="shared" si="10"/>
        <v/>
      </c>
      <c r="O120" s="43" t="str">
        <f t="shared" si="11"/>
        <v/>
      </c>
      <c r="P120" s="43" t="str">
        <f t="shared" si="12"/>
        <v/>
      </c>
    </row>
    <row r="121" spans="2:16">
      <c r="B121" s="38">
        <v>26</v>
      </c>
      <c r="C121" s="138">
        <v>25</v>
      </c>
      <c r="D121" s="138" t="str">
        <f>nmPack25</f>
        <v>4 x 1.5Ltr PET</v>
      </c>
      <c r="E121" s="139">
        <v>0</v>
      </c>
      <c r="F121" s="43" t="str">
        <f t="shared" si="14"/>
        <v>4 x 1.5Ltr PET</v>
      </c>
      <c r="G121" s="43" t="b">
        <f t="shared" si="6"/>
        <v>1</v>
      </c>
      <c r="H121" s="43" t="b">
        <f t="shared" si="7"/>
        <v>1</v>
      </c>
      <c r="I121" s="199" t="b">
        <v>0</v>
      </c>
      <c r="J121" s="45" t="b">
        <f>IF(INDEX(cbalPack25Avail,,xxIndexTeam)=1,TRUE,FALSE)</f>
        <v>0</v>
      </c>
      <c r="K121" s="43" t="b">
        <f t="shared" si="8"/>
        <v>0</v>
      </c>
      <c r="L121" s="46">
        <f t="shared" si="15"/>
        <v>9</v>
      </c>
      <c r="M121" s="43" t="str">
        <f t="shared" si="13"/>
        <v/>
      </c>
      <c r="N121" s="43" t="str">
        <f t="shared" si="10"/>
        <v/>
      </c>
      <c r="O121" s="43" t="str">
        <f t="shared" si="11"/>
        <v/>
      </c>
      <c r="P121" s="43" t="str">
        <f t="shared" si="12"/>
        <v/>
      </c>
    </row>
    <row r="122" spans="2:16">
      <c r="B122" s="38">
        <v>27</v>
      </c>
      <c r="C122" s="136">
        <v>26</v>
      </c>
      <c r="D122" s="136" t="str">
        <f>nmPack26</f>
        <v/>
      </c>
      <c r="E122" s="137">
        <v>0</v>
      </c>
      <c r="F122" s="43" t="str">
        <f t="shared" si="14"/>
        <v/>
      </c>
      <c r="G122" s="43" t="b">
        <f t="shared" si="6"/>
        <v>1</v>
      </c>
      <c r="H122" s="43" t="b">
        <f t="shared" si="7"/>
        <v>0</v>
      </c>
      <c r="I122" s="199" t="b">
        <v>0</v>
      </c>
      <c r="J122" s="45" t="b">
        <f>IF(INDEX(cbalPack26Avail,,xxIndexTeam)=1,TRUE,FALSE)</f>
        <v>0</v>
      </c>
      <c r="K122" s="43" t="b">
        <f t="shared" si="8"/>
        <v>0</v>
      </c>
      <c r="L122" s="46">
        <f t="shared" si="15"/>
        <v>9</v>
      </c>
      <c r="M122" s="43" t="str">
        <f t="shared" si="13"/>
        <v/>
      </c>
      <c r="N122" s="43" t="str">
        <f t="shared" si="10"/>
        <v/>
      </c>
      <c r="O122" s="43" t="str">
        <f t="shared" si="11"/>
        <v/>
      </c>
      <c r="P122" s="43" t="str">
        <f t="shared" si="12"/>
        <v/>
      </c>
    </row>
    <row r="123" spans="2:16">
      <c r="B123" s="38">
        <v>28</v>
      </c>
      <c r="C123" s="138">
        <v>27</v>
      </c>
      <c r="D123" s="138" t="str">
        <f>nmPack27</f>
        <v/>
      </c>
      <c r="E123" s="139">
        <v>0</v>
      </c>
      <c r="F123" s="43" t="str">
        <f t="shared" si="14"/>
        <v/>
      </c>
      <c r="G123" s="43" t="b">
        <f t="shared" si="6"/>
        <v>1</v>
      </c>
      <c r="H123" s="43" t="b">
        <f t="shared" si="7"/>
        <v>0</v>
      </c>
      <c r="I123" s="199" t="b">
        <v>0</v>
      </c>
      <c r="J123" s="45" t="b">
        <f>IF(INDEX(cbalPack27Avail,,xxIndexTeam)=1,TRUE,FALSE)</f>
        <v>0</v>
      </c>
      <c r="K123" s="43" t="b">
        <f t="shared" si="8"/>
        <v>0</v>
      </c>
      <c r="L123" s="46">
        <f t="shared" si="15"/>
        <v>9</v>
      </c>
      <c r="M123" s="43" t="str">
        <f t="shared" si="13"/>
        <v/>
      </c>
      <c r="N123" s="43" t="str">
        <f t="shared" si="10"/>
        <v/>
      </c>
      <c r="O123" s="43" t="str">
        <f t="shared" si="11"/>
        <v/>
      </c>
      <c r="P123" s="43" t="str">
        <f t="shared" si="12"/>
        <v/>
      </c>
    </row>
    <row r="124" spans="2:16">
      <c r="B124" s="38">
        <v>29</v>
      </c>
      <c r="C124" s="136">
        <v>28</v>
      </c>
      <c r="D124" s="136" t="str">
        <f>nmPack28</f>
        <v/>
      </c>
      <c r="E124" s="137">
        <v>0</v>
      </c>
      <c r="F124" s="43" t="str">
        <f t="shared" si="14"/>
        <v/>
      </c>
      <c r="G124" s="43" t="b">
        <f t="shared" si="6"/>
        <v>1</v>
      </c>
      <c r="H124" s="43" t="b">
        <f t="shared" si="7"/>
        <v>0</v>
      </c>
      <c r="I124" s="199" t="b">
        <v>0</v>
      </c>
      <c r="J124" s="45" t="b">
        <f>IF(INDEX(cbalPack28Avail,,xxIndexTeam)=1,TRUE,FALSE)</f>
        <v>0</v>
      </c>
      <c r="K124" s="43" t="b">
        <f t="shared" si="8"/>
        <v>0</v>
      </c>
      <c r="L124" s="46">
        <f t="shared" si="15"/>
        <v>9</v>
      </c>
      <c r="M124" s="43" t="str">
        <f t="shared" si="13"/>
        <v/>
      </c>
      <c r="N124" s="43" t="str">
        <f t="shared" si="10"/>
        <v/>
      </c>
      <c r="O124" s="43" t="str">
        <f t="shared" si="11"/>
        <v/>
      </c>
      <c r="P124" s="43" t="str">
        <f t="shared" si="12"/>
        <v/>
      </c>
    </row>
    <row r="125" spans="2:16">
      <c r="B125" s="38">
        <v>30</v>
      </c>
      <c r="C125" s="138">
        <v>29</v>
      </c>
      <c r="D125" s="138" t="str">
        <f>nmPack29</f>
        <v/>
      </c>
      <c r="E125" s="139">
        <v>0</v>
      </c>
      <c r="F125" s="43" t="str">
        <f t="shared" si="14"/>
        <v/>
      </c>
      <c r="G125" s="43" t="b">
        <f t="shared" si="6"/>
        <v>1</v>
      </c>
      <c r="H125" s="43" t="b">
        <f t="shared" si="7"/>
        <v>0</v>
      </c>
      <c r="I125" s="199" t="b">
        <v>0</v>
      </c>
      <c r="J125" s="45" t="b">
        <f>IF(INDEX(cbalPack29Avail,,xxIndexTeam)=1,TRUE,FALSE)</f>
        <v>0</v>
      </c>
      <c r="K125" s="43" t="b">
        <f t="shared" si="8"/>
        <v>0</v>
      </c>
      <c r="L125" s="46">
        <f t="shared" si="15"/>
        <v>9</v>
      </c>
      <c r="M125" s="43" t="str">
        <f t="shared" si="13"/>
        <v/>
      </c>
      <c r="N125" s="43" t="str">
        <f t="shared" si="10"/>
        <v/>
      </c>
      <c r="O125" s="43" t="str">
        <f t="shared" si="11"/>
        <v/>
      </c>
      <c r="P125" s="43" t="str">
        <f t="shared" si="12"/>
        <v/>
      </c>
    </row>
    <row r="126" spans="2:16">
      <c r="B126" s="38">
        <v>31</v>
      </c>
      <c r="C126" s="136">
        <v>30</v>
      </c>
      <c r="D126" s="136" t="str">
        <f>nmPack30</f>
        <v/>
      </c>
      <c r="E126" s="137">
        <v>0</v>
      </c>
      <c r="F126" s="43" t="str">
        <f t="shared" si="14"/>
        <v/>
      </c>
      <c r="G126" s="43" t="b">
        <f t="shared" si="6"/>
        <v>1</v>
      </c>
      <c r="H126" s="43" t="b">
        <f t="shared" si="7"/>
        <v>0</v>
      </c>
      <c r="I126" s="199" t="b">
        <v>0</v>
      </c>
      <c r="J126" s="45" t="b">
        <f>IF(INDEX(cbalPack30Avail,,xxIndexTeam)=1,TRUE,FALSE)</f>
        <v>0</v>
      </c>
      <c r="K126" s="43" t="b">
        <f t="shared" si="8"/>
        <v>0</v>
      </c>
      <c r="L126" s="46">
        <f t="shared" si="15"/>
        <v>9</v>
      </c>
      <c r="M126" s="43" t="str">
        <f t="shared" si="13"/>
        <v/>
      </c>
      <c r="N126" s="43" t="str">
        <f t="shared" si="10"/>
        <v/>
      </c>
      <c r="O126" s="43" t="str">
        <f t="shared" si="11"/>
        <v/>
      </c>
      <c r="P126" s="43" t="str">
        <f t="shared" si="12"/>
        <v/>
      </c>
    </row>
    <row r="127" spans="2:16">
      <c r="B127" s="38">
        <v>32</v>
      </c>
      <c r="C127" s="138">
        <v>31</v>
      </c>
      <c r="D127" s="138"/>
      <c r="E127" s="139">
        <v>0</v>
      </c>
      <c r="F127" s="43">
        <f t="shared" si="14"/>
        <v>0</v>
      </c>
      <c r="G127" s="43" t="b">
        <f t="shared" si="6"/>
        <v>1</v>
      </c>
      <c r="H127" s="43" t="b">
        <f t="shared" si="7"/>
        <v>0</v>
      </c>
      <c r="I127" s="199" t="b">
        <v>0</v>
      </c>
      <c r="J127" s="45" t="b">
        <v>1</v>
      </c>
      <c r="K127" s="43" t="b">
        <f t="shared" si="8"/>
        <v>0</v>
      </c>
      <c r="L127" s="46">
        <f t="shared" si="15"/>
        <v>9</v>
      </c>
      <c r="M127" s="43" t="str">
        <f t="shared" si="13"/>
        <v/>
      </c>
      <c r="N127" s="43" t="str">
        <f t="shared" si="10"/>
        <v/>
      </c>
      <c r="O127" s="43" t="str">
        <f t="shared" si="11"/>
        <v/>
      </c>
      <c r="P127" s="43" t="str">
        <f t="shared" si="12"/>
        <v/>
      </c>
    </row>
    <row r="128" spans="2:16">
      <c r="B128" s="38">
        <v>33</v>
      </c>
      <c r="C128" s="136">
        <v>32</v>
      </c>
      <c r="D128" s="136"/>
      <c r="E128" s="137">
        <v>0</v>
      </c>
      <c r="F128" s="43">
        <f t="shared" si="14"/>
        <v>0</v>
      </c>
      <c r="G128" s="43" t="b">
        <f t="shared" si="6"/>
        <v>1</v>
      </c>
      <c r="H128" s="43" t="b">
        <f t="shared" si="7"/>
        <v>0</v>
      </c>
      <c r="I128" s="199" t="b">
        <v>0</v>
      </c>
      <c r="J128" s="45" t="b">
        <v>1</v>
      </c>
      <c r="K128" s="43" t="b">
        <f t="shared" si="8"/>
        <v>0</v>
      </c>
      <c r="L128" s="46">
        <f t="shared" si="15"/>
        <v>9</v>
      </c>
      <c r="M128" s="43" t="str">
        <f t="shared" si="13"/>
        <v/>
      </c>
      <c r="N128" s="43" t="str">
        <f t="shared" si="10"/>
        <v/>
      </c>
      <c r="O128" s="43" t="str">
        <f t="shared" si="11"/>
        <v/>
      </c>
      <c r="P128" s="43" t="str">
        <f t="shared" si="12"/>
        <v/>
      </c>
    </row>
    <row r="129" spans="1:16">
      <c r="B129" s="38">
        <v>34</v>
      </c>
      <c r="C129" s="138">
        <v>33</v>
      </c>
      <c r="D129" s="138"/>
      <c r="E129" s="139">
        <v>0</v>
      </c>
      <c r="F129" s="43">
        <f t="shared" si="14"/>
        <v>0</v>
      </c>
      <c r="G129" s="43" t="b">
        <f t="shared" si="6"/>
        <v>1</v>
      </c>
      <c r="H129" s="43" t="b">
        <f t="shared" si="7"/>
        <v>0</v>
      </c>
      <c r="I129" s="199" t="b">
        <v>0</v>
      </c>
      <c r="J129" s="45" t="b">
        <v>1</v>
      </c>
      <c r="K129" s="43" t="b">
        <f t="shared" si="8"/>
        <v>0</v>
      </c>
      <c r="L129" s="46">
        <f t="shared" si="15"/>
        <v>9</v>
      </c>
      <c r="M129" s="43" t="str">
        <f t="shared" si="13"/>
        <v/>
      </c>
      <c r="N129" s="43" t="str">
        <f t="shared" si="10"/>
        <v/>
      </c>
      <c r="O129" s="43" t="str">
        <f t="shared" si="11"/>
        <v/>
      </c>
      <c r="P129" s="43" t="str">
        <f t="shared" si="12"/>
        <v/>
      </c>
    </row>
    <row r="130" spans="1:16">
      <c r="B130" s="38">
        <v>35</v>
      </c>
      <c r="C130" s="136">
        <v>34</v>
      </c>
      <c r="D130" s="136"/>
      <c r="E130" s="137">
        <v>0</v>
      </c>
      <c r="F130" s="43">
        <f t="shared" si="14"/>
        <v>0</v>
      </c>
      <c r="G130" s="43" t="b">
        <f t="shared" si="6"/>
        <v>1</v>
      </c>
      <c r="H130" s="43" t="b">
        <f t="shared" si="7"/>
        <v>0</v>
      </c>
      <c r="I130" s="199" t="b">
        <v>0</v>
      </c>
      <c r="J130" s="45" t="b">
        <v>1</v>
      </c>
      <c r="K130" s="43" t="b">
        <f t="shared" si="8"/>
        <v>0</v>
      </c>
      <c r="L130" s="46">
        <f t="shared" si="15"/>
        <v>9</v>
      </c>
      <c r="M130" s="43" t="str">
        <f t="shared" si="13"/>
        <v/>
      </c>
      <c r="N130" s="43" t="str">
        <f t="shared" si="10"/>
        <v/>
      </c>
      <c r="O130" s="43" t="str">
        <f t="shared" si="11"/>
        <v/>
      </c>
      <c r="P130" s="43" t="str">
        <f t="shared" si="12"/>
        <v/>
      </c>
    </row>
    <row r="131" spans="1:16">
      <c r="B131" s="38">
        <v>36</v>
      </c>
      <c r="C131" s="138">
        <v>35</v>
      </c>
      <c r="D131" s="138"/>
      <c r="E131" s="139">
        <v>0</v>
      </c>
      <c r="F131" s="43">
        <f t="shared" si="14"/>
        <v>0</v>
      </c>
      <c r="G131" s="43" t="b">
        <f t="shared" si="6"/>
        <v>1</v>
      </c>
      <c r="H131" s="43" t="b">
        <f t="shared" si="7"/>
        <v>0</v>
      </c>
      <c r="I131" s="199" t="b">
        <v>0</v>
      </c>
      <c r="J131" s="45" t="b">
        <v>1</v>
      </c>
      <c r="K131" s="43" t="b">
        <f t="shared" si="8"/>
        <v>0</v>
      </c>
      <c r="L131" s="46">
        <f t="shared" si="15"/>
        <v>9</v>
      </c>
      <c r="M131" s="43" t="str">
        <f t="shared" si="13"/>
        <v/>
      </c>
      <c r="N131" s="43" t="str">
        <f t="shared" si="10"/>
        <v/>
      </c>
      <c r="O131" s="43" t="str">
        <f t="shared" si="11"/>
        <v/>
      </c>
      <c r="P131" s="43" t="str">
        <f t="shared" si="12"/>
        <v/>
      </c>
    </row>
    <row r="132" spans="1:16">
      <c r="B132" s="38">
        <v>37</v>
      </c>
      <c r="C132" s="136">
        <v>36</v>
      </c>
      <c r="D132" s="136"/>
      <c r="E132" s="137">
        <v>0</v>
      </c>
      <c r="F132" s="43">
        <f t="shared" si="14"/>
        <v>0</v>
      </c>
      <c r="G132" s="43" t="b">
        <f t="shared" si="6"/>
        <v>1</v>
      </c>
      <c r="H132" s="43" t="b">
        <f t="shared" si="7"/>
        <v>0</v>
      </c>
      <c r="I132" s="199" t="b">
        <v>0</v>
      </c>
      <c r="J132" s="45" t="b">
        <v>1</v>
      </c>
      <c r="K132" s="43" t="b">
        <f t="shared" si="8"/>
        <v>0</v>
      </c>
      <c r="L132" s="46">
        <f t="shared" si="15"/>
        <v>9</v>
      </c>
      <c r="M132" s="43" t="str">
        <f t="shared" si="13"/>
        <v/>
      </c>
      <c r="N132" s="43" t="str">
        <f t="shared" si="10"/>
        <v/>
      </c>
      <c r="O132" s="43" t="str">
        <f t="shared" si="11"/>
        <v/>
      </c>
      <c r="P132" s="43" t="str">
        <f t="shared" si="12"/>
        <v/>
      </c>
    </row>
    <row r="133" spans="1:16">
      <c r="B133" s="38">
        <v>38</v>
      </c>
      <c r="C133" s="138">
        <v>37</v>
      </c>
      <c r="D133" s="138"/>
      <c r="E133" s="139">
        <v>0</v>
      </c>
      <c r="F133" s="43">
        <f t="shared" si="14"/>
        <v>0</v>
      </c>
      <c r="G133" s="43" t="b">
        <f t="shared" si="6"/>
        <v>1</v>
      </c>
      <c r="H133" s="43" t="b">
        <f t="shared" si="7"/>
        <v>0</v>
      </c>
      <c r="I133" s="199" t="b">
        <v>0</v>
      </c>
      <c r="J133" s="45" t="b">
        <v>1</v>
      </c>
      <c r="K133" s="43" t="b">
        <f t="shared" si="8"/>
        <v>0</v>
      </c>
      <c r="L133" s="46">
        <f t="shared" si="15"/>
        <v>9</v>
      </c>
      <c r="M133" s="43" t="str">
        <f t="shared" si="13"/>
        <v/>
      </c>
      <c r="N133" s="43" t="str">
        <f t="shared" si="10"/>
        <v/>
      </c>
      <c r="O133" s="43" t="str">
        <f t="shared" si="11"/>
        <v/>
      </c>
      <c r="P133" s="43" t="str">
        <f t="shared" si="12"/>
        <v/>
      </c>
    </row>
    <row r="134" spans="1:16">
      <c r="B134" s="38">
        <v>39</v>
      </c>
      <c r="C134" s="136">
        <v>38</v>
      </c>
      <c r="D134" s="136"/>
      <c r="E134" s="137">
        <v>0</v>
      </c>
      <c r="F134" s="43">
        <f t="shared" si="14"/>
        <v>0</v>
      </c>
      <c r="G134" s="43" t="b">
        <f t="shared" si="6"/>
        <v>1</v>
      </c>
      <c r="H134" s="43" t="b">
        <f t="shared" si="7"/>
        <v>0</v>
      </c>
      <c r="I134" s="199" t="b">
        <v>0</v>
      </c>
      <c r="J134" s="45" t="b">
        <v>1</v>
      </c>
      <c r="K134" s="43" t="b">
        <f t="shared" si="8"/>
        <v>0</v>
      </c>
      <c r="L134" s="46">
        <f t="shared" si="15"/>
        <v>9</v>
      </c>
      <c r="M134" s="43" t="str">
        <f t="shared" si="13"/>
        <v/>
      </c>
      <c r="N134" s="43" t="str">
        <f t="shared" si="10"/>
        <v/>
      </c>
      <c r="O134" s="43" t="str">
        <f t="shared" si="11"/>
        <v/>
      </c>
      <c r="P134" s="43" t="str">
        <f t="shared" si="12"/>
        <v/>
      </c>
    </row>
    <row r="135" spans="1:16">
      <c r="B135" s="38">
        <v>40</v>
      </c>
      <c r="C135" s="138">
        <v>39</v>
      </c>
      <c r="D135" s="138"/>
      <c r="E135" s="139">
        <v>0</v>
      </c>
      <c r="F135" s="43">
        <f t="shared" si="14"/>
        <v>0</v>
      </c>
      <c r="G135" s="43" t="b">
        <f t="shared" si="6"/>
        <v>1</v>
      </c>
      <c r="H135" s="43" t="b">
        <f t="shared" si="7"/>
        <v>0</v>
      </c>
      <c r="I135" s="199" t="b">
        <v>0</v>
      </c>
      <c r="J135" s="45" t="b">
        <v>1</v>
      </c>
      <c r="K135" s="43" t="b">
        <f t="shared" si="8"/>
        <v>0</v>
      </c>
      <c r="L135" s="46">
        <f t="shared" si="15"/>
        <v>9</v>
      </c>
      <c r="M135" s="43" t="str">
        <f t="shared" si="13"/>
        <v/>
      </c>
      <c r="N135" s="43" t="str">
        <f t="shared" si="10"/>
        <v/>
      </c>
      <c r="O135" s="43" t="str">
        <f t="shared" si="11"/>
        <v/>
      </c>
      <c r="P135" s="43" t="str">
        <f t="shared" si="12"/>
        <v/>
      </c>
    </row>
    <row r="136" spans="1:16">
      <c r="B136" s="38">
        <v>41</v>
      </c>
      <c r="C136" s="140">
        <v>40</v>
      </c>
      <c r="D136" s="140"/>
      <c r="E136" s="141">
        <v>0</v>
      </c>
      <c r="F136" s="47">
        <f t="shared" si="14"/>
        <v>0</v>
      </c>
      <c r="G136" s="47" t="b">
        <f t="shared" si="6"/>
        <v>1</v>
      </c>
      <c r="H136" s="47" t="b">
        <f t="shared" si="7"/>
        <v>0</v>
      </c>
      <c r="I136" s="200" t="b">
        <v>0</v>
      </c>
      <c r="J136" s="49" t="b">
        <v>1</v>
      </c>
      <c r="K136" s="47" t="b">
        <f t="shared" si="8"/>
        <v>0</v>
      </c>
      <c r="L136" s="50">
        <f t="shared" si="15"/>
        <v>9</v>
      </c>
      <c r="M136" s="47" t="str">
        <f t="shared" si="13"/>
        <v/>
      </c>
      <c r="N136" s="47" t="str">
        <f t="shared" si="10"/>
        <v/>
      </c>
      <c r="O136" s="47" t="str">
        <f t="shared" si="11"/>
        <v/>
      </c>
      <c r="P136" s="47" t="str">
        <f t="shared" si="12"/>
        <v/>
      </c>
    </row>
    <row r="137" spans="1:16">
      <c r="B137" s="20" t="s">
        <v>368</v>
      </c>
      <c r="C137" s="20" t="s">
        <v>369</v>
      </c>
      <c r="D137" s="20" t="s">
        <v>370</v>
      </c>
      <c r="E137" s="32"/>
      <c r="F137" s="20" t="s">
        <v>371</v>
      </c>
      <c r="L137" s="20" t="s">
        <v>372</v>
      </c>
      <c r="M137" s="32" t="s">
        <v>8470</v>
      </c>
      <c r="N137" s="32" t="s">
        <v>8471</v>
      </c>
      <c r="O137" s="32" t="s">
        <v>8472</v>
      </c>
      <c r="P137" s="32" t="s">
        <v>8473</v>
      </c>
    </row>
    <row r="138" spans="1:16">
      <c r="E138" s="32"/>
    </row>
    <row r="139" spans="1:16" s="54" customFormat="1">
      <c r="A139" s="53" t="s">
        <v>32</v>
      </c>
      <c r="E139" s="55"/>
    </row>
    <row r="141" spans="1:16">
      <c r="B141" s="33" t="s">
        <v>63</v>
      </c>
      <c r="C141" s="34" t="str">
        <f ca="1">MID(CELL("filename",C141),FIND("]",CELL("filename",C141))+1,255)&amp;"!"</f>
        <v>Packs!</v>
      </c>
    </row>
    <row r="142" spans="1:16">
      <c r="B142" s="33"/>
      <c r="C142" s="20" t="s">
        <v>373</v>
      </c>
    </row>
    <row r="143" spans="1:16">
      <c r="B143" s="33"/>
    </row>
    <row r="144" spans="1:16">
      <c r="B144" s="33" t="s">
        <v>376</v>
      </c>
      <c r="C144" s="34">
        <f>MAX(PackAvailable_AvailableCount)</f>
        <v>9</v>
      </c>
    </row>
    <row r="145" spans="3:3">
      <c r="C145" s="20" t="s">
        <v>374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U30"/>
  <sheetViews>
    <sheetView tabSelected="1" zoomScaleNormal="100" workbookViewId="0">
      <selection activeCell="J13" sqref="J13"/>
    </sheetView>
  </sheetViews>
  <sheetFormatPr defaultColWidth="8.796875" defaultRowHeight="14.25"/>
  <cols>
    <col min="1" max="2" width="1.69921875" style="6" customWidth="1"/>
    <col min="3" max="3" width="24.69921875" style="6" customWidth="1"/>
    <col min="4" max="4" width="1.69921875" style="6" customWidth="1"/>
    <col min="5" max="5" width="10.69921875" style="6" customWidth="1"/>
    <col min="6" max="6" width="1.69921875" style="6" customWidth="1"/>
    <col min="7" max="7" width="10.69921875" style="6" customWidth="1"/>
    <col min="8" max="8" width="1.69921875" style="6" customWidth="1"/>
    <col min="9" max="9" width="10.69921875" style="6" customWidth="1"/>
    <col min="10" max="10" width="1.69921875" style="6" customWidth="1"/>
    <col min="11" max="11" width="10.69921875" style="6" customWidth="1"/>
    <col min="12" max="12" width="1.69921875" style="6" customWidth="1"/>
    <col min="13" max="13" width="10.69921875" style="6" customWidth="1"/>
    <col min="14" max="14" width="1.69921875" style="6" customWidth="1"/>
    <col min="15" max="15" width="10.69921875" style="6" customWidth="1"/>
    <col min="16" max="17" width="1.69921875" style="6" customWidth="1"/>
    <col min="18" max="18" width="20.69921875" style="6" customWidth="1"/>
    <col min="19" max="16384" width="8.796875" style="6"/>
  </cols>
  <sheetData>
    <row r="1" spans="1:21" s="57" customFormat="1" ht="6" customHeight="1"/>
    <row r="2" spans="1:21" s="60" customFormat="1" ht="38.1" customHeight="1">
      <c r="T2" s="61" t="s">
        <v>172</v>
      </c>
      <c r="U2" s="60" t="s">
        <v>35</v>
      </c>
    </row>
    <row r="3" spans="1:21" s="57" customFormat="1" ht="9.9499999999999993" customHeight="1"/>
    <row r="4" spans="1:21" s="57" customFormat="1" ht="44.1" customHeight="1">
      <c r="C4" s="62" t="str">
        <f>nmProgramTitle</f>
        <v>Greensberg</v>
      </c>
      <c r="F4" s="67"/>
      <c r="G4" s="68"/>
      <c r="H4" s="68"/>
      <c r="I4" s="68"/>
      <c r="J4" s="68"/>
      <c r="K4" s="68"/>
      <c r="L4" s="68"/>
      <c r="M4" s="68"/>
      <c r="N4" s="68"/>
      <c r="O4" s="68"/>
      <c r="P4" s="69"/>
    </row>
    <row r="5" spans="1:21" s="57" customFormat="1" ht="6" customHeight="1">
      <c r="C5" s="63"/>
      <c r="F5" s="70"/>
      <c r="G5" s="65"/>
      <c r="H5" s="65"/>
      <c r="I5" s="65"/>
      <c r="J5" s="65"/>
      <c r="K5" s="65"/>
      <c r="L5" s="65"/>
      <c r="M5" s="65"/>
      <c r="N5" s="65"/>
      <c r="O5" s="65"/>
      <c r="P5" s="71"/>
    </row>
    <row r="6" spans="1:21" s="57" customFormat="1" ht="27">
      <c r="C6" s="64" t="str">
        <f>nmProgramSubtitle</f>
        <v>Value Management Accelerator</v>
      </c>
      <c r="F6" s="70"/>
      <c r="G6" s="65"/>
      <c r="H6" s="65"/>
      <c r="I6" s="65"/>
      <c r="J6" s="65"/>
      <c r="K6" s="65"/>
      <c r="L6" s="65"/>
      <c r="M6" s="65"/>
      <c r="N6" s="65"/>
      <c r="O6" s="65"/>
      <c r="P6" s="71"/>
    </row>
    <row r="7" spans="1:21" s="57" customFormat="1" ht="21.95" customHeight="1">
      <c r="A7" s="58"/>
      <c r="B7" s="58"/>
      <c r="C7" s="58"/>
      <c r="D7" s="58"/>
      <c r="E7" s="58"/>
      <c r="F7" s="72"/>
      <c r="G7" s="66"/>
      <c r="H7" s="66"/>
      <c r="I7" s="66"/>
      <c r="J7" s="66"/>
      <c r="K7" s="66"/>
      <c r="L7" s="66"/>
      <c r="M7" s="66"/>
      <c r="N7" s="66"/>
      <c r="O7" s="66"/>
      <c r="P7" s="73"/>
      <c r="Q7" s="58"/>
      <c r="R7" s="58"/>
    </row>
    <row r="8" spans="1:21" s="57" customFormat="1" ht="21.95" customHeight="1">
      <c r="A8" s="58"/>
      <c r="B8" s="58"/>
      <c r="C8" s="58"/>
      <c r="D8" s="58"/>
      <c r="E8" s="58"/>
      <c r="F8" s="72"/>
      <c r="G8" s="66"/>
      <c r="H8" s="66"/>
      <c r="I8" s="66"/>
      <c r="J8" s="66"/>
      <c r="K8" s="66"/>
      <c r="L8" s="66"/>
      <c r="M8" s="66"/>
      <c r="N8" s="66"/>
      <c r="O8" s="66"/>
      <c r="P8" s="73"/>
      <c r="Q8" s="58"/>
      <c r="R8" s="58"/>
    </row>
    <row r="9" spans="1:21" s="57" customFormat="1" ht="21.95" customHeight="1">
      <c r="A9" s="58"/>
      <c r="B9" s="58"/>
      <c r="C9" s="58"/>
      <c r="D9" s="58"/>
      <c r="E9" s="58"/>
      <c r="F9" s="72"/>
      <c r="G9" s="66"/>
      <c r="H9" s="66"/>
      <c r="I9" s="66"/>
      <c r="J9" s="66"/>
      <c r="K9" s="66"/>
      <c r="L9" s="66"/>
      <c r="M9" s="66"/>
      <c r="N9" s="66"/>
      <c r="O9" s="66"/>
      <c r="P9" s="73"/>
      <c r="Q9" s="58"/>
      <c r="R9" s="58"/>
    </row>
    <row r="10" spans="1:21" s="57" customFormat="1" ht="21.95" customHeight="1">
      <c r="A10" s="58"/>
      <c r="B10" s="58"/>
      <c r="C10" s="58"/>
      <c r="D10" s="58"/>
      <c r="E10" s="58"/>
      <c r="F10" s="72"/>
      <c r="G10" s="66"/>
      <c r="H10" s="66"/>
      <c r="I10" s="66"/>
      <c r="J10" s="66"/>
      <c r="K10" s="66"/>
      <c r="L10" s="66"/>
      <c r="M10" s="66"/>
      <c r="N10" s="66"/>
      <c r="O10" s="66"/>
      <c r="P10" s="73"/>
      <c r="Q10" s="58"/>
      <c r="R10" s="58"/>
    </row>
    <row r="11" spans="1:21" s="57" customFormat="1" ht="21.95" customHeight="1">
      <c r="A11" s="58"/>
      <c r="B11" s="58"/>
      <c r="C11" s="58" t="str">
        <f>nmTeamNumber</f>
        <v>Team Number</v>
      </c>
      <c r="D11" s="58"/>
      <c r="E11" s="58"/>
      <c r="F11" s="72"/>
      <c r="G11" s="66"/>
      <c r="H11" s="66"/>
      <c r="I11" s="66"/>
      <c r="J11" s="66"/>
      <c r="K11" s="66"/>
      <c r="L11" s="66"/>
      <c r="M11" s="66"/>
      <c r="N11" s="66"/>
      <c r="O11" s="66"/>
      <c r="P11" s="73"/>
      <c r="Q11" s="58"/>
      <c r="R11" s="58"/>
    </row>
    <row r="12" spans="1:21" s="57" customFormat="1" ht="21.95" customHeight="1">
      <c r="A12" s="58"/>
      <c r="B12" s="58"/>
      <c r="C12" s="59">
        <v>1</v>
      </c>
      <c r="D12" s="58"/>
      <c r="E12" s="58"/>
      <c r="F12" s="72"/>
      <c r="G12" s="66"/>
      <c r="H12" s="66"/>
      <c r="I12" s="66"/>
      <c r="J12" s="66"/>
      <c r="K12" s="66"/>
      <c r="L12" s="66"/>
      <c r="M12" s="66"/>
      <c r="N12" s="66"/>
      <c r="O12" s="66"/>
      <c r="P12" s="73"/>
      <c r="Q12" s="58"/>
      <c r="R12" s="58"/>
    </row>
    <row r="13" spans="1:21" s="57" customFormat="1" ht="21.95" customHeight="1">
      <c r="A13" s="58"/>
      <c r="B13" s="58"/>
      <c r="C13" s="58"/>
      <c r="D13" s="58"/>
      <c r="E13" s="58"/>
      <c r="F13" s="72"/>
      <c r="G13" s="66"/>
      <c r="H13" s="66"/>
      <c r="I13" s="66"/>
      <c r="J13" s="66"/>
      <c r="K13" s="66"/>
      <c r="L13" s="66"/>
      <c r="M13" s="66"/>
      <c r="N13" s="66"/>
      <c r="O13" s="66"/>
      <c r="P13" s="73"/>
      <c r="Q13" s="58"/>
      <c r="R13" s="58"/>
      <c r="T13" s="8" t="b">
        <v>0</v>
      </c>
    </row>
    <row r="14" spans="1:21" s="57" customFormat="1" ht="21.95" customHeight="1" thickBot="1">
      <c r="A14" s="58"/>
      <c r="B14" s="58"/>
      <c r="C14" s="58" t="str">
        <f>nmTeamName</f>
        <v>Team Name</v>
      </c>
      <c r="D14" s="58"/>
      <c r="E14" s="58"/>
      <c r="F14" s="72"/>
      <c r="G14" s="66"/>
      <c r="H14" s="66"/>
      <c r="I14" s="66"/>
      <c r="J14" s="66"/>
      <c r="K14" s="66"/>
      <c r="L14" s="66"/>
      <c r="M14" s="66"/>
      <c r="N14" s="66"/>
      <c r="O14" s="66"/>
      <c r="P14" s="73"/>
      <c r="Q14" s="58"/>
      <c r="R14" s="58"/>
      <c r="T14" s="8" t="b">
        <v>0</v>
      </c>
    </row>
    <row r="15" spans="1:21" s="57" customFormat="1" ht="21.95" customHeight="1" thickBot="1">
      <c r="A15" s="58"/>
      <c r="B15" s="58"/>
      <c r="C15" s="194" t="s">
        <v>237</v>
      </c>
      <c r="D15" s="58"/>
      <c r="E15" s="58"/>
      <c r="F15" s="72"/>
      <c r="G15" s="66"/>
      <c r="H15" s="66"/>
      <c r="I15" s="66"/>
      <c r="J15" s="66"/>
      <c r="K15" s="66"/>
      <c r="L15" s="66"/>
      <c r="M15" s="66"/>
      <c r="N15" s="66"/>
      <c r="O15" s="66"/>
      <c r="P15" s="73"/>
      <c r="Q15" s="58"/>
      <c r="R15" s="58"/>
      <c r="T15" s="8" t="b">
        <v>0</v>
      </c>
    </row>
    <row r="16" spans="1:21" s="57" customFormat="1" ht="21.95" customHeight="1">
      <c r="A16" s="58"/>
      <c r="B16" s="58"/>
      <c r="C16" s="58"/>
      <c r="D16" s="58"/>
      <c r="E16" s="58"/>
      <c r="F16" s="72"/>
      <c r="G16" s="66"/>
      <c r="H16" s="66"/>
      <c r="I16" s="66"/>
      <c r="J16" s="66"/>
      <c r="K16" s="66"/>
      <c r="L16" s="66"/>
      <c r="M16" s="66"/>
      <c r="N16" s="66"/>
      <c r="O16" s="66"/>
      <c r="P16" s="73"/>
      <c r="Q16" s="58"/>
      <c r="R16" s="58"/>
      <c r="T16" s="8" t="b">
        <v>0</v>
      </c>
    </row>
    <row r="17" spans="1:20" s="57" customFormat="1" ht="21.95" customHeight="1">
      <c r="A17" s="58"/>
      <c r="B17" s="58"/>
      <c r="C17" s="58" t="str">
        <f>nmRound</f>
        <v>Round</v>
      </c>
      <c r="D17" s="58"/>
      <c r="E17" s="58"/>
      <c r="F17" s="72"/>
      <c r="G17" s="66"/>
      <c r="H17" s="66"/>
      <c r="I17" s="66"/>
      <c r="J17" s="66"/>
      <c r="K17" s="66"/>
      <c r="L17" s="66"/>
      <c r="M17" s="66"/>
      <c r="N17" s="66"/>
      <c r="O17" s="66"/>
      <c r="P17" s="73"/>
      <c r="Q17" s="58"/>
      <c r="R17" s="58"/>
      <c r="T17" s="8" t="b">
        <v>0</v>
      </c>
    </row>
    <row r="18" spans="1:20" s="57" customFormat="1" ht="21.95" customHeight="1">
      <c r="A18" s="58"/>
      <c r="B18" s="58"/>
      <c r="C18" s="59">
        <f>tlOutputRound</f>
        <v>1</v>
      </c>
      <c r="D18" s="58"/>
      <c r="E18" s="58"/>
      <c r="F18" s="74"/>
      <c r="G18" s="75"/>
      <c r="H18" s="75"/>
      <c r="I18" s="75"/>
      <c r="J18" s="75"/>
      <c r="K18" s="75"/>
      <c r="L18" s="75"/>
      <c r="M18" s="75"/>
      <c r="N18" s="75"/>
      <c r="O18" s="75"/>
      <c r="P18" s="76"/>
      <c r="Q18" s="58"/>
      <c r="R18" s="58"/>
      <c r="T18" s="57" t="s">
        <v>38</v>
      </c>
    </row>
    <row r="19" spans="1:20" s="57" customFormat="1" ht="9.9499999999999993" customHeight="1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</row>
    <row r="20" spans="1:20" s="56" customFormat="1" ht="21.95" customHeight="1"/>
    <row r="21" spans="1:20" s="56" customFormat="1" ht="21.95" customHeight="1"/>
    <row r="22" spans="1:20" s="56" customFormat="1" ht="21.95" customHeight="1"/>
    <row r="23" spans="1:20" s="56" customFormat="1" ht="21.95" customHeight="1"/>
    <row r="24" spans="1:20" ht="21.95" customHeight="1"/>
    <row r="25" spans="1:20" ht="21.95" customHeight="1"/>
    <row r="26" spans="1:20" ht="21.95" customHeight="1"/>
    <row r="27" spans="1:20" ht="21.95" customHeight="1"/>
    <row r="28" spans="1:20" ht="21.95" customHeight="1"/>
    <row r="29" spans="1:20" ht="21.95" customHeight="1"/>
    <row r="30" spans="1:20" ht="21.95" customHeight="1"/>
  </sheetData>
  <sheetProtection selectLockedCells="1"/>
  <dataValidations count="2">
    <dataValidation type="textLength" operator="lessThanOrEqual" allowBlank="1" showInputMessage="1" showErrorMessage="1" errorTitle="Invalid Text Entry" error="Please enter text up to 20characters long." sqref="C15">
      <formula1>20</formula1>
    </dataValidation>
    <dataValidation type="decimal" allowBlank="1" showInputMessage="1" showErrorMessage="1" errorTitle="Invalid Value" error="Please enter a whole number between 1 and 5." sqref="C12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/>
  </sheetPr>
  <dimension ref="C1:AD51"/>
  <sheetViews>
    <sheetView zoomScale="70" zoomScaleNormal="70" workbookViewId="0">
      <selection activeCell="O23" sqref="O23"/>
    </sheetView>
  </sheetViews>
  <sheetFormatPr defaultColWidth="8.796875" defaultRowHeight="15"/>
  <cols>
    <col min="1" max="2" width="1.69921875" style="94" customWidth="1"/>
    <col min="3" max="3" width="12.59765625" style="94" customWidth="1"/>
    <col min="4" max="4" width="1.69921875" style="94" customWidth="1"/>
    <col min="5" max="5" width="12.59765625" style="94" customWidth="1"/>
    <col min="6" max="6" width="1.69921875" style="94" customWidth="1"/>
    <col min="7" max="7" width="12.59765625" style="94" customWidth="1"/>
    <col min="8" max="8" width="1.69921875" style="94" customWidth="1"/>
    <col min="9" max="9" width="12.59765625" style="94" customWidth="1"/>
    <col min="10" max="10" width="1.69921875" style="94" customWidth="1"/>
    <col min="11" max="11" width="12.59765625" style="94" customWidth="1"/>
    <col min="12" max="12" width="1.69921875" style="94" customWidth="1"/>
    <col min="13" max="13" width="12.59765625" style="94" customWidth="1"/>
    <col min="14" max="14" width="1.69921875" style="94" customWidth="1"/>
    <col min="15" max="15" width="12.59765625" style="94" customWidth="1"/>
    <col min="16" max="17" width="1.69921875" style="94" customWidth="1"/>
    <col min="18" max="19" width="12.19921875" style="94" customWidth="1"/>
    <col min="20" max="21" width="8.796875" style="94"/>
    <col min="22" max="22" width="10" style="94" customWidth="1"/>
    <col min="23" max="23" width="10.8984375" style="94" customWidth="1"/>
    <col min="24" max="24" width="11" style="94" customWidth="1"/>
    <col min="25" max="16384" width="8.796875" style="94"/>
  </cols>
  <sheetData>
    <row r="1" spans="3:30" s="93" customFormat="1" ht="6" customHeight="1"/>
    <row r="2" spans="3:30" s="93" customFormat="1" ht="27.75" customHeight="1">
      <c r="C2" s="487" t="s">
        <v>3776</v>
      </c>
      <c r="K2" s="771"/>
      <c r="O2" s="771"/>
      <c r="R2" s="771"/>
      <c r="S2" s="771"/>
    </row>
    <row r="3" spans="3:30" s="93" customFormat="1" ht="27.75" customHeight="1">
      <c r="K3" s="771"/>
      <c r="O3" s="771"/>
      <c r="R3" s="771"/>
      <c r="S3" s="771"/>
      <c r="T3" s="620"/>
      <c r="U3" s="620"/>
    </row>
    <row r="4" spans="3:30" s="96" customFormat="1" ht="20.100000000000001" customHeight="1"/>
    <row r="5" spans="3:30" s="96" customFormat="1" ht="21.95" customHeight="1">
      <c r="C5" s="345" t="s">
        <v>339</v>
      </c>
      <c r="D5" s="345"/>
      <c r="E5" s="345"/>
      <c r="F5" s="345"/>
      <c r="G5" s="345"/>
      <c r="H5" s="345"/>
      <c r="I5" s="345"/>
      <c r="J5" s="345"/>
      <c r="M5" s="345" t="str">
        <f>nmSi</f>
        <v>Strategic Initiatives</v>
      </c>
      <c r="N5" s="345"/>
      <c r="O5" s="345"/>
      <c r="P5" s="345"/>
      <c r="Q5" s="345"/>
      <c r="R5" s="345"/>
    </row>
    <row r="6" spans="3:30" s="96" customFormat="1" ht="21.95" customHeight="1">
      <c r="G6" s="203"/>
      <c r="I6" s="203"/>
      <c r="R6" s="203"/>
      <c r="S6" s="203"/>
    </row>
    <row r="7" spans="3:30" s="96" customFormat="1" ht="9.9499999999999993" customHeight="1" thickBot="1">
      <c r="R7" s="203"/>
      <c r="S7" s="203"/>
    </row>
    <row r="8" spans="3:30" s="96" customFormat="1" ht="21.95" customHeight="1" thickBot="1">
      <c r="C8" s="999" t="s">
        <v>350</v>
      </c>
      <c r="D8" s="1000"/>
      <c r="E8" s="1001"/>
      <c r="F8" s="469"/>
      <c r="G8" s="203"/>
      <c r="H8" s="203"/>
      <c r="I8" s="310"/>
      <c r="M8" s="1002" t="s">
        <v>60</v>
      </c>
      <c r="N8" s="1003"/>
      <c r="O8" s="1003"/>
      <c r="P8" s="1003"/>
      <c r="Q8" s="1003"/>
      <c r="R8" s="1004"/>
      <c r="S8" s="203"/>
    </row>
    <row r="9" spans="3:30" s="96" customFormat="1" ht="7.5" customHeight="1" thickBot="1">
      <c r="G9" s="203"/>
      <c r="H9" s="203"/>
      <c r="I9" s="203"/>
      <c r="R9" s="203"/>
      <c r="S9" s="203"/>
    </row>
    <row r="10" spans="3:30" s="96" customFormat="1" ht="21.95" customHeight="1" thickBot="1">
      <c r="C10" s="999" t="s">
        <v>350</v>
      </c>
      <c r="D10" s="1000"/>
      <c r="E10" s="1001"/>
      <c r="G10" s="203"/>
      <c r="H10" s="203"/>
      <c r="I10" s="310"/>
      <c r="M10" s="1002" t="s">
        <v>60</v>
      </c>
      <c r="N10" s="1003"/>
      <c r="O10" s="1003"/>
      <c r="P10" s="1003"/>
      <c r="Q10" s="1003"/>
      <c r="R10" s="1004"/>
      <c r="S10" s="203"/>
    </row>
    <row r="11" spans="3:30" s="96" customFormat="1" ht="7.5" customHeight="1" thickBot="1">
      <c r="R11" s="203"/>
      <c r="S11" s="203"/>
    </row>
    <row r="12" spans="3:30" s="96" customFormat="1" ht="21.95" customHeight="1" thickBot="1">
      <c r="M12" s="1002" t="s">
        <v>60</v>
      </c>
      <c r="N12" s="1003"/>
      <c r="O12" s="1003"/>
      <c r="P12" s="1003"/>
      <c r="Q12" s="1003"/>
      <c r="R12" s="1004"/>
      <c r="S12" s="203"/>
    </row>
    <row r="13" spans="3:30" s="96" customFormat="1" ht="21.95" customHeight="1">
      <c r="X13" s="623"/>
      <c r="Y13" s="623"/>
      <c r="Z13" s="623"/>
      <c r="AA13" s="623"/>
      <c r="AB13" s="623"/>
      <c r="AC13" s="623"/>
      <c r="AD13" s="623"/>
    </row>
    <row r="14" spans="3:30" s="96" customFormat="1" ht="21.95" customHeight="1">
      <c r="M14" s="195"/>
      <c r="X14" s="623"/>
      <c r="Y14" s="623"/>
      <c r="Z14" s="623"/>
      <c r="AA14" s="623"/>
      <c r="AB14" s="623"/>
      <c r="AC14" s="623"/>
      <c r="AD14" s="623"/>
    </row>
    <row r="15" spans="3:30" s="96" customFormat="1" ht="21.95" customHeight="1">
      <c r="M15" s="195"/>
      <c r="X15" s="623"/>
      <c r="Y15" s="623"/>
      <c r="Z15" s="623"/>
      <c r="AA15" s="623"/>
      <c r="AB15" s="623"/>
      <c r="AC15" s="623"/>
      <c r="AD15" s="623"/>
    </row>
    <row r="16" spans="3:30" s="96" customFormat="1" ht="21.95" customHeight="1">
      <c r="M16" s="195"/>
      <c r="O16" s="292"/>
      <c r="P16" s="195"/>
      <c r="Q16" s="195"/>
      <c r="R16" s="292"/>
      <c r="X16" s="623"/>
      <c r="Y16" s="623"/>
      <c r="Z16" s="623"/>
      <c r="AA16" s="623"/>
      <c r="AB16" s="623"/>
      <c r="AC16" s="623"/>
      <c r="AD16" s="623"/>
    </row>
    <row r="17" spans="3:18" s="96" customFormat="1" ht="21.95" customHeight="1">
      <c r="O17" s="97"/>
      <c r="R17" s="624"/>
    </row>
    <row r="18" spans="3:18" s="96" customFormat="1" ht="21.95" customHeight="1">
      <c r="O18" s="97"/>
      <c r="R18" s="624"/>
    </row>
    <row r="19" spans="3:18" s="96" customFormat="1" ht="21.95" customHeight="1">
      <c r="O19" s="97"/>
      <c r="R19" s="624"/>
    </row>
    <row r="20" spans="3:18" s="96" customFormat="1" ht="21.95" customHeight="1">
      <c r="C20" s="195"/>
      <c r="O20" s="97"/>
      <c r="R20" s="624"/>
    </row>
    <row r="21" spans="3:18" s="96" customFormat="1" ht="21.95" customHeight="1">
      <c r="M21" s="195"/>
      <c r="O21" s="97"/>
      <c r="R21" s="624"/>
    </row>
    <row r="22" spans="3:18" s="96" customFormat="1" ht="21.95" customHeight="1">
      <c r="O22" s="97"/>
      <c r="R22" s="624"/>
    </row>
    <row r="23" spans="3:18" s="96" customFormat="1" ht="21.95" customHeight="1">
      <c r="O23" s="97"/>
      <c r="R23" s="624"/>
    </row>
    <row r="24" spans="3:18" s="96" customFormat="1" ht="21.95" customHeight="1">
      <c r="O24" s="97"/>
      <c r="R24" s="624"/>
    </row>
    <row r="25" spans="3:18" s="96" customFormat="1" ht="21.95" customHeight="1">
      <c r="O25" s="97"/>
      <c r="R25" s="624"/>
    </row>
    <row r="26" spans="3:18" s="96" customFormat="1" ht="21.95" customHeight="1">
      <c r="M26" s="195"/>
      <c r="O26" s="97"/>
      <c r="R26" s="624"/>
    </row>
    <row r="27" spans="3:18" s="96" customFormat="1" ht="21.95" customHeight="1">
      <c r="O27" s="97"/>
      <c r="R27" s="624"/>
    </row>
    <row r="28" spans="3:18" s="96" customFormat="1" ht="21.95" customHeight="1">
      <c r="C28" s="402"/>
      <c r="D28" s="402"/>
      <c r="E28" s="402"/>
      <c r="F28" s="402"/>
      <c r="G28" s="402"/>
      <c r="O28" s="97"/>
      <c r="R28" s="624"/>
    </row>
    <row r="29" spans="3:18" s="623" customFormat="1" ht="21.95" customHeight="1">
      <c r="C29" s="684"/>
      <c r="D29" s="684"/>
      <c r="E29" s="684"/>
      <c r="F29" s="684"/>
      <c r="G29" s="684"/>
      <c r="O29" s="624"/>
      <c r="R29" s="624"/>
    </row>
    <row r="30" spans="3:18" s="96" customFormat="1" ht="7.5" customHeight="1">
      <c r="C30" s="402"/>
      <c r="D30" s="402"/>
      <c r="E30" s="402"/>
      <c r="F30" s="402"/>
      <c r="G30" s="402"/>
    </row>
    <row r="31" spans="3:18" s="96" customFormat="1" ht="21.95" customHeight="1">
      <c r="C31" s="402"/>
      <c r="D31" s="402"/>
      <c r="E31" s="402"/>
      <c r="F31" s="402"/>
      <c r="G31" s="402"/>
    </row>
    <row r="32" spans="3:18" s="96" customFormat="1" ht="21.95" customHeight="1">
      <c r="C32" s="402"/>
      <c r="D32" s="402"/>
      <c r="E32" s="402"/>
      <c r="F32" s="402"/>
      <c r="G32" s="402"/>
    </row>
    <row r="33" spans="3:24" s="96" customFormat="1" ht="21.95" customHeight="1">
      <c r="C33" s="402"/>
      <c r="D33" s="402"/>
      <c r="E33" s="402"/>
      <c r="F33" s="402"/>
      <c r="G33" s="402"/>
    </row>
    <row r="34" spans="3:24" s="96" customFormat="1" ht="21.95" customHeight="1">
      <c r="C34" s="402"/>
      <c r="D34" s="402"/>
      <c r="E34" s="402"/>
      <c r="F34" s="402"/>
      <c r="G34" s="402"/>
    </row>
    <row r="35" spans="3:24" s="96" customFormat="1" ht="21.95" customHeight="1"/>
    <row r="36" spans="3:24" ht="21.95" customHeight="1"/>
    <row r="37" spans="3:24" ht="21.95" customHeight="1"/>
    <row r="38" spans="3:24" ht="21.95" customHeight="1"/>
    <row r="40" spans="3:24" ht="15.75" thickBot="1"/>
    <row r="41" spans="3:24">
      <c r="U41" s="760"/>
      <c r="V41" s="768" t="s">
        <v>9741</v>
      </c>
      <c r="W41" s="761"/>
      <c r="X41" s="762"/>
    </row>
    <row r="42" spans="3:24">
      <c r="U42" s="763"/>
      <c r="V42" s="701" t="s">
        <v>6606</v>
      </c>
      <c r="W42" s="701"/>
      <c r="X42" s="764"/>
    </row>
    <row r="43" spans="3:24">
      <c r="U43" s="763"/>
      <c r="V43" s="701"/>
      <c r="W43" s="701"/>
      <c r="X43" s="764"/>
    </row>
    <row r="44" spans="3:24">
      <c r="U44" s="763"/>
      <c r="V44" s="701"/>
      <c r="W44" s="701" t="s">
        <v>583</v>
      </c>
      <c r="X44" s="764"/>
    </row>
    <row r="45" spans="3:24">
      <c r="U45" s="763"/>
      <c r="V45" s="703">
        <v>0</v>
      </c>
      <c r="W45" s="701" t="s">
        <v>9742</v>
      </c>
      <c r="X45" s="764"/>
    </row>
    <row r="46" spans="3:24">
      <c r="U46" s="763"/>
      <c r="V46" s="703">
        <v>0</v>
      </c>
      <c r="W46" s="701" t="s">
        <v>9743</v>
      </c>
      <c r="X46" s="764"/>
    </row>
    <row r="47" spans="3:24">
      <c r="U47" s="763"/>
      <c r="V47" s="703">
        <v>0</v>
      </c>
      <c r="W47" s="701" t="s">
        <v>9744</v>
      </c>
      <c r="X47" s="764"/>
    </row>
    <row r="48" spans="3:24">
      <c r="U48" s="763"/>
      <c r="V48" s="703">
        <v>0</v>
      </c>
      <c r="W48" s="701" t="s">
        <v>9745</v>
      </c>
      <c r="X48" s="764"/>
    </row>
    <row r="49" spans="21:24">
      <c r="U49" s="763"/>
      <c r="V49" s="703">
        <v>0</v>
      </c>
      <c r="W49" s="701" t="s">
        <v>9746</v>
      </c>
      <c r="X49" s="764"/>
    </row>
    <row r="50" spans="21:24">
      <c r="U50" s="763"/>
      <c r="V50" s="703">
        <v>0</v>
      </c>
      <c r="W50" s="701" t="s">
        <v>9747</v>
      </c>
      <c r="X50" s="764"/>
    </row>
    <row r="51" spans="21:24" ht="15.75" thickBot="1">
      <c r="U51" s="765"/>
      <c r="V51" s="766"/>
      <c r="W51" s="766"/>
      <c r="X51" s="767"/>
    </row>
  </sheetData>
  <sheetProtection selectLockedCells="1"/>
  <dataConsolidate/>
  <mergeCells count="5">
    <mergeCell ref="C8:E8"/>
    <mergeCell ref="C10:E10"/>
    <mergeCell ref="M8:R8"/>
    <mergeCell ref="M10:R10"/>
    <mergeCell ref="M12:R12"/>
  </mergeCells>
  <dataValidations count="4">
    <dataValidation type="list" allowBlank="1" showInputMessage="1" showErrorMessage="1" sqref="C8:E8 C10:E10">
      <formula1>INDIRECT(Pack_AvailableProgramDropDown)</formula1>
    </dataValidation>
    <dataValidation type="list" allowBlank="1" showInputMessage="1" showErrorMessage="1" sqref="M12:R12">
      <formula1>INDIRECT(SI_AvailableProgramDropDown)</formula1>
    </dataValidation>
    <dataValidation type="decimal" allowBlank="1" showInputMessage="1" showErrorMessage="1" errorTitle="Invalid Value" error="Please enter a whole number between 0 and 1." sqref="V45:V50">
      <formula1>0</formula1>
      <formula2>1</formula2>
    </dataValidation>
    <dataValidation type="list" allowBlank="1" showInputMessage="1" showErrorMessage="1" sqref="M8:R8 M10:R10">
      <formula1>INDIRECT(SI_AvailableProgramDropDown)</formula1>
    </dataValidation>
  </dataValidations>
  <pageMargins left="0.7" right="0.7" top="0.75" bottom="0.75" header="0.3" footer="0.3"/>
  <pageSetup paperSize="9" scale="54" orientation="portrait" r:id="rId1"/>
  <colBreaks count="1" manualBreakCount="1">
    <brk id="19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C1:AR85"/>
  <sheetViews>
    <sheetView zoomScale="70" zoomScaleNormal="70" workbookViewId="0">
      <selection activeCell="Y22" sqref="Y22"/>
    </sheetView>
  </sheetViews>
  <sheetFormatPr defaultColWidth="8.796875" defaultRowHeight="15"/>
  <cols>
    <col min="1" max="2" width="1.69921875" style="94" customWidth="1"/>
    <col min="3" max="3" width="16.296875" style="94" customWidth="1"/>
    <col min="4" max="4" width="1.69921875" style="94" customWidth="1"/>
    <col min="5" max="5" width="15.59765625" style="94" customWidth="1"/>
    <col min="6" max="6" width="23.8984375" style="460" hidden="1" customWidth="1"/>
    <col min="7" max="7" width="1.796875" style="94" customWidth="1"/>
    <col min="8" max="8" width="18.5" style="94" customWidth="1"/>
    <col min="9" max="9" width="18.296875" style="460" hidden="1" customWidth="1"/>
    <col min="10" max="10" width="1.69921875" style="94" customWidth="1"/>
    <col min="11" max="11" width="16" style="94" customWidth="1"/>
    <col min="12" max="12" width="16" style="460" hidden="1" customWidth="1"/>
    <col min="13" max="13" width="1.69921875" style="94" customWidth="1"/>
    <col min="14" max="14" width="15.59765625" style="94" customWidth="1"/>
    <col min="15" max="15" width="15.59765625" style="460" hidden="1" customWidth="1"/>
    <col min="16" max="16" width="1.69921875" style="94" customWidth="1"/>
    <col min="17" max="17" width="15.59765625" style="94" customWidth="1"/>
    <col min="18" max="18" width="15.59765625" style="460" hidden="1" customWidth="1"/>
    <col min="19" max="19" width="1.69921875" style="94" customWidth="1"/>
    <col min="20" max="20" width="15.59765625" style="94" customWidth="1"/>
    <col min="21" max="21" width="15.59765625" style="460" hidden="1" customWidth="1"/>
    <col min="22" max="22" width="1.69921875" style="94" customWidth="1"/>
    <col min="23" max="23" width="15.59765625" style="94" customWidth="1"/>
    <col min="24" max="24" width="1.69921875" style="94" customWidth="1"/>
    <col min="25" max="25" width="15.59765625" style="460" customWidth="1"/>
    <col min="26" max="26" width="1.69921875" style="94" customWidth="1"/>
    <col min="27" max="27" width="15.59765625" style="94" customWidth="1"/>
    <col min="28" max="28" width="1.69921875" style="94" customWidth="1"/>
    <col min="29" max="29" width="15.59765625" style="94" customWidth="1"/>
    <col min="30" max="31" width="1.69921875" style="94" customWidth="1"/>
    <col min="32" max="32" width="20.69921875" style="94" customWidth="1"/>
    <col min="33" max="39" width="8.796875" style="94"/>
    <col min="40" max="40" width="29.796875" style="94" customWidth="1"/>
    <col min="41" max="41" width="13.5" style="94" customWidth="1"/>
    <col min="42" max="42" width="24" style="94" customWidth="1"/>
    <col min="43" max="43" width="15.3984375" style="94" customWidth="1"/>
    <col min="44" max="44" width="29.5" style="94" customWidth="1"/>
    <col min="45" max="45" width="19.5" style="94" customWidth="1"/>
    <col min="46" max="46" width="29.296875" style="94" customWidth="1"/>
    <col min="47" max="16384" width="8.796875" style="94"/>
  </cols>
  <sheetData>
    <row r="1" spans="3:35" s="93" customFormat="1" ht="21.75" customHeight="1">
      <c r="D1" s="347"/>
      <c r="E1" s="347"/>
    </row>
    <row r="2" spans="3:35" s="93" customFormat="1" ht="29.25" customHeight="1">
      <c r="D2" s="347"/>
      <c r="E2" s="347"/>
      <c r="H2" s="1007"/>
      <c r="I2" s="726"/>
      <c r="J2" s="620"/>
      <c r="K2" s="1007"/>
      <c r="L2" s="620"/>
      <c r="M2" s="620"/>
      <c r="N2" s="1007"/>
      <c r="Q2" s="1008"/>
      <c r="T2" s="770"/>
      <c r="U2" s="770"/>
      <c r="V2" s="770"/>
      <c r="W2" s="771"/>
      <c r="X2" s="770"/>
      <c r="Y2" s="771"/>
      <c r="Z2" s="770"/>
      <c r="AA2" s="771"/>
      <c r="AB2" s="770"/>
      <c r="AC2" s="771"/>
      <c r="AH2" s="95" t="s">
        <v>1405</v>
      </c>
      <c r="AI2" s="93" t="s">
        <v>35</v>
      </c>
    </row>
    <row r="3" spans="3:35" s="93" customFormat="1" ht="29.25" customHeight="1">
      <c r="C3" s="473" t="str">
        <f>tlOutputCh1</f>
        <v>Hypermarkets</v>
      </c>
      <c r="D3" s="347"/>
      <c r="E3" s="347"/>
      <c r="H3" s="1007"/>
      <c r="I3" s="620"/>
      <c r="J3" s="620"/>
      <c r="K3" s="1007"/>
      <c r="L3" s="620"/>
      <c r="M3" s="620"/>
      <c r="N3" s="1007"/>
      <c r="Q3" s="1008"/>
      <c r="W3" s="771"/>
      <c r="X3" s="770"/>
      <c r="Y3" s="771"/>
      <c r="Z3" s="770"/>
      <c r="AA3" s="771"/>
      <c r="AB3" s="770"/>
      <c r="AC3" s="771"/>
    </row>
    <row r="4" spans="3:35" s="93" customFormat="1" ht="29.25" customHeight="1">
      <c r="C4" s="475" t="s">
        <v>3298</v>
      </c>
      <c r="D4" s="347"/>
      <c r="E4" s="347"/>
      <c r="H4" s="772"/>
      <c r="I4" s="620"/>
      <c r="J4" s="620"/>
      <c r="K4" s="772"/>
      <c r="L4" s="620"/>
      <c r="M4" s="620"/>
      <c r="N4" s="772"/>
      <c r="Q4" s="535"/>
      <c r="W4" s="771"/>
      <c r="X4" s="770"/>
      <c r="Y4" s="771"/>
      <c r="Z4" s="770"/>
      <c r="AA4" s="771"/>
      <c r="AB4" s="770"/>
      <c r="AC4" s="771"/>
    </row>
    <row r="5" spans="3:35" s="96" customFormat="1" ht="12.75" customHeight="1">
      <c r="F5" s="97"/>
    </row>
    <row r="6" spans="3:35" s="96" customFormat="1" ht="20.100000000000001" customHeight="1">
      <c r="C6" s="345" t="s">
        <v>1390</v>
      </c>
      <c r="D6" s="92"/>
      <c r="E6" s="92"/>
      <c r="F6" s="92"/>
      <c r="G6" s="92"/>
      <c r="H6" s="92"/>
      <c r="I6" s="92"/>
      <c r="J6" s="461"/>
      <c r="K6" s="461"/>
      <c r="L6" s="461"/>
      <c r="M6" s="461"/>
      <c r="N6" s="461"/>
      <c r="O6" s="461"/>
      <c r="P6" s="461"/>
      <c r="Q6" s="461"/>
      <c r="R6" s="461"/>
      <c r="S6" s="461"/>
      <c r="T6" s="461"/>
      <c r="U6" s="461"/>
      <c r="V6" s="461"/>
      <c r="W6" s="461"/>
      <c r="X6" s="461"/>
      <c r="Y6" s="461"/>
      <c r="Z6" s="461"/>
      <c r="AA6" s="461"/>
      <c r="AB6" s="461"/>
      <c r="AC6" s="461"/>
      <c r="AD6" s="461"/>
    </row>
    <row r="7" spans="3:35" s="96" customFormat="1" ht="7.5" customHeight="1">
      <c r="F7" s="97"/>
    </row>
    <row r="8" spans="3:35" s="96" customFormat="1" ht="20.100000000000001" customHeight="1">
      <c r="E8" s="1005" t="s">
        <v>1408</v>
      </c>
      <c r="F8" s="1005"/>
      <c r="G8" s="1005"/>
      <c r="H8" s="1005"/>
      <c r="I8" s="462"/>
      <c r="K8" s="454" t="s">
        <v>1409</v>
      </c>
      <c r="M8" s="369"/>
      <c r="N8" s="516" t="s">
        <v>6550</v>
      </c>
      <c r="Q8" s="471" t="s">
        <v>14</v>
      </c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  <c r="AD8" s="369"/>
      <c r="AE8" s="369"/>
      <c r="AG8" s="369"/>
    </row>
    <row r="9" spans="3:35" s="96" customFormat="1" ht="7.5" customHeight="1"/>
    <row r="10" spans="3:35" s="96" customFormat="1" ht="20.100000000000001" customHeight="1">
      <c r="E10" s="369" t="str">
        <f>tlOutputProd2</f>
        <v>Harken</v>
      </c>
      <c r="F10" s="469"/>
      <c r="G10" s="369"/>
      <c r="H10" s="658" t="str">
        <f>tlOutputProd3</f>
        <v>Kara</v>
      </c>
      <c r="I10" s="469"/>
      <c r="J10" s="469"/>
      <c r="K10" s="658" t="str">
        <f>tlOutputProd1</f>
        <v>Greenborg</v>
      </c>
      <c r="L10" s="342"/>
      <c r="M10" s="342"/>
      <c r="N10" s="658" t="str">
        <f>tlOutputProd4</f>
        <v>Brew Master</v>
      </c>
      <c r="Q10" s="342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G10" s="97"/>
    </row>
    <row r="11" spans="3:35" s="96" customFormat="1" ht="7.5" customHeight="1"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Q11" s="342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G11" s="97"/>
    </row>
    <row r="12" spans="3:35" s="96" customFormat="1" ht="20.100000000000001" customHeight="1">
      <c r="C12" s="96" t="s">
        <v>3328</v>
      </c>
      <c r="E12" s="1006"/>
      <c r="F12" s="1006"/>
      <c r="G12" s="1006"/>
      <c r="H12" s="1006"/>
      <c r="I12" s="469"/>
      <c r="J12" s="469"/>
      <c r="K12" s="505"/>
      <c r="L12" s="469"/>
      <c r="M12" s="469"/>
      <c r="N12" s="515"/>
      <c r="Q12" s="505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G12" s="97"/>
    </row>
    <row r="13" spans="3:35" s="96" customFormat="1" ht="7.5" customHeight="1" thickBot="1"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Q13" s="342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G13" s="97"/>
    </row>
    <row r="14" spans="3:35" s="96" customFormat="1" ht="20.100000000000001" customHeight="1" thickBot="1">
      <c r="C14" s="96" t="s">
        <v>1391</v>
      </c>
      <c r="E14" s="204">
        <v>0.12</v>
      </c>
      <c r="F14" s="469" t="s">
        <v>3018</v>
      </c>
      <c r="G14" s="636"/>
      <c r="H14" s="204">
        <v>0.08</v>
      </c>
      <c r="I14" s="469" t="s">
        <v>3019</v>
      </c>
      <c r="J14" s="469"/>
      <c r="K14" s="204">
        <v>0.2</v>
      </c>
      <c r="L14" s="342" t="s">
        <v>3020</v>
      </c>
      <c r="M14" s="342"/>
      <c r="N14" s="929"/>
      <c r="Q14" s="342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G14" s="97"/>
    </row>
    <row r="15" spans="3:35" s="96" customFormat="1" ht="7.5" customHeight="1" thickBot="1"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Q15" s="342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G15" s="97"/>
    </row>
    <row r="16" spans="3:35" s="96" customFormat="1" ht="20.100000000000001" customHeight="1" thickBot="1">
      <c r="C16" s="96" t="s">
        <v>1392</v>
      </c>
      <c r="E16" s="515"/>
      <c r="F16" s="469"/>
      <c r="G16" s="515"/>
      <c r="H16" s="515"/>
      <c r="I16" s="469"/>
      <c r="J16" s="469"/>
      <c r="K16" s="505"/>
      <c r="L16" s="469"/>
      <c r="M16" s="469"/>
      <c r="N16" s="592">
        <v>0</v>
      </c>
      <c r="Q16" s="651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G16" s="97"/>
    </row>
    <row r="17" spans="3:33" s="96" customFormat="1" ht="7.5" customHeight="1">
      <c r="E17" s="469"/>
      <c r="F17" s="469"/>
      <c r="G17" s="469"/>
      <c r="H17" s="469"/>
      <c r="I17" s="469"/>
      <c r="J17" s="469"/>
      <c r="K17" s="469"/>
      <c r="L17" s="469"/>
      <c r="M17" s="469"/>
      <c r="N17" s="469"/>
      <c r="Q17" s="469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G17" s="97"/>
    </row>
    <row r="18" spans="3:33" s="96" customFormat="1" ht="20.100000000000001" customHeight="1">
      <c r="C18" s="96" t="s">
        <v>1397</v>
      </c>
      <c r="E18" s="515"/>
      <c r="F18" s="469"/>
      <c r="G18" s="515"/>
      <c r="H18" s="651"/>
      <c r="I18" s="469"/>
      <c r="J18" s="469"/>
      <c r="K18" s="651"/>
      <c r="L18" s="469"/>
      <c r="M18" s="469"/>
      <c r="N18" s="651"/>
      <c r="Q18" s="505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G18" s="97"/>
    </row>
    <row r="19" spans="3:33" s="96" customFormat="1" ht="7.5" customHeight="1"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Q19" s="506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G19" s="97"/>
    </row>
    <row r="20" spans="3:33" s="96" customFormat="1" ht="20.100000000000001" customHeight="1">
      <c r="C20" s="96" t="s">
        <v>521</v>
      </c>
      <c r="E20" s="515"/>
      <c r="F20" s="469"/>
      <c r="G20" s="515"/>
      <c r="H20" s="651"/>
      <c r="I20" s="469"/>
      <c r="J20" s="469"/>
      <c r="K20" s="651"/>
      <c r="L20" s="506"/>
      <c r="M20" s="506"/>
      <c r="N20" s="651"/>
      <c r="Q20" s="651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G20" s="97"/>
    </row>
    <row r="21" spans="3:33" s="96" customFormat="1" ht="7.5" customHeight="1">
      <c r="E21" s="506"/>
      <c r="F21" s="506"/>
      <c r="G21" s="506"/>
      <c r="H21" s="506"/>
      <c r="I21" s="506"/>
      <c r="J21" s="506"/>
      <c r="K21" s="506"/>
      <c r="L21" s="506"/>
      <c r="M21" s="506"/>
      <c r="N21" s="506"/>
      <c r="Q21" s="506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G21" s="97"/>
    </row>
    <row r="22" spans="3:33" s="96" customFormat="1" ht="20.100000000000001" customHeight="1">
      <c r="C22" s="96" t="s">
        <v>517</v>
      </c>
      <c r="E22" s="518"/>
      <c r="F22" s="506"/>
      <c r="G22" s="507"/>
      <c r="H22" s="518"/>
      <c r="I22" s="506"/>
      <c r="J22" s="506"/>
      <c r="K22" s="518"/>
      <c r="L22" s="506"/>
      <c r="M22" s="506"/>
      <c r="N22" s="518"/>
      <c r="Q22" s="518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G22" s="97"/>
    </row>
    <row r="23" spans="3:33" s="96" customFormat="1" ht="7.5" customHeight="1">
      <c r="E23" s="488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</row>
    <row r="24" spans="3:33" s="96" customFormat="1" ht="20.100000000000001" customHeight="1"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</row>
    <row r="25" spans="3:33" s="96" customFormat="1" ht="7.5" customHeight="1">
      <c r="F25" s="97"/>
      <c r="L25" s="97"/>
      <c r="O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</row>
    <row r="26" spans="3:33" s="96" customFormat="1" ht="21.95" customHeight="1">
      <c r="F26" s="97"/>
      <c r="L26" s="97"/>
      <c r="O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</row>
    <row r="27" spans="3:33" s="96" customFormat="1" ht="7.5" customHeight="1">
      <c r="F27" s="97"/>
      <c r="L27" s="97"/>
      <c r="O27" s="97"/>
      <c r="Q27" s="97"/>
      <c r="R27" s="97"/>
      <c r="S27" s="97"/>
      <c r="T27" s="97"/>
      <c r="U27" s="97"/>
      <c r="V27" s="97"/>
      <c r="W27" s="97"/>
    </row>
    <row r="28" spans="3:33" s="96" customFormat="1" ht="21.95" customHeight="1">
      <c r="C28" s="345" t="s">
        <v>1303</v>
      </c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345"/>
      <c r="Z28" s="91"/>
      <c r="AA28" s="345" t="s">
        <v>5197</v>
      </c>
      <c r="AB28" s="91"/>
      <c r="AC28" s="91"/>
      <c r="AD28" s="91"/>
    </row>
    <row r="29" spans="3:33" s="96" customFormat="1" ht="7.5" customHeight="1">
      <c r="F29" s="97"/>
      <c r="L29" s="97"/>
      <c r="O29" s="97"/>
      <c r="Q29" s="97"/>
      <c r="R29" s="97"/>
      <c r="S29" s="97"/>
      <c r="U29" s="97"/>
    </row>
    <row r="30" spans="3:33" s="96" customFormat="1" ht="21.95" customHeight="1">
      <c r="E30" s="346" t="str">
        <f>nmValDriv1</f>
        <v>Distribution</v>
      </c>
      <c r="F30" s="97"/>
      <c r="H30" s="346" t="str">
        <f>nmValDriv2</f>
        <v>Shelf Space</v>
      </c>
      <c r="J30" s="369"/>
      <c r="K30" s="346" t="str">
        <f>nmValDriv3</f>
        <v>Floor Space</v>
      </c>
      <c r="L30" s="97"/>
      <c r="M30" s="346"/>
      <c r="N30" s="346" t="str">
        <f>nmValDriv4</f>
        <v>Cool Space</v>
      </c>
      <c r="O30" s="97"/>
      <c r="Q30" s="369" t="str">
        <f>nmValDriv5</f>
        <v>Visibility</v>
      </c>
      <c r="R30" s="97"/>
      <c r="S30" s="97"/>
      <c r="T30" s="369" t="s">
        <v>14</v>
      </c>
      <c r="U30" s="97"/>
      <c r="W30" s="369" t="str">
        <f>nmValDrivCond</f>
        <v>Conditionality</v>
      </c>
    </row>
    <row r="31" spans="3:33" s="96" customFormat="1" ht="7.5" customHeight="1" thickBot="1">
      <c r="F31" s="97"/>
      <c r="L31" s="97"/>
      <c r="O31" s="97"/>
      <c r="Q31" s="97"/>
      <c r="R31" s="97"/>
      <c r="S31" s="97"/>
      <c r="U31" s="97"/>
    </row>
    <row r="32" spans="3:33" s="96" customFormat="1" ht="21.95" customHeight="1" thickBot="1">
      <c r="C32" s="96" t="s">
        <v>12869</v>
      </c>
      <c r="E32" s="194" t="s">
        <v>1297</v>
      </c>
      <c r="F32" s="97" t="s">
        <v>2976</v>
      </c>
      <c r="H32" s="629" t="s">
        <v>1297</v>
      </c>
      <c r="I32" s="96" t="s">
        <v>2977</v>
      </c>
      <c r="K32" s="629" t="s">
        <v>1297</v>
      </c>
      <c r="L32" s="97" t="s">
        <v>2978</v>
      </c>
      <c r="N32" s="629" t="s">
        <v>1297</v>
      </c>
      <c r="O32" s="97" t="s">
        <v>2979</v>
      </c>
      <c r="Q32" s="629" t="s">
        <v>1297</v>
      </c>
      <c r="R32" s="97" t="s">
        <v>2980</v>
      </c>
      <c r="S32" s="97"/>
      <c r="U32" s="97" t="s">
        <v>2981</v>
      </c>
      <c r="W32" s="194" t="s">
        <v>1296</v>
      </c>
      <c r="X32" s="97"/>
      <c r="AA32" s="96" t="s">
        <v>785</v>
      </c>
      <c r="AC32" s="194" t="s">
        <v>785</v>
      </c>
    </row>
    <row r="33" spans="3:32" s="96" customFormat="1" ht="7.5" customHeight="1">
      <c r="F33" s="97"/>
      <c r="L33" s="97"/>
      <c r="O33" s="97"/>
      <c r="Q33" s="97"/>
      <c r="R33" s="97"/>
      <c r="S33" s="97"/>
      <c r="U33" s="97"/>
      <c r="X33" s="97"/>
    </row>
    <row r="34" spans="3:32" s="96" customFormat="1" ht="21.95" customHeight="1">
      <c r="C34" s="96" t="str">
        <f>nmEmp1&amp;" Required"</f>
        <v>MTUs Required</v>
      </c>
      <c r="E34" s="203"/>
      <c r="F34" s="97"/>
      <c r="H34" s="203"/>
      <c r="K34" s="203"/>
      <c r="L34" s="97"/>
      <c r="N34" s="203"/>
      <c r="O34" s="97"/>
      <c r="Q34" s="463"/>
      <c r="R34" s="97"/>
      <c r="S34" s="97"/>
      <c r="T34" s="368"/>
      <c r="U34" s="97"/>
      <c r="W34" s="463"/>
      <c r="X34" s="97"/>
      <c r="AB34" s="368"/>
      <c r="AC34" s="469"/>
    </row>
    <row r="35" spans="3:32" s="96" customFormat="1" ht="7.5" customHeight="1">
      <c r="F35" s="97"/>
      <c r="L35" s="97"/>
      <c r="O35" s="97"/>
      <c r="R35" s="97"/>
      <c r="S35" s="97"/>
      <c r="U35" s="97"/>
      <c r="X35" s="97"/>
    </row>
    <row r="36" spans="3:32" s="96" customFormat="1" ht="21.95" customHeight="1">
      <c r="C36" s="96" t="s">
        <v>748</v>
      </c>
      <c r="E36" s="310"/>
      <c r="F36" s="97"/>
      <c r="H36" s="310"/>
      <c r="J36" s="394"/>
      <c r="K36" s="310"/>
      <c r="L36" s="97"/>
      <c r="N36" s="310"/>
      <c r="O36" s="97"/>
      <c r="Q36" s="464"/>
      <c r="R36" s="97"/>
      <c r="S36" s="97"/>
      <c r="T36" s="470"/>
      <c r="U36" s="97"/>
      <c r="W36" s="464"/>
      <c r="X36" s="97"/>
      <c r="AB36" s="366"/>
      <c r="AC36" s="470"/>
      <c r="AF36" s="468"/>
    </row>
    <row r="37" spans="3:32" s="96" customFormat="1" ht="7.5" customHeight="1">
      <c r="F37" s="97"/>
      <c r="L37" s="97"/>
      <c r="O37" s="97"/>
      <c r="Q37" s="97"/>
      <c r="R37" s="97"/>
      <c r="S37" s="97"/>
      <c r="T37" s="470"/>
      <c r="U37" s="97"/>
    </row>
    <row r="38" spans="3:32" s="96" customFormat="1" ht="21.95" customHeight="1">
      <c r="F38" s="97"/>
      <c r="L38" s="97"/>
      <c r="O38" s="97"/>
      <c r="Q38" s="97"/>
      <c r="R38" s="97"/>
      <c r="S38" s="97"/>
      <c r="U38" s="97"/>
    </row>
    <row r="39" spans="3:32" s="96" customFormat="1" ht="7.5" customHeight="1">
      <c r="F39" s="97"/>
      <c r="L39" s="97"/>
      <c r="O39" s="97"/>
      <c r="Q39" s="97"/>
      <c r="R39" s="97"/>
      <c r="S39" s="97"/>
      <c r="U39" s="97"/>
    </row>
    <row r="40" spans="3:32" s="96" customFormat="1" ht="21.95" customHeight="1">
      <c r="F40" s="97"/>
      <c r="L40" s="97"/>
      <c r="O40" s="97"/>
      <c r="Q40" s="97"/>
      <c r="R40" s="97"/>
      <c r="S40" s="97"/>
      <c r="U40" s="97"/>
    </row>
    <row r="41" spans="3:32" s="96" customFormat="1" ht="7.5" customHeight="1">
      <c r="F41" s="97"/>
      <c r="L41" s="97"/>
      <c r="O41" s="97"/>
      <c r="Q41" s="97"/>
      <c r="R41" s="97"/>
      <c r="S41" s="97"/>
      <c r="U41" s="97"/>
    </row>
    <row r="42" spans="3:32" s="96" customFormat="1" ht="21.95" customHeight="1">
      <c r="F42" s="97"/>
      <c r="L42" s="97"/>
      <c r="O42" s="97"/>
      <c r="Q42" s="97"/>
      <c r="R42" s="97"/>
      <c r="S42" s="97"/>
      <c r="U42" s="97"/>
    </row>
    <row r="43" spans="3:32" s="96" customFormat="1" ht="7.5" customHeight="1">
      <c r="F43" s="97"/>
      <c r="L43" s="97"/>
      <c r="O43" s="97"/>
      <c r="Q43" s="97"/>
      <c r="R43" s="97"/>
      <c r="S43" s="97"/>
      <c r="U43" s="97"/>
    </row>
    <row r="44" spans="3:32" s="96" customFormat="1" ht="21.95" customHeight="1">
      <c r="F44" s="97"/>
      <c r="L44" s="97"/>
      <c r="O44" s="97"/>
      <c r="Q44" s="97"/>
      <c r="R44" s="97"/>
      <c r="S44" s="97"/>
      <c r="U44" s="97"/>
    </row>
    <row r="45" spans="3:32" s="96" customFormat="1" ht="7.5" customHeight="1">
      <c r="F45" s="97"/>
      <c r="L45" s="97"/>
      <c r="O45" s="97"/>
      <c r="Q45" s="97"/>
      <c r="R45" s="97"/>
      <c r="S45" s="97"/>
      <c r="U45" s="97"/>
    </row>
    <row r="46" spans="3:32" s="96" customFormat="1" ht="21.95" customHeight="1">
      <c r="F46" s="97"/>
      <c r="L46" s="97"/>
      <c r="O46" s="97"/>
      <c r="Q46" s="97"/>
      <c r="R46" s="97"/>
      <c r="S46" s="97"/>
      <c r="U46" s="97"/>
    </row>
    <row r="47" spans="3:32" s="96" customFormat="1" ht="7.5" customHeight="1">
      <c r="F47" s="97"/>
      <c r="L47" s="97"/>
      <c r="O47" s="97"/>
      <c r="Q47" s="97"/>
      <c r="R47" s="97"/>
      <c r="S47" s="97"/>
      <c r="U47" s="97"/>
    </row>
    <row r="48" spans="3:32" s="96" customFormat="1" ht="21.95" customHeight="1">
      <c r="F48" s="97"/>
      <c r="L48" s="97"/>
      <c r="O48" s="97"/>
      <c r="Q48" s="97"/>
      <c r="R48" s="97"/>
      <c r="S48" s="97"/>
      <c r="U48" s="97"/>
    </row>
    <row r="49" spans="3:44" s="96" customFormat="1" ht="7.5" customHeight="1">
      <c r="F49" s="97"/>
      <c r="L49" s="97"/>
      <c r="O49" s="97"/>
      <c r="Q49" s="97"/>
      <c r="R49" s="97"/>
      <c r="S49" s="97"/>
      <c r="U49" s="97"/>
    </row>
    <row r="50" spans="3:44" s="96" customFormat="1" ht="21.95" customHeight="1">
      <c r="F50" s="97"/>
      <c r="L50" s="97"/>
      <c r="O50" s="97"/>
      <c r="Q50" s="97"/>
      <c r="R50" s="97"/>
      <c r="S50" s="97"/>
      <c r="U50" s="97"/>
    </row>
    <row r="51" spans="3:44" s="96" customFormat="1" ht="7.5" customHeight="1">
      <c r="F51" s="97"/>
      <c r="L51" s="97"/>
      <c r="O51" s="97"/>
      <c r="Q51" s="97"/>
      <c r="R51" s="97"/>
      <c r="S51" s="97"/>
      <c r="U51" s="97"/>
    </row>
    <row r="52" spans="3:44" s="96" customFormat="1" ht="21.95" customHeight="1">
      <c r="C52" s="195"/>
      <c r="F52" s="97"/>
      <c r="L52" s="97"/>
      <c r="O52" s="97"/>
      <c r="Q52" s="97"/>
      <c r="R52" s="97"/>
      <c r="S52" s="97"/>
      <c r="U52" s="97"/>
    </row>
    <row r="53" spans="3:44" s="96" customFormat="1" ht="7.5" customHeight="1">
      <c r="F53" s="97"/>
      <c r="L53" s="97"/>
      <c r="O53" s="97"/>
      <c r="Q53" s="97"/>
      <c r="R53" s="97"/>
      <c r="S53" s="97"/>
      <c r="U53" s="97"/>
    </row>
    <row r="54" spans="3:44" s="96" customFormat="1" ht="21.95" customHeight="1">
      <c r="F54" s="97"/>
      <c r="L54" s="97"/>
      <c r="O54" s="97"/>
      <c r="Q54" s="97"/>
      <c r="R54" s="97"/>
      <c r="S54" s="97"/>
      <c r="U54" s="97"/>
    </row>
    <row r="55" spans="3:44" s="96" customFormat="1" ht="7.5" customHeight="1">
      <c r="F55" s="97"/>
      <c r="L55" s="97"/>
      <c r="O55" s="97"/>
      <c r="Q55" s="97"/>
      <c r="R55" s="97"/>
      <c r="S55" s="97"/>
      <c r="U55" s="97"/>
    </row>
    <row r="56" spans="3:44" s="96" customFormat="1" ht="21.95" customHeight="1">
      <c r="F56" s="97"/>
      <c r="L56" s="97"/>
      <c r="O56" s="97"/>
      <c r="Q56" s="97"/>
      <c r="R56" s="97"/>
      <c r="S56" s="97"/>
      <c r="U56" s="97"/>
    </row>
    <row r="57" spans="3:44" s="96" customFormat="1" ht="7.5" customHeight="1">
      <c r="F57" s="97"/>
      <c r="L57" s="97"/>
      <c r="O57" s="97"/>
      <c r="Q57" s="97"/>
      <c r="R57" s="97"/>
      <c r="S57" s="97"/>
      <c r="U57" s="97"/>
    </row>
    <row r="58" spans="3:44" s="96" customFormat="1" ht="21.95" customHeight="1">
      <c r="F58" s="97"/>
      <c r="L58" s="97"/>
      <c r="O58" s="97"/>
      <c r="Q58" s="97"/>
      <c r="R58" s="97"/>
      <c r="S58" s="97"/>
      <c r="U58" s="97"/>
    </row>
    <row r="59" spans="3:44" s="96" customFormat="1" ht="7.5" customHeight="1">
      <c r="F59" s="97"/>
      <c r="L59" s="97"/>
      <c r="O59" s="97"/>
      <c r="Q59" s="97"/>
      <c r="R59" s="97"/>
      <c r="S59" s="97"/>
      <c r="U59" s="97"/>
    </row>
    <row r="60" spans="3:44" s="96" customFormat="1" ht="21.95" customHeight="1">
      <c r="F60" s="97"/>
      <c r="L60" s="97"/>
      <c r="O60" s="97"/>
      <c r="Q60" s="97"/>
      <c r="R60" s="97"/>
      <c r="S60" s="97"/>
      <c r="U60" s="97"/>
    </row>
    <row r="61" spans="3:44" s="460" customFormat="1" ht="21.95" customHeight="1">
      <c r="AN61" s="689"/>
      <c r="AO61" s="689"/>
      <c r="AP61" s="689"/>
      <c r="AQ61" s="689"/>
      <c r="AR61" s="689"/>
    </row>
    <row r="62" spans="3:44" s="460" customFormat="1" ht="21.95" customHeight="1">
      <c r="AN62" s="689"/>
      <c r="AO62" s="689"/>
      <c r="AP62" s="689"/>
      <c r="AQ62" s="689"/>
      <c r="AR62" s="689"/>
    </row>
    <row r="63" spans="3:44" s="460" customFormat="1" ht="21.95" customHeight="1">
      <c r="AN63" s="689"/>
      <c r="AO63" s="689"/>
      <c r="AP63" s="689"/>
      <c r="AQ63" s="689"/>
      <c r="AR63" s="689"/>
    </row>
    <row r="64" spans="3:44" s="460" customFormat="1" ht="21.95" customHeight="1">
      <c r="AN64" s="689"/>
      <c r="AO64" s="689"/>
      <c r="AP64" s="689"/>
      <c r="AQ64" s="689"/>
      <c r="AR64" s="689"/>
    </row>
    <row r="65" spans="40:44" s="460" customFormat="1" ht="21.95" customHeight="1">
      <c r="AN65" s="689"/>
      <c r="AO65" s="689"/>
      <c r="AP65" s="689"/>
      <c r="AQ65" s="689"/>
      <c r="AR65" s="689"/>
    </row>
    <row r="66" spans="40:44" s="460" customFormat="1" ht="21.95" customHeight="1">
      <c r="AN66" s="689"/>
      <c r="AO66" s="689"/>
      <c r="AP66" s="689"/>
      <c r="AQ66" s="689"/>
      <c r="AR66" s="689"/>
    </row>
    <row r="67" spans="40:44" s="460" customFormat="1" ht="21.95" customHeight="1">
      <c r="AN67" s="689"/>
      <c r="AO67" s="689"/>
      <c r="AP67" s="689"/>
      <c r="AQ67" s="689"/>
      <c r="AR67" s="689"/>
    </row>
    <row r="68" spans="40:44" s="460" customFormat="1" ht="21.95" customHeight="1">
      <c r="AN68" s="689"/>
      <c r="AO68" s="689"/>
      <c r="AP68" s="689"/>
      <c r="AQ68" s="689"/>
      <c r="AR68" s="689"/>
    </row>
    <row r="69" spans="40:44" s="460" customFormat="1" ht="21.95" customHeight="1">
      <c r="AN69" s="689"/>
      <c r="AO69" s="689"/>
      <c r="AP69" s="689"/>
      <c r="AQ69" s="689"/>
      <c r="AR69" s="689"/>
    </row>
    <row r="70" spans="40:44" s="460" customFormat="1" ht="21.95" customHeight="1">
      <c r="AN70" s="689"/>
      <c r="AO70" s="689"/>
      <c r="AP70" s="689"/>
      <c r="AQ70" s="689"/>
      <c r="AR70" s="689"/>
    </row>
    <row r="71" spans="40:44" s="460" customFormat="1" ht="21.95" customHeight="1">
      <c r="AN71" s="689"/>
      <c r="AO71" s="689"/>
      <c r="AP71" s="689"/>
      <c r="AQ71" s="689"/>
      <c r="AR71" s="689"/>
    </row>
    <row r="72" spans="40:44" s="460" customFormat="1" ht="21.95" customHeight="1">
      <c r="AN72" s="689"/>
      <c r="AO72" s="689"/>
      <c r="AP72" s="689"/>
      <c r="AQ72" s="689"/>
      <c r="AR72" s="689"/>
    </row>
    <row r="73" spans="40:44" s="460" customFormat="1" ht="21.95" customHeight="1">
      <c r="AN73" s="689"/>
      <c r="AO73" s="689"/>
      <c r="AP73" s="689"/>
      <c r="AQ73" s="689"/>
      <c r="AR73" s="689"/>
    </row>
    <row r="74" spans="40:44" s="460" customFormat="1" ht="21.95" customHeight="1"/>
    <row r="75" spans="40:44" s="460" customFormat="1" ht="21.95" customHeight="1"/>
    <row r="76" spans="40:44" s="460" customFormat="1" ht="21.95" customHeight="1"/>
    <row r="77" spans="40:44" s="460" customFormat="1" ht="21.95" customHeight="1"/>
    <row r="78" spans="40:44" s="460" customFormat="1" ht="21.95" customHeight="1"/>
    <row r="79" spans="40:44" s="460" customFormat="1" ht="21.95" customHeight="1"/>
    <row r="80" spans="40:44" s="460" customFormat="1" ht="21.95" customHeight="1"/>
    <row r="81" s="460" customFormat="1" ht="21.95" customHeight="1"/>
    <row r="82" s="460" customFormat="1" ht="21.95" customHeight="1"/>
    <row r="83" s="460" customFormat="1" ht="21.95" customHeight="1"/>
    <row r="84" s="460" customFormat="1" ht="21.95" customHeight="1"/>
    <row r="85" s="460" customFormat="1" ht="21.95" customHeight="1"/>
  </sheetData>
  <sheetProtection selectLockedCells="1"/>
  <mergeCells count="6">
    <mergeCell ref="E8:H8"/>
    <mergeCell ref="E12:H12"/>
    <mergeCell ref="H2:H3"/>
    <mergeCell ref="N2:N3"/>
    <mergeCell ref="Q2:Q3"/>
    <mergeCell ref="K2:K3"/>
  </mergeCells>
  <dataValidations count="5">
    <dataValidation type="list" allowBlank="1" showInputMessage="1" showErrorMessage="1" errorTitle="Selection Not Allowed" error="Please enter a valid selection from the drop-down menu." sqref="AC32">
      <formula1>dataMarketingPlansList</formula1>
    </dataValidation>
    <dataValidation type="list" allowBlank="1" showInputMessage="1" showErrorMessage="1" sqref="F32">
      <formula1>dataLevels1to5</formula1>
    </dataValidation>
    <dataValidation type="decimal" allowBlank="1" showInputMessage="1" showErrorMessage="1" errorTitle="Invalid Value" error="Please enter a percentage between 0% and 100%." sqref="K14 E14 H14">
      <formula1>0</formula1>
      <formula2>1</formula2>
    </dataValidation>
    <dataValidation type="list" allowBlank="1" showInputMessage="1" showErrorMessage="1" errorTitle="Selection Not Allowed" error="Please enter a valid selection from the drop-down menu." sqref="E32 W32 H32 K32 N32 Q32">
      <formula1>dataLevels1to5</formula1>
    </dataValidation>
    <dataValidation type="whole" operator="greaterThanOrEqual" allowBlank="1" showInputMessage="1" showErrorMessage="1" errorTitle="Invalid Value" error="Please enter a percentage between 0% and 100%." sqref="N16">
      <formula1>0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6" max="122" man="1"/>
    <brk id="32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4"/>
  </sheetPr>
  <dimension ref="C1:BD142"/>
  <sheetViews>
    <sheetView topLeftCell="A57" zoomScale="55" zoomScaleNormal="55" workbookViewId="0">
      <selection activeCell="S110" sqref="S110"/>
    </sheetView>
  </sheetViews>
  <sheetFormatPr defaultColWidth="8.796875" defaultRowHeight="15"/>
  <cols>
    <col min="1" max="2" width="1.69921875" style="94" customWidth="1"/>
    <col min="3" max="3" width="16.296875" style="621" customWidth="1"/>
    <col min="4" max="4" width="1.8984375" style="621" customWidth="1"/>
    <col min="5" max="5" width="15.59765625" style="94" customWidth="1"/>
    <col min="6" max="6" width="9.59765625" style="94" hidden="1" customWidth="1"/>
    <col min="7" max="7" width="1.69921875" style="94" customWidth="1"/>
    <col min="8" max="8" width="15.59765625" style="621" customWidth="1"/>
    <col min="9" max="9" width="10.8984375" style="94" hidden="1" customWidth="1"/>
    <col min="10" max="10" width="1.8984375" style="94" customWidth="1"/>
    <col min="11" max="11" width="1.8984375" style="621" customWidth="1"/>
    <col min="12" max="12" width="16" style="94" customWidth="1"/>
    <col min="13" max="13" width="13.8984375" style="94" hidden="1" customWidth="1"/>
    <col min="14" max="14" width="1.8984375" style="621" customWidth="1"/>
    <col min="15" max="15" width="1.8984375" style="94" customWidth="1"/>
    <col min="16" max="16" width="17.8984375" style="94" customWidth="1"/>
    <col min="17" max="17" width="13.59765625" style="94" hidden="1" customWidth="1"/>
    <col min="18" max="18" width="1.8984375" style="94" customWidth="1"/>
    <col min="19" max="19" width="15.8984375" style="94" customWidth="1"/>
    <col min="20" max="20" width="15.8984375" style="621" hidden="1" customWidth="1"/>
    <col min="21" max="21" width="1.8984375" style="94" customWidth="1"/>
    <col min="22" max="22" width="15.8984375" style="94" customWidth="1"/>
    <col min="23" max="23" width="15.8984375" style="621" hidden="1" customWidth="1"/>
    <col min="24" max="25" width="1.8984375" style="94" customWidth="1"/>
    <col min="26" max="26" width="15.59765625" style="94" customWidth="1"/>
    <col min="27" max="27" width="15.59765625" style="621" hidden="1" customWidth="1"/>
    <col min="28" max="28" width="1.69921875" style="94" customWidth="1"/>
    <col min="29" max="29" width="15.59765625" style="621" customWidth="1"/>
    <col min="30" max="30" width="7" style="621" hidden="1" customWidth="1"/>
    <col min="31" max="31" width="1.69921875" style="621" customWidth="1"/>
    <col min="32" max="32" width="15.59765625" style="621" customWidth="1"/>
    <col min="33" max="33" width="7.19921875" style="621" hidden="1" customWidth="1"/>
    <col min="34" max="34" width="1.8984375" style="94" customWidth="1"/>
    <col min="35" max="35" width="15.59765625" style="94" customWidth="1"/>
    <col min="36" max="36" width="1.69921875" style="94" customWidth="1"/>
    <col min="37" max="37" width="15.59765625" style="460" customWidth="1"/>
    <col min="38" max="38" width="1.69921875" style="94" customWidth="1"/>
    <col min="39" max="39" width="15.59765625" style="94" customWidth="1"/>
    <col min="40" max="40" width="1.69921875" style="94" customWidth="1"/>
    <col min="41" max="41" width="15.59765625" style="621" customWidth="1"/>
    <col min="42" max="42" width="1.69921875" style="621" customWidth="1"/>
    <col min="43" max="43" width="15.59765625" style="621" customWidth="1"/>
    <col min="44" max="44" width="1.69921875" style="621" customWidth="1"/>
    <col min="45" max="45" width="15.59765625" style="621" customWidth="1"/>
    <col min="46" max="46" width="1.69921875" style="621" customWidth="1"/>
    <col min="47" max="47" width="15.59765625" style="621" customWidth="1"/>
    <col min="48" max="48" width="1.69921875" style="621" customWidth="1"/>
    <col min="49" max="49" width="15.59765625" style="621" customWidth="1"/>
    <col min="50" max="50" width="3.796875" style="94" customWidth="1"/>
    <col min="51" max="51" width="24" style="94" customWidth="1"/>
    <col min="52" max="52" width="23.69921875" style="94" bestFit="1" customWidth="1"/>
    <col min="53" max="53" width="3.796875" style="94" customWidth="1"/>
    <col min="54" max="54" width="19.5" style="94" customWidth="1"/>
    <col min="55" max="55" width="29.296875" style="94" customWidth="1"/>
    <col min="56" max="16384" width="8.796875" style="94"/>
  </cols>
  <sheetData>
    <row r="1" spans="3:49" s="93" customFormat="1" ht="21.75" customHeight="1">
      <c r="C1" s="620"/>
      <c r="D1" s="659"/>
      <c r="H1" s="659"/>
      <c r="K1" s="803"/>
      <c r="N1" s="620"/>
      <c r="T1" s="620"/>
      <c r="W1" s="620"/>
      <c r="AA1" s="620"/>
      <c r="AC1" s="620"/>
      <c r="AD1" s="620"/>
      <c r="AE1" s="620"/>
      <c r="AF1" s="620"/>
      <c r="AG1" s="620"/>
      <c r="AO1" s="620"/>
      <c r="AP1" s="620"/>
      <c r="AQ1" s="620"/>
      <c r="AR1" s="620"/>
      <c r="AS1" s="620"/>
      <c r="AT1" s="620"/>
      <c r="AU1" s="620"/>
      <c r="AV1" s="620"/>
      <c r="AW1" s="620"/>
    </row>
    <row r="2" spans="3:49" s="620" customFormat="1" ht="21.75" customHeight="1">
      <c r="D2" s="659"/>
      <c r="H2" s="659"/>
      <c r="K2" s="803"/>
    </row>
    <row r="3" spans="3:49" s="93" customFormat="1" ht="34.5" customHeight="1">
      <c r="C3" s="620"/>
      <c r="D3" s="659"/>
      <c r="H3" s="659"/>
      <c r="K3" s="803"/>
      <c r="N3" s="620"/>
      <c r="O3" s="726"/>
      <c r="P3" s="1007"/>
      <c r="Q3" s="620"/>
      <c r="T3" s="620"/>
      <c r="W3" s="620"/>
      <c r="Y3" s="472"/>
      <c r="AA3" s="620"/>
      <c r="AC3" s="620"/>
      <c r="AD3" s="620"/>
      <c r="AE3" s="620"/>
      <c r="AF3" s="771"/>
      <c r="AG3" s="620"/>
      <c r="AI3" s="771"/>
      <c r="AK3" s="771"/>
      <c r="AM3" s="771"/>
      <c r="AP3" s="620"/>
      <c r="AQ3" s="622" t="s">
        <v>6603</v>
      </c>
      <c r="AR3" s="620" t="s">
        <v>35</v>
      </c>
      <c r="AS3" s="620"/>
      <c r="AT3" s="620"/>
      <c r="AU3" s="620"/>
      <c r="AV3" s="620"/>
      <c r="AW3" s="620"/>
    </row>
    <row r="4" spans="3:49" s="93" customFormat="1" ht="34.5" customHeight="1">
      <c r="C4" s="694" t="str">
        <f>tlOutputCh1</f>
        <v>Hypermarkets</v>
      </c>
      <c r="D4" s="659"/>
      <c r="H4" s="659"/>
      <c r="K4" s="803"/>
      <c r="N4" s="620"/>
      <c r="O4" s="620"/>
      <c r="P4" s="1007"/>
      <c r="Q4" s="620"/>
      <c r="T4" s="620"/>
      <c r="V4" s="523"/>
      <c r="W4" s="620"/>
      <c r="Y4" s="472"/>
      <c r="AA4" s="620"/>
      <c r="AC4" s="620"/>
      <c r="AD4" s="620"/>
      <c r="AE4" s="620"/>
      <c r="AF4" s="771"/>
      <c r="AG4" s="620"/>
      <c r="AI4" s="771"/>
      <c r="AK4" s="771"/>
      <c r="AM4" s="771"/>
      <c r="AP4" s="620"/>
      <c r="AQ4" s="620"/>
      <c r="AR4" s="620"/>
      <c r="AS4" s="620"/>
      <c r="AT4" s="620"/>
      <c r="AU4" s="620"/>
      <c r="AV4" s="620"/>
      <c r="AW4" s="620"/>
    </row>
    <row r="5" spans="3:49" s="93" customFormat="1" ht="34.5" customHeight="1">
      <c r="C5" s="696" t="s">
        <v>3300</v>
      </c>
      <c r="D5" s="659"/>
      <c r="H5" s="659"/>
      <c r="K5" s="803"/>
      <c r="N5" s="620"/>
      <c r="O5" s="620"/>
      <c r="P5" s="772"/>
      <c r="T5" s="620"/>
      <c r="W5" s="620"/>
      <c r="AA5" s="620"/>
      <c r="AC5" s="620"/>
      <c r="AD5" s="620"/>
      <c r="AE5" s="620"/>
      <c r="AF5" s="771"/>
      <c r="AG5" s="620"/>
      <c r="AI5" s="771"/>
      <c r="AK5" s="771"/>
      <c r="AM5" s="771"/>
      <c r="AP5" s="620"/>
      <c r="AQ5" s="620"/>
      <c r="AR5" s="620"/>
      <c r="AS5" s="620"/>
      <c r="AT5" s="620"/>
      <c r="AU5" s="620"/>
      <c r="AV5" s="620"/>
      <c r="AW5" s="620"/>
    </row>
    <row r="6" spans="3:49" s="96" customFormat="1" ht="12.75" customHeight="1" thickBot="1">
      <c r="C6" s="623"/>
      <c r="D6" s="623"/>
      <c r="H6" s="623"/>
      <c r="K6" s="623"/>
      <c r="N6" s="623"/>
      <c r="T6" s="623"/>
      <c r="W6" s="623"/>
      <c r="AA6" s="623"/>
      <c r="AC6" s="623"/>
      <c r="AD6" s="623"/>
      <c r="AE6" s="623"/>
      <c r="AF6" s="623"/>
      <c r="AG6" s="623"/>
      <c r="AO6" s="623"/>
      <c r="AP6" s="623"/>
      <c r="AQ6" s="623"/>
      <c r="AR6" s="623"/>
      <c r="AS6" s="623"/>
      <c r="AT6" s="623"/>
      <c r="AU6" s="623"/>
      <c r="AV6" s="623"/>
      <c r="AW6" s="623"/>
    </row>
    <row r="7" spans="3:49" s="96" customFormat="1" ht="20.100000000000001" customHeight="1" thickBot="1">
      <c r="C7" s="1009" t="s">
        <v>13069</v>
      </c>
      <c r="D7" s="1010"/>
      <c r="E7" s="1011"/>
      <c r="F7" s="92"/>
      <c r="G7" s="619"/>
      <c r="H7" s="619"/>
      <c r="I7" s="619"/>
      <c r="J7" s="619"/>
      <c r="K7" s="619"/>
      <c r="L7" s="92"/>
      <c r="M7" s="92"/>
      <c r="N7" s="619"/>
      <c r="O7" s="92"/>
      <c r="P7" s="92"/>
      <c r="Q7" s="92"/>
      <c r="R7" s="92"/>
      <c r="S7" s="92"/>
      <c r="T7" s="619"/>
      <c r="U7" s="92"/>
      <c r="V7" s="92"/>
      <c r="W7" s="619"/>
      <c r="X7" s="92"/>
      <c r="Y7" s="92"/>
      <c r="Z7" s="92"/>
      <c r="AA7" s="619"/>
      <c r="AB7" s="92"/>
      <c r="AC7" s="619"/>
      <c r="AD7" s="619"/>
      <c r="AE7" s="619"/>
      <c r="AF7" s="619"/>
      <c r="AG7" s="619"/>
      <c r="AH7" s="92"/>
      <c r="AI7" s="92"/>
      <c r="AJ7" s="92"/>
      <c r="AK7" s="92"/>
      <c r="AL7" s="92"/>
      <c r="AM7" s="92"/>
      <c r="AN7" s="92"/>
      <c r="AO7" s="623"/>
      <c r="AP7" s="623"/>
      <c r="AQ7" s="623"/>
      <c r="AR7" s="623"/>
      <c r="AS7" s="623"/>
      <c r="AT7" s="623"/>
      <c r="AU7" s="623"/>
      <c r="AV7" s="623"/>
      <c r="AW7" s="623"/>
    </row>
    <row r="8" spans="3:49" s="96" customFormat="1" ht="7.5" customHeight="1">
      <c r="C8" s="697"/>
      <c r="D8" s="697"/>
      <c r="E8" s="623"/>
      <c r="G8" s="623"/>
      <c r="H8" s="697"/>
      <c r="I8" s="476"/>
      <c r="J8" s="476"/>
      <c r="K8" s="697"/>
      <c r="L8" s="476"/>
      <c r="M8" s="476"/>
      <c r="N8" s="697"/>
      <c r="T8" s="623"/>
      <c r="W8" s="623"/>
      <c r="AA8" s="623"/>
      <c r="AC8" s="623"/>
      <c r="AD8" s="623"/>
      <c r="AE8" s="623"/>
      <c r="AF8" s="623"/>
      <c r="AG8" s="623"/>
      <c r="AO8" s="623"/>
      <c r="AP8" s="623"/>
      <c r="AQ8" s="623"/>
      <c r="AR8" s="623"/>
      <c r="AS8" s="623"/>
      <c r="AT8" s="623"/>
      <c r="AU8" s="623"/>
      <c r="AV8" s="623"/>
      <c r="AW8" s="623"/>
    </row>
    <row r="9" spans="3:49" s="96" customFormat="1" ht="20.100000000000001" customHeight="1">
      <c r="C9" s="697"/>
      <c r="D9" s="697"/>
      <c r="E9" s="623"/>
      <c r="G9" s="623"/>
      <c r="H9" s="697"/>
      <c r="I9" s="476"/>
      <c r="J9" s="476"/>
      <c r="K9" s="697"/>
      <c r="L9" s="476"/>
      <c r="M9" s="476"/>
      <c r="N9" s="697"/>
      <c r="T9" s="623"/>
      <c r="W9" s="623"/>
      <c r="AA9" s="623"/>
      <c r="AC9" s="623"/>
      <c r="AD9" s="623"/>
      <c r="AE9" s="623"/>
      <c r="AF9" s="623"/>
      <c r="AG9" s="623"/>
      <c r="AO9" s="623"/>
      <c r="AP9" s="623"/>
      <c r="AQ9" s="623"/>
      <c r="AR9" s="623"/>
      <c r="AS9" s="623"/>
      <c r="AT9" s="623"/>
      <c r="AU9" s="623"/>
      <c r="AV9" s="623"/>
      <c r="AW9" s="623"/>
    </row>
    <row r="10" spans="3:49" s="96" customFormat="1" ht="7.5" customHeight="1">
      <c r="C10" s="697"/>
      <c r="D10" s="697"/>
      <c r="E10" s="623"/>
      <c r="G10" s="623"/>
      <c r="H10" s="697"/>
      <c r="I10" s="476"/>
      <c r="J10" s="476"/>
      <c r="K10" s="697"/>
      <c r="L10" s="476"/>
      <c r="M10" s="476"/>
      <c r="N10" s="697"/>
      <c r="T10" s="623"/>
      <c r="W10" s="623"/>
      <c r="AA10" s="623"/>
      <c r="AC10" s="623"/>
      <c r="AD10" s="623"/>
      <c r="AE10" s="623"/>
      <c r="AF10" s="623"/>
      <c r="AG10" s="623"/>
      <c r="AO10" s="623"/>
      <c r="AP10" s="623"/>
      <c r="AQ10" s="623"/>
      <c r="AR10" s="623"/>
      <c r="AS10" s="623"/>
      <c r="AT10" s="623"/>
      <c r="AU10" s="623"/>
      <c r="AV10" s="623"/>
      <c r="AW10" s="623"/>
    </row>
    <row r="11" spans="3:49" s="96" customFormat="1" ht="20.100000000000001" customHeight="1">
      <c r="C11" s="697"/>
      <c r="D11" s="697"/>
      <c r="E11" s="623"/>
      <c r="F11" s="623"/>
      <c r="G11" s="623"/>
      <c r="H11" s="697"/>
      <c r="I11" s="476"/>
      <c r="J11" s="476"/>
      <c r="K11" s="697"/>
      <c r="L11" s="476"/>
      <c r="M11" s="476"/>
      <c r="N11" s="697"/>
      <c r="O11" s="97"/>
      <c r="S11" s="1013"/>
      <c r="T11" s="1013"/>
      <c r="U11" s="1013"/>
      <c r="V11" s="1013"/>
      <c r="W11" s="691"/>
      <c r="X11" s="467"/>
      <c r="Y11" s="466"/>
      <c r="Z11" s="531"/>
      <c r="AA11" s="692"/>
      <c r="AC11" s="623"/>
      <c r="AD11" s="623"/>
      <c r="AE11" s="623"/>
      <c r="AF11" s="1012"/>
      <c r="AG11" s="1012"/>
      <c r="AH11" s="1012"/>
      <c r="AI11" s="1012"/>
      <c r="AN11" s="623"/>
      <c r="AO11" s="623"/>
      <c r="AP11" s="623"/>
      <c r="AQ11" s="623"/>
      <c r="AR11" s="623"/>
      <c r="AT11" s="623"/>
      <c r="AU11" s="623"/>
      <c r="AV11" s="623"/>
      <c r="AW11" s="623"/>
    </row>
    <row r="12" spans="3:49" s="96" customFormat="1" ht="7.5" customHeight="1">
      <c r="C12" s="697"/>
      <c r="D12" s="697"/>
      <c r="E12" s="623"/>
      <c r="F12" s="623"/>
      <c r="G12" s="623"/>
      <c r="H12" s="697"/>
      <c r="I12" s="476"/>
      <c r="J12" s="476"/>
      <c r="K12" s="697"/>
      <c r="L12" s="476"/>
      <c r="M12" s="476"/>
      <c r="N12" s="697"/>
      <c r="O12" s="348"/>
      <c r="P12" s="349"/>
      <c r="Q12" s="350"/>
      <c r="R12" s="348"/>
      <c r="S12" s="349"/>
      <c r="T12" s="661"/>
      <c r="U12" s="349"/>
      <c r="V12" s="349"/>
      <c r="W12" s="661"/>
      <c r="X12" s="350"/>
      <c r="Y12" s="348"/>
      <c r="Z12" s="349"/>
      <c r="AA12" s="661"/>
      <c r="AB12" s="350"/>
      <c r="AC12" s="623"/>
      <c r="AD12" s="623"/>
      <c r="AE12" s="623"/>
      <c r="AN12" s="623"/>
      <c r="AO12" s="623"/>
      <c r="AP12" s="623"/>
      <c r="AQ12" s="623"/>
      <c r="AR12" s="623"/>
      <c r="AT12" s="623"/>
      <c r="AU12" s="623"/>
      <c r="AV12" s="623"/>
      <c r="AW12" s="623"/>
    </row>
    <row r="13" spans="3:49" s="96" customFormat="1" ht="20.100000000000001" customHeight="1">
      <c r="C13" s="697"/>
      <c r="D13" s="697"/>
      <c r="E13" s="623"/>
      <c r="F13" s="623"/>
      <c r="G13" s="623"/>
      <c r="H13" s="697"/>
      <c r="I13" s="476"/>
      <c r="J13" s="476"/>
      <c r="K13" s="697"/>
      <c r="L13" s="476"/>
      <c r="M13" s="476"/>
      <c r="N13" s="697"/>
      <c r="O13" s="355"/>
      <c r="P13" s="351"/>
      <c r="Q13" s="352"/>
      <c r="R13" s="477"/>
      <c r="S13" s="359"/>
      <c r="T13" s="674"/>
      <c r="U13" s="354"/>
      <c r="V13" s="353"/>
      <c r="W13" s="665"/>
      <c r="X13" s="361"/>
      <c r="Y13" s="364"/>
      <c r="Z13" s="524"/>
      <c r="AA13" s="714"/>
      <c r="AB13" s="362"/>
      <c r="AC13" s="623"/>
      <c r="AD13" s="623"/>
      <c r="AE13" s="623"/>
      <c r="AF13" s="292"/>
      <c r="AN13" s="623"/>
      <c r="AO13" s="623"/>
      <c r="AP13" s="623"/>
      <c r="AQ13" s="623"/>
      <c r="AR13" s="623"/>
      <c r="AT13" s="623"/>
      <c r="AU13" s="623"/>
      <c r="AV13" s="623"/>
      <c r="AW13" s="623"/>
    </row>
    <row r="14" spans="3:49" s="96" customFormat="1" ht="7.5" customHeight="1">
      <c r="C14" s="697"/>
      <c r="D14" s="697"/>
      <c r="E14" s="623"/>
      <c r="F14" s="623"/>
      <c r="G14" s="623"/>
      <c r="H14" s="697"/>
      <c r="I14" s="476"/>
      <c r="J14" s="476"/>
      <c r="K14" s="697"/>
      <c r="L14" s="476"/>
      <c r="M14" s="476"/>
      <c r="N14" s="697"/>
      <c r="O14" s="355"/>
      <c r="P14" s="351"/>
      <c r="Q14" s="352"/>
      <c r="R14" s="477"/>
      <c r="S14" s="359"/>
      <c r="T14" s="674"/>
      <c r="U14" s="354"/>
      <c r="V14" s="353"/>
      <c r="W14" s="665"/>
      <c r="X14" s="361"/>
      <c r="Y14" s="364"/>
      <c r="Z14" s="66"/>
      <c r="AA14" s="615"/>
      <c r="AB14" s="362"/>
      <c r="AC14" s="623"/>
      <c r="AD14" s="623"/>
      <c r="AE14" s="623"/>
      <c r="AN14" s="623"/>
      <c r="AO14" s="623"/>
      <c r="AP14" s="623"/>
      <c r="AQ14" s="623"/>
      <c r="AR14" s="623"/>
      <c r="AS14" s="623"/>
      <c r="AT14" s="623"/>
      <c r="AU14" s="623"/>
      <c r="AV14" s="623"/>
      <c r="AW14" s="623"/>
    </row>
    <row r="15" spans="3:49" s="96" customFormat="1" ht="20.100000000000001" customHeight="1">
      <c r="C15" s="697"/>
      <c r="D15" s="697"/>
      <c r="E15" s="623"/>
      <c r="G15" s="623"/>
      <c r="H15" s="697"/>
      <c r="I15" s="476"/>
      <c r="J15" s="476"/>
      <c r="K15" s="697"/>
      <c r="L15" s="476"/>
      <c r="M15" s="476"/>
      <c r="N15" s="697"/>
      <c r="O15" s="355"/>
      <c r="P15" s="351"/>
      <c r="Q15" s="352"/>
      <c r="R15" s="477"/>
      <c r="S15" s="359"/>
      <c r="T15" s="674"/>
      <c r="U15" s="354"/>
      <c r="V15" s="353"/>
      <c r="W15" s="665"/>
      <c r="X15" s="361"/>
      <c r="Y15" s="364"/>
      <c r="Z15" s="524"/>
      <c r="AA15" s="714"/>
      <c r="AB15" s="362"/>
      <c r="AC15" s="623"/>
      <c r="AD15" s="623"/>
      <c r="AE15" s="623"/>
      <c r="AO15" s="623"/>
      <c r="AP15" s="623"/>
      <c r="AQ15" s="623"/>
      <c r="AR15" s="623"/>
      <c r="AS15" s="623"/>
      <c r="AT15" s="623"/>
      <c r="AU15" s="623"/>
      <c r="AV15" s="623"/>
      <c r="AW15" s="623"/>
    </row>
    <row r="16" spans="3:49" s="96" customFormat="1" ht="7.5" customHeight="1">
      <c r="C16" s="697"/>
      <c r="D16" s="697"/>
      <c r="E16" s="623"/>
      <c r="G16" s="623"/>
      <c r="H16" s="697"/>
      <c r="I16" s="476"/>
      <c r="J16" s="476"/>
      <c r="K16" s="697"/>
      <c r="L16" s="476"/>
      <c r="M16" s="476"/>
      <c r="N16" s="697"/>
      <c r="O16" s="355"/>
      <c r="P16" s="351"/>
      <c r="Q16" s="352"/>
      <c r="R16" s="477"/>
      <c r="S16" s="359"/>
      <c r="T16" s="674"/>
      <c r="U16" s="354"/>
      <c r="V16" s="353"/>
      <c r="W16" s="665"/>
      <c r="X16" s="361"/>
      <c r="Y16" s="364"/>
      <c r="Z16" s="66"/>
      <c r="AA16" s="615"/>
      <c r="AB16" s="362"/>
      <c r="AC16" s="623"/>
      <c r="AD16" s="623"/>
      <c r="AE16" s="623"/>
      <c r="AO16" s="623"/>
      <c r="AP16" s="623"/>
      <c r="AQ16" s="623"/>
      <c r="AR16" s="623"/>
      <c r="AS16" s="623"/>
      <c r="AT16" s="623"/>
      <c r="AU16" s="623"/>
      <c r="AV16" s="623"/>
      <c r="AW16" s="623"/>
    </row>
    <row r="17" spans="3:49" s="96" customFormat="1" ht="20.100000000000001" customHeight="1">
      <c r="C17" s="697"/>
      <c r="D17" s="697"/>
      <c r="E17" s="623"/>
      <c r="G17" s="623"/>
      <c r="H17" s="697"/>
      <c r="I17" s="476"/>
      <c r="J17" s="476"/>
      <c r="K17" s="697"/>
      <c r="L17" s="476"/>
      <c r="M17" s="476"/>
      <c r="N17" s="697"/>
      <c r="O17" s="355"/>
      <c r="P17" s="351"/>
      <c r="Q17" s="352"/>
      <c r="R17" s="477"/>
      <c r="S17" s="359"/>
      <c r="T17" s="674"/>
      <c r="U17" s="354"/>
      <c r="V17" s="353"/>
      <c r="W17" s="665"/>
      <c r="X17" s="361"/>
      <c r="Y17" s="364"/>
      <c r="Z17" s="524"/>
      <c r="AA17" s="714"/>
      <c r="AB17" s="362"/>
      <c r="AC17" s="681"/>
      <c r="AD17" s="681"/>
      <c r="AE17" s="681"/>
      <c r="AF17" s="292"/>
      <c r="AO17" s="623"/>
      <c r="AP17" s="623"/>
      <c r="AQ17" s="623"/>
      <c r="AR17" s="623"/>
      <c r="AS17" s="623"/>
      <c r="AT17" s="623"/>
      <c r="AU17" s="623"/>
      <c r="AV17" s="623"/>
      <c r="AW17" s="623"/>
    </row>
    <row r="18" spans="3:49" s="96" customFormat="1" ht="7.5" customHeight="1">
      <c r="C18" s="697"/>
      <c r="D18" s="697"/>
      <c r="E18" s="623"/>
      <c r="G18" s="623"/>
      <c r="H18" s="697"/>
      <c r="I18" s="476"/>
      <c r="J18" s="476"/>
      <c r="K18" s="697"/>
      <c r="L18" s="476"/>
      <c r="M18" s="476"/>
      <c r="N18" s="697"/>
      <c r="O18" s="355"/>
      <c r="P18" s="351"/>
      <c r="Q18" s="352"/>
      <c r="R18" s="477"/>
      <c r="S18" s="359"/>
      <c r="T18" s="674"/>
      <c r="U18" s="354"/>
      <c r="V18" s="353"/>
      <c r="W18" s="665"/>
      <c r="X18" s="361"/>
      <c r="Y18" s="364"/>
      <c r="Z18" s="66"/>
      <c r="AA18" s="615"/>
      <c r="AB18" s="362"/>
      <c r="AC18" s="681"/>
      <c r="AD18" s="681"/>
      <c r="AE18" s="681"/>
      <c r="AO18" s="623"/>
      <c r="AP18" s="623"/>
      <c r="AQ18" s="623"/>
      <c r="AR18" s="623"/>
      <c r="AS18" s="623"/>
      <c r="AT18" s="623"/>
      <c r="AU18" s="623"/>
      <c r="AV18" s="623"/>
      <c r="AW18" s="623"/>
    </row>
    <row r="19" spans="3:49" s="96" customFormat="1" ht="20.100000000000001" customHeight="1">
      <c r="C19" s="697"/>
      <c r="D19" s="697"/>
      <c r="E19" s="623"/>
      <c r="G19" s="623"/>
      <c r="H19" s="697"/>
      <c r="I19" s="476"/>
      <c r="J19" s="476"/>
      <c r="K19" s="697"/>
      <c r="L19" s="476"/>
      <c r="M19" s="476"/>
      <c r="N19" s="697"/>
      <c r="O19" s="355"/>
      <c r="P19" s="351"/>
      <c r="Q19" s="352"/>
      <c r="R19" s="477"/>
      <c r="S19" s="359"/>
      <c r="T19" s="674"/>
      <c r="U19" s="354"/>
      <c r="V19" s="353"/>
      <c r="W19" s="665"/>
      <c r="X19" s="361"/>
      <c r="Y19" s="364"/>
      <c r="Z19" s="524"/>
      <c r="AA19" s="714"/>
      <c r="AB19" s="362"/>
      <c r="AC19" s="681"/>
      <c r="AD19" s="681"/>
      <c r="AE19" s="681"/>
      <c r="AO19" s="623"/>
      <c r="AP19" s="623"/>
      <c r="AQ19" s="623"/>
      <c r="AR19" s="623"/>
      <c r="AS19" s="623"/>
      <c r="AT19" s="623"/>
      <c r="AU19" s="623"/>
      <c r="AV19" s="623"/>
      <c r="AW19" s="623"/>
    </row>
    <row r="20" spans="3:49" s="96" customFormat="1" ht="7.5" customHeight="1">
      <c r="C20" s="697"/>
      <c r="D20" s="697"/>
      <c r="E20" s="623"/>
      <c r="G20" s="623"/>
      <c r="H20" s="697"/>
      <c r="I20" s="476"/>
      <c r="J20" s="476"/>
      <c r="K20" s="697"/>
      <c r="L20" s="476"/>
      <c r="M20" s="476"/>
      <c r="N20" s="697"/>
      <c r="O20" s="355"/>
      <c r="P20" s="351"/>
      <c r="Q20" s="352"/>
      <c r="R20" s="477"/>
      <c r="S20" s="353"/>
      <c r="T20" s="665"/>
      <c r="U20" s="353"/>
      <c r="V20" s="66"/>
      <c r="W20" s="615"/>
      <c r="X20" s="362"/>
      <c r="Y20" s="355"/>
      <c r="Z20" s="66"/>
      <c r="AA20" s="615"/>
      <c r="AB20" s="362"/>
      <c r="AC20" s="681"/>
      <c r="AD20" s="681"/>
      <c r="AE20" s="681"/>
      <c r="AH20" s="623"/>
      <c r="AO20" s="623"/>
      <c r="AP20" s="623"/>
      <c r="AQ20" s="623"/>
      <c r="AR20" s="623"/>
      <c r="AS20" s="623"/>
      <c r="AT20" s="623"/>
      <c r="AU20" s="623"/>
      <c r="AV20" s="623"/>
      <c r="AW20" s="623"/>
    </row>
    <row r="21" spans="3:49" s="96" customFormat="1" ht="20.100000000000001" customHeight="1">
      <c r="C21" s="697"/>
      <c r="D21" s="697"/>
      <c r="E21" s="623"/>
      <c r="G21" s="623"/>
      <c r="H21" s="697"/>
      <c r="I21" s="476"/>
      <c r="J21" s="476"/>
      <c r="K21" s="697"/>
      <c r="L21" s="476"/>
      <c r="M21" s="476"/>
      <c r="N21" s="697"/>
      <c r="O21" s="355"/>
      <c r="P21" s="356"/>
      <c r="Q21" s="357"/>
      <c r="R21" s="478"/>
      <c r="S21" s="360"/>
      <c r="T21" s="675"/>
      <c r="U21" s="358"/>
      <c r="V21" s="526"/>
      <c r="W21" s="716"/>
      <c r="X21" s="363"/>
      <c r="Y21" s="365"/>
      <c r="Z21" s="525"/>
      <c r="AA21" s="715"/>
      <c r="AB21" s="362"/>
      <c r="AC21" s="681"/>
      <c r="AD21" s="681"/>
      <c r="AE21" s="681"/>
      <c r="AG21" s="367"/>
      <c r="AH21" s="623"/>
      <c r="AI21" s="623"/>
      <c r="AO21" s="623"/>
      <c r="AP21" s="623"/>
      <c r="AQ21" s="623"/>
      <c r="AR21" s="623"/>
      <c r="AS21" s="623"/>
      <c r="AT21" s="623"/>
      <c r="AU21" s="623"/>
      <c r="AV21" s="623"/>
      <c r="AW21" s="623"/>
    </row>
    <row r="22" spans="3:49" s="96" customFormat="1" ht="7.5" customHeight="1">
      <c r="C22" s="697"/>
      <c r="D22" s="697"/>
      <c r="E22" s="623"/>
      <c r="G22" s="623"/>
      <c r="H22" s="697"/>
      <c r="I22" s="476"/>
      <c r="J22" s="476"/>
      <c r="K22" s="697"/>
      <c r="L22" s="476"/>
      <c r="M22" s="476"/>
      <c r="N22" s="697"/>
      <c r="O22" s="355"/>
      <c r="P22" s="663"/>
      <c r="Q22" s="664"/>
      <c r="R22" s="698"/>
      <c r="S22" s="665"/>
      <c r="T22" s="665"/>
      <c r="U22" s="665"/>
      <c r="V22" s="615"/>
      <c r="W22" s="615"/>
      <c r="X22" s="677"/>
      <c r="Y22" s="667"/>
      <c r="Z22" s="615"/>
      <c r="AA22" s="615"/>
      <c r="AB22" s="362"/>
      <c r="AC22" s="623"/>
      <c r="AD22" s="623"/>
      <c r="AE22" s="623"/>
      <c r="AH22" s="623"/>
      <c r="AO22" s="623"/>
      <c r="AP22" s="623"/>
      <c r="AQ22" s="623"/>
      <c r="AR22" s="623"/>
      <c r="AS22" s="623"/>
      <c r="AT22" s="623"/>
      <c r="AU22" s="623"/>
      <c r="AV22" s="623"/>
      <c r="AW22" s="623"/>
    </row>
    <row r="23" spans="3:49" s="96" customFormat="1" ht="20.100000000000001" customHeight="1">
      <c r="C23" s="697"/>
      <c r="D23" s="697"/>
      <c r="E23" s="623"/>
      <c r="G23" s="623"/>
      <c r="H23" s="697"/>
      <c r="I23" s="476"/>
      <c r="J23" s="476"/>
      <c r="K23" s="697"/>
      <c r="L23" s="476"/>
      <c r="M23" s="476"/>
      <c r="N23" s="697"/>
      <c r="O23" s="355"/>
      <c r="P23" s="663"/>
      <c r="Q23" s="664"/>
      <c r="R23" s="698"/>
      <c r="S23" s="674"/>
      <c r="T23" s="674"/>
      <c r="U23" s="666"/>
      <c r="V23" s="717"/>
      <c r="W23" s="717"/>
      <c r="X23" s="676"/>
      <c r="Y23" s="679"/>
      <c r="Z23" s="714"/>
      <c r="AA23" s="714"/>
      <c r="AB23" s="362"/>
      <c r="AC23" s="623"/>
      <c r="AD23" s="623"/>
      <c r="AE23" s="623"/>
      <c r="AH23" s="623"/>
      <c r="AI23" s="756"/>
      <c r="AO23" s="623"/>
      <c r="AP23" s="623"/>
      <c r="AQ23" s="623"/>
      <c r="AR23" s="623"/>
      <c r="AS23" s="623"/>
      <c r="AT23" s="623"/>
      <c r="AU23" s="623"/>
      <c r="AV23" s="623"/>
      <c r="AW23" s="623"/>
    </row>
    <row r="24" spans="3:49" s="96" customFormat="1" ht="7.5" customHeight="1">
      <c r="C24" s="697"/>
      <c r="D24" s="697"/>
      <c r="E24" s="623"/>
      <c r="G24" s="623"/>
      <c r="H24" s="697"/>
      <c r="I24" s="476"/>
      <c r="J24" s="476"/>
      <c r="K24" s="697"/>
      <c r="L24" s="476"/>
      <c r="M24" s="476"/>
      <c r="N24" s="697"/>
      <c r="O24" s="355"/>
      <c r="P24" s="351"/>
      <c r="Q24" s="352"/>
      <c r="R24" s="477"/>
      <c r="S24" s="353"/>
      <c r="T24" s="665"/>
      <c r="U24" s="354"/>
      <c r="V24" s="527"/>
      <c r="W24" s="717"/>
      <c r="X24" s="361"/>
      <c r="Y24" s="364"/>
      <c r="Z24" s="66"/>
      <c r="AA24" s="615"/>
      <c r="AB24" s="362"/>
      <c r="AC24" s="623"/>
      <c r="AD24" s="623"/>
      <c r="AE24" s="623"/>
      <c r="AF24" s="623"/>
      <c r="AG24" s="623"/>
      <c r="AH24" s="623"/>
      <c r="AO24" s="623"/>
      <c r="AP24" s="623"/>
      <c r="AQ24" s="623"/>
      <c r="AR24" s="623"/>
      <c r="AS24" s="623"/>
      <c r="AT24" s="623"/>
      <c r="AU24" s="623"/>
      <c r="AV24" s="623"/>
      <c r="AW24" s="623"/>
    </row>
    <row r="25" spans="3:49" s="96" customFormat="1" ht="20.100000000000001" customHeight="1">
      <c r="C25" s="697"/>
      <c r="D25" s="697"/>
      <c r="E25" s="623"/>
      <c r="G25" s="623"/>
      <c r="H25" s="697"/>
      <c r="I25" s="476"/>
      <c r="J25" s="476"/>
      <c r="K25" s="697"/>
      <c r="L25" s="476"/>
      <c r="M25" s="476"/>
      <c r="N25" s="697"/>
      <c r="O25" s="355"/>
      <c r="P25" s="356"/>
      <c r="Q25" s="357"/>
      <c r="R25" s="478"/>
      <c r="S25" s="360"/>
      <c r="T25" s="675"/>
      <c r="U25" s="358"/>
      <c r="V25" s="528"/>
      <c r="W25" s="718"/>
      <c r="X25" s="363"/>
      <c r="Y25" s="365"/>
      <c r="Z25" s="525"/>
      <c r="AA25" s="715"/>
      <c r="AB25" s="362"/>
      <c r="AC25" s="623"/>
      <c r="AD25" s="623"/>
      <c r="AE25" s="623"/>
      <c r="AF25" s="623"/>
      <c r="AG25" s="623"/>
      <c r="AO25" s="623"/>
      <c r="AP25" s="623"/>
      <c r="AQ25" s="623"/>
      <c r="AR25" s="623"/>
      <c r="AS25" s="623"/>
      <c r="AT25" s="623"/>
      <c r="AU25" s="623"/>
      <c r="AV25" s="623"/>
      <c r="AW25" s="623"/>
    </row>
    <row r="26" spans="3:49" s="96" customFormat="1" ht="7.5" customHeight="1">
      <c r="C26" s="697"/>
      <c r="D26" s="697"/>
      <c r="E26" s="623"/>
      <c r="F26" s="534"/>
      <c r="G26" s="623"/>
      <c r="H26" s="697"/>
      <c r="I26" s="476"/>
      <c r="J26" s="476"/>
      <c r="K26" s="697"/>
      <c r="L26" s="476"/>
      <c r="M26" s="476"/>
      <c r="N26" s="697"/>
      <c r="O26" s="355"/>
      <c r="P26" s="351"/>
      <c r="Q26" s="352"/>
      <c r="R26" s="477"/>
      <c r="S26" s="353"/>
      <c r="T26" s="665"/>
      <c r="U26" s="354"/>
      <c r="V26" s="527"/>
      <c r="W26" s="717"/>
      <c r="X26" s="361"/>
      <c r="Y26" s="364"/>
      <c r="Z26" s="66"/>
      <c r="AA26" s="615"/>
      <c r="AB26" s="362"/>
      <c r="AC26" s="623"/>
      <c r="AD26" s="623"/>
      <c r="AE26" s="623"/>
      <c r="AF26" s="623"/>
      <c r="AG26" s="623"/>
      <c r="AM26" s="534"/>
      <c r="AO26" s="623"/>
      <c r="AP26" s="623"/>
      <c r="AQ26" s="623"/>
      <c r="AR26" s="623"/>
      <c r="AS26" s="623"/>
      <c r="AT26" s="623"/>
      <c r="AU26" s="623"/>
      <c r="AV26" s="623"/>
      <c r="AW26" s="623"/>
    </row>
    <row r="27" spans="3:49" s="96" customFormat="1" ht="20.100000000000001" customHeight="1">
      <c r="C27" s="697"/>
      <c r="D27" s="697"/>
      <c r="E27" s="623"/>
      <c r="F27" s="534"/>
      <c r="G27" s="623"/>
      <c r="H27" s="697"/>
      <c r="I27" s="476"/>
      <c r="J27" s="476"/>
      <c r="K27" s="697"/>
      <c r="L27" s="476"/>
      <c r="M27" s="476"/>
      <c r="N27" s="697"/>
      <c r="O27" s="355"/>
      <c r="P27" s="351"/>
      <c r="Q27" s="352"/>
      <c r="R27" s="477"/>
      <c r="S27" s="359"/>
      <c r="T27" s="674"/>
      <c r="U27" s="354"/>
      <c r="V27" s="527"/>
      <c r="W27" s="717"/>
      <c r="X27" s="361"/>
      <c r="Y27" s="364"/>
      <c r="Z27" s="524"/>
      <c r="AA27" s="714"/>
      <c r="AB27" s="362"/>
      <c r="AC27" s="623"/>
      <c r="AD27" s="623"/>
      <c r="AE27" s="623"/>
      <c r="AF27" s="623"/>
      <c r="AG27" s="623"/>
      <c r="AM27" s="534"/>
      <c r="AO27" s="623"/>
      <c r="AP27" s="623"/>
      <c r="AQ27" s="623"/>
      <c r="AR27" s="623"/>
      <c r="AS27" s="623"/>
      <c r="AT27" s="623"/>
      <c r="AU27" s="623"/>
      <c r="AV27" s="623"/>
      <c r="AW27" s="623"/>
    </row>
    <row r="28" spans="3:49" s="96" customFormat="1" ht="7.5" customHeight="1">
      <c r="C28" s="697"/>
      <c r="D28" s="697"/>
      <c r="E28" s="623"/>
      <c r="F28" s="534"/>
      <c r="G28" s="623"/>
      <c r="H28" s="697"/>
      <c r="I28" s="476"/>
      <c r="J28" s="476"/>
      <c r="K28" s="697"/>
      <c r="L28" s="476"/>
      <c r="M28" s="476"/>
      <c r="N28" s="697"/>
      <c r="O28" s="355"/>
      <c r="P28" s="351"/>
      <c r="Q28" s="352"/>
      <c r="R28" s="477"/>
      <c r="S28" s="353"/>
      <c r="T28" s="665"/>
      <c r="U28" s="354"/>
      <c r="V28" s="66"/>
      <c r="W28" s="615"/>
      <c r="X28" s="361"/>
      <c r="Y28" s="364"/>
      <c r="Z28" s="66"/>
      <c r="AA28" s="615"/>
      <c r="AB28" s="362"/>
      <c r="AC28" s="623"/>
      <c r="AD28" s="623"/>
      <c r="AE28" s="623"/>
      <c r="AF28" s="623"/>
      <c r="AG28" s="623"/>
      <c r="AM28" s="534"/>
      <c r="AO28" s="623"/>
      <c r="AP28" s="623"/>
      <c r="AQ28" s="623"/>
      <c r="AR28" s="623"/>
      <c r="AS28" s="623"/>
      <c r="AT28" s="623"/>
      <c r="AU28" s="623"/>
      <c r="AV28" s="623"/>
      <c r="AW28" s="623"/>
    </row>
    <row r="29" spans="3:49" s="96" customFormat="1" ht="21.95" customHeight="1">
      <c r="C29" s="697"/>
      <c r="D29" s="697"/>
      <c r="E29" s="623"/>
      <c r="F29" s="534"/>
      <c r="G29" s="623"/>
      <c r="H29" s="697"/>
      <c r="I29" s="476"/>
      <c r="J29" s="476"/>
      <c r="K29" s="697"/>
      <c r="L29" s="476"/>
      <c r="M29" s="476"/>
      <c r="N29" s="697"/>
      <c r="O29" s="355"/>
      <c r="P29" s="356"/>
      <c r="Q29" s="357"/>
      <c r="R29" s="478"/>
      <c r="S29" s="360"/>
      <c r="T29" s="675"/>
      <c r="U29" s="358"/>
      <c r="V29" s="528"/>
      <c r="W29" s="718"/>
      <c r="X29" s="363"/>
      <c r="Y29" s="365"/>
      <c r="Z29" s="525"/>
      <c r="AA29" s="715"/>
      <c r="AB29" s="362"/>
      <c r="AC29" s="623"/>
      <c r="AD29" s="623"/>
      <c r="AE29" s="623"/>
      <c r="AF29" s="623"/>
      <c r="AG29" s="623"/>
      <c r="AM29" s="534"/>
      <c r="AO29" s="623"/>
      <c r="AP29" s="623"/>
      <c r="AQ29" s="623"/>
      <c r="AR29" s="623"/>
      <c r="AS29" s="623"/>
      <c r="AT29" s="623"/>
      <c r="AU29" s="623"/>
      <c r="AV29" s="623"/>
      <c r="AW29" s="623"/>
    </row>
    <row r="30" spans="3:49" s="96" customFormat="1" ht="7.5" customHeight="1">
      <c r="C30" s="697"/>
      <c r="D30" s="697"/>
      <c r="E30" s="623"/>
      <c r="G30" s="623"/>
      <c r="H30" s="697"/>
      <c r="I30" s="476"/>
      <c r="J30" s="476"/>
      <c r="K30" s="697"/>
      <c r="L30" s="476"/>
      <c r="M30" s="476"/>
      <c r="N30" s="697"/>
      <c r="O30" s="700"/>
      <c r="P30" s="669"/>
      <c r="Q30" s="670"/>
      <c r="R30" s="668"/>
      <c r="S30" s="737"/>
      <c r="T30" s="737"/>
      <c r="U30" s="738"/>
      <c r="V30" s="739"/>
      <c r="W30" s="739"/>
      <c r="X30" s="740"/>
      <c r="Y30" s="741"/>
      <c r="Z30" s="742"/>
      <c r="AA30" s="742"/>
      <c r="AB30" s="743"/>
      <c r="AC30" s="623"/>
      <c r="AD30" s="623"/>
      <c r="AE30" s="623"/>
      <c r="AF30" s="623"/>
      <c r="AG30" s="623"/>
      <c r="AO30" s="623"/>
      <c r="AP30" s="623"/>
      <c r="AQ30" s="623"/>
      <c r="AR30" s="623"/>
      <c r="AS30" s="623"/>
      <c r="AT30" s="623"/>
      <c r="AU30" s="623"/>
      <c r="AV30" s="623"/>
      <c r="AW30" s="623"/>
    </row>
    <row r="31" spans="3:49" s="623" customFormat="1" ht="7.5" customHeight="1">
      <c r="C31" s="697"/>
      <c r="D31" s="697"/>
      <c r="H31" s="697"/>
      <c r="I31" s="697"/>
      <c r="J31" s="697"/>
      <c r="K31" s="697"/>
      <c r="L31" s="697"/>
      <c r="M31" s="697"/>
      <c r="N31" s="697"/>
    </row>
    <row r="32" spans="3:49" s="96" customFormat="1" ht="9.6" customHeight="1">
      <c r="C32" s="697"/>
      <c r="D32" s="697"/>
      <c r="E32" s="623"/>
      <c r="G32" s="623"/>
      <c r="H32" s="697"/>
      <c r="I32" s="476"/>
      <c r="J32" s="476"/>
      <c r="K32" s="697"/>
      <c r="L32" s="476"/>
      <c r="M32" s="476"/>
      <c r="N32" s="697"/>
      <c r="Y32" s="623"/>
      <c r="Z32" s="623"/>
      <c r="AA32" s="623"/>
      <c r="AB32" s="623"/>
      <c r="AC32" s="623"/>
      <c r="AD32" s="623"/>
      <c r="AE32" s="623"/>
      <c r="AF32" s="623"/>
      <c r="AG32" s="623"/>
      <c r="AO32" s="623"/>
      <c r="AP32" s="623"/>
      <c r="AQ32" s="623"/>
      <c r="AR32" s="623"/>
      <c r="AS32" s="623"/>
      <c r="AT32" s="623"/>
      <c r="AU32" s="623"/>
      <c r="AV32" s="623"/>
      <c r="AW32" s="623"/>
    </row>
    <row r="33" spans="3:49" s="96" customFormat="1" ht="7.5" customHeight="1">
      <c r="C33" s="697"/>
      <c r="D33" s="697"/>
      <c r="E33" s="623"/>
      <c r="G33" s="623"/>
      <c r="H33" s="697"/>
      <c r="I33" s="476"/>
      <c r="J33" s="476"/>
      <c r="K33" s="697"/>
      <c r="L33" s="476"/>
      <c r="M33" s="476"/>
      <c r="N33" s="697"/>
      <c r="O33" s="744"/>
      <c r="P33" s="661"/>
      <c r="Q33" s="662"/>
      <c r="R33" s="660"/>
      <c r="S33" s="745"/>
      <c r="T33" s="745"/>
      <c r="U33" s="746"/>
      <c r="V33" s="747"/>
      <c r="W33" s="747"/>
      <c r="X33" s="748"/>
      <c r="Y33" s="623"/>
      <c r="Z33" s="623"/>
      <c r="AA33" s="623"/>
      <c r="AB33" s="623"/>
      <c r="AC33" s="623"/>
      <c r="AD33" s="623"/>
      <c r="AE33" s="623"/>
      <c r="AF33" s="623"/>
      <c r="AG33" s="623"/>
      <c r="AO33" s="623"/>
      <c r="AP33" s="623"/>
      <c r="AQ33" s="623"/>
      <c r="AR33" s="623"/>
      <c r="AS33" s="623"/>
      <c r="AT33" s="623"/>
      <c r="AU33" s="623"/>
      <c r="AV33" s="623"/>
      <c r="AW33" s="623"/>
    </row>
    <row r="34" spans="3:49" s="96" customFormat="1" ht="21.95" customHeight="1">
      <c r="C34" s="697"/>
      <c r="D34" s="697"/>
      <c r="E34" s="623"/>
      <c r="G34" s="623"/>
      <c r="H34" s="697"/>
      <c r="I34" s="476"/>
      <c r="J34" s="476"/>
      <c r="K34" s="697"/>
      <c r="L34" s="476"/>
      <c r="M34" s="476"/>
      <c r="N34" s="697"/>
      <c r="O34" s="667"/>
      <c r="P34" s="663"/>
      <c r="Q34" s="664"/>
      <c r="R34" s="698"/>
      <c r="S34" s="674"/>
      <c r="T34" s="665"/>
      <c r="U34" s="666"/>
      <c r="V34" s="717"/>
      <c r="W34" s="717"/>
      <c r="X34" s="676"/>
      <c r="Y34" s="623"/>
      <c r="Z34" s="623"/>
      <c r="AA34" s="623"/>
      <c r="AB34" s="623"/>
      <c r="AC34" s="623"/>
      <c r="AD34" s="623"/>
      <c r="AE34" s="623"/>
      <c r="AF34" s="623"/>
      <c r="AG34" s="623"/>
      <c r="AI34" s="509"/>
      <c r="AO34" s="623"/>
      <c r="AP34" s="623"/>
      <c r="AQ34" s="623"/>
      <c r="AR34" s="623"/>
      <c r="AS34" s="623"/>
      <c r="AT34" s="623"/>
      <c r="AU34" s="623"/>
      <c r="AV34" s="623"/>
      <c r="AW34" s="623"/>
    </row>
    <row r="35" spans="3:49" s="96" customFormat="1" ht="7.5" customHeight="1">
      <c r="C35" s="623"/>
      <c r="D35" s="623"/>
      <c r="E35" s="623"/>
      <c r="G35" s="623"/>
      <c r="H35" s="623"/>
      <c r="K35" s="623"/>
      <c r="N35" s="623"/>
      <c r="O35" s="667"/>
      <c r="P35" s="663"/>
      <c r="Q35" s="664"/>
      <c r="R35" s="698"/>
      <c r="S35" s="674"/>
      <c r="T35" s="665"/>
      <c r="U35" s="666"/>
      <c r="V35" s="717"/>
      <c r="W35" s="717"/>
      <c r="X35" s="676"/>
      <c r="Y35" s="623"/>
      <c r="Z35" s="623"/>
      <c r="AA35" s="623"/>
      <c r="AB35" s="623"/>
      <c r="AC35" s="623"/>
      <c r="AD35" s="623"/>
      <c r="AE35" s="623"/>
      <c r="AF35" s="623"/>
      <c r="AG35" s="623"/>
      <c r="AO35" s="623"/>
      <c r="AP35" s="623"/>
      <c r="AQ35" s="623"/>
      <c r="AR35" s="623"/>
      <c r="AS35" s="623"/>
      <c r="AT35" s="623"/>
      <c r="AU35" s="623"/>
      <c r="AV35" s="623"/>
      <c r="AW35" s="623"/>
    </row>
    <row r="36" spans="3:49" s="96" customFormat="1" ht="21.95" customHeight="1">
      <c r="C36" s="623"/>
      <c r="D36" s="623"/>
      <c r="E36" s="623"/>
      <c r="G36" s="623"/>
      <c r="H36" s="623"/>
      <c r="K36" s="623"/>
      <c r="N36" s="623"/>
      <c r="O36" s="667"/>
      <c r="P36" s="663"/>
      <c r="Q36" s="664"/>
      <c r="R36" s="698"/>
      <c r="S36" s="674"/>
      <c r="T36" s="665"/>
      <c r="U36" s="666"/>
      <c r="V36" s="717"/>
      <c r="W36" s="717"/>
      <c r="X36" s="676"/>
      <c r="Y36" s="623"/>
      <c r="Z36" s="623"/>
      <c r="AA36" s="623"/>
      <c r="AB36" s="623"/>
      <c r="AC36" s="623"/>
      <c r="AD36" s="623"/>
      <c r="AE36" s="623"/>
      <c r="AF36" s="623"/>
      <c r="AG36" s="623"/>
      <c r="AI36" s="509"/>
      <c r="AO36" s="623"/>
      <c r="AP36" s="623"/>
      <c r="AQ36" s="623"/>
      <c r="AR36" s="623"/>
      <c r="AS36" s="623"/>
      <c r="AT36" s="623"/>
      <c r="AU36" s="623"/>
      <c r="AV36" s="623"/>
      <c r="AW36" s="623"/>
    </row>
    <row r="37" spans="3:49" s="96" customFormat="1" ht="7.5" customHeight="1">
      <c r="C37" s="623"/>
      <c r="D37" s="623"/>
      <c r="E37" s="623"/>
      <c r="G37" s="623"/>
      <c r="H37" s="623"/>
      <c r="K37" s="623"/>
      <c r="N37" s="623"/>
      <c r="O37" s="667"/>
      <c r="P37" s="663"/>
      <c r="Q37" s="664"/>
      <c r="R37" s="698"/>
      <c r="S37" s="674"/>
      <c r="T37" s="665"/>
      <c r="U37" s="666"/>
      <c r="V37" s="717"/>
      <c r="W37" s="717"/>
      <c r="X37" s="676"/>
      <c r="Y37" s="623"/>
      <c r="Z37" s="623"/>
      <c r="AA37" s="623"/>
      <c r="AB37" s="623"/>
      <c r="AC37" s="623"/>
      <c r="AD37" s="623"/>
      <c r="AE37" s="623"/>
      <c r="AF37" s="623"/>
      <c r="AG37" s="623"/>
      <c r="AO37" s="623"/>
      <c r="AP37" s="623"/>
      <c r="AQ37" s="623"/>
      <c r="AR37" s="623"/>
      <c r="AS37" s="623"/>
      <c r="AT37" s="623"/>
      <c r="AU37" s="623"/>
      <c r="AV37" s="623"/>
      <c r="AW37" s="623"/>
    </row>
    <row r="38" spans="3:49" s="96" customFormat="1" ht="21.95" customHeight="1">
      <c r="C38" s="623"/>
      <c r="D38" s="623"/>
      <c r="E38" s="623"/>
      <c r="G38" s="623"/>
      <c r="H38" s="623"/>
      <c r="K38" s="623"/>
      <c r="N38" s="623"/>
      <c r="O38" s="667"/>
      <c r="P38" s="663"/>
      <c r="Q38" s="664"/>
      <c r="R38" s="698"/>
      <c r="S38" s="674"/>
      <c r="T38" s="665"/>
      <c r="U38" s="666"/>
      <c r="V38" s="717"/>
      <c r="W38" s="717"/>
      <c r="X38" s="676"/>
      <c r="Y38" s="623"/>
      <c r="Z38" s="623"/>
      <c r="AA38" s="623"/>
      <c r="AB38" s="623"/>
      <c r="AC38" s="623"/>
      <c r="AD38" s="623"/>
      <c r="AE38" s="623"/>
      <c r="AF38" s="623"/>
      <c r="AG38" s="623"/>
      <c r="AO38" s="623"/>
      <c r="AP38" s="623"/>
      <c r="AQ38" s="623"/>
      <c r="AR38" s="623"/>
      <c r="AS38" s="623"/>
      <c r="AT38" s="623"/>
      <c r="AU38" s="623"/>
      <c r="AV38" s="623"/>
      <c r="AW38" s="623"/>
    </row>
    <row r="39" spans="3:49" s="96" customFormat="1" ht="7.5" customHeight="1">
      <c r="C39" s="623"/>
      <c r="D39" s="623"/>
      <c r="E39" s="623"/>
      <c r="G39" s="623"/>
      <c r="H39" s="623"/>
      <c r="K39" s="623"/>
      <c r="N39" s="623"/>
      <c r="O39" s="667"/>
      <c r="P39" s="663"/>
      <c r="Q39" s="664"/>
      <c r="R39" s="698"/>
      <c r="S39" s="674"/>
      <c r="T39" s="665"/>
      <c r="U39" s="666"/>
      <c r="V39" s="717"/>
      <c r="W39" s="717"/>
      <c r="X39" s="676"/>
      <c r="Y39" s="623"/>
      <c r="Z39" s="623"/>
      <c r="AA39" s="623"/>
      <c r="AB39" s="623"/>
      <c r="AC39" s="623"/>
      <c r="AD39" s="623"/>
      <c r="AE39" s="623"/>
      <c r="AF39" s="623"/>
      <c r="AG39" s="623"/>
      <c r="AO39" s="623"/>
      <c r="AP39" s="623"/>
      <c r="AQ39" s="623"/>
      <c r="AR39" s="623"/>
      <c r="AS39" s="623"/>
      <c r="AT39" s="623"/>
      <c r="AU39" s="623"/>
      <c r="AV39" s="623"/>
      <c r="AW39" s="623"/>
    </row>
    <row r="40" spans="3:49" s="96" customFormat="1" ht="21.95" customHeight="1">
      <c r="C40" s="623"/>
      <c r="D40" s="623"/>
      <c r="E40" s="623"/>
      <c r="G40" s="623"/>
      <c r="H40" s="623"/>
      <c r="K40" s="623"/>
      <c r="N40" s="623"/>
      <c r="O40" s="667"/>
      <c r="P40" s="663" t="s">
        <v>3674</v>
      </c>
      <c r="Q40" s="664"/>
      <c r="R40" s="698"/>
      <c r="S40" s="754"/>
      <c r="T40" s="665"/>
      <c r="U40" s="666"/>
      <c r="V40" s="717"/>
      <c r="W40" s="717"/>
      <c r="X40" s="676"/>
      <c r="Y40" s="474"/>
      <c r="AA40" s="623"/>
      <c r="AC40" s="623"/>
      <c r="AD40" s="623"/>
      <c r="AE40" s="623"/>
      <c r="AF40" s="623"/>
      <c r="AG40" s="623"/>
      <c r="AO40" s="623"/>
      <c r="AP40" s="623"/>
      <c r="AQ40" s="623"/>
      <c r="AR40" s="623"/>
      <c r="AS40" s="623"/>
      <c r="AT40" s="623"/>
      <c r="AU40" s="623"/>
      <c r="AV40" s="623"/>
      <c r="AW40" s="623"/>
    </row>
    <row r="41" spans="3:49" s="96" customFormat="1" ht="7.5" customHeight="1">
      <c r="C41" s="623"/>
      <c r="D41" s="623"/>
      <c r="E41" s="623"/>
      <c r="G41" s="623"/>
      <c r="H41" s="623"/>
      <c r="K41" s="623"/>
      <c r="N41" s="623"/>
      <c r="O41" s="700"/>
      <c r="P41" s="669"/>
      <c r="Q41" s="670"/>
      <c r="R41" s="668"/>
      <c r="S41" s="669"/>
      <c r="T41" s="669"/>
      <c r="U41" s="669"/>
      <c r="V41" s="669"/>
      <c r="W41" s="669"/>
      <c r="X41" s="670"/>
      <c r="AA41" s="623"/>
      <c r="AC41" s="623"/>
      <c r="AD41" s="623"/>
      <c r="AE41" s="623"/>
      <c r="AF41" s="623"/>
      <c r="AG41" s="623"/>
      <c r="AL41" s="623"/>
      <c r="AO41" s="623"/>
      <c r="AP41" s="623"/>
      <c r="AQ41" s="623"/>
      <c r="AR41" s="623"/>
      <c r="AS41" s="623"/>
      <c r="AT41" s="623"/>
      <c r="AU41" s="623"/>
      <c r="AV41" s="623"/>
      <c r="AW41" s="623"/>
    </row>
    <row r="42" spans="3:49" s="96" customFormat="1" ht="21.95" customHeight="1">
      <c r="C42" s="657" t="str">
        <f>nmProd2</f>
        <v>Harken</v>
      </c>
      <c r="D42" s="618"/>
      <c r="E42" s="623"/>
      <c r="F42" s="91"/>
      <c r="G42" s="623"/>
      <c r="H42" s="618"/>
      <c r="I42" s="91"/>
      <c r="J42" s="91"/>
      <c r="K42" s="618"/>
      <c r="L42" s="91"/>
      <c r="M42" s="91"/>
      <c r="N42" s="618"/>
      <c r="O42" s="91"/>
      <c r="P42" s="618"/>
      <c r="Q42" s="618"/>
      <c r="R42" s="618"/>
      <c r="S42" s="618"/>
      <c r="T42" s="618"/>
      <c r="U42" s="618"/>
      <c r="V42" s="91"/>
      <c r="W42" s="618"/>
      <c r="X42" s="618"/>
      <c r="Y42" s="618"/>
      <c r="Z42" s="91"/>
      <c r="AA42" s="618"/>
      <c r="AB42" s="91"/>
      <c r="AC42" s="618"/>
      <c r="AD42" s="618"/>
      <c r="AE42" s="618"/>
      <c r="AF42" s="618"/>
      <c r="AG42" s="618"/>
      <c r="AH42" s="618"/>
      <c r="AI42" s="91"/>
      <c r="AJ42" s="91"/>
      <c r="AK42" s="91"/>
      <c r="AL42" s="623"/>
      <c r="AM42" s="623"/>
      <c r="AN42" s="623"/>
      <c r="AO42" s="623"/>
      <c r="AP42" s="623"/>
      <c r="AQ42" s="623"/>
      <c r="AR42" s="623"/>
      <c r="AS42" s="623"/>
      <c r="AT42" s="623"/>
      <c r="AU42" s="623"/>
      <c r="AV42" s="623"/>
      <c r="AW42" s="623"/>
    </row>
    <row r="43" spans="3:49" s="96" customFormat="1" ht="7.5" customHeight="1">
      <c r="C43" s="623"/>
      <c r="D43" s="623"/>
      <c r="E43" s="623"/>
      <c r="G43" s="623"/>
      <c r="H43" s="623"/>
      <c r="K43" s="623"/>
      <c r="N43" s="623"/>
      <c r="O43" s="97"/>
      <c r="Q43" s="97"/>
      <c r="T43" s="623"/>
      <c r="W43" s="623"/>
      <c r="AA43" s="623"/>
      <c r="AC43" s="623"/>
      <c r="AD43" s="623"/>
      <c r="AE43" s="623"/>
      <c r="AF43" s="623"/>
      <c r="AG43" s="623"/>
      <c r="AL43" s="623"/>
      <c r="AO43" s="623"/>
      <c r="AP43" s="623"/>
      <c r="AQ43" s="623"/>
      <c r="AR43" s="623"/>
      <c r="AS43" s="623"/>
      <c r="AT43" s="623"/>
      <c r="AU43" s="623"/>
      <c r="AV43" s="623"/>
      <c r="AW43" s="623"/>
    </row>
    <row r="44" spans="3:49" s="96" customFormat="1" ht="49.5" customHeight="1">
      <c r="C44" s="623"/>
      <c r="D44" s="623"/>
      <c r="E44" s="344" t="s">
        <v>393</v>
      </c>
      <c r="F44" s="195"/>
      <c r="G44" s="623"/>
      <c r="H44" s="656" t="s">
        <v>363</v>
      </c>
      <c r="I44" s="344"/>
      <c r="J44" s="343"/>
      <c r="K44" s="655"/>
      <c r="L44" s="344" t="s">
        <v>1761</v>
      </c>
      <c r="M44" s="195"/>
      <c r="N44" s="656"/>
      <c r="O44" s="97"/>
      <c r="P44" s="344" t="s">
        <v>6726</v>
      </c>
      <c r="Q44" s="97"/>
      <c r="R44" s="195"/>
      <c r="S44" s="656" t="s">
        <v>5663</v>
      </c>
      <c r="T44" s="656"/>
      <c r="V44" s="344" t="s">
        <v>391</v>
      </c>
      <c r="W44" s="656"/>
      <c r="X44" s="195"/>
      <c r="Z44" s="656" t="s">
        <v>6727</v>
      </c>
      <c r="AA44" s="656"/>
      <c r="AB44" s="624"/>
      <c r="AC44" s="656" t="s">
        <v>5663</v>
      </c>
      <c r="AD44" s="656"/>
      <c r="AE44" s="656"/>
      <c r="AF44" s="656" t="s">
        <v>391</v>
      </c>
      <c r="AG44" s="656"/>
      <c r="AI44" s="344"/>
      <c r="AJ44" s="195"/>
      <c r="AK44" s="344"/>
      <c r="AL44" s="623"/>
      <c r="AN44" s="195"/>
      <c r="AO44" s="623"/>
      <c r="AP44" s="623"/>
      <c r="AQ44" s="623"/>
      <c r="AR44" s="623"/>
      <c r="AS44" s="623"/>
      <c r="AT44" s="623"/>
      <c r="AU44" s="623"/>
      <c r="AV44" s="623"/>
      <c r="AW44" s="623"/>
    </row>
    <row r="45" spans="3:49" s="96" customFormat="1" ht="7.5" customHeight="1" thickBot="1">
      <c r="C45" s="623"/>
      <c r="D45" s="623"/>
      <c r="G45" s="623"/>
      <c r="H45" s="634"/>
      <c r="I45" s="202"/>
      <c r="J45" s="201"/>
      <c r="K45" s="634"/>
      <c r="L45" s="202"/>
      <c r="N45" s="635"/>
      <c r="O45" s="97"/>
      <c r="Q45" s="97"/>
      <c r="T45" s="623"/>
      <c r="W45" s="623"/>
      <c r="Z45" s="623"/>
      <c r="AA45" s="623"/>
      <c r="AB45" s="624"/>
      <c r="AC45" s="623"/>
      <c r="AD45" s="623"/>
      <c r="AE45" s="623"/>
      <c r="AF45" s="623"/>
      <c r="AG45" s="623"/>
      <c r="AL45" s="623"/>
      <c r="AO45" s="623"/>
      <c r="AP45" s="623"/>
      <c r="AQ45" s="623"/>
      <c r="AR45" s="623"/>
      <c r="AS45" s="623"/>
      <c r="AT45" s="623"/>
      <c r="AU45" s="623"/>
      <c r="AV45" s="623"/>
      <c r="AW45" s="623"/>
    </row>
    <row r="46" spans="3:49" s="96" customFormat="1" ht="21.95" customHeight="1" thickBot="1">
      <c r="C46" s="623" t="s">
        <v>379</v>
      </c>
      <c r="D46" s="623"/>
      <c r="E46" s="789">
        <f>1-tlinputCh1Prod2Slot2Forecast-tlinputCh1Prod2Slot3Forecast</f>
        <v>0.44999999999999996</v>
      </c>
      <c r="F46" s="97" t="s">
        <v>3011</v>
      </c>
      <c r="G46" s="623"/>
      <c r="H46" s="630" t="s">
        <v>351</v>
      </c>
      <c r="I46" s="97" t="s">
        <v>3009</v>
      </c>
      <c r="K46" s="623"/>
      <c r="L46" s="393">
        <v>7.9</v>
      </c>
      <c r="M46" s="97" t="s">
        <v>3010</v>
      </c>
      <c r="N46" s="636"/>
      <c r="O46" s="97"/>
      <c r="P46" s="921" t="s">
        <v>9052</v>
      </c>
      <c r="Q46" s="624" t="s">
        <v>5687</v>
      </c>
      <c r="S46" s="592">
        <v>2</v>
      </c>
      <c r="T46" s="97" t="s">
        <v>5664</v>
      </c>
      <c r="V46" s="204">
        <v>0.1</v>
      </c>
      <c r="W46" s="97" t="s">
        <v>5736</v>
      </c>
      <c r="Z46" s="921" t="s">
        <v>5788</v>
      </c>
      <c r="AA46" s="624" t="s">
        <v>5748</v>
      </c>
      <c r="AC46" s="592">
        <v>0</v>
      </c>
      <c r="AD46" s="624" t="s">
        <v>5749</v>
      </c>
      <c r="AE46" s="624"/>
      <c r="AF46" s="637">
        <v>0</v>
      </c>
      <c r="AG46" s="624" t="s">
        <v>5750</v>
      </c>
      <c r="AI46" s="206"/>
      <c r="AK46" s="205"/>
      <c r="AL46" s="623"/>
      <c r="AO46" s="623"/>
      <c r="AP46" s="623"/>
      <c r="AQ46" s="623"/>
      <c r="AR46" s="623"/>
      <c r="AS46" s="623"/>
      <c r="AT46" s="623"/>
      <c r="AU46" s="623"/>
      <c r="AV46" s="623"/>
      <c r="AW46" s="623"/>
    </row>
    <row r="47" spans="3:49" s="96" customFormat="1" ht="7.5" customHeight="1" thickBot="1">
      <c r="C47" s="623"/>
      <c r="D47" s="623"/>
      <c r="G47" s="623"/>
      <c r="H47" s="623"/>
      <c r="I47" s="97"/>
      <c r="K47" s="623"/>
      <c r="M47" s="97"/>
      <c r="N47" s="623"/>
      <c r="O47" s="97"/>
      <c r="Q47" s="97"/>
      <c r="T47" s="623"/>
      <c r="Z47" s="623"/>
      <c r="AA47" s="624"/>
      <c r="AC47" s="623"/>
      <c r="AD47" s="623"/>
      <c r="AE47" s="623"/>
      <c r="AF47" s="623"/>
      <c r="AG47" s="623"/>
      <c r="AL47" s="623"/>
      <c r="AN47" s="623"/>
      <c r="AO47" s="623"/>
      <c r="AP47" s="623"/>
      <c r="AQ47" s="623"/>
      <c r="AR47" s="623"/>
      <c r="AS47" s="623"/>
      <c r="AT47" s="623"/>
      <c r="AU47" s="623"/>
      <c r="AV47" s="623"/>
      <c r="AW47" s="623"/>
    </row>
    <row r="48" spans="3:49" s="96" customFormat="1" ht="21.95" customHeight="1" thickBot="1">
      <c r="C48" s="623" t="s">
        <v>394</v>
      </c>
      <c r="D48" s="623"/>
      <c r="E48" s="204">
        <v>0.55000000000000004</v>
      </c>
      <c r="F48" s="97" t="s">
        <v>3014</v>
      </c>
      <c r="G48" s="623"/>
      <c r="H48" s="630" t="s">
        <v>4419</v>
      </c>
      <c r="I48" s="97" t="s">
        <v>3012</v>
      </c>
      <c r="K48" s="623"/>
      <c r="L48" s="393">
        <v>7.55</v>
      </c>
      <c r="M48" s="97" t="s">
        <v>3013</v>
      </c>
      <c r="N48" s="636"/>
      <c r="O48" s="97"/>
      <c r="P48" s="921" t="s">
        <v>9050</v>
      </c>
      <c r="Q48" s="97" t="s">
        <v>5667</v>
      </c>
      <c r="S48" s="592">
        <v>3</v>
      </c>
      <c r="T48" s="624" t="s">
        <v>5666</v>
      </c>
      <c r="V48" s="204">
        <v>0.3</v>
      </c>
      <c r="W48" s="97" t="s">
        <v>5737</v>
      </c>
      <c r="Z48" s="921" t="s">
        <v>5789</v>
      </c>
      <c r="AA48" s="624" t="s">
        <v>5751</v>
      </c>
      <c r="AC48" s="592">
        <v>2</v>
      </c>
      <c r="AD48" s="624" t="s">
        <v>5752</v>
      </c>
      <c r="AE48" s="624"/>
      <c r="AF48" s="637">
        <v>0.25</v>
      </c>
      <c r="AG48" s="624" t="s">
        <v>5753</v>
      </c>
      <c r="AI48" s="206"/>
      <c r="AK48" s="205"/>
      <c r="AL48" s="623"/>
      <c r="AN48" s="623"/>
      <c r="AO48" s="623"/>
      <c r="AP48" s="623"/>
      <c r="AQ48" s="623"/>
      <c r="AR48" s="623"/>
      <c r="AS48" s="623"/>
      <c r="AT48" s="623"/>
      <c r="AU48" s="623"/>
      <c r="AV48" s="623"/>
      <c r="AW48" s="623"/>
    </row>
    <row r="49" spans="3:49" s="96" customFormat="1" ht="7.5" customHeight="1" thickBot="1">
      <c r="C49" s="623"/>
      <c r="D49" s="623"/>
      <c r="G49" s="623"/>
      <c r="H49" s="623"/>
      <c r="I49" s="97"/>
      <c r="K49" s="623"/>
      <c r="M49" s="97"/>
      <c r="N49" s="623"/>
      <c r="O49" s="97"/>
      <c r="Q49" s="97"/>
      <c r="T49" s="623"/>
      <c r="Z49" s="623"/>
      <c r="AA49" s="624"/>
      <c r="AC49" s="623"/>
      <c r="AD49" s="623"/>
      <c r="AE49" s="623"/>
      <c r="AF49" s="623"/>
      <c r="AG49" s="623"/>
      <c r="AL49" s="623"/>
      <c r="AN49" s="623"/>
      <c r="AO49" s="623"/>
      <c r="AP49" s="623"/>
      <c r="AQ49" s="623"/>
      <c r="AR49" s="623"/>
      <c r="AS49" s="623"/>
      <c r="AT49" s="623"/>
      <c r="AU49" s="623"/>
      <c r="AV49" s="623"/>
      <c r="AW49" s="623"/>
    </row>
    <row r="50" spans="3:49" s="96" customFormat="1" ht="21.95" customHeight="1" thickBot="1">
      <c r="C50" s="623" t="s">
        <v>395</v>
      </c>
      <c r="D50" s="623"/>
      <c r="E50" s="204">
        <v>0</v>
      </c>
      <c r="F50" s="97" t="s">
        <v>3017</v>
      </c>
      <c r="G50" s="623"/>
      <c r="H50" s="630" t="s">
        <v>350</v>
      </c>
      <c r="I50" s="97" t="s">
        <v>3015</v>
      </c>
      <c r="K50" s="623"/>
      <c r="L50" s="393">
        <v>0</v>
      </c>
      <c r="M50" s="97" t="s">
        <v>3016</v>
      </c>
      <c r="N50" s="636"/>
      <c r="O50" s="97"/>
      <c r="P50" s="921" t="s">
        <v>5788</v>
      </c>
      <c r="Q50" s="97" t="s">
        <v>5677</v>
      </c>
      <c r="S50" s="592">
        <v>0</v>
      </c>
      <c r="T50" s="624" t="s">
        <v>5665</v>
      </c>
      <c r="V50" s="204">
        <v>0</v>
      </c>
      <c r="W50" s="97" t="s">
        <v>5738</v>
      </c>
      <c r="Z50" s="921" t="s">
        <v>5788</v>
      </c>
      <c r="AA50" s="624" t="s">
        <v>5754</v>
      </c>
      <c r="AC50" s="592">
        <v>0</v>
      </c>
      <c r="AD50" s="624" t="s">
        <v>5755</v>
      </c>
      <c r="AE50" s="624"/>
      <c r="AF50" s="637">
        <v>0</v>
      </c>
      <c r="AG50" s="624" t="s">
        <v>5756</v>
      </c>
      <c r="AI50" s="206"/>
      <c r="AK50" s="205"/>
      <c r="AL50" s="623"/>
      <c r="AN50" s="623"/>
      <c r="AO50" s="623"/>
      <c r="AP50" s="623"/>
      <c r="AQ50" s="623"/>
      <c r="AR50" s="623"/>
      <c r="AS50" s="623"/>
      <c r="AT50" s="623"/>
      <c r="AU50" s="623"/>
      <c r="AV50" s="623"/>
      <c r="AW50" s="623"/>
    </row>
    <row r="51" spans="3:49" s="96" customFormat="1" ht="7.5" customHeight="1">
      <c r="C51" s="623"/>
      <c r="D51" s="623"/>
      <c r="G51" s="623"/>
      <c r="H51" s="623"/>
      <c r="I51" s="97"/>
      <c r="K51" s="623"/>
      <c r="N51" s="623"/>
      <c r="O51" s="97"/>
      <c r="Q51" s="97"/>
      <c r="T51" s="623"/>
      <c r="Z51" s="623"/>
      <c r="AA51" s="624"/>
      <c r="AC51" s="623"/>
      <c r="AD51" s="623"/>
      <c r="AE51" s="623"/>
      <c r="AF51" s="623"/>
      <c r="AG51" s="623"/>
      <c r="AL51" s="623"/>
      <c r="AN51" s="623"/>
      <c r="AO51" s="623"/>
      <c r="AP51" s="623"/>
      <c r="AQ51" s="623"/>
      <c r="AR51" s="623"/>
      <c r="AS51" s="623"/>
      <c r="AT51" s="623"/>
      <c r="AU51" s="623"/>
      <c r="AV51" s="623"/>
      <c r="AW51" s="623"/>
    </row>
    <row r="52" spans="3:49" s="96" customFormat="1" ht="21.95" customHeight="1">
      <c r="C52" s="631" t="s">
        <v>1404</v>
      </c>
      <c r="D52" s="631"/>
      <c r="E52" s="658" t="str">
        <f>nmEmp1&amp;" Required"</f>
        <v>MTUs Required</v>
      </c>
      <c r="F52" s="97"/>
      <c r="G52" s="195"/>
      <c r="H52" s="369" t="s">
        <v>748</v>
      </c>
      <c r="I52" s="369"/>
      <c r="J52" s="631"/>
      <c r="K52" s="631"/>
      <c r="L52" s="369"/>
      <c r="O52" s="97"/>
      <c r="P52" s="658" t="str">
        <f>nmEmp1&amp;" Required"</f>
        <v>MTUs Required</v>
      </c>
      <c r="Q52" s="624"/>
      <c r="R52" s="631"/>
      <c r="S52" s="658" t="s">
        <v>748</v>
      </c>
      <c r="T52" s="623"/>
      <c r="Z52" s="623"/>
      <c r="AA52" s="624"/>
      <c r="AC52" s="623"/>
      <c r="AD52" s="623"/>
      <c r="AE52" s="623"/>
      <c r="AF52" s="623"/>
      <c r="AG52" s="623"/>
      <c r="AL52" s="623"/>
      <c r="AN52" s="623"/>
      <c r="AO52" s="623"/>
      <c r="AP52" s="623"/>
      <c r="AQ52" s="623"/>
      <c r="AR52" s="623"/>
      <c r="AS52" s="623"/>
      <c r="AT52" s="623"/>
      <c r="AU52" s="623"/>
      <c r="AV52" s="623"/>
      <c r="AW52" s="623"/>
    </row>
    <row r="53" spans="3:49" s="96" customFormat="1" ht="7.5" customHeight="1">
      <c r="C53" s="623"/>
      <c r="D53" s="623"/>
      <c r="E53" s="623"/>
      <c r="F53" s="97"/>
      <c r="J53" s="623"/>
      <c r="K53" s="623"/>
      <c r="O53" s="97"/>
      <c r="Q53" s="97"/>
      <c r="T53" s="623"/>
      <c r="Z53" s="623"/>
      <c r="AA53" s="624"/>
      <c r="AC53" s="623"/>
      <c r="AD53" s="623"/>
      <c r="AE53" s="623"/>
      <c r="AF53" s="623"/>
      <c r="AG53" s="623"/>
      <c r="AL53" s="623"/>
      <c r="AN53" s="623"/>
      <c r="AO53" s="623"/>
      <c r="AP53" s="623"/>
      <c r="AQ53" s="623"/>
      <c r="AR53" s="623"/>
      <c r="AS53" s="623"/>
      <c r="AT53" s="623"/>
      <c r="AU53" s="623"/>
      <c r="AV53" s="623"/>
      <c r="AW53" s="623"/>
    </row>
    <row r="54" spans="3:49" s="96" customFormat="1" ht="21.95" customHeight="1">
      <c r="C54" s="623"/>
      <c r="D54" s="623"/>
      <c r="E54" s="636"/>
      <c r="F54" s="97"/>
      <c r="H54" s="536"/>
      <c r="I54" s="536"/>
      <c r="J54" s="623"/>
      <c r="K54" s="623"/>
      <c r="O54" s="97"/>
      <c r="P54" s="636"/>
      <c r="Q54" s="97"/>
      <c r="S54" s="758"/>
      <c r="T54" s="623"/>
      <c r="Z54" s="623"/>
      <c r="AA54" s="624"/>
      <c r="AC54" s="623"/>
      <c r="AD54" s="623"/>
      <c r="AE54" s="623"/>
      <c r="AF54" s="623"/>
      <c r="AG54" s="623"/>
      <c r="AL54" s="623"/>
      <c r="AN54" s="623"/>
      <c r="AO54" s="623"/>
      <c r="AP54" s="623"/>
      <c r="AQ54" s="623"/>
      <c r="AR54" s="623"/>
      <c r="AS54" s="623"/>
      <c r="AT54" s="623"/>
      <c r="AU54" s="623"/>
      <c r="AV54" s="623"/>
      <c r="AW54" s="623"/>
    </row>
    <row r="55" spans="3:49" s="96" customFormat="1" ht="7.5" customHeight="1">
      <c r="C55" s="623"/>
      <c r="D55" s="623"/>
      <c r="G55" s="623"/>
      <c r="H55" s="623"/>
      <c r="I55" s="97"/>
      <c r="K55" s="623"/>
      <c r="N55" s="623"/>
      <c r="O55" s="97"/>
      <c r="Q55" s="97"/>
      <c r="T55" s="623"/>
      <c r="Z55" s="623"/>
      <c r="AA55" s="624"/>
      <c r="AC55" s="623"/>
      <c r="AD55" s="623"/>
      <c r="AE55" s="623"/>
      <c r="AF55" s="623"/>
      <c r="AG55" s="623"/>
      <c r="AL55" s="623"/>
      <c r="AN55" s="623"/>
      <c r="AO55" s="623"/>
      <c r="AP55" s="623"/>
      <c r="AQ55" s="623"/>
      <c r="AR55" s="623"/>
      <c r="AS55" s="623"/>
      <c r="AT55" s="623"/>
      <c r="AU55" s="623"/>
      <c r="AV55" s="623"/>
      <c r="AW55" s="623"/>
    </row>
    <row r="56" spans="3:49" s="96" customFormat="1" ht="21.95" customHeight="1">
      <c r="C56" s="623"/>
      <c r="D56" s="623"/>
      <c r="G56" s="623"/>
      <c r="H56" s="623"/>
      <c r="I56" s="97"/>
      <c r="K56" s="623"/>
      <c r="N56" s="623"/>
      <c r="O56" s="97"/>
      <c r="Q56" s="97"/>
      <c r="T56" s="623"/>
      <c r="Z56" s="623"/>
      <c r="AA56" s="624"/>
      <c r="AC56" s="623"/>
      <c r="AD56" s="623"/>
      <c r="AE56" s="623"/>
      <c r="AF56" s="623"/>
      <c r="AG56" s="623"/>
      <c r="AL56" s="623"/>
      <c r="AN56" s="623"/>
      <c r="AO56" s="623"/>
      <c r="AP56" s="623"/>
      <c r="AQ56" s="623"/>
      <c r="AR56" s="623"/>
      <c r="AS56" s="623"/>
      <c r="AT56" s="623"/>
      <c r="AU56" s="623"/>
      <c r="AV56" s="623"/>
      <c r="AW56" s="623"/>
    </row>
    <row r="57" spans="3:49" s="96" customFormat="1" ht="7.5" customHeight="1">
      <c r="C57" s="623"/>
      <c r="D57" s="623"/>
      <c r="G57" s="623"/>
      <c r="H57" s="623"/>
      <c r="I57" s="97"/>
      <c r="K57" s="623"/>
      <c r="N57" s="623"/>
      <c r="O57" s="97"/>
      <c r="Q57" s="97"/>
      <c r="T57" s="623"/>
      <c r="Z57" s="623"/>
      <c r="AA57" s="624"/>
      <c r="AC57" s="623"/>
      <c r="AD57" s="623"/>
      <c r="AE57" s="623"/>
      <c r="AF57" s="623"/>
      <c r="AG57" s="623"/>
      <c r="AL57" s="623"/>
      <c r="AN57" s="623"/>
      <c r="AO57" s="623"/>
      <c r="AP57" s="623"/>
      <c r="AQ57" s="623"/>
      <c r="AR57" s="623"/>
      <c r="AS57" s="623"/>
      <c r="AT57" s="623"/>
      <c r="AU57" s="623"/>
      <c r="AV57" s="623"/>
      <c r="AW57" s="623"/>
    </row>
    <row r="58" spans="3:49" s="96" customFormat="1" ht="21.95" customHeight="1">
      <c r="C58" s="657" t="str">
        <f>nmProd3</f>
        <v>Kara</v>
      </c>
      <c r="D58" s="618"/>
      <c r="E58" s="618"/>
      <c r="F58" s="618"/>
      <c r="G58" s="623"/>
      <c r="H58" s="618"/>
      <c r="I58" s="91"/>
      <c r="J58" s="91"/>
      <c r="K58" s="618"/>
      <c r="L58" s="91"/>
      <c r="M58" s="91"/>
      <c r="N58" s="618"/>
      <c r="O58" s="91"/>
      <c r="P58" s="618"/>
      <c r="Q58" s="618"/>
      <c r="R58" s="618"/>
      <c r="S58" s="618"/>
      <c r="T58" s="618"/>
      <c r="U58" s="618"/>
      <c r="V58" s="91"/>
      <c r="W58" s="618"/>
      <c r="X58" s="618"/>
      <c r="Y58" s="618"/>
      <c r="Z58" s="618"/>
      <c r="AA58" s="618"/>
      <c r="AC58" s="618"/>
      <c r="AD58" s="618"/>
      <c r="AE58" s="618"/>
      <c r="AF58" s="618"/>
      <c r="AG58" s="618"/>
      <c r="AH58" s="618"/>
      <c r="AI58" s="91"/>
      <c r="AJ58" s="91"/>
      <c r="AK58" s="91"/>
      <c r="AL58" s="623"/>
      <c r="AN58" s="623"/>
      <c r="AO58" s="623"/>
      <c r="AP58" s="623"/>
      <c r="AQ58" s="623"/>
      <c r="AR58" s="623"/>
      <c r="AS58" s="623"/>
      <c r="AT58" s="623"/>
      <c r="AU58" s="623"/>
      <c r="AV58" s="623"/>
      <c r="AW58" s="623"/>
    </row>
    <row r="59" spans="3:49" s="96" customFormat="1" ht="7.5" customHeight="1">
      <c r="C59" s="623"/>
      <c r="D59" s="623"/>
      <c r="G59" s="623"/>
      <c r="H59" s="623"/>
      <c r="I59" s="97"/>
      <c r="K59" s="623"/>
      <c r="N59" s="623"/>
      <c r="O59" s="97"/>
      <c r="Q59" s="97"/>
      <c r="T59" s="623"/>
      <c r="Z59" s="623"/>
      <c r="AA59" s="624"/>
      <c r="AC59" s="623"/>
      <c r="AD59" s="623"/>
      <c r="AE59" s="623"/>
      <c r="AF59" s="623"/>
      <c r="AG59" s="623"/>
      <c r="AL59" s="623"/>
      <c r="AN59" s="623"/>
      <c r="AO59" s="623"/>
      <c r="AP59" s="623"/>
      <c r="AQ59" s="623"/>
      <c r="AR59" s="623"/>
      <c r="AS59" s="623"/>
      <c r="AT59" s="623"/>
      <c r="AU59" s="623"/>
      <c r="AV59" s="623"/>
      <c r="AW59" s="623"/>
    </row>
    <row r="60" spans="3:49" s="96" customFormat="1" ht="49.5" customHeight="1">
      <c r="C60" s="623"/>
      <c r="D60" s="623"/>
      <c r="E60" s="344" t="s">
        <v>393</v>
      </c>
      <c r="G60" s="623"/>
      <c r="H60" s="656" t="s">
        <v>363</v>
      </c>
      <c r="I60" s="97"/>
      <c r="J60" s="343"/>
      <c r="K60" s="655"/>
      <c r="L60" s="344" t="s">
        <v>1761</v>
      </c>
      <c r="M60" s="97"/>
      <c r="N60" s="656"/>
      <c r="O60" s="97"/>
      <c r="P60" s="344" t="s">
        <v>381</v>
      </c>
      <c r="Q60" s="97"/>
      <c r="R60" s="195"/>
      <c r="S60" s="656" t="s">
        <v>5663</v>
      </c>
      <c r="T60" s="656"/>
      <c r="U60" s="623"/>
      <c r="V60" s="656" t="s">
        <v>391</v>
      </c>
      <c r="W60" s="656"/>
      <c r="X60" s="631"/>
      <c r="Y60" s="623"/>
      <c r="Z60" s="656" t="s">
        <v>6727</v>
      </c>
      <c r="AA60" s="656"/>
      <c r="AB60" s="624"/>
      <c r="AC60" s="656" t="s">
        <v>5663</v>
      </c>
      <c r="AD60" s="623"/>
      <c r="AE60" s="623"/>
      <c r="AF60" s="656" t="s">
        <v>391</v>
      </c>
      <c r="AG60" s="623"/>
      <c r="AI60" s="344"/>
      <c r="AJ60" s="195"/>
      <c r="AK60" s="344"/>
      <c r="AL60" s="623"/>
      <c r="AN60" s="623"/>
      <c r="AO60" s="623"/>
      <c r="AP60" s="623"/>
      <c r="AQ60" s="623"/>
      <c r="AR60" s="623"/>
      <c r="AS60" s="623"/>
      <c r="AT60" s="623"/>
      <c r="AU60" s="623"/>
      <c r="AV60" s="623"/>
      <c r="AW60" s="623"/>
    </row>
    <row r="61" spans="3:49" s="96" customFormat="1" ht="7.5" customHeight="1" thickBot="1">
      <c r="C61" s="623"/>
      <c r="D61" s="623"/>
      <c r="G61" s="623"/>
      <c r="H61" s="634"/>
      <c r="I61" s="97"/>
      <c r="J61" s="201"/>
      <c r="K61" s="634"/>
      <c r="L61" s="202"/>
      <c r="M61" s="97"/>
      <c r="N61" s="635"/>
      <c r="O61" s="97"/>
      <c r="Q61" s="97"/>
      <c r="T61" s="623"/>
      <c r="Z61" s="623"/>
      <c r="AA61" s="624"/>
      <c r="AC61" s="623"/>
      <c r="AD61" s="623"/>
      <c r="AE61" s="623"/>
      <c r="AF61" s="623"/>
      <c r="AG61" s="623"/>
      <c r="AL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</row>
    <row r="62" spans="3:49" s="96" customFormat="1" ht="21.95" customHeight="1" thickBot="1">
      <c r="C62" s="623" t="s">
        <v>379</v>
      </c>
      <c r="D62" s="623"/>
      <c r="E62" s="789">
        <f>1-tlinputCh1Prod3Slot2Forecast-tlinputCh1Prod3Slot3Forecast</f>
        <v>0.4</v>
      </c>
      <c r="F62" s="97" t="s">
        <v>3002</v>
      </c>
      <c r="G62" s="623"/>
      <c r="H62" s="630" t="s">
        <v>352</v>
      </c>
      <c r="I62" s="97" t="s">
        <v>3000</v>
      </c>
      <c r="K62" s="623"/>
      <c r="L62" s="393">
        <v>7.6</v>
      </c>
      <c r="M62" s="97" t="s">
        <v>3001</v>
      </c>
      <c r="N62" s="636"/>
      <c r="O62" s="97"/>
      <c r="P62" s="921" t="s">
        <v>9052</v>
      </c>
      <c r="Q62" s="624" t="s">
        <v>5678</v>
      </c>
      <c r="R62" s="623"/>
      <c r="S62" s="592">
        <v>2</v>
      </c>
      <c r="T62" s="624" t="s">
        <v>5668</v>
      </c>
      <c r="U62" s="623"/>
      <c r="V62" s="637">
        <v>0.1</v>
      </c>
      <c r="W62" s="624" t="s">
        <v>5739</v>
      </c>
      <c r="X62" s="623"/>
      <c r="Y62" s="623"/>
      <c r="Z62" s="921" t="s">
        <v>5788</v>
      </c>
      <c r="AA62" s="624" t="s">
        <v>5757</v>
      </c>
      <c r="AB62" s="623"/>
      <c r="AC62" s="592">
        <v>0</v>
      </c>
      <c r="AD62" s="624" t="s">
        <v>5758</v>
      </c>
      <c r="AE62" s="624"/>
      <c r="AF62" s="637">
        <v>0</v>
      </c>
      <c r="AG62" s="624" t="s">
        <v>5759</v>
      </c>
      <c r="AI62" s="206"/>
      <c r="AK62" s="205"/>
      <c r="AL62" s="623"/>
      <c r="AN62" s="623"/>
      <c r="AO62" s="623"/>
      <c r="AP62" s="623"/>
      <c r="AQ62" s="623"/>
      <c r="AR62" s="623"/>
      <c r="AS62" s="623"/>
      <c r="AT62" s="623"/>
      <c r="AU62" s="623"/>
      <c r="AV62" s="623"/>
      <c r="AW62" s="623"/>
    </row>
    <row r="63" spans="3:49" s="96" customFormat="1" ht="7.5" customHeight="1" thickBot="1">
      <c r="C63" s="623"/>
      <c r="D63" s="623"/>
      <c r="G63" s="623"/>
      <c r="H63" s="623"/>
      <c r="I63" s="97"/>
      <c r="K63" s="623"/>
      <c r="M63" s="97"/>
      <c r="N63" s="623"/>
      <c r="O63" s="97"/>
      <c r="P63" s="623"/>
      <c r="Q63" s="624"/>
      <c r="R63" s="623"/>
      <c r="S63" s="623"/>
      <c r="T63" s="623"/>
      <c r="U63" s="623"/>
      <c r="V63" s="623"/>
      <c r="W63" s="623"/>
      <c r="X63" s="623"/>
      <c r="Y63" s="623"/>
      <c r="Z63" s="623"/>
      <c r="AA63" s="624"/>
      <c r="AB63" s="623"/>
      <c r="AC63" s="623"/>
      <c r="AD63" s="623"/>
      <c r="AE63" s="623"/>
      <c r="AF63" s="623"/>
      <c r="AG63" s="623"/>
      <c r="AL63" s="623"/>
      <c r="AN63" s="623"/>
      <c r="AO63" s="623"/>
      <c r="AP63" s="623"/>
      <c r="AQ63" s="623"/>
      <c r="AR63" s="623"/>
      <c r="AS63" s="623"/>
      <c r="AT63" s="623"/>
      <c r="AU63" s="623"/>
      <c r="AV63" s="623"/>
      <c r="AW63" s="623"/>
    </row>
    <row r="64" spans="3:49" s="96" customFormat="1" ht="21.95" customHeight="1" thickBot="1">
      <c r="C64" s="623" t="s">
        <v>394</v>
      </c>
      <c r="D64" s="623"/>
      <c r="E64" s="204">
        <v>0.6</v>
      </c>
      <c r="F64" s="97" t="s">
        <v>3005</v>
      </c>
      <c r="G64" s="623"/>
      <c r="H64" s="630" t="s">
        <v>4419</v>
      </c>
      <c r="I64" s="97" t="s">
        <v>3003</v>
      </c>
      <c r="K64" s="623"/>
      <c r="L64" s="393">
        <v>7.68</v>
      </c>
      <c r="M64" s="97" t="s">
        <v>3004</v>
      </c>
      <c r="N64" s="636"/>
      <c r="O64" s="97"/>
      <c r="P64" s="921" t="s">
        <v>9050</v>
      </c>
      <c r="Q64" s="624" t="s">
        <v>5679</v>
      </c>
      <c r="R64" s="623"/>
      <c r="S64" s="592">
        <v>3</v>
      </c>
      <c r="T64" s="624" t="s">
        <v>5669</v>
      </c>
      <c r="U64" s="623"/>
      <c r="V64" s="637">
        <v>0.4</v>
      </c>
      <c r="W64" s="624" t="s">
        <v>5740</v>
      </c>
      <c r="X64" s="623"/>
      <c r="Y64" s="623"/>
      <c r="Z64" s="921" t="s">
        <v>5788</v>
      </c>
      <c r="AA64" s="624" t="s">
        <v>5760</v>
      </c>
      <c r="AB64" s="623"/>
      <c r="AC64" s="592">
        <v>0</v>
      </c>
      <c r="AD64" s="624" t="s">
        <v>5761</v>
      </c>
      <c r="AE64" s="624"/>
      <c r="AF64" s="637">
        <v>0</v>
      </c>
      <c r="AG64" s="624" t="s">
        <v>5762</v>
      </c>
      <c r="AI64" s="206"/>
      <c r="AK64" s="205"/>
      <c r="AL64" s="623"/>
      <c r="AN64" s="623"/>
      <c r="AO64" s="623"/>
      <c r="AP64" s="623"/>
      <c r="AQ64" s="623"/>
      <c r="AR64" s="623"/>
      <c r="AS64" s="623"/>
      <c r="AT64" s="623"/>
      <c r="AU64" s="623"/>
      <c r="AV64" s="623"/>
      <c r="AW64" s="623"/>
    </row>
    <row r="65" spans="3:49" s="96" customFormat="1" ht="7.5" customHeight="1" thickBot="1">
      <c r="C65" s="623"/>
      <c r="D65" s="623"/>
      <c r="G65" s="623"/>
      <c r="H65" s="623"/>
      <c r="I65" s="97"/>
      <c r="K65" s="623"/>
      <c r="M65" s="97"/>
      <c r="N65" s="623"/>
      <c r="O65" s="97"/>
      <c r="P65" s="623"/>
      <c r="Q65" s="624"/>
      <c r="R65" s="623"/>
      <c r="S65" s="623"/>
      <c r="T65" s="623"/>
      <c r="U65" s="623"/>
      <c r="V65" s="623"/>
      <c r="W65" s="623"/>
      <c r="X65" s="623"/>
      <c r="Y65" s="623"/>
      <c r="Z65" s="623"/>
      <c r="AA65" s="624"/>
      <c r="AB65" s="623"/>
      <c r="AC65" s="623"/>
      <c r="AD65" s="623"/>
      <c r="AE65" s="623"/>
      <c r="AF65" s="623"/>
      <c r="AG65" s="623"/>
      <c r="AL65" s="623"/>
      <c r="AN65" s="623"/>
      <c r="AO65" s="623"/>
      <c r="AP65" s="623"/>
      <c r="AQ65" s="623"/>
      <c r="AR65" s="623"/>
      <c r="AS65" s="623"/>
      <c r="AT65" s="623"/>
      <c r="AU65" s="623"/>
      <c r="AV65" s="623"/>
      <c r="AW65" s="623"/>
    </row>
    <row r="66" spans="3:49" s="96" customFormat="1" ht="21.95" customHeight="1" thickBot="1">
      <c r="C66" s="623" t="s">
        <v>395</v>
      </c>
      <c r="D66" s="623"/>
      <c r="E66" s="204">
        <v>0</v>
      </c>
      <c r="F66" s="97" t="s">
        <v>3008</v>
      </c>
      <c r="G66" s="623"/>
      <c r="H66" s="630" t="s">
        <v>350</v>
      </c>
      <c r="I66" s="97" t="s">
        <v>3006</v>
      </c>
      <c r="K66" s="623"/>
      <c r="L66" s="393">
        <v>0</v>
      </c>
      <c r="M66" s="97" t="s">
        <v>3007</v>
      </c>
      <c r="N66" s="636"/>
      <c r="O66" s="97"/>
      <c r="P66" s="921" t="s">
        <v>5788</v>
      </c>
      <c r="Q66" s="624" t="s">
        <v>5680</v>
      </c>
      <c r="R66" s="623"/>
      <c r="S66" s="592">
        <v>0</v>
      </c>
      <c r="T66" s="624" t="s">
        <v>5670</v>
      </c>
      <c r="U66" s="623"/>
      <c r="V66" s="637">
        <v>0</v>
      </c>
      <c r="W66" s="624" t="s">
        <v>5741</v>
      </c>
      <c r="X66" s="623"/>
      <c r="Y66" s="623"/>
      <c r="Z66" s="921" t="s">
        <v>5788</v>
      </c>
      <c r="AA66" s="624" t="s">
        <v>5763</v>
      </c>
      <c r="AB66" s="623"/>
      <c r="AC66" s="592">
        <v>0</v>
      </c>
      <c r="AD66" s="624" t="s">
        <v>5764</v>
      </c>
      <c r="AE66" s="624"/>
      <c r="AF66" s="637">
        <v>0</v>
      </c>
      <c r="AG66" s="624" t="s">
        <v>5765</v>
      </c>
      <c r="AI66" s="206"/>
      <c r="AK66" s="205"/>
      <c r="AL66" s="623"/>
      <c r="AN66" s="623"/>
      <c r="AO66" s="623"/>
      <c r="AP66" s="623"/>
      <c r="AQ66" s="623"/>
      <c r="AR66" s="623"/>
      <c r="AS66" s="623"/>
      <c r="AT66" s="623"/>
      <c r="AU66" s="623"/>
      <c r="AV66" s="623"/>
      <c r="AW66" s="623"/>
    </row>
    <row r="67" spans="3:49" s="96" customFormat="1" ht="7.5" customHeight="1">
      <c r="C67" s="623"/>
      <c r="D67" s="623"/>
      <c r="G67" s="623"/>
      <c r="H67" s="623"/>
      <c r="I67" s="97"/>
      <c r="K67" s="623"/>
      <c r="N67" s="623"/>
      <c r="O67" s="97"/>
      <c r="Q67" s="97"/>
      <c r="T67" s="623"/>
      <c r="Z67" s="623"/>
      <c r="AA67" s="624"/>
      <c r="AC67" s="623"/>
      <c r="AD67" s="623"/>
      <c r="AE67" s="623"/>
      <c r="AF67" s="623"/>
      <c r="AG67" s="623"/>
      <c r="AL67" s="623"/>
      <c r="AN67" s="623"/>
      <c r="AO67" s="623"/>
      <c r="AP67" s="623"/>
      <c r="AQ67" s="623"/>
      <c r="AR67" s="623"/>
      <c r="AS67" s="623"/>
      <c r="AT67" s="623"/>
      <c r="AU67" s="623"/>
      <c r="AV67" s="623"/>
      <c r="AW67" s="623"/>
    </row>
    <row r="68" spans="3:49" s="96" customFormat="1" ht="21.95" customHeight="1">
      <c r="C68" s="631" t="s">
        <v>1404</v>
      </c>
      <c r="D68" s="631"/>
      <c r="E68" s="658"/>
      <c r="F68" s="624"/>
      <c r="G68" s="631"/>
      <c r="H68" s="658"/>
      <c r="I68" s="631"/>
      <c r="J68" s="658"/>
      <c r="K68" s="631"/>
      <c r="L68" s="658"/>
      <c r="M68" s="369"/>
      <c r="N68" s="631"/>
      <c r="O68" s="97"/>
      <c r="P68" s="658"/>
      <c r="Q68" s="624"/>
      <c r="R68" s="631"/>
      <c r="S68" s="658"/>
      <c r="T68" s="623"/>
      <c r="Z68" s="623"/>
      <c r="AA68" s="624"/>
      <c r="AC68" s="623"/>
      <c r="AD68" s="623"/>
      <c r="AE68" s="623"/>
      <c r="AF68" s="623"/>
      <c r="AG68" s="623"/>
      <c r="AL68" s="623"/>
      <c r="AN68" s="623"/>
      <c r="AO68" s="623"/>
      <c r="AP68" s="623"/>
      <c r="AQ68" s="623"/>
      <c r="AR68" s="623"/>
      <c r="AS68" s="623"/>
      <c r="AT68" s="623"/>
      <c r="AU68" s="623"/>
      <c r="AV68" s="623"/>
      <c r="AW68" s="623"/>
    </row>
    <row r="69" spans="3:49" s="96" customFormat="1" ht="7.5" customHeight="1">
      <c r="C69" s="623"/>
      <c r="D69" s="623"/>
      <c r="E69" s="623"/>
      <c r="F69" s="624"/>
      <c r="G69" s="623"/>
      <c r="H69" s="623"/>
      <c r="I69" s="623"/>
      <c r="J69" s="623"/>
      <c r="K69" s="623"/>
      <c r="L69" s="623"/>
      <c r="N69" s="623"/>
      <c r="O69" s="97"/>
      <c r="P69" s="623"/>
      <c r="Q69" s="624"/>
      <c r="R69" s="623"/>
      <c r="S69" s="623"/>
      <c r="T69" s="623"/>
      <c r="Z69" s="623"/>
      <c r="AA69" s="624"/>
      <c r="AC69" s="623"/>
      <c r="AD69" s="623"/>
      <c r="AE69" s="623"/>
      <c r="AF69" s="623"/>
      <c r="AG69" s="623"/>
      <c r="AL69" s="623"/>
      <c r="AN69" s="623"/>
      <c r="AO69" s="623"/>
      <c r="AP69" s="623"/>
      <c r="AQ69" s="623"/>
      <c r="AR69" s="623"/>
      <c r="AS69" s="623"/>
      <c r="AT69" s="623"/>
      <c r="AU69" s="623"/>
      <c r="AV69" s="623"/>
      <c r="AW69" s="623"/>
    </row>
    <row r="70" spans="3:49" s="96" customFormat="1" ht="21.95" customHeight="1">
      <c r="C70" s="623"/>
      <c r="D70" s="623"/>
      <c r="E70" s="636"/>
      <c r="F70" s="624"/>
      <c r="G70" s="623"/>
      <c r="H70" s="857"/>
      <c r="I70" s="623"/>
      <c r="J70" s="623"/>
      <c r="K70" s="623"/>
      <c r="L70" s="623"/>
      <c r="M70" s="536"/>
      <c r="N70" s="623"/>
      <c r="O70" s="97"/>
      <c r="P70" s="636"/>
      <c r="Q70" s="624"/>
      <c r="R70" s="623"/>
      <c r="S70" s="758"/>
      <c r="T70" s="623"/>
      <c r="Z70" s="623"/>
      <c r="AA70" s="624"/>
      <c r="AC70" s="623"/>
      <c r="AD70" s="623"/>
      <c r="AE70" s="623"/>
      <c r="AF70" s="623"/>
      <c r="AG70" s="623"/>
      <c r="AL70" s="623"/>
      <c r="AN70" s="623"/>
      <c r="AO70" s="623"/>
      <c r="AP70" s="623"/>
      <c r="AQ70" s="623"/>
      <c r="AR70" s="623"/>
      <c r="AS70" s="623"/>
      <c r="AT70" s="623"/>
      <c r="AU70" s="623"/>
      <c r="AV70" s="623"/>
      <c r="AW70" s="623"/>
    </row>
    <row r="71" spans="3:49" s="96" customFormat="1" ht="7.5" customHeight="1">
      <c r="C71" s="623"/>
      <c r="D71" s="623"/>
      <c r="G71" s="623"/>
      <c r="H71" s="623"/>
      <c r="I71" s="97"/>
      <c r="K71" s="623"/>
      <c r="N71" s="623"/>
      <c r="O71" s="97"/>
      <c r="Q71" s="97"/>
      <c r="T71" s="623"/>
      <c r="Z71" s="623"/>
      <c r="AA71" s="624"/>
      <c r="AC71" s="623"/>
      <c r="AD71" s="623"/>
      <c r="AE71" s="623"/>
      <c r="AF71" s="623"/>
      <c r="AG71" s="623"/>
      <c r="AL71" s="623"/>
      <c r="AN71" s="623"/>
      <c r="AO71" s="623"/>
      <c r="AP71" s="623"/>
      <c r="AQ71" s="623"/>
      <c r="AR71" s="623"/>
      <c r="AS71" s="623"/>
      <c r="AT71" s="623"/>
      <c r="AU71" s="623"/>
      <c r="AV71" s="623"/>
      <c r="AW71" s="623"/>
    </row>
    <row r="72" spans="3:49" s="96" customFormat="1" ht="21.95" customHeight="1">
      <c r="C72" s="623"/>
      <c r="D72" s="623"/>
      <c r="G72" s="623"/>
      <c r="H72" s="623"/>
      <c r="I72" s="97"/>
      <c r="K72" s="623"/>
      <c r="N72" s="623"/>
      <c r="O72" s="97"/>
      <c r="Q72" s="97"/>
      <c r="T72" s="623"/>
      <c r="Z72" s="623"/>
      <c r="AA72" s="624"/>
      <c r="AC72" s="623"/>
      <c r="AD72" s="623"/>
      <c r="AE72" s="623"/>
      <c r="AF72" s="623"/>
      <c r="AG72" s="623"/>
      <c r="AL72" s="623"/>
      <c r="AN72" s="623"/>
      <c r="AO72" s="623"/>
      <c r="AP72" s="623"/>
      <c r="AQ72" s="623"/>
      <c r="AR72" s="623"/>
      <c r="AS72" s="623"/>
      <c r="AT72" s="623"/>
      <c r="AU72" s="623"/>
      <c r="AV72" s="623"/>
      <c r="AW72" s="623"/>
    </row>
    <row r="73" spans="3:49" s="96" customFormat="1" ht="7.5" customHeight="1">
      <c r="C73" s="623"/>
      <c r="D73" s="623"/>
      <c r="G73" s="623"/>
      <c r="H73" s="623"/>
      <c r="I73" s="97"/>
      <c r="K73" s="623"/>
      <c r="N73" s="623"/>
      <c r="O73" s="97"/>
      <c r="T73" s="623"/>
      <c r="Z73" s="623"/>
      <c r="AA73" s="623"/>
      <c r="AC73" s="623"/>
      <c r="AD73" s="623"/>
      <c r="AE73" s="623"/>
      <c r="AF73" s="623"/>
      <c r="AG73" s="623"/>
      <c r="AL73" s="623"/>
      <c r="AN73" s="623"/>
      <c r="AO73" s="623"/>
      <c r="AP73" s="623"/>
      <c r="AQ73" s="623"/>
      <c r="AR73" s="623"/>
      <c r="AS73" s="623"/>
      <c r="AT73" s="623"/>
      <c r="AU73" s="623"/>
      <c r="AV73" s="623"/>
      <c r="AW73" s="623"/>
    </row>
    <row r="74" spans="3:49" s="96" customFormat="1" ht="21.95" customHeight="1">
      <c r="C74" s="657" t="str">
        <f>nmProd1</f>
        <v>Greenborg</v>
      </c>
      <c r="D74" s="618"/>
      <c r="E74" s="618"/>
      <c r="F74" s="618"/>
      <c r="G74" s="623"/>
      <c r="H74" s="618"/>
      <c r="I74" s="91"/>
      <c r="J74" s="91"/>
      <c r="K74" s="618"/>
      <c r="L74" s="91"/>
      <c r="M74" s="91"/>
      <c r="N74" s="618"/>
      <c r="O74" s="91"/>
      <c r="P74" s="618"/>
      <c r="Q74" s="618"/>
      <c r="R74" s="618"/>
      <c r="S74" s="618"/>
      <c r="T74" s="618"/>
      <c r="U74" s="618"/>
      <c r="V74" s="91"/>
      <c r="W74" s="618"/>
      <c r="X74" s="618"/>
      <c r="Y74" s="618"/>
      <c r="Z74" s="618"/>
      <c r="AA74" s="618"/>
      <c r="AC74" s="618"/>
      <c r="AD74" s="618"/>
      <c r="AE74" s="618"/>
      <c r="AF74" s="618"/>
      <c r="AG74" s="618"/>
      <c r="AH74" s="618"/>
      <c r="AI74" s="91"/>
      <c r="AJ74" s="91"/>
      <c r="AK74" s="91"/>
      <c r="AL74" s="623"/>
      <c r="AN74" s="623"/>
      <c r="AO74" s="623"/>
      <c r="AP74" s="623"/>
      <c r="AQ74" s="623"/>
      <c r="AR74" s="623"/>
      <c r="AS74" s="623"/>
      <c r="AT74" s="623"/>
      <c r="AU74" s="623"/>
      <c r="AV74" s="623"/>
      <c r="AW74" s="623"/>
    </row>
    <row r="75" spans="3:49" s="96" customFormat="1" ht="11.45" customHeight="1">
      <c r="C75" s="623"/>
      <c r="D75" s="623"/>
      <c r="G75" s="623"/>
      <c r="H75" s="623"/>
      <c r="I75" s="97"/>
      <c r="K75" s="623"/>
      <c r="N75" s="623"/>
      <c r="O75" s="97"/>
      <c r="T75" s="623"/>
      <c r="Z75" s="623"/>
      <c r="AA75" s="623"/>
      <c r="AC75" s="623"/>
      <c r="AD75" s="623"/>
      <c r="AE75" s="623"/>
      <c r="AF75" s="623"/>
      <c r="AG75" s="623"/>
      <c r="AL75" s="623"/>
      <c r="AN75" s="623"/>
      <c r="AO75" s="623"/>
      <c r="AP75" s="623"/>
      <c r="AQ75" s="623"/>
      <c r="AR75" s="623"/>
      <c r="AS75" s="623"/>
      <c r="AT75" s="623"/>
      <c r="AU75" s="623"/>
      <c r="AV75" s="623"/>
      <c r="AW75" s="623"/>
    </row>
    <row r="76" spans="3:49" s="96" customFormat="1" ht="49.5" customHeight="1">
      <c r="C76" s="623"/>
      <c r="D76" s="623"/>
      <c r="E76" s="344" t="s">
        <v>393</v>
      </c>
      <c r="G76" s="623"/>
      <c r="H76" s="656" t="s">
        <v>363</v>
      </c>
      <c r="I76" s="97"/>
      <c r="K76" s="623"/>
      <c r="L76" s="344" t="s">
        <v>1761</v>
      </c>
      <c r="M76" s="97"/>
      <c r="N76" s="656"/>
      <c r="O76" s="97"/>
      <c r="P76" s="344" t="s">
        <v>381</v>
      </c>
      <c r="Q76" s="195"/>
      <c r="R76" s="195"/>
      <c r="S76" s="656" t="s">
        <v>5663</v>
      </c>
      <c r="T76" s="656"/>
      <c r="U76" s="623"/>
      <c r="V76" s="656" t="s">
        <v>391</v>
      </c>
      <c r="W76" s="656"/>
      <c r="X76" s="631"/>
      <c r="Y76" s="623"/>
      <c r="Z76" s="656" t="s">
        <v>6727</v>
      </c>
      <c r="AA76" s="656"/>
      <c r="AB76" s="624"/>
      <c r="AC76" s="656" t="s">
        <v>5663</v>
      </c>
      <c r="AD76" s="623"/>
      <c r="AE76" s="623"/>
      <c r="AF76" s="656" t="s">
        <v>391</v>
      </c>
      <c r="AG76" s="623"/>
      <c r="AI76" s="344"/>
      <c r="AJ76" s="195"/>
      <c r="AK76" s="344"/>
      <c r="AL76" s="623"/>
      <c r="AN76" s="623"/>
      <c r="AO76" s="623"/>
      <c r="AP76" s="623"/>
      <c r="AQ76" s="623"/>
      <c r="AR76" s="623"/>
      <c r="AS76" s="623"/>
      <c r="AT76" s="623"/>
      <c r="AU76" s="623"/>
      <c r="AV76" s="623"/>
      <c r="AW76" s="623"/>
    </row>
    <row r="77" spans="3:49" s="96" customFormat="1" ht="7.5" customHeight="1" thickBot="1">
      <c r="C77" s="623"/>
      <c r="D77" s="623"/>
      <c r="G77" s="623"/>
      <c r="H77" s="634"/>
      <c r="I77" s="97"/>
      <c r="K77" s="623"/>
      <c r="L77" s="202"/>
      <c r="M77" s="97"/>
      <c r="N77" s="635"/>
      <c r="O77" s="97"/>
      <c r="T77" s="623"/>
      <c r="Z77" s="623"/>
      <c r="AA77" s="623"/>
      <c r="AC77" s="623"/>
      <c r="AD77" s="623"/>
      <c r="AE77" s="623"/>
      <c r="AF77" s="623"/>
      <c r="AG77" s="623"/>
      <c r="AL77" s="623"/>
      <c r="AN77" s="623"/>
      <c r="AO77" s="623"/>
      <c r="AP77" s="623"/>
      <c r="AQ77" s="623"/>
      <c r="AR77" s="623"/>
      <c r="AS77" s="623"/>
      <c r="AT77" s="623"/>
      <c r="AU77" s="623"/>
      <c r="AV77" s="623"/>
      <c r="AW77" s="623"/>
    </row>
    <row r="78" spans="3:49" s="96" customFormat="1" ht="21.95" customHeight="1" thickBot="1">
      <c r="C78" s="623" t="s">
        <v>379</v>
      </c>
      <c r="D78" s="623"/>
      <c r="E78" s="789">
        <f>1-tlinputCh1Prod1Slot2Forecast-tlinputCh1Prod1Slot3Forecast</f>
        <v>1</v>
      </c>
      <c r="F78" s="97" t="s">
        <v>2988</v>
      </c>
      <c r="G78" s="623"/>
      <c r="H78" s="630" t="s">
        <v>4423</v>
      </c>
      <c r="I78" s="97" t="s">
        <v>2982</v>
      </c>
      <c r="K78" s="623"/>
      <c r="L78" s="393">
        <v>7.7</v>
      </c>
      <c r="M78" s="97" t="s">
        <v>2985</v>
      </c>
      <c r="N78" s="636"/>
      <c r="O78" s="97"/>
      <c r="P78" s="921" t="s">
        <v>9052</v>
      </c>
      <c r="Q78" s="624" t="s">
        <v>5681</v>
      </c>
      <c r="R78" s="623"/>
      <c r="S78" s="592">
        <v>4</v>
      </c>
      <c r="T78" s="624" t="s">
        <v>5671</v>
      </c>
      <c r="U78" s="623"/>
      <c r="V78" s="637">
        <v>0.4</v>
      </c>
      <c r="W78" s="624" t="s">
        <v>5742</v>
      </c>
      <c r="X78" s="623"/>
      <c r="Y78" s="623"/>
      <c r="Z78" s="921" t="s">
        <v>9050</v>
      </c>
      <c r="AA78" s="624" t="s">
        <v>5766</v>
      </c>
      <c r="AB78" s="623"/>
      <c r="AC78" s="592">
        <v>2</v>
      </c>
      <c r="AD78" s="624" t="s">
        <v>5767</v>
      </c>
      <c r="AE78" s="624"/>
      <c r="AF78" s="637">
        <v>0.2</v>
      </c>
      <c r="AG78" s="624" t="s">
        <v>5768</v>
      </c>
      <c r="AI78" s="206"/>
      <c r="AK78" s="205"/>
      <c r="AL78" s="623"/>
      <c r="AN78" s="623"/>
      <c r="AO78" s="623"/>
      <c r="AP78" s="623"/>
      <c r="AQ78" s="623"/>
      <c r="AR78" s="623"/>
      <c r="AS78" s="623"/>
      <c r="AT78" s="623"/>
      <c r="AU78" s="623"/>
      <c r="AV78" s="623"/>
      <c r="AW78" s="623"/>
    </row>
    <row r="79" spans="3:49" s="96" customFormat="1" ht="7.5" customHeight="1" thickBot="1">
      <c r="C79" s="623"/>
      <c r="D79" s="623"/>
      <c r="G79" s="623"/>
      <c r="H79" s="623"/>
      <c r="I79" s="97"/>
      <c r="K79" s="623"/>
      <c r="M79" s="97"/>
      <c r="N79" s="623"/>
      <c r="O79" s="97"/>
      <c r="P79" s="623"/>
      <c r="Q79" s="624"/>
      <c r="R79" s="623"/>
      <c r="S79" s="623"/>
      <c r="T79" s="623"/>
      <c r="U79" s="623"/>
      <c r="V79" s="623"/>
      <c r="W79" s="623"/>
      <c r="X79" s="623"/>
      <c r="Y79" s="623"/>
      <c r="Z79" s="623"/>
      <c r="AA79" s="624"/>
      <c r="AB79" s="623"/>
      <c r="AC79" s="623"/>
      <c r="AD79" s="623"/>
      <c r="AE79" s="623"/>
      <c r="AF79" s="623"/>
      <c r="AG79" s="623"/>
      <c r="AL79" s="623"/>
      <c r="AN79" s="623"/>
      <c r="AO79" s="623"/>
      <c r="AP79" s="623"/>
      <c r="AQ79" s="623"/>
      <c r="AR79" s="623"/>
      <c r="AS79" s="623"/>
      <c r="AT79" s="623"/>
      <c r="AU79" s="623"/>
      <c r="AV79" s="623"/>
      <c r="AW79" s="623"/>
    </row>
    <row r="80" spans="3:49" s="96" customFormat="1" ht="21.95" customHeight="1" thickBot="1">
      <c r="C80" s="623" t="s">
        <v>394</v>
      </c>
      <c r="D80" s="623"/>
      <c r="E80" s="204">
        <v>0</v>
      </c>
      <c r="F80" s="97" t="s">
        <v>2990</v>
      </c>
      <c r="G80" s="623"/>
      <c r="H80" s="630" t="s">
        <v>350</v>
      </c>
      <c r="I80" s="97" t="s">
        <v>2983</v>
      </c>
      <c r="K80" s="623"/>
      <c r="L80" s="393">
        <v>0</v>
      </c>
      <c r="M80" s="97" t="s">
        <v>2987</v>
      </c>
      <c r="N80" s="636"/>
      <c r="O80" s="97"/>
      <c r="P80" s="921" t="s">
        <v>5788</v>
      </c>
      <c r="Q80" s="624" t="s">
        <v>5682</v>
      </c>
      <c r="R80" s="623"/>
      <c r="S80" s="592">
        <v>0</v>
      </c>
      <c r="T80" s="624" t="s">
        <v>5672</v>
      </c>
      <c r="U80" s="623"/>
      <c r="V80" s="637">
        <v>0</v>
      </c>
      <c r="W80" s="624" t="s">
        <v>5743</v>
      </c>
      <c r="X80" s="623"/>
      <c r="Y80" s="623"/>
      <c r="Z80" s="921" t="s">
        <v>5788</v>
      </c>
      <c r="AA80" s="624" t="s">
        <v>5769</v>
      </c>
      <c r="AB80" s="623"/>
      <c r="AC80" s="592">
        <v>0</v>
      </c>
      <c r="AD80" s="624" t="s">
        <v>5770</v>
      </c>
      <c r="AE80" s="624"/>
      <c r="AF80" s="637">
        <v>0</v>
      </c>
      <c r="AG80" s="624" t="s">
        <v>5771</v>
      </c>
      <c r="AI80" s="206"/>
      <c r="AK80" s="205"/>
      <c r="AL80" s="623"/>
      <c r="AN80" s="623"/>
      <c r="AO80" s="623"/>
      <c r="AP80" s="623"/>
      <c r="AQ80" s="623"/>
      <c r="AR80" s="623"/>
      <c r="AS80" s="623"/>
      <c r="AT80" s="623"/>
      <c r="AU80" s="623"/>
      <c r="AV80" s="623"/>
      <c r="AW80" s="623"/>
    </row>
    <row r="81" spans="3:49" s="96" customFormat="1" ht="7.5" customHeight="1" thickBot="1">
      <c r="C81" s="623"/>
      <c r="D81" s="623"/>
      <c r="G81" s="623"/>
      <c r="H81" s="623"/>
      <c r="I81" s="97"/>
      <c r="K81" s="623"/>
      <c r="M81" s="97"/>
      <c r="N81" s="623"/>
      <c r="O81" s="97"/>
      <c r="P81" s="623"/>
      <c r="Q81" s="624"/>
      <c r="R81" s="623"/>
      <c r="S81" s="623"/>
      <c r="T81" s="623"/>
      <c r="U81" s="623"/>
      <c r="V81" s="623"/>
      <c r="W81" s="623"/>
      <c r="X81" s="623"/>
      <c r="Y81" s="623"/>
      <c r="Z81" s="623"/>
      <c r="AA81" s="624"/>
      <c r="AB81" s="623"/>
      <c r="AC81" s="623"/>
      <c r="AD81" s="623"/>
      <c r="AE81" s="623"/>
      <c r="AF81" s="623"/>
      <c r="AG81" s="623"/>
      <c r="AL81" s="623"/>
      <c r="AN81" s="623"/>
      <c r="AO81" s="623"/>
      <c r="AP81" s="623"/>
      <c r="AQ81" s="623"/>
      <c r="AR81" s="623"/>
      <c r="AS81" s="623"/>
      <c r="AT81" s="623"/>
      <c r="AU81" s="623"/>
      <c r="AV81" s="623"/>
      <c r="AW81" s="623"/>
    </row>
    <row r="82" spans="3:49" s="96" customFormat="1" ht="21.95" customHeight="1" thickBot="1">
      <c r="C82" s="623" t="s">
        <v>395</v>
      </c>
      <c r="D82" s="623"/>
      <c r="E82" s="204">
        <v>0</v>
      </c>
      <c r="F82" s="97" t="s">
        <v>2989</v>
      </c>
      <c r="G82" s="623"/>
      <c r="H82" s="630" t="s">
        <v>350</v>
      </c>
      <c r="I82" s="97" t="s">
        <v>2984</v>
      </c>
      <c r="K82" s="623"/>
      <c r="L82" s="393">
        <v>0</v>
      </c>
      <c r="M82" s="97" t="s">
        <v>2986</v>
      </c>
      <c r="N82" s="636"/>
      <c r="O82" s="97"/>
      <c r="P82" s="921" t="s">
        <v>5788</v>
      </c>
      <c r="Q82" s="624" t="s">
        <v>5683</v>
      </c>
      <c r="R82" s="623"/>
      <c r="S82" s="592">
        <v>0</v>
      </c>
      <c r="T82" s="624" t="s">
        <v>5673</v>
      </c>
      <c r="U82" s="623"/>
      <c r="V82" s="637">
        <v>0</v>
      </c>
      <c r="W82" s="624" t="s">
        <v>5744</v>
      </c>
      <c r="X82" s="623"/>
      <c r="Y82" s="623"/>
      <c r="Z82" s="921" t="s">
        <v>5788</v>
      </c>
      <c r="AA82" s="624" t="s">
        <v>5772</v>
      </c>
      <c r="AB82" s="623"/>
      <c r="AC82" s="592">
        <v>0</v>
      </c>
      <c r="AD82" s="624" t="s">
        <v>5773</v>
      </c>
      <c r="AE82" s="624"/>
      <c r="AF82" s="637">
        <v>0</v>
      </c>
      <c r="AG82" s="624" t="s">
        <v>5774</v>
      </c>
      <c r="AI82" s="206"/>
      <c r="AK82" s="205"/>
      <c r="AL82" s="623"/>
      <c r="AN82" s="623"/>
      <c r="AO82" s="623"/>
      <c r="AP82" s="623"/>
      <c r="AQ82" s="623"/>
      <c r="AR82" s="623"/>
      <c r="AS82" s="623"/>
      <c r="AT82" s="623"/>
      <c r="AU82" s="623"/>
      <c r="AV82" s="623"/>
      <c r="AW82" s="623"/>
    </row>
    <row r="83" spans="3:49" s="96" customFormat="1" ht="7.5" customHeight="1">
      <c r="C83" s="623"/>
      <c r="D83" s="623"/>
      <c r="G83" s="623"/>
      <c r="H83" s="623"/>
      <c r="I83" s="97"/>
      <c r="K83" s="623"/>
      <c r="N83" s="623"/>
      <c r="O83" s="97"/>
      <c r="Q83" s="97"/>
      <c r="T83" s="623"/>
      <c r="Z83" s="623"/>
      <c r="AA83" s="624"/>
      <c r="AC83" s="623"/>
      <c r="AD83" s="623"/>
      <c r="AE83" s="623"/>
      <c r="AF83" s="623"/>
      <c r="AG83" s="623"/>
      <c r="AL83" s="623"/>
      <c r="AN83" s="623"/>
      <c r="AO83" s="623"/>
      <c r="AP83" s="623"/>
      <c r="AQ83" s="623"/>
      <c r="AR83" s="623"/>
      <c r="AS83" s="623"/>
      <c r="AT83" s="623"/>
      <c r="AU83" s="623"/>
      <c r="AV83" s="623"/>
      <c r="AW83" s="623"/>
    </row>
    <row r="84" spans="3:49" s="96" customFormat="1" ht="21.95" customHeight="1">
      <c r="C84" s="631" t="s">
        <v>1404</v>
      </c>
      <c r="D84" s="631"/>
      <c r="E84" s="658"/>
      <c r="F84" s="624"/>
      <c r="G84" s="623"/>
      <c r="H84" s="658"/>
      <c r="I84" s="631"/>
      <c r="J84" s="658"/>
      <c r="K84" s="631"/>
      <c r="L84" s="369"/>
      <c r="O84" s="97"/>
      <c r="P84" s="658"/>
      <c r="Q84" s="624"/>
      <c r="R84" s="631"/>
      <c r="S84" s="658"/>
      <c r="T84" s="623"/>
      <c r="Z84" s="623"/>
      <c r="AA84" s="624"/>
      <c r="AC84" s="623"/>
      <c r="AD84" s="623"/>
      <c r="AE84" s="623"/>
      <c r="AF84" s="623"/>
      <c r="AG84" s="623"/>
      <c r="AL84" s="623"/>
      <c r="AN84" s="623"/>
      <c r="AO84" s="623"/>
      <c r="AP84" s="623"/>
      <c r="AQ84" s="623"/>
      <c r="AR84" s="623"/>
      <c r="AS84" s="623"/>
      <c r="AT84" s="623"/>
      <c r="AU84" s="623"/>
      <c r="AV84" s="623"/>
      <c r="AW84" s="623"/>
    </row>
    <row r="85" spans="3:49" s="96" customFormat="1" ht="7.5" customHeight="1">
      <c r="C85" s="623"/>
      <c r="D85" s="623"/>
      <c r="E85" s="623"/>
      <c r="F85" s="624"/>
      <c r="G85" s="623"/>
      <c r="H85" s="623"/>
      <c r="I85" s="623"/>
      <c r="J85" s="623"/>
      <c r="K85" s="623"/>
      <c r="O85" s="97"/>
      <c r="P85" s="623"/>
      <c r="Q85" s="624"/>
      <c r="R85" s="623"/>
      <c r="S85" s="623"/>
      <c r="T85" s="623"/>
      <c r="Z85" s="623"/>
      <c r="AA85" s="624"/>
      <c r="AC85" s="623"/>
      <c r="AD85" s="623"/>
      <c r="AE85" s="623"/>
      <c r="AF85" s="623"/>
      <c r="AG85" s="623"/>
      <c r="AL85" s="623"/>
      <c r="AN85" s="623"/>
      <c r="AO85" s="623"/>
      <c r="AP85" s="623"/>
      <c r="AQ85" s="623"/>
      <c r="AR85" s="623"/>
      <c r="AS85" s="623"/>
      <c r="AT85" s="623"/>
      <c r="AU85" s="623"/>
      <c r="AV85" s="623"/>
      <c r="AW85" s="623"/>
    </row>
    <row r="86" spans="3:49" s="96" customFormat="1" ht="21.95" customHeight="1">
      <c r="C86" s="623"/>
      <c r="D86" s="623"/>
      <c r="E86" s="636"/>
      <c r="F86" s="624"/>
      <c r="G86" s="623"/>
      <c r="H86" s="857"/>
      <c r="I86" s="623"/>
      <c r="J86" s="623"/>
      <c r="K86" s="623"/>
      <c r="O86" s="97"/>
      <c r="P86" s="636"/>
      <c r="Q86" s="624"/>
      <c r="R86" s="623"/>
      <c r="S86" s="758"/>
      <c r="T86" s="623"/>
      <c r="Z86" s="623"/>
      <c r="AA86" s="624"/>
      <c r="AC86" s="623"/>
      <c r="AD86" s="623"/>
      <c r="AE86" s="623"/>
      <c r="AF86" s="623"/>
      <c r="AG86" s="623"/>
      <c r="AL86" s="623"/>
      <c r="AN86" s="623"/>
      <c r="AO86" s="623"/>
      <c r="AP86" s="623"/>
      <c r="AQ86" s="623"/>
      <c r="AR86" s="623"/>
      <c r="AS86" s="623"/>
      <c r="AT86" s="623"/>
      <c r="AU86" s="623"/>
      <c r="AV86" s="623"/>
      <c r="AW86" s="623"/>
    </row>
    <row r="87" spans="3:49" s="96" customFormat="1" ht="7.5" customHeight="1">
      <c r="C87" s="623"/>
      <c r="D87" s="623"/>
      <c r="G87" s="623"/>
      <c r="H87" s="623"/>
      <c r="I87" s="97"/>
      <c r="K87" s="623"/>
      <c r="N87" s="623"/>
      <c r="O87" s="97"/>
      <c r="Q87" s="97"/>
      <c r="T87" s="623"/>
      <c r="Z87" s="623"/>
      <c r="AA87" s="624"/>
      <c r="AC87" s="623"/>
      <c r="AD87" s="623"/>
      <c r="AE87" s="623"/>
      <c r="AF87" s="623"/>
      <c r="AG87" s="623"/>
      <c r="AL87" s="623"/>
      <c r="AN87" s="623"/>
      <c r="AO87" s="623"/>
      <c r="AP87" s="623"/>
      <c r="AQ87" s="623"/>
      <c r="AR87" s="623"/>
      <c r="AS87" s="623"/>
      <c r="AT87" s="623"/>
      <c r="AU87" s="623"/>
      <c r="AV87" s="623"/>
      <c r="AW87" s="623"/>
    </row>
    <row r="88" spans="3:49" s="96" customFormat="1" ht="21.95" customHeight="1">
      <c r="C88" s="623"/>
      <c r="D88" s="623"/>
      <c r="G88" s="623"/>
      <c r="H88" s="623"/>
      <c r="I88" s="97"/>
      <c r="K88" s="623"/>
      <c r="N88" s="623"/>
      <c r="O88" s="97"/>
      <c r="Q88" s="97"/>
      <c r="T88" s="623"/>
      <c r="Z88" s="623"/>
      <c r="AA88" s="624"/>
      <c r="AC88" s="623"/>
      <c r="AD88" s="623"/>
      <c r="AE88" s="623"/>
      <c r="AF88" s="623"/>
      <c r="AG88" s="623"/>
      <c r="AL88" s="623"/>
      <c r="AN88" s="623"/>
      <c r="AO88" s="623"/>
      <c r="AP88" s="623"/>
      <c r="AQ88" s="623"/>
      <c r="AR88" s="623"/>
      <c r="AS88" s="623"/>
      <c r="AT88" s="623"/>
      <c r="AU88" s="623"/>
      <c r="AV88" s="623"/>
      <c r="AW88" s="623"/>
    </row>
    <row r="89" spans="3:49" s="96" customFormat="1" ht="7.5" customHeight="1">
      <c r="C89" s="623"/>
      <c r="D89" s="623"/>
      <c r="G89" s="623"/>
      <c r="H89" s="623"/>
      <c r="I89" s="97"/>
      <c r="K89" s="623"/>
      <c r="N89" s="623"/>
      <c r="O89" s="97"/>
      <c r="Q89" s="97"/>
      <c r="T89" s="623"/>
      <c r="Z89" s="623"/>
      <c r="AA89" s="624"/>
      <c r="AC89" s="623"/>
      <c r="AD89" s="623"/>
      <c r="AE89" s="623"/>
      <c r="AF89" s="623"/>
      <c r="AG89" s="623"/>
      <c r="AL89" s="623"/>
      <c r="AN89" s="623"/>
      <c r="AO89" s="623"/>
      <c r="AP89" s="623"/>
      <c r="AQ89" s="623"/>
      <c r="AR89" s="623"/>
      <c r="AS89" s="623"/>
      <c r="AT89" s="623"/>
      <c r="AU89" s="623"/>
      <c r="AV89" s="623"/>
      <c r="AW89" s="623"/>
    </row>
    <row r="90" spans="3:49" s="96" customFormat="1" ht="21.95" customHeight="1">
      <c r="C90" s="657" t="str">
        <f>nmProd4</f>
        <v>Brew Master</v>
      </c>
      <c r="D90" s="618"/>
      <c r="E90" s="618"/>
      <c r="F90" s="618"/>
      <c r="G90" s="623"/>
      <c r="H90" s="618"/>
      <c r="I90" s="618"/>
      <c r="J90" s="618"/>
      <c r="K90" s="618"/>
      <c r="L90" s="618"/>
      <c r="M90" s="91"/>
      <c r="N90" s="618"/>
      <c r="O90" s="91"/>
      <c r="P90" s="91"/>
      <c r="Q90" s="618"/>
      <c r="R90" s="618"/>
      <c r="S90" s="618"/>
      <c r="T90" s="618"/>
      <c r="U90" s="618"/>
      <c r="V90" s="91"/>
      <c r="W90" s="91"/>
      <c r="X90" s="618"/>
      <c r="Y90" s="618"/>
      <c r="Z90" s="618"/>
      <c r="AA90" s="618"/>
      <c r="AC90" s="618"/>
      <c r="AD90" s="618"/>
      <c r="AE90" s="618"/>
      <c r="AF90" s="618"/>
      <c r="AG90" s="618"/>
      <c r="AH90" s="618"/>
      <c r="AI90" s="91"/>
      <c r="AJ90" s="91"/>
      <c r="AK90" s="91"/>
      <c r="AL90" s="623"/>
      <c r="AN90" s="623"/>
      <c r="AO90" s="623"/>
      <c r="AP90" s="623"/>
      <c r="AQ90" s="623"/>
      <c r="AR90" s="623"/>
      <c r="AS90" s="623"/>
      <c r="AT90" s="623"/>
      <c r="AU90" s="623"/>
      <c r="AV90" s="623"/>
      <c r="AW90" s="623"/>
    </row>
    <row r="91" spans="3:49" s="96" customFormat="1" ht="7.5" customHeight="1">
      <c r="C91" s="623"/>
      <c r="D91" s="623"/>
      <c r="G91" s="623"/>
      <c r="H91" s="623"/>
      <c r="I91" s="97"/>
      <c r="K91" s="623"/>
      <c r="N91" s="623"/>
      <c r="O91" s="97"/>
      <c r="Q91" s="97"/>
      <c r="T91" s="623"/>
      <c r="Z91" s="623"/>
      <c r="AA91" s="624"/>
      <c r="AC91" s="623"/>
      <c r="AD91" s="623"/>
      <c r="AE91" s="623"/>
      <c r="AF91" s="623"/>
      <c r="AG91" s="623"/>
      <c r="AL91" s="623"/>
      <c r="AN91" s="623"/>
      <c r="AO91" s="623"/>
      <c r="AP91" s="623"/>
      <c r="AQ91" s="623"/>
      <c r="AR91" s="623"/>
      <c r="AS91" s="623"/>
      <c r="AT91" s="623"/>
      <c r="AU91" s="623"/>
      <c r="AV91" s="623"/>
      <c r="AW91" s="623"/>
    </row>
    <row r="92" spans="3:49" s="96" customFormat="1" ht="49.5" customHeight="1">
      <c r="C92" s="623"/>
      <c r="D92" s="623"/>
      <c r="E92" s="344" t="s">
        <v>393</v>
      </c>
      <c r="G92" s="623"/>
      <c r="H92" s="656" t="s">
        <v>363</v>
      </c>
      <c r="I92" s="97"/>
      <c r="J92" s="343"/>
      <c r="K92" s="655"/>
      <c r="L92" s="344" t="s">
        <v>1761</v>
      </c>
      <c r="M92" s="97"/>
      <c r="N92" s="656"/>
      <c r="O92" s="97"/>
      <c r="P92" s="344" t="s">
        <v>381</v>
      </c>
      <c r="Q92" s="97"/>
      <c r="R92" s="195"/>
      <c r="S92" s="656" t="s">
        <v>5663</v>
      </c>
      <c r="T92" s="656"/>
      <c r="U92" s="623"/>
      <c r="V92" s="656" t="s">
        <v>391</v>
      </c>
      <c r="W92" s="656"/>
      <c r="X92" s="631"/>
      <c r="Y92" s="623"/>
      <c r="Z92" s="656" t="s">
        <v>6727</v>
      </c>
      <c r="AA92" s="656"/>
      <c r="AB92" s="624"/>
      <c r="AC92" s="656" t="s">
        <v>5663</v>
      </c>
      <c r="AD92" s="623"/>
      <c r="AE92" s="623"/>
      <c r="AF92" s="656" t="s">
        <v>391</v>
      </c>
      <c r="AG92" s="623"/>
      <c r="AI92" s="344"/>
      <c r="AJ92" s="195"/>
      <c r="AK92" s="344"/>
      <c r="AL92" s="623"/>
      <c r="AN92" s="623"/>
      <c r="AO92" s="623"/>
      <c r="AP92" s="623"/>
      <c r="AQ92" s="623"/>
      <c r="AR92" s="623"/>
      <c r="AS92" s="623"/>
      <c r="AT92" s="623"/>
      <c r="AU92" s="623"/>
      <c r="AV92" s="623"/>
      <c r="AW92" s="623"/>
    </row>
    <row r="93" spans="3:49" s="96" customFormat="1" ht="7.5" customHeight="1" thickBot="1">
      <c r="C93" s="623"/>
      <c r="D93" s="623"/>
      <c r="G93" s="623"/>
      <c r="H93" s="634"/>
      <c r="I93" s="97"/>
      <c r="J93" s="201"/>
      <c r="K93" s="634"/>
      <c r="L93" s="202"/>
      <c r="M93" s="97"/>
      <c r="N93" s="635"/>
      <c r="O93" s="97"/>
      <c r="Q93" s="97"/>
      <c r="T93" s="623"/>
      <c r="Z93" s="623"/>
      <c r="AA93" s="624"/>
      <c r="AC93" s="623"/>
      <c r="AD93" s="623"/>
      <c r="AE93" s="623"/>
      <c r="AF93" s="623"/>
      <c r="AG93" s="623"/>
      <c r="AL93" s="623"/>
      <c r="AN93" s="623"/>
      <c r="AO93" s="623"/>
      <c r="AP93" s="623"/>
      <c r="AQ93" s="623"/>
      <c r="AR93" s="623"/>
      <c r="AS93" s="623"/>
      <c r="AT93" s="623"/>
      <c r="AU93" s="623"/>
      <c r="AV93" s="623"/>
      <c r="AW93" s="623"/>
    </row>
    <row r="94" spans="3:49" s="96" customFormat="1" ht="21.95" customHeight="1" thickBot="1">
      <c r="C94" s="623" t="s">
        <v>379</v>
      </c>
      <c r="D94" s="623"/>
      <c r="E94" s="789">
        <f>1-tlinputCh1Prod4Slot2Forecast-tlinputCh1Prod4Slot3Forecast</f>
        <v>1</v>
      </c>
      <c r="F94" s="97" t="s">
        <v>2993</v>
      </c>
      <c r="G94" s="623"/>
      <c r="H94" s="630" t="s">
        <v>350</v>
      </c>
      <c r="I94" s="97" t="s">
        <v>2991</v>
      </c>
      <c r="K94" s="623"/>
      <c r="L94" s="683">
        <v>0</v>
      </c>
      <c r="M94" s="97" t="s">
        <v>2992</v>
      </c>
      <c r="N94" s="636"/>
      <c r="O94" s="97"/>
      <c r="P94" s="921" t="s">
        <v>5788</v>
      </c>
      <c r="Q94" s="624" t="s">
        <v>5684</v>
      </c>
      <c r="R94" s="623"/>
      <c r="S94" s="592">
        <v>0</v>
      </c>
      <c r="T94" s="624" t="s">
        <v>5674</v>
      </c>
      <c r="U94" s="623"/>
      <c r="V94" s="637">
        <v>0</v>
      </c>
      <c r="W94" s="624" t="s">
        <v>5745</v>
      </c>
      <c r="X94" s="623"/>
      <c r="Y94" s="623"/>
      <c r="Z94" s="921" t="s">
        <v>5788</v>
      </c>
      <c r="AA94" s="624" t="s">
        <v>5775</v>
      </c>
      <c r="AB94" s="623"/>
      <c r="AC94" s="592">
        <v>0</v>
      </c>
      <c r="AD94" s="624" t="s">
        <v>5776</v>
      </c>
      <c r="AE94" s="624"/>
      <c r="AF94" s="637">
        <v>0</v>
      </c>
      <c r="AG94" s="624" t="s">
        <v>5777</v>
      </c>
      <c r="AI94" s="206"/>
      <c r="AK94" s="205"/>
      <c r="AL94" s="623"/>
      <c r="AN94" s="623"/>
      <c r="AO94" s="623"/>
      <c r="AP94" s="623"/>
      <c r="AQ94" s="623"/>
      <c r="AR94" s="623"/>
      <c r="AS94" s="623"/>
      <c r="AT94" s="623"/>
      <c r="AU94" s="623"/>
      <c r="AV94" s="623"/>
      <c r="AW94" s="623"/>
    </row>
    <row r="95" spans="3:49" s="96" customFormat="1" ht="7.5" customHeight="1" thickBot="1">
      <c r="C95" s="623"/>
      <c r="D95" s="623"/>
      <c r="G95" s="623"/>
      <c r="H95" s="623"/>
      <c r="I95" s="97"/>
      <c r="K95" s="623"/>
      <c r="M95" s="97"/>
      <c r="N95" s="623"/>
      <c r="O95" s="97"/>
      <c r="P95" s="623"/>
      <c r="Q95" s="624"/>
      <c r="R95" s="623"/>
      <c r="S95" s="623"/>
      <c r="T95" s="623"/>
      <c r="U95" s="623"/>
      <c r="V95" s="623"/>
      <c r="W95" s="623"/>
      <c r="X95" s="623"/>
      <c r="Y95" s="623"/>
      <c r="Z95" s="623"/>
      <c r="AA95" s="624"/>
      <c r="AB95" s="623"/>
      <c r="AC95" s="623"/>
      <c r="AD95" s="623"/>
      <c r="AE95" s="623"/>
      <c r="AF95" s="623"/>
      <c r="AG95" s="623"/>
      <c r="AL95" s="623"/>
      <c r="AN95" s="623"/>
      <c r="AO95" s="623"/>
      <c r="AP95" s="623"/>
      <c r="AQ95" s="623"/>
      <c r="AR95" s="623"/>
      <c r="AS95" s="623"/>
      <c r="AT95" s="623"/>
      <c r="AU95" s="623"/>
      <c r="AV95" s="623"/>
      <c r="AW95" s="623"/>
    </row>
    <row r="96" spans="3:49" s="96" customFormat="1" ht="21.95" customHeight="1" thickBot="1">
      <c r="C96" s="623" t="s">
        <v>394</v>
      </c>
      <c r="D96" s="623"/>
      <c r="E96" s="204">
        <v>0</v>
      </c>
      <c r="F96" s="97" t="s">
        <v>2996</v>
      </c>
      <c r="G96" s="623"/>
      <c r="H96" s="630" t="s">
        <v>350</v>
      </c>
      <c r="I96" s="97" t="s">
        <v>2994</v>
      </c>
      <c r="K96" s="623"/>
      <c r="L96" s="393">
        <v>0</v>
      </c>
      <c r="M96" s="97" t="s">
        <v>2995</v>
      </c>
      <c r="N96" s="636"/>
      <c r="O96" s="97"/>
      <c r="P96" s="921" t="s">
        <v>5788</v>
      </c>
      <c r="Q96" s="624" t="s">
        <v>5685</v>
      </c>
      <c r="R96" s="623"/>
      <c r="S96" s="592">
        <v>0</v>
      </c>
      <c r="T96" s="624" t="s">
        <v>5675</v>
      </c>
      <c r="U96" s="623"/>
      <c r="V96" s="637">
        <v>0</v>
      </c>
      <c r="W96" s="624" t="s">
        <v>5746</v>
      </c>
      <c r="X96" s="623"/>
      <c r="Y96" s="623"/>
      <c r="Z96" s="921" t="s">
        <v>5788</v>
      </c>
      <c r="AA96" s="624" t="s">
        <v>5778</v>
      </c>
      <c r="AB96" s="623"/>
      <c r="AC96" s="592">
        <v>0</v>
      </c>
      <c r="AD96" s="624" t="s">
        <v>5779</v>
      </c>
      <c r="AE96" s="624"/>
      <c r="AF96" s="637">
        <v>0</v>
      </c>
      <c r="AG96" s="624" t="s">
        <v>5780</v>
      </c>
      <c r="AI96" s="206"/>
      <c r="AK96" s="205"/>
      <c r="AL96" s="623"/>
      <c r="AN96" s="623"/>
      <c r="AO96" s="623"/>
      <c r="AP96" s="623"/>
      <c r="AQ96" s="623"/>
      <c r="AR96" s="623"/>
      <c r="AS96" s="623"/>
      <c r="AT96" s="623"/>
      <c r="AU96" s="623"/>
      <c r="AV96" s="623"/>
      <c r="AW96" s="623"/>
    </row>
    <row r="97" spans="3:55" s="96" customFormat="1" ht="7.5" customHeight="1" thickBot="1">
      <c r="C97" s="623"/>
      <c r="D97" s="623"/>
      <c r="G97" s="623"/>
      <c r="H97" s="623"/>
      <c r="I97" s="97"/>
      <c r="K97" s="623"/>
      <c r="M97" s="97"/>
      <c r="N97" s="623"/>
      <c r="O97" s="97"/>
      <c r="P97" s="623"/>
      <c r="Q97" s="624"/>
      <c r="R97" s="623"/>
      <c r="S97" s="623"/>
      <c r="T97" s="623"/>
      <c r="U97" s="623"/>
      <c r="V97" s="623"/>
      <c r="W97" s="623"/>
      <c r="X97" s="623"/>
      <c r="Y97" s="623"/>
      <c r="Z97" s="623"/>
      <c r="AA97" s="624"/>
      <c r="AB97" s="623"/>
      <c r="AC97" s="623"/>
      <c r="AD97" s="623"/>
      <c r="AE97" s="623"/>
      <c r="AF97" s="623"/>
      <c r="AG97" s="623"/>
      <c r="AL97" s="623"/>
      <c r="AN97" s="623"/>
      <c r="AO97" s="623"/>
      <c r="AP97" s="623"/>
      <c r="AQ97" s="623"/>
      <c r="AR97" s="623"/>
      <c r="AS97" s="623"/>
      <c r="AT97" s="623"/>
      <c r="AU97" s="623"/>
      <c r="AV97" s="623"/>
      <c r="AW97" s="623"/>
    </row>
    <row r="98" spans="3:55" s="96" customFormat="1" ht="21.95" customHeight="1" thickBot="1">
      <c r="C98" s="623" t="s">
        <v>395</v>
      </c>
      <c r="D98" s="623"/>
      <c r="E98" s="204">
        <v>0</v>
      </c>
      <c r="F98" s="97" t="s">
        <v>2999</v>
      </c>
      <c r="G98" s="623"/>
      <c r="H98" s="630" t="s">
        <v>350</v>
      </c>
      <c r="I98" s="97" t="s">
        <v>2997</v>
      </c>
      <c r="K98" s="623"/>
      <c r="L98" s="393">
        <v>0</v>
      </c>
      <c r="M98" s="97" t="s">
        <v>2998</v>
      </c>
      <c r="N98" s="636"/>
      <c r="O98" s="97"/>
      <c r="P98" s="921" t="s">
        <v>5788</v>
      </c>
      <c r="Q98" s="624" t="s">
        <v>5686</v>
      </c>
      <c r="R98" s="623"/>
      <c r="S98" s="592">
        <v>0</v>
      </c>
      <c r="T98" s="624" t="s">
        <v>5676</v>
      </c>
      <c r="U98" s="623"/>
      <c r="V98" s="637">
        <v>0</v>
      </c>
      <c r="W98" s="624" t="s">
        <v>5747</v>
      </c>
      <c r="X98" s="623"/>
      <c r="Y98" s="623"/>
      <c r="Z98" s="921" t="s">
        <v>5788</v>
      </c>
      <c r="AA98" s="624" t="s">
        <v>5781</v>
      </c>
      <c r="AB98" s="623"/>
      <c r="AC98" s="592">
        <v>0</v>
      </c>
      <c r="AD98" s="624" t="s">
        <v>5782</v>
      </c>
      <c r="AE98" s="624"/>
      <c r="AF98" s="637">
        <v>0</v>
      </c>
      <c r="AG98" s="624" t="s">
        <v>5783</v>
      </c>
      <c r="AI98" s="206"/>
      <c r="AK98" s="205"/>
      <c r="AL98" s="623"/>
      <c r="AN98" s="623"/>
      <c r="AO98" s="623"/>
      <c r="AP98" s="623"/>
      <c r="AQ98" s="623"/>
      <c r="AR98" s="623"/>
      <c r="AS98" s="623"/>
      <c r="AT98" s="623"/>
      <c r="AU98" s="623"/>
      <c r="AV98" s="623"/>
      <c r="AW98" s="623"/>
    </row>
    <row r="99" spans="3:55" s="96" customFormat="1" ht="7.5" customHeight="1">
      <c r="C99" s="623"/>
      <c r="D99" s="623"/>
      <c r="E99" s="623"/>
      <c r="G99" s="623"/>
      <c r="H99" s="623"/>
      <c r="K99" s="623"/>
      <c r="N99" s="623"/>
      <c r="O99" s="97"/>
      <c r="T99" s="623"/>
      <c r="V99" s="517"/>
      <c r="W99" s="711"/>
      <c r="AA99" s="623"/>
      <c r="AC99" s="623"/>
      <c r="AD99" s="623"/>
      <c r="AE99" s="623"/>
      <c r="AF99" s="623"/>
      <c r="AG99" s="623"/>
      <c r="AL99" s="623"/>
      <c r="AO99" s="623"/>
      <c r="AP99" s="623"/>
      <c r="AQ99" s="623"/>
      <c r="AR99" s="623"/>
      <c r="AS99" s="623"/>
      <c r="AT99" s="623"/>
      <c r="AU99" s="623"/>
      <c r="AV99" s="623"/>
      <c r="AW99" s="623"/>
    </row>
    <row r="100" spans="3:55" s="96" customFormat="1" ht="21.95" customHeight="1">
      <c r="C100" s="631" t="s">
        <v>1404</v>
      </c>
      <c r="D100" s="631"/>
      <c r="E100" s="658"/>
      <c r="F100" s="631"/>
      <c r="G100" s="623"/>
      <c r="H100" s="658"/>
      <c r="I100" s="195"/>
      <c r="K100" s="631"/>
      <c r="L100" s="369"/>
      <c r="O100" s="97"/>
      <c r="P100" s="658"/>
      <c r="Q100" s="624"/>
      <c r="R100" s="631"/>
      <c r="S100" s="658"/>
      <c r="T100" s="623"/>
      <c r="V100" s="517"/>
      <c r="W100" s="711"/>
      <c r="AA100" s="623"/>
      <c r="AC100" s="623"/>
      <c r="AD100" s="623"/>
      <c r="AE100" s="623"/>
      <c r="AF100" s="623"/>
      <c r="AG100" s="623"/>
      <c r="AL100" s="623"/>
      <c r="AO100" s="623"/>
      <c r="AP100" s="623"/>
      <c r="AQ100" s="623"/>
      <c r="AR100" s="623"/>
      <c r="AS100" s="623"/>
      <c r="AT100" s="623"/>
      <c r="AU100" s="623"/>
      <c r="AV100" s="623"/>
      <c r="AW100" s="623"/>
    </row>
    <row r="101" spans="3:55" s="96" customFormat="1" ht="7.5" customHeight="1">
      <c r="C101" s="623"/>
      <c r="D101" s="623"/>
      <c r="E101" s="623"/>
      <c r="F101" s="623"/>
      <c r="G101" s="623"/>
      <c r="H101" s="623"/>
      <c r="K101" s="623"/>
      <c r="O101" s="97"/>
      <c r="P101" s="623"/>
      <c r="Q101" s="624"/>
      <c r="R101" s="623"/>
      <c r="S101" s="623"/>
      <c r="T101" s="623"/>
      <c r="V101" s="517"/>
      <c r="W101" s="711"/>
      <c r="AA101" s="623"/>
      <c r="AC101" s="623"/>
      <c r="AD101" s="623"/>
      <c r="AE101" s="623"/>
      <c r="AF101" s="623"/>
      <c r="AG101" s="623"/>
      <c r="AL101" s="623"/>
      <c r="AO101" s="623"/>
      <c r="AP101" s="623"/>
      <c r="AQ101" s="623"/>
      <c r="AR101" s="623"/>
      <c r="AS101" s="623"/>
      <c r="AT101" s="623"/>
      <c r="AU101" s="623"/>
      <c r="AV101" s="623"/>
      <c r="AW101" s="623"/>
    </row>
    <row r="102" spans="3:55" s="96" customFormat="1" ht="21.95" customHeight="1">
      <c r="C102" s="623"/>
      <c r="D102" s="623"/>
      <c r="E102" s="636"/>
      <c r="F102" s="623"/>
      <c r="G102" s="623"/>
      <c r="H102" s="857"/>
      <c r="K102" s="623"/>
      <c r="O102" s="97"/>
      <c r="P102" s="636"/>
      <c r="Q102" s="624"/>
      <c r="R102" s="623"/>
      <c r="S102" s="758"/>
      <c r="T102" s="623"/>
      <c r="V102" s="517"/>
      <c r="W102" s="711"/>
      <c r="AA102" s="623"/>
      <c r="AC102" s="623"/>
      <c r="AD102" s="623"/>
      <c r="AE102" s="623"/>
      <c r="AF102" s="623"/>
      <c r="AG102" s="623"/>
      <c r="AL102" s="623"/>
      <c r="AO102" s="623"/>
      <c r="AP102" s="623"/>
      <c r="AQ102" s="623"/>
      <c r="AR102" s="623"/>
      <c r="AS102" s="623"/>
      <c r="AT102" s="623"/>
      <c r="AU102" s="623"/>
      <c r="AV102" s="623"/>
      <c r="AW102" s="623"/>
    </row>
    <row r="103" spans="3:55" s="96" customFormat="1" ht="7.5" customHeight="1">
      <c r="C103" s="623"/>
      <c r="D103" s="623"/>
      <c r="H103" s="623"/>
      <c r="K103" s="623"/>
      <c r="N103" s="623"/>
      <c r="O103" s="97"/>
      <c r="T103" s="623"/>
      <c r="V103" s="517"/>
      <c r="W103" s="711"/>
      <c r="AA103" s="623"/>
      <c r="AC103" s="623"/>
      <c r="AD103" s="623"/>
      <c r="AE103" s="623"/>
      <c r="AF103" s="623"/>
      <c r="AG103" s="623"/>
      <c r="AL103" s="623"/>
      <c r="AO103" s="623"/>
      <c r="AP103" s="623"/>
      <c r="AQ103" s="623"/>
      <c r="AR103" s="623"/>
      <c r="AS103" s="623"/>
      <c r="AT103" s="623"/>
      <c r="AU103" s="623"/>
      <c r="AV103" s="623"/>
      <c r="AW103" s="623"/>
    </row>
    <row r="104" spans="3:55" s="623" customFormat="1" ht="21.95" customHeight="1">
      <c r="H104" s="636"/>
      <c r="L104" s="758"/>
      <c r="M104" s="758"/>
      <c r="O104" s="624"/>
      <c r="V104" s="711"/>
      <c r="W104" s="711"/>
    </row>
    <row r="105" spans="3:55" s="623" customFormat="1" ht="7.5" customHeight="1">
      <c r="O105" s="624"/>
      <c r="V105" s="711"/>
      <c r="W105" s="711"/>
    </row>
    <row r="106" spans="3:55" s="460" customFormat="1" ht="21.95" customHeight="1">
      <c r="C106" s="689"/>
      <c r="D106" s="689"/>
      <c r="H106" s="689"/>
      <c r="K106" s="689"/>
      <c r="N106" s="689"/>
      <c r="T106" s="689"/>
      <c r="W106" s="689"/>
      <c r="AA106" s="689"/>
      <c r="AC106" s="689"/>
      <c r="AD106" s="689"/>
      <c r="AE106" s="689"/>
      <c r="AF106" s="689"/>
      <c r="AG106" s="689"/>
      <c r="AO106" s="689"/>
      <c r="AP106" s="689"/>
      <c r="AQ106" s="689"/>
      <c r="AR106" s="689"/>
      <c r="AS106" s="689"/>
      <c r="AT106" s="689"/>
      <c r="AU106" s="689"/>
      <c r="AV106" s="689"/>
      <c r="AW106" s="689"/>
      <c r="AY106" s="759" t="s">
        <v>6604</v>
      </c>
    </row>
    <row r="107" spans="3:55" s="460" customFormat="1" ht="21.95" customHeight="1" thickBot="1">
      <c r="C107" s="689"/>
      <c r="D107" s="689"/>
      <c r="H107" s="689"/>
      <c r="K107" s="689"/>
      <c r="N107" s="689"/>
      <c r="T107" s="689"/>
      <c r="W107" s="689"/>
      <c r="AA107" s="689"/>
      <c r="AC107" s="689"/>
      <c r="AD107" s="689"/>
      <c r="AE107" s="689"/>
      <c r="AF107" s="689"/>
      <c r="AG107" s="689"/>
      <c r="AO107" s="689"/>
      <c r="AP107" s="689"/>
      <c r="AQ107" s="689"/>
      <c r="AR107" s="689"/>
      <c r="AS107" s="689"/>
      <c r="AT107" s="689"/>
      <c r="AU107" s="689"/>
      <c r="AV107" s="689"/>
      <c r="AW107" s="689"/>
    </row>
    <row r="108" spans="3:55" s="460" customFormat="1" ht="21.95" customHeight="1">
      <c r="C108" s="689"/>
      <c r="D108" s="689"/>
      <c r="H108" s="689"/>
      <c r="K108" s="689"/>
      <c r="N108" s="689"/>
      <c r="T108" s="689"/>
      <c r="W108" s="689"/>
      <c r="AA108" s="689"/>
      <c r="AC108" s="689"/>
      <c r="AD108" s="689"/>
      <c r="AE108" s="689"/>
      <c r="AF108" s="689"/>
      <c r="AG108" s="689"/>
      <c r="AO108" s="689"/>
      <c r="AP108" s="689"/>
      <c r="AQ108" s="689"/>
      <c r="AR108" s="689"/>
      <c r="AS108" s="689"/>
      <c r="AT108" s="689"/>
      <c r="AU108" s="689"/>
      <c r="AV108" s="689"/>
      <c r="AW108" s="689"/>
      <c r="AX108" s="760"/>
      <c r="AY108" s="768" t="s">
        <v>6605</v>
      </c>
      <c r="AZ108" s="761"/>
      <c r="BA108" s="762"/>
    </row>
    <row r="109" spans="3:55" s="460" customFormat="1" ht="21.95" customHeight="1">
      <c r="C109" s="689"/>
      <c r="D109" s="689"/>
      <c r="H109" s="689"/>
      <c r="K109" s="689"/>
      <c r="N109" s="689"/>
      <c r="T109" s="689"/>
      <c r="W109" s="689"/>
      <c r="AA109" s="689"/>
      <c r="AC109" s="689"/>
      <c r="AD109" s="689"/>
      <c r="AE109" s="689"/>
      <c r="AF109" s="689"/>
      <c r="AG109" s="689"/>
      <c r="AO109" s="689"/>
      <c r="AP109" s="689"/>
      <c r="AQ109" s="689"/>
      <c r="AR109" s="689"/>
      <c r="AS109" s="689"/>
      <c r="AT109" s="689"/>
      <c r="AU109" s="689"/>
      <c r="AV109" s="689"/>
      <c r="AW109" s="689"/>
      <c r="AX109" s="763"/>
      <c r="AY109" s="701" t="s">
        <v>6606</v>
      </c>
      <c r="AZ109" s="701"/>
      <c r="BA109" s="764"/>
    </row>
    <row r="110" spans="3:55" s="460" customFormat="1" ht="21.95" customHeight="1">
      <c r="C110" s="689"/>
      <c r="D110" s="689"/>
      <c r="H110" s="689"/>
      <c r="K110" s="689"/>
      <c r="N110" s="689"/>
      <c r="T110" s="689"/>
      <c r="W110" s="689"/>
      <c r="AA110" s="689"/>
      <c r="AC110" s="689"/>
      <c r="AD110" s="689"/>
      <c r="AE110" s="689"/>
      <c r="AF110" s="689"/>
      <c r="AG110" s="689"/>
      <c r="AO110" s="689"/>
      <c r="AP110" s="689"/>
      <c r="AQ110" s="689"/>
      <c r="AR110" s="689"/>
      <c r="AS110" s="689"/>
      <c r="AT110" s="689"/>
      <c r="AU110" s="689"/>
      <c r="AV110" s="689"/>
      <c r="AW110" s="689"/>
      <c r="AX110" s="763"/>
      <c r="AY110" s="701"/>
      <c r="AZ110" s="701"/>
      <c r="BA110" s="764"/>
    </row>
    <row r="111" spans="3:55" s="460" customFormat="1" ht="21.95" customHeight="1">
      <c r="C111" s="689"/>
      <c r="D111" s="689"/>
      <c r="H111" s="689"/>
      <c r="K111" s="689"/>
      <c r="N111" s="689"/>
      <c r="T111" s="689"/>
      <c r="W111" s="689"/>
      <c r="AA111" s="689"/>
      <c r="AC111" s="689"/>
      <c r="AD111" s="689"/>
      <c r="AE111" s="689"/>
      <c r="AF111" s="689"/>
      <c r="AG111" s="689"/>
      <c r="AO111" s="689"/>
      <c r="AP111" s="689"/>
      <c r="AQ111" s="689"/>
      <c r="AR111" s="689"/>
      <c r="AS111" s="689"/>
      <c r="AT111" s="689"/>
      <c r="AU111" s="689"/>
      <c r="AV111" s="689"/>
      <c r="AW111" s="689"/>
      <c r="AX111" s="763"/>
      <c r="AY111" s="701"/>
      <c r="AZ111" s="701" t="s">
        <v>583</v>
      </c>
      <c r="BA111" s="764"/>
      <c r="BC111" s="460" t="s">
        <v>6607</v>
      </c>
    </row>
    <row r="112" spans="3:55" s="460" customFormat="1" ht="21.95" customHeight="1">
      <c r="C112" s="689"/>
      <c r="D112" s="689"/>
      <c r="H112" s="689"/>
      <c r="K112" s="689"/>
      <c r="N112" s="689"/>
      <c r="T112" s="689"/>
      <c r="W112" s="689"/>
      <c r="AA112" s="689"/>
      <c r="AC112" s="689"/>
      <c r="AD112" s="689"/>
      <c r="AE112" s="689"/>
      <c r="AF112" s="689"/>
      <c r="AG112" s="689"/>
      <c r="AO112" s="689"/>
      <c r="AP112" s="689"/>
      <c r="AQ112" s="689"/>
      <c r="AR112" s="689"/>
      <c r="AS112" s="689"/>
      <c r="AT112" s="689"/>
      <c r="AU112" s="689">
        <f>tlOutputCh1Prod1Open</f>
        <v>1</v>
      </c>
      <c r="AV112" s="689"/>
      <c r="AW112" s="689"/>
      <c r="AX112" s="763"/>
      <c r="AY112" s="703">
        <v>1</v>
      </c>
      <c r="AZ112" s="701" t="s">
        <v>3021</v>
      </c>
      <c r="BA112" s="764"/>
      <c r="BC112" s="460">
        <f>IF(tlinputCh1Prod1Slot1Pack="Select pack",0,1)</f>
        <v>1</v>
      </c>
    </row>
    <row r="113" spans="3:55" s="460" customFormat="1" ht="21.95" customHeight="1">
      <c r="C113" s="689"/>
      <c r="D113" s="689"/>
      <c r="H113" s="689"/>
      <c r="K113" s="689"/>
      <c r="N113" s="689"/>
      <c r="T113" s="689"/>
      <c r="W113" s="689"/>
      <c r="AA113" s="689"/>
      <c r="AC113" s="689"/>
      <c r="AD113" s="689"/>
      <c r="AE113" s="689"/>
      <c r="AF113" s="689"/>
      <c r="AG113" s="689"/>
      <c r="AO113" s="689"/>
      <c r="AP113" s="689"/>
      <c r="AQ113" s="689"/>
      <c r="AR113" s="689"/>
      <c r="AS113" s="689"/>
      <c r="AT113" s="689"/>
      <c r="AU113" s="689">
        <f>tlOutputCh1Prod1Close</f>
        <v>0</v>
      </c>
      <c r="AV113" s="689"/>
      <c r="AW113" s="689"/>
      <c r="AX113" s="763"/>
      <c r="AY113" s="703">
        <v>0</v>
      </c>
      <c r="AZ113" s="701" t="s">
        <v>3022</v>
      </c>
      <c r="BA113" s="764"/>
      <c r="BC113" s="689">
        <f>IF(tlinputCh1Prod1Slot2Pack="Select pack",0,1)</f>
        <v>0</v>
      </c>
    </row>
    <row r="114" spans="3:55" s="460" customFormat="1" ht="21.95" customHeight="1">
      <c r="C114" s="689"/>
      <c r="D114" s="689"/>
      <c r="H114" s="689"/>
      <c r="K114" s="689"/>
      <c r="N114" s="689"/>
      <c r="T114" s="689"/>
      <c r="W114" s="689"/>
      <c r="AA114" s="689"/>
      <c r="AC114" s="689"/>
      <c r="AD114" s="689"/>
      <c r="AE114" s="689"/>
      <c r="AF114" s="689"/>
      <c r="AG114" s="689"/>
      <c r="AO114" s="689"/>
      <c r="AP114" s="689"/>
      <c r="AQ114" s="689"/>
      <c r="AR114" s="689"/>
      <c r="AS114" s="689"/>
      <c r="AT114" s="689"/>
      <c r="AV114" s="689"/>
      <c r="AW114" s="689"/>
      <c r="AX114" s="763"/>
      <c r="AY114" s="703">
        <v>0</v>
      </c>
      <c r="AZ114" s="701" t="s">
        <v>3023</v>
      </c>
      <c r="BA114" s="764"/>
      <c r="BC114" s="689">
        <f>IF(tlinputCh1Prod1Slot3Pack="Select pack",0,1)</f>
        <v>0</v>
      </c>
    </row>
    <row r="115" spans="3:55" s="460" customFormat="1" ht="21.95" customHeight="1">
      <c r="C115" s="689"/>
      <c r="D115" s="689"/>
      <c r="H115" s="689"/>
      <c r="K115" s="689"/>
      <c r="N115" s="689"/>
      <c r="T115" s="689"/>
      <c r="W115" s="689"/>
      <c r="AA115" s="689"/>
      <c r="AC115" s="689"/>
      <c r="AD115" s="689"/>
      <c r="AE115" s="689"/>
      <c r="AF115" s="689"/>
      <c r="AG115" s="689"/>
      <c r="AO115" s="689"/>
      <c r="AP115" s="689"/>
      <c r="AQ115" s="689"/>
      <c r="AR115" s="689"/>
      <c r="AS115" s="689"/>
      <c r="AT115" s="689"/>
      <c r="AU115" s="689">
        <f>tlOutputCh1Prod2Open</f>
        <v>1</v>
      </c>
      <c r="AV115" s="689"/>
      <c r="AW115" s="689"/>
      <c r="AX115" s="763"/>
      <c r="AY115" s="703">
        <v>1</v>
      </c>
      <c r="AZ115" s="701" t="s">
        <v>3024</v>
      </c>
      <c r="BA115" s="764"/>
      <c r="BC115" s="460">
        <f>IF(tlinputCh1Prod2Slot1Pack="Select pack",0,1)</f>
        <v>1</v>
      </c>
    </row>
    <row r="116" spans="3:55" s="460" customFormat="1" ht="21.95" customHeight="1">
      <c r="C116" s="689"/>
      <c r="D116" s="689"/>
      <c r="H116" s="689"/>
      <c r="K116" s="689"/>
      <c r="N116" s="689"/>
      <c r="T116" s="689"/>
      <c r="W116" s="689"/>
      <c r="AA116" s="689"/>
      <c r="AC116" s="689"/>
      <c r="AD116" s="689"/>
      <c r="AE116" s="689"/>
      <c r="AF116" s="689"/>
      <c r="AG116" s="689"/>
      <c r="AO116" s="689"/>
      <c r="AP116" s="689"/>
      <c r="AQ116" s="689"/>
      <c r="AR116" s="689"/>
      <c r="AS116" s="689"/>
      <c r="AT116" s="689"/>
      <c r="AU116" s="689">
        <f>tlOutputCh1Prod2Close</f>
        <v>0</v>
      </c>
      <c r="AV116" s="689"/>
      <c r="AW116" s="689"/>
      <c r="AX116" s="763"/>
      <c r="AY116" s="703">
        <v>1</v>
      </c>
      <c r="AZ116" s="701" t="s">
        <v>3025</v>
      </c>
      <c r="BA116" s="764"/>
      <c r="BC116" s="460">
        <f>IF(tlinputCh1Prod2Slot2Pack="Select pack",0,1)</f>
        <v>1</v>
      </c>
    </row>
    <row r="117" spans="3:55" s="460" customFormat="1" ht="21.95" customHeight="1">
      <c r="C117" s="689"/>
      <c r="D117" s="689"/>
      <c r="H117" s="689"/>
      <c r="K117" s="689"/>
      <c r="N117" s="689"/>
      <c r="T117" s="689"/>
      <c r="W117" s="689"/>
      <c r="AA117" s="689"/>
      <c r="AC117" s="689"/>
      <c r="AD117" s="689"/>
      <c r="AE117" s="689"/>
      <c r="AF117" s="689"/>
      <c r="AG117" s="689"/>
      <c r="AO117" s="689"/>
      <c r="AP117" s="689"/>
      <c r="AQ117" s="689"/>
      <c r="AR117" s="689"/>
      <c r="AS117" s="689"/>
      <c r="AT117" s="689"/>
      <c r="AV117" s="689"/>
      <c r="AW117" s="689"/>
      <c r="AX117" s="763"/>
      <c r="AY117" s="703">
        <v>0</v>
      </c>
      <c r="AZ117" s="701" t="s">
        <v>3026</v>
      </c>
      <c r="BA117" s="764"/>
      <c r="BC117" s="460">
        <f>IF(tlinputCh1Prod2Slot3Pack="Select pack",0,1)</f>
        <v>0</v>
      </c>
    </row>
    <row r="118" spans="3:55" s="460" customFormat="1" ht="21.95" customHeight="1">
      <c r="C118" s="689"/>
      <c r="D118" s="689"/>
      <c r="H118" s="689"/>
      <c r="K118" s="689"/>
      <c r="N118" s="689"/>
      <c r="T118" s="689"/>
      <c r="W118" s="689"/>
      <c r="AA118" s="689"/>
      <c r="AC118" s="689"/>
      <c r="AD118" s="689"/>
      <c r="AE118" s="689"/>
      <c r="AF118" s="689"/>
      <c r="AG118" s="689"/>
      <c r="AO118" s="689"/>
      <c r="AP118" s="689"/>
      <c r="AQ118" s="689"/>
      <c r="AR118" s="689"/>
      <c r="AS118" s="689"/>
      <c r="AT118" s="689"/>
      <c r="AU118" s="689">
        <f>tlOutputCh1Prod3Open</f>
        <v>1</v>
      </c>
      <c r="AV118" s="689"/>
      <c r="AW118" s="689"/>
      <c r="AX118" s="763"/>
      <c r="AY118" s="703">
        <v>1</v>
      </c>
      <c r="AZ118" s="701" t="s">
        <v>3027</v>
      </c>
      <c r="BA118" s="764"/>
      <c r="BC118" s="460">
        <f>IF(tlinputCh1Prod3Slot1Pack="Select pack",0,1)</f>
        <v>1</v>
      </c>
    </row>
    <row r="119" spans="3:55" s="460" customFormat="1" ht="21.95" customHeight="1">
      <c r="C119" s="689"/>
      <c r="D119" s="689"/>
      <c r="H119" s="689"/>
      <c r="K119" s="689"/>
      <c r="N119" s="689"/>
      <c r="T119" s="689"/>
      <c r="W119" s="689"/>
      <c r="AA119" s="689"/>
      <c r="AC119" s="689"/>
      <c r="AD119" s="689"/>
      <c r="AE119" s="689"/>
      <c r="AF119" s="689"/>
      <c r="AG119" s="689"/>
      <c r="AO119" s="689"/>
      <c r="AP119" s="689"/>
      <c r="AQ119" s="689"/>
      <c r="AR119" s="689"/>
      <c r="AS119" s="689"/>
      <c r="AT119" s="689"/>
      <c r="AU119" s="689">
        <f>tlOutputCh1Prod3Close</f>
        <v>0</v>
      </c>
      <c r="AV119" s="689"/>
      <c r="AW119" s="689"/>
      <c r="AX119" s="763"/>
      <c r="AY119" s="703">
        <v>1</v>
      </c>
      <c r="AZ119" s="701" t="s">
        <v>3028</v>
      </c>
      <c r="BA119" s="764"/>
      <c r="BC119" s="460">
        <f>IF(tlinputCh1Prod3Slot2Pack="Select pack",0,1)</f>
        <v>1</v>
      </c>
    </row>
    <row r="120" spans="3:55" s="460" customFormat="1" ht="21.95" customHeight="1">
      <c r="C120" s="689"/>
      <c r="D120" s="689"/>
      <c r="H120" s="689"/>
      <c r="K120" s="689"/>
      <c r="N120" s="689"/>
      <c r="T120" s="689"/>
      <c r="W120" s="689"/>
      <c r="AA120" s="689"/>
      <c r="AC120" s="689"/>
      <c r="AD120" s="689"/>
      <c r="AE120" s="689"/>
      <c r="AF120" s="689"/>
      <c r="AG120" s="689"/>
      <c r="AO120" s="689"/>
      <c r="AP120" s="689"/>
      <c r="AQ120" s="689"/>
      <c r="AR120" s="689"/>
      <c r="AS120" s="689"/>
      <c r="AT120" s="689"/>
      <c r="AV120" s="689"/>
      <c r="AW120" s="689"/>
      <c r="AX120" s="763"/>
      <c r="AY120" s="703">
        <v>0</v>
      </c>
      <c r="AZ120" s="701" t="s">
        <v>3029</v>
      </c>
      <c r="BA120" s="764"/>
      <c r="BC120" s="460">
        <f>IF(tlinputCh1Prod3Slot3Pack="Select pack",0,1)</f>
        <v>0</v>
      </c>
    </row>
    <row r="121" spans="3:55" s="460" customFormat="1" ht="21.95" customHeight="1">
      <c r="C121" s="689"/>
      <c r="D121" s="689"/>
      <c r="H121" s="689"/>
      <c r="K121" s="689"/>
      <c r="N121" s="689"/>
      <c r="T121" s="689"/>
      <c r="W121" s="689"/>
      <c r="AA121" s="689"/>
      <c r="AC121" s="689"/>
      <c r="AD121" s="689"/>
      <c r="AE121" s="689"/>
      <c r="AF121" s="689"/>
      <c r="AG121" s="689"/>
      <c r="AO121" s="689"/>
      <c r="AP121" s="689"/>
      <c r="AQ121" s="689"/>
      <c r="AR121" s="689"/>
      <c r="AS121" s="689"/>
      <c r="AT121" s="689"/>
      <c r="AU121" s="689">
        <f>tlOutputCh1Prod4Open</f>
        <v>1</v>
      </c>
      <c r="AV121" s="689"/>
      <c r="AW121" s="689"/>
      <c r="AX121" s="763"/>
      <c r="AY121" s="703">
        <v>0</v>
      </c>
      <c r="AZ121" s="701" t="s">
        <v>3030</v>
      </c>
      <c r="BA121" s="764"/>
      <c r="BC121" s="460">
        <f>IF(tlinputCh1Prod4Slot1Pack="Select pack",0,1)</f>
        <v>0</v>
      </c>
    </row>
    <row r="122" spans="3:55" s="460" customFormat="1" ht="21.95" customHeight="1">
      <c r="C122" s="689"/>
      <c r="D122" s="689"/>
      <c r="H122" s="689"/>
      <c r="K122" s="689"/>
      <c r="N122" s="689"/>
      <c r="T122" s="689"/>
      <c r="W122" s="689"/>
      <c r="AA122" s="689"/>
      <c r="AC122" s="689"/>
      <c r="AD122" s="689"/>
      <c r="AE122" s="689"/>
      <c r="AF122" s="689"/>
      <c r="AG122" s="689"/>
      <c r="AO122" s="689"/>
      <c r="AP122" s="689"/>
      <c r="AQ122" s="689"/>
      <c r="AR122" s="689"/>
      <c r="AS122" s="689"/>
      <c r="AT122" s="689"/>
      <c r="AU122" s="689">
        <f>tlOutputCh1Prod4Close</f>
        <v>0</v>
      </c>
      <c r="AV122" s="689"/>
      <c r="AW122" s="689"/>
      <c r="AX122" s="763"/>
      <c r="AY122" s="703">
        <v>0</v>
      </c>
      <c r="AZ122" s="701" t="s">
        <v>3031</v>
      </c>
      <c r="BA122" s="764"/>
      <c r="BC122" s="460">
        <f>IF(tlinputCh1Prod4Slot2Pack="Select pack",0,1)</f>
        <v>0</v>
      </c>
    </row>
    <row r="123" spans="3:55" s="460" customFormat="1" ht="21.95" customHeight="1">
      <c r="C123" s="689"/>
      <c r="D123" s="689"/>
      <c r="H123" s="689"/>
      <c r="K123" s="689"/>
      <c r="N123" s="689"/>
      <c r="T123" s="689"/>
      <c r="W123" s="689"/>
      <c r="AA123" s="689"/>
      <c r="AC123" s="689"/>
      <c r="AD123" s="689"/>
      <c r="AE123" s="689"/>
      <c r="AF123" s="689"/>
      <c r="AG123" s="689"/>
      <c r="AO123" s="689"/>
      <c r="AP123" s="689"/>
      <c r="AQ123" s="689"/>
      <c r="AR123" s="689"/>
      <c r="AS123" s="689"/>
      <c r="AT123" s="689"/>
      <c r="AU123" s="689"/>
      <c r="AV123" s="689"/>
      <c r="AW123" s="689"/>
      <c r="AX123" s="763"/>
      <c r="AY123" s="703">
        <v>0</v>
      </c>
      <c r="AZ123" s="701" t="s">
        <v>3032</v>
      </c>
      <c r="BA123" s="764"/>
      <c r="BC123" s="460">
        <f>IF(tlinputCh1Prod4Slot3Pack="Select pack",0,1)</f>
        <v>0</v>
      </c>
    </row>
    <row r="124" spans="3:55" s="460" customFormat="1" ht="21.95" customHeight="1" thickBot="1">
      <c r="C124" s="689"/>
      <c r="D124" s="689"/>
      <c r="H124" s="689"/>
      <c r="K124" s="689"/>
      <c r="N124" s="689"/>
      <c r="T124" s="689"/>
      <c r="W124" s="689"/>
      <c r="AA124" s="689"/>
      <c r="AC124" s="689"/>
      <c r="AD124" s="689"/>
      <c r="AE124" s="689"/>
      <c r="AF124" s="689"/>
      <c r="AG124" s="689"/>
      <c r="AO124" s="689"/>
      <c r="AP124" s="689"/>
      <c r="AQ124" s="689"/>
      <c r="AR124" s="689"/>
      <c r="AS124" s="689"/>
      <c r="AT124" s="689"/>
      <c r="AU124" s="689"/>
      <c r="AV124" s="689"/>
      <c r="AW124" s="689"/>
      <c r="AX124" s="765"/>
      <c r="AY124" s="766"/>
      <c r="AZ124" s="766"/>
      <c r="BA124" s="767"/>
    </row>
    <row r="125" spans="3:55" s="460" customFormat="1" ht="21.95" customHeight="1" thickBot="1">
      <c r="C125" s="689"/>
      <c r="D125" s="689"/>
      <c r="H125" s="689"/>
      <c r="K125" s="689"/>
      <c r="N125" s="689"/>
      <c r="T125" s="689"/>
      <c r="W125" s="689"/>
      <c r="AA125" s="689"/>
      <c r="AC125" s="689"/>
      <c r="AD125" s="689"/>
      <c r="AE125" s="689"/>
      <c r="AF125" s="689"/>
      <c r="AG125" s="689"/>
      <c r="AO125" s="689"/>
      <c r="AP125" s="689"/>
      <c r="AQ125" s="689"/>
      <c r="AR125" s="689"/>
      <c r="AS125" s="689"/>
      <c r="AT125" s="689"/>
      <c r="AU125" s="689"/>
      <c r="AV125" s="689"/>
      <c r="AW125" s="689"/>
    </row>
    <row r="126" spans="3:55" s="460" customFormat="1" ht="21.95" customHeight="1">
      <c r="C126" s="689"/>
      <c r="D126" s="689"/>
      <c r="H126" s="689"/>
      <c r="K126" s="689"/>
      <c r="N126" s="689"/>
      <c r="T126" s="689"/>
      <c r="W126" s="689"/>
      <c r="AA126" s="689"/>
      <c r="AC126" s="689"/>
      <c r="AD126" s="689"/>
      <c r="AE126" s="689"/>
      <c r="AF126" s="689"/>
      <c r="AG126" s="689"/>
      <c r="AO126" s="689"/>
      <c r="AP126" s="689"/>
      <c r="AQ126" s="689"/>
      <c r="AR126" s="689"/>
      <c r="AS126" s="689"/>
      <c r="AT126" s="689"/>
      <c r="AU126" s="689"/>
      <c r="AV126" s="689"/>
      <c r="AW126" s="689"/>
      <c r="AX126" s="760"/>
      <c r="AY126" s="768" t="s">
        <v>6608</v>
      </c>
      <c r="AZ126" s="761"/>
      <c r="BA126" s="762"/>
    </row>
    <row r="127" spans="3:55" s="460" customFormat="1" ht="21.95" customHeight="1">
      <c r="C127" s="689"/>
      <c r="D127" s="689"/>
      <c r="H127" s="689"/>
      <c r="K127" s="689"/>
      <c r="N127" s="689"/>
      <c r="T127" s="689"/>
      <c r="W127" s="689"/>
      <c r="AA127" s="689"/>
      <c r="AC127" s="689"/>
      <c r="AD127" s="689"/>
      <c r="AE127" s="689"/>
      <c r="AF127" s="689"/>
      <c r="AG127" s="689"/>
      <c r="AO127" s="689"/>
      <c r="AP127" s="689"/>
      <c r="AQ127" s="689"/>
      <c r="AR127" s="689"/>
      <c r="AS127" s="689"/>
      <c r="AT127" s="689"/>
      <c r="AU127" s="689"/>
      <c r="AV127" s="689"/>
      <c r="AW127" s="689"/>
      <c r="AX127" s="763"/>
      <c r="AY127" s="701" t="s">
        <v>6606</v>
      </c>
      <c r="AZ127" s="701"/>
      <c r="BA127" s="764"/>
    </row>
    <row r="128" spans="3:55" s="460" customFormat="1" ht="21.95" customHeight="1">
      <c r="C128" s="689"/>
      <c r="D128" s="689"/>
      <c r="H128" s="689"/>
      <c r="K128" s="689"/>
      <c r="N128" s="689"/>
      <c r="T128" s="689"/>
      <c r="W128" s="689"/>
      <c r="AA128" s="689"/>
      <c r="AC128" s="689"/>
      <c r="AD128" s="689"/>
      <c r="AE128" s="689"/>
      <c r="AF128" s="689"/>
      <c r="AG128" s="689"/>
      <c r="AO128" s="689"/>
      <c r="AP128" s="689"/>
      <c r="AQ128" s="689"/>
      <c r="AR128" s="689"/>
      <c r="AS128" s="689"/>
      <c r="AT128" s="689"/>
      <c r="AU128" s="689"/>
      <c r="AV128" s="689"/>
      <c r="AW128" s="689"/>
      <c r="AX128" s="763"/>
      <c r="AY128" s="701"/>
      <c r="AZ128" s="701"/>
      <c r="BA128" s="764"/>
    </row>
    <row r="129" spans="3:56" s="460" customFormat="1" ht="21.95" customHeight="1">
      <c r="C129" s="689"/>
      <c r="D129" s="689"/>
      <c r="H129" s="689"/>
      <c r="K129" s="689"/>
      <c r="N129" s="689"/>
      <c r="T129" s="689"/>
      <c r="W129" s="689"/>
      <c r="AA129" s="689"/>
      <c r="AC129" s="689"/>
      <c r="AD129" s="689"/>
      <c r="AE129" s="689"/>
      <c r="AF129" s="689"/>
      <c r="AG129" s="689"/>
      <c r="AO129" s="689"/>
      <c r="AP129" s="689"/>
      <c r="AQ129" s="689"/>
      <c r="AR129" s="689"/>
      <c r="AS129" s="689"/>
      <c r="AT129" s="689"/>
      <c r="AU129" s="689"/>
      <c r="AV129" s="689"/>
      <c r="AW129" s="689"/>
      <c r="AX129" s="763"/>
      <c r="AY129" s="701"/>
      <c r="AZ129" s="701" t="s">
        <v>583</v>
      </c>
      <c r="BA129" s="764"/>
    </row>
    <row r="130" spans="3:56" s="460" customFormat="1" ht="21.95" customHeight="1">
      <c r="C130" s="689"/>
      <c r="D130" s="689"/>
      <c r="H130" s="689"/>
      <c r="K130" s="689"/>
      <c r="N130" s="689"/>
      <c r="T130" s="689"/>
      <c r="W130" s="689"/>
      <c r="AA130" s="689"/>
      <c r="AC130" s="689"/>
      <c r="AD130" s="689"/>
      <c r="AE130" s="689"/>
      <c r="AF130" s="689"/>
      <c r="AG130" s="689"/>
      <c r="AO130" s="689"/>
      <c r="AP130" s="689"/>
      <c r="AQ130" s="689"/>
      <c r="AR130" s="689"/>
      <c r="AS130" s="689"/>
      <c r="AT130" s="689"/>
      <c r="AU130" s="689"/>
      <c r="AV130" s="689"/>
      <c r="AW130" s="689"/>
      <c r="AX130" s="763"/>
      <c r="AY130" s="703">
        <v>0</v>
      </c>
      <c r="AZ130" s="701" t="s">
        <v>6609</v>
      </c>
      <c r="BA130" s="764"/>
    </row>
    <row r="131" spans="3:56" s="460" customFormat="1" ht="21.95" customHeight="1">
      <c r="C131" s="689"/>
      <c r="D131" s="689"/>
      <c r="H131" s="689"/>
      <c r="K131" s="689"/>
      <c r="N131" s="689"/>
      <c r="T131" s="689"/>
      <c r="W131" s="689"/>
      <c r="AA131" s="689"/>
      <c r="AC131" s="689"/>
      <c r="AD131" s="689"/>
      <c r="AE131" s="689"/>
      <c r="AF131" s="689"/>
      <c r="AG131" s="689"/>
      <c r="AO131" s="689"/>
      <c r="AP131" s="689"/>
      <c r="AQ131" s="689"/>
      <c r="AR131" s="689"/>
      <c r="AS131" s="689"/>
      <c r="AT131" s="689"/>
      <c r="AU131" s="689"/>
      <c r="AV131" s="689"/>
      <c r="AW131" s="689"/>
      <c r="AX131" s="763"/>
      <c r="AY131" s="703">
        <v>0</v>
      </c>
      <c r="AZ131" s="701" t="s">
        <v>6610</v>
      </c>
      <c r="BA131" s="764"/>
    </row>
    <row r="132" spans="3:56" s="460" customFormat="1" ht="21.95" customHeight="1">
      <c r="C132" s="689"/>
      <c r="D132" s="689"/>
      <c r="H132" s="689"/>
      <c r="K132" s="689"/>
      <c r="N132" s="689"/>
      <c r="T132" s="689"/>
      <c r="W132" s="689"/>
      <c r="AA132" s="689"/>
      <c r="AC132" s="689"/>
      <c r="AD132" s="689"/>
      <c r="AE132" s="689"/>
      <c r="AF132" s="689"/>
      <c r="AG132" s="689"/>
      <c r="AO132" s="689"/>
      <c r="AP132" s="689"/>
      <c r="AQ132" s="689"/>
      <c r="AR132" s="689"/>
      <c r="AS132" s="689"/>
      <c r="AT132" s="689"/>
      <c r="AU132" s="689"/>
      <c r="AV132" s="689"/>
      <c r="AW132" s="689"/>
      <c r="AX132" s="763"/>
      <c r="AY132" s="703">
        <v>0</v>
      </c>
      <c r="AZ132" s="701" t="s">
        <v>6614</v>
      </c>
      <c r="BA132" s="764"/>
    </row>
    <row r="133" spans="3:56" s="460" customFormat="1" ht="21.95" customHeight="1">
      <c r="C133" s="689"/>
      <c r="D133" s="689"/>
      <c r="H133" s="689"/>
      <c r="K133" s="689"/>
      <c r="N133" s="689"/>
      <c r="T133" s="689"/>
      <c r="W133" s="689"/>
      <c r="AA133" s="689"/>
      <c r="AC133" s="689"/>
      <c r="AD133" s="689"/>
      <c r="AE133" s="689"/>
      <c r="AF133" s="689"/>
      <c r="AG133" s="689"/>
      <c r="AO133" s="689"/>
      <c r="AP133" s="689"/>
      <c r="AQ133" s="689"/>
      <c r="AR133" s="689"/>
      <c r="AS133" s="689"/>
      <c r="AT133" s="689"/>
      <c r="AU133" s="689"/>
      <c r="AV133" s="689"/>
      <c r="AW133" s="689"/>
      <c r="AX133" s="763"/>
      <c r="AY133" s="703">
        <v>0</v>
      </c>
      <c r="AZ133" s="701" t="s">
        <v>6613</v>
      </c>
      <c r="BA133" s="764"/>
    </row>
    <row r="134" spans="3:56" s="460" customFormat="1" ht="21.95" customHeight="1">
      <c r="C134" s="689"/>
      <c r="D134" s="689"/>
      <c r="H134" s="689"/>
      <c r="K134" s="689"/>
      <c r="N134" s="689"/>
      <c r="T134" s="689"/>
      <c r="W134" s="689"/>
      <c r="AA134" s="689"/>
      <c r="AC134" s="689"/>
      <c r="AD134" s="689"/>
      <c r="AE134" s="689"/>
      <c r="AF134" s="689"/>
      <c r="AG134" s="689"/>
      <c r="AO134" s="689"/>
      <c r="AP134" s="689"/>
      <c r="AQ134" s="689"/>
      <c r="AR134" s="689"/>
      <c r="AS134" s="689"/>
      <c r="AT134" s="689"/>
      <c r="AU134" s="689"/>
      <c r="AV134" s="689"/>
      <c r="AW134" s="689"/>
      <c r="AX134" s="763"/>
      <c r="AY134" s="703">
        <v>0</v>
      </c>
      <c r="AZ134" s="701" t="s">
        <v>6612</v>
      </c>
      <c r="BA134" s="764"/>
    </row>
    <row r="135" spans="3:56" s="460" customFormat="1" ht="21.95" customHeight="1">
      <c r="C135" s="689"/>
      <c r="D135" s="689"/>
      <c r="H135" s="689"/>
      <c r="K135" s="689"/>
      <c r="N135" s="689"/>
      <c r="T135" s="689"/>
      <c r="W135" s="689"/>
      <c r="AA135" s="689"/>
      <c r="AC135" s="689"/>
      <c r="AD135" s="689"/>
      <c r="AE135" s="689"/>
      <c r="AF135" s="689"/>
      <c r="AG135" s="689"/>
      <c r="AO135" s="689"/>
      <c r="AP135" s="689"/>
      <c r="AQ135" s="689"/>
      <c r="AR135" s="689"/>
      <c r="AS135" s="689"/>
      <c r="AT135" s="689"/>
      <c r="AU135" s="689"/>
      <c r="AV135" s="689"/>
      <c r="AW135" s="689"/>
      <c r="AX135" s="763"/>
      <c r="AY135" s="703">
        <v>0</v>
      </c>
      <c r="AZ135" s="701" t="s">
        <v>6611</v>
      </c>
      <c r="BA135" s="764"/>
    </row>
    <row r="136" spans="3:56" s="460" customFormat="1" ht="21.95" customHeight="1" thickBot="1">
      <c r="C136" s="689"/>
      <c r="D136" s="689"/>
      <c r="H136" s="689"/>
      <c r="K136" s="689"/>
      <c r="N136" s="689"/>
      <c r="T136" s="689"/>
      <c r="W136" s="689"/>
      <c r="AA136" s="689"/>
      <c r="AC136" s="689"/>
      <c r="AD136" s="689"/>
      <c r="AE136" s="689"/>
      <c r="AF136" s="689"/>
      <c r="AG136" s="689"/>
      <c r="AO136" s="689"/>
      <c r="AP136" s="689"/>
      <c r="AQ136" s="689"/>
      <c r="AR136" s="689"/>
      <c r="AS136" s="689"/>
      <c r="AT136" s="689"/>
      <c r="AU136" s="689"/>
      <c r="AV136" s="689"/>
      <c r="AW136" s="689"/>
      <c r="AX136" s="765"/>
      <c r="AY136" s="766"/>
      <c r="AZ136" s="766"/>
      <c r="BA136" s="767"/>
    </row>
    <row r="137" spans="3:56" s="460" customFormat="1" ht="21.95" customHeight="1">
      <c r="C137" s="689"/>
      <c r="D137" s="689"/>
      <c r="H137" s="689"/>
      <c r="K137" s="689"/>
      <c r="N137" s="689"/>
      <c r="T137" s="689"/>
      <c r="W137" s="689"/>
      <c r="AA137" s="689"/>
      <c r="AC137" s="689"/>
      <c r="AD137" s="689"/>
      <c r="AE137" s="689"/>
      <c r="AF137" s="689"/>
      <c r="AG137" s="689"/>
      <c r="AO137" s="689"/>
      <c r="AP137" s="689"/>
      <c r="AQ137" s="689"/>
      <c r="AR137" s="689"/>
      <c r="AS137" s="689"/>
      <c r="AT137" s="689"/>
      <c r="AU137" s="689"/>
      <c r="AV137" s="689"/>
      <c r="AW137" s="689"/>
      <c r="AX137" s="689"/>
      <c r="AY137" s="689"/>
      <c r="AZ137" s="689"/>
      <c r="BA137" s="689"/>
      <c r="BB137" s="689"/>
      <c r="BC137" s="689"/>
      <c r="BD137" s="689"/>
    </row>
    <row r="138" spans="3:56" s="460" customFormat="1" ht="21.95" customHeight="1">
      <c r="C138" s="689"/>
      <c r="D138" s="689"/>
      <c r="H138" s="689"/>
      <c r="K138" s="689"/>
      <c r="N138" s="689"/>
      <c r="T138" s="689"/>
      <c r="W138" s="689"/>
      <c r="AA138" s="689"/>
      <c r="AC138" s="689"/>
      <c r="AD138" s="689"/>
      <c r="AE138" s="689"/>
      <c r="AF138" s="689"/>
      <c r="AG138" s="689"/>
      <c r="AO138" s="689"/>
      <c r="AP138" s="689"/>
      <c r="AQ138" s="689"/>
      <c r="AR138" s="689"/>
      <c r="AS138" s="689"/>
      <c r="AT138" s="689"/>
      <c r="AU138" s="689"/>
      <c r="AV138" s="689"/>
      <c r="AW138" s="689"/>
      <c r="AX138" s="689"/>
      <c r="AY138" s="689"/>
      <c r="AZ138" s="689"/>
      <c r="BA138" s="689"/>
      <c r="BB138" s="689"/>
      <c r="BC138" s="689"/>
      <c r="BD138" s="689"/>
    </row>
    <row r="139" spans="3:56" s="460" customFormat="1" ht="21.95" customHeight="1">
      <c r="C139" s="689"/>
      <c r="D139" s="689"/>
      <c r="H139" s="689"/>
      <c r="K139" s="689"/>
      <c r="N139" s="689"/>
      <c r="T139" s="689"/>
      <c r="W139" s="689"/>
      <c r="AA139" s="689"/>
      <c r="AC139" s="689"/>
      <c r="AD139" s="689"/>
      <c r="AE139" s="689"/>
      <c r="AF139" s="689"/>
      <c r="AG139" s="689"/>
      <c r="AO139" s="689"/>
      <c r="AP139" s="689"/>
      <c r="AQ139" s="689"/>
      <c r="AR139" s="689"/>
      <c r="AS139" s="689"/>
      <c r="AT139" s="689"/>
      <c r="AU139" s="689"/>
      <c r="AV139" s="689"/>
      <c r="AW139" s="689"/>
      <c r="AX139" s="689"/>
      <c r="AY139" s="689"/>
      <c r="AZ139" s="689"/>
      <c r="BA139" s="689"/>
      <c r="BB139" s="689"/>
      <c r="BC139" s="689"/>
      <c r="BD139" s="689"/>
    </row>
    <row r="140" spans="3:56" s="460" customFormat="1" ht="21.95" customHeight="1">
      <c r="C140" s="689"/>
      <c r="D140" s="689"/>
      <c r="H140" s="689"/>
      <c r="K140" s="689"/>
      <c r="N140" s="689"/>
      <c r="T140" s="689"/>
      <c r="W140" s="689"/>
      <c r="AA140" s="689"/>
      <c r="AC140" s="689"/>
      <c r="AD140" s="689"/>
      <c r="AE140" s="689"/>
      <c r="AF140" s="689"/>
      <c r="AG140" s="689"/>
      <c r="AO140" s="689"/>
      <c r="AP140" s="689"/>
      <c r="AQ140" s="689"/>
      <c r="AR140" s="689"/>
      <c r="AS140" s="689"/>
      <c r="AT140" s="689"/>
      <c r="AU140" s="689"/>
      <c r="AV140" s="689"/>
      <c r="AW140" s="689"/>
      <c r="AX140" s="689"/>
      <c r="AY140" s="689"/>
      <c r="AZ140" s="689"/>
      <c r="BA140" s="689"/>
      <c r="BB140" s="689"/>
      <c r="BC140" s="689"/>
      <c r="BD140" s="689"/>
    </row>
    <row r="141" spans="3:56" s="460" customFormat="1" ht="21.95" customHeight="1">
      <c r="C141" s="689"/>
      <c r="D141" s="689"/>
      <c r="H141" s="689"/>
      <c r="K141" s="689"/>
      <c r="N141" s="689"/>
      <c r="T141" s="689"/>
      <c r="W141" s="689"/>
      <c r="AA141" s="689"/>
      <c r="AC141" s="689"/>
      <c r="AD141" s="689"/>
      <c r="AE141" s="689"/>
      <c r="AF141" s="689"/>
      <c r="AG141" s="689"/>
      <c r="AO141" s="689"/>
      <c r="AP141" s="689"/>
      <c r="AQ141" s="689"/>
      <c r="AR141" s="689"/>
      <c r="AS141" s="689"/>
      <c r="AT141" s="689"/>
      <c r="AU141" s="689"/>
      <c r="AV141" s="689"/>
      <c r="AW141" s="689"/>
      <c r="AX141" s="689"/>
      <c r="AY141" s="689"/>
      <c r="AZ141" s="689"/>
      <c r="BA141" s="689"/>
      <c r="BB141" s="689"/>
      <c r="BC141" s="689"/>
      <c r="BD141" s="689"/>
    </row>
    <row r="142" spans="3:56">
      <c r="AX142" s="621"/>
      <c r="AY142" s="621"/>
      <c r="AZ142" s="621"/>
      <c r="BA142" s="621"/>
      <c r="BB142" s="621"/>
      <c r="BC142" s="621"/>
      <c r="BD142" s="621"/>
    </row>
  </sheetData>
  <sheetProtection selectLockedCells="1"/>
  <mergeCells count="5">
    <mergeCell ref="C7:E7"/>
    <mergeCell ref="AH11:AI11"/>
    <mergeCell ref="P3:P4"/>
    <mergeCell ref="S11:V11"/>
    <mergeCell ref="AF11:AG11"/>
  </mergeCells>
  <dataValidations count="8">
    <dataValidation type="list" allowBlank="1" showInputMessage="1" showErrorMessage="1" errorTitle="Selection Not Allowed" error="Please enter a valid selection from the drop-down menu." sqref="Z98 P98 Z96 P96 Z94 P94 Z66 P66 Z64 P64 Z62 P62 Z50 P50 Z48 P48 Z46 P46 Z82 P82 Z80 P80 Z78 P78">
      <formula1>dataCh1PromoType</formula1>
    </dataValidation>
    <dataValidation type="decimal" allowBlank="1" showInputMessage="1" showErrorMessage="1" errorTitle="Invalid Value" error="Please enter a percentage between 10% and 25000%." sqref="L98 L96 L94 L66 L64 L62 L50 L48 L46 L82 L80 L78">
      <formula1>0.1</formula1>
      <formula2>250</formula2>
    </dataValidation>
    <dataValidation type="decimal" allowBlank="1" showInputMessage="1" showErrorMessage="1" errorTitle="Invalid Value" error="Please enter a percentage between 0% and 100%." sqref="AF98 V98 AF96 V96 AF94 V94 AF66 V66 AF64 V64 AF62 V62 AF50 V50 AF48 V48 AF46 V46 AF82 V82 AF80 V80 AF78 V78">
      <formula1>0</formula1>
      <formula2>1</formula2>
    </dataValidation>
    <dataValidation type="decimal" allowBlank="1" showInputMessage="1" showErrorMessage="1" errorTitle="Invalid Value" error="Please enter a percentage between 1% and 100%." sqref="E78 E98 E96 E94 E66 E64 E62 E50 E48 E46 E82 E80">
      <formula1>0.01</formula1>
      <formula2>1</formula2>
    </dataValidation>
    <dataValidation type="decimal" allowBlank="1" showInputMessage="1" showErrorMessage="1" errorTitle="Invalid Value" error="Please enter a whole number between 0 and 25." sqref="S78 AC98 S98 AC96 S96 AC94 S94 AC66 S66 AC64 S64 AC62 S62 AC50 S50 AC48 S48 AC46 S46 AC82 S82 AC80 S80 AC78">
      <formula1>0</formula1>
      <formula2>25</formula2>
    </dataValidation>
    <dataValidation type="decimal" allowBlank="1" showInputMessage="1" showErrorMessage="1" errorTitle="Invalid Value" error="Please enter a whole number between 0 and 1." sqref="AY130:AY135 AY112:AY123">
      <formula1>0</formula1>
      <formula2>1</formula2>
    </dataValidation>
    <dataValidation type="list" allowBlank="1" showInputMessage="1" showErrorMessage="1" errorTitle="Selection Not Allowed" error="Please enter a valid selection from the drop-down menu." sqref="C7:E7">
      <formula1>INDIRECT(VTCh1_AvailableProgramDropDown)</formula1>
    </dataValidation>
    <dataValidation type="list" allowBlank="1" showInputMessage="1" showErrorMessage="1" sqref="H98 H96 H94 H82 H80 H78 H66 H64 H62 H50 H48 H46">
      <formula1>INDIRECT(PackAvailable_AvailableProgramDropDown)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1" max="122" man="1"/>
    <brk id="41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4"/>
  </sheetPr>
  <dimension ref="C1:AI85"/>
  <sheetViews>
    <sheetView topLeftCell="P1" zoomScaleNormal="100" workbookViewId="0">
      <selection activeCell="Y14" sqref="Y14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69921875" style="621" customWidth="1"/>
    <col min="5" max="5" width="15.59765625" style="621" customWidth="1"/>
    <col min="6" max="6" width="23.8984375" style="689" hidden="1" customWidth="1"/>
    <col min="7" max="7" width="1.796875" style="621" customWidth="1"/>
    <col min="8" max="8" width="18.5" style="621" customWidth="1"/>
    <col min="9" max="9" width="18.296875" style="689" hidden="1" customWidth="1"/>
    <col min="10" max="10" width="1.69921875" style="621" customWidth="1"/>
    <col min="11" max="11" width="16" style="621" customWidth="1"/>
    <col min="12" max="12" width="16" style="689" hidden="1" customWidth="1"/>
    <col min="13" max="13" width="1.69921875" style="621" customWidth="1"/>
    <col min="14" max="14" width="15.59765625" style="621" customWidth="1"/>
    <col min="15" max="15" width="15.59765625" style="689" hidden="1" customWidth="1"/>
    <col min="16" max="16" width="1.69921875" style="621" customWidth="1"/>
    <col min="17" max="17" width="15.59765625" style="621" customWidth="1"/>
    <col min="18" max="18" width="15.59765625" style="689" hidden="1" customWidth="1"/>
    <col min="19" max="19" width="1.69921875" style="621" customWidth="1"/>
    <col min="20" max="20" width="15.59765625" style="621" customWidth="1"/>
    <col min="21" max="21" width="15.59765625" style="689" hidden="1" customWidth="1"/>
    <col min="22" max="22" width="1.69921875" style="621" customWidth="1"/>
    <col min="23" max="23" width="15.59765625" style="621" customWidth="1"/>
    <col min="24" max="24" width="1.69921875" style="621" customWidth="1"/>
    <col min="25" max="25" width="15.59765625" style="689" customWidth="1"/>
    <col min="26" max="26" width="1.69921875" style="621" customWidth="1"/>
    <col min="27" max="27" width="15.59765625" style="621" customWidth="1"/>
    <col min="28" max="28" width="1.69921875" style="621" customWidth="1"/>
    <col min="29" max="29" width="15.59765625" style="621" customWidth="1"/>
    <col min="30" max="31" width="1.69921875" style="621" customWidth="1"/>
    <col min="32" max="32" width="20.69921875" style="621" customWidth="1"/>
    <col min="33" max="39" width="8.796875" style="621"/>
    <col min="40" max="40" width="29.796875" style="621" customWidth="1"/>
    <col min="41" max="41" width="13.5" style="621" customWidth="1"/>
    <col min="42" max="42" width="24" style="621" customWidth="1"/>
    <col min="43" max="43" width="15.3984375" style="621" customWidth="1"/>
    <col min="44" max="44" width="29.5" style="621" customWidth="1"/>
    <col min="45" max="45" width="19.5" style="621" customWidth="1"/>
    <col min="46" max="46" width="29.296875" style="621" customWidth="1"/>
    <col min="47" max="16384" width="8.796875" style="621"/>
  </cols>
  <sheetData>
    <row r="1" spans="3:35" s="620" customFormat="1" ht="21.75" customHeight="1">
      <c r="D1" s="659"/>
      <c r="E1" s="659"/>
    </row>
    <row r="2" spans="3:35" s="620" customFormat="1" ht="29.25" customHeight="1">
      <c r="D2" s="659"/>
      <c r="E2" s="659"/>
      <c r="H2" s="1007"/>
      <c r="I2" s="726"/>
      <c r="K2" s="1007"/>
      <c r="Q2" s="1008"/>
      <c r="T2" s="770"/>
      <c r="U2" s="770"/>
      <c r="V2" s="770"/>
      <c r="W2" s="771"/>
      <c r="X2" s="770"/>
      <c r="Y2" s="771"/>
      <c r="Z2" s="770"/>
      <c r="AA2" s="771"/>
      <c r="AB2" s="770"/>
      <c r="AC2" s="771"/>
      <c r="AH2" s="622" t="s">
        <v>1405</v>
      </c>
      <c r="AI2" s="620" t="s">
        <v>35</v>
      </c>
    </row>
    <row r="3" spans="3:35" s="620" customFormat="1" ht="29.25" customHeight="1">
      <c r="C3" s="694" t="str">
        <f>tlOutputCh2</f>
        <v>Discounters</v>
      </c>
      <c r="D3" s="659"/>
      <c r="E3" s="659"/>
      <c r="H3" s="1007"/>
      <c r="K3" s="1007"/>
      <c r="Q3" s="1008"/>
      <c r="W3" s="771"/>
      <c r="X3" s="770"/>
      <c r="Y3" s="771"/>
      <c r="Z3" s="770"/>
      <c r="AA3" s="771"/>
      <c r="AB3" s="770"/>
      <c r="AC3" s="771"/>
    </row>
    <row r="4" spans="3:35" s="620" customFormat="1" ht="29.25" customHeight="1">
      <c r="C4" s="696" t="s">
        <v>3298</v>
      </c>
      <c r="D4" s="659"/>
      <c r="E4" s="659"/>
      <c r="H4" s="772"/>
      <c r="K4" s="772"/>
      <c r="Q4" s="535"/>
      <c r="W4" s="771"/>
      <c r="X4" s="770"/>
      <c r="Y4" s="771"/>
      <c r="Z4" s="770"/>
      <c r="AA4" s="771"/>
      <c r="AB4" s="770"/>
      <c r="AC4" s="771"/>
    </row>
    <row r="5" spans="3:35" s="623" customFormat="1" ht="12.75" customHeight="1">
      <c r="F5" s="624"/>
    </row>
    <row r="6" spans="3:35" s="623" customFormat="1" ht="20.100000000000001" customHeight="1">
      <c r="C6" s="657" t="s">
        <v>1390</v>
      </c>
      <c r="D6" s="619"/>
      <c r="E6" s="619"/>
      <c r="F6" s="619"/>
      <c r="G6" s="619"/>
      <c r="H6" s="619"/>
      <c r="I6" s="619"/>
      <c r="J6" s="461"/>
      <c r="K6" s="461"/>
      <c r="L6" s="461"/>
      <c r="M6" s="461"/>
      <c r="N6" s="461"/>
      <c r="O6" s="461"/>
      <c r="P6" s="461"/>
      <c r="Q6" s="461"/>
      <c r="R6" s="461"/>
      <c r="S6" s="461"/>
      <c r="T6" s="461"/>
      <c r="U6" s="461"/>
      <c r="V6" s="461"/>
      <c r="W6" s="461"/>
      <c r="X6" s="461"/>
      <c r="Y6" s="461"/>
      <c r="Z6" s="461"/>
      <c r="AA6" s="461"/>
      <c r="AB6" s="461"/>
      <c r="AC6" s="461"/>
      <c r="AD6" s="461"/>
    </row>
    <row r="7" spans="3:35" s="623" customFormat="1" ht="7.5" customHeight="1">
      <c r="F7" s="624"/>
    </row>
    <row r="8" spans="3:35" s="623" customFormat="1" ht="20.100000000000001" customHeight="1">
      <c r="E8" s="1005" t="s">
        <v>1408</v>
      </c>
      <c r="F8" s="1005"/>
      <c r="G8" s="1005"/>
      <c r="H8" s="1005"/>
      <c r="I8" s="462"/>
      <c r="K8" s="757" t="s">
        <v>1409</v>
      </c>
      <c r="M8" s="658"/>
      <c r="N8" s="757" t="s">
        <v>6550</v>
      </c>
      <c r="Q8" s="757" t="s">
        <v>14</v>
      </c>
      <c r="S8" s="658"/>
      <c r="T8" s="658"/>
      <c r="U8" s="658"/>
      <c r="V8" s="658"/>
      <c r="W8" s="658"/>
      <c r="X8" s="658"/>
      <c r="Y8" s="658"/>
      <c r="Z8" s="658"/>
      <c r="AA8" s="658"/>
      <c r="AB8" s="658"/>
      <c r="AC8" s="658"/>
      <c r="AD8" s="658"/>
      <c r="AE8" s="658"/>
      <c r="AG8" s="658"/>
    </row>
    <row r="9" spans="3:35" s="623" customFormat="1" ht="7.5" customHeight="1"/>
    <row r="10" spans="3:35" s="623" customFormat="1" ht="20.100000000000001" customHeight="1">
      <c r="E10" s="658" t="str">
        <f>tlOutputProd2</f>
        <v>Harken</v>
      </c>
      <c r="F10" s="636"/>
      <c r="G10" s="658"/>
      <c r="H10" s="658" t="str">
        <f>tlOutputProd3</f>
        <v>Kara</v>
      </c>
      <c r="I10" s="636"/>
      <c r="J10" s="636"/>
      <c r="K10" s="658" t="str">
        <f>tlOutputProd1</f>
        <v>Greenborg</v>
      </c>
      <c r="L10" s="342"/>
      <c r="M10" s="342"/>
      <c r="N10" s="658"/>
      <c r="Q10" s="342"/>
      <c r="R10" s="624"/>
      <c r="S10" s="624"/>
      <c r="T10" s="624"/>
      <c r="U10" s="624"/>
      <c r="V10" s="624"/>
      <c r="W10" s="624"/>
      <c r="X10" s="624"/>
      <c r="Y10" s="624"/>
      <c r="Z10" s="624"/>
      <c r="AA10" s="624"/>
      <c r="AB10" s="624"/>
      <c r="AC10" s="624"/>
      <c r="AD10" s="624"/>
      <c r="AE10" s="624"/>
      <c r="AG10" s="624"/>
    </row>
    <row r="11" spans="3:35" s="623" customFormat="1" ht="7.5" customHeight="1"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Q11" s="342"/>
      <c r="R11" s="624"/>
      <c r="S11" s="624"/>
      <c r="T11" s="624"/>
      <c r="U11" s="624"/>
      <c r="V11" s="624"/>
      <c r="W11" s="624"/>
      <c r="X11" s="624"/>
      <c r="Y11" s="624"/>
      <c r="Z11" s="624"/>
      <c r="AA11" s="624"/>
      <c r="AB11" s="624"/>
      <c r="AC11" s="624"/>
      <c r="AD11" s="624"/>
      <c r="AE11" s="624"/>
      <c r="AG11" s="624"/>
    </row>
    <row r="12" spans="3:35" s="623" customFormat="1" ht="20.100000000000001" customHeight="1">
      <c r="E12" s="1006"/>
      <c r="F12" s="1006"/>
      <c r="G12" s="1006"/>
      <c r="H12" s="1006"/>
      <c r="I12" s="636"/>
      <c r="J12" s="636"/>
      <c r="K12" s="758"/>
      <c r="L12" s="636"/>
      <c r="M12" s="636"/>
      <c r="N12" s="758"/>
      <c r="Q12" s="758"/>
      <c r="R12" s="624"/>
      <c r="S12" s="624"/>
      <c r="T12" s="624"/>
      <c r="U12" s="624"/>
      <c r="V12" s="624"/>
      <c r="W12" s="624"/>
      <c r="X12" s="624"/>
      <c r="Y12" s="624"/>
      <c r="Z12" s="624"/>
      <c r="AA12" s="624"/>
      <c r="AB12" s="624"/>
      <c r="AC12" s="624"/>
      <c r="AD12" s="624"/>
      <c r="AE12" s="624"/>
      <c r="AG12" s="624"/>
    </row>
    <row r="13" spans="3:35" s="623" customFormat="1" ht="7.5" customHeight="1" thickBot="1"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Q13" s="342"/>
      <c r="R13" s="624"/>
      <c r="S13" s="624"/>
      <c r="T13" s="624"/>
      <c r="U13" s="624"/>
      <c r="V13" s="624"/>
      <c r="W13" s="624"/>
      <c r="X13" s="624"/>
      <c r="Y13" s="624"/>
      <c r="Z13" s="624"/>
      <c r="AA13" s="624"/>
      <c r="AB13" s="624"/>
      <c r="AC13" s="624"/>
      <c r="AD13" s="624"/>
      <c r="AE13" s="624"/>
      <c r="AG13" s="624"/>
    </row>
    <row r="14" spans="3:35" s="623" customFormat="1" ht="20.100000000000001" customHeight="1" thickBot="1">
      <c r="C14" s="623" t="s">
        <v>1391</v>
      </c>
      <c r="E14" s="637">
        <v>0.12</v>
      </c>
      <c r="F14" s="624" t="s">
        <v>3134</v>
      </c>
      <c r="G14" s="342"/>
      <c r="H14" s="637">
        <v>0.08</v>
      </c>
      <c r="I14" s="636" t="s">
        <v>3135</v>
      </c>
      <c r="J14" s="636"/>
      <c r="K14" s="637">
        <v>0.2</v>
      </c>
      <c r="L14" s="342" t="s">
        <v>6971</v>
      </c>
      <c r="M14" s="342"/>
      <c r="N14" s="929"/>
      <c r="O14" s="342"/>
      <c r="Q14" s="342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G14" s="624"/>
    </row>
    <row r="15" spans="3:35" s="623" customFormat="1" ht="7.5" customHeight="1" thickBot="1"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Q15" s="342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G15" s="624"/>
    </row>
    <row r="16" spans="3:35" s="623" customFormat="1" ht="20.100000000000001" customHeight="1" thickBot="1">
      <c r="C16" s="623" t="s">
        <v>1392</v>
      </c>
      <c r="E16" s="758"/>
      <c r="F16" s="636"/>
      <c r="G16" s="758"/>
      <c r="H16" s="758"/>
      <c r="I16" s="636"/>
      <c r="J16" s="636"/>
      <c r="K16" s="758"/>
      <c r="L16" s="636"/>
      <c r="M16" s="636"/>
      <c r="N16" s="592">
        <v>0</v>
      </c>
      <c r="Q16" s="758"/>
      <c r="R16" s="624"/>
      <c r="S16" s="624"/>
      <c r="T16" s="624"/>
      <c r="U16" s="624"/>
      <c r="V16" s="624"/>
      <c r="W16" s="624"/>
      <c r="X16" s="624"/>
      <c r="Y16" s="624"/>
      <c r="Z16" s="624"/>
      <c r="AA16" s="624"/>
      <c r="AB16" s="624"/>
      <c r="AC16" s="624"/>
      <c r="AD16" s="624"/>
      <c r="AE16" s="624"/>
      <c r="AG16" s="624"/>
    </row>
    <row r="17" spans="3:33" s="623" customFormat="1" ht="7.5" customHeight="1">
      <c r="E17" s="636"/>
      <c r="F17" s="636"/>
      <c r="G17" s="636"/>
      <c r="H17" s="636"/>
      <c r="I17" s="636"/>
      <c r="J17" s="636"/>
      <c r="K17" s="636"/>
      <c r="L17" s="636"/>
      <c r="M17" s="636"/>
      <c r="N17" s="636"/>
      <c r="Q17" s="636"/>
      <c r="R17" s="624"/>
      <c r="S17" s="624"/>
      <c r="T17" s="624"/>
      <c r="U17" s="624"/>
      <c r="V17" s="624"/>
      <c r="W17" s="624"/>
      <c r="X17" s="624"/>
      <c r="Y17" s="624"/>
      <c r="Z17" s="624"/>
      <c r="AA17" s="624"/>
      <c r="AB17" s="624"/>
      <c r="AC17" s="624"/>
      <c r="AD17" s="624"/>
      <c r="AE17" s="624"/>
      <c r="AG17" s="624"/>
    </row>
    <row r="18" spans="3:33" s="623" customFormat="1" ht="20.100000000000001" customHeight="1">
      <c r="E18" s="758"/>
      <c r="F18" s="636"/>
      <c r="G18" s="758"/>
      <c r="H18" s="758"/>
      <c r="I18" s="636"/>
      <c r="J18" s="636"/>
      <c r="K18" s="758"/>
      <c r="L18" s="636"/>
      <c r="M18" s="636"/>
      <c r="N18" s="758"/>
      <c r="Q18" s="758"/>
      <c r="R18" s="624"/>
      <c r="S18" s="624"/>
      <c r="T18" s="624"/>
      <c r="U18" s="624"/>
      <c r="V18" s="624"/>
      <c r="W18" s="624"/>
      <c r="X18" s="624"/>
      <c r="Y18" s="624"/>
      <c r="Z18" s="624"/>
      <c r="AA18" s="624"/>
      <c r="AB18" s="624"/>
      <c r="AC18" s="624"/>
      <c r="AD18" s="624"/>
      <c r="AE18" s="624"/>
      <c r="AG18" s="624"/>
    </row>
    <row r="19" spans="3:33" s="623" customFormat="1" ht="7.5" customHeight="1"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Q19" s="506"/>
      <c r="R19" s="624"/>
      <c r="S19" s="624"/>
      <c r="T19" s="624"/>
      <c r="U19" s="624"/>
      <c r="V19" s="624"/>
      <c r="W19" s="624"/>
      <c r="X19" s="624"/>
      <c r="Y19" s="624"/>
      <c r="Z19" s="624"/>
      <c r="AA19" s="624"/>
      <c r="AB19" s="624"/>
      <c r="AC19" s="624"/>
      <c r="AD19" s="624"/>
      <c r="AE19" s="624"/>
      <c r="AG19" s="624"/>
    </row>
    <row r="20" spans="3:33" s="623" customFormat="1" ht="20.100000000000001" customHeight="1">
      <c r="E20" s="758"/>
      <c r="F20" s="636"/>
      <c r="G20" s="758"/>
      <c r="H20" s="758"/>
      <c r="I20" s="636"/>
      <c r="J20" s="636"/>
      <c r="K20" s="758"/>
      <c r="L20" s="506"/>
      <c r="M20" s="506"/>
      <c r="N20" s="758"/>
      <c r="Q20" s="758"/>
      <c r="R20" s="624"/>
      <c r="S20" s="624"/>
      <c r="T20" s="624"/>
      <c r="U20" s="624"/>
      <c r="V20" s="624"/>
      <c r="W20" s="624"/>
      <c r="X20" s="624"/>
      <c r="Y20" s="624"/>
      <c r="Z20" s="624"/>
      <c r="AA20" s="624"/>
      <c r="AB20" s="624"/>
      <c r="AC20" s="624"/>
      <c r="AD20" s="624"/>
      <c r="AE20" s="624"/>
      <c r="AG20" s="624"/>
    </row>
    <row r="21" spans="3:33" s="623" customFormat="1" ht="7.5" customHeight="1">
      <c r="E21" s="506"/>
      <c r="F21" s="506"/>
      <c r="G21" s="506"/>
      <c r="H21" s="506"/>
      <c r="I21" s="506"/>
      <c r="J21" s="506"/>
      <c r="K21" s="506"/>
      <c r="L21" s="506"/>
      <c r="M21" s="506"/>
      <c r="N21" s="506"/>
      <c r="Q21" s="506"/>
      <c r="R21" s="624"/>
      <c r="S21" s="624"/>
      <c r="T21" s="624"/>
      <c r="U21" s="624"/>
      <c r="V21" s="624"/>
      <c r="W21" s="624"/>
      <c r="X21" s="624"/>
      <c r="Y21" s="624"/>
      <c r="Z21" s="624"/>
      <c r="AA21" s="624"/>
      <c r="AB21" s="624"/>
      <c r="AC21" s="624"/>
      <c r="AD21" s="624"/>
      <c r="AE21" s="624"/>
      <c r="AG21" s="624"/>
    </row>
    <row r="22" spans="3:33" s="623" customFormat="1" ht="20.100000000000001" customHeight="1">
      <c r="E22" s="758"/>
      <c r="F22" s="506"/>
      <c r="G22" s="507"/>
      <c r="H22" s="758"/>
      <c r="I22" s="506"/>
      <c r="J22" s="506"/>
      <c r="K22" s="758"/>
      <c r="L22" s="506"/>
      <c r="M22" s="506"/>
      <c r="N22" s="758"/>
      <c r="Q22" s="758"/>
      <c r="R22" s="624"/>
      <c r="S22" s="624"/>
      <c r="T22" s="624"/>
      <c r="U22" s="624"/>
      <c r="V22" s="624"/>
      <c r="W22" s="624"/>
      <c r="X22" s="624"/>
      <c r="Y22" s="624"/>
      <c r="Z22" s="624"/>
      <c r="AA22" s="624"/>
      <c r="AB22" s="624"/>
      <c r="AC22" s="624"/>
      <c r="AD22" s="624"/>
      <c r="AE22" s="624"/>
      <c r="AG22" s="624"/>
    </row>
    <row r="23" spans="3:33" s="623" customFormat="1" ht="7.5" customHeight="1">
      <c r="E23" s="488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624"/>
      <c r="S23" s="624"/>
      <c r="T23" s="624"/>
      <c r="U23" s="624"/>
      <c r="V23" s="624"/>
      <c r="W23" s="624"/>
      <c r="X23" s="624"/>
      <c r="Y23" s="624"/>
      <c r="Z23" s="624"/>
      <c r="AA23" s="624"/>
      <c r="AB23" s="624"/>
      <c r="AC23" s="624"/>
      <c r="AD23" s="624"/>
      <c r="AE23" s="624"/>
      <c r="AF23" s="624"/>
      <c r="AG23" s="624"/>
    </row>
    <row r="24" spans="3:33" s="623" customFormat="1" ht="20.100000000000001" customHeight="1">
      <c r="R24" s="624"/>
      <c r="S24" s="624"/>
      <c r="T24" s="624"/>
      <c r="U24" s="624"/>
      <c r="V24" s="624"/>
      <c r="W24" s="624"/>
      <c r="X24" s="624"/>
      <c r="Y24" s="624"/>
      <c r="Z24" s="624"/>
      <c r="AA24" s="624"/>
      <c r="AB24" s="624"/>
      <c r="AC24" s="624"/>
      <c r="AD24" s="624"/>
      <c r="AE24" s="624"/>
      <c r="AF24" s="624"/>
      <c r="AG24" s="624"/>
    </row>
    <row r="25" spans="3:33" s="623" customFormat="1" ht="7.5" customHeight="1">
      <c r="F25" s="624"/>
      <c r="L25" s="624"/>
      <c r="O25" s="624"/>
      <c r="Q25" s="624"/>
      <c r="R25" s="624"/>
      <c r="S25" s="624"/>
      <c r="T25" s="624"/>
      <c r="U25" s="624"/>
      <c r="V25" s="624"/>
      <c r="W25" s="624"/>
      <c r="X25" s="624"/>
      <c r="Y25" s="624"/>
      <c r="Z25" s="624"/>
      <c r="AA25" s="624"/>
      <c r="AB25" s="624"/>
      <c r="AC25" s="624"/>
      <c r="AD25" s="624"/>
      <c r="AE25" s="624"/>
      <c r="AF25" s="624"/>
      <c r="AG25" s="624"/>
    </row>
    <row r="26" spans="3:33" s="623" customFormat="1" ht="21.95" customHeight="1">
      <c r="F26" s="624"/>
      <c r="L26" s="624"/>
      <c r="O26" s="624"/>
      <c r="Q26" s="624"/>
      <c r="R26" s="624"/>
      <c r="S26" s="624"/>
      <c r="T26" s="624"/>
      <c r="U26" s="624"/>
      <c r="V26" s="624"/>
      <c r="W26" s="624"/>
      <c r="X26" s="624"/>
      <c r="Y26" s="624"/>
      <c r="Z26" s="624"/>
      <c r="AA26" s="624"/>
      <c r="AB26" s="624"/>
      <c r="AC26" s="624"/>
      <c r="AD26" s="624"/>
      <c r="AE26" s="624"/>
      <c r="AF26" s="624"/>
      <c r="AG26" s="624"/>
    </row>
    <row r="27" spans="3:33" s="623" customFormat="1" ht="7.5" customHeight="1">
      <c r="F27" s="624"/>
      <c r="L27" s="624"/>
      <c r="O27" s="624"/>
      <c r="Q27" s="624"/>
      <c r="R27" s="624"/>
      <c r="S27" s="624"/>
      <c r="T27" s="624"/>
      <c r="U27" s="624"/>
      <c r="V27" s="624"/>
      <c r="W27" s="624"/>
    </row>
    <row r="28" spans="3:33" s="623" customFormat="1" ht="21.95" customHeight="1">
      <c r="C28" s="657" t="s">
        <v>1303</v>
      </c>
      <c r="D28" s="619"/>
      <c r="E28" s="619"/>
      <c r="F28" s="619"/>
      <c r="G28" s="619"/>
      <c r="H28" s="619"/>
      <c r="I28" s="619"/>
      <c r="J28" s="619"/>
      <c r="K28" s="619"/>
      <c r="L28" s="619"/>
      <c r="M28" s="619"/>
      <c r="N28" s="619"/>
      <c r="O28" s="619"/>
      <c r="P28" s="619"/>
      <c r="Q28" s="619"/>
      <c r="R28" s="619"/>
      <c r="S28" s="619"/>
      <c r="T28" s="619"/>
      <c r="U28" s="619"/>
      <c r="V28" s="619"/>
      <c r="W28" s="619"/>
      <c r="X28" s="657"/>
      <c r="Z28" s="618"/>
      <c r="AA28" s="657" t="s">
        <v>5197</v>
      </c>
      <c r="AB28" s="618"/>
      <c r="AC28" s="618"/>
      <c r="AD28" s="618"/>
    </row>
    <row r="29" spans="3:33" s="623" customFormat="1" ht="7.5" customHeight="1">
      <c r="F29" s="624"/>
      <c r="L29" s="624"/>
      <c r="O29" s="624"/>
      <c r="Q29" s="624"/>
      <c r="R29" s="624"/>
      <c r="S29" s="624"/>
      <c r="U29" s="624"/>
    </row>
    <row r="30" spans="3:33" s="623" customFormat="1" ht="21.95" customHeight="1">
      <c r="E30" s="658" t="str">
        <f>nmValDriv1</f>
        <v>Distribution</v>
      </c>
      <c r="F30" s="624"/>
      <c r="H30" s="658" t="str">
        <f>nmValDriv2</f>
        <v>Shelf Space</v>
      </c>
      <c r="J30" s="658"/>
      <c r="K30" s="658" t="str">
        <f>nmValDriv3</f>
        <v>Floor Space</v>
      </c>
      <c r="L30" s="624"/>
      <c r="M30" s="658"/>
      <c r="N30" s="658" t="str">
        <f>nmValDriv4</f>
        <v>Cool Space</v>
      </c>
      <c r="O30" s="624"/>
      <c r="Q30" s="658" t="str">
        <f>nmValDriv5</f>
        <v>Visibility</v>
      </c>
      <c r="R30" s="624"/>
      <c r="S30" s="624"/>
      <c r="T30" s="658" t="s">
        <v>14</v>
      </c>
      <c r="U30" s="624"/>
      <c r="W30" s="658" t="str">
        <f>nmValDrivCond</f>
        <v>Conditionality</v>
      </c>
    </row>
    <row r="31" spans="3:33" s="623" customFormat="1" ht="7.5" customHeight="1" thickBot="1">
      <c r="F31" s="624"/>
      <c r="L31" s="624"/>
      <c r="O31" s="624"/>
      <c r="Q31" s="624"/>
      <c r="R31" s="624"/>
      <c r="S31" s="624"/>
      <c r="U31" s="624"/>
    </row>
    <row r="32" spans="3:33" s="623" customFormat="1" ht="21.95" customHeight="1" thickBot="1">
      <c r="C32" s="623" t="s">
        <v>12869</v>
      </c>
      <c r="E32" s="629" t="s">
        <v>1297</v>
      </c>
      <c r="F32" s="624" t="s">
        <v>2976</v>
      </c>
      <c r="H32" s="629" t="s">
        <v>1297</v>
      </c>
      <c r="I32" s="623" t="s">
        <v>2977</v>
      </c>
      <c r="K32" s="629" t="s">
        <v>1297</v>
      </c>
      <c r="L32" s="624" t="s">
        <v>2978</v>
      </c>
      <c r="N32" s="629" t="s">
        <v>1297</v>
      </c>
      <c r="O32" s="624" t="s">
        <v>2979</v>
      </c>
      <c r="Q32" s="629" t="s">
        <v>1297</v>
      </c>
      <c r="R32" s="624" t="s">
        <v>6947</v>
      </c>
      <c r="S32" s="624"/>
      <c r="U32" s="624" t="s">
        <v>6948</v>
      </c>
      <c r="W32" s="629" t="s">
        <v>1296</v>
      </c>
      <c r="AA32" s="623" t="s">
        <v>785</v>
      </c>
      <c r="AC32" s="629" t="s">
        <v>785</v>
      </c>
    </row>
    <row r="33" spans="5:32" s="623" customFormat="1" ht="7.5" customHeight="1">
      <c r="F33" s="624"/>
      <c r="L33" s="624"/>
      <c r="O33" s="624"/>
      <c r="Q33" s="624"/>
      <c r="R33" s="624"/>
      <c r="S33" s="624"/>
      <c r="U33" s="624"/>
      <c r="X33" s="624"/>
    </row>
    <row r="34" spans="5:32" s="623" customFormat="1" ht="21.95" customHeight="1">
      <c r="E34" s="636"/>
      <c r="F34" s="624"/>
      <c r="H34" s="636"/>
      <c r="K34" s="636"/>
      <c r="L34" s="624"/>
      <c r="N34" s="636"/>
      <c r="O34" s="624"/>
      <c r="Q34" s="636"/>
      <c r="R34" s="624"/>
      <c r="S34" s="624"/>
      <c r="T34" s="636"/>
      <c r="U34" s="624"/>
      <c r="W34" s="636"/>
      <c r="X34" s="624"/>
      <c r="AB34" s="636"/>
      <c r="AC34" s="636"/>
    </row>
    <row r="35" spans="5:32" s="623" customFormat="1" ht="7.5" customHeight="1">
      <c r="F35" s="624"/>
      <c r="L35" s="624"/>
      <c r="O35" s="624"/>
      <c r="R35" s="624"/>
      <c r="S35" s="624"/>
      <c r="U35" s="624"/>
      <c r="X35" s="624"/>
    </row>
    <row r="36" spans="5:32" s="623" customFormat="1" ht="21.95" customHeight="1">
      <c r="E36" s="758"/>
      <c r="F36" s="624"/>
      <c r="H36" s="758"/>
      <c r="J36" s="758"/>
      <c r="K36" s="758"/>
      <c r="L36" s="624"/>
      <c r="N36" s="758"/>
      <c r="O36" s="624"/>
      <c r="Q36" s="758"/>
      <c r="R36" s="624"/>
      <c r="S36" s="624"/>
      <c r="T36" s="758"/>
      <c r="U36" s="624"/>
      <c r="W36" s="758"/>
      <c r="X36" s="624"/>
      <c r="AB36" s="758"/>
      <c r="AC36" s="758"/>
      <c r="AF36" s="468"/>
    </row>
    <row r="37" spans="5:32" s="623" customFormat="1" ht="7.5" customHeight="1">
      <c r="F37" s="624"/>
      <c r="L37" s="624"/>
      <c r="O37" s="624"/>
      <c r="Q37" s="624"/>
      <c r="R37" s="624"/>
      <c r="S37" s="624"/>
      <c r="T37" s="758"/>
      <c r="U37" s="624"/>
    </row>
    <row r="38" spans="5:32" s="623" customFormat="1" ht="21.95" customHeight="1">
      <c r="F38" s="624"/>
      <c r="L38" s="624"/>
      <c r="O38" s="624"/>
      <c r="Q38" s="624"/>
      <c r="R38" s="624"/>
      <c r="S38" s="624"/>
      <c r="U38" s="624"/>
    </row>
    <row r="39" spans="5:32" s="623" customFormat="1" ht="7.5" customHeight="1">
      <c r="F39" s="624"/>
      <c r="L39" s="624"/>
      <c r="O39" s="624"/>
      <c r="Q39" s="624"/>
      <c r="R39" s="624"/>
      <c r="S39" s="624"/>
      <c r="U39" s="624"/>
    </row>
    <row r="40" spans="5:32" s="623" customFormat="1" ht="21.95" customHeight="1">
      <c r="F40" s="624"/>
      <c r="L40" s="624"/>
      <c r="O40" s="624"/>
      <c r="Q40" s="624"/>
      <c r="R40" s="624"/>
      <c r="S40" s="624"/>
      <c r="U40" s="624"/>
    </row>
    <row r="41" spans="5:32" s="623" customFormat="1" ht="7.5" customHeight="1">
      <c r="F41" s="624"/>
      <c r="L41" s="624"/>
      <c r="O41" s="624"/>
      <c r="Q41" s="624"/>
      <c r="R41" s="624"/>
      <c r="S41" s="624"/>
      <c r="U41" s="624"/>
    </row>
    <row r="42" spans="5:32" s="623" customFormat="1" ht="21.95" customHeight="1">
      <c r="F42" s="624"/>
      <c r="L42" s="624"/>
      <c r="O42" s="624"/>
      <c r="Q42" s="624"/>
      <c r="R42" s="624"/>
      <c r="S42" s="624"/>
      <c r="U42" s="624"/>
    </row>
    <row r="43" spans="5:32" s="623" customFormat="1" ht="7.5" customHeight="1">
      <c r="F43" s="624"/>
      <c r="L43" s="624"/>
      <c r="O43" s="624"/>
      <c r="Q43" s="624"/>
      <c r="R43" s="624"/>
      <c r="S43" s="624"/>
      <c r="U43" s="624"/>
    </row>
    <row r="44" spans="5:32" s="623" customFormat="1" ht="21.95" customHeight="1">
      <c r="F44" s="624"/>
      <c r="L44" s="624"/>
      <c r="O44" s="624"/>
      <c r="Q44" s="624"/>
      <c r="R44" s="624"/>
      <c r="S44" s="624"/>
      <c r="U44" s="624"/>
    </row>
    <row r="45" spans="5:32" s="623" customFormat="1" ht="7.5" customHeight="1">
      <c r="F45" s="624"/>
      <c r="L45" s="624"/>
      <c r="O45" s="624"/>
      <c r="Q45" s="624"/>
      <c r="R45" s="624"/>
      <c r="S45" s="624"/>
      <c r="U45" s="624"/>
    </row>
    <row r="46" spans="5:32" s="623" customFormat="1" ht="21.95" customHeight="1">
      <c r="F46" s="624"/>
      <c r="L46" s="624"/>
      <c r="O46" s="624"/>
      <c r="Q46" s="624"/>
      <c r="R46" s="624"/>
      <c r="S46" s="624"/>
      <c r="U46" s="624"/>
    </row>
    <row r="47" spans="5:32" s="623" customFormat="1" ht="7.5" customHeight="1">
      <c r="F47" s="624"/>
      <c r="L47" s="624"/>
      <c r="O47" s="624"/>
      <c r="Q47" s="624"/>
      <c r="R47" s="624"/>
      <c r="S47" s="624"/>
      <c r="U47" s="624"/>
    </row>
    <row r="48" spans="5:32" s="623" customFormat="1" ht="21.95" customHeight="1">
      <c r="F48" s="624"/>
      <c r="L48" s="624"/>
      <c r="O48" s="624"/>
      <c r="Q48" s="624"/>
      <c r="R48" s="624"/>
      <c r="S48" s="624"/>
      <c r="U48" s="624"/>
    </row>
    <row r="49" spans="3:21" s="623" customFormat="1" ht="7.5" customHeight="1">
      <c r="F49" s="624"/>
      <c r="L49" s="624"/>
      <c r="O49" s="624"/>
      <c r="Q49" s="624"/>
      <c r="R49" s="624"/>
      <c r="S49" s="624"/>
      <c r="U49" s="624"/>
    </row>
    <row r="50" spans="3:21" s="623" customFormat="1" ht="21.95" customHeight="1">
      <c r="F50" s="624"/>
      <c r="L50" s="624"/>
      <c r="O50" s="624"/>
      <c r="Q50" s="624"/>
      <c r="R50" s="624"/>
      <c r="S50" s="624"/>
      <c r="U50" s="624"/>
    </row>
    <row r="51" spans="3:21" s="623" customFormat="1" ht="7.5" customHeight="1">
      <c r="F51" s="624"/>
      <c r="L51" s="624"/>
      <c r="O51" s="624"/>
      <c r="Q51" s="624"/>
      <c r="R51" s="624"/>
      <c r="S51" s="624"/>
      <c r="U51" s="624"/>
    </row>
    <row r="52" spans="3:21" s="623" customFormat="1" ht="21.95" customHeight="1">
      <c r="C52" s="631"/>
      <c r="F52" s="624"/>
      <c r="L52" s="624"/>
      <c r="O52" s="624"/>
      <c r="Q52" s="624"/>
      <c r="R52" s="624"/>
      <c r="S52" s="624"/>
      <c r="U52" s="624"/>
    </row>
    <row r="53" spans="3:21" s="623" customFormat="1" ht="7.5" customHeight="1">
      <c r="F53" s="624"/>
      <c r="L53" s="624"/>
      <c r="O53" s="624"/>
      <c r="Q53" s="624"/>
      <c r="R53" s="624"/>
      <c r="S53" s="624"/>
      <c r="U53" s="624"/>
    </row>
    <row r="54" spans="3:21" s="623" customFormat="1" ht="21.95" customHeight="1">
      <c r="F54" s="624"/>
      <c r="L54" s="624"/>
      <c r="O54" s="624"/>
      <c r="Q54" s="624"/>
      <c r="R54" s="624"/>
      <c r="S54" s="624"/>
      <c r="U54" s="624"/>
    </row>
    <row r="55" spans="3:21" s="623" customFormat="1" ht="7.5" customHeight="1">
      <c r="F55" s="624"/>
      <c r="L55" s="624"/>
      <c r="O55" s="624"/>
      <c r="Q55" s="624"/>
      <c r="R55" s="624"/>
      <c r="S55" s="624"/>
      <c r="U55" s="624"/>
    </row>
    <row r="56" spans="3:21" s="623" customFormat="1" ht="21.95" customHeight="1">
      <c r="F56" s="624"/>
      <c r="L56" s="624"/>
      <c r="O56" s="624"/>
      <c r="Q56" s="624"/>
      <c r="R56" s="624"/>
      <c r="S56" s="624"/>
      <c r="U56" s="624"/>
    </row>
    <row r="57" spans="3:21" s="623" customFormat="1" ht="7.5" customHeight="1">
      <c r="F57" s="624"/>
      <c r="L57" s="624"/>
      <c r="O57" s="624"/>
      <c r="Q57" s="624"/>
      <c r="R57" s="624"/>
      <c r="S57" s="624"/>
      <c r="U57" s="624"/>
    </row>
    <row r="58" spans="3:21" s="623" customFormat="1" ht="21.95" customHeight="1">
      <c r="F58" s="624"/>
      <c r="L58" s="624"/>
      <c r="O58" s="624"/>
      <c r="Q58" s="624"/>
      <c r="R58" s="624"/>
      <c r="S58" s="624"/>
      <c r="U58" s="624"/>
    </row>
    <row r="59" spans="3:21" s="623" customFormat="1" ht="7.5" customHeight="1">
      <c r="F59" s="624"/>
      <c r="L59" s="624"/>
      <c r="O59" s="624"/>
      <c r="Q59" s="624"/>
      <c r="R59" s="624"/>
      <c r="S59" s="624"/>
      <c r="U59" s="624"/>
    </row>
    <row r="60" spans="3:21" s="623" customFormat="1" ht="21.95" customHeight="1">
      <c r="F60" s="624"/>
      <c r="L60" s="624"/>
      <c r="O60" s="624"/>
      <c r="Q60" s="624"/>
      <c r="R60" s="624"/>
      <c r="S60" s="624"/>
      <c r="U60" s="624"/>
    </row>
    <row r="61" spans="3:21" s="689" customFormat="1" ht="21.95" customHeight="1"/>
    <row r="62" spans="3:21" s="689" customFormat="1" ht="21.95" customHeight="1"/>
    <row r="63" spans="3:21" s="689" customFormat="1" ht="21.95" customHeight="1"/>
    <row r="64" spans="3:21" s="689" customFormat="1" ht="21.95" customHeight="1"/>
    <row r="65" s="689" customFormat="1" ht="21.95" customHeight="1"/>
    <row r="66" s="689" customFormat="1" ht="21.95" customHeight="1"/>
    <row r="67" s="689" customFormat="1" ht="21.95" customHeight="1"/>
    <row r="68" s="689" customFormat="1" ht="21.95" customHeight="1"/>
    <row r="69" s="689" customFormat="1" ht="21.95" customHeight="1"/>
    <row r="70" s="689" customFormat="1" ht="21.95" customHeight="1"/>
    <row r="71" s="689" customFormat="1" ht="21.95" customHeight="1"/>
    <row r="72" s="689" customFormat="1" ht="21.95" customHeight="1"/>
    <row r="73" s="689" customFormat="1" ht="21.95" customHeight="1"/>
    <row r="74" s="689" customFormat="1" ht="21.95" customHeight="1"/>
    <row r="75" s="689" customFormat="1" ht="21.95" customHeight="1"/>
    <row r="76" s="689" customFormat="1" ht="21.95" customHeight="1"/>
    <row r="77" s="689" customFormat="1" ht="21.95" customHeight="1"/>
    <row r="78" s="689" customFormat="1" ht="21.95" customHeight="1"/>
    <row r="79" s="689" customFormat="1" ht="21.95" customHeight="1"/>
    <row r="80" s="689" customFormat="1" ht="21.95" customHeight="1"/>
    <row r="81" s="689" customFormat="1" ht="21.95" customHeight="1"/>
    <row r="82" s="689" customFormat="1" ht="21.95" customHeight="1"/>
    <row r="83" s="689" customFormat="1" ht="21.95" customHeight="1"/>
    <row r="84" s="689" customFormat="1" ht="21.95" customHeight="1"/>
    <row r="85" s="689" customFormat="1" ht="21.95" customHeight="1"/>
  </sheetData>
  <sheetProtection selectLockedCells="1"/>
  <mergeCells count="5">
    <mergeCell ref="H2:H3"/>
    <mergeCell ref="K2:K3"/>
    <mergeCell ref="Q2:Q3"/>
    <mergeCell ref="E8:H8"/>
    <mergeCell ref="E12:H12"/>
  </mergeCells>
  <dataValidations count="5">
    <dataValidation type="list" allowBlank="1" showInputMessage="1" showErrorMessage="1" sqref="F32">
      <formula1>dataLevels1to5</formula1>
    </dataValidation>
    <dataValidation type="list" allowBlank="1" showInputMessage="1" showErrorMessage="1" errorTitle="Selection Not Allowed" error="Please enter a valid selection from the drop-down menu." sqref="AC32">
      <formula1>dataMarketingPlansList</formula1>
    </dataValidation>
    <dataValidation type="decimal" allowBlank="1" showInputMessage="1" showErrorMessage="1" errorTitle="Invalid Value" error="Please enter a percentage between 0% and 100%." sqref="K14 E14 H14">
      <formula1>0</formula1>
      <formula2>1</formula2>
    </dataValidation>
    <dataValidation type="list" allowBlank="1" showInputMessage="1" showErrorMessage="1" errorTitle="Selection Not Allowed" error="Please enter a valid selection from the drop-down menu." sqref="E32 W32 Q32 N32 K32 H32">
      <formula1>dataLevels1to5</formula1>
    </dataValidation>
    <dataValidation type="whole" operator="greaterThanOrEqual" allowBlank="1" showInputMessage="1" showErrorMessage="1" errorTitle="Invalid Value" error="Please enter a percentage between 0% and 100%." sqref="N16">
      <formula1>0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6" max="122" man="1"/>
    <brk id="32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4"/>
  </sheetPr>
  <dimension ref="C1:BC141"/>
  <sheetViews>
    <sheetView zoomScale="70" zoomScaleNormal="70" workbookViewId="0">
      <selection activeCell="AG34" sqref="AG34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8984375" style="621" customWidth="1"/>
    <col min="5" max="5" width="15.59765625" style="621" customWidth="1"/>
    <col min="6" max="6" width="9.59765625" style="621" hidden="1" customWidth="1"/>
    <col min="7" max="7" width="1.69921875" style="621" customWidth="1"/>
    <col min="8" max="8" width="15.59765625" style="621" customWidth="1"/>
    <col min="9" max="9" width="10.8984375" style="621" hidden="1" customWidth="1"/>
    <col min="10" max="11" width="1.8984375" style="621" customWidth="1"/>
    <col min="12" max="12" width="16" style="621" customWidth="1"/>
    <col min="13" max="13" width="13.8984375" style="621" hidden="1" customWidth="1"/>
    <col min="14" max="15" width="1.8984375" style="621" customWidth="1"/>
    <col min="16" max="16" width="17.8984375" style="621" customWidth="1"/>
    <col min="17" max="17" width="13.59765625" style="621" hidden="1" customWidth="1"/>
    <col min="18" max="18" width="1.8984375" style="621" customWidth="1"/>
    <col min="19" max="19" width="15.8984375" style="621" customWidth="1"/>
    <col min="20" max="20" width="15.8984375" style="621" hidden="1" customWidth="1"/>
    <col min="21" max="21" width="1.8984375" style="621" customWidth="1"/>
    <col min="22" max="22" width="15.8984375" style="621" customWidth="1"/>
    <col min="23" max="23" width="15.8984375" style="621" hidden="1" customWidth="1"/>
    <col min="24" max="25" width="1.8984375" style="621" customWidth="1"/>
    <col min="26" max="27" width="15.59765625" style="621" customWidth="1"/>
    <col min="28" max="28" width="1.69921875" style="621" customWidth="1"/>
    <col min="29" max="29" width="15.59765625" style="621" customWidth="1"/>
    <col min="30" max="30" width="7" style="621" customWidth="1"/>
    <col min="31" max="31" width="1.69921875" style="621" customWidth="1"/>
    <col min="32" max="32" width="15.59765625" style="621" customWidth="1"/>
    <col min="33" max="33" width="7.19921875" style="621" customWidth="1"/>
    <col min="34" max="34" width="1.8984375" style="621" customWidth="1"/>
    <col min="35" max="35" width="15.59765625" style="621" customWidth="1"/>
    <col min="36" max="36" width="1.69921875" style="621" customWidth="1"/>
    <col min="37" max="37" width="15.59765625" style="689" customWidth="1"/>
    <col min="38" max="38" width="1.69921875" style="621" customWidth="1"/>
    <col min="39" max="39" width="15.59765625" style="621" customWidth="1"/>
    <col min="40" max="40" width="1.69921875" style="621" customWidth="1"/>
    <col min="41" max="41" width="15.59765625" style="621" customWidth="1"/>
    <col min="42" max="42" width="1.69921875" style="621" customWidth="1"/>
    <col min="43" max="43" width="15.59765625" style="621" customWidth="1"/>
    <col min="44" max="44" width="1.69921875" style="621" customWidth="1"/>
    <col min="45" max="45" width="15.59765625" style="621" customWidth="1"/>
    <col min="46" max="46" width="1.69921875" style="621" customWidth="1"/>
    <col min="47" max="47" width="15.59765625" style="621" customWidth="1"/>
    <col min="48" max="48" width="1.69921875" style="621" customWidth="1"/>
    <col min="49" max="49" width="15.59765625" style="621" customWidth="1"/>
    <col min="50" max="50" width="3.796875" style="621" customWidth="1"/>
    <col min="51" max="51" width="24" style="621" customWidth="1"/>
    <col min="52" max="52" width="23.69921875" style="621" bestFit="1" customWidth="1"/>
    <col min="53" max="53" width="3.796875" style="621" customWidth="1"/>
    <col min="54" max="54" width="19.5" style="621" customWidth="1"/>
    <col min="55" max="55" width="29.296875" style="621" customWidth="1"/>
    <col min="56" max="16384" width="8.796875" style="621"/>
  </cols>
  <sheetData>
    <row r="1" spans="3:44" s="620" customFormat="1" ht="21.75" customHeight="1">
      <c r="D1" s="659"/>
      <c r="H1" s="659"/>
      <c r="K1" s="803"/>
    </row>
    <row r="2" spans="3:44" s="620" customFormat="1" ht="21.75" customHeight="1">
      <c r="D2" s="659"/>
      <c r="H2" s="659"/>
      <c r="K2" s="803"/>
    </row>
    <row r="3" spans="3:44" s="620" customFormat="1" ht="34.5" customHeight="1">
      <c r="D3" s="659"/>
      <c r="H3" s="659"/>
      <c r="K3" s="803"/>
      <c r="O3" s="726"/>
      <c r="Y3" s="693"/>
      <c r="AF3" s="771"/>
      <c r="AI3" s="771"/>
      <c r="AK3" s="771"/>
      <c r="AM3" s="771"/>
      <c r="AQ3" s="622" t="s">
        <v>6603</v>
      </c>
      <c r="AR3" s="620" t="s">
        <v>35</v>
      </c>
    </row>
    <row r="4" spans="3:44" s="620" customFormat="1" ht="34.5" customHeight="1">
      <c r="C4" s="694" t="str">
        <f>tlOutputCh2</f>
        <v>Discounters</v>
      </c>
      <c r="D4" s="659"/>
      <c r="H4" s="659"/>
      <c r="K4" s="803"/>
      <c r="Y4" s="693"/>
      <c r="AF4" s="771"/>
      <c r="AI4" s="771"/>
      <c r="AK4" s="771"/>
      <c r="AM4" s="771"/>
    </row>
    <row r="5" spans="3:44" s="620" customFormat="1" ht="34.5" customHeight="1">
      <c r="C5" s="696" t="s">
        <v>3300</v>
      </c>
      <c r="D5" s="659"/>
      <c r="H5" s="659"/>
      <c r="K5" s="803"/>
      <c r="AF5" s="771"/>
      <c r="AI5" s="771"/>
      <c r="AK5" s="771"/>
      <c r="AM5" s="771"/>
    </row>
    <row r="6" spans="3:44" s="623" customFormat="1" ht="12.75" customHeight="1" thickBot="1"/>
    <row r="7" spans="3:44" s="623" customFormat="1" ht="20.100000000000001" customHeight="1" thickBot="1">
      <c r="C7" s="1014" t="s">
        <v>12868</v>
      </c>
      <c r="D7" s="1015"/>
      <c r="E7" s="1016"/>
      <c r="F7" s="619"/>
      <c r="G7" s="619"/>
      <c r="H7" s="619"/>
      <c r="I7" s="619"/>
      <c r="J7" s="619"/>
      <c r="K7" s="619"/>
      <c r="L7" s="619"/>
      <c r="M7" s="619"/>
      <c r="N7" s="619"/>
      <c r="O7" s="619"/>
      <c r="P7" s="619"/>
      <c r="Q7" s="619"/>
      <c r="R7" s="619"/>
      <c r="S7" s="619"/>
      <c r="T7" s="619"/>
      <c r="U7" s="619"/>
      <c r="V7" s="619"/>
      <c r="W7" s="619"/>
      <c r="X7" s="619"/>
      <c r="Y7" s="619"/>
      <c r="Z7" s="619"/>
      <c r="AA7" s="619"/>
      <c r="AB7" s="619"/>
      <c r="AC7" s="619"/>
      <c r="AD7" s="619"/>
      <c r="AE7" s="619"/>
      <c r="AF7" s="619"/>
      <c r="AG7" s="619"/>
      <c r="AH7" s="619"/>
      <c r="AI7" s="619"/>
      <c r="AJ7" s="619"/>
      <c r="AK7" s="619"/>
      <c r="AL7" s="619"/>
      <c r="AM7" s="619"/>
      <c r="AN7" s="619"/>
    </row>
    <row r="8" spans="3:44" s="623" customFormat="1" ht="7.5" customHeight="1">
      <c r="C8" s="697"/>
      <c r="D8" s="697"/>
      <c r="H8" s="697"/>
      <c r="I8" s="697"/>
      <c r="J8" s="697"/>
      <c r="K8" s="697"/>
      <c r="L8" s="697"/>
      <c r="M8" s="697"/>
      <c r="N8" s="697"/>
    </row>
    <row r="9" spans="3:44" s="623" customFormat="1" ht="20.100000000000001" customHeight="1">
      <c r="C9" s="697"/>
      <c r="D9" s="697"/>
      <c r="H9" s="697"/>
      <c r="I9" s="697"/>
      <c r="J9" s="697"/>
      <c r="K9" s="697"/>
      <c r="L9" s="697"/>
      <c r="M9" s="697"/>
      <c r="N9" s="697"/>
    </row>
    <row r="10" spans="3:44" s="623" customFormat="1" ht="7.5" customHeight="1">
      <c r="C10" s="697"/>
      <c r="D10" s="697"/>
      <c r="H10" s="697"/>
      <c r="I10" s="697"/>
      <c r="J10" s="697"/>
      <c r="K10" s="697"/>
      <c r="L10" s="697"/>
      <c r="M10" s="697"/>
      <c r="N10" s="697"/>
    </row>
    <row r="11" spans="3:44" s="623" customFormat="1" ht="20.100000000000001" customHeight="1">
      <c r="C11" s="697"/>
      <c r="D11" s="697"/>
      <c r="H11" s="697"/>
      <c r="I11" s="697"/>
      <c r="J11" s="697"/>
      <c r="K11" s="697"/>
      <c r="L11" s="697"/>
      <c r="M11" s="697"/>
      <c r="N11" s="697"/>
      <c r="O11" s="624"/>
      <c r="S11" s="1013"/>
      <c r="T11" s="1013"/>
      <c r="U11" s="1013"/>
      <c r="V11" s="1013"/>
      <c r="W11" s="691"/>
      <c r="X11" s="692"/>
      <c r="Y11" s="691"/>
      <c r="Z11" s="723"/>
      <c r="AA11" s="692"/>
      <c r="AF11" s="1012"/>
      <c r="AG11" s="1012"/>
      <c r="AH11" s="1012"/>
      <c r="AI11" s="1012"/>
    </row>
    <row r="12" spans="3:44" s="623" customFormat="1" ht="7.5" customHeight="1">
      <c r="C12" s="697"/>
      <c r="D12" s="697"/>
      <c r="H12" s="697"/>
      <c r="I12" s="697"/>
      <c r="J12" s="697"/>
      <c r="K12" s="697"/>
      <c r="L12" s="697"/>
      <c r="M12" s="697"/>
      <c r="N12" s="697"/>
      <c r="O12" s="660"/>
      <c r="P12" s="661"/>
      <c r="Q12" s="662"/>
      <c r="R12" s="660"/>
      <c r="S12" s="661"/>
      <c r="T12" s="661"/>
      <c r="U12" s="661"/>
      <c r="V12" s="661"/>
      <c r="W12" s="661"/>
      <c r="X12" s="662"/>
      <c r="Y12" s="660"/>
      <c r="Z12" s="661"/>
      <c r="AA12" s="661"/>
      <c r="AB12" s="662"/>
    </row>
    <row r="13" spans="3:44" s="623" customFormat="1" ht="20.100000000000001" customHeight="1">
      <c r="C13" s="697"/>
      <c r="D13" s="697"/>
      <c r="H13" s="697"/>
      <c r="I13" s="697"/>
      <c r="J13" s="697"/>
      <c r="K13" s="697"/>
      <c r="L13" s="697"/>
      <c r="M13" s="697"/>
      <c r="N13" s="697"/>
      <c r="O13" s="667"/>
      <c r="P13" s="663" t="s">
        <v>1394</v>
      </c>
      <c r="Q13" s="664"/>
      <c r="R13" s="698"/>
      <c r="S13" s="674"/>
      <c r="T13" s="674"/>
      <c r="U13" s="666"/>
      <c r="V13" s="665"/>
      <c r="W13" s="665"/>
      <c r="X13" s="676"/>
      <c r="Y13" s="679"/>
      <c r="Z13" s="714"/>
      <c r="AA13" s="714"/>
      <c r="AB13" s="677"/>
      <c r="AF13" s="648"/>
    </row>
    <row r="14" spans="3:44" s="623" customFormat="1" ht="7.5" customHeight="1">
      <c r="C14" s="697"/>
      <c r="D14" s="697"/>
      <c r="H14" s="697"/>
      <c r="I14" s="697"/>
      <c r="J14" s="697"/>
      <c r="K14" s="697"/>
      <c r="L14" s="697"/>
      <c r="M14" s="697"/>
      <c r="N14" s="697"/>
      <c r="O14" s="667"/>
      <c r="P14" s="663"/>
      <c r="Q14" s="664"/>
      <c r="R14" s="698"/>
      <c r="S14" s="674"/>
      <c r="T14" s="674"/>
      <c r="U14" s="666"/>
      <c r="V14" s="665"/>
      <c r="W14" s="665"/>
      <c r="X14" s="676"/>
      <c r="Y14" s="679"/>
      <c r="Z14" s="615"/>
      <c r="AA14" s="615"/>
      <c r="AB14" s="677"/>
    </row>
    <row r="15" spans="3:44" s="623" customFormat="1" ht="20.100000000000001" customHeight="1">
      <c r="C15" s="697"/>
      <c r="D15" s="697"/>
      <c r="H15" s="697"/>
      <c r="I15" s="697"/>
      <c r="J15" s="697"/>
      <c r="K15" s="697"/>
      <c r="L15" s="697"/>
      <c r="M15" s="697"/>
      <c r="N15" s="697"/>
      <c r="O15" s="667"/>
      <c r="P15" s="663" t="s">
        <v>1395</v>
      </c>
      <c r="Q15" s="664"/>
      <c r="R15" s="698"/>
      <c r="S15" s="674"/>
      <c r="T15" s="674"/>
      <c r="U15" s="666"/>
      <c r="V15" s="665"/>
      <c r="W15" s="665"/>
      <c r="X15" s="676"/>
      <c r="Y15" s="679"/>
      <c r="Z15" s="714"/>
      <c r="AA15" s="714"/>
      <c r="AB15" s="677"/>
    </row>
    <row r="16" spans="3:44" s="623" customFormat="1" ht="7.5" customHeight="1">
      <c r="C16" s="697"/>
      <c r="D16" s="697"/>
      <c r="H16" s="697"/>
      <c r="I16" s="697"/>
      <c r="J16" s="697"/>
      <c r="K16" s="697"/>
      <c r="L16" s="697"/>
      <c r="M16" s="697"/>
      <c r="N16" s="697"/>
      <c r="O16" s="667"/>
      <c r="P16" s="663"/>
      <c r="Q16" s="664"/>
      <c r="R16" s="698"/>
      <c r="S16" s="674"/>
      <c r="T16" s="674"/>
      <c r="U16" s="666"/>
      <c r="V16" s="665"/>
      <c r="W16" s="665"/>
      <c r="X16" s="676"/>
      <c r="Y16" s="679"/>
      <c r="Z16" s="615"/>
      <c r="AA16" s="615"/>
      <c r="AB16" s="677"/>
    </row>
    <row r="17" spans="3:39" s="623" customFormat="1" ht="20.100000000000001" customHeight="1">
      <c r="C17" s="697"/>
      <c r="D17" s="697"/>
      <c r="H17" s="697"/>
      <c r="I17" s="697"/>
      <c r="J17" s="697"/>
      <c r="K17" s="697"/>
      <c r="L17" s="697"/>
      <c r="M17" s="697"/>
      <c r="N17" s="697"/>
      <c r="O17" s="667"/>
      <c r="P17" s="663" t="s">
        <v>694</v>
      </c>
      <c r="Q17" s="664"/>
      <c r="R17" s="698"/>
      <c r="S17" s="674"/>
      <c r="T17" s="674"/>
      <c r="U17" s="666"/>
      <c r="V17" s="665"/>
      <c r="W17" s="665"/>
      <c r="X17" s="676"/>
      <c r="Y17" s="679"/>
      <c r="Z17" s="714"/>
      <c r="AA17" s="714"/>
      <c r="AB17" s="677"/>
      <c r="AC17" s="681"/>
      <c r="AD17" s="681"/>
      <c r="AE17" s="681"/>
      <c r="AF17" s="648"/>
    </row>
    <row r="18" spans="3:39" s="623" customFormat="1" ht="7.5" customHeight="1">
      <c r="C18" s="697"/>
      <c r="D18" s="697"/>
      <c r="H18" s="697"/>
      <c r="I18" s="697"/>
      <c r="J18" s="697"/>
      <c r="K18" s="697"/>
      <c r="L18" s="697"/>
      <c r="M18" s="697"/>
      <c r="N18" s="697"/>
      <c r="O18" s="667"/>
      <c r="P18" s="663"/>
      <c r="Q18" s="664"/>
      <c r="R18" s="698"/>
      <c r="S18" s="674"/>
      <c r="T18" s="674"/>
      <c r="U18" s="666"/>
      <c r="V18" s="665"/>
      <c r="W18" s="665"/>
      <c r="X18" s="676"/>
      <c r="Y18" s="679"/>
      <c r="Z18" s="615"/>
      <c r="AA18" s="615"/>
      <c r="AB18" s="677"/>
      <c r="AC18" s="681"/>
      <c r="AD18" s="681"/>
      <c r="AE18" s="681"/>
    </row>
    <row r="19" spans="3:39" s="623" customFormat="1" ht="20.100000000000001" customHeight="1">
      <c r="C19" s="697"/>
      <c r="D19" s="697"/>
      <c r="H19" s="697"/>
      <c r="I19" s="697"/>
      <c r="J19" s="697"/>
      <c r="K19" s="697"/>
      <c r="L19" s="697"/>
      <c r="M19" s="697"/>
      <c r="N19" s="697"/>
      <c r="O19" s="667"/>
      <c r="P19" s="663" t="s">
        <v>1396</v>
      </c>
      <c r="Q19" s="664"/>
      <c r="R19" s="698"/>
      <c r="S19" s="674"/>
      <c r="T19" s="674"/>
      <c r="U19" s="666"/>
      <c r="V19" s="665"/>
      <c r="W19" s="665"/>
      <c r="X19" s="676"/>
      <c r="Y19" s="679"/>
      <c r="Z19" s="714"/>
      <c r="AA19" s="714"/>
      <c r="AB19" s="677"/>
      <c r="AC19" s="681"/>
      <c r="AD19" s="681"/>
      <c r="AE19" s="681"/>
    </row>
    <row r="20" spans="3:39" s="623" customFormat="1" ht="7.5" customHeight="1">
      <c r="C20" s="697"/>
      <c r="D20" s="697"/>
      <c r="H20" s="697"/>
      <c r="I20" s="697"/>
      <c r="J20" s="697"/>
      <c r="K20" s="697"/>
      <c r="L20" s="697"/>
      <c r="M20" s="697"/>
      <c r="N20" s="697"/>
      <c r="O20" s="667"/>
      <c r="P20" s="663"/>
      <c r="Q20" s="664"/>
      <c r="R20" s="698"/>
      <c r="S20" s="665"/>
      <c r="T20" s="665"/>
      <c r="U20" s="665"/>
      <c r="V20" s="615"/>
      <c r="W20" s="615"/>
      <c r="X20" s="677"/>
      <c r="Y20" s="667"/>
      <c r="Z20" s="615"/>
      <c r="AA20" s="615"/>
      <c r="AB20" s="677"/>
      <c r="AC20" s="681"/>
      <c r="AD20" s="681"/>
      <c r="AE20" s="681"/>
    </row>
    <row r="21" spans="3:39" s="623" customFormat="1" ht="20.100000000000001" customHeight="1">
      <c r="C21" s="697"/>
      <c r="D21" s="697"/>
      <c r="H21" s="697"/>
      <c r="I21" s="697"/>
      <c r="J21" s="697"/>
      <c r="K21" s="697"/>
      <c r="L21" s="697"/>
      <c r="M21" s="697"/>
      <c r="N21" s="697"/>
      <c r="O21" s="667"/>
      <c r="P21" s="671" t="s">
        <v>1397</v>
      </c>
      <c r="Q21" s="672"/>
      <c r="R21" s="699"/>
      <c r="S21" s="675"/>
      <c r="T21" s="675"/>
      <c r="U21" s="673"/>
      <c r="V21" s="716"/>
      <c r="W21" s="716"/>
      <c r="X21" s="678"/>
      <c r="Y21" s="680"/>
      <c r="Z21" s="715"/>
      <c r="AA21" s="715"/>
      <c r="AB21" s="677"/>
      <c r="AC21" s="681"/>
      <c r="AD21" s="681"/>
      <c r="AE21" s="681"/>
      <c r="AG21" s="681"/>
    </row>
    <row r="22" spans="3:39" s="623" customFormat="1" ht="7.5" customHeight="1">
      <c r="C22" s="697"/>
      <c r="D22" s="697"/>
      <c r="H22" s="697"/>
      <c r="I22" s="697"/>
      <c r="J22" s="697"/>
      <c r="K22" s="697"/>
      <c r="L22" s="697"/>
      <c r="M22" s="697"/>
      <c r="N22" s="697"/>
      <c r="O22" s="667"/>
      <c r="P22" s="663"/>
      <c r="Q22" s="664"/>
      <c r="R22" s="698"/>
      <c r="S22" s="665"/>
      <c r="T22" s="665"/>
      <c r="U22" s="665"/>
      <c r="V22" s="615"/>
      <c r="W22" s="615"/>
      <c r="X22" s="677"/>
      <c r="Y22" s="667"/>
      <c r="Z22" s="615"/>
      <c r="AA22" s="615"/>
      <c r="AB22" s="677"/>
    </row>
    <row r="23" spans="3:39" s="623" customFormat="1" ht="20.100000000000001" customHeight="1">
      <c r="C23" s="697"/>
      <c r="D23" s="697"/>
      <c r="H23" s="697"/>
      <c r="I23" s="697"/>
      <c r="J23" s="697"/>
      <c r="K23" s="697"/>
      <c r="L23" s="697"/>
      <c r="M23" s="697"/>
      <c r="N23" s="697"/>
      <c r="O23" s="667"/>
      <c r="P23" s="663" t="s">
        <v>5186</v>
      </c>
      <c r="Q23" s="664"/>
      <c r="R23" s="698"/>
      <c r="S23" s="674"/>
      <c r="T23" s="674"/>
      <c r="U23" s="666"/>
      <c r="V23" s="717"/>
      <c r="W23" s="717"/>
      <c r="X23" s="676"/>
      <c r="Y23" s="679"/>
      <c r="Z23" s="714"/>
      <c r="AA23" s="714"/>
      <c r="AB23" s="677"/>
      <c r="AI23" s="756"/>
    </row>
    <row r="24" spans="3:39" s="623" customFormat="1" ht="7.5" customHeight="1">
      <c r="C24" s="697"/>
      <c r="D24" s="697"/>
      <c r="H24" s="697"/>
      <c r="I24" s="697"/>
      <c r="J24" s="697"/>
      <c r="K24" s="697"/>
      <c r="L24" s="697"/>
      <c r="M24" s="697"/>
      <c r="N24" s="697"/>
      <c r="O24" s="667"/>
      <c r="P24" s="663"/>
      <c r="Q24" s="664"/>
      <c r="R24" s="698"/>
      <c r="S24" s="665"/>
      <c r="T24" s="665"/>
      <c r="U24" s="666"/>
      <c r="V24" s="717"/>
      <c r="W24" s="717"/>
      <c r="X24" s="676"/>
      <c r="Y24" s="679"/>
      <c r="Z24" s="615"/>
      <c r="AA24" s="615"/>
      <c r="AB24" s="677"/>
    </row>
    <row r="25" spans="3:39" s="623" customFormat="1" ht="20.100000000000001" customHeight="1">
      <c r="C25" s="697"/>
      <c r="D25" s="697"/>
      <c r="H25" s="697"/>
      <c r="I25" s="697"/>
      <c r="J25" s="697"/>
      <c r="K25" s="697"/>
      <c r="L25" s="697"/>
      <c r="M25" s="697"/>
      <c r="N25" s="697"/>
      <c r="O25" s="667"/>
      <c r="P25" s="671" t="s">
        <v>160</v>
      </c>
      <c r="Q25" s="672"/>
      <c r="R25" s="699"/>
      <c r="S25" s="675"/>
      <c r="T25" s="675"/>
      <c r="U25" s="673"/>
      <c r="V25" s="718"/>
      <c r="W25" s="718"/>
      <c r="X25" s="678"/>
      <c r="Y25" s="680"/>
      <c r="Z25" s="715"/>
      <c r="AA25" s="715"/>
      <c r="AB25" s="677"/>
    </row>
    <row r="26" spans="3:39" s="623" customFormat="1" ht="7.5" customHeight="1">
      <c r="C26" s="697"/>
      <c r="D26" s="697"/>
      <c r="F26" s="727"/>
      <c r="H26" s="697"/>
      <c r="I26" s="697"/>
      <c r="J26" s="697"/>
      <c r="K26" s="697"/>
      <c r="L26" s="697"/>
      <c r="M26" s="697"/>
      <c r="N26" s="697"/>
      <c r="O26" s="667"/>
      <c r="P26" s="663"/>
      <c r="Q26" s="664"/>
      <c r="R26" s="698"/>
      <c r="S26" s="665"/>
      <c r="T26" s="665"/>
      <c r="U26" s="666"/>
      <c r="V26" s="717"/>
      <c r="W26" s="717"/>
      <c r="X26" s="676"/>
      <c r="Y26" s="679"/>
      <c r="Z26" s="615"/>
      <c r="AA26" s="615"/>
      <c r="AB26" s="677"/>
      <c r="AM26" s="727"/>
    </row>
    <row r="27" spans="3:39" s="623" customFormat="1" ht="20.100000000000001" customHeight="1">
      <c r="C27" s="697"/>
      <c r="D27" s="697"/>
      <c r="F27" s="727"/>
      <c r="H27" s="697"/>
      <c r="I27" s="697"/>
      <c r="J27" s="697"/>
      <c r="K27" s="697"/>
      <c r="L27" s="697"/>
      <c r="M27" s="697"/>
      <c r="N27" s="697"/>
      <c r="O27" s="667"/>
      <c r="P27" s="663" t="s">
        <v>519</v>
      </c>
      <c r="Q27" s="664"/>
      <c r="R27" s="698"/>
      <c r="S27" s="674"/>
      <c r="T27" s="674"/>
      <c r="U27" s="666"/>
      <c r="V27" s="717"/>
      <c r="W27" s="717"/>
      <c r="X27" s="676"/>
      <c r="Y27" s="679"/>
      <c r="Z27" s="714"/>
      <c r="AA27" s="714"/>
      <c r="AB27" s="677"/>
      <c r="AM27" s="727"/>
    </row>
    <row r="28" spans="3:39" s="623" customFormat="1" ht="7.5" customHeight="1">
      <c r="C28" s="697"/>
      <c r="D28" s="697"/>
      <c r="F28" s="727"/>
      <c r="H28" s="697"/>
      <c r="I28" s="697"/>
      <c r="J28" s="697"/>
      <c r="K28" s="697"/>
      <c r="L28" s="697"/>
      <c r="M28" s="697"/>
      <c r="N28" s="697"/>
      <c r="O28" s="667"/>
      <c r="P28" s="663"/>
      <c r="Q28" s="664"/>
      <c r="R28" s="698"/>
      <c r="S28" s="665"/>
      <c r="T28" s="665"/>
      <c r="U28" s="666"/>
      <c r="V28" s="615"/>
      <c r="W28" s="615"/>
      <c r="X28" s="676"/>
      <c r="Y28" s="679"/>
      <c r="Z28" s="615"/>
      <c r="AA28" s="615"/>
      <c r="AB28" s="677"/>
      <c r="AM28" s="727"/>
    </row>
    <row r="29" spans="3:39" s="623" customFormat="1" ht="21.95" customHeight="1">
      <c r="C29" s="697"/>
      <c r="D29" s="697"/>
      <c r="F29" s="727"/>
      <c r="H29" s="697"/>
      <c r="I29" s="697"/>
      <c r="J29" s="697"/>
      <c r="K29" s="697"/>
      <c r="L29" s="697"/>
      <c r="M29" s="697"/>
      <c r="N29" s="697"/>
      <c r="O29" s="667"/>
      <c r="P29" s="671" t="s">
        <v>521</v>
      </c>
      <c r="Q29" s="672"/>
      <c r="R29" s="699"/>
      <c r="S29" s="675"/>
      <c r="T29" s="675"/>
      <c r="U29" s="673"/>
      <c r="V29" s="718"/>
      <c r="W29" s="718"/>
      <c r="X29" s="678"/>
      <c r="Y29" s="680"/>
      <c r="Z29" s="715"/>
      <c r="AA29" s="715"/>
      <c r="AB29" s="677"/>
      <c r="AM29" s="727"/>
    </row>
    <row r="30" spans="3:39" s="623" customFormat="1" ht="7.5" customHeight="1">
      <c r="C30" s="697"/>
      <c r="D30" s="697"/>
      <c r="H30" s="697"/>
      <c r="I30" s="697"/>
      <c r="J30" s="697"/>
      <c r="K30" s="697"/>
      <c r="L30" s="697"/>
      <c r="M30" s="697"/>
      <c r="N30" s="697"/>
      <c r="O30" s="700"/>
      <c r="P30" s="669"/>
      <c r="Q30" s="670"/>
      <c r="R30" s="668"/>
      <c r="S30" s="737"/>
      <c r="T30" s="737"/>
      <c r="U30" s="738"/>
      <c r="V30" s="739"/>
      <c r="W30" s="739"/>
      <c r="X30" s="740"/>
      <c r="Y30" s="741"/>
      <c r="Z30" s="742"/>
      <c r="AA30" s="742"/>
      <c r="AB30" s="743"/>
    </row>
    <row r="31" spans="3:39" s="623" customFormat="1" ht="7.5" customHeight="1">
      <c r="C31" s="697"/>
      <c r="D31" s="697"/>
      <c r="H31" s="697"/>
      <c r="I31" s="697"/>
      <c r="J31" s="697"/>
      <c r="K31" s="697"/>
      <c r="L31" s="697"/>
      <c r="M31" s="697"/>
      <c r="N31" s="697"/>
    </row>
    <row r="32" spans="3:39" s="623" customFormat="1" ht="21.95" customHeight="1">
      <c r="C32" s="697"/>
      <c r="D32" s="697"/>
      <c r="H32" s="697"/>
      <c r="I32" s="697"/>
      <c r="J32" s="697"/>
      <c r="K32" s="697"/>
      <c r="L32" s="697"/>
      <c r="M32" s="697"/>
      <c r="N32" s="697"/>
    </row>
    <row r="33" spans="3:40" s="623" customFormat="1" ht="7.5" customHeight="1">
      <c r="C33" s="697"/>
      <c r="D33" s="697"/>
      <c r="H33" s="697"/>
      <c r="I33" s="697"/>
      <c r="J33" s="697"/>
      <c r="K33" s="697"/>
      <c r="L33" s="697"/>
      <c r="M33" s="697"/>
      <c r="N33" s="697"/>
      <c r="O33" s="744"/>
      <c r="P33" s="661"/>
      <c r="Q33" s="662"/>
      <c r="R33" s="660"/>
      <c r="S33" s="745"/>
      <c r="T33" s="745"/>
      <c r="U33" s="746"/>
      <c r="V33" s="747"/>
      <c r="W33" s="747"/>
      <c r="X33" s="748"/>
    </row>
    <row r="34" spans="3:40" s="623" customFormat="1" ht="21.95" customHeight="1">
      <c r="C34" s="697"/>
      <c r="D34" s="697"/>
      <c r="H34" s="697"/>
      <c r="I34" s="697"/>
      <c r="J34" s="697"/>
      <c r="K34" s="697"/>
      <c r="L34" s="697"/>
      <c r="M34" s="697"/>
      <c r="N34" s="697"/>
      <c r="O34" s="667"/>
      <c r="P34" s="663" t="s">
        <v>4394</v>
      </c>
      <c r="Q34" s="664"/>
      <c r="R34" s="698"/>
      <c r="S34" s="674"/>
      <c r="T34" s="665"/>
      <c r="U34" s="666"/>
      <c r="V34" s="717"/>
      <c r="W34" s="717"/>
      <c r="X34" s="676"/>
      <c r="AI34" s="710"/>
    </row>
    <row r="35" spans="3:40" s="623" customFormat="1" ht="7.5" customHeight="1">
      <c r="O35" s="667"/>
      <c r="P35" s="663"/>
      <c r="Q35" s="664"/>
      <c r="R35" s="698"/>
      <c r="S35" s="674"/>
      <c r="T35" s="665"/>
      <c r="U35" s="666"/>
      <c r="V35" s="717"/>
      <c r="W35" s="717"/>
      <c r="X35" s="676"/>
    </row>
    <row r="36" spans="3:40" s="623" customFormat="1" ht="21.95" customHeight="1">
      <c r="O36" s="667"/>
      <c r="P36" s="663" t="s">
        <v>811</v>
      </c>
      <c r="Q36" s="664"/>
      <c r="R36" s="698"/>
      <c r="S36" s="674"/>
      <c r="T36" s="665"/>
      <c r="U36" s="666"/>
      <c r="V36" s="717"/>
      <c r="W36" s="717"/>
      <c r="X36" s="676"/>
      <c r="AI36" s="710"/>
    </row>
    <row r="37" spans="3:40" s="623" customFormat="1" ht="7.5" customHeight="1">
      <c r="O37" s="667"/>
      <c r="P37" s="663"/>
      <c r="Q37" s="664"/>
      <c r="R37" s="698"/>
      <c r="S37" s="674"/>
      <c r="T37" s="665"/>
      <c r="U37" s="666"/>
      <c r="V37" s="717"/>
      <c r="W37" s="717"/>
      <c r="X37" s="676"/>
    </row>
    <row r="38" spans="3:40" s="623" customFormat="1" ht="21.95" customHeight="1">
      <c r="O38" s="667"/>
      <c r="P38" s="663" t="s">
        <v>517</v>
      </c>
      <c r="Q38" s="664"/>
      <c r="R38" s="698"/>
      <c r="S38" s="674"/>
      <c r="T38" s="665"/>
      <c r="U38" s="666"/>
      <c r="V38" s="717"/>
      <c r="W38" s="717"/>
      <c r="X38" s="676"/>
    </row>
    <row r="39" spans="3:40" s="623" customFormat="1" ht="7.5" customHeight="1">
      <c r="O39" s="667"/>
      <c r="P39" s="663"/>
      <c r="Q39" s="664"/>
      <c r="R39" s="698"/>
      <c r="S39" s="674"/>
      <c r="T39" s="665"/>
      <c r="U39" s="666"/>
      <c r="V39" s="717"/>
      <c r="W39" s="717"/>
      <c r="X39" s="676"/>
    </row>
    <row r="40" spans="3:40" s="623" customFormat="1" ht="21.95" customHeight="1">
      <c r="O40" s="667"/>
      <c r="P40" s="663" t="s">
        <v>3674</v>
      </c>
      <c r="Q40" s="664"/>
      <c r="R40" s="698"/>
      <c r="S40" s="855"/>
      <c r="T40" s="665"/>
      <c r="U40" s="666"/>
      <c r="V40" s="717"/>
      <c r="W40" s="717"/>
      <c r="X40" s="676"/>
      <c r="Y40" s="695"/>
    </row>
    <row r="41" spans="3:40" s="623" customFormat="1" ht="7.5" customHeight="1">
      <c r="O41" s="700"/>
      <c r="P41" s="669"/>
      <c r="Q41" s="670"/>
      <c r="R41" s="668"/>
      <c r="S41" s="669"/>
      <c r="T41" s="669"/>
      <c r="U41" s="669"/>
      <c r="V41" s="669"/>
      <c r="W41" s="669"/>
      <c r="X41" s="670"/>
    </row>
    <row r="42" spans="3:40" s="623" customFormat="1" ht="21.95" customHeight="1">
      <c r="C42" s="657" t="str">
        <f>nmProd2</f>
        <v>Harken</v>
      </c>
      <c r="D42" s="618"/>
      <c r="E42" s="618"/>
      <c r="F42" s="618"/>
      <c r="G42" s="618"/>
      <c r="H42" s="618"/>
      <c r="I42" s="618"/>
      <c r="J42" s="618"/>
      <c r="K42" s="618"/>
      <c r="L42" s="618"/>
      <c r="M42" s="618"/>
      <c r="N42" s="618"/>
      <c r="O42" s="618"/>
      <c r="V42" s="711"/>
      <c r="W42" s="711"/>
    </row>
    <row r="43" spans="3:40" s="623" customFormat="1" ht="7.5" customHeight="1">
      <c r="O43" s="624"/>
      <c r="V43" s="711"/>
      <c r="W43" s="711"/>
    </row>
    <row r="44" spans="3:40" s="623" customFormat="1" ht="49.5" customHeight="1">
      <c r="E44" s="656" t="s">
        <v>393</v>
      </c>
      <c r="F44" s="631"/>
      <c r="H44" s="656" t="s">
        <v>363</v>
      </c>
      <c r="I44" s="656"/>
      <c r="J44" s="655"/>
      <c r="K44" s="656"/>
      <c r="L44" s="656" t="s">
        <v>1761</v>
      </c>
      <c r="M44" s="631"/>
      <c r="N44" s="656"/>
      <c r="O44" s="624"/>
      <c r="V44" s="711"/>
      <c r="W44" s="711"/>
      <c r="AN44" s="631"/>
    </row>
    <row r="45" spans="3:40" s="623" customFormat="1" ht="7.5" customHeight="1" thickBot="1">
      <c r="H45" s="634"/>
      <c r="I45" s="635"/>
      <c r="J45" s="634"/>
      <c r="K45" s="635"/>
      <c r="L45" s="635"/>
      <c r="N45" s="635"/>
      <c r="O45" s="624"/>
      <c r="V45" s="711"/>
      <c r="W45" s="711"/>
    </row>
    <row r="46" spans="3:40" s="623" customFormat="1" ht="21.95" customHeight="1" thickBot="1">
      <c r="C46" s="623" t="s">
        <v>379</v>
      </c>
      <c r="E46" s="789">
        <f>1-tlinputCh2Prod2Slot2Forecast-tlinputCh2Prod2Slot3Forecast</f>
        <v>1</v>
      </c>
      <c r="F46" s="624" t="s">
        <v>3147</v>
      </c>
      <c r="H46" s="630" t="s">
        <v>4423</v>
      </c>
      <c r="I46" s="624" t="s">
        <v>3145</v>
      </c>
      <c r="K46" s="636"/>
      <c r="L46" s="683">
        <v>7.3</v>
      </c>
      <c r="M46" s="624" t="s">
        <v>3146</v>
      </c>
      <c r="N46" s="636"/>
      <c r="O46" s="624"/>
      <c r="V46" s="711"/>
      <c r="W46" s="711"/>
    </row>
    <row r="47" spans="3:40" s="623" customFormat="1" ht="7.5" customHeight="1" thickBot="1">
      <c r="I47" s="624"/>
      <c r="M47" s="624"/>
      <c r="O47" s="624"/>
      <c r="V47" s="711"/>
      <c r="W47" s="711"/>
    </row>
    <row r="48" spans="3:40" s="623" customFormat="1" ht="21.95" customHeight="1" thickBot="1">
      <c r="C48" s="623" t="s">
        <v>394</v>
      </c>
      <c r="E48" s="637">
        <v>0</v>
      </c>
      <c r="F48" s="624" t="s">
        <v>3150</v>
      </c>
      <c r="H48" s="630" t="s">
        <v>350</v>
      </c>
      <c r="I48" s="624" t="s">
        <v>3148</v>
      </c>
      <c r="K48" s="636"/>
      <c r="L48" s="683">
        <v>0</v>
      </c>
      <c r="M48" s="624" t="s">
        <v>3149</v>
      </c>
      <c r="N48" s="636"/>
      <c r="O48" s="624"/>
      <c r="V48" s="711"/>
      <c r="W48" s="711"/>
    </row>
    <row r="49" spans="3:23" s="623" customFormat="1" ht="7.5" customHeight="1" thickBot="1">
      <c r="I49" s="624"/>
      <c r="M49" s="624"/>
      <c r="O49" s="624"/>
      <c r="V49" s="711"/>
      <c r="W49" s="711"/>
    </row>
    <row r="50" spans="3:23" s="623" customFormat="1" ht="21.95" customHeight="1" thickBot="1">
      <c r="C50" s="623" t="s">
        <v>395</v>
      </c>
      <c r="E50" s="637">
        <v>0</v>
      </c>
      <c r="F50" s="624" t="s">
        <v>3153</v>
      </c>
      <c r="H50" s="630" t="s">
        <v>350</v>
      </c>
      <c r="I50" s="624" t="s">
        <v>3151</v>
      </c>
      <c r="K50" s="636"/>
      <c r="L50" s="683">
        <v>0</v>
      </c>
      <c r="M50" s="624" t="s">
        <v>3152</v>
      </c>
      <c r="N50" s="636"/>
      <c r="O50" s="624"/>
      <c r="V50" s="711"/>
      <c r="W50" s="711"/>
    </row>
    <row r="51" spans="3:23" s="623" customFormat="1" ht="7.5" customHeight="1">
      <c r="I51" s="624"/>
      <c r="O51" s="624"/>
      <c r="V51" s="711"/>
      <c r="W51" s="711"/>
    </row>
    <row r="52" spans="3:23" s="623" customFormat="1" ht="21.95" customHeight="1">
      <c r="C52" s="631" t="s">
        <v>1404</v>
      </c>
      <c r="D52" s="631"/>
      <c r="E52" s="658" t="str">
        <f>nmEmp1&amp;" Required"</f>
        <v>MTUs Required</v>
      </c>
      <c r="F52" s="624"/>
      <c r="G52" s="631"/>
      <c r="H52" s="658" t="s">
        <v>748</v>
      </c>
      <c r="I52" s="658"/>
      <c r="J52" s="631"/>
      <c r="K52" s="631"/>
      <c r="L52" s="658"/>
      <c r="O52" s="624"/>
      <c r="V52" s="711"/>
      <c r="W52" s="711"/>
    </row>
    <row r="53" spans="3:23" s="623" customFormat="1" ht="7.5" customHeight="1">
      <c r="F53" s="624"/>
      <c r="O53" s="624"/>
      <c r="V53" s="711"/>
      <c r="W53" s="711"/>
    </row>
    <row r="54" spans="3:23" s="623" customFormat="1" ht="21.95" customHeight="1">
      <c r="E54" s="636">
        <f>tlOutputCh2Prod2NewSlotEmp1</f>
        <v>6</v>
      </c>
      <c r="F54" s="624"/>
      <c r="H54" s="871">
        <f>tlOutputCh2Prod3NewSlotExp</f>
        <v>9000000</v>
      </c>
      <c r="I54" s="758"/>
      <c r="O54" s="624"/>
      <c r="V54" s="711"/>
      <c r="W54" s="711"/>
    </row>
    <row r="55" spans="3:23" s="623" customFormat="1" ht="7.5" customHeight="1">
      <c r="I55" s="624"/>
      <c r="O55" s="624"/>
      <c r="V55" s="711"/>
      <c r="W55" s="711"/>
    </row>
    <row r="56" spans="3:23" s="623" customFormat="1" ht="21.95" customHeight="1">
      <c r="I56" s="624"/>
      <c r="O56" s="624"/>
      <c r="V56" s="711"/>
      <c r="W56" s="711"/>
    </row>
    <row r="57" spans="3:23" s="623" customFormat="1" ht="7.5" customHeight="1">
      <c r="I57" s="624"/>
      <c r="O57" s="624"/>
      <c r="V57" s="711"/>
      <c r="W57" s="711"/>
    </row>
    <row r="58" spans="3:23" s="623" customFormat="1" ht="21.95" customHeight="1">
      <c r="C58" s="657" t="str">
        <f>nmProd3</f>
        <v>Kara</v>
      </c>
      <c r="D58" s="618"/>
      <c r="E58" s="618"/>
      <c r="F58" s="618"/>
      <c r="G58" s="618"/>
      <c r="H58" s="618"/>
      <c r="I58" s="618"/>
      <c r="J58" s="618"/>
      <c r="K58" s="618"/>
      <c r="L58" s="618"/>
      <c r="M58" s="618"/>
      <c r="N58" s="618"/>
      <c r="O58" s="618"/>
      <c r="V58" s="711"/>
      <c r="W58" s="711"/>
    </row>
    <row r="59" spans="3:23" s="623" customFormat="1" ht="7.5" customHeight="1">
      <c r="I59" s="624"/>
      <c r="O59" s="624"/>
      <c r="V59" s="711"/>
      <c r="W59" s="711"/>
    </row>
    <row r="60" spans="3:23" s="623" customFormat="1" ht="49.5" customHeight="1">
      <c r="E60" s="656" t="s">
        <v>393</v>
      </c>
      <c r="H60" s="656" t="s">
        <v>363</v>
      </c>
      <c r="I60" s="624"/>
      <c r="J60" s="655"/>
      <c r="K60" s="656"/>
      <c r="L60" s="656" t="s">
        <v>1761</v>
      </c>
      <c r="M60" s="624"/>
      <c r="N60" s="656"/>
      <c r="O60" s="624"/>
      <c r="V60" s="711"/>
      <c r="W60" s="711"/>
    </row>
    <row r="61" spans="3:23" s="623" customFormat="1" ht="7.5" customHeight="1" thickBot="1">
      <c r="H61" s="634"/>
      <c r="I61" s="624"/>
      <c r="J61" s="634"/>
      <c r="K61" s="635"/>
      <c r="L61" s="635"/>
      <c r="M61" s="624"/>
      <c r="N61" s="635"/>
      <c r="O61" s="624"/>
      <c r="V61" s="711"/>
      <c r="W61" s="711"/>
    </row>
    <row r="62" spans="3:23" s="623" customFormat="1" ht="21.95" customHeight="1" thickBot="1">
      <c r="C62" s="623" t="s">
        <v>379</v>
      </c>
      <c r="E62" s="789">
        <f>1-tlinputCh2Prod3Slot2Forecast-tlinputCh2Prod3Slot3Forecast</f>
        <v>1</v>
      </c>
      <c r="F62" s="624" t="s">
        <v>3156</v>
      </c>
      <c r="H62" s="630" t="s">
        <v>352</v>
      </c>
      <c r="I62" s="624" t="s">
        <v>3154</v>
      </c>
      <c r="K62" s="636"/>
      <c r="L62" s="683">
        <v>7</v>
      </c>
      <c r="M62" s="624" t="s">
        <v>3155</v>
      </c>
      <c r="N62" s="636"/>
      <c r="O62" s="624"/>
      <c r="V62" s="711"/>
      <c r="W62" s="711"/>
    </row>
    <row r="63" spans="3:23" s="623" customFormat="1" ht="7.5" customHeight="1" thickBot="1">
      <c r="I63" s="624"/>
      <c r="M63" s="624"/>
      <c r="O63" s="624"/>
      <c r="V63" s="711"/>
      <c r="W63" s="711"/>
    </row>
    <row r="64" spans="3:23" s="623" customFormat="1" ht="21.95" customHeight="1" thickBot="1">
      <c r="C64" s="623" t="s">
        <v>394</v>
      </c>
      <c r="E64" s="637">
        <v>0</v>
      </c>
      <c r="F64" s="624" t="s">
        <v>3159</v>
      </c>
      <c r="H64" s="630" t="s">
        <v>350</v>
      </c>
      <c r="I64" s="624" t="s">
        <v>3157</v>
      </c>
      <c r="K64" s="636"/>
      <c r="L64" s="683">
        <v>0</v>
      </c>
      <c r="M64" s="624" t="s">
        <v>3158</v>
      </c>
      <c r="N64" s="636"/>
      <c r="O64" s="624"/>
      <c r="V64" s="711"/>
      <c r="W64" s="711"/>
    </row>
    <row r="65" spans="3:23" s="623" customFormat="1" ht="7.5" customHeight="1" thickBot="1">
      <c r="I65" s="624"/>
      <c r="M65" s="624"/>
      <c r="O65" s="624"/>
      <c r="V65" s="711"/>
      <c r="W65" s="711"/>
    </row>
    <row r="66" spans="3:23" s="623" customFormat="1" ht="21.95" customHeight="1" thickBot="1">
      <c r="C66" s="623" t="s">
        <v>395</v>
      </c>
      <c r="E66" s="637">
        <v>0</v>
      </c>
      <c r="F66" s="624" t="s">
        <v>3162</v>
      </c>
      <c r="H66" s="630" t="s">
        <v>350</v>
      </c>
      <c r="I66" s="624" t="s">
        <v>3160</v>
      </c>
      <c r="K66" s="636"/>
      <c r="L66" s="683">
        <v>0</v>
      </c>
      <c r="M66" s="624" t="s">
        <v>3161</v>
      </c>
      <c r="N66" s="636"/>
      <c r="O66" s="624"/>
      <c r="V66" s="711"/>
      <c r="W66" s="711"/>
    </row>
    <row r="67" spans="3:23" s="623" customFormat="1" ht="7.5" customHeight="1">
      <c r="I67" s="624"/>
      <c r="O67" s="624"/>
      <c r="V67" s="711"/>
      <c r="W67" s="711"/>
    </row>
    <row r="68" spans="3:23" s="623" customFormat="1" ht="21.95" customHeight="1">
      <c r="C68" s="631" t="s">
        <v>1404</v>
      </c>
      <c r="D68" s="631"/>
      <c r="E68" s="658" t="str">
        <f>nmEmp1&amp;" Required"</f>
        <v>MTUs Required</v>
      </c>
      <c r="H68" s="658" t="s">
        <v>748</v>
      </c>
      <c r="I68" s="658"/>
      <c r="J68" s="631"/>
      <c r="K68" s="631"/>
      <c r="O68" s="624"/>
      <c r="V68" s="711"/>
      <c r="W68" s="711"/>
    </row>
    <row r="69" spans="3:23" s="623" customFormat="1" ht="7.5" customHeight="1">
      <c r="O69" s="624"/>
      <c r="V69" s="711"/>
      <c r="W69" s="711"/>
    </row>
    <row r="70" spans="3:23" s="623" customFormat="1" ht="21.95" customHeight="1">
      <c r="E70" s="636"/>
      <c r="H70" s="758"/>
      <c r="I70" s="758"/>
      <c r="O70" s="624"/>
      <c r="V70" s="711"/>
      <c r="W70" s="711"/>
    </row>
    <row r="71" spans="3:23" s="623" customFormat="1" ht="7.5" customHeight="1">
      <c r="O71" s="624"/>
      <c r="V71" s="711"/>
      <c r="W71" s="711"/>
    </row>
    <row r="72" spans="3:23" s="623" customFormat="1" ht="21.95" customHeight="1">
      <c r="I72" s="624"/>
      <c r="O72" s="624"/>
      <c r="V72" s="711"/>
      <c r="W72" s="711"/>
    </row>
    <row r="73" spans="3:23" s="623" customFormat="1" ht="7.5" customHeight="1">
      <c r="I73" s="624"/>
      <c r="O73" s="624"/>
      <c r="V73" s="711"/>
      <c r="W73" s="711"/>
    </row>
    <row r="74" spans="3:23" s="623" customFormat="1" ht="21.95" customHeight="1">
      <c r="C74" s="657"/>
      <c r="D74" s="618"/>
      <c r="E74" s="618"/>
      <c r="F74" s="618"/>
      <c r="G74" s="618"/>
      <c r="H74" s="618"/>
      <c r="I74" s="618"/>
      <c r="J74" s="618"/>
      <c r="K74" s="618"/>
      <c r="L74" s="618"/>
      <c r="M74" s="618"/>
      <c r="N74" s="618"/>
      <c r="O74" s="618"/>
      <c r="V74" s="711"/>
      <c r="W74" s="711"/>
    </row>
    <row r="75" spans="3:23" s="623" customFormat="1" ht="11.45" customHeight="1">
      <c r="I75" s="624"/>
      <c r="O75" s="624"/>
      <c r="V75" s="711"/>
      <c r="W75" s="711"/>
    </row>
    <row r="76" spans="3:23" s="623" customFormat="1" ht="49.5" customHeight="1">
      <c r="E76" s="656" t="s">
        <v>393</v>
      </c>
      <c r="H76" s="656" t="s">
        <v>363</v>
      </c>
      <c r="I76" s="624"/>
      <c r="K76" s="656"/>
      <c r="L76" s="656" t="s">
        <v>1761</v>
      </c>
      <c r="M76" s="624"/>
      <c r="N76" s="656"/>
      <c r="O76" s="624"/>
      <c r="V76" s="711"/>
      <c r="W76" s="711"/>
    </row>
    <row r="77" spans="3:23" s="623" customFormat="1" ht="7.5" customHeight="1" thickBot="1">
      <c r="H77" s="634"/>
      <c r="I77" s="624"/>
      <c r="K77" s="635"/>
      <c r="L77" s="635"/>
      <c r="M77" s="624"/>
      <c r="N77" s="635"/>
      <c r="O77" s="624"/>
      <c r="V77" s="711"/>
      <c r="W77" s="711"/>
    </row>
    <row r="78" spans="3:23" s="623" customFormat="1" ht="21.95" customHeight="1" thickBot="1">
      <c r="C78" s="623" t="s">
        <v>379</v>
      </c>
      <c r="E78" s="789">
        <f>1-tlinputCh2Prod1Slot2Forecast-tlinputCh2Prod1Slot3Forecast</f>
        <v>1</v>
      </c>
      <c r="F78" s="624" t="s">
        <v>3138</v>
      </c>
      <c r="H78" s="630" t="s">
        <v>4421</v>
      </c>
      <c r="I78" s="624" t="s">
        <v>3136</v>
      </c>
      <c r="K78" s="636"/>
      <c r="L78" s="683">
        <v>7.9</v>
      </c>
      <c r="M78" s="624" t="s">
        <v>3137</v>
      </c>
      <c r="N78" s="636"/>
      <c r="O78" s="624"/>
      <c r="V78" s="711"/>
      <c r="W78" s="711"/>
    </row>
    <row r="79" spans="3:23" s="623" customFormat="1" ht="7.5" customHeight="1" thickBot="1">
      <c r="I79" s="624"/>
      <c r="M79" s="624"/>
      <c r="O79" s="624"/>
      <c r="V79" s="711"/>
      <c r="W79" s="711"/>
    </row>
    <row r="80" spans="3:23" s="623" customFormat="1" ht="21.95" customHeight="1" thickBot="1">
      <c r="C80" s="623" t="s">
        <v>394</v>
      </c>
      <c r="E80" s="637">
        <v>0</v>
      </c>
      <c r="F80" s="624" t="s">
        <v>3141</v>
      </c>
      <c r="H80" s="630" t="s">
        <v>350</v>
      </c>
      <c r="I80" s="624" t="s">
        <v>3139</v>
      </c>
      <c r="K80" s="636"/>
      <c r="L80" s="683">
        <v>0</v>
      </c>
      <c r="M80" s="624" t="s">
        <v>3140</v>
      </c>
      <c r="N80" s="636"/>
      <c r="O80" s="624"/>
      <c r="V80" s="711"/>
      <c r="W80" s="711"/>
    </row>
    <row r="81" spans="3:23" s="623" customFormat="1" ht="7.5" customHeight="1" thickBot="1">
      <c r="I81" s="624"/>
      <c r="M81" s="624"/>
      <c r="O81" s="624"/>
      <c r="V81" s="711"/>
      <c r="W81" s="711"/>
    </row>
    <row r="82" spans="3:23" s="623" customFormat="1" ht="21.95" customHeight="1" thickBot="1">
      <c r="C82" s="623" t="s">
        <v>395</v>
      </c>
      <c r="E82" s="637">
        <v>0</v>
      </c>
      <c r="F82" s="624" t="s">
        <v>3144</v>
      </c>
      <c r="H82" s="630" t="s">
        <v>350</v>
      </c>
      <c r="I82" s="624" t="s">
        <v>3142</v>
      </c>
      <c r="K82" s="636"/>
      <c r="L82" s="683">
        <v>0</v>
      </c>
      <c r="M82" s="624" t="s">
        <v>3143</v>
      </c>
      <c r="N82" s="636"/>
      <c r="O82" s="624"/>
      <c r="V82" s="711"/>
      <c r="W82" s="711"/>
    </row>
    <row r="83" spans="3:23" s="623" customFormat="1" ht="7.5" customHeight="1">
      <c r="I83" s="624"/>
      <c r="O83" s="624"/>
      <c r="V83" s="711"/>
      <c r="W83" s="711"/>
    </row>
    <row r="84" spans="3:23" s="623" customFormat="1" ht="21.95" customHeight="1">
      <c r="C84" s="631" t="s">
        <v>1404</v>
      </c>
      <c r="D84" s="631"/>
      <c r="E84" s="658"/>
      <c r="H84" s="658"/>
      <c r="I84" s="658"/>
      <c r="J84" s="631"/>
      <c r="K84" s="631"/>
      <c r="O84" s="624"/>
      <c r="V84" s="711"/>
      <c r="W84" s="711"/>
    </row>
    <row r="85" spans="3:23" s="623" customFormat="1" ht="7.5" customHeight="1">
      <c r="O85" s="624"/>
      <c r="V85" s="711"/>
      <c r="W85" s="711"/>
    </row>
    <row r="86" spans="3:23" s="623" customFormat="1" ht="21.95" customHeight="1">
      <c r="E86" s="636"/>
      <c r="H86" s="758"/>
      <c r="I86" s="758"/>
      <c r="O86" s="624"/>
      <c r="V86" s="711"/>
      <c r="W86" s="711"/>
    </row>
    <row r="87" spans="3:23" s="623" customFormat="1" ht="7.5" customHeight="1">
      <c r="I87" s="624"/>
      <c r="O87" s="624"/>
      <c r="V87" s="711"/>
      <c r="W87" s="711"/>
    </row>
    <row r="88" spans="3:23" s="623" customFormat="1" ht="21.95" customHeight="1">
      <c r="I88" s="624"/>
      <c r="O88" s="624"/>
      <c r="V88" s="711"/>
      <c r="W88" s="711"/>
    </row>
    <row r="89" spans="3:23" s="623" customFormat="1" ht="7.5" customHeight="1">
      <c r="I89" s="624"/>
      <c r="O89" s="624"/>
      <c r="V89" s="711"/>
      <c r="W89" s="711"/>
    </row>
    <row r="90" spans="3:23" s="623" customFormat="1" ht="21.95" customHeight="1">
      <c r="C90" s="657" t="str">
        <f>nmProd4</f>
        <v>Brew Master</v>
      </c>
      <c r="D90" s="618"/>
      <c r="E90" s="618"/>
      <c r="F90" s="618"/>
      <c r="G90" s="618"/>
      <c r="H90" s="618"/>
      <c r="I90" s="618"/>
      <c r="J90" s="618"/>
      <c r="K90" s="618"/>
      <c r="L90" s="618"/>
      <c r="M90" s="618"/>
      <c r="N90" s="618"/>
      <c r="O90" s="618"/>
      <c r="V90" s="711"/>
      <c r="W90" s="711"/>
    </row>
    <row r="91" spans="3:23" s="623" customFormat="1" ht="7.5" customHeight="1">
      <c r="I91" s="624"/>
      <c r="O91" s="624"/>
      <c r="V91" s="711"/>
      <c r="W91" s="711"/>
    </row>
    <row r="92" spans="3:23" s="623" customFormat="1" ht="49.5" customHeight="1">
      <c r="E92" s="656" t="s">
        <v>393</v>
      </c>
      <c r="H92" s="656" t="s">
        <v>363</v>
      </c>
      <c r="I92" s="624"/>
      <c r="J92" s="655"/>
      <c r="K92" s="656"/>
      <c r="L92" s="656" t="s">
        <v>1761</v>
      </c>
      <c r="M92" s="624"/>
      <c r="N92" s="656"/>
      <c r="O92" s="624"/>
      <c r="V92" s="711"/>
      <c r="W92" s="711"/>
    </row>
    <row r="93" spans="3:23" s="623" customFormat="1" ht="7.5" customHeight="1" thickBot="1">
      <c r="H93" s="634"/>
      <c r="I93" s="624"/>
      <c r="J93" s="634"/>
      <c r="K93" s="635"/>
      <c r="L93" s="635"/>
      <c r="M93" s="624"/>
      <c r="N93" s="635"/>
      <c r="O93" s="624"/>
      <c r="V93" s="711"/>
      <c r="W93" s="711"/>
    </row>
    <row r="94" spans="3:23" s="623" customFormat="1" ht="21.95" customHeight="1" thickBot="1">
      <c r="C94" s="623" t="s">
        <v>379</v>
      </c>
      <c r="E94" s="789">
        <f>1-tlinputCh2Prod4Slot2Forecast-tlinputCh2Prod4Slot3Forecast</f>
        <v>1</v>
      </c>
      <c r="F94" s="624" t="s">
        <v>3165</v>
      </c>
      <c r="H94" s="630" t="s">
        <v>350</v>
      </c>
      <c r="I94" s="624" t="s">
        <v>3163</v>
      </c>
      <c r="K94" s="636"/>
      <c r="L94" s="683">
        <v>0</v>
      </c>
      <c r="M94" s="624" t="s">
        <v>3164</v>
      </c>
      <c r="N94" s="636"/>
      <c r="O94" s="624"/>
      <c r="V94" s="711"/>
      <c r="W94" s="711"/>
    </row>
    <row r="95" spans="3:23" s="623" customFormat="1" ht="7.5" customHeight="1" thickBot="1">
      <c r="I95" s="624"/>
      <c r="M95" s="624"/>
      <c r="O95" s="624"/>
      <c r="V95" s="711"/>
      <c r="W95" s="711"/>
    </row>
    <row r="96" spans="3:23" s="623" customFormat="1" ht="21.95" customHeight="1" thickBot="1">
      <c r="C96" s="623" t="s">
        <v>394</v>
      </c>
      <c r="E96" s="637">
        <v>0</v>
      </c>
      <c r="F96" s="624" t="s">
        <v>3168</v>
      </c>
      <c r="H96" s="630" t="s">
        <v>350</v>
      </c>
      <c r="I96" s="624" t="s">
        <v>3166</v>
      </c>
      <c r="K96" s="636"/>
      <c r="L96" s="683">
        <v>0</v>
      </c>
      <c r="M96" s="624" t="s">
        <v>3167</v>
      </c>
      <c r="N96" s="636"/>
      <c r="O96" s="624"/>
      <c r="V96" s="711"/>
      <c r="W96" s="711"/>
    </row>
    <row r="97" spans="3:55" s="623" customFormat="1" ht="7.5" customHeight="1" thickBot="1">
      <c r="I97" s="624"/>
      <c r="M97" s="624"/>
      <c r="O97" s="624"/>
      <c r="V97" s="711"/>
      <c r="W97" s="711"/>
    </row>
    <row r="98" spans="3:55" s="623" customFormat="1" ht="21.95" customHeight="1" thickBot="1">
      <c r="C98" s="623" t="s">
        <v>395</v>
      </c>
      <c r="E98" s="637">
        <v>0</v>
      </c>
      <c r="F98" s="624" t="s">
        <v>3171</v>
      </c>
      <c r="H98" s="630" t="s">
        <v>350</v>
      </c>
      <c r="I98" s="624" t="s">
        <v>3169</v>
      </c>
      <c r="K98" s="636"/>
      <c r="L98" s="683">
        <v>0</v>
      </c>
      <c r="M98" s="624" t="s">
        <v>3170</v>
      </c>
      <c r="N98" s="636"/>
      <c r="O98" s="624"/>
      <c r="V98" s="711"/>
      <c r="W98" s="711"/>
    </row>
    <row r="99" spans="3:55" s="623" customFormat="1" ht="7.5" customHeight="1">
      <c r="O99" s="624"/>
      <c r="V99" s="711"/>
      <c r="W99" s="711"/>
    </row>
    <row r="100" spans="3:55" s="623" customFormat="1" ht="21.95" customHeight="1">
      <c r="C100" s="631" t="s">
        <v>1404</v>
      </c>
      <c r="D100" s="631"/>
      <c r="E100" s="658" t="str">
        <f>nmEmp1&amp;" Required"</f>
        <v>MTUs Required</v>
      </c>
      <c r="H100" s="658" t="s">
        <v>748</v>
      </c>
      <c r="I100" s="658"/>
      <c r="J100" s="631"/>
      <c r="K100" s="631"/>
      <c r="O100" s="624"/>
      <c r="V100" s="711"/>
      <c r="W100" s="711"/>
    </row>
    <row r="101" spans="3:55" s="623" customFormat="1" ht="7.5" customHeight="1">
      <c r="O101" s="624"/>
      <c r="V101" s="711"/>
      <c r="W101" s="711"/>
    </row>
    <row r="102" spans="3:55" s="623" customFormat="1" ht="21.95" customHeight="1">
      <c r="E102" s="636"/>
      <c r="H102" s="758"/>
      <c r="I102" s="758"/>
      <c r="O102" s="624"/>
      <c r="V102" s="711"/>
      <c r="W102" s="711"/>
    </row>
    <row r="103" spans="3:55" s="623" customFormat="1" ht="7.5" customHeight="1">
      <c r="O103" s="624"/>
      <c r="V103" s="711"/>
      <c r="W103" s="711"/>
    </row>
    <row r="104" spans="3:55" s="623" customFormat="1" ht="21.95" customHeight="1">
      <c r="H104" s="636"/>
      <c r="L104" s="758"/>
      <c r="M104" s="758"/>
      <c r="O104" s="624"/>
      <c r="V104" s="711"/>
      <c r="W104" s="711"/>
    </row>
    <row r="105" spans="3:55" s="623" customFormat="1" ht="7.5" customHeight="1">
      <c r="O105" s="624"/>
      <c r="V105" s="711"/>
      <c r="W105" s="711"/>
    </row>
    <row r="106" spans="3:55" s="689" customFormat="1" ht="21.95" customHeight="1">
      <c r="AY106" s="759" t="s">
        <v>6604</v>
      </c>
    </row>
    <row r="107" spans="3:55" s="689" customFormat="1" ht="21.95" customHeight="1" thickBot="1"/>
    <row r="108" spans="3:55" s="689" customFormat="1" ht="21.95" customHeight="1">
      <c r="AX108" s="760"/>
      <c r="AY108" s="768" t="s">
        <v>6605</v>
      </c>
      <c r="AZ108" s="761"/>
      <c r="BA108" s="762"/>
    </row>
    <row r="109" spans="3:55" s="689" customFormat="1" ht="21.95" customHeight="1">
      <c r="AX109" s="763"/>
      <c r="AY109" s="701" t="s">
        <v>6606</v>
      </c>
      <c r="AZ109" s="701"/>
      <c r="BA109" s="764"/>
    </row>
    <row r="110" spans="3:55" s="689" customFormat="1" ht="21.95" customHeight="1">
      <c r="AX110" s="763"/>
      <c r="AY110" s="701"/>
      <c r="AZ110" s="701"/>
      <c r="BA110" s="764"/>
    </row>
    <row r="111" spans="3:55" s="689" customFormat="1" ht="21.95" customHeight="1">
      <c r="AX111" s="763"/>
      <c r="AY111" s="701"/>
      <c r="AZ111" s="701" t="s">
        <v>583</v>
      </c>
      <c r="BA111" s="764"/>
      <c r="BC111" s="689" t="s">
        <v>6607</v>
      </c>
    </row>
    <row r="112" spans="3:55" s="689" customFormat="1" ht="21.95" customHeight="1">
      <c r="AU112" s="689">
        <f>tlOutputCh2Prod1Open</f>
        <v>1</v>
      </c>
      <c r="AX112" s="763"/>
      <c r="AY112" s="703">
        <v>1</v>
      </c>
      <c r="AZ112" s="701" t="s">
        <v>3172</v>
      </c>
      <c r="BA112" s="764"/>
      <c r="BC112" s="689">
        <f>IF(tlinputCh2Prod1Slot1Pack="Select pack",0,1)</f>
        <v>1</v>
      </c>
    </row>
    <row r="113" spans="47:55" s="689" customFormat="1" ht="21.95" customHeight="1">
      <c r="AU113" s="689">
        <f>tlOutputCh2Prod1Close</f>
        <v>0</v>
      </c>
      <c r="AX113" s="763"/>
      <c r="AY113" s="703">
        <v>0</v>
      </c>
      <c r="AZ113" s="701" t="s">
        <v>3173</v>
      </c>
      <c r="BA113" s="764"/>
      <c r="BC113" s="689">
        <f>IF(tlinputCh2Prod1Slot2Pack="Select pack",0,1)</f>
        <v>0</v>
      </c>
    </row>
    <row r="114" spans="47:55" s="689" customFormat="1" ht="21.95" customHeight="1">
      <c r="AX114" s="763"/>
      <c r="AY114" s="703">
        <v>0</v>
      </c>
      <c r="AZ114" s="701" t="s">
        <v>3174</v>
      </c>
      <c r="BA114" s="764"/>
      <c r="BC114" s="689">
        <f>IF(tlinputCh2Prod1Slot3Pack="Select pack",0,1)</f>
        <v>0</v>
      </c>
    </row>
    <row r="115" spans="47:55" s="689" customFormat="1" ht="21.95" customHeight="1">
      <c r="AU115" s="689">
        <f>tlOutputCh2Prod2Open</f>
        <v>1</v>
      </c>
      <c r="AX115" s="763"/>
      <c r="AY115" s="703">
        <v>1</v>
      </c>
      <c r="AZ115" s="701" t="s">
        <v>3175</v>
      </c>
      <c r="BA115" s="764"/>
      <c r="BC115" s="689">
        <f>IF(tlinputCh2Prod2Slot1Pack="Select pack",0,1)</f>
        <v>1</v>
      </c>
    </row>
    <row r="116" spans="47:55" s="689" customFormat="1" ht="21.95" customHeight="1">
      <c r="AU116" s="689">
        <f>tlOutputCh2Prod2Close</f>
        <v>0</v>
      </c>
      <c r="AX116" s="763"/>
      <c r="AY116" s="703">
        <v>0</v>
      </c>
      <c r="AZ116" s="701" t="s">
        <v>3176</v>
      </c>
      <c r="BA116" s="764"/>
      <c r="BC116" s="689">
        <f>IF(tlinputCh2Prod2Slot2Pack="Select pack",0,1)</f>
        <v>0</v>
      </c>
    </row>
    <row r="117" spans="47:55" s="689" customFormat="1" ht="21.95" customHeight="1">
      <c r="AX117" s="763"/>
      <c r="AY117" s="703">
        <v>0</v>
      </c>
      <c r="AZ117" s="701" t="s">
        <v>3177</v>
      </c>
      <c r="BA117" s="764"/>
      <c r="BC117" s="689">
        <f>IF(tlinputCh2Prod2Slot3Pack="Select pack",0,1)</f>
        <v>0</v>
      </c>
    </row>
    <row r="118" spans="47:55" s="689" customFormat="1" ht="21.95" customHeight="1">
      <c r="AU118" s="689">
        <f>tlOutputCh2Prod3Open</f>
        <v>1</v>
      </c>
      <c r="AX118" s="763"/>
      <c r="AY118" s="703">
        <v>1</v>
      </c>
      <c r="AZ118" s="701" t="s">
        <v>3178</v>
      </c>
      <c r="BA118" s="764"/>
      <c r="BC118" s="689">
        <f>IF(tlinputCh2Prod3Slot1Pack="Select pack",0,1)</f>
        <v>1</v>
      </c>
    </row>
    <row r="119" spans="47:55" s="689" customFormat="1" ht="21.95" customHeight="1">
      <c r="AU119" s="689">
        <f>tlOutputCh2Prod3Close</f>
        <v>0</v>
      </c>
      <c r="AX119" s="763"/>
      <c r="AY119" s="703">
        <v>0</v>
      </c>
      <c r="AZ119" s="701" t="s">
        <v>3179</v>
      </c>
      <c r="BA119" s="764"/>
      <c r="BC119" s="689">
        <f>IF(tlinputCh2Prod3Slot2Pack="Select pack",0,1)</f>
        <v>0</v>
      </c>
    </row>
    <row r="120" spans="47:55" s="689" customFormat="1" ht="21.95" customHeight="1">
      <c r="AX120" s="763"/>
      <c r="AY120" s="703">
        <v>0</v>
      </c>
      <c r="AZ120" s="701" t="s">
        <v>3180</v>
      </c>
      <c r="BA120" s="764"/>
      <c r="BC120" s="689">
        <f>IF(tlinputCh2Prod3Slot3Pack="Select pack",0,1)</f>
        <v>0</v>
      </c>
    </row>
    <row r="121" spans="47:55" s="689" customFormat="1" ht="21.95" customHeight="1">
      <c r="AU121" s="689">
        <f>tlOutputCh2Prod4Open</f>
        <v>1</v>
      </c>
      <c r="AX121" s="763"/>
      <c r="AY121" s="703">
        <v>0</v>
      </c>
      <c r="AZ121" s="701" t="s">
        <v>3181</v>
      </c>
      <c r="BA121" s="764"/>
      <c r="BC121" s="689">
        <f>IF(tlinputCh2Prod4Slot1Pack="Select pack",0,1)</f>
        <v>0</v>
      </c>
    </row>
    <row r="122" spans="47:55" s="689" customFormat="1" ht="21.95" customHeight="1">
      <c r="AU122" s="689">
        <f>tlOutputCh2Prod4Close</f>
        <v>0</v>
      </c>
      <c r="AX122" s="763"/>
      <c r="AY122" s="703">
        <v>0</v>
      </c>
      <c r="AZ122" s="701" t="s">
        <v>3182</v>
      </c>
      <c r="BA122" s="764"/>
      <c r="BC122" s="689">
        <f>IF(tlinputCh2Prod4Slot2Pack="Select pack",0,1)</f>
        <v>0</v>
      </c>
    </row>
    <row r="123" spans="47:55" s="689" customFormat="1" ht="21.95" customHeight="1">
      <c r="AX123" s="763"/>
      <c r="AY123" s="703">
        <v>0</v>
      </c>
      <c r="AZ123" s="701" t="s">
        <v>3183</v>
      </c>
      <c r="BA123" s="764"/>
      <c r="BC123" s="689">
        <f>IF(tlinputCh2Prod4Slot3Pack="Select pack",0,1)</f>
        <v>0</v>
      </c>
    </row>
    <row r="124" spans="47:55" s="689" customFormat="1" ht="21.95" customHeight="1" thickBot="1">
      <c r="AX124" s="765"/>
      <c r="AY124" s="766"/>
      <c r="AZ124" s="766"/>
      <c r="BA124" s="767"/>
    </row>
    <row r="125" spans="47:55" s="689" customFormat="1" ht="21.95" customHeight="1" thickBot="1"/>
    <row r="126" spans="47:55" s="689" customFormat="1" ht="21.95" customHeight="1">
      <c r="AX126" s="760"/>
      <c r="AY126" s="768" t="s">
        <v>6608</v>
      </c>
      <c r="AZ126" s="761"/>
      <c r="BA126" s="762"/>
    </row>
    <row r="127" spans="47:55" s="689" customFormat="1" ht="21.95" customHeight="1">
      <c r="AX127" s="763"/>
      <c r="AY127" s="701" t="s">
        <v>6606</v>
      </c>
      <c r="AZ127" s="701"/>
      <c r="BA127" s="764"/>
    </row>
    <row r="128" spans="47:55" s="689" customFormat="1" ht="21.95" customHeight="1">
      <c r="AX128" s="763"/>
      <c r="AY128" s="701"/>
      <c r="AZ128" s="701"/>
      <c r="BA128" s="764"/>
    </row>
    <row r="129" spans="50:53" s="689" customFormat="1" ht="21.95" customHeight="1">
      <c r="AX129" s="763"/>
      <c r="AY129" s="701"/>
      <c r="AZ129" s="701" t="s">
        <v>583</v>
      </c>
      <c r="BA129" s="764"/>
    </row>
    <row r="130" spans="50:53" s="689" customFormat="1" ht="21.95" customHeight="1">
      <c r="AX130" s="763"/>
      <c r="AY130" s="703">
        <v>0</v>
      </c>
      <c r="AZ130" s="701" t="s">
        <v>6949</v>
      </c>
      <c r="BA130" s="764"/>
    </row>
    <row r="131" spans="50:53" s="689" customFormat="1" ht="21.95" customHeight="1">
      <c r="AX131" s="763"/>
      <c r="AY131" s="703">
        <v>0</v>
      </c>
      <c r="AZ131" s="701" t="s">
        <v>6950</v>
      </c>
      <c r="BA131" s="764"/>
    </row>
    <row r="132" spans="50:53" s="689" customFormat="1" ht="21.95" customHeight="1">
      <c r="AX132" s="763"/>
      <c r="AY132" s="703">
        <v>0</v>
      </c>
      <c r="AZ132" s="701" t="s">
        <v>6951</v>
      </c>
      <c r="BA132" s="764"/>
    </row>
    <row r="133" spans="50:53" s="689" customFormat="1" ht="21.95" customHeight="1">
      <c r="AX133" s="763"/>
      <c r="AY133" s="703">
        <v>0</v>
      </c>
      <c r="AZ133" s="701" t="s">
        <v>6952</v>
      </c>
      <c r="BA133" s="764"/>
    </row>
    <row r="134" spans="50:53" s="689" customFormat="1" ht="21.95" customHeight="1">
      <c r="AX134" s="763"/>
      <c r="AY134" s="703">
        <v>0</v>
      </c>
      <c r="AZ134" s="701" t="s">
        <v>6953</v>
      </c>
      <c r="BA134" s="764"/>
    </row>
    <row r="135" spans="50:53" s="689" customFormat="1" ht="21.95" customHeight="1">
      <c r="AX135" s="763"/>
      <c r="AY135" s="703">
        <v>0</v>
      </c>
      <c r="AZ135" s="701" t="s">
        <v>6954</v>
      </c>
      <c r="BA135" s="764"/>
    </row>
    <row r="136" spans="50:53" s="689" customFormat="1" ht="21.95" customHeight="1" thickBot="1">
      <c r="AX136" s="765"/>
      <c r="AY136" s="766"/>
      <c r="AZ136" s="766"/>
      <c r="BA136" s="767"/>
    </row>
    <row r="137" spans="50:53" s="689" customFormat="1" ht="21.95" customHeight="1"/>
    <row r="138" spans="50:53" s="689" customFormat="1" ht="21.95" customHeight="1"/>
    <row r="139" spans="50:53" s="689" customFormat="1" ht="21.95" customHeight="1"/>
    <row r="140" spans="50:53" s="689" customFormat="1" ht="21.95" customHeight="1"/>
    <row r="141" spans="50:53" s="689" customFormat="1" ht="21.95" customHeight="1"/>
  </sheetData>
  <sheetProtection selectLockedCells="1"/>
  <dataConsolidate/>
  <mergeCells count="4">
    <mergeCell ref="AH11:AI11"/>
    <mergeCell ref="C7:E7"/>
    <mergeCell ref="S11:V11"/>
    <mergeCell ref="AF11:AG11"/>
  </mergeCells>
  <dataValidations count="5">
    <dataValidation type="list" allowBlank="1" showInputMessage="1" showErrorMessage="1" sqref="C7:E7">
      <formula1>INDIRECT(VTCh2_AvailableProgramDropDown)</formula1>
    </dataValidation>
    <dataValidation type="decimal" allowBlank="1" showInputMessage="1" showErrorMessage="1" errorTitle="Invalid Value" error="Please enter a percentage between 10% and 25000%." sqref="L98 L96 L94 L66 L64 L62 L50 L48 L46 L82 L80 L78">
      <formula1>0.1</formula1>
      <formula2>250</formula2>
    </dataValidation>
    <dataValidation type="decimal" allowBlank="1" showInputMessage="1" showErrorMessage="1" errorTitle="Invalid Value" error="Please enter a percentage between 1% and 100%." sqref="E78 E98 E96 E94 E66 E64 E62 E50 E48 E46 E82 E80">
      <formula1>0.01</formula1>
      <formula2>1</formula2>
    </dataValidation>
    <dataValidation type="decimal" allowBlank="1" showInputMessage="1" showErrorMessage="1" errorTitle="Invalid Value" error="Please enter a whole number between 0 and 1." sqref="AY130:AY135 AY112:AY123">
      <formula1>0</formula1>
      <formula2>1</formula2>
    </dataValidation>
    <dataValidation type="list" allowBlank="1" showInputMessage="1" showErrorMessage="1" sqref="H46 H48 H50 H62 H64 H66 H78 H80 H82 H94 H96 H98">
      <formula1>INDIRECT(PackAvailable_AvailableProgramDropDown)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1" max="122" man="1"/>
    <brk id="41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4"/>
  </sheetPr>
  <dimension ref="C1:AI85"/>
  <sheetViews>
    <sheetView zoomScale="60" zoomScaleNormal="60" workbookViewId="0">
      <selection activeCell="W40" sqref="W40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69921875" style="621" customWidth="1"/>
    <col min="5" max="5" width="15.59765625" style="621" customWidth="1"/>
    <col min="6" max="6" width="23.8984375" style="689" hidden="1" customWidth="1"/>
    <col min="7" max="7" width="1.796875" style="621" customWidth="1"/>
    <col min="8" max="8" width="18.5" style="621" customWidth="1"/>
    <col min="9" max="9" width="18.296875" style="689" hidden="1" customWidth="1"/>
    <col min="10" max="10" width="1.69921875" style="621" customWidth="1"/>
    <col min="11" max="11" width="16" style="621" customWidth="1"/>
    <col min="12" max="12" width="16" style="689" hidden="1" customWidth="1"/>
    <col min="13" max="13" width="1.69921875" style="621" customWidth="1"/>
    <col min="14" max="14" width="15.59765625" style="621" customWidth="1"/>
    <col min="15" max="15" width="15.59765625" style="689" hidden="1" customWidth="1"/>
    <col min="16" max="16" width="1.69921875" style="621" customWidth="1"/>
    <col min="17" max="17" width="15.59765625" style="621" customWidth="1"/>
    <col min="18" max="18" width="15.59765625" style="689" hidden="1" customWidth="1"/>
    <col min="19" max="19" width="1.69921875" style="621" customWidth="1"/>
    <col min="20" max="20" width="15.59765625" style="621" customWidth="1"/>
    <col min="21" max="21" width="15.59765625" style="689" hidden="1" customWidth="1"/>
    <col min="22" max="22" width="1.69921875" style="621" customWidth="1"/>
    <col min="23" max="23" width="15.59765625" style="621" customWidth="1"/>
    <col min="24" max="24" width="1.69921875" style="621" customWidth="1"/>
    <col min="25" max="25" width="15.59765625" style="689" customWidth="1"/>
    <col min="26" max="26" width="1.69921875" style="621" customWidth="1"/>
    <col min="27" max="27" width="15.59765625" style="621" customWidth="1"/>
    <col min="28" max="28" width="1.69921875" style="621" customWidth="1"/>
    <col min="29" max="29" width="15.59765625" style="621" customWidth="1"/>
    <col min="30" max="31" width="1.69921875" style="621" customWidth="1"/>
    <col min="32" max="32" width="20.69921875" style="621" customWidth="1"/>
    <col min="33" max="39" width="8.796875" style="621"/>
    <col min="40" max="40" width="29.796875" style="621" customWidth="1"/>
    <col min="41" max="41" width="13.5" style="621" customWidth="1"/>
    <col min="42" max="42" width="24" style="621" customWidth="1"/>
    <col min="43" max="43" width="15.3984375" style="621" customWidth="1"/>
    <col min="44" max="44" width="29.5" style="621" customWidth="1"/>
    <col min="45" max="45" width="19.5" style="621" customWidth="1"/>
    <col min="46" max="46" width="29.296875" style="621" customWidth="1"/>
    <col min="47" max="16384" width="8.796875" style="621"/>
  </cols>
  <sheetData>
    <row r="1" spans="3:35" s="620" customFormat="1" ht="21.75" customHeight="1">
      <c r="D1" s="659"/>
      <c r="E1" s="659"/>
    </row>
    <row r="2" spans="3:35" s="620" customFormat="1" ht="29.25" customHeight="1">
      <c r="D2" s="659"/>
      <c r="E2" s="659"/>
      <c r="H2" s="1007"/>
      <c r="I2" s="726"/>
      <c r="K2" s="1007"/>
      <c r="N2" s="1007"/>
      <c r="Q2" s="1008"/>
      <c r="T2" s="770"/>
      <c r="U2" s="770"/>
      <c r="V2" s="770"/>
      <c r="W2" s="771"/>
      <c r="X2" s="770"/>
      <c r="Y2" s="771"/>
      <c r="Z2" s="770"/>
      <c r="AA2" s="771"/>
      <c r="AB2" s="770"/>
      <c r="AC2" s="771"/>
      <c r="AH2" s="622" t="s">
        <v>1405</v>
      </c>
      <c r="AI2" s="620" t="s">
        <v>35</v>
      </c>
    </row>
    <row r="3" spans="3:35" s="620" customFormat="1" ht="29.25" customHeight="1">
      <c r="C3" s="694" t="str">
        <f>tlOutputCh3</f>
        <v>Convenience</v>
      </c>
      <c r="D3" s="659"/>
      <c r="E3" s="659"/>
      <c r="H3" s="1007"/>
      <c r="K3" s="1007"/>
      <c r="N3" s="1007"/>
      <c r="Q3" s="1008"/>
      <c r="W3" s="771"/>
      <c r="X3" s="770"/>
      <c r="Y3" s="771"/>
      <c r="Z3" s="770"/>
      <c r="AA3" s="771"/>
      <c r="AB3" s="770"/>
      <c r="AC3" s="771"/>
    </row>
    <row r="4" spans="3:35" s="620" customFormat="1" ht="29.25" customHeight="1">
      <c r="C4" s="696" t="s">
        <v>3298</v>
      </c>
      <c r="D4" s="659"/>
      <c r="E4" s="659"/>
      <c r="H4" s="772"/>
      <c r="K4" s="772"/>
      <c r="N4" s="772"/>
      <c r="Q4" s="535"/>
      <c r="W4" s="771"/>
      <c r="X4" s="770"/>
      <c r="Y4" s="771"/>
      <c r="Z4" s="770"/>
      <c r="AA4" s="771"/>
      <c r="AB4" s="770"/>
      <c r="AC4" s="771"/>
    </row>
    <row r="5" spans="3:35" s="623" customFormat="1" ht="12.75" customHeight="1">
      <c r="F5" s="624"/>
    </row>
    <row r="6" spans="3:35" s="623" customFormat="1" ht="20.100000000000001" customHeight="1">
      <c r="C6" s="657" t="s">
        <v>1390</v>
      </c>
      <c r="D6" s="619"/>
      <c r="E6" s="619"/>
      <c r="F6" s="619"/>
      <c r="G6" s="619"/>
      <c r="H6" s="619"/>
      <c r="I6" s="619"/>
      <c r="J6" s="461"/>
      <c r="K6" s="461"/>
      <c r="L6" s="461"/>
      <c r="M6" s="461"/>
      <c r="N6" s="461"/>
      <c r="O6" s="461"/>
      <c r="P6" s="461"/>
      <c r="Q6" s="461"/>
      <c r="R6" s="461"/>
      <c r="S6" s="461"/>
      <c r="T6" s="461"/>
      <c r="U6" s="461"/>
      <c r="V6" s="461"/>
      <c r="W6" s="461"/>
      <c r="X6" s="461"/>
      <c r="Y6" s="461"/>
      <c r="Z6" s="461"/>
      <c r="AA6" s="461"/>
      <c r="AB6" s="461"/>
      <c r="AC6" s="461"/>
      <c r="AD6" s="461"/>
    </row>
    <row r="7" spans="3:35" s="623" customFormat="1" ht="7.5" customHeight="1">
      <c r="F7" s="624"/>
    </row>
    <row r="8" spans="3:35" s="623" customFormat="1" ht="20.100000000000001" customHeight="1">
      <c r="E8" s="1005" t="s">
        <v>1408</v>
      </c>
      <c r="F8" s="1005"/>
      <c r="G8" s="1005"/>
      <c r="H8" s="1005"/>
      <c r="I8" s="462"/>
      <c r="K8" s="757" t="s">
        <v>1409</v>
      </c>
      <c r="M8" s="658"/>
      <c r="N8" s="757" t="s">
        <v>6550</v>
      </c>
      <c r="Q8" s="757" t="s">
        <v>14</v>
      </c>
      <c r="S8" s="658"/>
      <c r="T8" s="658"/>
      <c r="U8" s="658"/>
      <c r="V8" s="658"/>
      <c r="W8" s="658"/>
      <c r="X8" s="658"/>
      <c r="Y8" s="658"/>
      <c r="Z8" s="658"/>
      <c r="AA8" s="658"/>
      <c r="AB8" s="658"/>
      <c r="AC8" s="658"/>
      <c r="AD8" s="658"/>
      <c r="AE8" s="658"/>
      <c r="AG8" s="658"/>
    </row>
    <row r="9" spans="3:35" s="623" customFormat="1" ht="7.5" customHeight="1"/>
    <row r="10" spans="3:35" s="623" customFormat="1" ht="20.100000000000001" customHeight="1">
      <c r="E10" s="658" t="str">
        <f>tlOutputProd2</f>
        <v>Harken</v>
      </c>
      <c r="F10" s="636"/>
      <c r="G10" s="658"/>
      <c r="H10" s="658" t="str">
        <f>tlOutputProd3</f>
        <v>Kara</v>
      </c>
      <c r="I10" s="636"/>
      <c r="J10" s="636"/>
      <c r="K10" s="658" t="str">
        <f>tlOutputProd1</f>
        <v>Greenborg</v>
      </c>
      <c r="L10" s="342"/>
      <c r="M10" s="342"/>
      <c r="N10" s="658" t="str">
        <f>tlOutputProd4</f>
        <v>Brew Master</v>
      </c>
      <c r="Q10" s="342"/>
      <c r="R10" s="624"/>
      <c r="S10" s="624"/>
      <c r="T10" s="624"/>
      <c r="U10" s="624"/>
      <c r="V10" s="624"/>
      <c r="W10" s="624"/>
      <c r="X10" s="624"/>
      <c r="Y10" s="624"/>
      <c r="Z10" s="624"/>
      <c r="AA10" s="624"/>
      <c r="AB10" s="624"/>
      <c r="AC10" s="624"/>
      <c r="AD10" s="624"/>
      <c r="AE10" s="624"/>
      <c r="AG10" s="624"/>
    </row>
    <row r="11" spans="3:35" s="623" customFormat="1" ht="7.5" customHeight="1"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Q11" s="342"/>
      <c r="R11" s="624"/>
      <c r="S11" s="624"/>
      <c r="T11" s="624"/>
      <c r="U11" s="624"/>
      <c r="V11" s="624"/>
      <c r="W11" s="624"/>
      <c r="X11" s="624"/>
      <c r="Y11" s="624"/>
      <c r="Z11" s="624"/>
      <c r="AA11" s="624"/>
      <c r="AB11" s="624"/>
      <c r="AC11" s="624"/>
      <c r="AD11" s="624"/>
      <c r="AE11" s="624"/>
      <c r="AG11" s="624"/>
    </row>
    <row r="12" spans="3:35" s="623" customFormat="1" ht="20.100000000000001" customHeight="1">
      <c r="C12" s="623" t="s">
        <v>3328</v>
      </c>
      <c r="E12" s="1006"/>
      <c r="F12" s="1006"/>
      <c r="G12" s="1006"/>
      <c r="H12" s="1006"/>
      <c r="I12" s="636"/>
      <c r="J12" s="636"/>
      <c r="K12" s="758"/>
      <c r="L12" s="636"/>
      <c r="M12" s="636"/>
      <c r="N12" s="758"/>
      <c r="Q12" s="758"/>
      <c r="R12" s="624"/>
      <c r="S12" s="624"/>
      <c r="T12" s="624"/>
      <c r="U12" s="624"/>
      <c r="V12" s="624"/>
      <c r="W12" s="624"/>
      <c r="X12" s="624"/>
      <c r="Y12" s="624"/>
      <c r="Z12" s="624"/>
      <c r="AA12" s="624"/>
      <c r="AB12" s="624"/>
      <c r="AC12" s="624"/>
      <c r="AD12" s="624"/>
      <c r="AE12" s="624"/>
      <c r="AG12" s="624"/>
    </row>
    <row r="13" spans="3:35" s="623" customFormat="1" ht="7.5" customHeight="1" thickBot="1"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Q13" s="342"/>
      <c r="R13" s="624"/>
      <c r="S13" s="624"/>
      <c r="T13" s="624"/>
      <c r="U13" s="624"/>
      <c r="V13" s="624"/>
      <c r="W13" s="624"/>
      <c r="X13" s="624"/>
      <c r="Y13" s="624"/>
      <c r="Z13" s="624"/>
      <c r="AA13" s="624"/>
      <c r="AB13" s="624"/>
      <c r="AC13" s="624"/>
      <c r="AD13" s="624"/>
      <c r="AE13" s="624"/>
      <c r="AG13" s="624"/>
    </row>
    <row r="14" spans="3:35" s="623" customFormat="1" ht="20.100000000000001" customHeight="1" thickBot="1">
      <c r="C14" s="623" t="s">
        <v>1391</v>
      </c>
      <c r="E14" s="637">
        <v>0.1</v>
      </c>
      <c r="F14" s="624" t="s">
        <v>3084</v>
      </c>
      <c r="G14" s="503"/>
      <c r="H14" s="637">
        <v>0.1</v>
      </c>
      <c r="I14" s="636" t="s">
        <v>3085</v>
      </c>
      <c r="J14" s="636"/>
      <c r="K14" s="637">
        <v>0.2</v>
      </c>
      <c r="L14" s="342" t="s">
        <v>6972</v>
      </c>
      <c r="M14" s="342"/>
      <c r="N14" s="929"/>
      <c r="O14" s="342"/>
      <c r="Q14" s="342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G14" s="624"/>
    </row>
    <row r="15" spans="3:35" s="623" customFormat="1" ht="7.5" customHeight="1" thickBot="1"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Q15" s="342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G15" s="624"/>
    </row>
    <row r="16" spans="3:35" s="623" customFormat="1" ht="20.100000000000001" customHeight="1" thickBot="1">
      <c r="C16" s="623" t="s">
        <v>1392</v>
      </c>
      <c r="E16" s="758"/>
      <c r="F16" s="636"/>
      <c r="G16" s="758"/>
      <c r="H16" s="758"/>
      <c r="I16" s="636"/>
      <c r="J16" s="636"/>
      <c r="K16" s="758"/>
      <c r="L16" s="636"/>
      <c r="M16" s="636"/>
      <c r="N16" s="592">
        <v>0</v>
      </c>
      <c r="Q16" s="758"/>
      <c r="R16" s="624"/>
      <c r="S16" s="624"/>
      <c r="T16" s="624"/>
      <c r="U16" s="624"/>
      <c r="V16" s="624"/>
      <c r="W16" s="624"/>
      <c r="X16" s="624"/>
      <c r="Y16" s="624"/>
      <c r="Z16" s="624"/>
      <c r="AA16" s="624"/>
      <c r="AB16" s="624"/>
      <c r="AC16" s="624"/>
      <c r="AD16" s="624"/>
      <c r="AE16" s="624"/>
      <c r="AG16" s="624"/>
    </row>
    <row r="17" spans="3:33" s="623" customFormat="1" ht="7.5" customHeight="1">
      <c r="E17" s="636"/>
      <c r="F17" s="636"/>
      <c r="G17" s="636"/>
      <c r="H17" s="636"/>
      <c r="I17" s="636"/>
      <c r="J17" s="636"/>
      <c r="K17" s="636"/>
      <c r="L17" s="636"/>
      <c r="M17" s="636"/>
      <c r="N17" s="636"/>
      <c r="Q17" s="636"/>
      <c r="R17" s="624"/>
      <c r="S17" s="624"/>
      <c r="T17" s="624"/>
      <c r="U17" s="624"/>
      <c r="V17" s="624"/>
      <c r="W17" s="624"/>
      <c r="X17" s="624"/>
      <c r="Y17" s="624"/>
      <c r="Z17" s="624"/>
      <c r="AA17" s="624"/>
      <c r="AB17" s="624"/>
      <c r="AC17" s="624"/>
      <c r="AD17" s="624"/>
      <c r="AE17" s="624"/>
      <c r="AG17" s="624"/>
    </row>
    <row r="18" spans="3:33" s="623" customFormat="1" ht="20.100000000000001" customHeight="1">
      <c r="C18" s="623" t="s">
        <v>1397</v>
      </c>
      <c r="E18" s="758"/>
      <c r="F18" s="636"/>
      <c r="G18" s="758"/>
      <c r="H18" s="758"/>
      <c r="I18" s="636"/>
      <c r="J18" s="636"/>
      <c r="K18" s="758"/>
      <c r="L18" s="636"/>
      <c r="M18" s="636"/>
      <c r="N18" s="758"/>
      <c r="Q18" s="758"/>
      <c r="R18" s="624"/>
      <c r="S18" s="624"/>
      <c r="T18" s="624"/>
      <c r="U18" s="624"/>
      <c r="V18" s="624"/>
      <c r="W18" s="624"/>
      <c r="X18" s="624"/>
      <c r="Y18" s="624"/>
      <c r="Z18" s="624"/>
      <c r="AA18" s="624"/>
      <c r="AB18" s="624"/>
      <c r="AC18" s="624"/>
      <c r="AD18" s="624"/>
      <c r="AE18" s="624"/>
      <c r="AG18" s="624"/>
    </row>
    <row r="19" spans="3:33" s="623" customFormat="1" ht="7.5" customHeight="1"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Q19" s="506"/>
      <c r="R19" s="624"/>
      <c r="S19" s="624"/>
      <c r="T19" s="624"/>
      <c r="U19" s="624"/>
      <c r="V19" s="624"/>
      <c r="W19" s="624"/>
      <c r="X19" s="624"/>
      <c r="Y19" s="624"/>
      <c r="Z19" s="624"/>
      <c r="AA19" s="624"/>
      <c r="AB19" s="624"/>
      <c r="AC19" s="624"/>
      <c r="AD19" s="624"/>
      <c r="AE19" s="624"/>
      <c r="AG19" s="624"/>
    </row>
    <row r="20" spans="3:33" s="623" customFormat="1" ht="20.100000000000001" customHeight="1">
      <c r="C20" s="623" t="s">
        <v>521</v>
      </c>
      <c r="E20" s="758"/>
      <c r="F20" s="636"/>
      <c r="G20" s="758"/>
      <c r="H20" s="758"/>
      <c r="I20" s="636"/>
      <c r="J20" s="636"/>
      <c r="K20" s="758"/>
      <c r="L20" s="506"/>
      <c r="M20" s="506"/>
      <c r="N20" s="758"/>
      <c r="Q20" s="758"/>
      <c r="R20" s="624"/>
      <c r="S20" s="624"/>
      <c r="T20" s="624"/>
      <c r="U20" s="624"/>
      <c r="V20" s="624"/>
      <c r="W20" s="624"/>
      <c r="X20" s="624"/>
      <c r="Y20" s="624"/>
      <c r="Z20" s="624"/>
      <c r="AA20" s="624"/>
      <c r="AB20" s="624"/>
      <c r="AC20" s="624"/>
      <c r="AD20" s="624"/>
      <c r="AE20" s="624"/>
      <c r="AG20" s="624"/>
    </row>
    <row r="21" spans="3:33" s="623" customFormat="1" ht="7.5" customHeight="1">
      <c r="E21" s="506"/>
      <c r="F21" s="506"/>
      <c r="G21" s="506"/>
      <c r="H21" s="506"/>
      <c r="I21" s="506"/>
      <c r="J21" s="506"/>
      <c r="K21" s="506"/>
      <c r="L21" s="506"/>
      <c r="M21" s="506"/>
      <c r="N21" s="506"/>
      <c r="Q21" s="506"/>
      <c r="R21" s="624"/>
      <c r="S21" s="624"/>
      <c r="T21" s="624"/>
      <c r="U21" s="624"/>
      <c r="V21" s="624"/>
      <c r="W21" s="624"/>
      <c r="X21" s="624"/>
      <c r="Y21" s="624"/>
      <c r="Z21" s="624"/>
      <c r="AA21" s="624"/>
      <c r="AB21" s="624"/>
      <c r="AC21" s="624"/>
      <c r="AD21" s="624"/>
      <c r="AE21" s="624"/>
      <c r="AG21" s="624"/>
    </row>
    <row r="22" spans="3:33" s="623" customFormat="1" ht="20.100000000000001" customHeight="1">
      <c r="C22" s="623" t="s">
        <v>517</v>
      </c>
      <c r="E22" s="758"/>
      <c r="F22" s="506"/>
      <c r="G22" s="507"/>
      <c r="H22" s="758"/>
      <c r="I22" s="506"/>
      <c r="J22" s="506"/>
      <c r="K22" s="758"/>
      <c r="L22" s="506"/>
      <c r="M22" s="506"/>
      <c r="N22" s="758"/>
      <c r="Q22" s="758"/>
      <c r="R22" s="624"/>
      <c r="S22" s="624"/>
      <c r="T22" s="624"/>
      <c r="U22" s="624"/>
      <c r="V22" s="624"/>
      <c r="W22" s="624"/>
      <c r="X22" s="624"/>
      <c r="Y22" s="624"/>
      <c r="Z22" s="624"/>
      <c r="AA22" s="624"/>
      <c r="AB22" s="624"/>
      <c r="AC22" s="624"/>
      <c r="AD22" s="624"/>
      <c r="AE22" s="624"/>
      <c r="AG22" s="624"/>
    </row>
    <row r="23" spans="3:33" s="623" customFormat="1" ht="7.5" customHeight="1">
      <c r="E23" s="488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624"/>
      <c r="S23" s="624"/>
      <c r="T23" s="624"/>
      <c r="U23" s="624"/>
      <c r="V23" s="624"/>
      <c r="W23" s="624"/>
      <c r="X23" s="624"/>
      <c r="Y23" s="624"/>
      <c r="Z23" s="624"/>
      <c r="AA23" s="624"/>
      <c r="AB23" s="624"/>
      <c r="AC23" s="624"/>
      <c r="AD23" s="624"/>
      <c r="AE23" s="624"/>
      <c r="AF23" s="624"/>
      <c r="AG23" s="624"/>
    </row>
    <row r="24" spans="3:33" s="623" customFormat="1" ht="20.100000000000001" customHeight="1">
      <c r="R24" s="624"/>
      <c r="S24" s="624"/>
      <c r="T24" s="624"/>
      <c r="U24" s="624"/>
      <c r="V24" s="624"/>
      <c r="W24" s="624"/>
      <c r="X24" s="624"/>
      <c r="Y24" s="624"/>
      <c r="Z24" s="624"/>
      <c r="AA24" s="624"/>
      <c r="AB24" s="624"/>
      <c r="AC24" s="624"/>
      <c r="AD24" s="624"/>
      <c r="AE24" s="624"/>
      <c r="AF24" s="624"/>
      <c r="AG24" s="624"/>
    </row>
    <row r="25" spans="3:33" s="623" customFormat="1" ht="7.5" customHeight="1">
      <c r="F25" s="624"/>
      <c r="L25" s="624"/>
      <c r="O25" s="624"/>
      <c r="Q25" s="624"/>
      <c r="R25" s="624"/>
      <c r="S25" s="624"/>
      <c r="T25" s="624"/>
      <c r="U25" s="624"/>
      <c r="V25" s="624"/>
      <c r="W25" s="624"/>
      <c r="X25" s="624"/>
      <c r="Y25" s="624"/>
      <c r="Z25" s="624"/>
      <c r="AA25" s="624"/>
      <c r="AB25" s="624"/>
      <c r="AC25" s="624"/>
      <c r="AD25" s="624"/>
      <c r="AE25" s="624"/>
      <c r="AF25" s="624"/>
      <c r="AG25" s="624"/>
    </row>
    <row r="26" spans="3:33" s="623" customFormat="1" ht="21.95" customHeight="1">
      <c r="F26" s="624"/>
      <c r="L26" s="624"/>
      <c r="O26" s="624"/>
      <c r="Q26" s="624"/>
      <c r="R26" s="624"/>
      <c r="S26" s="624"/>
      <c r="T26" s="624"/>
      <c r="U26" s="624"/>
      <c r="V26" s="624"/>
      <c r="W26" s="624"/>
      <c r="X26" s="624"/>
      <c r="Y26" s="624"/>
      <c r="Z26" s="624"/>
      <c r="AA26" s="624"/>
      <c r="AB26" s="624"/>
      <c r="AC26" s="624"/>
      <c r="AD26" s="624"/>
      <c r="AE26" s="624"/>
      <c r="AF26" s="624"/>
      <c r="AG26" s="624"/>
    </row>
    <row r="27" spans="3:33" s="623" customFormat="1" ht="7.5" customHeight="1">
      <c r="F27" s="624"/>
      <c r="L27" s="624"/>
      <c r="O27" s="624"/>
      <c r="Q27" s="624"/>
      <c r="R27" s="624"/>
      <c r="S27" s="624"/>
      <c r="T27" s="624"/>
      <c r="U27" s="624"/>
      <c r="V27" s="624"/>
      <c r="W27" s="624"/>
    </row>
    <row r="28" spans="3:33" s="623" customFormat="1" ht="21.95" customHeight="1">
      <c r="C28" s="657" t="s">
        <v>1303</v>
      </c>
      <c r="D28" s="619"/>
      <c r="E28" s="619"/>
      <c r="F28" s="619"/>
      <c r="G28" s="619"/>
      <c r="H28" s="619"/>
      <c r="I28" s="619"/>
      <c r="J28" s="619"/>
      <c r="K28" s="619"/>
      <c r="L28" s="619"/>
      <c r="M28" s="619"/>
      <c r="N28" s="619"/>
      <c r="O28" s="619"/>
      <c r="P28" s="619"/>
      <c r="Q28" s="619"/>
      <c r="R28" s="619"/>
      <c r="S28" s="619"/>
      <c r="T28" s="619"/>
      <c r="U28" s="619"/>
      <c r="V28" s="619"/>
      <c r="W28" s="619"/>
      <c r="X28" s="657"/>
      <c r="Z28" s="618"/>
      <c r="AA28" s="657" t="s">
        <v>5197</v>
      </c>
      <c r="AB28" s="618"/>
      <c r="AC28" s="618"/>
      <c r="AD28" s="618"/>
    </row>
    <row r="29" spans="3:33" s="623" customFormat="1" ht="7.5" customHeight="1">
      <c r="F29" s="624"/>
      <c r="L29" s="624"/>
      <c r="O29" s="624"/>
      <c r="Q29" s="624"/>
      <c r="R29" s="624"/>
      <c r="S29" s="624"/>
      <c r="U29" s="624"/>
    </row>
    <row r="30" spans="3:33" s="623" customFormat="1" ht="21.95" customHeight="1">
      <c r="E30" s="658" t="str">
        <f>nmValDriv1</f>
        <v>Distribution</v>
      </c>
      <c r="F30" s="624"/>
      <c r="H30" s="658" t="str">
        <f>nmValDriv2</f>
        <v>Shelf Space</v>
      </c>
      <c r="J30" s="658"/>
      <c r="K30" s="658" t="str">
        <f>nmValDriv3</f>
        <v>Floor Space</v>
      </c>
      <c r="L30" s="624"/>
      <c r="M30" s="658"/>
      <c r="N30" s="658" t="str">
        <f>nmValDriv4</f>
        <v>Cool Space</v>
      </c>
      <c r="O30" s="624"/>
      <c r="Q30" s="658" t="str">
        <f>nmValDriv5</f>
        <v>Visibility</v>
      </c>
      <c r="R30" s="624"/>
      <c r="S30" s="624"/>
      <c r="T30" s="658" t="s">
        <v>14</v>
      </c>
      <c r="U30" s="624"/>
      <c r="W30" s="658" t="str">
        <f>nmValDrivCond</f>
        <v>Conditionality</v>
      </c>
    </row>
    <row r="31" spans="3:33" s="623" customFormat="1" ht="7.5" customHeight="1" thickBot="1">
      <c r="F31" s="624"/>
      <c r="L31" s="624"/>
      <c r="O31" s="624"/>
      <c r="Q31" s="624"/>
      <c r="R31" s="624"/>
      <c r="S31" s="624"/>
      <c r="U31" s="624"/>
    </row>
    <row r="32" spans="3:33" s="623" customFormat="1" ht="21.95" customHeight="1" thickBot="1">
      <c r="C32" s="623" t="s">
        <v>12869</v>
      </c>
      <c r="E32" s="629" t="s">
        <v>1297</v>
      </c>
      <c r="F32" s="624" t="s">
        <v>2976</v>
      </c>
      <c r="H32" s="629" t="s">
        <v>1297</v>
      </c>
      <c r="I32" s="623" t="s">
        <v>2977</v>
      </c>
      <c r="K32" s="629" t="s">
        <v>1297</v>
      </c>
      <c r="L32" s="624" t="s">
        <v>2978</v>
      </c>
      <c r="N32" s="629" t="s">
        <v>1297</v>
      </c>
      <c r="O32" s="624" t="s">
        <v>2979</v>
      </c>
      <c r="Q32" s="629" t="s">
        <v>1297</v>
      </c>
      <c r="R32" s="624" t="s">
        <v>6955</v>
      </c>
      <c r="S32" s="624"/>
      <c r="U32" s="624" t="s">
        <v>6956</v>
      </c>
      <c r="W32" s="629" t="s">
        <v>1296</v>
      </c>
      <c r="AA32" s="623" t="s">
        <v>785</v>
      </c>
      <c r="AC32" s="629" t="s">
        <v>785</v>
      </c>
    </row>
    <row r="33" spans="5:32" s="623" customFormat="1" ht="7.5" customHeight="1">
      <c r="F33" s="624"/>
      <c r="L33" s="624"/>
      <c r="O33" s="624"/>
      <c r="Q33" s="624"/>
      <c r="R33" s="624"/>
      <c r="S33" s="624"/>
      <c r="U33" s="624"/>
      <c r="X33" s="624"/>
    </row>
    <row r="34" spans="5:32" s="623" customFormat="1" ht="21.95" customHeight="1">
      <c r="E34" s="636"/>
      <c r="F34" s="624"/>
      <c r="H34" s="636"/>
      <c r="K34" s="636"/>
      <c r="L34" s="624"/>
      <c r="N34" s="636"/>
      <c r="O34" s="624"/>
      <c r="Q34" s="636"/>
      <c r="R34" s="624"/>
      <c r="S34" s="624"/>
      <c r="T34" s="636"/>
      <c r="U34" s="624"/>
      <c r="W34" s="636"/>
      <c r="X34" s="624"/>
      <c r="AB34" s="636"/>
      <c r="AC34" s="636"/>
    </row>
    <row r="35" spans="5:32" s="623" customFormat="1" ht="7.5" customHeight="1">
      <c r="F35" s="624"/>
      <c r="L35" s="624"/>
      <c r="O35" s="624"/>
      <c r="R35" s="624"/>
      <c r="S35" s="624"/>
      <c r="U35" s="624"/>
      <c r="X35" s="624"/>
    </row>
    <row r="36" spans="5:32" s="623" customFormat="1" ht="21.95" customHeight="1">
      <c r="E36" s="758"/>
      <c r="F36" s="624"/>
      <c r="H36" s="758"/>
      <c r="J36" s="758"/>
      <c r="K36" s="758"/>
      <c r="L36" s="624"/>
      <c r="N36" s="758"/>
      <c r="O36" s="624"/>
      <c r="Q36" s="758"/>
      <c r="R36" s="624"/>
      <c r="S36" s="624"/>
      <c r="T36" s="758"/>
      <c r="U36" s="624"/>
      <c r="W36" s="758"/>
      <c r="X36" s="624"/>
      <c r="AB36" s="758"/>
      <c r="AC36" s="758"/>
      <c r="AF36" s="468"/>
    </row>
    <row r="37" spans="5:32" s="623" customFormat="1" ht="7.5" customHeight="1">
      <c r="F37" s="624"/>
      <c r="L37" s="624"/>
      <c r="O37" s="624"/>
      <c r="Q37" s="624"/>
      <c r="R37" s="624"/>
      <c r="S37" s="624"/>
      <c r="T37" s="758"/>
      <c r="U37" s="624"/>
    </row>
    <row r="38" spans="5:32" s="623" customFormat="1" ht="21.95" customHeight="1">
      <c r="F38" s="624"/>
      <c r="L38" s="624"/>
      <c r="O38" s="624"/>
      <c r="Q38" s="624"/>
      <c r="R38" s="624"/>
      <c r="S38" s="624"/>
      <c r="U38" s="624"/>
    </row>
    <row r="39" spans="5:32" s="623" customFormat="1" ht="7.5" customHeight="1">
      <c r="F39" s="624"/>
      <c r="L39" s="624"/>
      <c r="O39" s="624"/>
      <c r="Q39" s="624"/>
      <c r="R39" s="624"/>
      <c r="S39" s="624"/>
      <c r="U39" s="624"/>
    </row>
    <row r="40" spans="5:32" s="623" customFormat="1" ht="21.95" customHeight="1">
      <c r="F40" s="624"/>
      <c r="L40" s="624"/>
      <c r="O40" s="624"/>
      <c r="Q40" s="624"/>
      <c r="R40" s="624"/>
      <c r="S40" s="624"/>
      <c r="U40" s="624"/>
    </row>
    <row r="41" spans="5:32" s="623" customFormat="1" ht="7.5" customHeight="1">
      <c r="F41" s="624"/>
      <c r="L41" s="624"/>
      <c r="O41" s="624"/>
      <c r="Q41" s="624"/>
      <c r="R41" s="624"/>
      <c r="S41" s="624"/>
      <c r="U41" s="624"/>
    </row>
    <row r="42" spans="5:32" s="623" customFormat="1" ht="21.95" customHeight="1">
      <c r="F42" s="624"/>
      <c r="L42" s="624"/>
      <c r="O42" s="624"/>
      <c r="Q42" s="624"/>
      <c r="R42" s="624"/>
      <c r="S42" s="624"/>
      <c r="U42" s="624"/>
    </row>
    <row r="43" spans="5:32" s="623" customFormat="1" ht="7.5" customHeight="1">
      <c r="F43" s="624"/>
      <c r="L43" s="624"/>
      <c r="O43" s="624"/>
      <c r="Q43" s="624"/>
      <c r="R43" s="624"/>
      <c r="S43" s="624"/>
      <c r="U43" s="624"/>
    </row>
    <row r="44" spans="5:32" s="623" customFormat="1" ht="21.95" customHeight="1">
      <c r="F44" s="624"/>
      <c r="L44" s="624"/>
      <c r="O44" s="624"/>
      <c r="Q44" s="624"/>
      <c r="R44" s="624"/>
      <c r="S44" s="624"/>
      <c r="U44" s="624"/>
    </row>
    <row r="45" spans="5:32" s="623" customFormat="1" ht="7.5" customHeight="1">
      <c r="F45" s="624"/>
      <c r="L45" s="624"/>
      <c r="O45" s="624"/>
      <c r="Q45" s="624"/>
      <c r="R45" s="624"/>
      <c r="S45" s="624"/>
      <c r="U45" s="624"/>
    </row>
    <row r="46" spans="5:32" s="623" customFormat="1" ht="21.95" customHeight="1">
      <c r="F46" s="624"/>
      <c r="L46" s="624"/>
      <c r="O46" s="624"/>
      <c r="Q46" s="624"/>
      <c r="R46" s="624"/>
      <c r="S46" s="624"/>
      <c r="U46" s="624"/>
    </row>
    <row r="47" spans="5:32" s="623" customFormat="1" ht="7.5" customHeight="1">
      <c r="F47" s="624"/>
      <c r="L47" s="624"/>
      <c r="O47" s="624"/>
      <c r="Q47" s="624"/>
      <c r="R47" s="624"/>
      <c r="S47" s="624"/>
      <c r="U47" s="624"/>
    </row>
    <row r="48" spans="5:32" s="623" customFormat="1" ht="21.95" customHeight="1">
      <c r="F48" s="624"/>
      <c r="L48" s="624"/>
      <c r="O48" s="624"/>
      <c r="Q48" s="624"/>
      <c r="R48" s="624"/>
      <c r="S48" s="624"/>
      <c r="U48" s="624"/>
    </row>
    <row r="49" spans="3:21" s="623" customFormat="1" ht="7.5" customHeight="1">
      <c r="F49" s="624"/>
      <c r="L49" s="624"/>
      <c r="O49" s="624"/>
      <c r="Q49" s="624"/>
      <c r="R49" s="624"/>
      <c r="S49" s="624"/>
      <c r="U49" s="624"/>
    </row>
    <row r="50" spans="3:21" s="623" customFormat="1" ht="21.95" customHeight="1">
      <c r="F50" s="624"/>
      <c r="L50" s="624"/>
      <c r="O50" s="624"/>
      <c r="Q50" s="624"/>
      <c r="R50" s="624"/>
      <c r="S50" s="624"/>
      <c r="U50" s="624"/>
    </row>
    <row r="51" spans="3:21" s="623" customFormat="1" ht="7.5" customHeight="1">
      <c r="F51" s="624"/>
      <c r="L51" s="624"/>
      <c r="O51" s="624"/>
      <c r="Q51" s="624"/>
      <c r="R51" s="624"/>
      <c r="S51" s="624"/>
      <c r="U51" s="624"/>
    </row>
    <row r="52" spans="3:21" s="623" customFormat="1" ht="21.95" customHeight="1">
      <c r="C52" s="631"/>
      <c r="F52" s="624"/>
      <c r="L52" s="624"/>
      <c r="O52" s="624"/>
      <c r="Q52" s="624"/>
      <c r="R52" s="624"/>
      <c r="S52" s="624"/>
      <c r="U52" s="624"/>
    </row>
    <row r="53" spans="3:21" s="623" customFormat="1" ht="7.5" customHeight="1">
      <c r="F53" s="624"/>
      <c r="L53" s="624"/>
      <c r="O53" s="624"/>
      <c r="Q53" s="624"/>
      <c r="R53" s="624"/>
      <c r="S53" s="624"/>
      <c r="U53" s="624"/>
    </row>
    <row r="54" spans="3:21" s="623" customFormat="1" ht="21.95" customHeight="1">
      <c r="F54" s="624"/>
      <c r="L54" s="624"/>
      <c r="O54" s="624"/>
      <c r="Q54" s="624"/>
      <c r="R54" s="624"/>
      <c r="S54" s="624"/>
      <c r="U54" s="624"/>
    </row>
    <row r="55" spans="3:21" s="623" customFormat="1" ht="7.5" customHeight="1">
      <c r="F55" s="624"/>
      <c r="L55" s="624"/>
      <c r="O55" s="624"/>
      <c r="Q55" s="624"/>
      <c r="R55" s="624"/>
      <c r="S55" s="624"/>
      <c r="U55" s="624"/>
    </row>
    <row r="56" spans="3:21" s="623" customFormat="1" ht="21.95" customHeight="1">
      <c r="F56" s="624"/>
      <c r="L56" s="624"/>
      <c r="O56" s="624"/>
      <c r="Q56" s="624"/>
      <c r="R56" s="624"/>
      <c r="S56" s="624"/>
      <c r="U56" s="624"/>
    </row>
    <row r="57" spans="3:21" s="623" customFormat="1" ht="7.5" customHeight="1">
      <c r="F57" s="624"/>
      <c r="L57" s="624"/>
      <c r="O57" s="624"/>
      <c r="Q57" s="624"/>
      <c r="R57" s="624"/>
      <c r="S57" s="624"/>
      <c r="U57" s="624"/>
    </row>
    <row r="58" spans="3:21" s="623" customFormat="1" ht="21.95" customHeight="1">
      <c r="F58" s="624"/>
      <c r="L58" s="624"/>
      <c r="O58" s="624"/>
      <c r="Q58" s="624"/>
      <c r="R58" s="624"/>
      <c r="S58" s="624"/>
      <c r="U58" s="624"/>
    </row>
    <row r="59" spans="3:21" s="623" customFormat="1" ht="7.5" customHeight="1">
      <c r="F59" s="624"/>
      <c r="L59" s="624"/>
      <c r="O59" s="624"/>
      <c r="Q59" s="624"/>
      <c r="R59" s="624"/>
      <c r="S59" s="624"/>
      <c r="U59" s="624"/>
    </row>
    <row r="60" spans="3:21" s="623" customFormat="1" ht="21.95" customHeight="1">
      <c r="F60" s="624"/>
      <c r="L60" s="624"/>
      <c r="O60" s="624"/>
      <c r="Q60" s="624"/>
      <c r="R60" s="624"/>
      <c r="S60" s="624"/>
      <c r="U60" s="624"/>
    </row>
    <row r="61" spans="3:21" s="689" customFormat="1" ht="21.95" customHeight="1"/>
    <row r="62" spans="3:21" s="689" customFormat="1" ht="21.95" customHeight="1"/>
    <row r="63" spans="3:21" s="689" customFormat="1" ht="21.95" customHeight="1"/>
    <row r="64" spans="3:21" s="689" customFormat="1" ht="21.95" customHeight="1"/>
    <row r="65" s="689" customFormat="1" ht="21.95" customHeight="1"/>
    <row r="66" s="689" customFormat="1" ht="21.95" customHeight="1"/>
    <row r="67" s="689" customFormat="1" ht="21.95" customHeight="1"/>
    <row r="68" s="689" customFormat="1" ht="21.95" customHeight="1"/>
    <row r="69" s="689" customFormat="1" ht="21.95" customHeight="1"/>
    <row r="70" s="689" customFormat="1" ht="21.95" customHeight="1"/>
    <row r="71" s="689" customFormat="1" ht="21.95" customHeight="1"/>
    <row r="72" s="689" customFormat="1" ht="21.95" customHeight="1"/>
    <row r="73" s="689" customFormat="1" ht="21.95" customHeight="1"/>
    <row r="74" s="689" customFormat="1" ht="21.95" customHeight="1"/>
    <row r="75" s="689" customFormat="1" ht="21.95" customHeight="1"/>
    <row r="76" s="689" customFormat="1" ht="21.95" customHeight="1"/>
    <row r="77" s="689" customFormat="1" ht="21.95" customHeight="1"/>
    <row r="78" s="689" customFormat="1" ht="21.95" customHeight="1"/>
    <row r="79" s="689" customFormat="1" ht="21.95" customHeight="1"/>
    <row r="80" s="689" customFormat="1" ht="21.95" customHeight="1"/>
    <row r="81" s="689" customFormat="1" ht="21.95" customHeight="1"/>
    <row r="82" s="689" customFormat="1" ht="21.95" customHeight="1"/>
    <row r="83" s="689" customFormat="1" ht="21.95" customHeight="1"/>
    <row r="84" s="689" customFormat="1" ht="21.95" customHeight="1"/>
    <row r="85" s="689" customFormat="1" ht="21.95" customHeight="1"/>
  </sheetData>
  <sheetProtection selectLockedCells="1"/>
  <dataConsolidate/>
  <mergeCells count="6">
    <mergeCell ref="E12:H12"/>
    <mergeCell ref="H2:H3"/>
    <mergeCell ref="K2:K3"/>
    <mergeCell ref="N2:N3"/>
    <mergeCell ref="Q2:Q3"/>
    <mergeCell ref="E8:H8"/>
  </mergeCells>
  <dataValidations count="5">
    <dataValidation type="list" allowBlank="1" showInputMessage="1" showErrorMessage="1" errorTitle="Selection Not Allowed" error="Please enter a valid selection from the drop-down menu." sqref="AC32">
      <formula1>dataMarketingPlansList</formula1>
    </dataValidation>
    <dataValidation type="list" allowBlank="1" showInputMessage="1" showErrorMessage="1" sqref="F32">
      <formula1>dataLevels1to5</formula1>
    </dataValidation>
    <dataValidation type="decimal" allowBlank="1" showInputMessage="1" showErrorMessage="1" errorTitle="Invalid Value" error="Please enter a percentage between 0% and 100%." sqref="K14 E14 H14">
      <formula1>0</formula1>
      <formula2>1</formula2>
    </dataValidation>
    <dataValidation type="list" allowBlank="1" showInputMessage="1" showErrorMessage="1" errorTitle="Selection Not Allowed" error="Please enter a valid selection from the drop-down menu." sqref="E32 W32 Q32 N32 K32 H32">
      <formula1>dataLevels1to5</formula1>
    </dataValidation>
    <dataValidation type="whole" operator="greaterThanOrEqual" allowBlank="1" showInputMessage="1" showErrorMessage="1" errorTitle="Invalid Value" sqref="N16">
      <formula1>0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6" max="122" man="1"/>
    <brk id="32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4"/>
  </sheetPr>
  <dimension ref="C1:AZ141"/>
  <sheetViews>
    <sheetView topLeftCell="A67" zoomScale="70" zoomScaleNormal="70" workbookViewId="0">
      <selection activeCell="E101" sqref="E101:T107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8984375" style="621" customWidth="1"/>
    <col min="5" max="5" width="15.59765625" style="621" customWidth="1"/>
    <col min="6" max="6" width="9.59765625" style="621" hidden="1" customWidth="1"/>
    <col min="7" max="7" width="1.69921875" style="621" customWidth="1"/>
    <col min="8" max="8" width="15.59765625" style="621" customWidth="1"/>
    <col min="9" max="9" width="10.8984375" style="621" hidden="1" customWidth="1"/>
    <col min="10" max="11" width="1.8984375" style="621" customWidth="1"/>
    <col min="12" max="12" width="16" style="621" customWidth="1"/>
    <col min="13" max="13" width="13.8984375" style="621" hidden="1" customWidth="1"/>
    <col min="14" max="16" width="1.8984375" style="621" customWidth="1"/>
    <col min="17" max="17" width="17.8984375" style="621" customWidth="1"/>
    <col min="18" max="18" width="13.59765625" style="621" hidden="1" customWidth="1"/>
    <col min="19" max="19" width="1.8984375" style="621" customWidth="1"/>
    <col min="20" max="20" width="15.8984375" style="621" customWidth="1"/>
    <col min="21" max="21" width="15.8984375" style="621" hidden="1" customWidth="1"/>
    <col min="22" max="22" width="1.8984375" style="621" customWidth="1"/>
    <col min="23" max="23" width="15.8984375" style="621" customWidth="1"/>
    <col min="24" max="24" width="15.8984375" style="621" hidden="1" customWidth="1"/>
    <col min="25" max="26" width="1.8984375" style="621" customWidth="1"/>
    <col min="27" max="27" width="7" style="621" customWidth="1"/>
    <col min="28" max="28" width="1.69921875" style="621" customWidth="1"/>
    <col min="29" max="29" width="15.59765625" style="621" customWidth="1"/>
    <col min="30" max="30" width="7.19921875" style="621" customWidth="1"/>
    <col min="31" max="31" width="1.8984375" style="621" customWidth="1"/>
    <col min="32" max="32" width="15.59765625" style="621" customWidth="1"/>
    <col min="33" max="33" width="1.69921875" style="621" customWidth="1"/>
    <col min="34" max="34" width="15.59765625" style="689" customWidth="1"/>
    <col min="35" max="35" width="1.69921875" style="621" customWidth="1"/>
    <col min="36" max="36" width="15.59765625" style="621" customWidth="1"/>
    <col min="37" max="37" width="1.69921875" style="621" customWidth="1"/>
    <col min="38" max="38" width="15.59765625" style="621" customWidth="1"/>
    <col min="39" max="39" width="1.69921875" style="621" customWidth="1"/>
    <col min="40" max="40" width="15.59765625" style="621" customWidth="1"/>
    <col min="41" max="41" width="1.69921875" style="621" customWidth="1"/>
    <col min="42" max="42" width="15.59765625" style="621" customWidth="1"/>
    <col min="43" max="43" width="1.69921875" style="621" customWidth="1"/>
    <col min="44" max="44" width="15.59765625" style="621" customWidth="1"/>
    <col min="45" max="45" width="1.69921875" style="621" customWidth="1"/>
    <col min="46" max="46" width="15.59765625" style="621" customWidth="1"/>
    <col min="47" max="47" width="3.796875" style="621" customWidth="1"/>
    <col min="48" max="48" width="24" style="621" customWidth="1"/>
    <col min="49" max="49" width="23.69921875" style="621" bestFit="1" customWidth="1"/>
    <col min="50" max="50" width="3.796875" style="621" customWidth="1"/>
    <col min="51" max="51" width="19.5" style="621" customWidth="1"/>
    <col min="52" max="52" width="29.296875" style="621" customWidth="1"/>
    <col min="53" max="16384" width="8.796875" style="621"/>
  </cols>
  <sheetData>
    <row r="1" spans="3:41" s="620" customFormat="1" ht="21.75" customHeight="1">
      <c r="D1" s="659"/>
      <c r="H1" s="659"/>
      <c r="K1" s="803"/>
    </row>
    <row r="2" spans="3:41" s="620" customFormat="1" ht="21.75" customHeight="1">
      <c r="D2" s="659"/>
      <c r="H2" s="659"/>
      <c r="K2" s="803"/>
    </row>
    <row r="3" spans="3:41" s="620" customFormat="1" ht="34.5" customHeight="1">
      <c r="D3" s="659"/>
      <c r="H3" s="659"/>
      <c r="K3" s="803"/>
      <c r="P3" s="726"/>
      <c r="Q3" s="1007"/>
      <c r="Z3" s="693"/>
      <c r="AC3" s="771"/>
      <c r="AF3" s="771"/>
      <c r="AH3" s="771" t="str">
        <f>tlOutputDB1Item3Label&amp;"   "&amp;tlOutputDB1Item3&amp;"   "&amp;tlOutputDB1SubItem3</f>
        <v>EBIT   1042150420.17107   0.23229127230722</v>
      </c>
      <c r="AJ3" s="771" t="str">
        <f>tlOutputDB1Item4Label&amp;"   "&amp;tlOutputDB1Item4&amp;"   "&amp;tlOutputDB1SubItem4</f>
        <v>CP   7437951994.16171   0.0433945962897316</v>
      </c>
      <c r="AN3" s="622" t="s">
        <v>6603</v>
      </c>
      <c r="AO3" s="620" t="s">
        <v>35</v>
      </c>
    </row>
    <row r="4" spans="3:41" s="620" customFormat="1" ht="34.5" customHeight="1">
      <c r="C4" s="694" t="str">
        <f>tlOutputCh3</f>
        <v>Convenience</v>
      </c>
      <c r="D4" s="659"/>
      <c r="H4" s="659"/>
      <c r="K4" s="803"/>
      <c r="Q4" s="1007"/>
      <c r="Z4" s="693"/>
      <c r="AC4" s="771"/>
      <c r="AF4" s="771"/>
      <c r="AH4" s="771" t="str">
        <f>tlOutputDB4Item3Label&amp;"   "&amp;tlOutputDB4Item3&amp;"   "&amp;tlOutputDB4SubItem3</f>
        <v>GCC   311605527.411469   0.370905012399701</v>
      </c>
      <c r="AJ4" s="771" t="str">
        <f>tlOutputDB4Item4Label&amp;"   "&amp;tlOutputDB4Item4&amp;"   "&amp;tlOutputDB4SubItem4</f>
        <v>CP   428756018.920545   0.0363311432156484</v>
      </c>
    </row>
    <row r="5" spans="3:41" s="620" customFormat="1" ht="34.5" customHeight="1">
      <c r="C5" s="696" t="s">
        <v>3300</v>
      </c>
      <c r="D5" s="659"/>
      <c r="H5" s="659"/>
      <c r="K5" s="803"/>
      <c r="Q5" s="772"/>
      <c r="AC5" s="771"/>
      <c r="AF5" s="771"/>
      <c r="AH5" s="771" t="str">
        <f>tlOutputDB6Item3Label&amp;"   "&amp;tlOutputDB6Item3&amp;"   "&amp;tlOutputDB6SubItem3</f>
        <v>Kara   550854918.847954   0.388126254627764</v>
      </c>
      <c r="AJ5" s="771" t="str">
        <f>tlOutputDB6Item4Label&amp;"   "&amp;tlOutputDB6Item4&amp;"   "&amp;tlOutputDB6SubItem4</f>
        <v>Brew Master   159245161.665543   0.471231564961635</v>
      </c>
    </row>
    <row r="6" spans="3:41" s="623" customFormat="1" ht="12.75" customHeight="1" thickBot="1"/>
    <row r="7" spans="3:41" s="623" customFormat="1" ht="20.100000000000001" customHeight="1" thickBot="1">
      <c r="C7" s="1014" t="s">
        <v>4729</v>
      </c>
      <c r="D7" s="1015"/>
      <c r="E7" s="1016"/>
      <c r="F7" s="619"/>
      <c r="G7" s="619"/>
      <c r="H7" s="619"/>
      <c r="I7" s="619"/>
      <c r="J7" s="619"/>
      <c r="K7" s="619"/>
      <c r="L7" s="619"/>
      <c r="M7" s="619"/>
      <c r="N7" s="619"/>
      <c r="O7" s="619"/>
      <c r="P7" s="619"/>
      <c r="Q7" s="619"/>
      <c r="R7" s="619"/>
      <c r="S7" s="619"/>
      <c r="T7" s="619"/>
      <c r="U7" s="619"/>
      <c r="V7" s="619"/>
      <c r="W7" s="619"/>
      <c r="X7" s="619"/>
      <c r="Y7" s="619"/>
      <c r="Z7" s="619"/>
      <c r="AA7" s="619"/>
      <c r="AB7" s="619"/>
      <c r="AC7" s="619"/>
      <c r="AD7" s="619"/>
      <c r="AE7" s="619"/>
      <c r="AF7" s="619"/>
      <c r="AG7" s="619"/>
      <c r="AH7" s="619"/>
      <c r="AI7" s="619"/>
      <c r="AJ7" s="619"/>
      <c r="AK7" s="619"/>
    </row>
    <row r="8" spans="3:41" s="623" customFormat="1" ht="7.5" customHeight="1">
      <c r="C8" s="697"/>
      <c r="D8" s="697"/>
      <c r="H8" s="697"/>
      <c r="I8" s="697"/>
      <c r="J8" s="697"/>
      <c r="K8" s="697"/>
      <c r="L8" s="697"/>
      <c r="M8" s="697"/>
      <c r="N8" s="697"/>
      <c r="O8" s="697"/>
    </row>
    <row r="9" spans="3:41" s="623" customFormat="1" ht="20.100000000000001" customHeight="1">
      <c r="C9" s="697"/>
      <c r="D9" s="697"/>
      <c r="H9" s="697"/>
      <c r="I9" s="697"/>
      <c r="J9" s="697"/>
      <c r="K9" s="697"/>
      <c r="L9" s="697"/>
      <c r="M9" s="697"/>
      <c r="N9" s="697"/>
      <c r="O9" s="697"/>
    </row>
    <row r="10" spans="3:41" s="623" customFormat="1" ht="7.5" customHeight="1">
      <c r="C10" s="697"/>
      <c r="D10" s="697"/>
      <c r="H10" s="697"/>
      <c r="I10" s="697"/>
      <c r="J10" s="697"/>
      <c r="K10" s="697"/>
      <c r="L10" s="697"/>
      <c r="M10" s="697"/>
      <c r="N10" s="697"/>
      <c r="O10" s="697"/>
    </row>
    <row r="11" spans="3:41" s="623" customFormat="1" ht="20.100000000000001" customHeight="1">
      <c r="C11" s="697"/>
      <c r="D11" s="697"/>
      <c r="H11" s="697"/>
      <c r="I11" s="697"/>
      <c r="J11" s="697"/>
      <c r="K11" s="697"/>
      <c r="L11" s="697"/>
      <c r="M11" s="697"/>
      <c r="N11" s="697"/>
      <c r="O11" s="697"/>
      <c r="P11" s="624"/>
      <c r="T11" s="1013"/>
      <c r="U11" s="1013"/>
      <c r="V11" s="1013"/>
      <c r="W11" s="1013"/>
      <c r="X11" s="691"/>
      <c r="Y11" s="692"/>
      <c r="Z11" s="691"/>
      <c r="AC11" s="1012"/>
      <c r="AD11" s="1012"/>
      <c r="AE11" s="1012"/>
      <c r="AF11" s="1012"/>
    </row>
    <row r="12" spans="3:41" s="623" customFormat="1" ht="7.5" customHeight="1">
      <c r="C12" s="697"/>
      <c r="D12" s="697"/>
      <c r="H12" s="697"/>
      <c r="I12" s="697"/>
      <c r="J12" s="697"/>
      <c r="K12" s="697"/>
      <c r="L12" s="697"/>
      <c r="M12" s="697"/>
      <c r="N12" s="697"/>
      <c r="O12" s="697"/>
      <c r="P12" s="660"/>
      <c r="Q12" s="661"/>
      <c r="R12" s="662"/>
      <c r="S12" s="660"/>
      <c r="T12" s="661"/>
      <c r="U12" s="661"/>
      <c r="V12" s="661"/>
      <c r="W12" s="661"/>
      <c r="X12" s="661"/>
      <c r="Y12" s="662"/>
      <c r="Z12" s="660"/>
    </row>
    <row r="13" spans="3:41" s="623" customFormat="1" ht="20.100000000000001" customHeight="1">
      <c r="C13" s="697"/>
      <c r="D13" s="697"/>
      <c r="H13" s="697"/>
      <c r="I13" s="697"/>
      <c r="J13" s="697"/>
      <c r="K13" s="697"/>
      <c r="L13" s="697"/>
      <c r="M13" s="697"/>
      <c r="N13" s="697"/>
      <c r="O13" s="697"/>
      <c r="P13" s="667"/>
      <c r="Q13" s="663" t="s">
        <v>1394</v>
      </c>
      <c r="R13" s="664"/>
      <c r="S13" s="698"/>
      <c r="T13" s="674"/>
      <c r="U13" s="674"/>
      <c r="V13" s="666"/>
      <c r="W13" s="665"/>
      <c r="X13" s="665"/>
      <c r="Y13" s="676"/>
      <c r="Z13" s="679"/>
      <c r="AC13" s="648"/>
    </row>
    <row r="14" spans="3:41" s="623" customFormat="1" ht="7.5" customHeight="1">
      <c r="C14" s="697"/>
      <c r="D14" s="697"/>
      <c r="H14" s="697"/>
      <c r="I14" s="697"/>
      <c r="J14" s="697"/>
      <c r="K14" s="697"/>
      <c r="L14" s="697"/>
      <c r="M14" s="697"/>
      <c r="N14" s="697"/>
      <c r="O14" s="697"/>
      <c r="P14" s="667"/>
      <c r="Q14" s="663"/>
      <c r="R14" s="664"/>
      <c r="S14" s="698"/>
      <c r="T14" s="674"/>
      <c r="U14" s="674"/>
      <c r="V14" s="666"/>
      <c r="W14" s="665"/>
      <c r="X14" s="665"/>
      <c r="Y14" s="676"/>
      <c r="Z14" s="679"/>
    </row>
    <row r="15" spans="3:41" s="623" customFormat="1" ht="20.100000000000001" customHeight="1">
      <c r="C15" s="697"/>
      <c r="D15" s="697"/>
      <c r="H15" s="697"/>
      <c r="I15" s="697"/>
      <c r="J15" s="697"/>
      <c r="K15" s="697"/>
      <c r="L15" s="697"/>
      <c r="M15" s="697"/>
      <c r="N15" s="697"/>
      <c r="O15" s="697"/>
      <c r="P15" s="667"/>
      <c r="Q15" s="663" t="s">
        <v>1395</v>
      </c>
      <c r="R15" s="664"/>
      <c r="S15" s="698"/>
      <c r="T15" s="674"/>
      <c r="U15" s="674"/>
      <c r="V15" s="666"/>
      <c r="W15" s="665"/>
      <c r="X15" s="665"/>
      <c r="Y15" s="676"/>
      <c r="Z15" s="679"/>
    </row>
    <row r="16" spans="3:41" s="623" customFormat="1" ht="7.5" customHeight="1">
      <c r="C16" s="697"/>
      <c r="D16" s="697"/>
      <c r="H16" s="697"/>
      <c r="I16" s="697"/>
      <c r="J16" s="697"/>
      <c r="K16" s="697"/>
      <c r="L16" s="697"/>
      <c r="M16" s="697"/>
      <c r="N16" s="697"/>
      <c r="O16" s="697"/>
      <c r="P16" s="667"/>
      <c r="Q16" s="663"/>
      <c r="R16" s="664"/>
      <c r="S16" s="698"/>
      <c r="T16" s="674"/>
      <c r="U16" s="674"/>
      <c r="V16" s="666"/>
      <c r="W16" s="665"/>
      <c r="X16" s="665"/>
      <c r="Y16" s="676"/>
      <c r="Z16" s="679"/>
    </row>
    <row r="17" spans="3:36" s="623" customFormat="1" ht="20.100000000000001" customHeight="1">
      <c r="C17" s="697"/>
      <c r="D17" s="697"/>
      <c r="H17" s="697"/>
      <c r="I17" s="697"/>
      <c r="J17" s="697"/>
      <c r="K17" s="697"/>
      <c r="L17" s="697"/>
      <c r="M17" s="697"/>
      <c r="N17" s="697"/>
      <c r="O17" s="697"/>
      <c r="P17" s="667"/>
      <c r="Q17" s="663" t="s">
        <v>694</v>
      </c>
      <c r="R17" s="664"/>
      <c r="S17" s="698"/>
      <c r="T17" s="674"/>
      <c r="U17" s="674"/>
      <c r="V17" s="666"/>
      <c r="W17" s="665"/>
      <c r="X17" s="665"/>
      <c r="Y17" s="676"/>
      <c r="Z17" s="679"/>
      <c r="AA17" s="681"/>
      <c r="AB17" s="681"/>
      <c r="AC17" s="648"/>
    </row>
    <row r="18" spans="3:36" s="623" customFormat="1" ht="7.5" customHeight="1">
      <c r="C18" s="697"/>
      <c r="D18" s="697"/>
      <c r="H18" s="697"/>
      <c r="I18" s="697"/>
      <c r="J18" s="697"/>
      <c r="K18" s="697"/>
      <c r="L18" s="697"/>
      <c r="M18" s="697"/>
      <c r="N18" s="697"/>
      <c r="O18" s="697"/>
      <c r="P18" s="667"/>
      <c r="Q18" s="663"/>
      <c r="R18" s="664"/>
      <c r="S18" s="698"/>
      <c r="T18" s="674"/>
      <c r="U18" s="674"/>
      <c r="V18" s="666"/>
      <c r="W18" s="665"/>
      <c r="X18" s="665"/>
      <c r="Y18" s="676"/>
      <c r="Z18" s="679"/>
      <c r="AA18" s="681"/>
      <c r="AB18" s="681"/>
    </row>
    <row r="19" spans="3:36" s="623" customFormat="1" ht="20.100000000000001" customHeight="1">
      <c r="C19" s="697"/>
      <c r="D19" s="697"/>
      <c r="H19" s="697"/>
      <c r="I19" s="697"/>
      <c r="J19" s="697"/>
      <c r="K19" s="697"/>
      <c r="L19" s="697"/>
      <c r="M19" s="697"/>
      <c r="N19" s="697"/>
      <c r="O19" s="697"/>
      <c r="P19" s="667"/>
      <c r="Q19" s="663" t="s">
        <v>1396</v>
      </c>
      <c r="R19" s="664"/>
      <c r="S19" s="698"/>
      <c r="T19" s="674"/>
      <c r="U19" s="674"/>
      <c r="V19" s="666"/>
      <c r="W19" s="665"/>
      <c r="X19" s="665"/>
      <c r="Y19" s="676"/>
      <c r="Z19" s="679"/>
      <c r="AA19" s="681"/>
      <c r="AB19" s="681"/>
    </row>
    <row r="20" spans="3:36" s="623" customFormat="1" ht="7.5" customHeight="1">
      <c r="C20" s="697"/>
      <c r="D20" s="697"/>
      <c r="H20" s="697"/>
      <c r="I20" s="697"/>
      <c r="J20" s="697"/>
      <c r="K20" s="697"/>
      <c r="L20" s="697"/>
      <c r="M20" s="697"/>
      <c r="N20" s="697"/>
      <c r="O20" s="697"/>
      <c r="P20" s="667"/>
      <c r="Q20" s="663"/>
      <c r="R20" s="664"/>
      <c r="S20" s="698"/>
      <c r="T20" s="665"/>
      <c r="U20" s="665"/>
      <c r="V20" s="665"/>
      <c r="W20" s="615"/>
      <c r="X20" s="615"/>
      <c r="Y20" s="677"/>
      <c r="Z20" s="667"/>
      <c r="AA20" s="681"/>
      <c r="AB20" s="681"/>
    </row>
    <row r="21" spans="3:36" s="623" customFormat="1" ht="20.100000000000001" customHeight="1">
      <c r="C21" s="697"/>
      <c r="D21" s="697"/>
      <c r="H21" s="697"/>
      <c r="I21" s="697"/>
      <c r="J21" s="697"/>
      <c r="K21" s="697"/>
      <c r="L21" s="697"/>
      <c r="M21" s="697"/>
      <c r="N21" s="697"/>
      <c r="O21" s="697"/>
      <c r="P21" s="667"/>
      <c r="Q21" s="671" t="s">
        <v>1397</v>
      </c>
      <c r="R21" s="672"/>
      <c r="S21" s="699"/>
      <c r="T21" s="675"/>
      <c r="U21" s="675"/>
      <c r="V21" s="673"/>
      <c r="W21" s="716"/>
      <c r="X21" s="716"/>
      <c r="Y21" s="678"/>
      <c r="Z21" s="680"/>
      <c r="AA21" s="681"/>
      <c r="AB21" s="681"/>
      <c r="AD21" s="681"/>
    </row>
    <row r="22" spans="3:36" s="623" customFormat="1" ht="7.5" customHeight="1">
      <c r="C22" s="697"/>
      <c r="D22" s="697"/>
      <c r="H22" s="697"/>
      <c r="I22" s="697"/>
      <c r="J22" s="697"/>
      <c r="K22" s="697"/>
      <c r="L22" s="697"/>
      <c r="M22" s="697"/>
      <c r="N22" s="697"/>
      <c r="O22" s="697"/>
      <c r="P22" s="667"/>
      <c r="Q22" s="663"/>
      <c r="R22" s="664"/>
      <c r="S22" s="698"/>
      <c r="T22" s="665"/>
      <c r="U22" s="665"/>
      <c r="V22" s="665"/>
      <c r="W22" s="615"/>
      <c r="X22" s="615"/>
      <c r="Y22" s="677"/>
      <c r="Z22" s="667"/>
    </row>
    <row r="23" spans="3:36" s="623" customFormat="1" ht="20.100000000000001" customHeight="1">
      <c r="C23" s="697"/>
      <c r="D23" s="697"/>
      <c r="H23" s="697"/>
      <c r="I23" s="697"/>
      <c r="J23" s="697"/>
      <c r="K23" s="697"/>
      <c r="L23" s="697"/>
      <c r="M23" s="697"/>
      <c r="N23" s="697"/>
      <c r="O23" s="697"/>
      <c r="P23" s="667"/>
      <c r="Q23" s="663" t="s">
        <v>5186</v>
      </c>
      <c r="R23" s="664"/>
      <c r="S23" s="698"/>
      <c r="T23" s="674"/>
      <c r="U23" s="674"/>
      <c r="V23" s="666"/>
      <c r="W23" s="717"/>
      <c r="X23" s="717"/>
      <c r="Y23" s="676"/>
      <c r="Z23" s="679"/>
      <c r="AF23" s="756"/>
    </row>
    <row r="24" spans="3:36" s="623" customFormat="1" ht="7.5" customHeight="1">
      <c r="C24" s="697"/>
      <c r="D24" s="697"/>
      <c r="H24" s="697"/>
      <c r="I24" s="697"/>
      <c r="J24" s="697"/>
      <c r="K24" s="697"/>
      <c r="L24" s="697"/>
      <c r="M24" s="697"/>
      <c r="N24" s="697"/>
      <c r="O24" s="697"/>
      <c r="P24" s="667"/>
      <c r="Q24" s="663"/>
      <c r="R24" s="664"/>
      <c r="S24" s="698"/>
      <c r="T24" s="665"/>
      <c r="U24" s="665"/>
      <c r="V24" s="666"/>
      <c r="W24" s="717"/>
      <c r="X24" s="717"/>
      <c r="Y24" s="676"/>
      <c r="Z24" s="679"/>
    </row>
    <row r="25" spans="3:36" s="623" customFormat="1" ht="20.100000000000001" customHeight="1">
      <c r="C25" s="697"/>
      <c r="D25" s="697"/>
      <c r="H25" s="697"/>
      <c r="I25" s="697"/>
      <c r="J25" s="697"/>
      <c r="K25" s="697"/>
      <c r="L25" s="697"/>
      <c r="M25" s="697"/>
      <c r="N25" s="697"/>
      <c r="O25" s="697"/>
      <c r="P25" s="667"/>
      <c r="Q25" s="671" t="s">
        <v>160</v>
      </c>
      <c r="R25" s="672"/>
      <c r="S25" s="699"/>
      <c r="T25" s="675"/>
      <c r="U25" s="675"/>
      <c r="V25" s="673"/>
      <c r="W25" s="718"/>
      <c r="X25" s="718"/>
      <c r="Y25" s="678"/>
      <c r="Z25" s="680"/>
    </row>
    <row r="26" spans="3:36" s="623" customFormat="1" ht="7.5" customHeight="1">
      <c r="C26" s="697"/>
      <c r="D26" s="697"/>
      <c r="F26" s="727"/>
      <c r="H26" s="697"/>
      <c r="I26" s="697"/>
      <c r="J26" s="697"/>
      <c r="K26" s="697"/>
      <c r="L26" s="697"/>
      <c r="M26" s="697"/>
      <c r="N26" s="697"/>
      <c r="O26" s="697"/>
      <c r="P26" s="667"/>
      <c r="Q26" s="663"/>
      <c r="R26" s="664"/>
      <c r="S26" s="698"/>
      <c r="T26" s="665"/>
      <c r="U26" s="665"/>
      <c r="V26" s="666"/>
      <c r="W26" s="717"/>
      <c r="X26" s="717"/>
      <c r="Y26" s="676"/>
      <c r="Z26" s="679"/>
      <c r="AJ26" s="727"/>
    </row>
    <row r="27" spans="3:36" s="623" customFormat="1" ht="20.100000000000001" customHeight="1">
      <c r="C27" s="697"/>
      <c r="D27" s="697"/>
      <c r="F27" s="727"/>
      <c r="H27" s="697"/>
      <c r="I27" s="697"/>
      <c r="J27" s="697"/>
      <c r="K27" s="697"/>
      <c r="L27" s="697"/>
      <c r="M27" s="697"/>
      <c r="N27" s="697"/>
      <c r="O27" s="697"/>
      <c r="P27" s="667"/>
      <c r="Q27" s="663" t="s">
        <v>519</v>
      </c>
      <c r="R27" s="664"/>
      <c r="S27" s="698"/>
      <c r="T27" s="674"/>
      <c r="U27" s="674"/>
      <c r="V27" s="666"/>
      <c r="W27" s="717"/>
      <c r="X27" s="717"/>
      <c r="Y27" s="676"/>
      <c r="Z27" s="679"/>
      <c r="AJ27" s="727"/>
    </row>
    <row r="28" spans="3:36" s="623" customFormat="1" ht="7.5" customHeight="1">
      <c r="C28" s="697"/>
      <c r="D28" s="697"/>
      <c r="F28" s="727"/>
      <c r="H28" s="697"/>
      <c r="I28" s="697"/>
      <c r="J28" s="697"/>
      <c r="K28" s="697"/>
      <c r="L28" s="697"/>
      <c r="M28" s="697"/>
      <c r="N28" s="697"/>
      <c r="O28" s="697"/>
      <c r="P28" s="667"/>
      <c r="Q28" s="663"/>
      <c r="R28" s="664"/>
      <c r="S28" s="698"/>
      <c r="T28" s="665"/>
      <c r="U28" s="665"/>
      <c r="V28" s="666"/>
      <c r="W28" s="615"/>
      <c r="X28" s="615"/>
      <c r="Y28" s="676"/>
      <c r="Z28" s="679"/>
      <c r="AJ28" s="727"/>
    </row>
    <row r="29" spans="3:36" s="623" customFormat="1" ht="21.95" customHeight="1">
      <c r="C29" s="697"/>
      <c r="D29" s="697"/>
      <c r="F29" s="727"/>
      <c r="H29" s="697"/>
      <c r="I29" s="697"/>
      <c r="J29" s="697"/>
      <c r="K29" s="697"/>
      <c r="L29" s="697"/>
      <c r="M29" s="697"/>
      <c r="N29" s="697"/>
      <c r="O29" s="697"/>
      <c r="P29" s="667"/>
      <c r="Q29" s="671" t="s">
        <v>521</v>
      </c>
      <c r="R29" s="672"/>
      <c r="S29" s="699"/>
      <c r="T29" s="675"/>
      <c r="U29" s="675"/>
      <c r="V29" s="673"/>
      <c r="W29" s="718"/>
      <c r="X29" s="718"/>
      <c r="Y29" s="678"/>
      <c r="Z29" s="680"/>
      <c r="AJ29" s="727"/>
    </row>
    <row r="30" spans="3:36" s="623" customFormat="1" ht="7.5" customHeight="1">
      <c r="C30" s="697"/>
      <c r="D30" s="697"/>
      <c r="H30" s="697"/>
      <c r="I30" s="697"/>
      <c r="J30" s="697"/>
      <c r="K30" s="697"/>
      <c r="L30" s="697"/>
      <c r="M30" s="697"/>
      <c r="N30" s="697"/>
      <c r="O30" s="697"/>
      <c r="P30" s="700"/>
      <c r="Q30" s="669"/>
      <c r="R30" s="670"/>
      <c r="S30" s="668"/>
      <c r="T30" s="737"/>
      <c r="U30" s="737"/>
      <c r="V30" s="738"/>
      <c r="W30" s="739"/>
      <c r="X30" s="739"/>
      <c r="Y30" s="740"/>
      <c r="Z30" s="741"/>
    </row>
    <row r="31" spans="3:36" s="623" customFormat="1" ht="7.5" customHeight="1">
      <c r="C31" s="697"/>
      <c r="D31" s="697"/>
      <c r="H31" s="697"/>
      <c r="I31" s="697"/>
      <c r="J31" s="697"/>
      <c r="K31" s="697"/>
      <c r="L31" s="697"/>
      <c r="M31" s="697"/>
      <c r="N31" s="697"/>
      <c r="O31" s="697"/>
    </row>
    <row r="32" spans="3:36" s="623" customFormat="1" ht="21.95" customHeight="1">
      <c r="C32" s="697"/>
      <c r="D32" s="697"/>
      <c r="H32" s="697"/>
      <c r="I32" s="697"/>
      <c r="J32" s="697"/>
      <c r="K32" s="697"/>
      <c r="L32" s="697"/>
      <c r="M32" s="697"/>
      <c r="N32" s="697"/>
      <c r="O32" s="697"/>
    </row>
    <row r="33" spans="3:37" s="623" customFormat="1" ht="7.5" customHeight="1">
      <c r="C33" s="697"/>
      <c r="D33" s="697"/>
      <c r="H33" s="697"/>
      <c r="I33" s="697"/>
      <c r="J33" s="697"/>
      <c r="K33" s="697"/>
      <c r="L33" s="697"/>
      <c r="M33" s="697"/>
      <c r="N33" s="697"/>
      <c r="O33" s="697"/>
      <c r="P33" s="744"/>
      <c r="Q33" s="661"/>
      <c r="R33" s="662"/>
      <c r="S33" s="660"/>
      <c r="T33" s="745"/>
      <c r="U33" s="745"/>
      <c r="V33" s="746"/>
      <c r="W33" s="747"/>
      <c r="X33" s="747"/>
      <c r="Y33" s="748"/>
    </row>
    <row r="34" spans="3:37" s="623" customFormat="1" ht="21.95" customHeight="1">
      <c r="C34" s="697"/>
      <c r="D34" s="697"/>
      <c r="H34" s="697"/>
      <c r="I34" s="697"/>
      <c r="J34" s="697"/>
      <c r="K34" s="697"/>
      <c r="L34" s="697"/>
      <c r="M34" s="697"/>
      <c r="N34" s="697"/>
      <c r="O34" s="697"/>
      <c r="P34" s="667"/>
      <c r="Q34" s="663" t="s">
        <v>4394</v>
      </c>
      <c r="R34" s="664"/>
      <c r="S34" s="698"/>
      <c r="T34" s="674"/>
      <c r="U34" s="665"/>
      <c r="V34" s="666"/>
      <c r="W34" s="717"/>
      <c r="X34" s="717"/>
      <c r="Y34" s="676"/>
      <c r="AF34" s="710"/>
    </row>
    <row r="35" spans="3:37" s="623" customFormat="1" ht="7.5" customHeight="1">
      <c r="P35" s="667"/>
      <c r="Q35" s="663"/>
      <c r="R35" s="664"/>
      <c r="S35" s="698"/>
      <c r="T35" s="674"/>
      <c r="U35" s="665"/>
      <c r="V35" s="666"/>
      <c r="W35" s="717"/>
      <c r="X35" s="717"/>
      <c r="Y35" s="676"/>
    </row>
    <row r="36" spans="3:37" s="623" customFormat="1" ht="21.95" customHeight="1">
      <c r="P36" s="667"/>
      <c r="Q36" s="663" t="s">
        <v>811</v>
      </c>
      <c r="R36" s="664"/>
      <c r="S36" s="698"/>
      <c r="T36" s="674"/>
      <c r="U36" s="665"/>
      <c r="V36" s="666"/>
      <c r="W36" s="717"/>
      <c r="X36" s="717"/>
      <c r="Y36" s="676"/>
      <c r="AF36" s="710"/>
    </row>
    <row r="37" spans="3:37" s="623" customFormat="1" ht="7.5" customHeight="1">
      <c r="P37" s="667"/>
      <c r="Q37" s="663"/>
      <c r="R37" s="664"/>
      <c r="S37" s="698"/>
      <c r="T37" s="674"/>
      <c r="U37" s="665"/>
      <c r="V37" s="666"/>
      <c r="W37" s="717"/>
      <c r="X37" s="717"/>
      <c r="Y37" s="676"/>
    </row>
    <row r="38" spans="3:37" s="623" customFormat="1" ht="21.95" customHeight="1">
      <c r="P38" s="667"/>
      <c r="Q38" s="663" t="s">
        <v>517</v>
      </c>
      <c r="R38" s="664"/>
      <c r="S38" s="698"/>
      <c r="T38" s="674"/>
      <c r="U38" s="665"/>
      <c r="V38" s="666"/>
      <c r="W38" s="717"/>
      <c r="X38" s="717"/>
      <c r="Y38" s="676"/>
    </row>
    <row r="39" spans="3:37" s="623" customFormat="1" ht="7.5" customHeight="1">
      <c r="P39" s="667"/>
      <c r="Q39" s="663"/>
      <c r="R39" s="664"/>
      <c r="S39" s="698"/>
      <c r="T39" s="674"/>
      <c r="U39" s="665"/>
      <c r="V39" s="666"/>
      <c r="W39" s="717"/>
      <c r="X39" s="717"/>
      <c r="Y39" s="676"/>
    </row>
    <row r="40" spans="3:37" s="623" customFormat="1" ht="21.95" customHeight="1">
      <c r="P40" s="667"/>
      <c r="Q40" s="663" t="s">
        <v>3674</v>
      </c>
      <c r="R40" s="664"/>
      <c r="S40" s="698"/>
      <c r="T40" s="754"/>
      <c r="U40" s="665"/>
      <c r="V40" s="666"/>
      <c r="W40" s="717"/>
      <c r="X40" s="717"/>
      <c r="Y40" s="676"/>
      <c r="Z40" s="695"/>
    </row>
    <row r="41" spans="3:37" s="623" customFormat="1" ht="7.5" customHeight="1">
      <c r="P41" s="700"/>
      <c r="Q41" s="669"/>
      <c r="R41" s="670"/>
      <c r="S41" s="668"/>
      <c r="T41" s="669"/>
      <c r="U41" s="669"/>
      <c r="V41" s="669"/>
      <c r="W41" s="669"/>
      <c r="X41" s="669"/>
      <c r="Y41" s="670"/>
    </row>
    <row r="42" spans="3:37" s="623" customFormat="1" ht="21.95" customHeight="1">
      <c r="C42" s="657" t="str">
        <f>nmProd2</f>
        <v>Harken</v>
      </c>
      <c r="D42" s="618"/>
      <c r="F42" s="618"/>
      <c r="H42" s="618"/>
      <c r="I42" s="618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  <c r="V42" s="618"/>
      <c r="W42" s="618"/>
      <c r="X42" s="618"/>
      <c r="Y42" s="618"/>
      <c r="Z42" s="618"/>
    </row>
    <row r="43" spans="3:37" s="623" customFormat="1" ht="7.5" customHeight="1">
      <c r="P43" s="624"/>
      <c r="R43" s="624"/>
    </row>
    <row r="44" spans="3:37" s="623" customFormat="1" ht="49.5" customHeight="1">
      <c r="E44" s="656" t="s">
        <v>393</v>
      </c>
      <c r="F44" s="631"/>
      <c r="H44" s="656" t="s">
        <v>363</v>
      </c>
      <c r="I44" s="656"/>
      <c r="J44" s="655"/>
      <c r="K44" s="656"/>
      <c r="L44" s="656" t="s">
        <v>1761</v>
      </c>
      <c r="M44" s="631"/>
      <c r="N44" s="656"/>
      <c r="O44" s="656"/>
      <c r="P44" s="624"/>
      <c r="Q44" s="656" t="s">
        <v>6726</v>
      </c>
      <c r="R44" s="624"/>
      <c r="S44" s="631"/>
      <c r="T44" s="656" t="s">
        <v>5663</v>
      </c>
      <c r="U44" s="656"/>
      <c r="W44" s="656" t="s">
        <v>391</v>
      </c>
      <c r="X44" s="656"/>
      <c r="Y44" s="631"/>
      <c r="AK44" s="631"/>
    </row>
    <row r="45" spans="3:37" s="623" customFormat="1" ht="7.5" customHeight="1" thickBot="1">
      <c r="H45" s="634"/>
      <c r="I45" s="635"/>
      <c r="J45" s="634"/>
      <c r="K45" s="635"/>
      <c r="L45" s="635"/>
      <c r="N45" s="635"/>
      <c r="O45" s="635"/>
      <c r="P45" s="624"/>
      <c r="R45" s="624"/>
    </row>
    <row r="46" spans="3:37" s="623" customFormat="1" ht="21.95" customHeight="1" thickBot="1">
      <c r="C46" s="623" t="s">
        <v>379</v>
      </c>
      <c r="E46" s="789">
        <f>1-tlinputCh3Prod2Slot2Forecast-tlinputCh3Prod2Slot3Forecast</f>
        <v>0.4</v>
      </c>
      <c r="F46" s="624" t="s">
        <v>3097</v>
      </c>
      <c r="H46" s="630" t="s">
        <v>351</v>
      </c>
      <c r="I46" s="624" t="s">
        <v>3095</v>
      </c>
      <c r="K46" s="636"/>
      <c r="L46" s="683">
        <v>7.9</v>
      </c>
      <c r="M46" s="624" t="s">
        <v>3096</v>
      </c>
      <c r="N46" s="636"/>
      <c r="O46" s="636"/>
      <c r="P46" s="624"/>
      <c r="Q46" s="921" t="s">
        <v>9052</v>
      </c>
      <c r="R46" s="624" t="s">
        <v>6038</v>
      </c>
      <c r="T46" s="592">
        <v>2</v>
      </c>
      <c r="U46" s="624" t="s">
        <v>6039</v>
      </c>
      <c r="W46" s="637">
        <v>0.2</v>
      </c>
      <c r="X46" s="624" t="s">
        <v>5791</v>
      </c>
    </row>
    <row r="47" spans="3:37" s="623" customFormat="1" ht="7.5" customHeight="1" thickBot="1">
      <c r="I47" s="624"/>
      <c r="M47" s="624"/>
      <c r="P47" s="624"/>
      <c r="R47" s="624"/>
    </row>
    <row r="48" spans="3:37" s="623" customFormat="1" ht="21.95" customHeight="1" thickBot="1">
      <c r="C48" s="623" t="s">
        <v>394</v>
      </c>
      <c r="E48" s="637">
        <v>0.6</v>
      </c>
      <c r="F48" s="624" t="s">
        <v>3100</v>
      </c>
      <c r="H48" s="630" t="s">
        <v>4419</v>
      </c>
      <c r="I48" s="624" t="s">
        <v>3098</v>
      </c>
      <c r="K48" s="636"/>
      <c r="L48" s="683">
        <v>8</v>
      </c>
      <c r="M48" s="624" t="s">
        <v>3099</v>
      </c>
      <c r="N48" s="636"/>
      <c r="O48" s="636"/>
      <c r="P48" s="624"/>
      <c r="Q48" s="921" t="s">
        <v>9050</v>
      </c>
      <c r="R48" s="624" t="s">
        <v>6040</v>
      </c>
      <c r="T48" s="592">
        <v>2</v>
      </c>
      <c r="U48" s="624" t="s">
        <v>6041</v>
      </c>
      <c r="W48" s="637">
        <v>0.2</v>
      </c>
      <c r="X48" s="624" t="s">
        <v>5792</v>
      </c>
    </row>
    <row r="49" spans="3:26" s="623" customFormat="1" ht="7.5" customHeight="1" thickBot="1">
      <c r="I49" s="624"/>
      <c r="M49" s="624"/>
      <c r="P49" s="624"/>
      <c r="R49" s="624"/>
    </row>
    <row r="50" spans="3:26" s="623" customFormat="1" ht="21.95" customHeight="1" thickBot="1">
      <c r="C50" s="623" t="s">
        <v>395</v>
      </c>
      <c r="E50" s="637">
        <v>0</v>
      </c>
      <c r="F50" s="624" t="s">
        <v>3103</v>
      </c>
      <c r="H50" s="630" t="s">
        <v>350</v>
      </c>
      <c r="I50" s="624" t="s">
        <v>3101</v>
      </c>
      <c r="K50" s="636"/>
      <c r="L50" s="683">
        <v>0</v>
      </c>
      <c r="M50" s="624" t="s">
        <v>3102</v>
      </c>
      <c r="N50" s="636"/>
      <c r="O50" s="636"/>
      <c r="P50" s="624"/>
      <c r="Q50" s="921" t="s">
        <v>5788</v>
      </c>
      <c r="R50" s="624" t="s">
        <v>6042</v>
      </c>
      <c r="T50" s="592">
        <v>0</v>
      </c>
      <c r="U50" s="624" t="s">
        <v>6043</v>
      </c>
      <c r="W50" s="637">
        <v>0</v>
      </c>
      <c r="X50" s="624" t="s">
        <v>5793</v>
      </c>
    </row>
    <row r="51" spans="3:26" s="623" customFormat="1" ht="7.5" customHeight="1">
      <c r="I51" s="624"/>
      <c r="P51" s="624"/>
      <c r="R51" s="624"/>
    </row>
    <row r="52" spans="3:26" s="623" customFormat="1" ht="21.95" customHeight="1">
      <c r="C52" s="631" t="s">
        <v>1404</v>
      </c>
      <c r="D52" s="631"/>
      <c r="E52" s="658"/>
      <c r="F52" s="624"/>
      <c r="G52" s="631"/>
      <c r="H52" s="658"/>
      <c r="I52" s="658"/>
      <c r="J52" s="631"/>
      <c r="K52" s="631"/>
      <c r="L52" s="658"/>
      <c r="O52" s="631"/>
      <c r="P52" s="624"/>
      <c r="Q52" s="658"/>
      <c r="R52" s="624"/>
      <c r="S52" s="631"/>
      <c r="T52" s="658"/>
    </row>
    <row r="53" spans="3:26" s="623" customFormat="1" ht="7.5" customHeight="1">
      <c r="F53" s="624"/>
      <c r="P53" s="624"/>
      <c r="R53" s="624"/>
    </row>
    <row r="54" spans="3:26" s="623" customFormat="1" ht="21.95" customHeight="1">
      <c r="E54" s="636"/>
      <c r="F54" s="624"/>
      <c r="H54" s="758"/>
      <c r="I54" s="758"/>
      <c r="P54" s="624"/>
      <c r="Q54" s="636"/>
      <c r="R54" s="624"/>
      <c r="T54" s="758"/>
    </row>
    <row r="55" spans="3:26" s="623" customFormat="1" ht="7.5" customHeight="1">
      <c r="I55" s="624"/>
      <c r="P55" s="624"/>
      <c r="R55" s="624"/>
    </row>
    <row r="56" spans="3:26" s="623" customFormat="1" ht="21.95" customHeight="1">
      <c r="I56" s="624"/>
      <c r="P56" s="624"/>
      <c r="R56" s="624"/>
    </row>
    <row r="57" spans="3:26" s="623" customFormat="1" ht="7.5" customHeight="1">
      <c r="I57" s="624"/>
      <c r="P57" s="624"/>
      <c r="R57" s="624"/>
    </row>
    <row r="58" spans="3:26" s="623" customFormat="1" ht="21.95" customHeight="1">
      <c r="C58" s="657" t="str">
        <f>nmProd3</f>
        <v>Kara</v>
      </c>
      <c r="D58" s="618"/>
      <c r="E58" s="618"/>
      <c r="F58" s="618"/>
      <c r="H58" s="618"/>
      <c r="I58" s="618"/>
      <c r="J58" s="618"/>
      <c r="K58" s="618"/>
      <c r="L58" s="618"/>
      <c r="M58" s="618"/>
      <c r="N58" s="618"/>
      <c r="O58" s="618"/>
      <c r="P58" s="618"/>
      <c r="Q58" s="618"/>
      <c r="R58" s="618"/>
      <c r="S58" s="618"/>
      <c r="T58" s="618"/>
      <c r="U58" s="618"/>
      <c r="V58" s="618"/>
      <c r="W58" s="618"/>
      <c r="X58" s="618"/>
      <c r="Y58" s="618"/>
      <c r="Z58" s="618"/>
    </row>
    <row r="59" spans="3:26" s="623" customFormat="1" ht="7.5" customHeight="1">
      <c r="I59" s="624"/>
      <c r="P59" s="624"/>
      <c r="R59" s="624"/>
    </row>
    <row r="60" spans="3:26" s="623" customFormat="1" ht="49.5" customHeight="1">
      <c r="E60" s="656" t="s">
        <v>393</v>
      </c>
      <c r="H60" s="656" t="s">
        <v>363</v>
      </c>
      <c r="I60" s="624"/>
      <c r="J60" s="655"/>
      <c r="K60" s="656"/>
      <c r="L60" s="656" t="s">
        <v>1761</v>
      </c>
      <c r="M60" s="624"/>
      <c r="N60" s="656"/>
      <c r="O60" s="656"/>
      <c r="P60" s="624"/>
      <c r="Q60" s="656" t="s">
        <v>381</v>
      </c>
      <c r="R60" s="624"/>
      <c r="S60" s="631"/>
      <c r="W60" s="656" t="s">
        <v>391</v>
      </c>
      <c r="Y60" s="631"/>
    </row>
    <row r="61" spans="3:26" s="623" customFormat="1" ht="7.5" customHeight="1" thickBot="1">
      <c r="H61" s="634"/>
      <c r="I61" s="624"/>
      <c r="J61" s="634"/>
      <c r="K61" s="635"/>
      <c r="L61" s="635"/>
      <c r="M61" s="624"/>
      <c r="N61" s="635"/>
      <c r="O61" s="635"/>
      <c r="P61" s="624"/>
      <c r="R61" s="624"/>
    </row>
    <row r="62" spans="3:26" s="623" customFormat="1" ht="21.95" customHeight="1" thickBot="1">
      <c r="C62" s="623" t="s">
        <v>379</v>
      </c>
      <c r="E62" s="789">
        <f>1-tlinputCh3Prod3Slot2Forecast-tlinputCh3Prod3Slot3Forecast</f>
        <v>1</v>
      </c>
      <c r="F62" s="624" t="s">
        <v>3106</v>
      </c>
      <c r="H62" s="630" t="s">
        <v>584</v>
      </c>
      <c r="I62" s="624" t="s">
        <v>3104</v>
      </c>
      <c r="K62" s="636"/>
      <c r="L62" s="683">
        <v>7.6</v>
      </c>
      <c r="M62" s="624" t="s">
        <v>3105</v>
      </c>
      <c r="N62" s="636"/>
      <c r="O62" s="636"/>
      <c r="P62" s="624"/>
      <c r="Q62" s="921" t="s">
        <v>5789</v>
      </c>
      <c r="R62" s="624" t="s">
        <v>6044</v>
      </c>
      <c r="T62" s="592">
        <v>3</v>
      </c>
      <c r="U62" s="624" t="s">
        <v>6045</v>
      </c>
      <c r="W62" s="637">
        <v>0.35</v>
      </c>
      <c r="X62" s="624" t="s">
        <v>5794</v>
      </c>
    </row>
    <row r="63" spans="3:26" s="623" customFormat="1" ht="7.5" customHeight="1" thickBot="1">
      <c r="I63" s="624"/>
      <c r="M63" s="624"/>
      <c r="P63" s="624"/>
      <c r="R63" s="624"/>
    </row>
    <row r="64" spans="3:26" s="623" customFormat="1" ht="21.95" customHeight="1" thickBot="1">
      <c r="C64" s="623" t="s">
        <v>394</v>
      </c>
      <c r="E64" s="637">
        <v>0</v>
      </c>
      <c r="F64" s="624" t="s">
        <v>3109</v>
      </c>
      <c r="H64" s="630" t="s">
        <v>350</v>
      </c>
      <c r="I64" s="624" t="s">
        <v>3107</v>
      </c>
      <c r="K64" s="636"/>
      <c r="L64" s="683">
        <v>0</v>
      </c>
      <c r="M64" s="624" t="s">
        <v>3108</v>
      </c>
      <c r="N64" s="636"/>
      <c r="O64" s="636"/>
      <c r="P64" s="624"/>
      <c r="Q64" s="921" t="s">
        <v>5788</v>
      </c>
      <c r="R64" s="624" t="s">
        <v>6046</v>
      </c>
      <c r="T64" s="592">
        <v>0</v>
      </c>
      <c r="U64" s="624" t="s">
        <v>6047</v>
      </c>
      <c r="W64" s="637">
        <v>0</v>
      </c>
      <c r="X64" s="624" t="s">
        <v>5795</v>
      </c>
    </row>
    <row r="65" spans="3:26" s="623" customFormat="1" ht="7.5" customHeight="1" thickBot="1">
      <c r="I65" s="624"/>
      <c r="M65" s="624"/>
      <c r="P65" s="624"/>
      <c r="R65" s="624"/>
    </row>
    <row r="66" spans="3:26" s="623" customFormat="1" ht="21.95" customHeight="1" thickBot="1">
      <c r="C66" s="623" t="s">
        <v>395</v>
      </c>
      <c r="E66" s="637">
        <v>0</v>
      </c>
      <c r="F66" s="624" t="s">
        <v>3112</v>
      </c>
      <c r="H66" s="630" t="s">
        <v>350</v>
      </c>
      <c r="I66" s="624" t="s">
        <v>3110</v>
      </c>
      <c r="K66" s="636"/>
      <c r="L66" s="683">
        <v>0</v>
      </c>
      <c r="M66" s="624" t="s">
        <v>3111</v>
      </c>
      <c r="N66" s="636"/>
      <c r="O66" s="636"/>
      <c r="P66" s="624"/>
      <c r="Q66" s="921" t="s">
        <v>5788</v>
      </c>
      <c r="R66" s="624" t="s">
        <v>6048</v>
      </c>
      <c r="T66" s="592">
        <v>0</v>
      </c>
      <c r="U66" s="624" t="s">
        <v>6049</v>
      </c>
      <c r="W66" s="637">
        <v>0</v>
      </c>
      <c r="X66" s="624" t="s">
        <v>5796</v>
      </c>
    </row>
    <row r="67" spans="3:26" s="623" customFormat="1" ht="7.5" customHeight="1">
      <c r="I67" s="624"/>
      <c r="P67" s="624"/>
      <c r="R67" s="624"/>
    </row>
    <row r="68" spans="3:26" s="623" customFormat="1" ht="21.95" customHeight="1">
      <c r="C68" s="631" t="s">
        <v>1404</v>
      </c>
      <c r="D68" s="631"/>
      <c r="E68" s="658"/>
      <c r="H68" s="658"/>
      <c r="I68" s="624"/>
      <c r="J68" s="631"/>
      <c r="K68" s="631"/>
      <c r="L68" s="658"/>
      <c r="M68" s="658"/>
      <c r="N68" s="631"/>
      <c r="O68" s="631"/>
      <c r="P68" s="624"/>
      <c r="Q68" s="658"/>
      <c r="R68" s="624"/>
      <c r="S68" s="631"/>
      <c r="T68" s="658"/>
    </row>
    <row r="69" spans="3:26" s="623" customFormat="1" ht="7.5" customHeight="1">
      <c r="I69" s="624"/>
      <c r="P69" s="624"/>
      <c r="R69" s="624"/>
    </row>
    <row r="70" spans="3:26" s="623" customFormat="1" ht="21.95" customHeight="1">
      <c r="E70" s="636"/>
      <c r="H70" s="857"/>
      <c r="I70" s="624"/>
      <c r="L70" s="758"/>
      <c r="M70" s="758"/>
      <c r="P70" s="624"/>
      <c r="Q70" s="636"/>
      <c r="R70" s="624"/>
      <c r="T70" s="758"/>
    </row>
    <row r="71" spans="3:26" s="623" customFormat="1" ht="7.5" customHeight="1">
      <c r="I71" s="624"/>
      <c r="P71" s="624"/>
      <c r="R71" s="624"/>
    </row>
    <row r="72" spans="3:26" s="623" customFormat="1" ht="21.95" customHeight="1">
      <c r="I72" s="624"/>
      <c r="P72" s="624"/>
      <c r="R72" s="624"/>
    </row>
    <row r="73" spans="3:26" s="623" customFormat="1" ht="7.5" customHeight="1">
      <c r="I73" s="624"/>
      <c r="P73" s="624"/>
    </row>
    <row r="74" spans="3:26" s="623" customFormat="1" ht="21.95" customHeight="1">
      <c r="C74" s="657" t="str">
        <f>nmProd1</f>
        <v>Greenborg</v>
      </c>
      <c r="D74" s="618"/>
      <c r="E74" s="618"/>
      <c r="F74" s="618"/>
      <c r="H74" s="618"/>
      <c r="I74" s="618"/>
      <c r="J74" s="618"/>
      <c r="K74" s="618"/>
      <c r="L74" s="618"/>
      <c r="M74" s="618"/>
      <c r="N74" s="618"/>
      <c r="O74" s="618"/>
      <c r="P74" s="618"/>
      <c r="Q74" s="618"/>
      <c r="R74" s="618"/>
      <c r="S74" s="618"/>
      <c r="T74" s="618"/>
      <c r="U74" s="618"/>
      <c r="V74" s="618"/>
      <c r="W74" s="618"/>
      <c r="X74" s="618"/>
      <c r="Y74" s="618"/>
      <c r="Z74" s="618"/>
    </row>
    <row r="75" spans="3:26" s="623" customFormat="1" ht="11.45" customHeight="1">
      <c r="I75" s="624"/>
      <c r="P75" s="624"/>
    </row>
    <row r="76" spans="3:26" s="623" customFormat="1" ht="49.5" customHeight="1">
      <c r="E76" s="656" t="s">
        <v>393</v>
      </c>
      <c r="H76" s="656" t="s">
        <v>363</v>
      </c>
      <c r="I76" s="624"/>
      <c r="K76" s="656"/>
      <c r="L76" s="656" t="s">
        <v>1761</v>
      </c>
      <c r="M76" s="624"/>
      <c r="N76" s="656"/>
      <c r="O76" s="656"/>
      <c r="P76" s="624"/>
      <c r="Q76" s="656" t="s">
        <v>381</v>
      </c>
      <c r="R76" s="631"/>
      <c r="S76" s="631"/>
      <c r="W76" s="656" t="s">
        <v>391</v>
      </c>
      <c r="Y76" s="631"/>
    </row>
    <row r="77" spans="3:26" s="623" customFormat="1" ht="7.5" customHeight="1" thickBot="1">
      <c r="H77" s="634"/>
      <c r="I77" s="624"/>
      <c r="K77" s="635"/>
      <c r="L77" s="635"/>
      <c r="M77" s="624"/>
      <c r="N77" s="635"/>
      <c r="O77" s="635"/>
      <c r="P77" s="624"/>
    </row>
    <row r="78" spans="3:26" s="623" customFormat="1" ht="21.95" customHeight="1" thickBot="1">
      <c r="C78" s="623" t="s">
        <v>379</v>
      </c>
      <c r="E78" s="789">
        <f>1-tlinputCh3Prod1Slot2Forecast-tlinputCh3Prod1Slot3Forecast</f>
        <v>1</v>
      </c>
      <c r="F78" s="624" t="s">
        <v>3088</v>
      </c>
      <c r="H78" s="630" t="s">
        <v>4423</v>
      </c>
      <c r="I78" s="624" t="s">
        <v>3086</v>
      </c>
      <c r="K78" s="636"/>
      <c r="L78" s="683">
        <v>7.05</v>
      </c>
      <c r="M78" s="624" t="s">
        <v>3087</v>
      </c>
      <c r="N78" s="636"/>
      <c r="O78" s="636"/>
      <c r="P78" s="624"/>
      <c r="Q78" s="921" t="s">
        <v>9050</v>
      </c>
      <c r="R78" s="624" t="s">
        <v>6050</v>
      </c>
      <c r="T78" s="592">
        <v>2</v>
      </c>
      <c r="U78" s="624" t="s">
        <v>6051</v>
      </c>
      <c r="W78" s="637">
        <v>0.25</v>
      </c>
      <c r="X78" s="624" t="s">
        <v>5797</v>
      </c>
    </row>
    <row r="79" spans="3:26" s="623" customFormat="1" ht="7.5" customHeight="1" thickBot="1">
      <c r="I79" s="624"/>
      <c r="M79" s="624"/>
      <c r="P79" s="624"/>
      <c r="R79" s="624"/>
    </row>
    <row r="80" spans="3:26" s="623" customFormat="1" ht="21.95" customHeight="1" thickBot="1">
      <c r="C80" s="623" t="s">
        <v>394</v>
      </c>
      <c r="E80" s="637">
        <v>0</v>
      </c>
      <c r="F80" s="624" t="s">
        <v>3091</v>
      </c>
      <c r="H80" s="630" t="s">
        <v>350</v>
      </c>
      <c r="I80" s="624" t="s">
        <v>3089</v>
      </c>
      <c r="K80" s="636"/>
      <c r="L80" s="683">
        <v>0</v>
      </c>
      <c r="M80" s="624" t="s">
        <v>3090</v>
      </c>
      <c r="N80" s="636"/>
      <c r="O80" s="636"/>
      <c r="P80" s="624"/>
      <c r="Q80" s="921" t="s">
        <v>5788</v>
      </c>
      <c r="R80" s="624" t="s">
        <v>6052</v>
      </c>
      <c r="T80" s="592">
        <v>0</v>
      </c>
      <c r="U80" s="624" t="s">
        <v>6053</v>
      </c>
      <c r="W80" s="637">
        <v>0</v>
      </c>
      <c r="X80" s="624" t="s">
        <v>5798</v>
      </c>
    </row>
    <row r="81" spans="3:26" s="623" customFormat="1" ht="7.5" customHeight="1" thickBot="1">
      <c r="I81" s="624"/>
      <c r="M81" s="624"/>
      <c r="P81" s="624"/>
      <c r="R81" s="624"/>
    </row>
    <row r="82" spans="3:26" s="623" customFormat="1" ht="21.95" customHeight="1" thickBot="1">
      <c r="C82" s="623" t="s">
        <v>395</v>
      </c>
      <c r="E82" s="637">
        <v>0</v>
      </c>
      <c r="F82" s="624" t="s">
        <v>3094</v>
      </c>
      <c r="H82" s="630" t="s">
        <v>350</v>
      </c>
      <c r="I82" s="624" t="s">
        <v>3092</v>
      </c>
      <c r="K82" s="636"/>
      <c r="L82" s="683">
        <v>0</v>
      </c>
      <c r="M82" s="624" t="s">
        <v>3093</v>
      </c>
      <c r="N82" s="636"/>
      <c r="O82" s="636"/>
      <c r="P82" s="624"/>
      <c r="Q82" s="921" t="s">
        <v>5788</v>
      </c>
      <c r="R82" s="624" t="s">
        <v>6054</v>
      </c>
      <c r="T82" s="592">
        <v>0</v>
      </c>
      <c r="U82" s="624" t="s">
        <v>6055</v>
      </c>
      <c r="W82" s="637">
        <v>0</v>
      </c>
      <c r="X82" s="624" t="s">
        <v>5799</v>
      </c>
    </row>
    <row r="83" spans="3:26" s="623" customFormat="1" ht="7.5" customHeight="1">
      <c r="I83" s="624"/>
      <c r="P83" s="624"/>
      <c r="R83" s="624"/>
    </row>
    <row r="84" spans="3:26" s="623" customFormat="1" ht="21.95" customHeight="1">
      <c r="C84" s="631" t="s">
        <v>1404</v>
      </c>
      <c r="D84" s="631"/>
      <c r="E84" s="658"/>
      <c r="H84" s="658"/>
      <c r="I84" s="624"/>
      <c r="J84" s="631"/>
      <c r="K84" s="631"/>
      <c r="L84" s="658"/>
      <c r="M84" s="658"/>
      <c r="N84" s="631"/>
      <c r="O84" s="631"/>
      <c r="P84" s="624"/>
      <c r="Q84" s="658"/>
      <c r="R84" s="624"/>
      <c r="S84" s="631"/>
      <c r="T84" s="658"/>
    </row>
    <row r="85" spans="3:26" s="623" customFormat="1" ht="7.5" customHeight="1">
      <c r="I85" s="624"/>
      <c r="P85" s="624"/>
      <c r="R85" s="624"/>
    </row>
    <row r="86" spans="3:26" s="623" customFormat="1" ht="21.95" customHeight="1">
      <c r="E86" s="636"/>
      <c r="H86" s="857"/>
      <c r="I86" s="624"/>
      <c r="L86" s="758"/>
      <c r="M86" s="758"/>
      <c r="P86" s="624"/>
      <c r="Q86" s="636"/>
      <c r="R86" s="624"/>
      <c r="T86" s="758"/>
    </row>
    <row r="87" spans="3:26" s="623" customFormat="1" ht="7.5" customHeight="1">
      <c r="I87" s="624"/>
      <c r="P87" s="624"/>
      <c r="R87" s="624"/>
    </row>
    <row r="88" spans="3:26" s="623" customFormat="1" ht="21.95" customHeight="1">
      <c r="I88" s="624"/>
      <c r="P88" s="624"/>
      <c r="R88" s="624"/>
    </row>
    <row r="89" spans="3:26" s="623" customFormat="1" ht="7.5" customHeight="1">
      <c r="I89" s="624"/>
      <c r="P89" s="624"/>
      <c r="R89" s="624"/>
    </row>
    <row r="90" spans="3:26" s="623" customFormat="1" ht="21.95" customHeight="1">
      <c r="C90" s="657" t="str">
        <f>nmProd4</f>
        <v>Brew Master</v>
      </c>
      <c r="D90" s="618"/>
      <c r="E90" s="618"/>
      <c r="F90" s="618"/>
      <c r="H90" s="618"/>
      <c r="I90" s="618"/>
      <c r="J90" s="618"/>
      <c r="K90" s="618"/>
      <c r="L90" s="618"/>
      <c r="M90" s="618"/>
      <c r="N90" s="618"/>
      <c r="O90" s="618"/>
      <c r="P90" s="618"/>
      <c r="Q90" s="618"/>
      <c r="R90" s="618"/>
      <c r="S90" s="618"/>
      <c r="T90" s="618"/>
      <c r="U90" s="618"/>
      <c r="V90" s="618"/>
      <c r="W90" s="618"/>
      <c r="X90" s="618"/>
      <c r="Y90" s="618"/>
      <c r="Z90" s="618"/>
    </row>
    <row r="91" spans="3:26" s="623" customFormat="1" ht="7.5" customHeight="1">
      <c r="I91" s="624"/>
      <c r="P91" s="624"/>
      <c r="R91" s="624"/>
    </row>
    <row r="92" spans="3:26" s="623" customFormat="1" ht="49.5" customHeight="1">
      <c r="E92" s="656" t="s">
        <v>393</v>
      </c>
      <c r="H92" s="656" t="s">
        <v>363</v>
      </c>
      <c r="I92" s="624"/>
      <c r="J92" s="655"/>
      <c r="K92" s="656"/>
      <c r="L92" s="656" t="s">
        <v>1761</v>
      </c>
      <c r="M92" s="624"/>
      <c r="N92" s="656"/>
      <c r="O92" s="656"/>
      <c r="P92" s="624"/>
      <c r="Q92" s="656" t="s">
        <v>381</v>
      </c>
      <c r="R92" s="624"/>
      <c r="S92" s="631"/>
      <c r="W92" s="656" t="s">
        <v>391</v>
      </c>
      <c r="Y92" s="631"/>
    </row>
    <row r="93" spans="3:26" s="623" customFormat="1" ht="7.5" customHeight="1" thickBot="1">
      <c r="H93" s="634"/>
      <c r="I93" s="624"/>
      <c r="J93" s="634"/>
      <c r="K93" s="635"/>
      <c r="L93" s="635"/>
      <c r="M93" s="624"/>
      <c r="N93" s="635"/>
      <c r="O93" s="635"/>
      <c r="P93" s="624"/>
      <c r="R93" s="624"/>
    </row>
    <row r="94" spans="3:26" s="623" customFormat="1" ht="21.95" customHeight="1" thickBot="1">
      <c r="C94" s="623" t="s">
        <v>379</v>
      </c>
      <c r="E94" s="789">
        <f>1-tlinputCh3Prod4Slot2Forecast-tlinputCh3Prod4Slot3Forecast</f>
        <v>1</v>
      </c>
      <c r="F94" s="624" t="s">
        <v>3115</v>
      </c>
      <c r="H94" s="630" t="s">
        <v>350</v>
      </c>
      <c r="I94" s="624" t="s">
        <v>3113</v>
      </c>
      <c r="K94" s="636"/>
      <c r="L94" s="683">
        <v>0</v>
      </c>
      <c r="M94" s="624" t="s">
        <v>3114</v>
      </c>
      <c r="N94" s="636"/>
      <c r="O94" s="636"/>
      <c r="P94" s="624"/>
      <c r="Q94" s="921" t="s">
        <v>5788</v>
      </c>
      <c r="R94" s="624" t="s">
        <v>6056</v>
      </c>
      <c r="T94" s="592">
        <v>0</v>
      </c>
      <c r="U94" s="624" t="s">
        <v>6057</v>
      </c>
      <c r="W94" s="637">
        <v>0</v>
      </c>
      <c r="X94" s="624" t="s">
        <v>5800</v>
      </c>
    </row>
    <row r="95" spans="3:26" s="623" customFormat="1" ht="7.5" customHeight="1" thickBot="1">
      <c r="I95" s="624"/>
      <c r="M95" s="624"/>
      <c r="P95" s="624"/>
      <c r="R95" s="624"/>
    </row>
    <row r="96" spans="3:26" s="623" customFormat="1" ht="21.95" customHeight="1" thickBot="1">
      <c r="C96" s="623" t="s">
        <v>394</v>
      </c>
      <c r="E96" s="637">
        <v>0</v>
      </c>
      <c r="F96" s="624" t="s">
        <v>3118</v>
      </c>
      <c r="H96" s="630" t="s">
        <v>350</v>
      </c>
      <c r="I96" s="624" t="s">
        <v>3116</v>
      </c>
      <c r="K96" s="636"/>
      <c r="L96" s="683">
        <v>0</v>
      </c>
      <c r="M96" s="624" t="s">
        <v>3117</v>
      </c>
      <c r="N96" s="636"/>
      <c r="O96" s="636"/>
      <c r="P96" s="624"/>
      <c r="Q96" s="921" t="s">
        <v>5788</v>
      </c>
      <c r="R96" s="624" t="s">
        <v>6058</v>
      </c>
      <c r="T96" s="592">
        <v>0</v>
      </c>
      <c r="U96" s="624" t="s">
        <v>6059</v>
      </c>
      <c r="W96" s="637">
        <v>0</v>
      </c>
      <c r="X96" s="624" t="s">
        <v>5801</v>
      </c>
    </row>
    <row r="97" spans="3:52" s="623" customFormat="1" ht="7.5" customHeight="1" thickBot="1">
      <c r="I97" s="624"/>
      <c r="M97" s="624"/>
      <c r="P97" s="624"/>
      <c r="R97" s="624"/>
    </row>
    <row r="98" spans="3:52" s="623" customFormat="1" ht="21.95" customHeight="1" thickBot="1">
      <c r="C98" s="623" t="s">
        <v>395</v>
      </c>
      <c r="E98" s="637">
        <v>0</v>
      </c>
      <c r="F98" s="624" t="s">
        <v>3121</v>
      </c>
      <c r="H98" s="630" t="s">
        <v>350</v>
      </c>
      <c r="I98" s="624" t="s">
        <v>3119</v>
      </c>
      <c r="K98" s="636"/>
      <c r="L98" s="683">
        <v>0</v>
      </c>
      <c r="M98" s="624" t="s">
        <v>3120</v>
      </c>
      <c r="N98" s="636"/>
      <c r="O98" s="636"/>
      <c r="P98" s="624"/>
      <c r="Q98" s="921" t="s">
        <v>5788</v>
      </c>
      <c r="R98" s="624" t="s">
        <v>6060</v>
      </c>
      <c r="T98" s="592">
        <v>0</v>
      </c>
      <c r="U98" s="624" t="s">
        <v>6061</v>
      </c>
      <c r="W98" s="637">
        <v>0</v>
      </c>
      <c r="X98" s="624" t="s">
        <v>5802</v>
      </c>
    </row>
    <row r="99" spans="3:52" s="623" customFormat="1" ht="7.5" customHeight="1">
      <c r="P99" s="624"/>
      <c r="W99" s="711"/>
      <c r="X99" s="711"/>
    </row>
    <row r="100" spans="3:52" s="623" customFormat="1" ht="21.95" customHeight="1">
      <c r="C100" s="631" t="s">
        <v>1404</v>
      </c>
      <c r="D100" s="631"/>
      <c r="E100" s="658" t="str">
        <f>nmEmp1&amp;" Required"</f>
        <v>MTUs Required</v>
      </c>
      <c r="H100" s="658" t="s">
        <v>748</v>
      </c>
      <c r="I100" s="631"/>
      <c r="J100" s="631"/>
      <c r="K100" s="631"/>
      <c r="L100" s="658"/>
      <c r="M100" s="658"/>
      <c r="N100" s="631"/>
      <c r="O100" s="631"/>
      <c r="P100" s="624"/>
      <c r="Q100" s="658" t="str">
        <f>nmEmp1&amp;" Required"</f>
        <v>MTUs Required</v>
      </c>
      <c r="R100" s="624"/>
      <c r="S100" s="631"/>
      <c r="T100" s="658" t="s">
        <v>748</v>
      </c>
      <c r="W100" s="711"/>
      <c r="X100" s="711"/>
    </row>
    <row r="101" spans="3:52" s="623" customFormat="1" ht="7.5" customHeight="1">
      <c r="P101" s="624"/>
      <c r="R101" s="624"/>
      <c r="W101" s="711"/>
      <c r="X101" s="711"/>
    </row>
    <row r="102" spans="3:52" s="623" customFormat="1" ht="21.95" customHeight="1">
      <c r="E102" s="636"/>
      <c r="H102" s="857"/>
      <c r="L102" s="758"/>
      <c r="M102" s="758"/>
      <c r="P102" s="624"/>
      <c r="Q102" s="636"/>
      <c r="R102" s="624"/>
      <c r="T102" s="758"/>
      <c r="W102" s="711"/>
      <c r="X102" s="711"/>
    </row>
    <row r="103" spans="3:52" s="623" customFormat="1" ht="7.5" customHeight="1">
      <c r="P103" s="624"/>
      <c r="W103" s="711"/>
      <c r="X103" s="711"/>
    </row>
    <row r="104" spans="3:52" s="623" customFormat="1" ht="21.95" customHeight="1">
      <c r="H104" s="636"/>
      <c r="L104" s="758"/>
      <c r="M104" s="758"/>
      <c r="P104" s="624"/>
      <c r="W104" s="711"/>
      <c r="X104" s="711"/>
    </row>
    <row r="105" spans="3:52" s="623" customFormat="1" ht="7.5" customHeight="1">
      <c r="P105" s="624"/>
      <c r="W105" s="711"/>
      <c r="X105" s="711"/>
    </row>
    <row r="106" spans="3:52" s="689" customFormat="1" ht="21.95" customHeight="1">
      <c r="AV106" s="759" t="s">
        <v>6604</v>
      </c>
    </row>
    <row r="107" spans="3:52" s="689" customFormat="1" ht="21.95" customHeight="1" thickBot="1"/>
    <row r="108" spans="3:52" s="689" customFormat="1" ht="21.95" customHeight="1">
      <c r="AU108" s="760"/>
      <c r="AV108" s="768" t="s">
        <v>6605</v>
      </c>
      <c r="AW108" s="761"/>
      <c r="AX108" s="762"/>
    </row>
    <row r="109" spans="3:52" s="689" customFormat="1" ht="21.95" customHeight="1">
      <c r="AU109" s="763"/>
      <c r="AV109" s="701" t="s">
        <v>6606</v>
      </c>
      <c r="AW109" s="701"/>
      <c r="AX109" s="764"/>
    </row>
    <row r="110" spans="3:52" s="689" customFormat="1" ht="21.95" customHeight="1">
      <c r="AU110" s="763"/>
      <c r="AV110" s="701"/>
      <c r="AW110" s="701"/>
      <c r="AX110" s="764"/>
    </row>
    <row r="111" spans="3:52" s="689" customFormat="1" ht="21.95" customHeight="1">
      <c r="AU111" s="763"/>
      <c r="AV111" s="701"/>
      <c r="AW111" s="701" t="s">
        <v>583</v>
      </c>
      <c r="AX111" s="764"/>
      <c r="AZ111" s="689" t="s">
        <v>6607</v>
      </c>
    </row>
    <row r="112" spans="3:52" s="689" customFormat="1" ht="21.95" customHeight="1">
      <c r="AU112" s="763"/>
      <c r="AV112" s="703">
        <v>1</v>
      </c>
      <c r="AW112" s="701" t="s">
        <v>3122</v>
      </c>
      <c r="AX112" s="764"/>
      <c r="AZ112" s="689">
        <f>IF(tlinputCh3Prod1Slot1Pack="Select pack",0,1)</f>
        <v>1</v>
      </c>
    </row>
    <row r="113" spans="47:52" s="689" customFormat="1" ht="21.95" customHeight="1">
      <c r="AU113" s="763"/>
      <c r="AV113" s="703">
        <v>0</v>
      </c>
      <c r="AW113" s="701" t="s">
        <v>3123</v>
      </c>
      <c r="AX113" s="764"/>
      <c r="AZ113" s="689">
        <f>IF(tlinputCh3Prod1Slot2Pack="Select pack",0,1)</f>
        <v>0</v>
      </c>
    </row>
    <row r="114" spans="47:52" s="689" customFormat="1" ht="21.95" customHeight="1">
      <c r="AU114" s="763"/>
      <c r="AV114" s="703">
        <v>0</v>
      </c>
      <c r="AW114" s="701" t="s">
        <v>3124</v>
      </c>
      <c r="AX114" s="764"/>
      <c r="AZ114" s="689">
        <f>IF(tlinputCh3Prod1Slot3Pack="Select pack",0,1)</f>
        <v>0</v>
      </c>
    </row>
    <row r="115" spans="47:52" s="689" customFormat="1" ht="21.95" customHeight="1">
      <c r="AU115" s="763"/>
      <c r="AV115" s="703">
        <v>1</v>
      </c>
      <c r="AW115" s="701" t="s">
        <v>3125</v>
      </c>
      <c r="AX115" s="764"/>
      <c r="AZ115" s="689">
        <f>IF(tlinputCh3Prod2Slot1Pack="Select pack",0,1)</f>
        <v>1</v>
      </c>
    </row>
    <row r="116" spans="47:52" s="689" customFormat="1" ht="21.95" customHeight="1">
      <c r="AU116" s="763"/>
      <c r="AV116" s="703">
        <v>1</v>
      </c>
      <c r="AW116" s="701" t="s">
        <v>3126</v>
      </c>
      <c r="AX116" s="764"/>
      <c r="AZ116" s="689">
        <f>IF(tlinputCh3Prod2Slot2Pack="Select pack",0,1)</f>
        <v>1</v>
      </c>
    </row>
    <row r="117" spans="47:52" s="689" customFormat="1" ht="21.95" customHeight="1">
      <c r="AU117" s="763"/>
      <c r="AV117" s="703">
        <v>0</v>
      </c>
      <c r="AW117" s="701" t="s">
        <v>3127</v>
      </c>
      <c r="AX117" s="764"/>
      <c r="AZ117" s="689">
        <f>IF(tlinputCh3Prod2Slot3Pack="Select pack",0,1)</f>
        <v>0</v>
      </c>
    </row>
    <row r="118" spans="47:52" s="689" customFormat="1" ht="21.95" customHeight="1">
      <c r="AU118" s="763"/>
      <c r="AV118" s="703">
        <v>1</v>
      </c>
      <c r="AW118" s="701" t="s">
        <v>3128</v>
      </c>
      <c r="AX118" s="764"/>
      <c r="AZ118" s="689">
        <f>IF(tlinputCh3Prod3Slot1Pack="Select pack",0,1)</f>
        <v>1</v>
      </c>
    </row>
    <row r="119" spans="47:52" s="689" customFormat="1" ht="21.95" customHeight="1">
      <c r="AU119" s="763"/>
      <c r="AV119" s="703">
        <v>0</v>
      </c>
      <c r="AW119" s="701" t="s">
        <v>3129</v>
      </c>
      <c r="AX119" s="764"/>
      <c r="AZ119" s="689">
        <f>IF(tlinputCh3Prod3Slot2Pack="Select pack",0,1)</f>
        <v>0</v>
      </c>
    </row>
    <row r="120" spans="47:52" s="689" customFormat="1" ht="21.95" customHeight="1">
      <c r="AU120" s="763"/>
      <c r="AV120" s="703">
        <v>0</v>
      </c>
      <c r="AW120" s="701" t="s">
        <v>3130</v>
      </c>
      <c r="AX120" s="764"/>
      <c r="AZ120" s="689">
        <f>IF(tlinputCh3Prod3Slot3Pack="Select pack",0,1)</f>
        <v>0</v>
      </c>
    </row>
    <row r="121" spans="47:52" s="689" customFormat="1" ht="21.95" customHeight="1">
      <c r="AU121" s="763"/>
      <c r="AV121" s="703">
        <v>0</v>
      </c>
      <c r="AW121" s="701" t="s">
        <v>3131</v>
      </c>
      <c r="AX121" s="764"/>
      <c r="AZ121" s="689">
        <f>IF(tlinputCh3Prod4Slot1Pack="Select pack",0,1)</f>
        <v>0</v>
      </c>
    </row>
    <row r="122" spans="47:52" s="689" customFormat="1" ht="21.95" customHeight="1">
      <c r="AU122" s="763"/>
      <c r="AV122" s="703">
        <v>0</v>
      </c>
      <c r="AW122" s="701" t="s">
        <v>3132</v>
      </c>
      <c r="AX122" s="764"/>
      <c r="AZ122" s="689">
        <f>IF(tlinputCh3Prod4Slot2Pack="Select pack",0,1)</f>
        <v>0</v>
      </c>
    </row>
    <row r="123" spans="47:52" s="689" customFormat="1" ht="21.95" customHeight="1">
      <c r="AU123" s="763"/>
      <c r="AV123" s="703">
        <v>0</v>
      </c>
      <c r="AW123" s="701" t="s">
        <v>3133</v>
      </c>
      <c r="AX123" s="764"/>
      <c r="AZ123" s="689">
        <f>IF(tlinputCh3Prod4Slot3Pack="Select pack",0,1)</f>
        <v>0</v>
      </c>
    </row>
    <row r="124" spans="47:52" s="689" customFormat="1" ht="21.95" customHeight="1" thickBot="1">
      <c r="AU124" s="765"/>
      <c r="AV124" s="766"/>
      <c r="AW124" s="766"/>
      <c r="AX124" s="767"/>
    </row>
    <row r="125" spans="47:52" s="689" customFormat="1" ht="21.95" customHeight="1" thickBot="1"/>
    <row r="126" spans="47:52" s="689" customFormat="1" ht="21.95" customHeight="1">
      <c r="AU126" s="760"/>
      <c r="AV126" s="768" t="s">
        <v>6608</v>
      </c>
      <c r="AW126" s="761"/>
      <c r="AX126" s="762"/>
    </row>
    <row r="127" spans="47:52" s="689" customFormat="1" ht="21.95" customHeight="1">
      <c r="AU127" s="763"/>
      <c r="AV127" s="701" t="s">
        <v>6606</v>
      </c>
      <c r="AW127" s="701"/>
      <c r="AX127" s="764"/>
    </row>
    <row r="128" spans="47:52" s="689" customFormat="1" ht="21.95" customHeight="1">
      <c r="AU128" s="763"/>
      <c r="AV128" s="701"/>
      <c r="AW128" s="701"/>
      <c r="AX128" s="764"/>
    </row>
    <row r="129" spans="47:50" s="689" customFormat="1" ht="21.95" customHeight="1">
      <c r="AU129" s="763"/>
      <c r="AV129" s="701"/>
      <c r="AW129" s="701" t="s">
        <v>583</v>
      </c>
      <c r="AX129" s="764"/>
    </row>
    <row r="130" spans="47:50" s="689" customFormat="1" ht="21.95" customHeight="1">
      <c r="AU130" s="763"/>
      <c r="AV130" s="703">
        <v>0</v>
      </c>
      <c r="AW130" s="701" t="s">
        <v>6957</v>
      </c>
      <c r="AX130" s="764"/>
    </row>
    <row r="131" spans="47:50" s="689" customFormat="1" ht="21.95" customHeight="1">
      <c r="AU131" s="763"/>
      <c r="AV131" s="703">
        <v>0</v>
      </c>
      <c r="AW131" s="701" t="s">
        <v>6958</v>
      </c>
      <c r="AX131" s="764"/>
    </row>
    <row r="132" spans="47:50" s="689" customFormat="1" ht="21.95" customHeight="1">
      <c r="AU132" s="763"/>
      <c r="AV132" s="703">
        <v>0</v>
      </c>
      <c r="AW132" s="701" t="s">
        <v>6959</v>
      </c>
      <c r="AX132" s="764"/>
    </row>
    <row r="133" spans="47:50" s="689" customFormat="1" ht="21.95" customHeight="1">
      <c r="AU133" s="763"/>
      <c r="AV133" s="703">
        <v>0</v>
      </c>
      <c r="AW133" s="701" t="s">
        <v>6960</v>
      </c>
      <c r="AX133" s="764"/>
    </row>
    <row r="134" spans="47:50" s="689" customFormat="1" ht="21.95" customHeight="1">
      <c r="AU134" s="763"/>
      <c r="AV134" s="703">
        <v>0</v>
      </c>
      <c r="AW134" s="701" t="s">
        <v>6961</v>
      </c>
      <c r="AX134" s="764"/>
    </row>
    <row r="135" spans="47:50" s="689" customFormat="1" ht="21.95" customHeight="1">
      <c r="AU135" s="763"/>
      <c r="AV135" s="703">
        <v>0</v>
      </c>
      <c r="AW135" s="701" t="s">
        <v>6962</v>
      </c>
      <c r="AX135" s="764"/>
    </row>
    <row r="136" spans="47:50" s="689" customFormat="1" ht="21.95" customHeight="1" thickBot="1">
      <c r="AU136" s="765"/>
      <c r="AV136" s="766"/>
      <c r="AW136" s="766"/>
      <c r="AX136" s="767"/>
    </row>
    <row r="137" spans="47:50" s="689" customFormat="1" ht="21.95" customHeight="1"/>
    <row r="138" spans="47:50" s="689" customFormat="1" ht="21.95" customHeight="1"/>
    <row r="139" spans="47:50" s="689" customFormat="1" ht="21.95" customHeight="1"/>
    <row r="140" spans="47:50" s="689" customFormat="1" ht="21.95" customHeight="1"/>
    <row r="141" spans="47:50" s="689" customFormat="1" ht="21.95" customHeight="1"/>
  </sheetData>
  <sheetProtection selectLockedCells="1"/>
  <mergeCells count="5">
    <mergeCell ref="C7:E7"/>
    <mergeCell ref="T11:W11"/>
    <mergeCell ref="AE11:AF11"/>
    <mergeCell ref="AC11:AD11"/>
    <mergeCell ref="Q3:Q4"/>
  </mergeCells>
  <dataValidations count="8">
    <dataValidation type="list" allowBlank="1" showInputMessage="1" showErrorMessage="1" sqref="C7:E7">
      <formula1>INDIRECT(VTCh3_AvailableProgramDropDown)</formula1>
    </dataValidation>
    <dataValidation type="decimal" allowBlank="1" showInputMessage="1" showErrorMessage="1" errorTitle="Invalid Value" error="Please enter a percentage between 10% and 25000%." sqref="L98 L96 L94 L66 L64 L62 L50 L48 L46 L82 L80 L78">
      <formula1>0.1</formula1>
      <formula2>250</formula2>
    </dataValidation>
    <dataValidation type="decimal" allowBlank="1" showInputMessage="1" showErrorMessage="1" errorTitle="Invalid Value" error="Please enter a percentage between 0% and 100%." sqref="W98 W96 W94 W66 W64 W62 W50 W48 W46 W82 W80 W78">
      <formula1>0</formula1>
      <formula2>1</formula2>
    </dataValidation>
    <dataValidation type="decimal" allowBlank="1" showInputMessage="1" showErrorMessage="1" errorTitle="Invalid Value" error="Please enter a percentage between 1% and 100%." sqref="E78 E98 E96 E94 E66 E64 E62 E50 E48 E46 E82 E80">
      <formula1>0.01</formula1>
      <formula2>1</formula2>
    </dataValidation>
    <dataValidation type="list" allowBlank="1" showInputMessage="1" showErrorMessage="1" errorTitle="Selection Not Allowed" error="Please enter a valid selection from the drop-down menu." sqref="Q78 Q98 Q96 Q94 Q66 Q64 Q62 Q50 Q48 Q46 Q82 Q80">
      <formula1>dataCh3PromoType</formula1>
    </dataValidation>
    <dataValidation type="decimal" allowBlank="1" showInputMessage="1" showErrorMessage="1" errorTitle="Invalid Value" error="Please enter a whole number between 0 and 25." sqref="T78 T98 T96 T94 T66 T64 T62 T50 T48 T46 T82 T80">
      <formula1>0</formula1>
      <formula2>25</formula2>
    </dataValidation>
    <dataValidation type="decimal" allowBlank="1" showInputMessage="1" showErrorMessage="1" errorTitle="Invalid Value" error="Please enter a whole number between 0 and 1." sqref="AV130:AV135 AV112:AV123">
      <formula1>0</formula1>
      <formula2>1</formula2>
    </dataValidation>
    <dataValidation type="list" allowBlank="1" showInputMessage="1" showErrorMessage="1" sqref="H98 H96 H94 H82 H80 H78 H66 H64 H62 H50 H48 H46">
      <formula1>INDIRECT(PackAvailable_AvailableProgramDropDown)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2" max="122" man="1"/>
    <brk id="3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4"/>
  </sheetPr>
  <dimension ref="C1:AH85"/>
  <sheetViews>
    <sheetView topLeftCell="A19" zoomScaleNormal="100" workbookViewId="0">
      <selection activeCell="H2" sqref="H2:AJ5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69921875" style="621" customWidth="1"/>
    <col min="5" max="5" width="15.59765625" style="621" customWidth="1"/>
    <col min="6" max="6" width="23.8984375" style="689" hidden="1" customWidth="1"/>
    <col min="7" max="7" width="1.796875" style="621" customWidth="1"/>
    <col min="8" max="8" width="18.5" style="621" customWidth="1"/>
    <col min="9" max="9" width="18.296875" style="689" hidden="1" customWidth="1"/>
    <col min="10" max="10" width="1.69921875" style="621" customWidth="1"/>
    <col min="11" max="11" width="16" style="621" customWidth="1"/>
    <col min="12" max="12" width="16" style="689" hidden="1" customWidth="1"/>
    <col min="13" max="13" width="1.69921875" style="621" customWidth="1"/>
    <col min="14" max="14" width="15.59765625" style="621" customWidth="1"/>
    <col min="15" max="15" width="15.59765625" style="689" hidden="1" customWidth="1"/>
    <col min="16" max="16" width="1.69921875" style="621" customWidth="1"/>
    <col min="17" max="17" width="15.59765625" style="621" customWidth="1"/>
    <col min="18" max="18" width="15.59765625" style="689" hidden="1" customWidth="1"/>
    <col min="19" max="19" width="1.69921875" style="621" customWidth="1"/>
    <col min="20" max="20" width="15.59765625" style="621" customWidth="1"/>
    <col min="21" max="21" width="15.59765625" style="689" hidden="1" customWidth="1"/>
    <col min="22" max="22" width="1.69921875" style="621" customWidth="1"/>
    <col min="23" max="23" width="15.59765625" style="621" customWidth="1"/>
    <col min="24" max="24" width="1.69921875" style="621" customWidth="1"/>
    <col min="25" max="25" width="15.59765625" style="689" customWidth="1"/>
    <col min="26" max="26" width="1.69921875" style="621" customWidth="1"/>
    <col min="27" max="27" width="15.59765625" style="621" customWidth="1"/>
    <col min="28" max="28" width="1.69921875" style="621" customWidth="1"/>
    <col min="29" max="29" width="15.59765625" style="621" customWidth="1"/>
    <col min="30" max="31" width="1.69921875" style="621" customWidth="1"/>
    <col min="32" max="32" width="20.69921875" style="621" customWidth="1"/>
    <col min="33" max="39" width="8.796875" style="621"/>
    <col min="40" max="40" width="29.796875" style="621" customWidth="1"/>
    <col min="41" max="41" width="13.5" style="621" customWidth="1"/>
    <col min="42" max="42" width="24" style="621" customWidth="1"/>
    <col min="43" max="43" width="15.3984375" style="621" customWidth="1"/>
    <col min="44" max="44" width="29.5" style="621" customWidth="1"/>
    <col min="45" max="45" width="19.5" style="621" customWidth="1"/>
    <col min="46" max="46" width="29.296875" style="621" customWidth="1"/>
    <col min="47" max="16384" width="8.796875" style="621"/>
  </cols>
  <sheetData>
    <row r="1" spans="3:34" s="620" customFormat="1" ht="21.75" customHeight="1">
      <c r="D1" s="659"/>
      <c r="E1" s="659"/>
    </row>
    <row r="2" spans="3:34" s="620" customFormat="1" ht="29.25" customHeight="1">
      <c r="D2" s="659"/>
      <c r="E2" s="659"/>
      <c r="H2" s="1007"/>
      <c r="I2" s="726"/>
      <c r="K2" s="1007"/>
      <c r="N2" s="1007"/>
      <c r="Q2" s="1008"/>
      <c r="T2" s="770"/>
      <c r="U2" s="770"/>
      <c r="V2" s="770"/>
      <c r="W2" s="771"/>
      <c r="X2" s="770"/>
      <c r="Y2" s="771"/>
      <c r="Z2" s="770"/>
      <c r="AA2" s="771"/>
      <c r="AB2" s="770"/>
      <c r="AC2" s="771"/>
      <c r="AH2" s="622"/>
    </row>
    <row r="3" spans="3:34" s="620" customFormat="1" ht="29.25" customHeight="1">
      <c r="C3" s="694" t="str">
        <f>tlOutputCh4</f>
        <v>On-Trade</v>
      </c>
      <c r="D3" s="659"/>
      <c r="E3" s="659"/>
      <c r="H3" s="1007"/>
      <c r="K3" s="1007"/>
      <c r="N3" s="1007"/>
      <c r="Q3" s="1008"/>
      <c r="W3" s="771"/>
      <c r="X3" s="770"/>
      <c r="Y3" s="771"/>
      <c r="Z3" s="770"/>
      <c r="AA3" s="771"/>
      <c r="AB3" s="770"/>
      <c r="AC3" s="771"/>
    </row>
    <row r="4" spans="3:34" s="620" customFormat="1" ht="29.25" customHeight="1">
      <c r="C4" s="696" t="s">
        <v>3298</v>
      </c>
      <c r="D4" s="659"/>
      <c r="E4" s="659"/>
      <c r="H4" s="772"/>
      <c r="K4" s="772"/>
      <c r="N4" s="772"/>
      <c r="Q4" s="535"/>
      <c r="W4" s="771"/>
      <c r="X4" s="770"/>
      <c r="Y4" s="771"/>
      <c r="Z4" s="770"/>
      <c r="AA4" s="771"/>
      <c r="AB4" s="770"/>
      <c r="AC4" s="771"/>
    </row>
    <row r="5" spans="3:34" s="623" customFormat="1" ht="12.75" customHeight="1">
      <c r="F5" s="624"/>
    </row>
    <row r="6" spans="3:34" s="623" customFormat="1" ht="20.100000000000001" customHeight="1">
      <c r="C6" s="657"/>
      <c r="D6" s="619"/>
      <c r="E6" s="619"/>
      <c r="F6" s="619"/>
      <c r="G6" s="619"/>
      <c r="H6" s="619"/>
      <c r="I6" s="619"/>
      <c r="J6" s="461"/>
      <c r="K6" s="461"/>
      <c r="L6" s="461"/>
      <c r="M6" s="461"/>
      <c r="N6" s="461"/>
      <c r="O6" s="461"/>
      <c r="P6" s="461"/>
      <c r="Q6" s="461"/>
      <c r="R6" s="461"/>
      <c r="S6" s="461"/>
      <c r="T6" s="461"/>
      <c r="U6" s="461"/>
      <c r="V6" s="461"/>
      <c r="W6" s="461"/>
      <c r="X6" s="461"/>
      <c r="Y6" s="461"/>
      <c r="Z6" s="461"/>
      <c r="AA6" s="461"/>
      <c r="AB6" s="461"/>
      <c r="AC6" s="461"/>
      <c r="AD6" s="461"/>
    </row>
    <row r="7" spans="3:34" s="623" customFormat="1" ht="7.5" customHeight="1">
      <c r="F7" s="624"/>
    </row>
    <row r="8" spans="3:34" s="623" customFormat="1" ht="20.100000000000001" customHeight="1">
      <c r="E8" s="1005"/>
      <c r="F8" s="1005"/>
      <c r="G8" s="1005"/>
      <c r="H8" s="1005"/>
      <c r="I8" s="462"/>
      <c r="K8" s="757"/>
      <c r="M8" s="658"/>
      <c r="N8" s="757"/>
      <c r="Q8" s="757"/>
      <c r="S8" s="658"/>
      <c r="T8" s="658"/>
      <c r="U8" s="658"/>
      <c r="V8" s="658"/>
      <c r="W8" s="658"/>
      <c r="X8" s="658"/>
      <c r="Y8" s="658"/>
      <c r="Z8" s="658"/>
      <c r="AA8" s="658"/>
      <c r="AB8" s="658"/>
      <c r="AC8" s="658"/>
      <c r="AD8" s="658"/>
      <c r="AE8" s="658"/>
      <c r="AG8" s="658"/>
    </row>
    <row r="9" spans="3:34" s="623" customFormat="1" ht="7.5" customHeight="1"/>
    <row r="10" spans="3:34" s="623" customFormat="1" ht="20.100000000000001" customHeight="1">
      <c r="E10" s="658"/>
      <c r="F10" s="636"/>
      <c r="G10" s="658"/>
      <c r="H10" s="658"/>
      <c r="I10" s="636"/>
      <c r="J10" s="636"/>
      <c r="K10" s="658"/>
      <c r="L10" s="342"/>
      <c r="M10" s="342"/>
      <c r="N10" s="658"/>
      <c r="Q10" s="342"/>
      <c r="R10" s="624"/>
      <c r="S10" s="624"/>
      <c r="T10" s="624"/>
      <c r="U10" s="624"/>
      <c r="V10" s="624"/>
      <c r="W10" s="624"/>
      <c r="X10" s="624"/>
      <c r="Y10" s="624"/>
      <c r="Z10" s="624"/>
      <c r="AA10" s="624"/>
      <c r="AB10" s="624"/>
      <c r="AC10" s="624"/>
      <c r="AD10" s="624"/>
      <c r="AE10" s="624"/>
      <c r="AG10" s="624"/>
    </row>
    <row r="11" spans="3:34" s="623" customFormat="1" ht="7.5" customHeight="1"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Q11" s="342"/>
      <c r="R11" s="624"/>
      <c r="S11" s="624"/>
      <c r="T11" s="624"/>
      <c r="U11" s="624"/>
      <c r="V11" s="624"/>
      <c r="W11" s="624"/>
      <c r="X11" s="624"/>
      <c r="Y11" s="624"/>
      <c r="Z11" s="624"/>
      <c r="AA11" s="624"/>
      <c r="AB11" s="624"/>
      <c r="AC11" s="624"/>
      <c r="AD11" s="624"/>
      <c r="AE11" s="624"/>
      <c r="AG11" s="624"/>
    </row>
    <row r="12" spans="3:34" s="623" customFormat="1" ht="20.100000000000001" customHeight="1">
      <c r="E12" s="1006"/>
      <c r="F12" s="1006"/>
      <c r="G12" s="1006"/>
      <c r="H12" s="1006"/>
      <c r="I12" s="636"/>
      <c r="J12" s="636"/>
      <c r="K12" s="758"/>
      <c r="L12" s="636"/>
      <c r="M12" s="636"/>
      <c r="N12" s="758"/>
      <c r="Q12" s="758"/>
      <c r="R12" s="624"/>
      <c r="S12" s="624"/>
      <c r="T12" s="624"/>
      <c r="U12" s="624"/>
      <c r="V12" s="624"/>
      <c r="W12" s="624"/>
      <c r="X12" s="624"/>
      <c r="Y12" s="624"/>
      <c r="Z12" s="624"/>
      <c r="AA12" s="624"/>
      <c r="AB12" s="624"/>
      <c r="AC12" s="624"/>
      <c r="AD12" s="624"/>
      <c r="AE12" s="624"/>
      <c r="AG12" s="624"/>
    </row>
    <row r="13" spans="3:34" s="623" customFormat="1" ht="7.5" customHeight="1" thickBot="1"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Q13" s="342"/>
      <c r="R13" s="624"/>
      <c r="S13" s="624"/>
      <c r="T13" s="624"/>
      <c r="U13" s="624"/>
      <c r="V13" s="624"/>
      <c r="W13" s="624"/>
      <c r="X13" s="624"/>
      <c r="Y13" s="624"/>
      <c r="Z13" s="624"/>
      <c r="AA13" s="624"/>
      <c r="AB13" s="624"/>
      <c r="AC13" s="624"/>
      <c r="AD13" s="624"/>
      <c r="AE13" s="624"/>
      <c r="AG13" s="624"/>
    </row>
    <row r="14" spans="3:34" s="623" customFormat="1" ht="20.100000000000001" customHeight="1" thickBot="1">
      <c r="E14" s="637">
        <v>0.12</v>
      </c>
      <c r="F14" s="636" t="s">
        <v>3033</v>
      </c>
      <c r="G14" s="503"/>
      <c r="H14" s="637">
        <v>0.08</v>
      </c>
      <c r="I14" s="636" t="s">
        <v>3034</v>
      </c>
      <c r="J14" s="636"/>
      <c r="K14" s="637">
        <v>0.2</v>
      </c>
      <c r="L14" s="342" t="s">
        <v>6973</v>
      </c>
      <c r="M14" s="342"/>
      <c r="N14" s="637">
        <v>0.2</v>
      </c>
      <c r="O14" s="342" t="s">
        <v>3035</v>
      </c>
      <c r="Q14" s="342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G14" s="624"/>
    </row>
    <row r="15" spans="3:34" s="623" customFormat="1" ht="7.5" customHeight="1"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Q15" s="342"/>
      <c r="R15" s="624"/>
      <c r="S15" s="624"/>
      <c r="T15" s="624"/>
      <c r="U15" s="624"/>
      <c r="V15" s="624"/>
      <c r="W15" s="624"/>
      <c r="X15" s="624"/>
      <c r="Y15" s="624"/>
      <c r="Z15" s="624"/>
      <c r="AA15" s="624"/>
      <c r="AB15" s="624"/>
      <c r="AC15" s="624"/>
      <c r="AD15" s="624"/>
      <c r="AE15" s="624"/>
      <c r="AG15" s="624"/>
    </row>
    <row r="16" spans="3:34" s="623" customFormat="1" ht="20.100000000000001" customHeight="1">
      <c r="E16" s="758"/>
      <c r="F16" s="636"/>
      <c r="G16" s="758"/>
      <c r="H16" s="758"/>
      <c r="I16" s="636"/>
      <c r="J16" s="636"/>
      <c r="K16" s="758"/>
      <c r="L16" s="636"/>
      <c r="M16" s="636"/>
      <c r="N16" s="758"/>
      <c r="Q16" s="758"/>
      <c r="R16" s="624"/>
      <c r="S16" s="624"/>
      <c r="T16" s="624"/>
      <c r="U16" s="624"/>
      <c r="V16" s="624"/>
      <c r="W16" s="624"/>
      <c r="X16" s="624"/>
      <c r="Y16" s="624"/>
      <c r="Z16" s="624"/>
      <c r="AA16" s="624"/>
      <c r="AB16" s="624"/>
      <c r="AC16" s="624"/>
      <c r="AD16" s="624"/>
      <c r="AE16" s="624"/>
      <c r="AG16" s="624"/>
    </row>
    <row r="17" spans="3:33" s="623" customFormat="1" ht="7.5" customHeight="1">
      <c r="E17" s="636"/>
      <c r="F17" s="636"/>
      <c r="G17" s="636"/>
      <c r="H17" s="636"/>
      <c r="I17" s="636"/>
      <c r="J17" s="636"/>
      <c r="K17" s="636"/>
      <c r="L17" s="636"/>
      <c r="M17" s="636"/>
      <c r="N17" s="636"/>
      <c r="Q17" s="636"/>
      <c r="R17" s="624"/>
      <c r="S17" s="624"/>
      <c r="T17" s="624"/>
      <c r="U17" s="624"/>
      <c r="V17" s="624"/>
      <c r="W17" s="624"/>
      <c r="X17" s="624"/>
      <c r="Y17" s="624"/>
      <c r="Z17" s="624"/>
      <c r="AA17" s="624"/>
      <c r="AB17" s="624"/>
      <c r="AC17" s="624"/>
      <c r="AD17" s="624"/>
      <c r="AE17" s="624"/>
      <c r="AG17" s="624"/>
    </row>
    <row r="18" spans="3:33" s="623" customFormat="1" ht="20.100000000000001" customHeight="1">
      <c r="E18" s="758"/>
      <c r="F18" s="636"/>
      <c r="G18" s="758"/>
      <c r="H18" s="758"/>
      <c r="I18" s="636"/>
      <c r="J18" s="636"/>
      <c r="K18" s="758"/>
      <c r="L18" s="636"/>
      <c r="M18" s="636"/>
      <c r="N18" s="758"/>
      <c r="Q18" s="758"/>
      <c r="R18" s="624"/>
      <c r="S18" s="624"/>
      <c r="T18" s="624"/>
      <c r="U18" s="624"/>
      <c r="V18" s="624"/>
      <c r="W18" s="624"/>
      <c r="X18" s="624"/>
      <c r="Y18" s="624"/>
      <c r="Z18" s="624"/>
      <c r="AA18" s="624"/>
      <c r="AB18" s="624"/>
      <c r="AC18" s="624"/>
      <c r="AD18" s="624"/>
      <c r="AE18" s="624"/>
      <c r="AG18" s="624"/>
    </row>
    <row r="19" spans="3:33" s="623" customFormat="1" ht="7.5" customHeight="1"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Q19" s="506"/>
      <c r="R19" s="624"/>
      <c r="S19" s="624"/>
      <c r="T19" s="624"/>
      <c r="U19" s="624"/>
      <c r="V19" s="624"/>
      <c r="W19" s="624"/>
      <c r="X19" s="624"/>
      <c r="Y19" s="624"/>
      <c r="Z19" s="624"/>
      <c r="AA19" s="624"/>
      <c r="AB19" s="624"/>
      <c r="AC19" s="624"/>
      <c r="AD19" s="624"/>
      <c r="AE19" s="624"/>
      <c r="AG19" s="624"/>
    </row>
    <row r="20" spans="3:33" s="623" customFormat="1" ht="20.100000000000001" customHeight="1">
      <c r="E20" s="758"/>
      <c r="F20" s="636"/>
      <c r="G20" s="758"/>
      <c r="H20" s="758"/>
      <c r="I20" s="636"/>
      <c r="J20" s="636"/>
      <c r="K20" s="758"/>
      <c r="L20" s="506"/>
      <c r="M20" s="506"/>
      <c r="N20" s="758"/>
      <c r="Q20" s="758"/>
      <c r="R20" s="624"/>
      <c r="S20" s="624"/>
      <c r="T20" s="624"/>
      <c r="U20" s="624"/>
      <c r="V20" s="624"/>
      <c r="W20" s="624"/>
      <c r="X20" s="624"/>
      <c r="Y20" s="624"/>
      <c r="Z20" s="624"/>
      <c r="AA20" s="624"/>
      <c r="AB20" s="624"/>
      <c r="AC20" s="624"/>
      <c r="AD20" s="624"/>
      <c r="AE20" s="624"/>
      <c r="AG20" s="624"/>
    </row>
    <row r="21" spans="3:33" s="623" customFormat="1" ht="7.5" customHeight="1">
      <c r="E21" s="506"/>
      <c r="F21" s="506"/>
      <c r="G21" s="506"/>
      <c r="H21" s="506"/>
      <c r="I21" s="506"/>
      <c r="J21" s="506"/>
      <c r="K21" s="506"/>
      <c r="L21" s="506"/>
      <c r="M21" s="506"/>
      <c r="N21" s="506"/>
      <c r="Q21" s="506"/>
      <c r="R21" s="624"/>
      <c r="S21" s="624"/>
      <c r="T21" s="624"/>
      <c r="U21" s="624"/>
      <c r="V21" s="624"/>
      <c r="W21" s="624"/>
      <c r="X21" s="624"/>
      <c r="Y21" s="624"/>
      <c r="Z21" s="624"/>
      <c r="AA21" s="624"/>
      <c r="AB21" s="624"/>
      <c r="AC21" s="624"/>
      <c r="AD21" s="624"/>
      <c r="AE21" s="624"/>
      <c r="AG21" s="624"/>
    </row>
    <row r="22" spans="3:33" s="623" customFormat="1" ht="20.100000000000001" customHeight="1">
      <c r="E22" s="758"/>
      <c r="F22" s="506"/>
      <c r="G22" s="507"/>
      <c r="H22" s="758"/>
      <c r="I22" s="506"/>
      <c r="J22" s="506"/>
      <c r="K22" s="758"/>
      <c r="L22" s="506"/>
      <c r="M22" s="506"/>
      <c r="N22" s="758"/>
      <c r="Q22" s="758"/>
      <c r="R22" s="624"/>
      <c r="S22" s="624"/>
      <c r="T22" s="624"/>
      <c r="U22" s="624"/>
      <c r="V22" s="624"/>
      <c r="W22" s="624"/>
      <c r="X22" s="624"/>
      <c r="Y22" s="624"/>
      <c r="Z22" s="624"/>
      <c r="AA22" s="624"/>
      <c r="AB22" s="624"/>
      <c r="AC22" s="624"/>
      <c r="AD22" s="624"/>
      <c r="AE22" s="624"/>
      <c r="AG22" s="624"/>
    </row>
    <row r="23" spans="3:33" s="623" customFormat="1" ht="7.5" customHeight="1">
      <c r="E23" s="488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624"/>
      <c r="S23" s="624"/>
      <c r="T23" s="624"/>
      <c r="U23" s="624"/>
      <c r="V23" s="624"/>
      <c r="W23" s="624"/>
      <c r="X23" s="624"/>
      <c r="Y23" s="624"/>
      <c r="Z23" s="624"/>
      <c r="AA23" s="624"/>
      <c r="AB23" s="624"/>
      <c r="AC23" s="624"/>
      <c r="AD23" s="624"/>
      <c r="AE23" s="624"/>
      <c r="AF23" s="624"/>
      <c r="AG23" s="624"/>
    </row>
    <row r="24" spans="3:33" s="623" customFormat="1" ht="20.100000000000001" customHeight="1">
      <c r="R24" s="624"/>
      <c r="S24" s="624"/>
      <c r="T24" s="624"/>
      <c r="U24" s="624"/>
      <c r="V24" s="624"/>
      <c r="W24" s="624"/>
      <c r="X24" s="624"/>
      <c r="Y24" s="624"/>
      <c r="Z24" s="624"/>
      <c r="AA24" s="624"/>
      <c r="AB24" s="624"/>
      <c r="AC24" s="624"/>
      <c r="AD24" s="624"/>
      <c r="AE24" s="624"/>
      <c r="AF24" s="624"/>
      <c r="AG24" s="624"/>
    </row>
    <row r="25" spans="3:33" s="623" customFormat="1" ht="7.5" customHeight="1">
      <c r="F25" s="624"/>
      <c r="L25" s="624"/>
      <c r="O25" s="624"/>
      <c r="Q25" s="624"/>
      <c r="R25" s="624"/>
      <c r="S25" s="624"/>
      <c r="T25" s="624"/>
      <c r="U25" s="624"/>
      <c r="V25" s="624"/>
      <c r="W25" s="624"/>
      <c r="X25" s="624"/>
      <c r="Y25" s="624"/>
      <c r="Z25" s="624"/>
      <c r="AA25" s="624"/>
      <c r="AB25" s="624"/>
      <c r="AC25" s="624"/>
      <c r="AD25" s="624"/>
      <c r="AE25" s="624"/>
      <c r="AF25" s="624"/>
      <c r="AG25" s="624"/>
    </row>
    <row r="26" spans="3:33" s="623" customFormat="1" ht="21.95" customHeight="1">
      <c r="F26" s="624"/>
      <c r="L26" s="624"/>
      <c r="O26" s="624"/>
      <c r="Q26" s="624"/>
      <c r="R26" s="624"/>
      <c r="S26" s="624"/>
      <c r="T26" s="624"/>
      <c r="U26" s="624"/>
      <c r="V26" s="624"/>
      <c r="W26" s="624"/>
      <c r="X26" s="624"/>
      <c r="Y26" s="624"/>
      <c r="Z26" s="624"/>
      <c r="AA26" s="624"/>
      <c r="AB26" s="624"/>
      <c r="AC26" s="624"/>
      <c r="AD26" s="624"/>
      <c r="AE26" s="624"/>
      <c r="AF26" s="624"/>
      <c r="AG26" s="624"/>
    </row>
    <row r="27" spans="3:33" s="623" customFormat="1" ht="7.5" customHeight="1">
      <c r="F27" s="624"/>
      <c r="L27" s="624"/>
      <c r="O27" s="624"/>
      <c r="Q27" s="624"/>
      <c r="R27" s="624"/>
      <c r="S27" s="624"/>
      <c r="T27" s="624"/>
      <c r="U27" s="624"/>
      <c r="V27" s="624"/>
      <c r="W27" s="624"/>
    </row>
    <row r="28" spans="3:33" s="623" customFormat="1" ht="21.95" customHeight="1">
      <c r="C28" s="657" t="s">
        <v>1303</v>
      </c>
      <c r="D28" s="619"/>
      <c r="E28" s="619"/>
      <c r="F28" s="619"/>
      <c r="G28" s="619"/>
      <c r="H28" s="619"/>
      <c r="I28" s="619"/>
      <c r="J28" s="619"/>
      <c r="K28" s="619"/>
      <c r="L28" s="619"/>
      <c r="M28" s="619"/>
      <c r="N28" s="619"/>
      <c r="O28" s="619"/>
      <c r="P28" s="619"/>
      <c r="Q28" s="619"/>
      <c r="R28" s="619"/>
      <c r="S28" s="619"/>
      <c r="T28" s="619"/>
      <c r="U28" s="619"/>
      <c r="V28" s="619"/>
      <c r="W28" s="619"/>
      <c r="X28" s="657"/>
      <c r="Z28" s="618"/>
      <c r="AA28" s="657" t="s">
        <v>5197</v>
      </c>
      <c r="AB28" s="618"/>
      <c r="AC28" s="618"/>
      <c r="AD28" s="618"/>
    </row>
    <row r="29" spans="3:33" s="623" customFormat="1" ht="7.5" customHeight="1">
      <c r="F29" s="624"/>
      <c r="L29" s="624"/>
      <c r="O29" s="624"/>
      <c r="Q29" s="624"/>
      <c r="R29" s="624"/>
      <c r="S29" s="624"/>
      <c r="U29" s="624"/>
    </row>
    <row r="30" spans="3:33" s="623" customFormat="1" ht="21.95" customHeight="1">
      <c r="E30" s="658" t="str">
        <f>nmValDriv1</f>
        <v>Distribution</v>
      </c>
      <c r="F30" s="624"/>
      <c r="H30" s="658" t="str">
        <f>nmValDriv2</f>
        <v>Shelf Space</v>
      </c>
      <c r="J30" s="658"/>
      <c r="K30" s="658" t="str">
        <f>nmValDriv3</f>
        <v>Floor Space</v>
      </c>
      <c r="L30" s="624"/>
      <c r="M30" s="658"/>
      <c r="N30" s="658" t="str">
        <f>nmValDriv4</f>
        <v>Cool Space</v>
      </c>
      <c r="O30" s="624"/>
      <c r="Q30" s="658" t="str">
        <f>nmValDriv5</f>
        <v>Visibility</v>
      </c>
      <c r="R30" s="624"/>
      <c r="S30" s="624"/>
      <c r="T30" s="658" t="s">
        <v>14</v>
      </c>
      <c r="U30" s="624"/>
      <c r="W30" s="658" t="str">
        <f>nmValDrivCond</f>
        <v>Conditionality</v>
      </c>
    </row>
    <row r="31" spans="3:33" s="623" customFormat="1" ht="7.5" customHeight="1" thickBot="1">
      <c r="F31" s="624"/>
      <c r="L31" s="624"/>
      <c r="O31" s="624"/>
      <c r="Q31" s="624"/>
      <c r="R31" s="624"/>
      <c r="S31" s="624"/>
      <c r="U31" s="624"/>
    </row>
    <row r="32" spans="3:33" s="623" customFormat="1" ht="21.95" customHeight="1" thickBot="1">
      <c r="C32" s="623" t="s">
        <v>12869</v>
      </c>
      <c r="E32" s="629" t="s">
        <v>1297</v>
      </c>
      <c r="F32" s="624" t="s">
        <v>2976</v>
      </c>
      <c r="H32" s="629" t="s">
        <v>1297</v>
      </c>
      <c r="I32" s="623" t="s">
        <v>2977</v>
      </c>
      <c r="K32" s="629" t="s">
        <v>1297</v>
      </c>
      <c r="L32" s="624" t="s">
        <v>2978</v>
      </c>
      <c r="N32" s="629" t="s">
        <v>1297</v>
      </c>
      <c r="O32" s="624" t="s">
        <v>2979</v>
      </c>
      <c r="Q32" s="629" t="s">
        <v>1297</v>
      </c>
      <c r="R32" s="624" t="s">
        <v>6963</v>
      </c>
      <c r="S32" s="624"/>
      <c r="U32" s="624" t="s">
        <v>6964</v>
      </c>
      <c r="W32" s="629" t="s">
        <v>1296</v>
      </c>
      <c r="X32" s="624"/>
      <c r="AA32" s="623" t="s">
        <v>785</v>
      </c>
      <c r="AC32" s="629" t="s">
        <v>785</v>
      </c>
    </row>
    <row r="33" spans="3:32" s="623" customFormat="1" ht="7.5" customHeight="1">
      <c r="F33" s="624"/>
      <c r="L33" s="624"/>
      <c r="O33" s="624"/>
      <c r="Q33" s="624"/>
      <c r="R33" s="624"/>
      <c r="S33" s="624"/>
      <c r="U33" s="624"/>
      <c r="X33" s="624"/>
    </row>
    <row r="34" spans="3:32" s="623" customFormat="1" ht="21.95" customHeight="1">
      <c r="C34" s="623" t="str">
        <f>nmEmp1&amp;" Required"</f>
        <v>MTUs Required</v>
      </c>
      <c r="E34" s="636"/>
      <c r="F34" s="624"/>
      <c r="H34" s="636"/>
      <c r="K34" s="636"/>
      <c r="L34" s="624"/>
      <c r="N34" s="636"/>
      <c r="O34" s="624"/>
      <c r="Q34" s="636"/>
      <c r="R34" s="624"/>
      <c r="S34" s="624"/>
      <c r="T34" s="636"/>
      <c r="U34" s="624"/>
      <c r="W34" s="636"/>
      <c r="X34" s="624"/>
      <c r="AB34" s="636"/>
      <c r="AC34" s="636"/>
    </row>
    <row r="35" spans="3:32" s="623" customFormat="1" ht="7.5" customHeight="1">
      <c r="F35" s="624"/>
      <c r="L35" s="624"/>
      <c r="O35" s="624"/>
      <c r="R35" s="624"/>
      <c r="S35" s="624"/>
      <c r="U35" s="624"/>
      <c r="X35" s="624"/>
    </row>
    <row r="36" spans="3:32" s="623" customFormat="1" ht="21.95" customHeight="1">
      <c r="C36" s="623" t="s">
        <v>748</v>
      </c>
      <c r="E36" s="758"/>
      <c r="F36" s="624"/>
      <c r="H36" s="758"/>
      <c r="J36" s="758"/>
      <c r="K36" s="758"/>
      <c r="L36" s="624"/>
      <c r="N36" s="758"/>
      <c r="O36" s="624"/>
      <c r="Q36" s="758"/>
      <c r="R36" s="624"/>
      <c r="S36" s="624"/>
      <c r="T36" s="758"/>
      <c r="U36" s="624"/>
      <c r="W36" s="758"/>
      <c r="X36" s="624"/>
      <c r="AB36" s="758"/>
      <c r="AC36" s="758"/>
      <c r="AF36" s="468"/>
    </row>
    <row r="37" spans="3:32" s="623" customFormat="1" ht="7.5" customHeight="1">
      <c r="F37" s="624"/>
      <c r="L37" s="624"/>
      <c r="O37" s="624"/>
      <c r="Q37" s="624"/>
      <c r="R37" s="624"/>
      <c r="S37" s="624"/>
      <c r="T37" s="758"/>
      <c r="U37" s="624"/>
    </row>
    <row r="38" spans="3:32" s="623" customFormat="1" ht="21.95" customHeight="1">
      <c r="F38" s="624"/>
      <c r="L38" s="624"/>
      <c r="O38" s="624"/>
      <c r="Q38" s="624"/>
      <c r="R38" s="624"/>
      <c r="S38" s="624"/>
      <c r="U38" s="624"/>
    </row>
    <row r="39" spans="3:32" s="623" customFormat="1" ht="7.5" customHeight="1">
      <c r="F39" s="624"/>
      <c r="L39" s="624"/>
      <c r="O39" s="624"/>
      <c r="Q39" s="624"/>
      <c r="R39" s="624"/>
      <c r="S39" s="624"/>
      <c r="U39" s="624"/>
    </row>
    <row r="40" spans="3:32" s="623" customFormat="1" ht="21.95" customHeight="1">
      <c r="F40" s="624"/>
      <c r="L40" s="624"/>
      <c r="O40" s="624"/>
      <c r="Q40" s="624"/>
      <c r="R40" s="624"/>
      <c r="S40" s="624"/>
      <c r="U40" s="624"/>
    </row>
    <row r="41" spans="3:32" s="623" customFormat="1" ht="7.5" customHeight="1">
      <c r="F41" s="624"/>
      <c r="L41" s="624"/>
      <c r="O41" s="624"/>
      <c r="Q41" s="624"/>
      <c r="R41" s="624"/>
      <c r="S41" s="624"/>
      <c r="U41" s="624"/>
    </row>
    <row r="42" spans="3:32" s="623" customFormat="1" ht="21.95" customHeight="1">
      <c r="F42" s="624"/>
      <c r="L42" s="624"/>
      <c r="O42" s="624"/>
      <c r="Q42" s="624"/>
      <c r="R42" s="624"/>
      <c r="S42" s="624"/>
      <c r="U42" s="624"/>
    </row>
    <row r="43" spans="3:32" s="623" customFormat="1" ht="7.5" customHeight="1">
      <c r="F43" s="624"/>
      <c r="L43" s="624"/>
      <c r="O43" s="624"/>
      <c r="Q43" s="624"/>
      <c r="R43" s="624"/>
      <c r="S43" s="624"/>
      <c r="U43" s="624"/>
    </row>
    <row r="44" spans="3:32" s="623" customFormat="1" ht="21.95" customHeight="1">
      <c r="F44" s="624"/>
      <c r="L44" s="624"/>
      <c r="O44" s="624"/>
      <c r="Q44" s="624"/>
      <c r="R44" s="624"/>
      <c r="S44" s="624"/>
      <c r="U44" s="624"/>
    </row>
    <row r="45" spans="3:32" s="623" customFormat="1" ht="7.5" customHeight="1">
      <c r="F45" s="624"/>
      <c r="L45" s="624"/>
      <c r="O45" s="624"/>
      <c r="Q45" s="624"/>
      <c r="R45" s="624"/>
      <c r="S45" s="624"/>
      <c r="U45" s="624"/>
    </row>
    <row r="46" spans="3:32" s="623" customFormat="1" ht="21.95" customHeight="1">
      <c r="F46" s="624"/>
      <c r="L46" s="624"/>
      <c r="O46" s="624"/>
      <c r="Q46" s="624"/>
      <c r="R46" s="624"/>
      <c r="S46" s="624"/>
      <c r="U46" s="624"/>
    </row>
    <row r="47" spans="3:32" s="623" customFormat="1" ht="7.5" customHeight="1">
      <c r="F47" s="624"/>
      <c r="L47" s="624"/>
      <c r="O47" s="624"/>
      <c r="Q47" s="624"/>
      <c r="R47" s="624"/>
      <c r="S47" s="624"/>
      <c r="U47" s="624"/>
    </row>
    <row r="48" spans="3:32" s="623" customFormat="1" ht="21.95" customHeight="1">
      <c r="F48" s="624"/>
      <c r="L48" s="624"/>
      <c r="O48" s="624"/>
      <c r="Q48" s="624"/>
      <c r="R48" s="624"/>
      <c r="S48" s="624"/>
      <c r="U48" s="624"/>
    </row>
    <row r="49" spans="3:21" s="623" customFormat="1" ht="7.5" customHeight="1">
      <c r="F49" s="624"/>
      <c r="L49" s="624"/>
      <c r="O49" s="624"/>
      <c r="Q49" s="624"/>
      <c r="R49" s="624"/>
      <c r="S49" s="624"/>
      <c r="U49" s="624"/>
    </row>
    <row r="50" spans="3:21" s="623" customFormat="1" ht="21.95" customHeight="1">
      <c r="F50" s="624"/>
      <c r="L50" s="624"/>
      <c r="O50" s="624"/>
      <c r="Q50" s="624"/>
      <c r="R50" s="624"/>
      <c r="S50" s="624"/>
      <c r="U50" s="624"/>
    </row>
    <row r="51" spans="3:21" s="623" customFormat="1" ht="7.5" customHeight="1">
      <c r="F51" s="624"/>
      <c r="L51" s="624"/>
      <c r="O51" s="624"/>
      <c r="Q51" s="624"/>
      <c r="R51" s="624"/>
      <c r="S51" s="624"/>
      <c r="U51" s="624"/>
    </row>
    <row r="52" spans="3:21" s="623" customFormat="1" ht="21.95" customHeight="1">
      <c r="C52" s="631"/>
      <c r="F52" s="624"/>
      <c r="L52" s="624"/>
      <c r="O52" s="624"/>
      <c r="Q52" s="624"/>
      <c r="R52" s="624"/>
      <c r="S52" s="624"/>
      <c r="U52" s="624"/>
    </row>
    <row r="53" spans="3:21" s="623" customFormat="1" ht="7.5" customHeight="1">
      <c r="F53" s="624"/>
      <c r="L53" s="624"/>
      <c r="O53" s="624"/>
      <c r="Q53" s="624"/>
      <c r="R53" s="624"/>
      <c r="S53" s="624"/>
      <c r="U53" s="624"/>
    </row>
    <row r="54" spans="3:21" s="623" customFormat="1" ht="21.95" customHeight="1">
      <c r="F54" s="624"/>
      <c r="L54" s="624"/>
      <c r="O54" s="624"/>
      <c r="Q54" s="624"/>
      <c r="R54" s="624"/>
      <c r="S54" s="624"/>
      <c r="U54" s="624"/>
    </row>
    <row r="55" spans="3:21" s="623" customFormat="1" ht="7.5" customHeight="1">
      <c r="F55" s="624"/>
      <c r="L55" s="624"/>
      <c r="O55" s="624"/>
      <c r="Q55" s="624"/>
      <c r="R55" s="624"/>
      <c r="S55" s="624"/>
      <c r="U55" s="624"/>
    </row>
    <row r="56" spans="3:21" s="623" customFormat="1" ht="21.95" customHeight="1">
      <c r="F56" s="624"/>
      <c r="L56" s="624"/>
      <c r="O56" s="624"/>
      <c r="Q56" s="624"/>
      <c r="R56" s="624"/>
      <c r="S56" s="624"/>
      <c r="U56" s="624"/>
    </row>
    <row r="57" spans="3:21" s="623" customFormat="1" ht="7.5" customHeight="1">
      <c r="F57" s="624"/>
      <c r="L57" s="624"/>
      <c r="O57" s="624"/>
      <c r="Q57" s="624"/>
      <c r="R57" s="624"/>
      <c r="S57" s="624"/>
      <c r="U57" s="624"/>
    </row>
    <row r="58" spans="3:21" s="623" customFormat="1" ht="21.95" customHeight="1">
      <c r="F58" s="624"/>
      <c r="L58" s="624"/>
      <c r="O58" s="624"/>
      <c r="Q58" s="624"/>
      <c r="R58" s="624"/>
      <c r="S58" s="624"/>
      <c r="U58" s="624"/>
    </row>
    <row r="59" spans="3:21" s="623" customFormat="1" ht="7.5" customHeight="1">
      <c r="F59" s="624"/>
      <c r="L59" s="624"/>
      <c r="O59" s="624"/>
      <c r="Q59" s="624"/>
      <c r="R59" s="624"/>
      <c r="S59" s="624"/>
      <c r="U59" s="624"/>
    </row>
    <row r="60" spans="3:21" s="623" customFormat="1" ht="21.95" customHeight="1">
      <c r="F60" s="624"/>
      <c r="L60" s="624"/>
      <c r="O60" s="624"/>
      <c r="Q60" s="624"/>
      <c r="R60" s="624"/>
      <c r="S60" s="624"/>
      <c r="U60" s="624"/>
    </row>
    <row r="61" spans="3:21" s="689" customFormat="1" ht="21.95" customHeight="1"/>
    <row r="62" spans="3:21" s="689" customFormat="1" ht="21.95" customHeight="1"/>
    <row r="63" spans="3:21" s="689" customFormat="1" ht="21.95" customHeight="1"/>
    <row r="64" spans="3:21" s="689" customFormat="1" ht="21.95" customHeight="1"/>
    <row r="65" s="689" customFormat="1" ht="21.95" customHeight="1"/>
    <row r="66" s="689" customFormat="1" ht="21.95" customHeight="1"/>
    <row r="67" s="689" customFormat="1" ht="21.95" customHeight="1"/>
    <row r="68" s="689" customFormat="1" ht="21.95" customHeight="1"/>
    <row r="69" s="689" customFormat="1" ht="21.95" customHeight="1"/>
    <row r="70" s="689" customFormat="1" ht="21.95" customHeight="1"/>
    <row r="71" s="689" customFormat="1" ht="21.95" customHeight="1"/>
    <row r="72" s="689" customFormat="1" ht="21.95" customHeight="1"/>
    <row r="73" s="689" customFormat="1" ht="21.95" customHeight="1"/>
    <row r="74" s="689" customFormat="1" ht="21.95" customHeight="1"/>
    <row r="75" s="689" customFormat="1" ht="21.95" customHeight="1"/>
    <row r="76" s="689" customFormat="1" ht="21.95" customHeight="1"/>
    <row r="77" s="689" customFormat="1" ht="21.95" customHeight="1"/>
    <row r="78" s="689" customFormat="1" ht="21.95" customHeight="1"/>
    <row r="79" s="689" customFormat="1" ht="21.95" customHeight="1"/>
    <row r="80" s="689" customFormat="1" ht="21.95" customHeight="1"/>
    <row r="81" s="689" customFormat="1" ht="21.95" customHeight="1"/>
    <row r="82" s="689" customFormat="1" ht="21.95" customHeight="1"/>
    <row r="83" s="689" customFormat="1" ht="21.95" customHeight="1"/>
    <row r="84" s="689" customFormat="1" ht="21.95" customHeight="1"/>
    <row r="85" s="689" customFormat="1" ht="21.95" customHeight="1"/>
  </sheetData>
  <sheetProtection selectLockedCells="1"/>
  <mergeCells count="6">
    <mergeCell ref="E12:H12"/>
    <mergeCell ref="H2:H3"/>
    <mergeCell ref="K2:K3"/>
    <mergeCell ref="N2:N3"/>
    <mergeCell ref="Q2:Q3"/>
    <mergeCell ref="E8:H8"/>
  </mergeCells>
  <dataValidations count="12">
    <dataValidation type="list" allowBlank="1" showInputMessage="1" showErrorMessage="1" sqref="F32">
      <formula1>dataLevels1to5</formula1>
    </dataValidation>
    <dataValidation type="list" allowBlank="1" showInputMessage="1" showErrorMessage="1" errorTitle="Selection Not Allowed" error="Please enter a valid selection from the drop-down menu." sqref="AC32">
      <formula1>dataMarketingPlansList</formula1>
    </dataValidation>
    <dataValidation type="decimal" allowBlank="1" showInputMessage="1" showErrorMessage="1" errorTitle="Invalid Value" error="Please enter a percentage between 0% and 100%." sqref="K14">
      <formula1>0</formula1>
      <formula2>1</formula2>
    </dataValidation>
    <dataValidation type="decimal" allowBlank="1" showInputMessage="1" showErrorMessage="1" errorTitle="Invalid Value" error="Please enter a percentage between 0% and 100%." sqref="E14">
      <formula1>0</formula1>
      <formula2>1</formula2>
    </dataValidation>
    <dataValidation type="decimal" allowBlank="1" showInputMessage="1" showErrorMessage="1" errorTitle="Invalid Value" error="Please enter a percentage between 0% and 100%." sqref="H14">
      <formula1>0</formula1>
      <formula2>1</formula2>
    </dataValidation>
    <dataValidation type="decimal" allowBlank="1" showInputMessage="1" showErrorMessage="1" errorTitle="Invalid Value" error="Please enter a percentage between 0% and 100%." sqref="N14">
      <formula1>0</formula1>
      <formula2>1</formula2>
    </dataValidation>
    <dataValidation type="list" allowBlank="1" showInputMessage="1" showErrorMessage="1" errorTitle="Selection Not Allowed" error="Please enter a valid selection from the drop-down menu." sqref="E32">
      <formula1>dataLevels1to5</formula1>
    </dataValidation>
    <dataValidation type="list" allowBlank="1" showInputMessage="1" showErrorMessage="1" errorTitle="Selection Not Allowed" error="Please enter a valid selection from the drop-down menu." sqref="H32">
      <formula1>dataLevels1to5</formula1>
    </dataValidation>
    <dataValidation type="list" allowBlank="1" showInputMessage="1" showErrorMessage="1" errorTitle="Selection Not Allowed" error="Please enter a valid selection from the drop-down menu." sqref="K32">
      <formula1>dataLevels1to5</formula1>
    </dataValidation>
    <dataValidation type="list" allowBlank="1" showInputMessage="1" showErrorMessage="1" errorTitle="Selection Not Allowed" error="Please enter a valid selection from the drop-down menu." sqref="N32">
      <formula1>dataLevels1to5</formula1>
    </dataValidation>
    <dataValidation type="list" allowBlank="1" showInputMessage="1" showErrorMessage="1" errorTitle="Selection Not Allowed" error="Please enter a valid selection from the drop-down menu." sqref="Q32">
      <formula1>dataLevels1to5</formula1>
    </dataValidation>
    <dataValidation type="list" allowBlank="1" showInputMessage="1" showErrorMessage="1" errorTitle="Selection Not Allowed" error="Please enter a valid selection from the drop-down menu." sqref="W32">
      <formula1>dataLevels1to5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6" max="122" man="1"/>
    <brk id="3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4"/>
  </sheetPr>
  <dimension ref="C1:BC141"/>
  <sheetViews>
    <sheetView zoomScale="40" zoomScaleNormal="40" workbookViewId="0">
      <selection activeCell="AF56" sqref="AF56"/>
    </sheetView>
  </sheetViews>
  <sheetFormatPr defaultColWidth="8.796875" defaultRowHeight="15"/>
  <cols>
    <col min="1" max="2" width="1.69921875" style="621" customWidth="1"/>
    <col min="3" max="3" width="16.296875" style="621" customWidth="1"/>
    <col min="4" max="4" width="1.8984375" style="621" customWidth="1"/>
    <col min="5" max="5" width="15.59765625" style="621" customWidth="1"/>
    <col min="6" max="6" width="9.59765625" style="621" hidden="1" customWidth="1"/>
    <col min="7" max="7" width="1.69921875" style="621" customWidth="1"/>
    <col min="8" max="8" width="15.59765625" style="621" customWidth="1"/>
    <col min="9" max="9" width="10.8984375" style="621" hidden="1" customWidth="1"/>
    <col min="10" max="11" width="1.8984375" style="621" customWidth="1"/>
    <col min="12" max="12" width="16" style="621" customWidth="1"/>
    <col min="13" max="13" width="13.8984375" style="621" hidden="1" customWidth="1"/>
    <col min="14" max="15" width="1.8984375" style="621" customWidth="1"/>
    <col min="16" max="16" width="17.8984375" style="621" customWidth="1"/>
    <col min="17" max="17" width="13.59765625" style="621" hidden="1" customWidth="1"/>
    <col min="18" max="18" width="1.8984375" style="621" customWidth="1"/>
    <col min="19" max="19" width="15.8984375" style="621" customWidth="1"/>
    <col min="20" max="20" width="15.8984375" style="621" hidden="1" customWidth="1"/>
    <col min="21" max="21" width="1.8984375" style="621" customWidth="1"/>
    <col min="22" max="22" width="15.8984375" style="621" customWidth="1"/>
    <col min="23" max="23" width="15.8984375" style="621" hidden="1" customWidth="1"/>
    <col min="24" max="25" width="1.8984375" style="621" customWidth="1"/>
    <col min="26" max="26" width="15.59765625" style="621" customWidth="1"/>
    <col min="27" max="27" width="15.59765625" style="621" hidden="1" customWidth="1"/>
    <col min="28" max="28" width="1.69921875" style="621" customWidth="1"/>
    <col min="29" max="29" width="15.59765625" style="621" customWidth="1"/>
    <col min="30" max="30" width="7" style="621" hidden="1" customWidth="1"/>
    <col min="31" max="31" width="1.69921875" style="621" customWidth="1"/>
    <col min="32" max="32" width="15.59765625" style="621" customWidth="1"/>
    <col min="33" max="33" width="7.19921875" style="621" hidden="1" customWidth="1"/>
    <col min="34" max="34" width="1.8984375" style="621" customWidth="1"/>
    <col min="35" max="35" width="15.59765625" style="621" customWidth="1"/>
    <col min="36" max="36" width="1.69921875" style="621" customWidth="1"/>
    <col min="37" max="37" width="15.59765625" style="689" customWidth="1"/>
    <col min="38" max="38" width="1.69921875" style="621" customWidth="1"/>
    <col min="39" max="39" width="15.59765625" style="621" customWidth="1"/>
    <col min="40" max="40" width="1.69921875" style="621" customWidth="1"/>
    <col min="41" max="41" width="15.59765625" style="621" customWidth="1"/>
    <col min="42" max="42" width="1.69921875" style="621" customWidth="1"/>
    <col min="43" max="43" width="15.59765625" style="621" customWidth="1"/>
    <col min="44" max="44" width="1.69921875" style="621" customWidth="1"/>
    <col min="45" max="45" width="15.59765625" style="621" customWidth="1"/>
    <col min="46" max="46" width="1.69921875" style="621" customWidth="1"/>
    <col min="47" max="47" width="15.59765625" style="621" customWidth="1"/>
    <col min="48" max="48" width="1.69921875" style="621" customWidth="1"/>
    <col min="49" max="49" width="15.59765625" style="621" customWidth="1"/>
    <col min="50" max="50" width="3.796875" style="621" customWidth="1"/>
    <col min="51" max="51" width="24" style="621" customWidth="1"/>
    <col min="52" max="52" width="23.69921875" style="621" bestFit="1" customWidth="1"/>
    <col min="53" max="53" width="3.796875" style="621" customWidth="1"/>
    <col min="54" max="54" width="19.5" style="621" customWidth="1"/>
    <col min="55" max="55" width="29.296875" style="621" customWidth="1"/>
    <col min="56" max="16384" width="8.796875" style="621"/>
  </cols>
  <sheetData>
    <row r="1" spans="3:44" s="620" customFormat="1" ht="21.75" customHeight="1">
      <c r="D1" s="659"/>
      <c r="H1" s="659"/>
      <c r="K1" s="803"/>
    </row>
    <row r="2" spans="3:44" s="620" customFormat="1" ht="21.75" customHeight="1">
      <c r="D2" s="659"/>
      <c r="H2" s="659"/>
      <c r="K2" s="803"/>
    </row>
    <row r="3" spans="3:44" s="620" customFormat="1" ht="34.5" customHeight="1">
      <c r="D3" s="659"/>
      <c r="H3" s="659"/>
      <c r="K3" s="803"/>
      <c r="O3" s="726"/>
      <c r="P3" s="1007"/>
      <c r="Y3" s="693"/>
      <c r="AF3" s="771"/>
      <c r="AI3" s="771"/>
      <c r="AK3" s="771"/>
      <c r="AM3" s="771"/>
      <c r="AQ3" s="622" t="s">
        <v>6603</v>
      </c>
      <c r="AR3" s="620" t="s">
        <v>35</v>
      </c>
    </row>
    <row r="4" spans="3:44" s="620" customFormat="1" ht="34.5" customHeight="1">
      <c r="C4" s="694" t="str">
        <f>tlOutputCh4</f>
        <v>On-Trade</v>
      </c>
      <c r="D4" s="659"/>
      <c r="H4" s="659"/>
      <c r="K4" s="803"/>
      <c r="P4" s="1007"/>
      <c r="Y4" s="693"/>
      <c r="AF4" s="771"/>
      <c r="AI4" s="771"/>
      <c r="AK4" s="771"/>
      <c r="AM4" s="771"/>
    </row>
    <row r="5" spans="3:44" s="620" customFormat="1" ht="34.5" customHeight="1">
      <c r="C5" s="696" t="s">
        <v>3300</v>
      </c>
      <c r="D5" s="659"/>
      <c r="H5" s="659"/>
      <c r="K5" s="803"/>
      <c r="P5" s="772"/>
      <c r="AF5" s="771"/>
      <c r="AI5" s="771"/>
      <c r="AK5" s="771"/>
      <c r="AM5" s="771"/>
    </row>
    <row r="6" spans="3:44" s="623" customFormat="1" ht="12.75" customHeight="1" thickBot="1"/>
    <row r="7" spans="3:44" s="623" customFormat="1" ht="20.100000000000001" customHeight="1" thickBot="1">
      <c r="C7" s="1014" t="s">
        <v>4729</v>
      </c>
      <c r="D7" s="1015"/>
      <c r="E7" s="1016"/>
      <c r="F7" s="619"/>
      <c r="G7" s="619"/>
      <c r="H7" s="619"/>
      <c r="I7" s="619"/>
      <c r="J7" s="619"/>
      <c r="K7" s="619"/>
      <c r="L7" s="619"/>
      <c r="M7" s="619"/>
      <c r="N7" s="619"/>
      <c r="O7" s="619"/>
      <c r="P7" s="619"/>
      <c r="Q7" s="619"/>
      <c r="R7" s="619"/>
      <c r="S7" s="619"/>
      <c r="T7" s="619"/>
      <c r="U7" s="619"/>
      <c r="V7" s="619"/>
      <c r="W7" s="619"/>
      <c r="X7" s="619"/>
      <c r="Y7" s="619"/>
      <c r="Z7" s="619"/>
      <c r="AA7" s="619"/>
      <c r="AB7" s="619"/>
      <c r="AC7" s="619"/>
      <c r="AD7" s="619"/>
      <c r="AE7" s="619"/>
      <c r="AF7" s="619"/>
      <c r="AG7" s="619"/>
      <c r="AH7" s="619"/>
      <c r="AI7" s="619"/>
      <c r="AJ7" s="619"/>
      <c r="AK7" s="619"/>
      <c r="AL7" s="619"/>
      <c r="AM7" s="619"/>
      <c r="AN7" s="619"/>
    </row>
    <row r="8" spans="3:44" s="623" customFormat="1" ht="7.5" customHeight="1">
      <c r="C8" s="697"/>
      <c r="D8" s="697"/>
      <c r="H8" s="697"/>
      <c r="I8" s="697"/>
      <c r="J8" s="697"/>
      <c r="K8" s="697"/>
      <c r="L8" s="697"/>
      <c r="M8" s="697"/>
      <c r="N8" s="697"/>
    </row>
    <row r="9" spans="3:44" s="623" customFormat="1" ht="20.100000000000001" customHeight="1">
      <c r="C9" s="697"/>
      <c r="D9" s="697"/>
      <c r="H9" s="697"/>
      <c r="I9" s="697"/>
      <c r="J9" s="697"/>
      <c r="K9" s="697"/>
      <c r="L9" s="697"/>
      <c r="M9" s="697"/>
      <c r="N9" s="697"/>
    </row>
    <row r="10" spans="3:44" s="623" customFormat="1" ht="7.5" customHeight="1">
      <c r="C10" s="697"/>
      <c r="D10" s="697"/>
      <c r="H10" s="697"/>
      <c r="I10" s="697"/>
      <c r="J10" s="697"/>
      <c r="K10" s="697"/>
      <c r="L10" s="697"/>
      <c r="M10" s="697"/>
      <c r="N10" s="697"/>
    </row>
    <row r="11" spans="3:44" s="623" customFormat="1" ht="20.100000000000001" customHeight="1">
      <c r="C11" s="697"/>
      <c r="D11" s="697"/>
      <c r="H11" s="697"/>
      <c r="I11" s="697"/>
      <c r="J11" s="697"/>
      <c r="K11" s="697"/>
      <c r="L11" s="697"/>
      <c r="M11" s="697"/>
      <c r="N11" s="697"/>
      <c r="O11" s="624"/>
      <c r="S11" s="1013"/>
      <c r="T11" s="1013"/>
      <c r="U11" s="1013"/>
      <c r="V11" s="1013"/>
      <c r="W11" s="691"/>
      <c r="X11" s="692"/>
      <c r="Y11" s="691"/>
      <c r="Z11" s="723"/>
      <c r="AA11" s="692"/>
      <c r="AF11" s="1012"/>
      <c r="AG11" s="1012"/>
      <c r="AH11" s="1012"/>
      <c r="AI11" s="1012"/>
    </row>
    <row r="12" spans="3:44" s="623" customFormat="1" ht="7.5" customHeight="1">
      <c r="C12" s="697"/>
      <c r="D12" s="697"/>
      <c r="H12" s="697"/>
      <c r="I12" s="697"/>
      <c r="J12" s="697"/>
      <c r="K12" s="697"/>
      <c r="L12" s="697"/>
      <c r="M12" s="697"/>
      <c r="N12" s="697"/>
      <c r="O12" s="660"/>
      <c r="P12" s="661"/>
      <c r="Q12" s="662"/>
      <c r="R12" s="660"/>
      <c r="S12" s="661"/>
      <c r="T12" s="661"/>
      <c r="U12" s="661"/>
      <c r="V12" s="661"/>
      <c r="W12" s="661"/>
      <c r="X12" s="662"/>
      <c r="Y12" s="660"/>
      <c r="Z12" s="661"/>
      <c r="AA12" s="661"/>
      <c r="AB12" s="662"/>
    </row>
    <row r="13" spans="3:44" s="623" customFormat="1" ht="20.100000000000001" customHeight="1">
      <c r="C13" s="697"/>
      <c r="D13" s="697"/>
      <c r="H13" s="697"/>
      <c r="I13" s="697"/>
      <c r="J13" s="697"/>
      <c r="K13" s="697"/>
      <c r="L13" s="697"/>
      <c r="M13" s="697"/>
      <c r="N13" s="697"/>
      <c r="O13" s="667"/>
      <c r="P13" s="663" t="s">
        <v>1394</v>
      </c>
      <c r="Q13" s="664"/>
      <c r="R13" s="698"/>
      <c r="S13" s="674"/>
      <c r="T13" s="674"/>
      <c r="U13" s="666"/>
      <c r="V13" s="665"/>
      <c r="W13" s="665"/>
      <c r="X13" s="676"/>
      <c r="Y13" s="679"/>
      <c r="Z13" s="714"/>
      <c r="AA13" s="714"/>
      <c r="AB13" s="677"/>
      <c r="AF13" s="648"/>
    </row>
    <row r="14" spans="3:44" s="623" customFormat="1" ht="7.5" customHeight="1">
      <c r="C14" s="697"/>
      <c r="D14" s="697"/>
      <c r="H14" s="697"/>
      <c r="I14" s="697"/>
      <c r="J14" s="697"/>
      <c r="K14" s="697"/>
      <c r="L14" s="697"/>
      <c r="M14" s="697"/>
      <c r="N14" s="697"/>
      <c r="O14" s="667"/>
      <c r="P14" s="663"/>
      <c r="Q14" s="664"/>
      <c r="R14" s="698"/>
      <c r="S14" s="674"/>
      <c r="T14" s="674"/>
      <c r="U14" s="666"/>
      <c r="V14" s="665"/>
      <c r="W14" s="665"/>
      <c r="X14" s="676"/>
      <c r="Y14" s="679"/>
      <c r="Z14" s="615"/>
      <c r="AA14" s="615"/>
      <c r="AB14" s="677"/>
    </row>
    <row r="15" spans="3:44" s="623" customFormat="1" ht="20.100000000000001" customHeight="1">
      <c r="C15" s="697"/>
      <c r="D15" s="697"/>
      <c r="H15" s="697"/>
      <c r="I15" s="697"/>
      <c r="J15" s="697"/>
      <c r="K15" s="697"/>
      <c r="L15" s="697"/>
      <c r="M15" s="697"/>
      <c r="N15" s="697"/>
      <c r="O15" s="667"/>
      <c r="P15" s="663" t="s">
        <v>1395</v>
      </c>
      <c r="Q15" s="664"/>
      <c r="R15" s="698"/>
      <c r="S15" s="674"/>
      <c r="T15" s="674"/>
      <c r="U15" s="666"/>
      <c r="V15" s="665"/>
      <c r="W15" s="665"/>
      <c r="X15" s="676"/>
      <c r="Y15" s="679"/>
      <c r="Z15" s="714"/>
      <c r="AA15" s="714"/>
      <c r="AB15" s="677"/>
    </row>
    <row r="16" spans="3:44" s="623" customFormat="1" ht="7.5" customHeight="1">
      <c r="C16" s="697"/>
      <c r="D16" s="697"/>
      <c r="H16" s="697"/>
      <c r="I16" s="697"/>
      <c r="J16" s="697"/>
      <c r="K16" s="697"/>
      <c r="L16" s="697"/>
      <c r="M16" s="697"/>
      <c r="N16" s="697"/>
      <c r="O16" s="667"/>
      <c r="P16" s="663"/>
      <c r="Q16" s="664"/>
      <c r="R16" s="698"/>
      <c r="S16" s="674"/>
      <c r="T16" s="674"/>
      <c r="U16" s="666"/>
      <c r="V16" s="665"/>
      <c r="W16" s="665"/>
      <c r="X16" s="676"/>
      <c r="Y16" s="679"/>
      <c r="Z16" s="615"/>
      <c r="AA16" s="615"/>
      <c r="AB16" s="677"/>
    </row>
    <row r="17" spans="3:39" s="623" customFormat="1" ht="20.100000000000001" customHeight="1">
      <c r="C17" s="697"/>
      <c r="D17" s="697"/>
      <c r="H17" s="697"/>
      <c r="I17" s="697"/>
      <c r="J17" s="697"/>
      <c r="K17" s="697"/>
      <c r="L17" s="697"/>
      <c r="M17" s="697"/>
      <c r="N17" s="697"/>
      <c r="O17" s="667"/>
      <c r="P17" s="663" t="s">
        <v>694</v>
      </c>
      <c r="Q17" s="664"/>
      <c r="R17" s="698"/>
      <c r="S17" s="674"/>
      <c r="T17" s="674"/>
      <c r="U17" s="666"/>
      <c r="V17" s="665"/>
      <c r="W17" s="665"/>
      <c r="X17" s="676"/>
      <c r="Y17" s="679"/>
      <c r="Z17" s="714"/>
      <c r="AA17" s="714"/>
      <c r="AB17" s="677"/>
      <c r="AC17" s="681"/>
      <c r="AD17" s="681"/>
      <c r="AE17" s="681"/>
      <c r="AF17" s="648"/>
    </row>
    <row r="18" spans="3:39" s="623" customFormat="1" ht="7.5" customHeight="1">
      <c r="C18" s="697"/>
      <c r="D18" s="697"/>
      <c r="H18" s="697"/>
      <c r="I18" s="697"/>
      <c r="J18" s="697"/>
      <c r="K18" s="697"/>
      <c r="L18" s="697"/>
      <c r="M18" s="697"/>
      <c r="N18" s="697"/>
      <c r="O18" s="667"/>
      <c r="P18" s="663"/>
      <c r="Q18" s="664"/>
      <c r="R18" s="698"/>
      <c r="S18" s="674"/>
      <c r="T18" s="674"/>
      <c r="U18" s="666"/>
      <c r="V18" s="665"/>
      <c r="W18" s="665"/>
      <c r="X18" s="676"/>
      <c r="Y18" s="679"/>
      <c r="Z18" s="615"/>
      <c r="AA18" s="615"/>
      <c r="AB18" s="677"/>
      <c r="AC18" s="681"/>
      <c r="AD18" s="681"/>
      <c r="AE18" s="681"/>
    </row>
    <row r="19" spans="3:39" s="623" customFormat="1" ht="20.100000000000001" customHeight="1">
      <c r="C19" s="697"/>
      <c r="D19" s="697"/>
      <c r="H19" s="697"/>
      <c r="I19" s="697"/>
      <c r="J19" s="697"/>
      <c r="K19" s="697"/>
      <c r="L19" s="697"/>
      <c r="M19" s="697"/>
      <c r="N19" s="697"/>
      <c r="O19" s="667"/>
      <c r="P19" s="663" t="s">
        <v>1396</v>
      </c>
      <c r="Q19" s="664"/>
      <c r="R19" s="698"/>
      <c r="S19" s="674"/>
      <c r="T19" s="674"/>
      <c r="U19" s="666"/>
      <c r="V19" s="665"/>
      <c r="W19" s="665"/>
      <c r="X19" s="676"/>
      <c r="Y19" s="679"/>
      <c r="Z19" s="714"/>
      <c r="AA19" s="714"/>
      <c r="AB19" s="677"/>
      <c r="AC19" s="681"/>
      <c r="AD19" s="681"/>
      <c r="AE19" s="681"/>
    </row>
    <row r="20" spans="3:39" s="623" customFormat="1" ht="7.5" customHeight="1">
      <c r="C20" s="697"/>
      <c r="D20" s="697"/>
      <c r="H20" s="697"/>
      <c r="I20" s="697"/>
      <c r="J20" s="697"/>
      <c r="K20" s="697"/>
      <c r="L20" s="697"/>
      <c r="M20" s="697"/>
      <c r="N20" s="697"/>
      <c r="O20" s="667"/>
      <c r="P20" s="663"/>
      <c r="Q20" s="664"/>
      <c r="R20" s="698"/>
      <c r="S20" s="665"/>
      <c r="T20" s="665"/>
      <c r="U20" s="665"/>
      <c r="V20" s="615"/>
      <c r="W20" s="615"/>
      <c r="X20" s="677"/>
      <c r="Y20" s="667"/>
      <c r="Z20" s="615"/>
      <c r="AA20" s="615"/>
      <c r="AB20" s="677"/>
      <c r="AC20" s="681"/>
      <c r="AD20" s="681"/>
      <c r="AE20" s="681"/>
    </row>
    <row r="21" spans="3:39" s="623" customFormat="1" ht="20.100000000000001" customHeight="1">
      <c r="C21" s="697"/>
      <c r="D21" s="697"/>
      <c r="H21" s="697"/>
      <c r="I21" s="697"/>
      <c r="J21" s="697"/>
      <c r="K21" s="697"/>
      <c r="L21" s="697"/>
      <c r="M21" s="697"/>
      <c r="N21" s="697"/>
      <c r="O21" s="667"/>
      <c r="P21" s="671" t="s">
        <v>1397</v>
      </c>
      <c r="Q21" s="672"/>
      <c r="R21" s="699"/>
      <c r="S21" s="675"/>
      <c r="T21" s="675"/>
      <c r="U21" s="673"/>
      <c r="V21" s="716"/>
      <c r="W21" s="716"/>
      <c r="X21" s="678"/>
      <c r="Y21" s="680"/>
      <c r="Z21" s="715"/>
      <c r="AA21" s="715"/>
      <c r="AB21" s="677"/>
      <c r="AC21" s="681"/>
      <c r="AD21" s="681"/>
      <c r="AE21" s="681"/>
      <c r="AG21" s="681"/>
    </row>
    <row r="22" spans="3:39" s="623" customFormat="1" ht="7.5" customHeight="1">
      <c r="C22" s="697"/>
      <c r="D22" s="697"/>
      <c r="H22" s="697"/>
      <c r="I22" s="697"/>
      <c r="J22" s="697"/>
      <c r="K22" s="697"/>
      <c r="L22" s="697"/>
      <c r="M22" s="697"/>
      <c r="N22" s="697"/>
      <c r="O22" s="667"/>
      <c r="P22" s="663"/>
      <c r="Q22" s="664"/>
      <c r="R22" s="698"/>
      <c r="S22" s="665"/>
      <c r="T22" s="665"/>
      <c r="U22" s="665"/>
      <c r="V22" s="615"/>
      <c r="W22" s="615"/>
      <c r="X22" s="677"/>
      <c r="Y22" s="667"/>
      <c r="Z22" s="615"/>
      <c r="AA22" s="615"/>
      <c r="AB22" s="677"/>
    </row>
    <row r="23" spans="3:39" s="623" customFormat="1" ht="20.100000000000001" customHeight="1">
      <c r="C23" s="697"/>
      <c r="D23" s="697"/>
      <c r="H23" s="697"/>
      <c r="I23" s="697"/>
      <c r="J23" s="697"/>
      <c r="K23" s="697"/>
      <c r="L23" s="697"/>
      <c r="M23" s="697"/>
      <c r="N23" s="697"/>
      <c r="O23" s="667"/>
      <c r="P23" s="663" t="s">
        <v>5186</v>
      </c>
      <c r="Q23" s="664"/>
      <c r="R23" s="698"/>
      <c r="S23" s="674"/>
      <c r="T23" s="674"/>
      <c r="U23" s="666"/>
      <c r="V23" s="717"/>
      <c r="W23" s="717"/>
      <c r="X23" s="676"/>
      <c r="Y23" s="679"/>
      <c r="Z23" s="714"/>
      <c r="AA23" s="714"/>
      <c r="AB23" s="677"/>
      <c r="AI23" s="756"/>
    </row>
    <row r="24" spans="3:39" s="623" customFormat="1" ht="7.5" customHeight="1">
      <c r="C24" s="697"/>
      <c r="D24" s="697"/>
      <c r="H24" s="697"/>
      <c r="I24" s="697"/>
      <c r="J24" s="697"/>
      <c r="K24" s="697"/>
      <c r="L24" s="697"/>
      <c r="M24" s="697"/>
      <c r="N24" s="697"/>
      <c r="O24" s="667"/>
      <c r="P24" s="663"/>
      <c r="Q24" s="664"/>
      <c r="R24" s="698"/>
      <c r="S24" s="665"/>
      <c r="T24" s="665"/>
      <c r="U24" s="666"/>
      <c r="V24" s="717"/>
      <c r="W24" s="717"/>
      <c r="X24" s="676"/>
      <c r="Y24" s="679"/>
      <c r="Z24" s="615"/>
      <c r="AA24" s="615"/>
      <c r="AB24" s="677"/>
    </row>
    <row r="25" spans="3:39" s="623" customFormat="1" ht="20.100000000000001" customHeight="1">
      <c r="C25" s="697"/>
      <c r="D25" s="697"/>
      <c r="H25" s="697"/>
      <c r="I25" s="697"/>
      <c r="J25" s="697"/>
      <c r="K25" s="697"/>
      <c r="L25" s="697"/>
      <c r="M25" s="697"/>
      <c r="N25" s="697"/>
      <c r="O25" s="667"/>
      <c r="P25" s="671" t="s">
        <v>160</v>
      </c>
      <c r="Q25" s="672"/>
      <c r="R25" s="699"/>
      <c r="S25" s="675"/>
      <c r="T25" s="675"/>
      <c r="U25" s="673"/>
      <c r="V25" s="718"/>
      <c r="W25" s="718"/>
      <c r="X25" s="678"/>
      <c r="Y25" s="680"/>
      <c r="Z25" s="715"/>
      <c r="AA25" s="715"/>
      <c r="AB25" s="677"/>
    </row>
    <row r="26" spans="3:39" s="623" customFormat="1" ht="7.5" customHeight="1">
      <c r="C26" s="697"/>
      <c r="D26" s="697"/>
      <c r="F26" s="727"/>
      <c r="H26" s="697"/>
      <c r="I26" s="697"/>
      <c r="J26" s="697"/>
      <c r="K26" s="697"/>
      <c r="L26" s="697"/>
      <c r="M26" s="697"/>
      <c r="N26" s="697"/>
      <c r="O26" s="667"/>
      <c r="P26" s="663"/>
      <c r="Q26" s="664"/>
      <c r="R26" s="698"/>
      <c r="S26" s="665"/>
      <c r="T26" s="665"/>
      <c r="U26" s="666"/>
      <c r="V26" s="717"/>
      <c r="W26" s="717"/>
      <c r="X26" s="676"/>
      <c r="Y26" s="679"/>
      <c r="Z26" s="615"/>
      <c r="AA26" s="615"/>
      <c r="AB26" s="677"/>
      <c r="AM26" s="727"/>
    </row>
    <row r="27" spans="3:39" s="623" customFormat="1" ht="20.100000000000001" customHeight="1">
      <c r="C27" s="697"/>
      <c r="D27" s="697"/>
      <c r="F27" s="727"/>
      <c r="H27" s="697"/>
      <c r="I27" s="697"/>
      <c r="J27" s="697"/>
      <c r="K27" s="697"/>
      <c r="L27" s="697"/>
      <c r="M27" s="697"/>
      <c r="N27" s="697"/>
      <c r="O27" s="667"/>
      <c r="P27" s="663" t="s">
        <v>519</v>
      </c>
      <c r="Q27" s="664"/>
      <c r="R27" s="698"/>
      <c r="S27" s="674"/>
      <c r="T27" s="674"/>
      <c r="U27" s="666"/>
      <c r="V27" s="717"/>
      <c r="W27" s="717"/>
      <c r="X27" s="676"/>
      <c r="Y27" s="679"/>
      <c r="Z27" s="714"/>
      <c r="AA27" s="714"/>
      <c r="AB27" s="677"/>
      <c r="AM27" s="727"/>
    </row>
    <row r="28" spans="3:39" s="623" customFormat="1" ht="7.5" customHeight="1">
      <c r="C28" s="697"/>
      <c r="D28" s="697"/>
      <c r="F28" s="727"/>
      <c r="H28" s="697"/>
      <c r="I28" s="697"/>
      <c r="J28" s="697"/>
      <c r="K28" s="697"/>
      <c r="L28" s="697"/>
      <c r="M28" s="697"/>
      <c r="N28" s="697"/>
      <c r="O28" s="667"/>
      <c r="P28" s="663"/>
      <c r="Q28" s="664"/>
      <c r="R28" s="698"/>
      <c r="S28" s="665"/>
      <c r="T28" s="665"/>
      <c r="U28" s="666"/>
      <c r="V28" s="615"/>
      <c r="W28" s="615"/>
      <c r="X28" s="676"/>
      <c r="Y28" s="679"/>
      <c r="Z28" s="615"/>
      <c r="AA28" s="615"/>
      <c r="AB28" s="677"/>
      <c r="AM28" s="727"/>
    </row>
    <row r="29" spans="3:39" s="623" customFormat="1" ht="21.95" customHeight="1">
      <c r="C29" s="697"/>
      <c r="D29" s="697"/>
      <c r="F29" s="727"/>
      <c r="H29" s="697"/>
      <c r="I29" s="697"/>
      <c r="J29" s="697"/>
      <c r="K29" s="697"/>
      <c r="L29" s="697"/>
      <c r="M29" s="697"/>
      <c r="N29" s="697"/>
      <c r="O29" s="667"/>
      <c r="P29" s="671" t="s">
        <v>521</v>
      </c>
      <c r="Q29" s="672"/>
      <c r="R29" s="699"/>
      <c r="S29" s="675"/>
      <c r="T29" s="675"/>
      <c r="U29" s="673"/>
      <c r="V29" s="718"/>
      <c r="W29" s="718"/>
      <c r="X29" s="678"/>
      <c r="Y29" s="680"/>
      <c r="Z29" s="715"/>
      <c r="AA29" s="715"/>
      <c r="AB29" s="677"/>
      <c r="AM29" s="727"/>
    </row>
    <row r="30" spans="3:39" s="623" customFormat="1" ht="7.5" customHeight="1">
      <c r="C30" s="697"/>
      <c r="D30" s="697"/>
      <c r="H30" s="697"/>
      <c r="I30" s="697"/>
      <c r="J30" s="697"/>
      <c r="K30" s="697"/>
      <c r="L30" s="697"/>
      <c r="M30" s="697"/>
      <c r="N30" s="697"/>
      <c r="O30" s="700"/>
      <c r="P30" s="669"/>
      <c r="Q30" s="670"/>
      <c r="R30" s="668"/>
      <c r="S30" s="737"/>
      <c r="T30" s="737"/>
      <c r="U30" s="738"/>
      <c r="V30" s="739"/>
      <c r="W30" s="739"/>
      <c r="X30" s="740"/>
      <c r="Y30" s="741"/>
      <c r="Z30" s="742"/>
      <c r="AA30" s="742"/>
      <c r="AB30" s="743"/>
    </row>
    <row r="31" spans="3:39" s="623" customFormat="1" ht="7.5" customHeight="1">
      <c r="C31" s="697"/>
      <c r="D31" s="697"/>
      <c r="H31" s="697"/>
      <c r="I31" s="697"/>
      <c r="J31" s="697"/>
      <c r="K31" s="697"/>
      <c r="L31" s="697"/>
      <c r="M31" s="697"/>
      <c r="N31" s="697"/>
    </row>
    <row r="32" spans="3:39" s="623" customFormat="1" ht="21.95" customHeight="1">
      <c r="C32" s="697"/>
      <c r="D32" s="697"/>
      <c r="H32" s="697"/>
      <c r="I32" s="697"/>
      <c r="J32" s="697"/>
      <c r="K32" s="697"/>
      <c r="L32" s="697"/>
      <c r="M32" s="697"/>
      <c r="N32" s="697"/>
    </row>
    <row r="33" spans="3:40" s="623" customFormat="1" ht="7.5" customHeight="1">
      <c r="C33" s="697"/>
      <c r="D33" s="697"/>
      <c r="H33" s="697"/>
      <c r="I33" s="697"/>
      <c r="J33" s="697"/>
      <c r="K33" s="697"/>
      <c r="L33" s="697"/>
      <c r="M33" s="697"/>
      <c r="N33" s="697"/>
      <c r="O33" s="744"/>
      <c r="P33" s="661"/>
      <c r="Q33" s="662"/>
      <c r="R33" s="660"/>
      <c r="S33" s="745"/>
      <c r="T33" s="745"/>
      <c r="U33" s="746"/>
      <c r="V33" s="747"/>
      <c r="W33" s="747"/>
      <c r="X33" s="748"/>
    </row>
    <row r="34" spans="3:40" s="623" customFormat="1" ht="21.95" customHeight="1">
      <c r="C34" s="697"/>
      <c r="D34" s="697"/>
      <c r="H34" s="697"/>
      <c r="I34" s="697"/>
      <c r="J34" s="697"/>
      <c r="K34" s="697"/>
      <c r="L34" s="697"/>
      <c r="M34" s="697"/>
      <c r="N34" s="697"/>
      <c r="O34" s="667"/>
      <c r="P34" s="663" t="s">
        <v>4394</v>
      </c>
      <c r="Q34" s="664"/>
      <c r="R34" s="698"/>
      <c r="S34" s="674"/>
      <c r="T34" s="665"/>
      <c r="U34" s="666"/>
      <c r="V34" s="717"/>
      <c r="W34" s="717"/>
      <c r="X34" s="676"/>
      <c r="AI34" s="710"/>
    </row>
    <row r="35" spans="3:40" s="623" customFormat="1" ht="7.5" customHeight="1">
      <c r="O35" s="667"/>
      <c r="P35" s="663"/>
      <c r="Q35" s="664"/>
      <c r="R35" s="698"/>
      <c r="S35" s="674"/>
      <c r="T35" s="665"/>
      <c r="U35" s="666"/>
      <c r="V35" s="717"/>
      <c r="W35" s="717"/>
      <c r="X35" s="676"/>
    </row>
    <row r="36" spans="3:40" s="623" customFormat="1" ht="21.95" customHeight="1">
      <c r="O36" s="667"/>
      <c r="P36" s="663" t="s">
        <v>811</v>
      </c>
      <c r="Q36" s="664"/>
      <c r="R36" s="698"/>
      <c r="S36" s="674"/>
      <c r="T36" s="665"/>
      <c r="U36" s="666"/>
      <c r="V36" s="717"/>
      <c r="W36" s="717"/>
      <c r="X36" s="676"/>
      <c r="AI36" s="710"/>
    </row>
    <row r="37" spans="3:40" s="623" customFormat="1" ht="7.5" customHeight="1">
      <c r="O37" s="667"/>
      <c r="P37" s="663"/>
      <c r="Q37" s="664"/>
      <c r="R37" s="698"/>
      <c r="S37" s="674"/>
      <c r="T37" s="665"/>
      <c r="U37" s="666"/>
      <c r="V37" s="717"/>
      <c r="W37" s="717"/>
      <c r="X37" s="676"/>
    </row>
    <row r="38" spans="3:40" s="623" customFormat="1" ht="21.95" customHeight="1">
      <c r="O38" s="667"/>
      <c r="P38" s="663" t="s">
        <v>517</v>
      </c>
      <c r="Q38" s="664"/>
      <c r="R38" s="698"/>
      <c r="S38" s="674"/>
      <c r="T38" s="665"/>
      <c r="U38" s="666"/>
      <c r="V38" s="717"/>
      <c r="W38" s="717"/>
      <c r="X38" s="676"/>
    </row>
    <row r="39" spans="3:40" s="623" customFormat="1" ht="7.5" customHeight="1">
      <c r="O39" s="667"/>
      <c r="P39" s="663"/>
      <c r="Q39" s="664"/>
      <c r="R39" s="698"/>
      <c r="S39" s="674"/>
      <c r="T39" s="665"/>
      <c r="U39" s="666"/>
      <c r="V39" s="717"/>
      <c r="W39" s="717"/>
      <c r="X39" s="676"/>
    </row>
    <row r="40" spans="3:40" s="623" customFormat="1" ht="21.95" customHeight="1">
      <c r="O40" s="667"/>
      <c r="P40" s="663" t="s">
        <v>3674</v>
      </c>
      <c r="Q40" s="664"/>
      <c r="R40" s="698"/>
      <c r="S40" s="754"/>
      <c r="T40" s="665"/>
      <c r="U40" s="666"/>
      <c r="V40" s="717"/>
      <c r="W40" s="717"/>
      <c r="X40" s="676"/>
      <c r="Y40" s="695"/>
    </row>
    <row r="41" spans="3:40" s="623" customFormat="1" ht="7.5" customHeight="1">
      <c r="O41" s="700"/>
      <c r="P41" s="669"/>
      <c r="Q41" s="670"/>
      <c r="R41" s="668"/>
      <c r="S41" s="669"/>
      <c r="T41" s="669"/>
      <c r="U41" s="669"/>
      <c r="V41" s="669"/>
      <c r="W41" s="669"/>
      <c r="X41" s="670"/>
    </row>
    <row r="42" spans="3:40" s="623" customFormat="1" ht="21.95" customHeight="1">
      <c r="C42" s="657" t="str">
        <f>nmProd2</f>
        <v>Harken</v>
      </c>
      <c r="D42" s="618"/>
      <c r="E42" s="618"/>
      <c r="F42" s="618"/>
      <c r="G42" s="618"/>
      <c r="H42" s="618"/>
      <c r="I42" s="618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  <c r="V42" s="618"/>
      <c r="W42" s="618"/>
      <c r="X42" s="618"/>
      <c r="Y42" s="618"/>
      <c r="Z42" s="618"/>
      <c r="AA42" s="618"/>
      <c r="AB42" s="618"/>
      <c r="AC42" s="618"/>
      <c r="AD42" s="618"/>
      <c r="AE42" s="618"/>
    </row>
    <row r="43" spans="3:40" s="623" customFormat="1" ht="7.5" customHeight="1">
      <c r="O43" s="624"/>
      <c r="Q43" s="624"/>
    </row>
    <row r="44" spans="3:40" s="623" customFormat="1" ht="49.5" customHeight="1">
      <c r="E44" s="656" t="s">
        <v>393</v>
      </c>
      <c r="F44" s="631"/>
      <c r="H44" s="656" t="s">
        <v>363</v>
      </c>
      <c r="I44" s="656"/>
      <c r="J44" s="655"/>
      <c r="K44" s="656"/>
      <c r="L44" s="656" t="s">
        <v>1761</v>
      </c>
      <c r="M44" s="631"/>
      <c r="N44" s="656"/>
      <c r="O44" s="624"/>
      <c r="P44" s="656" t="s">
        <v>6726</v>
      </c>
      <c r="Q44" s="624"/>
      <c r="R44" s="631"/>
      <c r="S44" s="656" t="s">
        <v>5663</v>
      </c>
      <c r="T44" s="656"/>
      <c r="V44" s="656" t="s">
        <v>391</v>
      </c>
      <c r="W44" s="656"/>
      <c r="X44" s="631"/>
      <c r="Z44" s="656"/>
      <c r="AA44" s="631"/>
      <c r="AC44" s="656"/>
      <c r="AN44" s="631"/>
    </row>
    <row r="45" spans="3:40" s="623" customFormat="1" ht="7.5" customHeight="1" thickBot="1">
      <c r="H45" s="634"/>
      <c r="I45" s="635"/>
      <c r="J45" s="634"/>
      <c r="K45" s="635"/>
      <c r="L45" s="635"/>
      <c r="N45" s="635"/>
      <c r="O45" s="624"/>
      <c r="Q45" s="624"/>
    </row>
    <row r="46" spans="3:40" s="623" customFormat="1" ht="21.95" customHeight="1" thickBot="1">
      <c r="C46" s="623" t="s">
        <v>379</v>
      </c>
      <c r="E46" s="789">
        <f>1-tlinputCh4Prod2Slot2Forecast-tlinputCh4Prod2Slot3Forecast</f>
        <v>1</v>
      </c>
      <c r="F46" s="624" t="s">
        <v>3047</v>
      </c>
      <c r="H46" s="630" t="s">
        <v>3766</v>
      </c>
      <c r="I46" s="624" t="s">
        <v>3045</v>
      </c>
      <c r="K46" s="636"/>
      <c r="L46" s="683">
        <v>7.2</v>
      </c>
      <c r="M46" s="624" t="s">
        <v>3046</v>
      </c>
      <c r="N46" s="636"/>
      <c r="O46" s="624"/>
      <c r="P46" s="921" t="s">
        <v>9052</v>
      </c>
      <c r="Q46" s="624" t="s">
        <v>6014</v>
      </c>
      <c r="S46" s="592">
        <v>8</v>
      </c>
      <c r="T46" s="624" t="s">
        <v>6015</v>
      </c>
      <c r="V46" s="637">
        <v>0.65</v>
      </c>
      <c r="W46" s="624" t="s">
        <v>5803</v>
      </c>
      <c r="Z46" s="639"/>
      <c r="AC46" s="638"/>
    </row>
    <row r="47" spans="3:40" s="623" customFormat="1" ht="7.5" customHeight="1" thickBot="1">
      <c r="I47" s="624"/>
      <c r="M47" s="624"/>
      <c r="O47" s="624"/>
      <c r="Q47" s="624"/>
    </row>
    <row r="48" spans="3:40" s="623" customFormat="1" ht="21.95" customHeight="1" thickBot="1">
      <c r="C48" s="623" t="s">
        <v>394</v>
      </c>
      <c r="E48" s="637">
        <v>0</v>
      </c>
      <c r="F48" s="624" t="s">
        <v>3050</v>
      </c>
      <c r="H48" s="630" t="s">
        <v>350</v>
      </c>
      <c r="I48" s="624" t="s">
        <v>3048</v>
      </c>
      <c r="K48" s="636"/>
      <c r="L48" s="683">
        <v>0</v>
      </c>
      <c r="M48" s="624" t="s">
        <v>3049</v>
      </c>
      <c r="N48" s="636"/>
      <c r="O48" s="624"/>
      <c r="P48" s="921" t="s">
        <v>5788</v>
      </c>
      <c r="Q48" s="624" t="s">
        <v>6016</v>
      </c>
      <c r="S48" s="592">
        <v>0</v>
      </c>
      <c r="T48" s="624" t="s">
        <v>6017</v>
      </c>
      <c r="V48" s="637">
        <v>0</v>
      </c>
      <c r="W48" s="624" t="s">
        <v>5804</v>
      </c>
      <c r="Z48" s="639"/>
      <c r="AC48" s="638"/>
    </row>
    <row r="49" spans="3:31" s="623" customFormat="1" ht="7.5" customHeight="1" thickBot="1">
      <c r="I49" s="624"/>
      <c r="M49" s="624"/>
      <c r="O49" s="624"/>
      <c r="Q49" s="624"/>
    </row>
    <row r="50" spans="3:31" s="623" customFormat="1" ht="21.95" customHeight="1" thickBot="1">
      <c r="C50" s="623" t="s">
        <v>395</v>
      </c>
      <c r="E50" s="637">
        <v>0</v>
      </c>
      <c r="F50" s="624" t="s">
        <v>3053</v>
      </c>
      <c r="H50" s="630" t="s">
        <v>350</v>
      </c>
      <c r="I50" s="624" t="s">
        <v>3051</v>
      </c>
      <c r="K50" s="636"/>
      <c r="L50" s="683">
        <v>0</v>
      </c>
      <c r="M50" s="624" t="s">
        <v>3052</v>
      </c>
      <c r="N50" s="636"/>
      <c r="O50" s="624"/>
      <c r="P50" s="921" t="s">
        <v>5788</v>
      </c>
      <c r="Q50" s="624" t="s">
        <v>6018</v>
      </c>
      <c r="S50" s="592">
        <v>0</v>
      </c>
      <c r="T50" s="624" t="s">
        <v>6019</v>
      </c>
      <c r="V50" s="637">
        <v>0</v>
      </c>
      <c r="W50" s="624" t="s">
        <v>5805</v>
      </c>
      <c r="Z50" s="639"/>
      <c r="AC50" s="638"/>
    </row>
    <row r="51" spans="3:31" s="623" customFormat="1" ht="7.5" customHeight="1">
      <c r="I51" s="624"/>
      <c r="O51" s="624"/>
      <c r="Q51" s="624"/>
    </row>
    <row r="52" spans="3:31" s="623" customFormat="1" ht="21.95" customHeight="1">
      <c r="C52" s="631" t="s">
        <v>1404</v>
      </c>
      <c r="D52" s="631"/>
      <c r="E52" s="658"/>
      <c r="F52" s="624"/>
      <c r="G52" s="631"/>
      <c r="H52" s="658"/>
      <c r="I52" s="658"/>
      <c r="J52" s="631"/>
      <c r="K52" s="631"/>
      <c r="L52" s="658"/>
      <c r="O52" s="624"/>
      <c r="P52" s="658"/>
      <c r="Q52" s="624"/>
      <c r="R52" s="631"/>
      <c r="S52" s="658"/>
    </row>
    <row r="53" spans="3:31" s="623" customFormat="1" ht="7.5" customHeight="1">
      <c r="F53" s="624"/>
      <c r="O53" s="624"/>
      <c r="Q53" s="624"/>
    </row>
    <row r="54" spans="3:31" s="623" customFormat="1" ht="21.95" customHeight="1">
      <c r="E54" s="636"/>
      <c r="F54" s="624"/>
      <c r="H54" s="758"/>
      <c r="I54" s="758"/>
      <c r="O54" s="624"/>
      <c r="P54" s="636"/>
      <c r="Q54" s="624"/>
      <c r="S54" s="758"/>
    </row>
    <row r="55" spans="3:31" s="623" customFormat="1" ht="7.5" customHeight="1">
      <c r="I55" s="624"/>
      <c r="O55" s="624"/>
      <c r="Q55" s="624"/>
    </row>
    <row r="56" spans="3:31" s="623" customFormat="1" ht="21.95" customHeight="1">
      <c r="I56" s="624"/>
      <c r="O56" s="624"/>
      <c r="Q56" s="624"/>
    </row>
    <row r="57" spans="3:31" s="623" customFormat="1" ht="7.5" customHeight="1">
      <c r="I57" s="624"/>
      <c r="O57" s="624"/>
      <c r="Q57" s="624"/>
    </row>
    <row r="58" spans="3:31" s="623" customFormat="1" ht="21.95" customHeight="1">
      <c r="C58" s="657" t="str">
        <f>nmProd3</f>
        <v>Kara</v>
      </c>
      <c r="D58" s="618"/>
      <c r="E58" s="618"/>
      <c r="F58" s="618"/>
      <c r="G58" s="618"/>
      <c r="H58" s="618"/>
      <c r="I58" s="618"/>
      <c r="J58" s="618"/>
      <c r="K58" s="618"/>
      <c r="L58" s="618"/>
      <c r="M58" s="618"/>
      <c r="N58" s="618"/>
      <c r="O58" s="618"/>
      <c r="P58" s="618"/>
      <c r="Q58" s="618"/>
      <c r="R58" s="618"/>
      <c r="S58" s="618"/>
      <c r="T58" s="618"/>
      <c r="U58" s="618"/>
      <c r="V58" s="618"/>
      <c r="W58" s="618"/>
      <c r="X58" s="618"/>
      <c r="Y58" s="618"/>
      <c r="Z58" s="618"/>
      <c r="AA58" s="618"/>
      <c r="AB58" s="618"/>
      <c r="AC58" s="618"/>
      <c r="AD58" s="618"/>
      <c r="AE58" s="618"/>
    </row>
    <row r="59" spans="3:31" s="623" customFormat="1" ht="7.5" customHeight="1">
      <c r="I59" s="624"/>
      <c r="O59" s="624"/>
      <c r="Q59" s="624"/>
    </row>
    <row r="60" spans="3:31" s="623" customFormat="1" ht="49.5" customHeight="1">
      <c r="E60" s="656" t="s">
        <v>393</v>
      </c>
      <c r="H60" s="656" t="s">
        <v>363</v>
      </c>
      <c r="I60" s="624"/>
      <c r="J60" s="655"/>
      <c r="K60" s="656"/>
      <c r="L60" s="656" t="s">
        <v>1761</v>
      </c>
      <c r="M60" s="624"/>
      <c r="N60" s="656"/>
      <c r="O60" s="624"/>
      <c r="P60" s="656" t="s">
        <v>381</v>
      </c>
      <c r="Q60" s="624"/>
      <c r="R60" s="631"/>
      <c r="V60" s="656" t="s">
        <v>391</v>
      </c>
      <c r="X60" s="631"/>
      <c r="Z60" s="656"/>
      <c r="AA60" s="631"/>
      <c r="AC60" s="656"/>
    </row>
    <row r="61" spans="3:31" s="623" customFormat="1" ht="7.5" customHeight="1" thickBot="1">
      <c r="H61" s="634"/>
      <c r="I61" s="624"/>
      <c r="J61" s="634"/>
      <c r="K61" s="635"/>
      <c r="L61" s="635"/>
      <c r="M61" s="624"/>
      <c r="N61" s="635"/>
      <c r="O61" s="624"/>
      <c r="Q61" s="624"/>
    </row>
    <row r="62" spans="3:31" s="623" customFormat="1" ht="21.95" customHeight="1" thickBot="1">
      <c r="C62" s="623" t="s">
        <v>379</v>
      </c>
      <c r="E62" s="789">
        <f>1-tlinputCh4Prod3Slot2Forecast-tlinputCh4Prod3Slot3Forecast</f>
        <v>1</v>
      </c>
      <c r="F62" s="624" t="s">
        <v>3056</v>
      </c>
      <c r="H62" s="630" t="s">
        <v>3766</v>
      </c>
      <c r="I62" s="624" t="s">
        <v>3054</v>
      </c>
      <c r="K62" s="636"/>
      <c r="L62" s="683">
        <v>7.2</v>
      </c>
      <c r="M62" s="624" t="s">
        <v>3055</v>
      </c>
      <c r="N62" s="636"/>
      <c r="O62" s="624"/>
      <c r="P62" s="921" t="s">
        <v>5788</v>
      </c>
      <c r="Q62" s="624" t="s">
        <v>6020</v>
      </c>
      <c r="S62" s="592">
        <v>0</v>
      </c>
      <c r="T62" s="624" t="s">
        <v>6021</v>
      </c>
      <c r="V62" s="637">
        <v>0</v>
      </c>
      <c r="W62" s="624" t="s">
        <v>5806</v>
      </c>
      <c r="Z62" s="639"/>
      <c r="AC62" s="638"/>
    </row>
    <row r="63" spans="3:31" s="623" customFormat="1" ht="7.5" customHeight="1" thickBot="1">
      <c r="I63" s="624"/>
      <c r="M63" s="624"/>
      <c r="O63" s="624"/>
      <c r="Q63" s="624"/>
    </row>
    <row r="64" spans="3:31" s="623" customFormat="1" ht="21.95" customHeight="1" thickBot="1">
      <c r="C64" s="623" t="s">
        <v>394</v>
      </c>
      <c r="E64" s="637">
        <v>0</v>
      </c>
      <c r="F64" s="624" t="s">
        <v>3059</v>
      </c>
      <c r="H64" s="920" t="s">
        <v>350</v>
      </c>
      <c r="I64" s="624" t="s">
        <v>3057</v>
      </c>
      <c r="K64" s="636"/>
      <c r="L64" s="683">
        <v>0</v>
      </c>
      <c r="M64" s="624" t="s">
        <v>3058</v>
      </c>
      <c r="N64" s="636"/>
      <c r="O64" s="624"/>
      <c r="P64" s="921" t="s">
        <v>5788</v>
      </c>
      <c r="Q64" s="624" t="s">
        <v>6022</v>
      </c>
      <c r="S64" s="592">
        <v>0</v>
      </c>
      <c r="T64" s="624" t="s">
        <v>6023</v>
      </c>
      <c r="V64" s="637">
        <v>0</v>
      </c>
      <c r="W64" s="624" t="s">
        <v>5807</v>
      </c>
      <c r="Z64" s="639"/>
      <c r="AC64" s="638"/>
    </row>
    <row r="65" spans="3:31" s="623" customFormat="1" ht="7.5" customHeight="1" thickBot="1">
      <c r="I65" s="624"/>
      <c r="M65" s="624"/>
      <c r="O65" s="624"/>
      <c r="Q65" s="624"/>
    </row>
    <row r="66" spans="3:31" s="623" customFormat="1" ht="21.95" customHeight="1" thickBot="1">
      <c r="C66" s="623" t="s">
        <v>395</v>
      </c>
      <c r="E66" s="637">
        <v>0</v>
      </c>
      <c r="F66" s="624" t="s">
        <v>3062</v>
      </c>
      <c r="H66" s="630" t="s">
        <v>350</v>
      </c>
      <c r="I66" s="624" t="s">
        <v>3060</v>
      </c>
      <c r="K66" s="636"/>
      <c r="L66" s="683">
        <v>0</v>
      </c>
      <c r="M66" s="624" t="s">
        <v>3061</v>
      </c>
      <c r="N66" s="636"/>
      <c r="O66" s="624"/>
      <c r="P66" s="921" t="s">
        <v>5788</v>
      </c>
      <c r="Q66" s="624" t="s">
        <v>6024</v>
      </c>
      <c r="S66" s="592">
        <v>0</v>
      </c>
      <c r="T66" s="624" t="s">
        <v>6025</v>
      </c>
      <c r="V66" s="637">
        <v>0</v>
      </c>
      <c r="W66" s="624" t="s">
        <v>5808</v>
      </c>
      <c r="Z66" s="639"/>
      <c r="AC66" s="638"/>
    </row>
    <row r="67" spans="3:31" s="623" customFormat="1" ht="7.5" customHeight="1">
      <c r="I67" s="624"/>
      <c r="O67" s="624"/>
      <c r="Q67" s="624"/>
    </row>
    <row r="68" spans="3:31" s="623" customFormat="1" ht="21.95" customHeight="1">
      <c r="C68" s="631" t="s">
        <v>1404</v>
      </c>
      <c r="D68" s="631"/>
      <c r="E68" s="658"/>
      <c r="H68" s="658"/>
      <c r="I68" s="624"/>
      <c r="J68" s="631"/>
      <c r="K68" s="631"/>
      <c r="L68" s="658"/>
      <c r="M68" s="658"/>
      <c r="N68" s="631"/>
      <c r="O68" s="624"/>
      <c r="P68" s="658"/>
      <c r="Q68" s="624"/>
      <c r="R68" s="631"/>
      <c r="S68" s="658"/>
    </row>
    <row r="69" spans="3:31" s="623" customFormat="1" ht="7.5" customHeight="1">
      <c r="I69" s="624"/>
      <c r="O69" s="624"/>
      <c r="Q69" s="624"/>
    </row>
    <row r="70" spans="3:31" s="623" customFormat="1" ht="21.95" customHeight="1">
      <c r="E70" s="636"/>
      <c r="H70" s="857"/>
      <c r="I70" s="624"/>
      <c r="L70" s="758"/>
      <c r="M70" s="758"/>
      <c r="O70" s="624"/>
      <c r="P70" s="636"/>
      <c r="Q70" s="624"/>
      <c r="S70" s="758"/>
    </row>
    <row r="71" spans="3:31" s="623" customFormat="1" ht="7.5" customHeight="1">
      <c r="I71" s="624"/>
      <c r="O71" s="624"/>
      <c r="Q71" s="624"/>
    </row>
    <row r="72" spans="3:31" s="623" customFormat="1" ht="21.95" customHeight="1">
      <c r="I72" s="624"/>
      <c r="O72" s="624"/>
      <c r="Q72" s="624"/>
    </row>
    <row r="73" spans="3:31" s="623" customFormat="1" ht="7.5" customHeight="1">
      <c r="I73" s="624"/>
      <c r="O73" s="624"/>
    </row>
    <row r="74" spans="3:31" s="623" customFormat="1" ht="21.95" customHeight="1">
      <c r="C74" s="657" t="str">
        <f>nmProd1</f>
        <v>Greenborg</v>
      </c>
      <c r="D74" s="618"/>
      <c r="E74" s="618"/>
      <c r="F74" s="618"/>
      <c r="G74" s="618"/>
      <c r="H74" s="618"/>
      <c r="I74" s="618"/>
      <c r="J74" s="618"/>
      <c r="K74" s="618"/>
      <c r="L74" s="618"/>
      <c r="M74" s="618"/>
      <c r="N74" s="618"/>
      <c r="O74" s="618"/>
      <c r="P74" s="618"/>
      <c r="Q74" s="618"/>
      <c r="R74" s="618"/>
      <c r="S74" s="618"/>
      <c r="T74" s="618"/>
      <c r="U74" s="618"/>
      <c r="V74" s="618"/>
      <c r="W74" s="618"/>
      <c r="X74" s="618"/>
      <c r="Y74" s="618"/>
      <c r="Z74" s="618"/>
      <c r="AA74" s="618"/>
      <c r="AB74" s="618"/>
      <c r="AC74" s="618"/>
      <c r="AD74" s="618"/>
      <c r="AE74" s="618"/>
    </row>
    <row r="75" spans="3:31" s="623" customFormat="1" ht="11.45" customHeight="1">
      <c r="I75" s="624"/>
      <c r="O75" s="624"/>
    </row>
    <row r="76" spans="3:31" s="623" customFormat="1" ht="49.5" customHeight="1">
      <c r="E76" s="656" t="s">
        <v>393</v>
      </c>
      <c r="H76" s="656" t="s">
        <v>363</v>
      </c>
      <c r="I76" s="624"/>
      <c r="K76" s="656"/>
      <c r="L76" s="656" t="s">
        <v>1761</v>
      </c>
      <c r="M76" s="624"/>
      <c r="N76" s="656"/>
      <c r="O76" s="624"/>
      <c r="P76" s="656" t="s">
        <v>381</v>
      </c>
      <c r="Q76" s="631"/>
      <c r="R76" s="631"/>
      <c r="V76" s="656" t="s">
        <v>391</v>
      </c>
      <c r="X76" s="631"/>
      <c r="Z76" s="656"/>
      <c r="AA76" s="631"/>
      <c r="AC76" s="656"/>
    </row>
    <row r="77" spans="3:31" s="623" customFormat="1" ht="7.5" customHeight="1" thickBot="1">
      <c r="H77" s="634"/>
      <c r="I77" s="624"/>
      <c r="K77" s="635"/>
      <c r="L77" s="635"/>
      <c r="M77" s="624"/>
      <c r="N77" s="635"/>
      <c r="O77" s="624"/>
    </row>
    <row r="78" spans="3:31" s="623" customFormat="1" ht="21.95" customHeight="1" thickBot="1">
      <c r="C78" s="623" t="s">
        <v>379</v>
      </c>
      <c r="E78" s="789">
        <f>1-tlinputCh4Prod1Slot2Forecast-tlinputCh4Prod1Slot3Forecast</f>
        <v>1</v>
      </c>
      <c r="F78" s="624" t="s">
        <v>3038</v>
      </c>
      <c r="H78" s="630" t="s">
        <v>3766</v>
      </c>
      <c r="I78" s="624" t="s">
        <v>3036</v>
      </c>
      <c r="K78" s="636"/>
      <c r="L78" s="683">
        <v>7.2</v>
      </c>
      <c r="M78" s="624" t="s">
        <v>3037</v>
      </c>
      <c r="N78" s="636"/>
      <c r="O78" s="624"/>
      <c r="P78" s="921" t="s">
        <v>9050</v>
      </c>
      <c r="Q78" s="624" t="s">
        <v>6026</v>
      </c>
      <c r="S78" s="592">
        <v>4</v>
      </c>
      <c r="T78" s="624" t="s">
        <v>6027</v>
      </c>
      <c r="V78" s="637">
        <v>0.25</v>
      </c>
      <c r="W78" s="624" t="s">
        <v>5809</v>
      </c>
      <c r="Z78" s="639"/>
      <c r="AC78" s="638"/>
    </row>
    <row r="79" spans="3:31" s="623" customFormat="1" ht="7.5" customHeight="1" thickBot="1">
      <c r="I79" s="624"/>
      <c r="M79" s="624"/>
      <c r="O79" s="624"/>
      <c r="Q79" s="624"/>
    </row>
    <row r="80" spans="3:31" s="623" customFormat="1" ht="21.95" customHeight="1" thickBot="1">
      <c r="C80" s="623" t="s">
        <v>394</v>
      </c>
      <c r="E80" s="637">
        <v>0</v>
      </c>
      <c r="F80" s="624" t="s">
        <v>3041</v>
      </c>
      <c r="H80" s="920" t="s">
        <v>350</v>
      </c>
      <c r="I80" s="624" t="s">
        <v>3039</v>
      </c>
      <c r="K80" s="636"/>
      <c r="L80" s="683">
        <v>0</v>
      </c>
      <c r="M80" s="624" t="s">
        <v>3040</v>
      </c>
      <c r="N80" s="636"/>
      <c r="O80" s="624"/>
      <c r="P80" s="921" t="s">
        <v>5788</v>
      </c>
      <c r="Q80" s="624" t="s">
        <v>6028</v>
      </c>
      <c r="S80" s="592">
        <v>0</v>
      </c>
      <c r="T80" s="624" t="s">
        <v>6029</v>
      </c>
      <c r="V80" s="637">
        <v>0</v>
      </c>
      <c r="W80" s="624" t="s">
        <v>5810</v>
      </c>
      <c r="Z80" s="639"/>
      <c r="AC80" s="638"/>
    </row>
    <row r="81" spans="3:32" s="623" customFormat="1" ht="7.5" customHeight="1" thickBot="1">
      <c r="I81" s="624"/>
      <c r="M81" s="624"/>
      <c r="O81" s="624"/>
      <c r="Q81" s="624"/>
    </row>
    <row r="82" spans="3:32" s="623" customFormat="1" ht="21.95" customHeight="1" thickBot="1">
      <c r="C82" s="623" t="s">
        <v>395</v>
      </c>
      <c r="E82" s="637">
        <v>0</v>
      </c>
      <c r="F82" s="624" t="s">
        <v>3044</v>
      </c>
      <c r="H82" s="630" t="s">
        <v>350</v>
      </c>
      <c r="I82" s="624" t="s">
        <v>3042</v>
      </c>
      <c r="K82" s="636"/>
      <c r="L82" s="683">
        <v>0</v>
      </c>
      <c r="M82" s="624" t="s">
        <v>3043</v>
      </c>
      <c r="N82" s="636"/>
      <c r="O82" s="624"/>
      <c r="P82" s="921" t="s">
        <v>5788</v>
      </c>
      <c r="Q82" s="624" t="s">
        <v>6030</v>
      </c>
      <c r="S82" s="592">
        <v>0</v>
      </c>
      <c r="T82" s="624" t="s">
        <v>6031</v>
      </c>
      <c r="V82" s="637">
        <v>0</v>
      </c>
      <c r="W82" s="624" t="s">
        <v>5811</v>
      </c>
      <c r="Z82" s="639"/>
      <c r="AC82" s="638"/>
    </row>
    <row r="83" spans="3:32" s="623" customFormat="1" ht="7.5" customHeight="1">
      <c r="I83" s="624"/>
      <c r="O83" s="624"/>
      <c r="Q83" s="624"/>
    </row>
    <row r="84" spans="3:32" s="623" customFormat="1" ht="21.95" customHeight="1">
      <c r="C84" s="631" t="s">
        <v>1404</v>
      </c>
      <c r="D84" s="631"/>
      <c r="E84" s="658"/>
      <c r="H84" s="658"/>
      <c r="I84" s="624"/>
      <c r="J84" s="631"/>
      <c r="K84" s="631"/>
      <c r="L84" s="658"/>
      <c r="M84" s="658"/>
      <c r="N84" s="631"/>
      <c r="O84" s="624"/>
      <c r="P84" s="658"/>
      <c r="Q84" s="624"/>
      <c r="R84" s="631"/>
      <c r="S84" s="658"/>
    </row>
    <row r="85" spans="3:32" s="623" customFormat="1" ht="7.5" customHeight="1">
      <c r="I85" s="624"/>
      <c r="O85" s="624"/>
      <c r="Q85" s="624"/>
    </row>
    <row r="86" spans="3:32" s="623" customFormat="1" ht="21.95" customHeight="1">
      <c r="E86" s="636"/>
      <c r="H86" s="857"/>
      <c r="I86" s="624"/>
      <c r="L86" s="758"/>
      <c r="M86" s="758"/>
      <c r="O86" s="624"/>
      <c r="P86" s="636"/>
      <c r="Q86" s="624"/>
      <c r="S86" s="758"/>
    </row>
    <row r="87" spans="3:32" s="623" customFormat="1" ht="7.5" customHeight="1">
      <c r="I87" s="624"/>
      <c r="O87" s="624"/>
      <c r="Q87" s="624"/>
    </row>
    <row r="88" spans="3:32" s="623" customFormat="1" ht="21.95" customHeight="1">
      <c r="I88" s="624"/>
      <c r="O88" s="624"/>
      <c r="Q88" s="624"/>
    </row>
    <row r="89" spans="3:32" s="623" customFormat="1" ht="7.5" customHeight="1">
      <c r="I89" s="624"/>
      <c r="O89" s="624"/>
      <c r="Q89" s="624"/>
    </row>
    <row r="90" spans="3:32" s="623" customFormat="1" ht="21.95" customHeight="1">
      <c r="C90" s="657" t="str">
        <f>nmProd4</f>
        <v>Brew Master</v>
      </c>
      <c r="D90" s="618"/>
      <c r="E90" s="618"/>
      <c r="F90" s="618"/>
      <c r="G90" s="618"/>
      <c r="H90" s="618"/>
      <c r="I90" s="618"/>
      <c r="J90" s="618"/>
      <c r="K90" s="618"/>
      <c r="L90" s="618"/>
      <c r="M90" s="618"/>
      <c r="N90" s="618"/>
      <c r="O90" s="618"/>
      <c r="P90" s="618"/>
      <c r="Q90" s="618"/>
      <c r="R90" s="618"/>
      <c r="S90" s="618"/>
      <c r="T90" s="618"/>
      <c r="U90" s="618"/>
      <c r="V90" s="618"/>
      <c r="W90" s="618"/>
      <c r="X90" s="618"/>
      <c r="Y90" s="618"/>
      <c r="Z90" s="618"/>
      <c r="AA90" s="618"/>
      <c r="AB90" s="618"/>
      <c r="AC90" s="618"/>
      <c r="AD90" s="618"/>
      <c r="AE90" s="618"/>
    </row>
    <row r="91" spans="3:32" s="623" customFormat="1" ht="7.5" customHeight="1">
      <c r="I91" s="624"/>
      <c r="O91" s="624"/>
      <c r="Q91" s="624"/>
    </row>
    <row r="92" spans="3:32" s="623" customFormat="1" ht="49.5" customHeight="1">
      <c r="E92" s="656" t="s">
        <v>393</v>
      </c>
      <c r="H92" s="656" t="s">
        <v>363</v>
      </c>
      <c r="I92" s="624"/>
      <c r="J92" s="655"/>
      <c r="K92" s="656"/>
      <c r="L92" s="656" t="s">
        <v>1761</v>
      </c>
      <c r="M92" s="624"/>
      <c r="N92" s="656"/>
      <c r="O92" s="624"/>
      <c r="P92" s="656" t="s">
        <v>381</v>
      </c>
      <c r="Q92" s="624"/>
      <c r="R92" s="631"/>
      <c r="V92" s="656" t="s">
        <v>391</v>
      </c>
      <c r="X92" s="631"/>
      <c r="Z92" s="656"/>
      <c r="AA92" s="631"/>
      <c r="AC92" s="656"/>
    </row>
    <row r="93" spans="3:32" s="623" customFormat="1" ht="7.5" customHeight="1" thickBot="1">
      <c r="H93" s="634"/>
      <c r="I93" s="624"/>
      <c r="J93" s="634"/>
      <c r="K93" s="635"/>
      <c r="L93" s="635"/>
      <c r="M93" s="624"/>
      <c r="N93" s="635"/>
      <c r="O93" s="624"/>
      <c r="Q93" s="624"/>
    </row>
    <row r="94" spans="3:32" s="623" customFormat="1" ht="21.95" customHeight="1" thickBot="1">
      <c r="C94" s="623" t="s">
        <v>379</v>
      </c>
      <c r="E94" s="789">
        <f>1-tlinputCh4Prod4Slot2Forecast-tlinputCh4Prod4Slot3Forecast</f>
        <v>1</v>
      </c>
      <c r="F94" s="624" t="s">
        <v>3065</v>
      </c>
      <c r="H94" s="630" t="s">
        <v>584</v>
      </c>
      <c r="I94" s="624" t="s">
        <v>3063</v>
      </c>
      <c r="K94" s="636"/>
      <c r="L94" s="683">
        <v>8.35</v>
      </c>
      <c r="M94" s="624" t="s">
        <v>3064</v>
      </c>
      <c r="N94" s="636"/>
      <c r="O94" s="624"/>
      <c r="P94" s="921" t="s">
        <v>9050</v>
      </c>
      <c r="Q94" s="624" t="s">
        <v>6032</v>
      </c>
      <c r="S94" s="592">
        <v>2</v>
      </c>
      <c r="T94" s="624" t="s">
        <v>6033</v>
      </c>
      <c r="V94" s="637">
        <v>0.1</v>
      </c>
      <c r="W94" s="624" t="s">
        <v>5812</v>
      </c>
      <c r="Z94" s="639"/>
      <c r="AC94" s="638"/>
      <c r="AF94" s="918"/>
    </row>
    <row r="95" spans="3:32" s="623" customFormat="1" ht="7.5" customHeight="1" thickBot="1">
      <c r="I95" s="624"/>
      <c r="M95" s="624"/>
      <c r="O95" s="624"/>
      <c r="Q95" s="624"/>
    </row>
    <row r="96" spans="3:32" s="623" customFormat="1" ht="21.95" customHeight="1" thickBot="1">
      <c r="C96" s="623" t="s">
        <v>394</v>
      </c>
      <c r="E96" s="637">
        <v>0</v>
      </c>
      <c r="F96" s="624" t="s">
        <v>3068</v>
      </c>
      <c r="H96" s="630" t="s">
        <v>350</v>
      </c>
      <c r="I96" s="624" t="s">
        <v>3066</v>
      </c>
      <c r="K96" s="636"/>
      <c r="L96" s="683">
        <v>0</v>
      </c>
      <c r="M96" s="624" t="s">
        <v>3067</v>
      </c>
      <c r="N96" s="636"/>
      <c r="O96" s="624"/>
      <c r="P96" s="921" t="s">
        <v>5788</v>
      </c>
      <c r="Q96" s="624" t="s">
        <v>6034</v>
      </c>
      <c r="S96" s="592">
        <v>0</v>
      </c>
      <c r="T96" s="624" t="s">
        <v>6035</v>
      </c>
      <c r="V96" s="637">
        <v>0</v>
      </c>
      <c r="W96" s="624" t="s">
        <v>5813</v>
      </c>
      <c r="Z96" s="639"/>
      <c r="AC96" s="638"/>
    </row>
    <row r="97" spans="3:55" s="623" customFormat="1" ht="7.5" customHeight="1" thickBot="1">
      <c r="I97" s="624"/>
      <c r="M97" s="624"/>
      <c r="O97" s="624"/>
      <c r="Q97" s="624"/>
    </row>
    <row r="98" spans="3:55" s="623" customFormat="1" ht="21.95" customHeight="1" thickBot="1">
      <c r="C98" s="623" t="s">
        <v>395</v>
      </c>
      <c r="E98" s="637">
        <v>0</v>
      </c>
      <c r="F98" s="624" t="s">
        <v>3071</v>
      </c>
      <c r="H98" s="630" t="s">
        <v>350</v>
      </c>
      <c r="I98" s="624" t="s">
        <v>3069</v>
      </c>
      <c r="K98" s="636"/>
      <c r="L98" s="683">
        <v>0</v>
      </c>
      <c r="M98" s="624" t="s">
        <v>3070</v>
      </c>
      <c r="N98" s="636"/>
      <c r="O98" s="624"/>
      <c r="P98" s="921" t="s">
        <v>5788</v>
      </c>
      <c r="Q98" s="624" t="s">
        <v>6036</v>
      </c>
      <c r="S98" s="592">
        <v>0</v>
      </c>
      <c r="T98" s="624" t="s">
        <v>6037</v>
      </c>
      <c r="V98" s="637">
        <v>0</v>
      </c>
      <c r="W98" s="624" t="s">
        <v>5814</v>
      </c>
      <c r="Z98" s="639"/>
      <c r="AC98" s="638"/>
    </row>
    <row r="99" spans="3:55" s="623" customFormat="1" ht="7.5" customHeight="1">
      <c r="O99" s="624"/>
      <c r="V99" s="711"/>
      <c r="W99" s="711"/>
    </row>
    <row r="100" spans="3:55" s="623" customFormat="1" ht="21.95" customHeight="1">
      <c r="C100" s="631" t="s">
        <v>1404</v>
      </c>
      <c r="D100" s="631"/>
      <c r="E100" s="658"/>
      <c r="H100" s="658"/>
      <c r="I100" s="631"/>
      <c r="J100" s="631"/>
      <c r="K100" s="631"/>
      <c r="L100" s="658"/>
      <c r="M100" s="658"/>
      <c r="N100" s="631"/>
      <c r="O100" s="624"/>
      <c r="P100" s="658"/>
      <c r="Q100" s="624"/>
      <c r="R100" s="631"/>
      <c r="S100" s="658"/>
      <c r="V100" s="711"/>
      <c r="W100" s="711"/>
    </row>
    <row r="101" spans="3:55" s="623" customFormat="1" ht="7.5" customHeight="1">
      <c r="O101" s="624"/>
      <c r="Q101" s="624"/>
      <c r="V101" s="711"/>
      <c r="W101" s="711"/>
    </row>
    <row r="102" spans="3:55" s="623" customFormat="1" ht="21.95" customHeight="1">
      <c r="E102" s="636"/>
      <c r="H102" s="857"/>
      <c r="L102" s="758"/>
      <c r="M102" s="758"/>
      <c r="O102" s="624"/>
      <c r="P102" s="636"/>
      <c r="Q102" s="624"/>
      <c r="S102" s="758"/>
      <c r="V102" s="711"/>
      <c r="W102" s="711"/>
    </row>
    <row r="103" spans="3:55" s="623" customFormat="1" ht="7.5" customHeight="1">
      <c r="O103" s="624"/>
      <c r="V103" s="711"/>
      <c r="W103" s="711"/>
    </row>
    <row r="104" spans="3:55" s="623" customFormat="1" ht="21.95" customHeight="1">
      <c r="H104" s="636"/>
      <c r="L104" s="758"/>
      <c r="M104" s="758"/>
      <c r="O104" s="624"/>
      <c r="V104" s="711"/>
      <c r="W104" s="711"/>
    </row>
    <row r="105" spans="3:55" s="623" customFormat="1" ht="7.5" customHeight="1">
      <c r="O105" s="624"/>
      <c r="V105" s="711"/>
      <c r="W105" s="711"/>
    </row>
    <row r="106" spans="3:55" s="689" customFormat="1" ht="21.95" customHeight="1">
      <c r="AY106" s="759" t="s">
        <v>6604</v>
      </c>
    </row>
    <row r="107" spans="3:55" s="689" customFormat="1" ht="21.95" customHeight="1" thickBot="1"/>
    <row r="108" spans="3:55" s="689" customFormat="1" ht="21.95" customHeight="1">
      <c r="AX108" s="760"/>
      <c r="AY108" s="768" t="s">
        <v>6605</v>
      </c>
      <c r="AZ108" s="761"/>
      <c r="BA108" s="762"/>
    </row>
    <row r="109" spans="3:55" s="689" customFormat="1" ht="21.95" customHeight="1">
      <c r="AX109" s="763"/>
      <c r="AY109" s="701" t="s">
        <v>6606</v>
      </c>
      <c r="AZ109" s="701"/>
      <c r="BA109" s="764"/>
    </row>
    <row r="110" spans="3:55" s="689" customFormat="1" ht="21.95" customHeight="1">
      <c r="AX110" s="763"/>
      <c r="AY110" s="701"/>
      <c r="AZ110" s="701"/>
      <c r="BA110" s="764"/>
    </row>
    <row r="111" spans="3:55" s="689" customFormat="1" ht="21.95" customHeight="1">
      <c r="AX111" s="763"/>
      <c r="AY111" s="701"/>
      <c r="AZ111" s="701" t="s">
        <v>583</v>
      </c>
      <c r="BA111" s="764"/>
      <c r="BC111" s="689" t="s">
        <v>6607</v>
      </c>
    </row>
    <row r="112" spans="3:55" s="689" customFormat="1" ht="21.95" customHeight="1">
      <c r="AX112" s="763"/>
      <c r="AY112" s="703">
        <v>1</v>
      </c>
      <c r="AZ112" s="701" t="s">
        <v>3072</v>
      </c>
      <c r="BA112" s="764"/>
      <c r="BC112" s="689">
        <f>IF(tlinputCh4Prod1Slot1Pack="Select pack",0,1)</f>
        <v>1</v>
      </c>
    </row>
    <row r="113" spans="50:55" s="689" customFormat="1" ht="21.95" customHeight="1">
      <c r="AX113" s="763"/>
      <c r="AY113" s="703">
        <v>0</v>
      </c>
      <c r="AZ113" s="701" t="s">
        <v>3073</v>
      </c>
      <c r="BA113" s="764"/>
      <c r="BC113" s="689">
        <f>IF(tlinputCh4Prod1Slot2Pack="Select pack",0,1)</f>
        <v>0</v>
      </c>
    </row>
    <row r="114" spans="50:55" s="689" customFormat="1" ht="21.95" customHeight="1">
      <c r="AX114" s="763"/>
      <c r="AY114" s="703">
        <v>0</v>
      </c>
      <c r="AZ114" s="701" t="s">
        <v>3074</v>
      </c>
      <c r="BA114" s="764"/>
      <c r="BC114" s="689">
        <f>IF(tlinputCh4Prod1Slot3Pack="Select pack",0,1)</f>
        <v>0</v>
      </c>
    </row>
    <row r="115" spans="50:55" s="689" customFormat="1" ht="21.95" customHeight="1">
      <c r="AX115" s="763"/>
      <c r="AY115" s="703">
        <v>1</v>
      </c>
      <c r="AZ115" s="701" t="s">
        <v>3075</v>
      </c>
      <c r="BA115" s="764"/>
      <c r="BC115" s="689">
        <f>IF(tlinputCh4Prod2Slot1Pack="Select pack",0,1)</f>
        <v>1</v>
      </c>
    </row>
    <row r="116" spans="50:55" s="689" customFormat="1" ht="21.95" customHeight="1">
      <c r="AX116" s="763"/>
      <c r="AY116" s="703">
        <v>0</v>
      </c>
      <c r="AZ116" s="701" t="s">
        <v>3076</v>
      </c>
      <c r="BA116" s="764"/>
      <c r="BC116" s="689">
        <f>IF(tlinputCh4Prod2Slot2Pack="Select pack",0,1)</f>
        <v>0</v>
      </c>
    </row>
    <row r="117" spans="50:55" s="689" customFormat="1" ht="21.95" customHeight="1">
      <c r="AX117" s="763"/>
      <c r="AY117" s="703">
        <v>0</v>
      </c>
      <c r="AZ117" s="701" t="s">
        <v>3077</v>
      </c>
      <c r="BA117" s="764"/>
      <c r="BC117" s="689">
        <f>IF(tlinputCh4Prod2Slot3Pack="Select pack",0,1)</f>
        <v>0</v>
      </c>
    </row>
    <row r="118" spans="50:55" s="689" customFormat="1" ht="21.95" customHeight="1">
      <c r="AX118" s="763"/>
      <c r="AY118" s="703">
        <v>1</v>
      </c>
      <c r="AZ118" s="701" t="s">
        <v>3078</v>
      </c>
      <c r="BA118" s="764"/>
      <c r="BC118" s="689">
        <f>IF(tlinputCh4Prod3Slot1Pack="Select pack",0,1)</f>
        <v>1</v>
      </c>
    </row>
    <row r="119" spans="50:55" s="689" customFormat="1" ht="21.95" customHeight="1">
      <c r="AX119" s="763"/>
      <c r="AY119" s="703">
        <v>0</v>
      </c>
      <c r="AZ119" s="701" t="s">
        <v>3079</v>
      </c>
      <c r="BA119" s="764"/>
      <c r="BC119" s="689">
        <f>IF(tlinputCh4Prod3Slot2Pack="Select pack",0,1)</f>
        <v>0</v>
      </c>
    </row>
    <row r="120" spans="50:55" s="689" customFormat="1" ht="21.95" customHeight="1">
      <c r="AX120" s="763"/>
      <c r="AY120" s="703">
        <v>0</v>
      </c>
      <c r="AZ120" s="701" t="s">
        <v>3080</v>
      </c>
      <c r="BA120" s="764"/>
      <c r="BC120" s="689">
        <f>IF(tlinputCh4Prod3Slot3Pack="Select pack",0,1)</f>
        <v>0</v>
      </c>
    </row>
    <row r="121" spans="50:55" s="689" customFormat="1" ht="21.95" customHeight="1">
      <c r="AX121" s="763"/>
      <c r="AY121" s="703">
        <v>1</v>
      </c>
      <c r="AZ121" s="701" t="s">
        <v>3081</v>
      </c>
      <c r="BA121" s="764"/>
      <c r="BC121" s="689">
        <f>IF(tlinputCh4Prod4Slot1Pack="Select pack",0,1)</f>
        <v>1</v>
      </c>
    </row>
    <row r="122" spans="50:55" s="689" customFormat="1" ht="21.95" customHeight="1">
      <c r="AX122" s="763"/>
      <c r="AY122" s="703">
        <v>0</v>
      </c>
      <c r="AZ122" s="701" t="s">
        <v>3082</v>
      </c>
      <c r="BA122" s="764"/>
      <c r="BC122" s="689">
        <f>IF(tlinputCh4Prod4Slot2Pack="Select pack",0,1)</f>
        <v>0</v>
      </c>
    </row>
    <row r="123" spans="50:55" s="689" customFormat="1" ht="21.95" customHeight="1">
      <c r="AX123" s="763"/>
      <c r="AY123" s="703">
        <v>0</v>
      </c>
      <c r="AZ123" s="701" t="s">
        <v>3083</v>
      </c>
      <c r="BA123" s="764"/>
      <c r="BC123" s="689">
        <f>IF(tlinputCh4Prod4Slot3Pack="Select pack",0,1)</f>
        <v>0</v>
      </c>
    </row>
    <row r="124" spans="50:55" s="689" customFormat="1" ht="21.95" customHeight="1" thickBot="1">
      <c r="AX124" s="765"/>
      <c r="AY124" s="766"/>
      <c r="AZ124" s="766"/>
      <c r="BA124" s="767"/>
    </row>
    <row r="125" spans="50:55" s="689" customFormat="1" ht="21.95" customHeight="1" thickBot="1"/>
    <row r="126" spans="50:55" s="689" customFormat="1" ht="21.95" customHeight="1">
      <c r="AX126" s="760"/>
      <c r="AY126" s="768" t="s">
        <v>6608</v>
      </c>
      <c r="AZ126" s="761"/>
      <c r="BA126" s="762"/>
    </row>
    <row r="127" spans="50:55" s="689" customFormat="1" ht="21.95" customHeight="1">
      <c r="AX127" s="763"/>
      <c r="AY127" s="701" t="s">
        <v>6606</v>
      </c>
      <c r="AZ127" s="701"/>
      <c r="BA127" s="764"/>
    </row>
    <row r="128" spans="50:55" s="689" customFormat="1" ht="21.95" customHeight="1">
      <c r="AX128" s="763"/>
      <c r="AY128" s="701"/>
      <c r="AZ128" s="701"/>
      <c r="BA128" s="764"/>
    </row>
    <row r="129" spans="50:53" s="689" customFormat="1" ht="21.95" customHeight="1">
      <c r="AX129" s="763"/>
      <c r="AY129" s="701"/>
      <c r="AZ129" s="701" t="s">
        <v>583</v>
      </c>
      <c r="BA129" s="764"/>
    </row>
    <row r="130" spans="50:53" s="689" customFormat="1" ht="21.95" customHeight="1">
      <c r="AX130" s="763"/>
      <c r="AY130" s="703">
        <v>0</v>
      </c>
      <c r="AZ130" s="701" t="s">
        <v>6965</v>
      </c>
      <c r="BA130" s="764"/>
    </row>
    <row r="131" spans="50:53" s="689" customFormat="1" ht="21.95" customHeight="1">
      <c r="AX131" s="763"/>
      <c r="AY131" s="703">
        <v>0</v>
      </c>
      <c r="AZ131" s="701" t="s">
        <v>6966</v>
      </c>
      <c r="BA131" s="764"/>
    </row>
    <row r="132" spans="50:53" s="689" customFormat="1" ht="21.95" customHeight="1">
      <c r="AX132" s="763"/>
      <c r="AY132" s="703">
        <v>0</v>
      </c>
      <c r="AZ132" s="701" t="s">
        <v>6967</v>
      </c>
      <c r="BA132" s="764"/>
    </row>
    <row r="133" spans="50:53" s="689" customFormat="1" ht="21.95" customHeight="1">
      <c r="AX133" s="763"/>
      <c r="AY133" s="703">
        <v>0</v>
      </c>
      <c r="AZ133" s="701" t="s">
        <v>6968</v>
      </c>
      <c r="BA133" s="764"/>
    </row>
    <row r="134" spans="50:53" s="689" customFormat="1" ht="21.95" customHeight="1">
      <c r="AX134" s="763"/>
      <c r="AY134" s="703">
        <v>0</v>
      </c>
      <c r="AZ134" s="701" t="s">
        <v>6969</v>
      </c>
      <c r="BA134" s="764"/>
    </row>
    <row r="135" spans="50:53" s="689" customFormat="1" ht="21.95" customHeight="1">
      <c r="AX135" s="763"/>
      <c r="AY135" s="703">
        <v>0</v>
      </c>
      <c r="AZ135" s="701" t="s">
        <v>6970</v>
      </c>
      <c r="BA135" s="764"/>
    </row>
    <row r="136" spans="50:53" s="689" customFormat="1" ht="21.95" customHeight="1" thickBot="1">
      <c r="AX136" s="765"/>
      <c r="AY136" s="766"/>
      <c r="AZ136" s="766"/>
      <c r="BA136" s="767"/>
    </row>
    <row r="137" spans="50:53" s="689" customFormat="1" ht="21.95" customHeight="1"/>
    <row r="138" spans="50:53" s="689" customFormat="1" ht="21.95" customHeight="1"/>
    <row r="139" spans="50:53" s="689" customFormat="1" ht="21.95" customHeight="1"/>
    <row r="140" spans="50:53" s="689" customFormat="1" ht="21.95" customHeight="1"/>
    <row r="141" spans="50:53" s="689" customFormat="1" ht="21.95" customHeight="1"/>
  </sheetData>
  <sheetProtection selectLockedCells="1"/>
  <mergeCells count="5">
    <mergeCell ref="AH11:AI11"/>
    <mergeCell ref="P3:P4"/>
    <mergeCell ref="C7:E7"/>
    <mergeCell ref="S11:V11"/>
    <mergeCell ref="AF11:AG11"/>
  </mergeCells>
  <dataValidations disablePrompts="1" count="14">
    <dataValidation type="list" allowBlank="1" showInputMessage="1" showErrorMessage="1" sqref="C7:E7">
      <formula1>INDIRECT(VTCh4_AvailableProgramDropDown)</formula1>
    </dataValidation>
    <dataValidation type="decimal" allowBlank="1" showInputMessage="1" showErrorMessage="1" errorTitle="Invalid Value" error="Please enter a percentage between 1% and 100%." sqref="E78 AF64 E62 AF80">
      <formula1>0.01</formula1>
      <formula2>1</formula2>
    </dataValidation>
    <dataValidation type="decimal" allowBlank="1" showInputMessage="1" showErrorMessage="1" errorTitle="Invalid Value" error="Please enter a percentage between 10% and 25000%." sqref="AF78 AF62">
      <formula1>0.1</formula1>
      <formula2>250</formula2>
    </dataValidation>
    <dataValidation type="list" allowBlank="1" showInputMessage="1" showErrorMessage="1" errorTitle="Selection Not Allowed" error="Please enter a valid selection from the drop-down menu." sqref="AF82 AF66">
      <formula1>PackTestAvailable</formula1>
    </dataValidation>
    <dataValidation type="decimal" allowBlank="1" showInputMessage="1" showErrorMessage="1" errorTitle="Invalid Value" error="Please enter a percentage between 0% and 100%." sqref="E46 AF96 E94 AF48">
      <formula1>0</formula1>
      <formula2>1</formula2>
    </dataValidation>
    <dataValidation type="list" allowBlank="1" showInputMessage="1" showErrorMessage="1" errorTitle="Selection Not Allowed" error="Please enter a valid selection from the drop-down menu." sqref="AF46 AF94">
      <formula1>dataCh4PromoType</formula1>
    </dataValidation>
    <dataValidation type="decimal" allowBlank="1" showInputMessage="1" showErrorMessage="1" errorTitle="Invalid Value" error="Please enter a whole number between 0 and 25." sqref="AF50 AF98">
      <formula1>0</formula1>
      <formula2>25</formula2>
    </dataValidation>
    <dataValidation type="decimal" allowBlank="1" showInputMessage="1" showErrorMessage="1" errorTitle="Invalid Value" error="Please enter a whole number between 0 and 1." sqref="AY130:AY135 AY112:AY123">
      <formula1>0</formula1>
      <formula2>1</formula2>
    </dataValidation>
    <dataValidation type="decimal" allowBlank="1" showInputMessage="1" showErrorMessage="1" sqref="E98 E96 E82 E80 E66 E64 E50 E48">
      <formula1>0.01</formula1>
      <formula2>1</formula2>
    </dataValidation>
    <dataValidation type="list" allowBlank="1" showInputMessage="1" showErrorMessage="1" sqref="P46 P48 P50 P62 P64 P66 P78 P80 P82 P94 P96 P98">
      <formula1>dataCh4PromoType</formula1>
    </dataValidation>
    <dataValidation type="decimal" allowBlank="1" showInputMessage="1" showErrorMessage="1" sqref="V46 V48 V50 V62 V64 V66 V78 V80 V82 V94 V96 V98">
      <formula1>0</formula1>
      <formula2>1</formula2>
    </dataValidation>
    <dataValidation type="whole" allowBlank="1" showInputMessage="1" showErrorMessage="1" sqref="S98 S96 S94 S82 S80 S78 S66 S64 S62 S50 S48 S46">
      <formula1>0</formula1>
      <formula2>25</formula2>
    </dataValidation>
    <dataValidation type="decimal" allowBlank="1" showInputMessage="1" showErrorMessage="1" sqref="L46 L48 L50 L62 L64 L66 L78 L80 L82 L94 L96 L98">
      <formula1>0.01</formula1>
      <formula2>250</formula2>
    </dataValidation>
    <dataValidation type="list" allowBlank="1" showInputMessage="1" showErrorMessage="1" sqref="H46 H48 H50 H62 H64 H66 H78 H80 H82 H94 H96 H98">
      <formula1>INDIRECT(PackAvailable_AvailableProgramDropDown)</formula1>
    </dataValidation>
  </dataValidations>
  <pageMargins left="0.7" right="0.7" top="0.75" bottom="0.75" header="0.3" footer="0.3"/>
  <pageSetup paperSize="9" scale="25" orientation="portrait" r:id="rId1"/>
  <colBreaks count="2" manualBreakCount="2">
    <brk id="21" max="122" man="1"/>
    <brk id="41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A1:AQ263"/>
  <sheetViews>
    <sheetView topLeftCell="A103" zoomScale="56" zoomScaleNormal="56" workbookViewId="0">
      <selection activeCell="H121" sqref="H121"/>
    </sheetView>
  </sheetViews>
  <sheetFormatPr defaultRowHeight="14.25"/>
  <cols>
    <col min="2" max="2" width="12.3984375" bestFit="1" customWidth="1"/>
    <col min="4" max="4" width="21.59765625" bestFit="1" customWidth="1"/>
    <col min="5" max="5" width="17" customWidth="1"/>
    <col min="6" max="6" width="31" bestFit="1" customWidth="1"/>
    <col min="8" max="8" width="21.59765625" bestFit="1" customWidth="1"/>
    <col min="9" max="9" width="13.5" bestFit="1" customWidth="1"/>
    <col min="10" max="10" width="32.3984375" bestFit="1" customWidth="1"/>
    <col min="12" max="12" width="12.296875" customWidth="1"/>
    <col min="13" max="13" width="13.5" bestFit="1" customWidth="1"/>
    <col min="14" max="14" width="31" bestFit="1" customWidth="1"/>
    <col min="16" max="16" width="14.8984375" customWidth="1"/>
    <col min="17" max="17" width="13.5" bestFit="1" customWidth="1"/>
    <col min="18" max="18" width="31" bestFit="1" customWidth="1"/>
    <col min="20" max="20" width="17.09765625" bestFit="1" customWidth="1"/>
    <col min="21" max="21" width="13.5" bestFit="1" customWidth="1"/>
    <col min="22" max="22" width="25.5" customWidth="1"/>
    <col min="23" max="23" width="24.09765625" bestFit="1" customWidth="1"/>
    <col min="26" max="26" width="28.19921875" bestFit="1" customWidth="1"/>
    <col min="30" max="30" width="27.69921875" bestFit="1" customWidth="1"/>
    <col min="34" max="34" width="30.8984375" bestFit="1" customWidth="1"/>
    <col min="38" max="38" width="28.19921875" bestFit="1" customWidth="1"/>
    <col min="42" max="42" width="27.69921875" bestFit="1" customWidth="1"/>
  </cols>
  <sheetData>
    <row r="1" spans="2:14" s="609" customFormat="1"/>
    <row r="2" spans="2:14" ht="15" thickBot="1">
      <c r="B2" s="601" t="s">
        <v>6500</v>
      </c>
      <c r="C2" s="19" t="s">
        <v>5217</v>
      </c>
      <c r="G2" s="19" t="s">
        <v>5242</v>
      </c>
      <c r="K2" s="19" t="s">
        <v>5263</v>
      </c>
    </row>
    <row r="3" spans="2:14">
      <c r="C3" s="590" t="s">
        <v>1694</v>
      </c>
      <c r="D3" s="589"/>
      <c r="E3" s="589"/>
      <c r="F3" s="588"/>
      <c r="G3" s="589"/>
      <c r="H3" s="589"/>
      <c r="I3" s="589"/>
      <c r="J3" s="588"/>
      <c r="K3" s="590" t="s">
        <v>1694</v>
      </c>
      <c r="L3" s="589"/>
      <c r="M3" s="589"/>
      <c r="N3" s="588"/>
    </row>
    <row r="4" spans="2:14" ht="15">
      <c r="C4" s="587"/>
      <c r="D4" s="586" t="s">
        <v>1394</v>
      </c>
      <c r="E4" s="585">
        <f>INDEX(finPNLTurnTot,,xxIndexTeam)/1000</f>
        <v>7384743.9929099986</v>
      </c>
      <c r="F4" s="584" t="s">
        <v>5218</v>
      </c>
      <c r="G4" s="721"/>
      <c r="H4" s="721"/>
      <c r="I4" s="721"/>
      <c r="J4" s="583"/>
      <c r="K4" s="587"/>
      <c r="L4" s="586" t="s">
        <v>1394</v>
      </c>
      <c r="M4" s="566">
        <f>E4/INDEX(finCalcVolSold,,xxIndexTeam)*1000</f>
        <v>7.5411949487573429</v>
      </c>
      <c r="N4" s="584" t="s">
        <v>5264</v>
      </c>
    </row>
    <row r="5" spans="2:14" ht="15">
      <c r="C5" s="587"/>
      <c r="D5" s="586" t="s">
        <v>1759</v>
      </c>
      <c r="E5" s="585">
        <f>INDEX(finPNLExciseTot,,xxIndexTeam)/1000</f>
        <v>2402206.8538879999</v>
      </c>
      <c r="F5" s="583" t="s">
        <v>5219</v>
      </c>
      <c r="G5" s="721"/>
      <c r="H5" s="721"/>
      <c r="I5" s="721"/>
      <c r="J5" s="583"/>
      <c r="K5" s="587"/>
      <c r="L5" s="586" t="s">
        <v>1759</v>
      </c>
      <c r="M5" s="566">
        <f>E5/INDEX(finCalcVolSold,,xxIndexTeam)*1000</f>
        <v>2.4530992827649718</v>
      </c>
      <c r="N5" s="583" t="s">
        <v>5265</v>
      </c>
    </row>
    <row r="6" spans="2:14" ht="15">
      <c r="C6" s="587"/>
      <c r="D6" s="586" t="s">
        <v>694</v>
      </c>
      <c r="E6" s="585">
        <f>INDEX(finPNLGrossSalesTot,,xxIndexTeam)/1000</f>
        <v>4982537.1390219992</v>
      </c>
      <c r="F6" s="583" t="s">
        <v>5220</v>
      </c>
      <c r="G6" s="721"/>
      <c r="H6" s="721"/>
      <c r="I6" s="721"/>
      <c r="J6" s="583"/>
      <c r="K6" s="587"/>
      <c r="L6" s="586" t="s">
        <v>694</v>
      </c>
      <c r="M6" s="566">
        <f>E6/INDEX(finCalcVolSold,,xxIndexTeam)*1000</f>
        <v>5.0880956659923715</v>
      </c>
      <c r="N6" s="583" t="s">
        <v>5266</v>
      </c>
    </row>
    <row r="7" spans="2:14" ht="15">
      <c r="C7" s="587"/>
      <c r="D7" s="586" t="s">
        <v>1396</v>
      </c>
      <c r="E7" s="585">
        <f>INDEX(finPNLDiscountsTot,,xxIndexTeam)/1000</f>
        <v>496142.06347751914</v>
      </c>
      <c r="F7" s="583" t="s">
        <v>5221</v>
      </c>
      <c r="G7" s="721"/>
      <c r="H7" s="721"/>
      <c r="I7" s="721"/>
      <c r="J7" s="583"/>
      <c r="K7" s="587"/>
      <c r="L7" s="586" t="s">
        <v>1396</v>
      </c>
      <c r="M7" s="566">
        <f>E7/INDEX(finCalcVolSold,,xxIndexTeam)*1000</f>
        <v>0.50665317938643295</v>
      </c>
      <c r="N7" s="583" t="s">
        <v>5267</v>
      </c>
    </row>
    <row r="8" spans="2:14" ht="15">
      <c r="C8" s="582"/>
      <c r="D8" s="581" t="s">
        <v>1397</v>
      </c>
      <c r="E8" s="585">
        <f>INDEX(finPNLNetRevTot,,xxIndexTeam)/1000</f>
        <v>4486395.0755444802</v>
      </c>
      <c r="F8" s="583" t="s">
        <v>5222</v>
      </c>
      <c r="G8" s="581"/>
      <c r="H8" s="581" t="s">
        <v>1397</v>
      </c>
      <c r="I8" s="571">
        <f>E8/tlOutputPNLNetRevTot</f>
        <v>1</v>
      </c>
      <c r="J8" s="583" t="s">
        <v>5243</v>
      </c>
      <c r="K8" s="582"/>
      <c r="L8" s="581" t="s">
        <v>1397</v>
      </c>
      <c r="M8" s="566">
        <f>E8/INDEX(finCalcVolSold,,xxIndexTeam)*1000</f>
        <v>4.5814424866059387</v>
      </c>
      <c r="N8" s="583" t="s">
        <v>5268</v>
      </c>
    </row>
    <row r="9" spans="2:14" ht="15">
      <c r="C9" s="580" t="s">
        <v>404</v>
      </c>
      <c r="D9" s="581"/>
      <c r="E9" s="585"/>
      <c r="F9" s="583"/>
      <c r="G9" s="570" t="s">
        <v>404</v>
      </c>
      <c r="H9" s="581"/>
      <c r="I9" s="571"/>
      <c r="J9" s="583"/>
      <c r="K9" s="580" t="s">
        <v>404</v>
      </c>
      <c r="L9" s="581"/>
      <c r="M9" s="566"/>
      <c r="N9" s="583"/>
    </row>
    <row r="10" spans="2:14" ht="15">
      <c r="C10" s="582"/>
      <c r="D10" s="581" t="s">
        <v>400</v>
      </c>
      <c r="E10" s="585">
        <f>INDEX(finPNLMatExpTot,,xxIndexTeam)/1000</f>
        <v>1545430.8527120177</v>
      </c>
      <c r="F10" s="583" t="s">
        <v>5223</v>
      </c>
      <c r="G10" s="581"/>
      <c r="H10" s="581" t="s">
        <v>400</v>
      </c>
      <c r="I10" s="571">
        <f>E10/tlOutputPNLNetRevTot</f>
        <v>0.34447052180852805</v>
      </c>
      <c r="J10" s="583" t="s">
        <v>5244</v>
      </c>
      <c r="K10" s="582"/>
      <c r="L10" s="581" t="s">
        <v>400</v>
      </c>
      <c r="M10" s="566">
        <f>E10/INDEX(finCalcVolSold,,xxIndexTeam)*1000</f>
        <v>1.5781718839969079</v>
      </c>
      <c r="N10" s="583" t="s">
        <v>5269</v>
      </c>
    </row>
    <row r="11" spans="2:14" ht="15">
      <c r="C11" s="582"/>
      <c r="D11" s="581" t="s">
        <v>399</v>
      </c>
      <c r="E11" s="585">
        <f>INDEX(finPNLLabExpTot,,xxIndexTeam)/1000</f>
        <v>227269.24304588497</v>
      </c>
      <c r="F11" s="583" t="s">
        <v>5224</v>
      </c>
      <c r="G11" s="581"/>
      <c r="H11" s="581" t="s">
        <v>399</v>
      </c>
      <c r="I11" s="571">
        <f>E11/tlOutputPNLNetRevTot</f>
        <v>5.0657429677724714E-2</v>
      </c>
      <c r="J11" s="583" t="s">
        <v>5245</v>
      </c>
      <c r="K11" s="582"/>
      <c r="L11" s="581" t="s">
        <v>399</v>
      </c>
      <c r="M11" s="566">
        <f>E11/INDEX(finCalcVolSold,,xxIndexTeam)*1000</f>
        <v>0.23208410058778059</v>
      </c>
      <c r="N11" s="583" t="s">
        <v>5270</v>
      </c>
    </row>
    <row r="12" spans="2:14" ht="15">
      <c r="C12" s="582"/>
      <c r="D12" s="581" t="s">
        <v>513</v>
      </c>
      <c r="E12" s="585">
        <f>INDEX(finPNLMachExpTot,,xxIndexTeam)/1000</f>
        <v>257091.49973479399</v>
      </c>
      <c r="F12" s="583" t="s">
        <v>5225</v>
      </c>
      <c r="G12" s="581"/>
      <c r="H12" s="581" t="s">
        <v>513</v>
      </c>
      <c r="I12" s="571">
        <f>E12/tlOutputPNLNetRevTot</f>
        <v>5.7304694616889647E-2</v>
      </c>
      <c r="J12" s="583" t="s">
        <v>5246</v>
      </c>
      <c r="K12" s="582"/>
      <c r="L12" s="581" t="s">
        <v>513</v>
      </c>
      <c r="M12" s="566">
        <f>E12/INDEX(finCalcVolSold,,xxIndexTeam)*1000</f>
        <v>0.26253816259979684</v>
      </c>
      <c r="N12" s="583" t="s">
        <v>5271</v>
      </c>
    </row>
    <row r="13" spans="2:14" ht="15">
      <c r="C13" s="582"/>
      <c r="D13" s="581" t="s">
        <v>398</v>
      </c>
      <c r="E13" s="585">
        <f>INDEX(finPNLDepExpTot,,xxIndexTeam)/1000</f>
        <v>114421.28791947501</v>
      </c>
      <c r="F13" s="583" t="s">
        <v>5226</v>
      </c>
      <c r="G13" s="581"/>
      <c r="H13" s="581" t="s">
        <v>398</v>
      </c>
      <c r="I13" s="571">
        <f>E13/tlOutputPNLNetRevTot</f>
        <v>2.5504059716717781E-2</v>
      </c>
      <c r="J13" s="583" t="s">
        <v>5247</v>
      </c>
      <c r="K13" s="582"/>
      <c r="L13" s="581" t="s">
        <v>398</v>
      </c>
      <c r="M13" s="566">
        <f>E13/INDEX(finCalcVolSold,,xxIndexTeam)*1000</f>
        <v>0.11684538276710586</v>
      </c>
      <c r="N13" s="583" t="s">
        <v>5272</v>
      </c>
    </row>
    <row r="14" spans="2:14" ht="15">
      <c r="C14" s="582"/>
      <c r="D14" s="581" t="s">
        <v>14</v>
      </c>
      <c r="E14" s="585">
        <f>INDEX(finPNLCostRevTot,,xxIndexTeam)/1000</f>
        <v>2144212.8834121716</v>
      </c>
      <c r="F14" s="583" t="s">
        <v>5227</v>
      </c>
      <c r="G14" s="581"/>
      <c r="H14" s="581" t="s">
        <v>14</v>
      </c>
      <c r="I14" s="571">
        <f>E14/tlOutputPNLNetRevTot</f>
        <v>0.4779367058198602</v>
      </c>
      <c r="J14" s="583" t="s">
        <v>5248</v>
      </c>
      <c r="K14" s="582"/>
      <c r="L14" s="581" t="s">
        <v>14</v>
      </c>
      <c r="M14" s="566">
        <f>E14/INDEX(finCalcVolSold,,xxIndexTeam)*1000</f>
        <v>2.1896395299515912</v>
      </c>
      <c r="N14" s="583" t="s">
        <v>5273</v>
      </c>
    </row>
    <row r="15" spans="2:14" ht="15">
      <c r="C15" s="580" t="s">
        <v>160</v>
      </c>
      <c r="D15" s="581"/>
      <c r="E15" s="585"/>
      <c r="F15" s="583"/>
      <c r="G15" s="570" t="s">
        <v>160</v>
      </c>
      <c r="H15" s="581"/>
      <c r="I15" s="571"/>
      <c r="J15" s="583"/>
      <c r="K15" s="580" t="s">
        <v>160</v>
      </c>
      <c r="L15" s="581"/>
      <c r="M15" s="566"/>
      <c r="N15" s="583"/>
    </row>
    <row r="16" spans="2:14" ht="15">
      <c r="C16" s="582"/>
      <c r="D16" s="581" t="s">
        <v>160</v>
      </c>
      <c r="E16" s="585">
        <f>INDEX(finPNLGroProfitTot,,xxIndexTeam)/1000</f>
        <v>2342182.1921323091</v>
      </c>
      <c r="F16" s="583" t="s">
        <v>5228</v>
      </c>
      <c r="G16" s="581"/>
      <c r="H16" s="581" t="s">
        <v>160</v>
      </c>
      <c r="I16" s="571">
        <f>E16/tlOutputPNLNetRevTot</f>
        <v>0.52206329418013997</v>
      </c>
      <c r="J16" s="583" t="s">
        <v>5249</v>
      </c>
      <c r="K16" s="582"/>
      <c r="L16" s="581" t="s">
        <v>160</v>
      </c>
      <c r="M16" s="566">
        <f>E16/INDEX(finCalcVolSold,,xxIndexTeam)*1000</f>
        <v>2.3918029566543479</v>
      </c>
      <c r="N16" s="583" t="s">
        <v>5274</v>
      </c>
    </row>
    <row r="17" spans="3:14" ht="15">
      <c r="C17" s="580" t="s">
        <v>519</v>
      </c>
      <c r="D17" s="579"/>
      <c r="E17" s="585"/>
      <c r="F17" s="583"/>
      <c r="G17" s="570" t="s">
        <v>519</v>
      </c>
      <c r="H17" s="579"/>
      <c r="I17" s="571">
        <f>E17/tlOutputPNLNetRevTot</f>
        <v>0</v>
      </c>
      <c r="J17" s="583"/>
      <c r="K17" s="580" t="s">
        <v>519</v>
      </c>
      <c r="L17" s="579"/>
      <c r="M17" s="566"/>
      <c r="N17" s="583"/>
    </row>
    <row r="18" spans="3:14" ht="15">
      <c r="C18" s="580"/>
      <c r="D18" s="581" t="s">
        <v>519</v>
      </c>
      <c r="E18" s="585">
        <f>INDEX(finPNLLogExpTot,,xxIndexTeam)/1000</f>
        <v>262593.91745669558</v>
      </c>
      <c r="F18" s="583" t="s">
        <v>5229</v>
      </c>
      <c r="G18" s="570"/>
      <c r="H18" s="581" t="s">
        <v>519</v>
      </c>
      <c r="I18" s="571">
        <f>E18/tlOutputPNLNetRevTot</f>
        <v>5.8531162110110536E-2</v>
      </c>
      <c r="J18" s="583" t="s">
        <v>5250</v>
      </c>
      <c r="K18" s="580"/>
      <c r="L18" s="581" t="s">
        <v>519</v>
      </c>
      <c r="M18" s="566">
        <f>E18/INDEX(finCalcVolSold,,xxIndexTeam)*1000</f>
        <v>0.26815715288168013</v>
      </c>
      <c r="N18" s="583" t="s">
        <v>5275</v>
      </c>
    </row>
    <row r="19" spans="3:14" ht="15">
      <c r="C19" s="580" t="s">
        <v>520</v>
      </c>
      <c r="D19" s="581"/>
      <c r="E19" s="585"/>
      <c r="F19" s="583"/>
      <c r="G19" s="570" t="s">
        <v>520</v>
      </c>
      <c r="H19" s="581"/>
      <c r="I19" s="571"/>
      <c r="J19" s="583"/>
      <c r="K19" s="580" t="s">
        <v>520</v>
      </c>
      <c r="L19" s="581"/>
      <c r="M19" s="566"/>
      <c r="N19" s="583"/>
    </row>
    <row r="20" spans="3:14" ht="15">
      <c r="C20" s="582"/>
      <c r="D20" s="581" t="s">
        <v>521</v>
      </c>
      <c r="E20" s="585">
        <f>INDEX(finPNLGPaLTot,,xxIndexTeam)/1000</f>
        <v>2079588.2746756135</v>
      </c>
      <c r="F20" s="583" t="s">
        <v>5230</v>
      </c>
      <c r="G20" s="581"/>
      <c r="H20" s="581" t="s">
        <v>521</v>
      </c>
      <c r="I20" s="571">
        <f>E20/tlOutputPNLNetRevTot</f>
        <v>0.46353213207002941</v>
      </c>
      <c r="J20" s="583" t="s">
        <v>5251</v>
      </c>
      <c r="K20" s="582"/>
      <c r="L20" s="581" t="s">
        <v>521</v>
      </c>
      <c r="M20" s="566">
        <f>E20/INDEX(finCalcVolSold,,xxIndexTeam)*1000</f>
        <v>2.1236458037726678</v>
      </c>
      <c r="N20" s="583" t="s">
        <v>5276</v>
      </c>
    </row>
    <row r="21" spans="3:14" ht="15">
      <c r="C21" s="578" t="s">
        <v>1705</v>
      </c>
      <c r="D21" s="586"/>
      <c r="E21" s="585"/>
      <c r="F21" s="583"/>
      <c r="G21" s="569" t="s">
        <v>1705</v>
      </c>
      <c r="H21" s="586"/>
      <c r="I21" s="571"/>
      <c r="J21" s="583"/>
      <c r="K21" s="578" t="s">
        <v>1705</v>
      </c>
      <c r="L21" s="586"/>
      <c r="M21" s="566"/>
      <c r="N21" s="583"/>
    </row>
    <row r="22" spans="3:14" ht="15">
      <c r="C22" s="578"/>
      <c r="D22" s="586" t="s">
        <v>1694</v>
      </c>
      <c r="E22" s="585">
        <f>INDEX(finPNLSalesExpTot,,xxIndexTeam)/1000</f>
        <v>312292.54392831295</v>
      </c>
      <c r="F22" s="583" t="s">
        <v>5231</v>
      </c>
      <c r="G22" s="569"/>
      <c r="H22" s="586" t="s">
        <v>1694</v>
      </c>
      <c r="I22" s="571">
        <f t="shared" ref="I22:I27" si="0">E22/tlOutputPNLNetRevTot</f>
        <v>6.9608792509298203E-2</v>
      </c>
      <c r="J22" s="583" t="s">
        <v>5252</v>
      </c>
      <c r="K22" s="578"/>
      <c r="L22" s="586" t="s">
        <v>1694</v>
      </c>
      <c r="M22" s="566">
        <f t="shared" ref="M22:M27" si="1">E22/INDEX(finCalcVolSold,,xxIndexTeam)*1000</f>
        <v>0.31890867944343598</v>
      </c>
      <c r="N22" s="583" t="s">
        <v>5277</v>
      </c>
    </row>
    <row r="23" spans="3:14" ht="15">
      <c r="C23" s="578"/>
      <c r="D23" s="586" t="s">
        <v>1703</v>
      </c>
      <c r="E23" s="585">
        <f>INDEX(finPNLTMktExpTot,,xxIndexTeam)/1000</f>
        <v>43450</v>
      </c>
      <c r="F23" s="583" t="s">
        <v>5232</v>
      </c>
      <c r="G23" s="569"/>
      <c r="H23" s="586" t="s">
        <v>1703</v>
      </c>
      <c r="I23" s="571">
        <f t="shared" si="0"/>
        <v>9.6848358801140122E-3</v>
      </c>
      <c r="J23" s="583" t="s">
        <v>5253</v>
      </c>
      <c r="K23" s="578"/>
      <c r="L23" s="586" t="s">
        <v>1703</v>
      </c>
      <c r="M23" s="566">
        <f t="shared" si="1"/>
        <v>4.4370518576959957E-2</v>
      </c>
      <c r="N23" s="583" t="s">
        <v>5278</v>
      </c>
    </row>
    <row r="24" spans="3:14" ht="15">
      <c r="C24" s="578"/>
      <c r="D24" s="586" t="s">
        <v>1704</v>
      </c>
      <c r="E24" s="585">
        <f>INDEX(finPNLBMktExpTot,,xxIndexTeam)/1000</f>
        <v>209455.8030217792</v>
      </c>
      <c r="F24" s="583" t="s">
        <v>5233</v>
      </c>
      <c r="G24" s="569"/>
      <c r="H24" s="586" t="s">
        <v>1704</v>
      </c>
      <c r="I24" s="571">
        <f t="shared" si="0"/>
        <v>4.668688323137906E-2</v>
      </c>
      <c r="J24" s="583" t="s">
        <v>5254</v>
      </c>
      <c r="K24" s="578"/>
      <c r="L24" s="586" t="s">
        <v>1704</v>
      </c>
      <c r="M24" s="566">
        <f t="shared" si="1"/>
        <v>0.21389327040345038</v>
      </c>
      <c r="N24" s="583" t="s">
        <v>5279</v>
      </c>
    </row>
    <row r="25" spans="3:14" ht="15">
      <c r="C25" s="578"/>
      <c r="D25" s="228" t="s">
        <v>267</v>
      </c>
      <c r="E25" s="585">
        <f>INDEX(finPNLRnDExpTot,,xxIndexTeam)/1000</f>
        <v>46863.950755444799</v>
      </c>
      <c r="F25" s="583" t="s">
        <v>5234</v>
      </c>
      <c r="G25" s="569"/>
      <c r="H25" s="228" t="s">
        <v>267</v>
      </c>
      <c r="I25" s="571">
        <f t="shared" si="0"/>
        <v>1.044579221542527E-2</v>
      </c>
      <c r="J25" s="583" t="s">
        <v>5255</v>
      </c>
      <c r="K25" s="578"/>
      <c r="L25" s="228" t="s">
        <v>267</v>
      </c>
      <c r="M25" s="566">
        <f t="shared" si="1"/>
        <v>4.7856796262006902E-2</v>
      </c>
      <c r="N25" s="583" t="s">
        <v>5280</v>
      </c>
    </row>
    <row r="26" spans="3:14" ht="15">
      <c r="C26" s="578"/>
      <c r="D26" s="586" t="s">
        <v>1695</v>
      </c>
      <c r="E26" s="585">
        <f>INDEX(finPNLGnAdminExp,,xxIndexTeam)/1000</f>
        <v>425375.55679900327</v>
      </c>
      <c r="F26" s="583" t="s">
        <v>5235</v>
      </c>
      <c r="G26" s="569"/>
      <c r="H26" s="586" t="s">
        <v>1695</v>
      </c>
      <c r="I26" s="571">
        <f t="shared" si="0"/>
        <v>9.4814555926592936E-2</v>
      </c>
      <c r="J26" s="583" t="s">
        <v>5256</v>
      </c>
      <c r="K26" s="578"/>
      <c r="L26" s="586" t="s">
        <v>1695</v>
      </c>
      <c r="M26" s="566">
        <f t="shared" si="1"/>
        <v>0.43438743487076775</v>
      </c>
      <c r="N26" s="583" t="s">
        <v>5281</v>
      </c>
    </row>
    <row r="27" spans="3:14" ht="15">
      <c r="C27" s="577"/>
      <c r="D27" s="586" t="s">
        <v>1706</v>
      </c>
      <c r="E27" s="585">
        <f>INDEX(finPNLOverheadExpTot,,xxIndexTeam)/1000</f>
        <v>1037437.8545045402</v>
      </c>
      <c r="F27" s="583" t="s">
        <v>5236</v>
      </c>
      <c r="G27" s="721"/>
      <c r="H27" s="586" t="s">
        <v>1706</v>
      </c>
      <c r="I27" s="571">
        <f t="shared" si="0"/>
        <v>0.23124085976280948</v>
      </c>
      <c r="J27" s="583" t="s">
        <v>5257</v>
      </c>
      <c r="K27" s="577"/>
      <c r="L27" s="586" t="s">
        <v>1706</v>
      </c>
      <c r="M27" s="566">
        <f t="shared" si="1"/>
        <v>1.059416699556621</v>
      </c>
      <c r="N27" s="583" t="s">
        <v>5282</v>
      </c>
    </row>
    <row r="28" spans="3:14" ht="15">
      <c r="C28" s="577"/>
      <c r="D28" s="586"/>
      <c r="E28" s="585"/>
      <c r="F28" s="583"/>
      <c r="G28" s="721"/>
      <c r="H28" s="586"/>
      <c r="I28" s="571"/>
      <c r="J28" s="583"/>
      <c r="K28" s="577"/>
      <c r="L28" s="586"/>
      <c r="M28" s="566"/>
      <c r="N28" s="583"/>
    </row>
    <row r="29" spans="3:14" ht="15">
      <c r="C29" s="577"/>
      <c r="D29" s="586" t="s">
        <v>325</v>
      </c>
      <c r="E29" s="585">
        <f>INDEX(finPNLEbitTot,,xxIndexTeam)/1000</f>
        <v>1042150.4201710732</v>
      </c>
      <c r="F29" s="583" t="s">
        <v>5237</v>
      </c>
      <c r="G29" s="721"/>
      <c r="H29" s="586" t="s">
        <v>325</v>
      </c>
      <c r="I29" s="571">
        <f>E29/tlOutputPNLNetRevTot</f>
        <v>0.23229127230721988</v>
      </c>
      <c r="J29" s="583" t="s">
        <v>5258</v>
      </c>
      <c r="K29" s="577"/>
      <c r="L29" s="586" t="s">
        <v>325</v>
      </c>
      <c r="M29" s="566">
        <f>E29/INDEX(finCalcVolSold,,xxIndexTeam)*1000</f>
        <v>1.0642291042160468</v>
      </c>
      <c r="N29" s="583" t="s">
        <v>5283</v>
      </c>
    </row>
    <row r="30" spans="3:14" ht="15">
      <c r="C30" s="577"/>
      <c r="D30" s="586" t="s">
        <v>1697</v>
      </c>
      <c r="E30" s="585">
        <f>INDEX(finPNLFinNetTot,,xxIndexTeam)/1000</f>
        <v>10236.770028405272</v>
      </c>
      <c r="F30" s="583" t="s">
        <v>5238</v>
      </c>
      <c r="G30" s="721"/>
      <c r="H30" s="586" t="s">
        <v>1697</v>
      </c>
      <c r="I30" s="571">
        <f>E30/tlOutputPNLNetRevTot</f>
        <v>2.2817361948809004E-3</v>
      </c>
      <c r="J30" s="583" t="s">
        <v>5259</v>
      </c>
      <c r="K30" s="577"/>
      <c r="L30" s="586" t="s">
        <v>1697</v>
      </c>
      <c r="M30" s="566">
        <f>E30/INDEX(finCalcVolSold,,xxIndexTeam)*1000</f>
        <v>1.0453643146453924E-2</v>
      </c>
      <c r="N30" s="583" t="s">
        <v>5284</v>
      </c>
    </row>
    <row r="31" spans="3:14" ht="15">
      <c r="C31" s="577"/>
      <c r="D31" s="586" t="s">
        <v>1698</v>
      </c>
      <c r="E31" s="585">
        <f>INDEX(finPNLEbtTot,,xxIndexTeam)/1000</f>
        <v>1052387.1901994785</v>
      </c>
      <c r="F31" s="583" t="s">
        <v>5239</v>
      </c>
      <c r="G31" s="721"/>
      <c r="H31" s="586" t="s">
        <v>1698</v>
      </c>
      <c r="I31" s="571">
        <f>E31/tlOutputPNLNetRevTot</f>
        <v>0.2345730085021008</v>
      </c>
      <c r="J31" s="583" t="s">
        <v>5260</v>
      </c>
      <c r="K31" s="577"/>
      <c r="L31" s="586" t="s">
        <v>1698</v>
      </c>
      <c r="M31" s="566">
        <f>E31/INDEX(finCalcVolSold,,xxIndexTeam)*1000</f>
        <v>1.0746827473625007</v>
      </c>
      <c r="N31" s="583" t="s">
        <v>5285</v>
      </c>
    </row>
    <row r="32" spans="3:14" ht="15">
      <c r="C32" s="577"/>
      <c r="D32" s="586" t="s">
        <v>1699</v>
      </c>
      <c r="E32" s="585">
        <f>INDEX(finPNLCTaxTot,,xxIndexTeam)/1000</f>
        <v>315716.15705984354</v>
      </c>
      <c r="F32" s="583" t="s">
        <v>5240</v>
      </c>
      <c r="G32" s="721"/>
      <c r="H32" s="586" t="s">
        <v>1699</v>
      </c>
      <c r="I32" s="571">
        <f>E32/tlOutputPNLNetRevTot</f>
        <v>7.0371902550630236E-2</v>
      </c>
      <c r="J32" s="583" t="s">
        <v>5261</v>
      </c>
      <c r="K32" s="577"/>
      <c r="L32" s="586" t="s">
        <v>1699</v>
      </c>
      <c r="M32" s="566">
        <f>E32/INDEX(finCalcVolSold,,xxIndexTeam)*1000</f>
        <v>0.32240482420875016</v>
      </c>
      <c r="N32" s="583" t="s">
        <v>5286</v>
      </c>
    </row>
    <row r="33" spans="2:22" ht="15.75" thickBot="1">
      <c r="C33" s="576"/>
      <c r="D33" s="575" t="s">
        <v>1701</v>
      </c>
      <c r="E33" s="574">
        <f>INDEX(finPNLNetIncTot,,xxIndexTeam)/1000</f>
        <v>736671.03313963499</v>
      </c>
      <c r="F33" s="573" t="s">
        <v>5241</v>
      </c>
      <c r="G33" s="568"/>
      <c r="H33" s="575" t="s">
        <v>1701</v>
      </c>
      <c r="I33" s="567">
        <f>E33/tlOutputPNLNetRevTot</f>
        <v>0.16420110595147056</v>
      </c>
      <c r="J33" s="573" t="s">
        <v>5262</v>
      </c>
      <c r="K33" s="576"/>
      <c r="L33" s="575" t="s">
        <v>1701</v>
      </c>
      <c r="M33" s="565">
        <f>E33/INDEX(finCalcVolSold,,xxIndexTeam)*1000</f>
        <v>0.75227792315375042</v>
      </c>
      <c r="N33" s="573" t="s">
        <v>5287</v>
      </c>
    </row>
    <row r="36" spans="2:22">
      <c r="B36" s="601" t="s">
        <v>6501</v>
      </c>
      <c r="C36" s="19" t="s">
        <v>5425</v>
      </c>
    </row>
    <row r="37" spans="2:22" ht="15" thickBot="1">
      <c r="C37" s="459" t="str">
        <f>nmCh1</f>
        <v>Hypermarkets</v>
      </c>
      <c r="D37" s="207"/>
      <c r="E37" s="225"/>
      <c r="G37" s="459" t="str">
        <f>nmCh2</f>
        <v>Discounters</v>
      </c>
      <c r="H37" s="207"/>
      <c r="I37" s="225"/>
      <c r="K37" s="459" t="str">
        <f>nmCh3</f>
        <v>Convenience</v>
      </c>
      <c r="L37" s="207"/>
      <c r="M37" s="225"/>
      <c r="O37" s="459" t="str">
        <f>nmCh4</f>
        <v>On-Trade</v>
      </c>
      <c r="P37" s="207"/>
      <c r="Q37" s="225"/>
      <c r="S37" s="19" t="s">
        <v>5503</v>
      </c>
    </row>
    <row r="38" spans="2:22" ht="15">
      <c r="C38" s="564"/>
      <c r="D38" s="563" t="s">
        <v>1394</v>
      </c>
      <c r="E38" s="562">
        <f>INDEX(finPNLCh1Turn,,xxIndexTeam)/1000</f>
        <v>2786202.2872599997</v>
      </c>
      <c r="F38" s="561" t="s">
        <v>5426</v>
      </c>
      <c r="G38" s="564"/>
      <c r="H38" s="563" t="s">
        <v>1394</v>
      </c>
      <c r="I38" s="562">
        <f>INDEX(finPNLCh2Turn,,xxIndexTeam)/1000</f>
        <v>1905005.0771999997</v>
      </c>
      <c r="J38" s="561" t="s">
        <v>5484</v>
      </c>
      <c r="K38" s="564"/>
      <c r="L38" s="563" t="s">
        <v>1394</v>
      </c>
      <c r="M38" s="562">
        <f>INDEX(finPNLCh3Turn,,xxIndexTeam)/1000</f>
        <v>1398572.80595</v>
      </c>
      <c r="N38" s="561" t="s">
        <v>5465</v>
      </c>
      <c r="O38" s="564"/>
      <c r="P38" s="563" t="s">
        <v>1394</v>
      </c>
      <c r="Q38" s="562">
        <f>INDEX(finPNLCh4Turn,,xxIndexTeam)/1000</f>
        <v>1294963.8225</v>
      </c>
      <c r="R38" s="561" t="s">
        <v>5446</v>
      </c>
      <c r="S38" s="572"/>
      <c r="T38" s="589"/>
      <c r="U38" s="589"/>
      <c r="V38" s="588"/>
    </row>
    <row r="39" spans="2:22" ht="15">
      <c r="C39" s="587"/>
      <c r="D39" s="586" t="s">
        <v>1759</v>
      </c>
      <c r="E39" s="585">
        <f>INDEX(finPNLCh1Excise,,xxIndexTeam)/1000</f>
        <v>885053.20178799995</v>
      </c>
      <c r="F39" s="583" t="s">
        <v>5427</v>
      </c>
      <c r="G39" s="587"/>
      <c r="H39" s="586" t="s">
        <v>1759</v>
      </c>
      <c r="I39" s="585">
        <f>INDEX(finPNLCh2Excise,,xxIndexTeam)/1000</f>
        <v>642441.74759999989</v>
      </c>
      <c r="J39" s="583" t="s">
        <v>5485</v>
      </c>
      <c r="K39" s="587"/>
      <c r="L39" s="586" t="s">
        <v>1759</v>
      </c>
      <c r="M39" s="585">
        <f>INDEX(finPNLCh3Excise,,xxIndexTeam)/1000</f>
        <v>449277.32500000001</v>
      </c>
      <c r="N39" s="583" t="s">
        <v>5466</v>
      </c>
      <c r="O39" s="587"/>
      <c r="P39" s="586" t="s">
        <v>1759</v>
      </c>
      <c r="Q39" s="585">
        <f>INDEX(finPNLCh4Excise,,xxIndexTeam)/1000</f>
        <v>425434.57949999999</v>
      </c>
      <c r="R39" s="583" t="s">
        <v>5447</v>
      </c>
      <c r="S39" s="577"/>
      <c r="T39" s="721"/>
      <c r="U39" s="721"/>
      <c r="V39" s="583"/>
    </row>
    <row r="40" spans="2:22" ht="15">
      <c r="C40" s="587"/>
      <c r="D40" s="586" t="s">
        <v>694</v>
      </c>
      <c r="E40" s="585">
        <f>INDEX(finPNLCh1GrossSales,,xxIndexTeam)/1000</f>
        <v>1901149.0854719996</v>
      </c>
      <c r="F40" s="583" t="s">
        <v>5428</v>
      </c>
      <c r="G40" s="587"/>
      <c r="H40" s="586" t="s">
        <v>694</v>
      </c>
      <c r="I40" s="585">
        <f>INDEX(finPNLCh2GrossSales,,xxIndexTeam)/1000</f>
        <v>1262563.3295999998</v>
      </c>
      <c r="J40" s="583" t="s">
        <v>5486</v>
      </c>
      <c r="K40" s="587"/>
      <c r="L40" s="586" t="s">
        <v>694</v>
      </c>
      <c r="M40" s="585">
        <f>INDEX(finPNLCh3GrossSales,,xxIndexTeam)/1000</f>
        <v>949295.48095</v>
      </c>
      <c r="N40" s="583" t="s">
        <v>5467</v>
      </c>
      <c r="O40" s="587"/>
      <c r="P40" s="586" t="s">
        <v>694</v>
      </c>
      <c r="Q40" s="585">
        <f>INDEX(finPNLCh4GrossSales,,xxIndexTeam)/1000</f>
        <v>869529.24300000002</v>
      </c>
      <c r="R40" s="583" t="s">
        <v>5448</v>
      </c>
      <c r="S40" s="577"/>
      <c r="T40" s="721"/>
      <c r="U40" s="721"/>
      <c r="V40" s="583"/>
    </row>
    <row r="41" spans="2:22" ht="15">
      <c r="C41" s="587"/>
      <c r="D41" s="586" t="s">
        <v>1396</v>
      </c>
      <c r="E41" s="585">
        <f>INDEX(finPNLCh1Discounts,,xxIndexTeam)/1000</f>
        <v>298950.31921271601</v>
      </c>
      <c r="F41" s="583" t="s">
        <v>5429</v>
      </c>
      <c r="G41" s="587"/>
      <c r="H41" s="586" t="s">
        <v>1396</v>
      </c>
      <c r="I41" s="585">
        <f>INDEX(finPNLCh2Discounts,,xxIndexTeam)/1000</f>
        <v>1500</v>
      </c>
      <c r="J41" s="583" t="s">
        <v>5487</v>
      </c>
      <c r="K41" s="587"/>
      <c r="L41" s="586" t="s">
        <v>1396</v>
      </c>
      <c r="M41" s="585">
        <f>INDEX(finPNLCh3Discounts,,xxIndexTeam)/1000</f>
        <v>109173.30143178158</v>
      </c>
      <c r="N41" s="583" t="s">
        <v>5468</v>
      </c>
      <c r="O41" s="587"/>
      <c r="P41" s="586" t="s">
        <v>1396</v>
      </c>
      <c r="Q41" s="585">
        <f>INDEX(finPNLCh4Discounts,,xxIndexTeam)/1000</f>
        <v>86518.442833021603</v>
      </c>
      <c r="R41" s="583" t="s">
        <v>5449</v>
      </c>
      <c r="S41" s="577"/>
      <c r="T41" s="721"/>
      <c r="U41" s="721"/>
      <c r="V41" s="583"/>
    </row>
    <row r="42" spans="2:22" ht="15">
      <c r="C42" s="582"/>
      <c r="D42" s="570" t="s">
        <v>1760</v>
      </c>
      <c r="E42" s="585">
        <f>INDEX(finPNLCh1NetRev,,xxIndexTeam)/1000</f>
        <v>1602198.7662592835</v>
      </c>
      <c r="F42" s="583" t="s">
        <v>5430</v>
      </c>
      <c r="G42" s="582"/>
      <c r="H42" s="570" t="s">
        <v>1760</v>
      </c>
      <c r="I42" s="585">
        <f>INDEX(finPNLCh2NetRev,,xxIndexTeam)/1000</f>
        <v>1261063.3295999998</v>
      </c>
      <c r="J42" s="583" t="s">
        <v>5488</v>
      </c>
      <c r="K42" s="582"/>
      <c r="L42" s="570" t="s">
        <v>1760</v>
      </c>
      <c r="M42" s="585">
        <f>INDEX(finPNLCh3NetRev,,xxIndexTeam)/1000</f>
        <v>840122.1795182185</v>
      </c>
      <c r="N42" s="583" t="s">
        <v>5469</v>
      </c>
      <c r="O42" s="582"/>
      <c r="P42" s="570" t="s">
        <v>1760</v>
      </c>
      <c r="Q42" s="585">
        <f>INDEX(finPNLCh4NetRev,,xxIndexTeam)/1000</f>
        <v>783010.80016697838</v>
      </c>
      <c r="R42" s="583" t="s">
        <v>5450</v>
      </c>
      <c r="S42" s="577"/>
      <c r="T42" s="721"/>
      <c r="U42" s="721"/>
      <c r="V42" s="583"/>
    </row>
    <row r="43" spans="2:22" ht="15">
      <c r="C43" s="587"/>
      <c r="D43" s="586"/>
      <c r="E43" s="585"/>
      <c r="F43" s="583"/>
      <c r="G43" s="587"/>
      <c r="H43" s="586"/>
      <c r="I43" s="585"/>
      <c r="J43" s="583"/>
      <c r="K43" s="587"/>
      <c r="L43" s="586"/>
      <c r="M43" s="585"/>
      <c r="N43" s="583"/>
      <c r="O43" s="587"/>
      <c r="P43" s="586"/>
      <c r="Q43" s="585"/>
      <c r="R43" s="583"/>
      <c r="S43" s="577"/>
      <c r="T43" s="721"/>
      <c r="U43" s="721"/>
      <c r="V43" s="583"/>
    </row>
    <row r="44" spans="2:22" ht="15">
      <c r="C44" s="580" t="s">
        <v>404</v>
      </c>
      <c r="D44" s="581"/>
      <c r="E44" s="585"/>
      <c r="F44" s="583"/>
      <c r="G44" s="580" t="s">
        <v>404</v>
      </c>
      <c r="H44" s="581"/>
      <c r="I44" s="585"/>
      <c r="J44" s="583"/>
      <c r="K44" s="580" t="s">
        <v>404</v>
      </c>
      <c r="L44" s="581"/>
      <c r="M44" s="585"/>
      <c r="N44" s="583"/>
      <c r="O44" s="580" t="s">
        <v>404</v>
      </c>
      <c r="P44" s="581"/>
      <c r="Q44" s="585"/>
      <c r="R44" s="583"/>
      <c r="S44" s="577"/>
      <c r="T44" s="721"/>
      <c r="U44" s="721"/>
      <c r="V44" s="583"/>
    </row>
    <row r="45" spans="2:22" ht="15">
      <c r="C45" s="582"/>
      <c r="D45" s="581" t="s">
        <v>400</v>
      </c>
      <c r="E45" s="585">
        <f>INDEX(finPNLCh1MatExp,,xxIndexTeam)/1000</f>
        <v>568973.29551358672</v>
      </c>
      <c r="F45" s="583" t="s">
        <v>5431</v>
      </c>
      <c r="G45" s="582"/>
      <c r="H45" s="581" t="s">
        <v>400</v>
      </c>
      <c r="I45" s="585">
        <f>INDEX(finPNLCh2MatExp,,xxIndexTeam)/1000</f>
        <v>419350.42818012962</v>
      </c>
      <c r="J45" s="583" t="s">
        <v>5489</v>
      </c>
      <c r="K45" s="582"/>
      <c r="L45" s="581" t="s">
        <v>400</v>
      </c>
      <c r="M45" s="585">
        <f>INDEX(finPNLCh3MatExp,,xxIndexTeam)/1000</f>
        <v>299530.98110614147</v>
      </c>
      <c r="N45" s="583" t="s">
        <v>5470</v>
      </c>
      <c r="O45" s="582"/>
      <c r="P45" s="581" t="s">
        <v>400</v>
      </c>
      <c r="Q45" s="585">
        <f>INDEX(finPNLCh4MatExp,,xxIndexTeam)/1000</f>
        <v>257576.14791216006</v>
      </c>
      <c r="R45" s="583" t="s">
        <v>5451</v>
      </c>
      <c r="S45" s="577"/>
      <c r="T45" s="721"/>
      <c r="U45" s="721"/>
      <c r="V45" s="583"/>
    </row>
    <row r="46" spans="2:22" ht="15">
      <c r="C46" s="582"/>
      <c r="D46" s="581" t="s">
        <v>399</v>
      </c>
      <c r="E46" s="585">
        <f>INDEX(finPNLCh1LabExp,,xxIndexTeam)/1000</f>
        <v>83672.543457880412</v>
      </c>
      <c r="F46" s="583" t="s">
        <v>5432</v>
      </c>
      <c r="G46" s="582"/>
      <c r="H46" s="581" t="s">
        <v>399</v>
      </c>
      <c r="I46" s="585">
        <f>INDEX(finPNLCh2LabExp,,xxIndexTeam)/1000</f>
        <v>61669.180614724937</v>
      </c>
      <c r="J46" s="583" t="s">
        <v>5490</v>
      </c>
      <c r="K46" s="582"/>
      <c r="L46" s="581" t="s">
        <v>399</v>
      </c>
      <c r="M46" s="585">
        <f>INDEX(finPNLCh3LabExp,,xxIndexTeam)/1000</f>
        <v>44048.673692079617</v>
      </c>
      <c r="N46" s="583" t="s">
        <v>5471</v>
      </c>
      <c r="O46" s="582"/>
      <c r="P46" s="581" t="s">
        <v>399</v>
      </c>
      <c r="Q46" s="585">
        <f>INDEX(finPNLCh4LabExp,,xxIndexTeam)/1000</f>
        <v>37878.845281200003</v>
      </c>
      <c r="R46" s="583" t="s">
        <v>5452</v>
      </c>
      <c r="S46" s="577"/>
      <c r="T46" s="721"/>
      <c r="U46" s="721"/>
      <c r="V46" s="583"/>
    </row>
    <row r="47" spans="2:22" ht="15">
      <c r="C47" s="582"/>
      <c r="D47" s="581" t="s">
        <v>513</v>
      </c>
      <c r="E47" s="585">
        <f>INDEX(finPNLCh1MachExp,,xxIndexTeam)/1000</f>
        <v>95473.061465281935</v>
      </c>
      <c r="F47" s="583" t="s">
        <v>5433</v>
      </c>
      <c r="G47" s="582"/>
      <c r="H47" s="581" t="s">
        <v>513</v>
      </c>
      <c r="I47" s="585">
        <f>INDEX(finPNLCh2MachExp,,xxIndexTeam)/1000</f>
        <v>72714.399655967994</v>
      </c>
      <c r="J47" s="583" t="s">
        <v>5491</v>
      </c>
      <c r="K47" s="582"/>
      <c r="L47" s="581" t="s">
        <v>513</v>
      </c>
      <c r="M47" s="585">
        <f>INDEX(finPNLCh3MachExp,,xxIndexTeam)/1000</f>
        <v>46659.262714344011</v>
      </c>
      <c r="N47" s="583" t="s">
        <v>5472</v>
      </c>
      <c r="O47" s="582"/>
      <c r="P47" s="581" t="s">
        <v>513</v>
      </c>
      <c r="Q47" s="585">
        <f>INDEX(finPNLCh4MachExp,,xxIndexTeam)/1000</f>
        <v>42244.775899200009</v>
      </c>
      <c r="R47" s="583" t="s">
        <v>5453</v>
      </c>
      <c r="S47" s="577"/>
      <c r="T47" s="721"/>
      <c r="U47" s="721"/>
      <c r="V47" s="583"/>
    </row>
    <row r="48" spans="2:22" ht="15">
      <c r="C48" s="582"/>
      <c r="D48" s="581" t="s">
        <v>398</v>
      </c>
      <c r="E48" s="585">
        <f>INDEX(finPNLCh1DepExp,,xxIndexTeam)/1000</f>
        <v>42491.294600333764</v>
      </c>
      <c r="F48" s="583" t="s">
        <v>5434</v>
      </c>
      <c r="G48" s="582"/>
      <c r="H48" s="581" t="s">
        <v>398</v>
      </c>
      <c r="I48" s="585">
        <f>INDEX(finPNLCh2DepExp,,xxIndexTeam)/1000</f>
        <v>32362.311735354811</v>
      </c>
      <c r="J48" s="583" t="s">
        <v>5492</v>
      </c>
      <c r="K48" s="582"/>
      <c r="L48" s="581" t="s">
        <v>398</v>
      </c>
      <c r="M48" s="585">
        <f>INDEX(finPNLCh3DepExp,,xxIndexTeam)/1000</f>
        <v>20766.197788163758</v>
      </c>
      <c r="N48" s="583" t="s">
        <v>5473</v>
      </c>
      <c r="O48" s="582"/>
      <c r="P48" s="581" t="s">
        <v>398</v>
      </c>
      <c r="Q48" s="585">
        <f>INDEX(finPNLCh4DepExp,,xxIndexTeam)/1000</f>
        <v>18801.483795622691</v>
      </c>
      <c r="R48" s="583" t="s">
        <v>5454</v>
      </c>
      <c r="S48" s="577"/>
      <c r="T48" s="721"/>
      <c r="U48" s="721"/>
      <c r="V48" s="583"/>
    </row>
    <row r="49" spans="3:22" ht="15">
      <c r="C49" s="582"/>
      <c r="D49" s="581" t="s">
        <v>14</v>
      </c>
      <c r="E49" s="585">
        <f>INDEX(finPNLCh1CostRev,,xxIndexTeam)/1000</f>
        <v>790610.19503708289</v>
      </c>
      <c r="F49" s="583" t="s">
        <v>5435</v>
      </c>
      <c r="G49" s="582"/>
      <c r="H49" s="581" t="s">
        <v>14</v>
      </c>
      <c r="I49" s="585">
        <f>INDEX(finPNLCh2CostRev,,xxIndexTeam)/1000</f>
        <v>586096.32018617727</v>
      </c>
      <c r="J49" s="583" t="s">
        <v>5493</v>
      </c>
      <c r="K49" s="582"/>
      <c r="L49" s="581" t="s">
        <v>14</v>
      </c>
      <c r="M49" s="585">
        <f>INDEX(finPNLCh3CostRev,,xxIndexTeam)/1000</f>
        <v>411005.11530072888</v>
      </c>
      <c r="N49" s="583" t="s">
        <v>5474</v>
      </c>
      <c r="O49" s="582"/>
      <c r="P49" s="581" t="s">
        <v>14</v>
      </c>
      <c r="Q49" s="585">
        <f>INDEX(finPNLCh4CostRev,,xxIndexTeam)/1000</f>
        <v>356501.25288818282</v>
      </c>
      <c r="R49" s="583" t="s">
        <v>5455</v>
      </c>
      <c r="S49" s="577"/>
      <c r="T49" s="721"/>
      <c r="U49" s="721"/>
      <c r="V49" s="583"/>
    </row>
    <row r="50" spans="3:22" ht="15">
      <c r="C50" s="582"/>
      <c r="D50" s="581" t="s">
        <v>5305</v>
      </c>
      <c r="E50" s="571">
        <f>tlOutputPNLCh1CostRev/tlOutputPNLCh1NetRev</f>
        <v>0.49345325416955077</v>
      </c>
      <c r="F50" s="583" t="s">
        <v>5443</v>
      </c>
      <c r="G50" s="582"/>
      <c r="H50" s="581" t="s">
        <v>5305</v>
      </c>
      <c r="I50" s="571">
        <f>tlOutputPNLCh2CostRev/tlOutputPNLCh2NetRev</f>
        <v>0.46476358992381672</v>
      </c>
      <c r="J50" s="583" t="s">
        <v>5494</v>
      </c>
      <c r="K50" s="582"/>
      <c r="L50" s="581" t="s">
        <v>5305</v>
      </c>
      <c r="M50" s="571">
        <f>tlOutputPNLCh3CostRev/tlOutputPNLCh3NetRev</f>
        <v>0.48922064590227382</v>
      </c>
      <c r="N50" s="583" t="s">
        <v>5475</v>
      </c>
      <c r="O50" s="582"/>
      <c r="P50" s="581" t="s">
        <v>5305</v>
      </c>
      <c r="Q50" s="571">
        <f>tlOutputPNLCh4CostRev/tlOutputPNLCh4NetRev</f>
        <v>0.45529544779223774</v>
      </c>
      <c r="R50" s="583" t="s">
        <v>5456</v>
      </c>
      <c r="S50" s="577"/>
      <c r="T50" s="721"/>
      <c r="U50" s="721"/>
      <c r="V50" s="583"/>
    </row>
    <row r="51" spans="3:22" ht="15">
      <c r="C51" s="580" t="s">
        <v>160</v>
      </c>
      <c r="D51" s="581"/>
      <c r="E51" s="585"/>
      <c r="F51" s="583"/>
      <c r="G51" s="580" t="s">
        <v>160</v>
      </c>
      <c r="H51" s="581"/>
      <c r="I51" s="585"/>
      <c r="J51" s="583"/>
      <c r="K51" s="580" t="s">
        <v>160</v>
      </c>
      <c r="L51" s="581"/>
      <c r="M51" s="585"/>
      <c r="N51" s="583"/>
      <c r="O51" s="580" t="s">
        <v>160</v>
      </c>
      <c r="P51" s="581"/>
      <c r="Q51" s="585"/>
      <c r="R51" s="583"/>
      <c r="S51" s="577"/>
      <c r="T51" s="721"/>
      <c r="U51" s="721"/>
      <c r="V51" s="583"/>
    </row>
    <row r="52" spans="3:22" ht="15">
      <c r="C52" s="582"/>
      <c r="D52" s="581" t="s">
        <v>160</v>
      </c>
      <c r="E52" s="585">
        <f>INDEX(finPNLCh1GroProfit,,xxIndexTeam)/1000</f>
        <v>811588.57122220064</v>
      </c>
      <c r="F52" s="583" t="s">
        <v>5436</v>
      </c>
      <c r="G52" s="582"/>
      <c r="H52" s="581" t="s">
        <v>160</v>
      </c>
      <c r="I52" s="585">
        <f>INDEX(finPNLCh2GroProfit,,xxIndexTeam)/1000</f>
        <v>674967.00941382267</v>
      </c>
      <c r="J52" s="583" t="s">
        <v>5495</v>
      </c>
      <c r="K52" s="582"/>
      <c r="L52" s="581" t="s">
        <v>160</v>
      </c>
      <c r="M52" s="585">
        <f>INDEX(finPNLCh3GroProfit,,xxIndexTeam)/1000</f>
        <v>429117.06421748968</v>
      </c>
      <c r="N52" s="583" t="s">
        <v>5476</v>
      </c>
      <c r="O52" s="582"/>
      <c r="P52" s="581" t="s">
        <v>160</v>
      </c>
      <c r="Q52" s="585">
        <f>INDEX(finPNLCh4GroProfit,,xxIndexTeam)/1000</f>
        <v>426509.54727879557</v>
      </c>
      <c r="R52" s="583" t="s">
        <v>5457</v>
      </c>
      <c r="S52" s="577"/>
      <c r="T52" s="721"/>
      <c r="U52" s="721"/>
      <c r="V52" s="583"/>
    </row>
    <row r="53" spans="3:22" ht="15">
      <c r="C53" s="580"/>
      <c r="D53" s="579" t="s">
        <v>162</v>
      </c>
      <c r="E53" s="571">
        <f>INDEX(finPNLCh1GM,,xxIndexTeam)</f>
        <v>0.50654674583044923</v>
      </c>
      <c r="F53" s="583" t="s">
        <v>5437</v>
      </c>
      <c r="G53" s="580"/>
      <c r="H53" s="579" t="s">
        <v>162</v>
      </c>
      <c r="I53" s="571">
        <f>INDEX(finPNLCh2GM,,xxIndexTeam)</f>
        <v>0.53523641007618328</v>
      </c>
      <c r="J53" s="583" t="s">
        <v>5496</v>
      </c>
      <c r="K53" s="580"/>
      <c r="L53" s="579" t="s">
        <v>162</v>
      </c>
      <c r="M53" s="571">
        <f>INDEX(finPNLCh3GM,,xxIndexTeam)</f>
        <v>0.51077935409772623</v>
      </c>
      <c r="N53" s="583" t="s">
        <v>5477</v>
      </c>
      <c r="O53" s="580"/>
      <c r="P53" s="579" t="s">
        <v>162</v>
      </c>
      <c r="Q53" s="571">
        <f>INDEX(finPNLCh4GM,,xxIndexTeam)</f>
        <v>0.54470455220776226</v>
      </c>
      <c r="R53" s="583" t="s">
        <v>5458</v>
      </c>
      <c r="S53" s="577"/>
      <c r="T53" s="721"/>
      <c r="U53" s="721"/>
      <c r="V53" s="583"/>
    </row>
    <row r="54" spans="3:22" ht="15">
      <c r="C54" s="580"/>
      <c r="D54" s="579"/>
      <c r="E54" s="585"/>
      <c r="F54" s="583"/>
      <c r="G54" s="580"/>
      <c r="H54" s="579"/>
      <c r="I54" s="585"/>
      <c r="J54" s="583"/>
      <c r="K54" s="580"/>
      <c r="L54" s="579"/>
      <c r="M54" s="585"/>
      <c r="N54" s="583"/>
      <c r="O54" s="580"/>
      <c r="P54" s="579"/>
      <c r="Q54" s="585"/>
      <c r="R54" s="583"/>
      <c r="S54" s="577"/>
      <c r="T54" s="721"/>
      <c r="U54" s="721"/>
      <c r="V54" s="583"/>
    </row>
    <row r="55" spans="3:22" ht="15">
      <c r="C55" s="580" t="s">
        <v>519</v>
      </c>
      <c r="D55" s="579"/>
      <c r="E55" s="585"/>
      <c r="F55" s="583"/>
      <c r="G55" s="580" t="s">
        <v>519</v>
      </c>
      <c r="H55" s="579"/>
      <c r="I55" s="585"/>
      <c r="J55" s="583"/>
      <c r="K55" s="580" t="s">
        <v>519</v>
      </c>
      <c r="L55" s="579"/>
      <c r="M55" s="585"/>
      <c r="N55" s="583"/>
      <c r="O55" s="580" t="s">
        <v>519</v>
      </c>
      <c r="P55" s="579"/>
      <c r="Q55" s="585"/>
      <c r="R55" s="583"/>
      <c r="S55" s="577"/>
      <c r="T55" s="721"/>
      <c r="U55" s="721"/>
      <c r="V55" s="583"/>
    </row>
    <row r="56" spans="3:22" ht="15">
      <c r="C56" s="580"/>
      <c r="D56" s="581" t="s">
        <v>519</v>
      </c>
      <c r="E56" s="585">
        <f>INDEX(finPNLCh1LogExp,,xxIndexTeam)/1000</f>
        <v>96677.846397958754</v>
      </c>
      <c r="F56" s="583" t="s">
        <v>5438</v>
      </c>
      <c r="G56" s="580"/>
      <c r="H56" s="581" t="s">
        <v>519</v>
      </c>
      <c r="I56" s="585">
        <f>INDEX(finPNLCh2LogExp,,xxIndexTeam)/1000</f>
        <v>71254.479959242104</v>
      </c>
      <c r="J56" s="583" t="s">
        <v>5497</v>
      </c>
      <c r="K56" s="580"/>
      <c r="L56" s="581" t="s">
        <v>519</v>
      </c>
      <c r="M56" s="585">
        <f>INDEX(finPNLCh3LogExp,,xxIndexTeam)/1000</f>
        <v>50895.200901600001</v>
      </c>
      <c r="N56" s="583" t="s">
        <v>5478</v>
      </c>
      <c r="O56" s="580"/>
      <c r="P56" s="581" t="s">
        <v>519</v>
      </c>
      <c r="Q56" s="585">
        <f>INDEX(finPNLCh4LogExp,,xxIndexTeam)/1000</f>
        <v>43766.390197894747</v>
      </c>
      <c r="R56" s="583" t="s">
        <v>5459</v>
      </c>
      <c r="S56" s="577"/>
      <c r="T56" s="721"/>
      <c r="U56" s="721"/>
      <c r="V56" s="583"/>
    </row>
    <row r="57" spans="3:22" ht="15">
      <c r="C57" s="580"/>
      <c r="D57" s="581" t="s">
        <v>5305</v>
      </c>
      <c r="E57" s="571">
        <f>INDEX(finPNLCh1LogExpPct,,xxIndexTeam)</f>
        <v>6.0340732020207656E-2</v>
      </c>
      <c r="F57" s="583" t="s">
        <v>5439</v>
      </c>
      <c r="G57" s="580"/>
      <c r="H57" s="581" t="s">
        <v>5305</v>
      </c>
      <c r="I57" s="571">
        <f>INDEX(finPNLCh2LogExpPct,,xxIndexTeam)</f>
        <v>5.650349057556333E-2</v>
      </c>
      <c r="J57" s="583" t="s">
        <v>5498</v>
      </c>
      <c r="K57" s="580"/>
      <c r="L57" s="581" t="s">
        <v>5305</v>
      </c>
      <c r="M57" s="571">
        <f>INDEX(finPNLCh3LogExpPct,,xxIndexTeam)</f>
        <v>6.0580713308612644E-2</v>
      </c>
      <c r="N57" s="583" t="s">
        <v>5479</v>
      </c>
      <c r="O57" s="580"/>
      <c r="P57" s="581" t="s">
        <v>5305</v>
      </c>
      <c r="Q57" s="571">
        <f>INDEX(finPNLCh4LogExpPct,,xxIndexTeam)</f>
        <v>5.5895001944496155E-2</v>
      </c>
      <c r="R57" s="583" t="s">
        <v>5460</v>
      </c>
      <c r="S57" s="577"/>
      <c r="T57" s="721"/>
      <c r="U57" s="721"/>
      <c r="V57" s="583"/>
    </row>
    <row r="58" spans="3:22" ht="15">
      <c r="C58" s="580"/>
      <c r="D58" s="579"/>
      <c r="E58" s="585"/>
      <c r="F58" s="583"/>
      <c r="G58" s="580"/>
      <c r="H58" s="579"/>
      <c r="I58" s="585"/>
      <c r="J58" s="583"/>
      <c r="K58" s="580"/>
      <c r="L58" s="579"/>
      <c r="M58" s="585"/>
      <c r="N58" s="583"/>
      <c r="O58" s="580"/>
      <c r="P58" s="579"/>
      <c r="Q58" s="585"/>
      <c r="R58" s="583"/>
      <c r="S58" s="577"/>
      <c r="T58" s="721"/>
      <c r="U58" s="721"/>
      <c r="V58" s="583"/>
    </row>
    <row r="59" spans="3:22" ht="15">
      <c r="C59" s="580" t="s">
        <v>520</v>
      </c>
      <c r="D59" s="581"/>
      <c r="E59" s="585"/>
      <c r="F59" s="583"/>
      <c r="G59" s="580" t="s">
        <v>520</v>
      </c>
      <c r="H59" s="581"/>
      <c r="I59" s="585"/>
      <c r="J59" s="583"/>
      <c r="K59" s="580" t="s">
        <v>520</v>
      </c>
      <c r="L59" s="581"/>
      <c r="M59" s="585"/>
      <c r="N59" s="583"/>
      <c r="O59" s="580" t="s">
        <v>520</v>
      </c>
      <c r="P59" s="581"/>
      <c r="Q59" s="585"/>
      <c r="R59" s="583"/>
      <c r="S59" s="577"/>
      <c r="T59" s="721"/>
      <c r="U59" s="721"/>
      <c r="V59" s="583"/>
    </row>
    <row r="60" spans="3:22" ht="15">
      <c r="C60" s="582"/>
      <c r="D60" s="581" t="s">
        <v>521</v>
      </c>
      <c r="E60" s="585">
        <f>INDEX(finPNLCh1GPaL,,xxIndexTeam)/1000</f>
        <v>714910.72482424183</v>
      </c>
      <c r="F60" s="583" t="s">
        <v>5440</v>
      </c>
      <c r="G60" s="582"/>
      <c r="H60" s="581" t="s">
        <v>521</v>
      </c>
      <c r="I60" s="585">
        <f>INDEX(finPNLCh2GPaL,,xxIndexTeam)/1000</f>
        <v>603712.52945458051</v>
      </c>
      <c r="J60" s="583" t="s">
        <v>5499</v>
      </c>
      <c r="K60" s="582"/>
      <c r="L60" s="581" t="s">
        <v>521</v>
      </c>
      <c r="M60" s="585">
        <f>INDEX(finPNLCh3GPaL,,xxIndexTeam)/1000</f>
        <v>378221.86331588967</v>
      </c>
      <c r="N60" s="583" t="s">
        <v>5480</v>
      </c>
      <c r="O60" s="582"/>
      <c r="P60" s="581" t="s">
        <v>521</v>
      </c>
      <c r="Q60" s="585">
        <f>INDEX(finPNLCh4GPaL,,xxIndexTeam)/1000</f>
        <v>382743.1570809008</v>
      </c>
      <c r="R60" s="583" t="s">
        <v>5461</v>
      </c>
      <c r="S60" s="577"/>
      <c r="T60" s="721"/>
      <c r="U60" s="721"/>
      <c r="V60" s="583"/>
    </row>
    <row r="61" spans="3:22" ht="15">
      <c r="C61" s="580"/>
      <c r="D61" s="579" t="s">
        <v>522</v>
      </c>
      <c r="E61" s="571">
        <f>INDEX(finPNLCh1GPaLMargin,,xxIndexTeam)</f>
        <v>0.44620601381024155</v>
      </c>
      <c r="F61" s="583" t="s">
        <v>5441</v>
      </c>
      <c r="G61" s="580"/>
      <c r="H61" s="579" t="s">
        <v>522</v>
      </c>
      <c r="I61" s="571">
        <f>INDEX(finPNLCh2GPaLMargin,,xxIndexTeam)</f>
        <v>0.47873291950061997</v>
      </c>
      <c r="J61" s="583" t="s">
        <v>5500</v>
      </c>
      <c r="K61" s="580"/>
      <c r="L61" s="579" t="s">
        <v>522</v>
      </c>
      <c r="M61" s="571">
        <f>INDEX(finPNLCh3GPaLMargin,,xxIndexTeam)</f>
        <v>0.45019864078911359</v>
      </c>
      <c r="N61" s="583" t="s">
        <v>5481</v>
      </c>
      <c r="O61" s="580"/>
      <c r="P61" s="579" t="s">
        <v>522</v>
      </c>
      <c r="Q61" s="571">
        <f>INDEX(finPNLCh4GPaLMargin,,xxIndexTeam)</f>
        <v>0.48880955026326606</v>
      </c>
      <c r="R61" s="583" t="s">
        <v>5462</v>
      </c>
      <c r="S61" s="577"/>
      <c r="T61" s="721"/>
      <c r="U61" s="721"/>
      <c r="V61" s="583"/>
    </row>
    <row r="62" spans="3:22" ht="15">
      <c r="C62" s="577"/>
      <c r="D62" s="721"/>
      <c r="E62" s="585"/>
      <c r="F62" s="583"/>
      <c r="G62" s="577"/>
      <c r="H62" s="721"/>
      <c r="I62" s="585"/>
      <c r="J62" s="583"/>
      <c r="K62" s="577"/>
      <c r="L62" s="721"/>
      <c r="M62" s="585"/>
      <c r="N62" s="583"/>
      <c r="O62" s="577"/>
      <c r="P62" s="721"/>
      <c r="Q62" s="585"/>
      <c r="R62" s="583"/>
      <c r="S62" s="577"/>
      <c r="T62" s="559" t="s">
        <v>1407</v>
      </c>
      <c r="U62" s="721"/>
      <c r="V62" s="583"/>
    </row>
    <row r="63" spans="3:22" ht="15">
      <c r="C63" s="560"/>
      <c r="D63" s="586" t="s">
        <v>1694</v>
      </c>
      <c r="E63" s="585">
        <f>INDEX(finPNLCh1Sales,,xxIndexTeam)/1000</f>
        <v>111527.12147919602</v>
      </c>
      <c r="F63" s="583" t="s">
        <v>5545</v>
      </c>
      <c r="G63" s="560"/>
      <c r="H63" s="586" t="s">
        <v>1694</v>
      </c>
      <c r="I63" s="585">
        <f>INDEX(finPNLCh2Sales,,xxIndexTeam)/1000</f>
        <v>87781.095651211115</v>
      </c>
      <c r="J63" s="583" t="s">
        <v>5546</v>
      </c>
      <c r="K63" s="560"/>
      <c r="L63" s="586" t="s">
        <v>1694</v>
      </c>
      <c r="M63" s="585">
        <f>INDEX(finPNLCh3Sales,,xxIndexTeam)/1000</f>
        <v>58479.890476543049</v>
      </c>
      <c r="N63" s="583" t="s">
        <v>5547</v>
      </c>
      <c r="O63" s="560"/>
      <c r="P63" s="586" t="s">
        <v>1694</v>
      </c>
      <c r="Q63" s="585">
        <f>INDEX(finPNLCh4Sales,,xxIndexTeam)/1000</f>
        <v>54504.436321362758</v>
      </c>
      <c r="R63" s="583" t="s">
        <v>5544</v>
      </c>
      <c r="S63" s="577"/>
      <c r="T63" s="586" t="s">
        <v>1694</v>
      </c>
      <c r="U63" s="585">
        <f>tlOutputPNLCh1Sales+tlOutputPNLCh2Sales+tlOutputPNLCh3Sales+tlOutputPNLCh4Sales</f>
        <v>312292.54392831295</v>
      </c>
      <c r="V63" s="583" t="s">
        <v>5548</v>
      </c>
    </row>
    <row r="64" spans="3:22" ht="15">
      <c r="C64" s="560"/>
      <c r="D64" s="586" t="s">
        <v>807</v>
      </c>
      <c r="E64" s="585">
        <f>INDEX(finPNLCh1TMkt,,xxIndexTeam)/1000</f>
        <v>15517.032098542311</v>
      </c>
      <c r="F64" s="583" t="s">
        <v>5442</v>
      </c>
      <c r="G64" s="560"/>
      <c r="H64" s="586" t="s">
        <v>807</v>
      </c>
      <c r="I64" s="585">
        <f>INDEX(finPNLCh2TMkt,,xxIndexTeam)/1000</f>
        <v>12213.191381606122</v>
      </c>
      <c r="J64" s="583" t="s">
        <v>5501</v>
      </c>
      <c r="K64" s="560"/>
      <c r="L64" s="586" t="s">
        <v>807</v>
      </c>
      <c r="M64" s="585">
        <f>INDEX(finPNLCh3TMkt,,xxIndexTeam)/1000</f>
        <v>8136.4454278776284</v>
      </c>
      <c r="N64" s="583" t="s">
        <v>5482</v>
      </c>
      <c r="O64" s="560"/>
      <c r="P64" s="586" t="s">
        <v>807</v>
      </c>
      <c r="Q64" s="585">
        <f>INDEX(finPNLCh4TMkt,,xxIndexTeam)/1000</f>
        <v>7583.3310919739351</v>
      </c>
      <c r="R64" s="583" t="s">
        <v>5463</v>
      </c>
      <c r="S64" s="577"/>
      <c r="T64" s="586" t="s">
        <v>1703</v>
      </c>
      <c r="U64" s="585">
        <f>tlOutputPNLCh1TMkt+tlOutputPNLCh2TMkt+tlOutputPNLCh3TMkt+tlOutputPNLCh4TMkt</f>
        <v>43450</v>
      </c>
      <c r="V64" s="583" t="s">
        <v>5504</v>
      </c>
    </row>
    <row r="65" spans="2:22" ht="15">
      <c r="C65" s="560"/>
      <c r="D65" s="586" t="s">
        <v>5290</v>
      </c>
      <c r="E65" s="585">
        <f>tlOutputPNLCh1TMkt+tlOutputPNLCh1TMkt</f>
        <v>31034.064197084623</v>
      </c>
      <c r="F65" s="583" t="s">
        <v>5444</v>
      </c>
      <c r="G65" s="560"/>
      <c r="H65" s="586" t="s">
        <v>5290</v>
      </c>
      <c r="I65" s="585">
        <f>tlOutputPNLCh2TMkt+tlOutputPNLCh2TMkt</f>
        <v>24426.382763212245</v>
      </c>
      <c r="J65" s="583" t="s">
        <v>5502</v>
      </c>
      <c r="K65" s="560"/>
      <c r="L65" s="586" t="s">
        <v>5290</v>
      </c>
      <c r="M65" s="585">
        <f>tlOutputPNLCh3TMkt+tlOutputPNLCh3TMkt</f>
        <v>16272.890855755257</v>
      </c>
      <c r="N65" s="583" t="s">
        <v>5483</v>
      </c>
      <c r="O65" s="560"/>
      <c r="P65" s="586" t="s">
        <v>5290</v>
      </c>
      <c r="Q65" s="585">
        <f>tlOutputPNLCh4TMkt+tlOutputPNLCh4TMkt</f>
        <v>15166.66218394787</v>
      </c>
      <c r="R65" s="583" t="s">
        <v>5464</v>
      </c>
      <c r="S65" s="577"/>
      <c r="T65" s="721" t="s">
        <v>5290</v>
      </c>
      <c r="U65" s="585">
        <f>tlOutputPNLChTotTMkt+tlOutputPNLChTotSales</f>
        <v>355742.54392831295</v>
      </c>
      <c r="V65" s="583" t="s">
        <v>5505</v>
      </c>
    </row>
    <row r="66" spans="2:22" ht="15">
      <c r="C66" s="560"/>
      <c r="D66" s="586" t="s">
        <v>5508</v>
      </c>
      <c r="E66" s="571">
        <f>tlOutputPNLCh1Overhead/tlOutputPNLCh1NetRev</f>
        <v>1.9369671760228024E-2</v>
      </c>
      <c r="F66" s="583" t="s">
        <v>5509</v>
      </c>
      <c r="G66" s="560"/>
      <c r="H66" s="586" t="s">
        <v>5508</v>
      </c>
      <c r="I66" s="571">
        <f>tlOutputPNLCh2Overhead/tlOutputPNLCh2NetRev</f>
        <v>1.9369671760228028E-2</v>
      </c>
      <c r="J66" s="583" t="s">
        <v>5510</v>
      </c>
      <c r="K66" s="560"/>
      <c r="L66" s="586" t="s">
        <v>5508</v>
      </c>
      <c r="M66" s="571">
        <f>tlOutputPNLCh3Overhead/tlOutputPNLCh3NetRev</f>
        <v>1.9369671760228024E-2</v>
      </c>
      <c r="N66" s="583" t="s">
        <v>5511</v>
      </c>
      <c r="O66" s="560"/>
      <c r="P66" s="586" t="s">
        <v>5508</v>
      </c>
      <c r="Q66" s="571">
        <f>tlOutputPNLCh4Overhead/tlOutputPNLCh4NetRev</f>
        <v>1.9369671760228024E-2</v>
      </c>
      <c r="R66" s="583" t="s">
        <v>5507</v>
      </c>
      <c r="S66" s="577"/>
      <c r="T66" s="721" t="s">
        <v>5289</v>
      </c>
      <c r="U66" s="558">
        <f>tlOutputPNLChTotOverhead/tlOutputPNLNetRevTot</f>
        <v>7.9293628389412216E-2</v>
      </c>
      <c r="V66" s="583" t="s">
        <v>5506</v>
      </c>
    </row>
    <row r="67" spans="2:22" ht="15">
      <c r="C67" s="560"/>
      <c r="D67" s="569" t="s">
        <v>2972</v>
      </c>
      <c r="E67" s="585">
        <f>INDEX(finPNLCh1GCC,,xxIndexTeam)/1000</f>
        <v>587866.57124650362</v>
      </c>
      <c r="F67" s="583" t="s">
        <v>5628</v>
      </c>
      <c r="G67" s="560"/>
      <c r="H67" s="569" t="s">
        <v>2972</v>
      </c>
      <c r="I67" s="585">
        <f>INDEX(finPNLCh2GCC,,xxIndexTeam)/1000</f>
        <v>503718.24242176331</v>
      </c>
      <c r="J67" s="583" t="s">
        <v>5630</v>
      </c>
      <c r="K67" s="560"/>
      <c r="L67" s="569" t="s">
        <v>2972</v>
      </c>
      <c r="M67" s="585">
        <f>INDEX(finPNLCh3GCC,,xxIndexTeam)/1000</f>
        <v>311605.52741146897</v>
      </c>
      <c r="N67" s="583" t="s">
        <v>5632</v>
      </c>
      <c r="O67" s="560"/>
      <c r="P67" s="569" t="s">
        <v>2972</v>
      </c>
      <c r="Q67" s="585">
        <f>INDEX(finPNLCh4GCC,,xxIndexTeam)/1000</f>
        <v>320655.38966756407</v>
      </c>
      <c r="R67" s="583" t="s">
        <v>5634</v>
      </c>
      <c r="S67" s="577"/>
      <c r="T67" s="721" t="s">
        <v>2972</v>
      </c>
      <c r="U67" s="585">
        <f>tlOutputPNLCh1GCC+tlOutputPNLCh2GCC+tlOutputPNLCh3GCC+tlOutputPNLCh4GCC</f>
        <v>1723845.7307473</v>
      </c>
      <c r="V67" s="583" t="s">
        <v>5636</v>
      </c>
    </row>
    <row r="68" spans="2:22" ht="15.75" thickBot="1">
      <c r="C68" s="605"/>
      <c r="D68" s="575" t="s">
        <v>2974</v>
      </c>
      <c r="E68" s="567">
        <f>INDEX(finPNLCh1GCCMargin,,xxIndexTeam)</f>
        <v>0.36691238542082938</v>
      </c>
      <c r="F68" s="573" t="s">
        <v>5629</v>
      </c>
      <c r="G68" s="605"/>
      <c r="H68" s="575" t="s">
        <v>2974</v>
      </c>
      <c r="I68" s="567">
        <f>INDEX(finPNLCh2GCCMargin,,xxIndexTeam)</f>
        <v>0.39943929111120774</v>
      </c>
      <c r="J68" s="573" t="s">
        <v>5631</v>
      </c>
      <c r="K68" s="605"/>
      <c r="L68" s="575" t="s">
        <v>2974</v>
      </c>
      <c r="M68" s="567">
        <f>INDEX(finPNLCh3GCCMargin,,xxIndexTeam)</f>
        <v>0.37090501239970136</v>
      </c>
      <c r="N68" s="573" t="s">
        <v>5633</v>
      </c>
      <c r="O68" s="605"/>
      <c r="P68" s="575" t="s">
        <v>2974</v>
      </c>
      <c r="Q68" s="567">
        <f>INDEX(finPNLCh4GCCMargin,,xxIndexTeam)</f>
        <v>0.40951592187385383</v>
      </c>
      <c r="R68" s="573" t="s">
        <v>5635</v>
      </c>
      <c r="S68" s="576"/>
      <c r="T68" s="568" t="s">
        <v>5289</v>
      </c>
      <c r="U68" s="606">
        <f>tlOutputPNLChTotGCC/tlOutputPNLNetRevTot</f>
        <v>0.38423850368061707</v>
      </c>
      <c r="V68" s="573" t="s">
        <v>5637</v>
      </c>
    </row>
    <row r="71" spans="2:22">
      <c r="B71" s="601" t="s">
        <v>6502</v>
      </c>
      <c r="C71" s="19" t="s">
        <v>5516</v>
      </c>
    </row>
    <row r="72" spans="2:22" ht="15" thickBot="1">
      <c r="C72" s="459" t="str">
        <f>nmProd1</f>
        <v>Greenborg</v>
      </c>
      <c r="D72" s="207"/>
      <c r="E72" s="225"/>
      <c r="G72" s="459" t="str">
        <f>nmProd2</f>
        <v>Harken</v>
      </c>
      <c r="H72" s="207"/>
      <c r="I72" s="225"/>
      <c r="K72" s="459" t="str">
        <f>nmProd3</f>
        <v>Kara</v>
      </c>
      <c r="L72" s="207"/>
      <c r="M72" s="225"/>
      <c r="O72" s="459" t="str">
        <f>nmProd4</f>
        <v>Brew Master</v>
      </c>
      <c r="P72" s="207"/>
      <c r="Q72" s="225"/>
      <c r="S72" s="19" t="s">
        <v>5503</v>
      </c>
    </row>
    <row r="73" spans="2:22" ht="15">
      <c r="C73" s="564"/>
      <c r="D73" s="563" t="s">
        <v>1394</v>
      </c>
      <c r="E73" s="562">
        <f>INDEX(finPNLProd1Turn,,xxIndexTeam)/1000</f>
        <v>1249515.5078980001</v>
      </c>
      <c r="F73" s="561" t="s">
        <v>5517</v>
      </c>
      <c r="G73" s="564"/>
      <c r="H73" s="563" t="s">
        <v>1394</v>
      </c>
      <c r="I73" s="562">
        <f>INDEX(finPNLProd2Turn,,xxIndexTeam)/1000</f>
        <v>3299640.5765199997</v>
      </c>
      <c r="J73" s="561" t="s">
        <v>5549</v>
      </c>
      <c r="K73" s="564"/>
      <c r="L73" s="563" t="s">
        <v>1394</v>
      </c>
      <c r="M73" s="562">
        <f>INDEX(finPNLProd3Turn,,xxIndexTeam)/1000</f>
        <v>2329571.6459919997</v>
      </c>
      <c r="N73" s="561" t="s">
        <v>5572</v>
      </c>
      <c r="O73" s="564"/>
      <c r="P73" s="563" t="s">
        <v>1394</v>
      </c>
      <c r="Q73" s="562">
        <f>INDEX(finPNLProd4Turn,,xxIndexTeam)/1000</f>
        <v>506016.26250000001</v>
      </c>
      <c r="R73" s="561" t="s">
        <v>5595</v>
      </c>
      <c r="S73" s="564"/>
      <c r="T73" s="563"/>
      <c r="U73" s="562"/>
      <c r="V73" s="561"/>
    </row>
    <row r="74" spans="2:22" ht="15">
      <c r="C74" s="587"/>
      <c r="D74" s="586" t="s">
        <v>1759</v>
      </c>
      <c r="E74" s="585">
        <f>INDEX(finPNLProd1Excise,,xxIndexTeam)/1000</f>
        <v>412264.58513800002</v>
      </c>
      <c r="F74" s="583" t="s">
        <v>5518</v>
      </c>
      <c r="G74" s="587"/>
      <c r="H74" s="586" t="s">
        <v>1759</v>
      </c>
      <c r="I74" s="585">
        <f>INDEX(finPNLProd2Excise,,xxIndexTeam)/1000</f>
        <v>1045781.2499999999</v>
      </c>
      <c r="J74" s="583" t="s">
        <v>5550</v>
      </c>
      <c r="K74" s="587"/>
      <c r="L74" s="586" t="s">
        <v>1759</v>
      </c>
      <c r="M74" s="585">
        <f>INDEX(finPNLProd3Excise,,xxIndexTeam)/1000</f>
        <v>786599.06874999998</v>
      </c>
      <c r="N74" s="583" t="s">
        <v>5573</v>
      </c>
      <c r="O74" s="587"/>
      <c r="P74" s="586" t="s">
        <v>1759</v>
      </c>
      <c r="Q74" s="585">
        <f>INDEX(finPNLProd4Excise,,xxIndexTeam)/1000</f>
        <v>157561.95000000001</v>
      </c>
      <c r="R74" s="583" t="s">
        <v>5596</v>
      </c>
      <c r="S74" s="587"/>
      <c r="T74" s="586"/>
      <c r="U74" s="585"/>
      <c r="V74" s="583"/>
    </row>
    <row r="75" spans="2:22" ht="15">
      <c r="C75" s="587"/>
      <c r="D75" s="586" t="s">
        <v>694</v>
      </c>
      <c r="E75" s="585">
        <f>INDEX(finPNLProd1GrossSales,,xxIndexTeam)/1000</f>
        <v>837250.92275999999</v>
      </c>
      <c r="F75" s="583" t="s">
        <v>5519</v>
      </c>
      <c r="G75" s="587"/>
      <c r="H75" s="586" t="s">
        <v>694</v>
      </c>
      <c r="I75" s="585">
        <f>INDEX(finPNLProd2GrossSales,,xxIndexTeam)/1000</f>
        <v>2253859.3265199997</v>
      </c>
      <c r="J75" s="583" t="s">
        <v>5551</v>
      </c>
      <c r="K75" s="587"/>
      <c r="L75" s="586" t="s">
        <v>694</v>
      </c>
      <c r="M75" s="585">
        <f>INDEX(finPNLProd3GrossSales,,xxIndexTeam)/1000</f>
        <v>1542972.5772419996</v>
      </c>
      <c r="N75" s="583" t="s">
        <v>5574</v>
      </c>
      <c r="O75" s="587"/>
      <c r="P75" s="586" t="s">
        <v>694</v>
      </c>
      <c r="Q75" s="585">
        <f>INDEX(finPNLProd4GrossSales,,xxIndexTeam)/1000</f>
        <v>348454.3125</v>
      </c>
      <c r="R75" s="583" t="s">
        <v>5597</v>
      </c>
      <c r="S75" s="587"/>
      <c r="T75" s="586"/>
      <c r="U75" s="585"/>
      <c r="V75" s="583"/>
    </row>
    <row r="76" spans="2:22" ht="15">
      <c r="C76" s="587"/>
      <c r="D76" s="586" t="s">
        <v>1396</v>
      </c>
      <c r="E76" s="585">
        <f>INDEX(finPNLProd1Discounts,,xxIndexTeam)/1000</f>
        <v>129762.45764708826</v>
      </c>
      <c r="F76" s="583" t="s">
        <v>5520</v>
      </c>
      <c r="G76" s="587"/>
      <c r="H76" s="586" t="s">
        <v>1396</v>
      </c>
      <c r="I76" s="585">
        <f>INDEX(finPNLProd2Discounts,,xxIndexTeam)/1000</f>
        <v>232154.04812616625</v>
      </c>
      <c r="J76" s="583" t="s">
        <v>5552</v>
      </c>
      <c r="K76" s="587"/>
      <c r="L76" s="586" t="s">
        <v>1396</v>
      </c>
      <c r="M76" s="585">
        <f>INDEX(finPNLProd3Discounts,,xxIndexTeam)/1000</f>
        <v>123705.23245426477</v>
      </c>
      <c r="N76" s="583" t="s">
        <v>5575</v>
      </c>
      <c r="O76" s="587"/>
      <c r="P76" s="586" t="s">
        <v>1396</v>
      </c>
      <c r="Q76" s="585">
        <f>INDEX(finPNLProd4Discounts,,xxIndexTeam)/1000</f>
        <v>10520.325249999989</v>
      </c>
      <c r="R76" s="583" t="s">
        <v>5598</v>
      </c>
      <c r="S76" s="587"/>
      <c r="T76" s="586"/>
      <c r="U76" s="585"/>
      <c r="V76" s="583"/>
    </row>
    <row r="77" spans="2:22" ht="15">
      <c r="C77" s="582"/>
      <c r="D77" s="570" t="s">
        <v>1760</v>
      </c>
      <c r="E77" s="585">
        <f>INDEX(finPNLProd1NetRev,,xxIndexTeam)/1000</f>
        <v>707488.46511291165</v>
      </c>
      <c r="F77" s="583" t="s">
        <v>5521</v>
      </c>
      <c r="G77" s="582"/>
      <c r="H77" s="570" t="s">
        <v>1760</v>
      </c>
      <c r="I77" s="585">
        <f>INDEX(finPNLProd2NetRev,,xxIndexTeam)/1000</f>
        <v>2021705.2783938332</v>
      </c>
      <c r="J77" s="583" t="s">
        <v>5553</v>
      </c>
      <c r="K77" s="582"/>
      <c r="L77" s="570" t="s">
        <v>1760</v>
      </c>
      <c r="M77" s="585">
        <f>INDEX(finPNLProd3NetRev,,xxIndexTeam)/1000</f>
        <v>1419267.3447877348</v>
      </c>
      <c r="N77" s="583" t="s">
        <v>5576</v>
      </c>
      <c r="O77" s="582"/>
      <c r="P77" s="570" t="s">
        <v>1760</v>
      </c>
      <c r="Q77" s="585">
        <f>INDEX(finPNLProd4NetRev,,xxIndexTeam)/1000</f>
        <v>337933.98725000001</v>
      </c>
      <c r="R77" s="583" t="s">
        <v>5599</v>
      </c>
      <c r="S77" s="582"/>
      <c r="T77" s="570"/>
      <c r="U77" s="585"/>
      <c r="V77" s="583"/>
    </row>
    <row r="78" spans="2:22" ht="15">
      <c r="C78" s="587"/>
      <c r="D78" s="586"/>
      <c r="E78" s="585"/>
      <c r="F78" s="583"/>
      <c r="G78" s="587"/>
      <c r="H78" s="586"/>
      <c r="I78" s="585"/>
      <c r="J78" s="583"/>
      <c r="K78" s="587"/>
      <c r="L78" s="586"/>
      <c r="M78" s="585"/>
      <c r="N78" s="583"/>
      <c r="O78" s="587"/>
      <c r="P78" s="586"/>
      <c r="Q78" s="585"/>
      <c r="R78" s="583"/>
      <c r="S78" s="587"/>
      <c r="T78" s="586"/>
      <c r="U78" s="585"/>
      <c r="V78" s="583"/>
    </row>
    <row r="79" spans="2:22" ht="15">
      <c r="C79" s="580" t="s">
        <v>404</v>
      </c>
      <c r="D79" s="581"/>
      <c r="E79" s="585"/>
      <c r="F79" s="583"/>
      <c r="G79" s="580" t="s">
        <v>404</v>
      </c>
      <c r="H79" s="581"/>
      <c r="I79" s="585"/>
      <c r="J79" s="583"/>
      <c r="K79" s="580" t="s">
        <v>404</v>
      </c>
      <c r="L79" s="581"/>
      <c r="M79" s="585"/>
      <c r="N79" s="583"/>
      <c r="O79" s="580" t="s">
        <v>404</v>
      </c>
      <c r="P79" s="581"/>
      <c r="Q79" s="585"/>
      <c r="R79" s="583"/>
      <c r="S79" s="580"/>
      <c r="T79" s="581"/>
      <c r="U79" s="585"/>
      <c r="V79" s="583"/>
    </row>
    <row r="80" spans="2:22" ht="15">
      <c r="C80" s="582"/>
      <c r="D80" s="581" t="s">
        <v>400</v>
      </c>
      <c r="E80" s="585">
        <f>INDEX(finPNLProd1MatExp,,xxIndexTeam)/1000</f>
        <v>248476.29073340681</v>
      </c>
      <c r="F80" s="583" t="s">
        <v>5522</v>
      </c>
      <c r="G80" s="582"/>
      <c r="H80" s="581" t="s">
        <v>400</v>
      </c>
      <c r="I80" s="585">
        <f>INDEX(finPNLProd2MatExp,,xxIndexTeam)/1000</f>
        <v>668473.7811264653</v>
      </c>
      <c r="J80" s="583" t="s">
        <v>5554</v>
      </c>
      <c r="K80" s="582"/>
      <c r="L80" s="581" t="s">
        <v>400</v>
      </c>
      <c r="M80" s="585">
        <f>INDEX(finPNLProd3MatExp,,xxIndexTeam)/1000</f>
        <v>521440.56107334571</v>
      </c>
      <c r="N80" s="583" t="s">
        <v>5577</v>
      </c>
      <c r="O80" s="582"/>
      <c r="P80" s="581" t="s">
        <v>400</v>
      </c>
      <c r="Q80" s="585">
        <f>INDEX(finPNLProd4MatExp,,xxIndexTeam)/1000</f>
        <v>107040.2197788</v>
      </c>
      <c r="R80" s="583" t="s">
        <v>5600</v>
      </c>
      <c r="S80" s="582"/>
      <c r="T80" s="581"/>
      <c r="U80" s="585"/>
      <c r="V80" s="583"/>
    </row>
    <row r="81" spans="3:22" ht="15">
      <c r="C81" s="582"/>
      <c r="D81" s="581" t="s">
        <v>399</v>
      </c>
      <c r="E81" s="585">
        <f>INDEX(finPNLProd1LabExp,,xxIndexTeam)/1000</f>
        <v>36540.630990206882</v>
      </c>
      <c r="F81" s="583" t="s">
        <v>5523</v>
      </c>
      <c r="G81" s="582"/>
      <c r="H81" s="581" t="s">
        <v>399</v>
      </c>
      <c r="I81" s="585">
        <f>INDEX(finPNLProd2LabExp,,xxIndexTeam)/1000</f>
        <v>98304.967812715491</v>
      </c>
      <c r="J81" s="583" t="s">
        <v>5555</v>
      </c>
      <c r="K81" s="582"/>
      <c r="L81" s="581" t="s">
        <v>399</v>
      </c>
      <c r="M81" s="585">
        <f>INDEX(finPNLProd3LabExp,,xxIndexTeam)/1000</f>
        <v>76682.435451962621</v>
      </c>
      <c r="N81" s="583" t="s">
        <v>5578</v>
      </c>
      <c r="O81" s="582"/>
      <c r="P81" s="581" t="s">
        <v>399</v>
      </c>
      <c r="Q81" s="585">
        <f>INDEX(finPNLProd4LabExp,,xxIndexTeam)/1000</f>
        <v>15741.208791000001</v>
      </c>
      <c r="R81" s="583" t="s">
        <v>5601</v>
      </c>
      <c r="S81" s="582"/>
      <c r="T81" s="581"/>
      <c r="U81" s="585"/>
      <c r="V81" s="583"/>
    </row>
    <row r="82" spans="3:22" ht="15">
      <c r="C82" s="582"/>
      <c r="D82" s="581" t="s">
        <v>513</v>
      </c>
      <c r="E82" s="585">
        <f>INDEX(finPNLProd1MachExp,,xxIndexTeam)/1000</f>
        <v>52117.190224182727</v>
      </c>
      <c r="F82" s="583" t="s">
        <v>5524</v>
      </c>
      <c r="G82" s="582"/>
      <c r="H82" s="581" t="s">
        <v>513</v>
      </c>
      <c r="I82" s="585">
        <f>INDEX(finPNLProd2MachExp,,xxIndexTeam)/1000</f>
        <v>121689.75355079761</v>
      </c>
      <c r="J82" s="583" t="s">
        <v>5556</v>
      </c>
      <c r="K82" s="582"/>
      <c r="L82" s="581" t="s">
        <v>513</v>
      </c>
      <c r="M82" s="585">
        <f>INDEX(finPNLProd3MachExp,,xxIndexTeam)/1000</f>
        <v>70364.960865813613</v>
      </c>
      <c r="N82" s="583" t="s">
        <v>5579</v>
      </c>
      <c r="O82" s="582"/>
      <c r="P82" s="581" t="s">
        <v>513</v>
      </c>
      <c r="Q82" s="585">
        <f>INDEX(finPNLProd4MachExp,,xxIndexTeam)/1000</f>
        <v>12919.595094000002</v>
      </c>
      <c r="R82" s="583" t="s">
        <v>5602</v>
      </c>
      <c r="S82" s="582"/>
      <c r="T82" s="581"/>
      <c r="U82" s="585"/>
      <c r="V82" s="583"/>
    </row>
    <row r="83" spans="3:22" ht="15">
      <c r="C83" s="582"/>
      <c r="D83" s="581" t="s">
        <v>398</v>
      </c>
      <c r="E83" s="585">
        <f>INDEX(finPNLProd1DepExp,,xxIndexTeam)/1000</f>
        <v>23195.306084980621</v>
      </c>
      <c r="F83" s="583" t="s">
        <v>5525</v>
      </c>
      <c r="G83" s="582"/>
      <c r="H83" s="581" t="s">
        <v>398</v>
      </c>
      <c r="I83" s="585">
        <f>INDEX(finPNLProd2DepExp,,xxIndexTeam)/1000</f>
        <v>54159.310371012456</v>
      </c>
      <c r="J83" s="583" t="s">
        <v>5557</v>
      </c>
      <c r="K83" s="582"/>
      <c r="L83" s="581" t="s">
        <v>398</v>
      </c>
      <c r="M83" s="585">
        <f>INDEX(finPNLProd3DepExp,,xxIndexTeam)/1000</f>
        <v>31316.669181887468</v>
      </c>
      <c r="N83" s="583" t="s">
        <v>5580</v>
      </c>
      <c r="O83" s="582"/>
      <c r="P83" s="581" t="s">
        <v>398</v>
      </c>
      <c r="Q83" s="585">
        <f>INDEX(finPNLProd4DepExp,,xxIndexTeam)/1000</f>
        <v>5750.0022815944776</v>
      </c>
      <c r="R83" s="583" t="s">
        <v>5603</v>
      </c>
      <c r="S83" s="582"/>
      <c r="T83" s="581"/>
      <c r="U83" s="585"/>
      <c r="V83" s="583"/>
    </row>
    <row r="84" spans="3:22" ht="15">
      <c r="C84" s="582"/>
      <c r="D84" s="581" t="s">
        <v>14</v>
      </c>
      <c r="E84" s="585">
        <f>INDEX(finPNLProd1CostRev,,xxIndexTeam)/1000</f>
        <v>360329.41803277703</v>
      </c>
      <c r="F84" s="583" t="s">
        <v>5526</v>
      </c>
      <c r="G84" s="582"/>
      <c r="H84" s="581" t="s">
        <v>14</v>
      </c>
      <c r="I84" s="585">
        <f>INDEX(finPNLProd2CostRev,,xxIndexTeam)/1000</f>
        <v>942627.81286099087</v>
      </c>
      <c r="J84" s="583" t="s">
        <v>5558</v>
      </c>
      <c r="K84" s="582"/>
      <c r="L84" s="581" t="s">
        <v>14</v>
      </c>
      <c r="M84" s="585">
        <f>INDEX(finPNLProd3CostRev,,xxIndexTeam)/1000</f>
        <v>699804.62657300953</v>
      </c>
      <c r="N84" s="583" t="s">
        <v>5581</v>
      </c>
      <c r="O84" s="582"/>
      <c r="P84" s="581" t="s">
        <v>14</v>
      </c>
      <c r="Q84" s="585">
        <f>INDEX(finPNLProd4CostRev,,xxIndexTeam)/1000</f>
        <v>141451.0259453945</v>
      </c>
      <c r="R84" s="583" t="s">
        <v>5604</v>
      </c>
      <c r="S84" s="582"/>
      <c r="T84" s="581"/>
      <c r="U84" s="585"/>
      <c r="V84" s="583"/>
    </row>
    <row r="85" spans="3:22" ht="15">
      <c r="C85" s="582"/>
      <c r="D85" s="581" t="s">
        <v>5305</v>
      </c>
      <c r="E85" s="571">
        <f>(tlOutputPNLProd1CostRev/tlOutputPNLProd1NetRev)</f>
        <v>0.50930783440443828</v>
      </c>
      <c r="F85" s="583" t="s">
        <v>5527</v>
      </c>
      <c r="G85" s="582"/>
      <c r="H85" s="581" t="s">
        <v>5305</v>
      </c>
      <c r="I85" s="571">
        <f>(tlOutputPNLProd2CostRev/tlOutputPNLProd2NetRev)</f>
        <v>0.46625382192693898</v>
      </c>
      <c r="J85" s="583" t="s">
        <v>5559</v>
      </c>
      <c r="K85" s="582"/>
      <c r="L85" s="581" t="s">
        <v>5305</v>
      </c>
      <c r="M85" s="571">
        <f>(tlOutputPNLProd3CostRev/tlOutputPNLProd3NetRev)</f>
        <v>0.49307456353663381</v>
      </c>
      <c r="N85" s="583" t="s">
        <v>5582</v>
      </c>
      <c r="O85" s="582"/>
      <c r="P85" s="581" t="s">
        <v>5305</v>
      </c>
      <c r="Q85" s="571">
        <f>(tlOutputPNLProd4CostRev/tlOutputPNLProd4NetRev)</f>
        <v>0.41857590914864246</v>
      </c>
      <c r="R85" s="583" t="s">
        <v>5605</v>
      </c>
      <c r="S85" s="582"/>
      <c r="T85" s="581"/>
      <c r="U85" s="571"/>
      <c r="V85" s="583"/>
    </row>
    <row r="86" spans="3:22" ht="15">
      <c r="C86" s="580" t="s">
        <v>160</v>
      </c>
      <c r="D86" s="581"/>
      <c r="E86" s="585"/>
      <c r="F86" s="583"/>
      <c r="G86" s="580" t="s">
        <v>160</v>
      </c>
      <c r="H86" s="581"/>
      <c r="I86" s="585"/>
      <c r="J86" s="583"/>
      <c r="K86" s="580" t="s">
        <v>160</v>
      </c>
      <c r="L86" s="581"/>
      <c r="M86" s="585"/>
      <c r="N86" s="583"/>
      <c r="O86" s="580" t="s">
        <v>160</v>
      </c>
      <c r="P86" s="581"/>
      <c r="Q86" s="585"/>
      <c r="R86" s="583"/>
      <c r="S86" s="580"/>
      <c r="T86" s="581"/>
      <c r="U86" s="585"/>
      <c r="V86" s="583"/>
    </row>
    <row r="87" spans="3:22" ht="15">
      <c r="C87" s="582"/>
      <c r="D87" s="581" t="s">
        <v>160</v>
      </c>
      <c r="E87" s="585">
        <f>INDEX(finPNLProd1GroProfit,,xxIndexTeam)/1000</f>
        <v>347159.04708013468</v>
      </c>
      <c r="F87" s="583" t="s">
        <v>5528</v>
      </c>
      <c r="G87" s="582"/>
      <c r="H87" s="581" t="s">
        <v>160</v>
      </c>
      <c r="I87" s="585">
        <f>INDEX(finPNLProd2GroProfit,,xxIndexTeam)/1000</f>
        <v>1079077.4655328421</v>
      </c>
      <c r="J87" s="583" t="s">
        <v>5560</v>
      </c>
      <c r="K87" s="582"/>
      <c r="L87" s="581" t="s">
        <v>160</v>
      </c>
      <c r="M87" s="585">
        <f>INDEX(finPNLProd3GroProfit,,xxIndexTeam)/1000</f>
        <v>719462.71821472526</v>
      </c>
      <c r="N87" s="583" t="s">
        <v>5583</v>
      </c>
      <c r="O87" s="582"/>
      <c r="P87" s="581" t="s">
        <v>160</v>
      </c>
      <c r="Q87" s="585">
        <f>INDEX(finPNLProd4GroProfit,,xxIndexTeam)/1000</f>
        <v>196482.96130460547</v>
      </c>
      <c r="R87" s="583" t="s">
        <v>5606</v>
      </c>
      <c r="S87" s="582"/>
      <c r="T87" s="581"/>
      <c r="U87" s="585"/>
      <c r="V87" s="583"/>
    </row>
    <row r="88" spans="3:22" ht="15">
      <c r="C88" s="580"/>
      <c r="D88" s="579" t="s">
        <v>162</v>
      </c>
      <c r="E88" s="571">
        <f>INDEX(finPNLProd1GM,,xxIndexTeam)</f>
        <v>0.49069216559556178</v>
      </c>
      <c r="F88" s="583" t="s">
        <v>5529</v>
      </c>
      <c r="G88" s="580"/>
      <c r="H88" s="579" t="s">
        <v>162</v>
      </c>
      <c r="I88" s="571">
        <f>INDEX(finPNLProd2GM,,xxIndexTeam)</f>
        <v>0.53374617807306091</v>
      </c>
      <c r="J88" s="583" t="s">
        <v>5561</v>
      </c>
      <c r="K88" s="580"/>
      <c r="L88" s="579" t="s">
        <v>162</v>
      </c>
      <c r="M88" s="571">
        <f>INDEX(finPNLProd3GM,,xxIndexTeam)</f>
        <v>0.50692543646336619</v>
      </c>
      <c r="N88" s="583" t="s">
        <v>5584</v>
      </c>
      <c r="O88" s="580"/>
      <c r="P88" s="579" t="s">
        <v>162</v>
      </c>
      <c r="Q88" s="571">
        <f>INDEX(finPNLProd4GM,,xxIndexTeam)</f>
        <v>0.58142409085135749</v>
      </c>
      <c r="R88" s="583" t="s">
        <v>5607</v>
      </c>
      <c r="S88" s="580"/>
      <c r="T88" s="579"/>
      <c r="U88" s="571"/>
      <c r="V88" s="583"/>
    </row>
    <row r="89" spans="3:22" ht="15">
      <c r="C89" s="580"/>
      <c r="D89" s="579"/>
      <c r="E89" s="585"/>
      <c r="F89" s="583"/>
      <c r="G89" s="580"/>
      <c r="H89" s="579"/>
      <c r="I89" s="585"/>
      <c r="J89" s="583"/>
      <c r="K89" s="580"/>
      <c r="L89" s="579"/>
      <c r="M89" s="585"/>
      <c r="N89" s="583"/>
      <c r="O89" s="580"/>
      <c r="P89" s="579"/>
      <c r="Q89" s="585"/>
      <c r="R89" s="583"/>
      <c r="S89" s="580"/>
      <c r="T89" s="579"/>
      <c r="U89" s="585"/>
      <c r="V89" s="583"/>
    </row>
    <row r="90" spans="3:22" ht="15">
      <c r="C90" s="580" t="s">
        <v>519</v>
      </c>
      <c r="D90" s="579"/>
      <c r="E90" s="585"/>
      <c r="F90" s="583"/>
      <c r="G90" s="580" t="s">
        <v>519</v>
      </c>
      <c r="H90" s="579"/>
      <c r="I90" s="585"/>
      <c r="J90" s="583"/>
      <c r="K90" s="580" t="s">
        <v>519</v>
      </c>
      <c r="L90" s="579"/>
      <c r="M90" s="585"/>
      <c r="N90" s="583"/>
      <c r="O90" s="580" t="s">
        <v>519</v>
      </c>
      <c r="P90" s="579"/>
      <c r="Q90" s="585"/>
      <c r="R90" s="583"/>
      <c r="S90" s="580"/>
      <c r="T90" s="579"/>
      <c r="U90" s="585"/>
      <c r="V90" s="583"/>
    </row>
    <row r="91" spans="3:22" ht="15">
      <c r="C91" s="580"/>
      <c r="D91" s="581" t="s">
        <v>519</v>
      </c>
      <c r="E91" s="585">
        <f>INDEX(finPNLProd1LogExp,,xxIndexTeam)/1000</f>
        <v>42220.175988005059</v>
      </c>
      <c r="F91" s="583" t="s">
        <v>5530</v>
      </c>
      <c r="G91" s="580"/>
      <c r="H91" s="581" t="s">
        <v>519</v>
      </c>
      <c r="I91" s="585">
        <f>INDEX(finPNLProd2LogExp,,xxIndexTeam)/1000</f>
        <v>113584.60237482947</v>
      </c>
      <c r="J91" s="583" t="s">
        <v>5562</v>
      </c>
      <c r="K91" s="580"/>
      <c r="L91" s="581" t="s">
        <v>519</v>
      </c>
      <c r="M91" s="585">
        <f>INDEX(finPNLProd3LogExp,,xxIndexTeam)/1000</f>
        <v>88601.25926228211</v>
      </c>
      <c r="N91" s="583" t="s">
        <v>5585</v>
      </c>
      <c r="O91" s="580"/>
      <c r="P91" s="581" t="s">
        <v>519</v>
      </c>
      <c r="Q91" s="585">
        <f>INDEX(finPNLProd4LogExp,,xxIndexTeam)/1000</f>
        <v>18187.879831578946</v>
      </c>
      <c r="R91" s="583" t="s">
        <v>5608</v>
      </c>
      <c r="S91" s="580"/>
      <c r="T91" s="581"/>
      <c r="U91" s="585"/>
      <c r="V91" s="583"/>
    </row>
    <row r="92" spans="3:22" ht="15">
      <c r="C92" s="580"/>
      <c r="D92" s="581" t="s">
        <v>5305</v>
      </c>
      <c r="E92" s="571">
        <f>INDEX(finPNLProd1LogExpPct,,xxIndexTeam)</f>
        <v>5.9676133350480734E-2</v>
      </c>
      <c r="F92" s="583" t="s">
        <v>5531</v>
      </c>
      <c r="G92" s="580"/>
      <c r="H92" s="581" t="s">
        <v>5305</v>
      </c>
      <c r="I92" s="571">
        <f>INDEX(finPNLProd2LogExpPct,,xxIndexTeam)</f>
        <v>5.6182572004297313E-2</v>
      </c>
      <c r="J92" s="583" t="s">
        <v>5563</v>
      </c>
      <c r="K92" s="580"/>
      <c r="L92" s="581" t="s">
        <v>5305</v>
      </c>
      <c r="M92" s="571">
        <f>INDEX(finPNLProd3LogExpPct,,xxIndexTeam)</f>
        <v>6.2427462724109449E-2</v>
      </c>
      <c r="N92" s="583" t="s">
        <v>5586</v>
      </c>
      <c r="O92" s="580"/>
      <c r="P92" s="581" t="s">
        <v>5305</v>
      </c>
      <c r="Q92" s="571">
        <f>INDEX(finPNLProd4LogExpPct,,xxIndexTeam)</f>
        <v>5.3820806778229577E-2</v>
      </c>
      <c r="R92" s="583" t="s">
        <v>5609</v>
      </c>
      <c r="S92" s="580"/>
      <c r="T92" s="581"/>
      <c r="U92" s="571"/>
      <c r="V92" s="583"/>
    </row>
    <row r="93" spans="3:22" ht="15">
      <c r="C93" s="580"/>
      <c r="D93" s="579"/>
      <c r="E93" s="585"/>
      <c r="F93" s="583"/>
      <c r="G93" s="580"/>
      <c r="H93" s="579"/>
      <c r="I93" s="585"/>
      <c r="J93" s="583"/>
      <c r="K93" s="580"/>
      <c r="L93" s="579"/>
      <c r="M93" s="585"/>
      <c r="N93" s="583"/>
      <c r="O93" s="580"/>
      <c r="P93" s="579"/>
      <c r="Q93" s="585"/>
      <c r="R93" s="583"/>
      <c r="S93" s="580"/>
      <c r="T93" s="579"/>
      <c r="U93" s="585"/>
      <c r="V93" s="583"/>
    </row>
    <row r="94" spans="3:22" ht="15">
      <c r="C94" s="580" t="s">
        <v>520</v>
      </c>
      <c r="D94" s="581"/>
      <c r="E94" s="585"/>
      <c r="F94" s="583"/>
      <c r="G94" s="580" t="s">
        <v>520</v>
      </c>
      <c r="H94" s="581"/>
      <c r="I94" s="585"/>
      <c r="J94" s="583"/>
      <c r="K94" s="580" t="s">
        <v>520</v>
      </c>
      <c r="L94" s="581"/>
      <c r="M94" s="585"/>
      <c r="N94" s="583"/>
      <c r="O94" s="580" t="s">
        <v>520</v>
      </c>
      <c r="P94" s="581"/>
      <c r="Q94" s="585"/>
      <c r="R94" s="583"/>
      <c r="S94" s="580"/>
      <c r="T94" s="581"/>
      <c r="U94" s="585"/>
      <c r="V94" s="583"/>
    </row>
    <row r="95" spans="3:22" ht="15">
      <c r="C95" s="582"/>
      <c r="D95" s="581" t="s">
        <v>521</v>
      </c>
      <c r="E95" s="585">
        <f>INDEX(finPNLProd1GPaL,,xxIndexTeam)/1000</f>
        <v>304938.87109212967</v>
      </c>
      <c r="F95" s="583" t="s">
        <v>5532</v>
      </c>
      <c r="G95" s="582"/>
      <c r="H95" s="581" t="s">
        <v>521</v>
      </c>
      <c r="I95" s="585">
        <f>INDEX(finPNLProd2GPaL,,xxIndexTeam)/1000</f>
        <v>965492.86315801262</v>
      </c>
      <c r="J95" s="583" t="s">
        <v>5564</v>
      </c>
      <c r="K95" s="582"/>
      <c r="L95" s="581" t="s">
        <v>521</v>
      </c>
      <c r="M95" s="585">
        <f>INDEX(finPNLProd3GPaL,,xxIndexTeam)/1000</f>
        <v>630861.45895244309</v>
      </c>
      <c r="N95" s="583" t="s">
        <v>5587</v>
      </c>
      <c r="O95" s="582"/>
      <c r="P95" s="581" t="s">
        <v>521</v>
      </c>
      <c r="Q95" s="585">
        <f>INDEX(finPNLProd4GPaL,,xxIndexTeam)/1000</f>
        <v>178295.08147302654</v>
      </c>
      <c r="R95" s="583" t="s">
        <v>5610</v>
      </c>
      <c r="S95" s="582"/>
      <c r="T95" s="581"/>
      <c r="U95" s="585"/>
      <c r="V95" s="583"/>
    </row>
    <row r="96" spans="3:22" ht="15">
      <c r="C96" s="580"/>
      <c r="D96" s="579" t="s">
        <v>522</v>
      </c>
      <c r="E96" s="571">
        <f>INDEX(finPNLProd1GPaLMargin,,xxIndexTeam)</f>
        <v>0.43101603224508106</v>
      </c>
      <c r="F96" s="583" t="s">
        <v>5533</v>
      </c>
      <c r="G96" s="580"/>
      <c r="H96" s="579" t="s">
        <v>522</v>
      </c>
      <c r="I96" s="571">
        <f>INDEX(finPNLProd2GPaLMargin,,xxIndexTeam)</f>
        <v>0.47756360606876364</v>
      </c>
      <c r="J96" s="583" t="s">
        <v>5565</v>
      </c>
      <c r="K96" s="580"/>
      <c r="L96" s="579" t="s">
        <v>522</v>
      </c>
      <c r="M96" s="571">
        <f>INDEX(finPNLProd3GPaLMargin,,xxIndexTeam)</f>
        <v>0.4444979737392567</v>
      </c>
      <c r="N96" s="583" t="s">
        <v>5588</v>
      </c>
      <c r="O96" s="580"/>
      <c r="P96" s="579" t="s">
        <v>522</v>
      </c>
      <c r="Q96" s="571">
        <f>INDEX(finPNLProd4GPaLMargin,,xxIndexTeam)</f>
        <v>0.52760328407312795</v>
      </c>
      <c r="R96" s="583" t="s">
        <v>5611</v>
      </c>
      <c r="S96" s="580"/>
      <c r="T96" s="579"/>
      <c r="U96" s="571"/>
      <c r="V96" s="583"/>
    </row>
    <row r="97" spans="2:22" ht="15">
      <c r="C97" s="577"/>
      <c r="D97" s="721"/>
      <c r="E97" s="585"/>
      <c r="F97" s="583"/>
      <c r="G97" s="577"/>
      <c r="H97" s="721"/>
      <c r="I97" s="585"/>
      <c r="J97" s="583"/>
      <c r="K97" s="577"/>
      <c r="L97" s="721"/>
      <c r="M97" s="585"/>
      <c r="N97" s="583"/>
      <c r="O97" s="577"/>
      <c r="P97" s="721"/>
      <c r="Q97" s="585"/>
      <c r="R97" s="583"/>
      <c r="S97" s="577" t="s">
        <v>1407</v>
      </c>
      <c r="T97" s="721"/>
      <c r="U97" s="585"/>
      <c r="V97" s="583"/>
    </row>
    <row r="98" spans="2:22" ht="15">
      <c r="C98" s="560"/>
      <c r="D98" s="586" t="s">
        <v>1703</v>
      </c>
      <c r="E98" s="585">
        <f>INDEX(finPNLProd1TMkt,,xxIndexTeam)/1000</f>
        <v>6851.9096716923177</v>
      </c>
      <c r="F98" s="583" t="s">
        <v>5534</v>
      </c>
      <c r="G98" s="560"/>
      <c r="H98" s="586" t="s">
        <v>1703</v>
      </c>
      <c r="I98" s="585">
        <f>INDEX(finPNLProd2TMkt,,xxIndexTeam)/1000</f>
        <v>19579.883819204486</v>
      </c>
      <c r="J98" s="583" t="s">
        <v>5566</v>
      </c>
      <c r="K98" s="560"/>
      <c r="L98" s="586" t="s">
        <v>1703</v>
      </c>
      <c r="M98" s="585">
        <f>INDEX(finPNLProd3TMkt,,xxIndexTeam)/1000</f>
        <v>13745.371304274398</v>
      </c>
      <c r="N98" s="583" t="s">
        <v>5589</v>
      </c>
      <c r="O98" s="560"/>
      <c r="P98" s="586" t="s">
        <v>1703</v>
      </c>
      <c r="Q98" s="585">
        <f>INDEX(finPNLProd4TMkt,,xxIndexTeam)/1000</f>
        <v>3272.8352048287911</v>
      </c>
      <c r="R98" s="583" t="s">
        <v>5612</v>
      </c>
      <c r="S98" s="560"/>
      <c r="T98" s="586" t="s">
        <v>1703</v>
      </c>
      <c r="U98" s="585">
        <f>tlOutputPNLProd1TMkt+tlOutputPNLProd2TMkt+tlOutputPNLProd3TMkt+tlOutputPNLProd4TMkt</f>
        <v>43449.999999999993</v>
      </c>
      <c r="V98" s="583" t="s">
        <v>5622</v>
      </c>
    </row>
    <row r="99" spans="2:22" ht="15">
      <c r="C99" s="560"/>
      <c r="D99" s="586" t="s">
        <v>1704</v>
      </c>
      <c r="E99" s="585">
        <f>INDEX(finPNLProd1BMkt,,xxIndexTeam)/1000</f>
        <v>33030.431358274109</v>
      </c>
      <c r="F99" s="583" t="s">
        <v>5535</v>
      </c>
      <c r="G99" s="560"/>
      <c r="H99" s="586" t="s">
        <v>1704</v>
      </c>
      <c r="I99" s="585">
        <f>INDEX(finPNLProd2BMkt,,xxIndexTeam)/1000</f>
        <v>94387.118260635601</v>
      </c>
      <c r="J99" s="583" t="s">
        <v>5567</v>
      </c>
      <c r="K99" s="560"/>
      <c r="L99" s="586" t="s">
        <v>1704</v>
      </c>
      <c r="M99" s="585">
        <f>INDEX(finPNLProd3BMkt,,xxIndexTeam)/1000</f>
        <v>66261.168800214393</v>
      </c>
      <c r="N99" s="583" t="s">
        <v>5590</v>
      </c>
      <c r="O99" s="560"/>
      <c r="P99" s="586" t="s">
        <v>1704</v>
      </c>
      <c r="Q99" s="585">
        <f>INDEX(finPNLProd4BMkt,,xxIndexTeam)/1000</f>
        <v>15777.084602655092</v>
      </c>
      <c r="R99" s="583" t="s">
        <v>5613</v>
      </c>
      <c r="S99" s="560"/>
      <c r="T99" s="586" t="s">
        <v>5291</v>
      </c>
      <c r="U99" s="585">
        <f>tlOutputPNLProd1BMkt+tlOutputPNLProd2BMkt+tlOutputPNLProd3BMkt+tlOutputPNLProd4BMkt</f>
        <v>209455.8030217792</v>
      </c>
      <c r="V99" s="583" t="s">
        <v>5623</v>
      </c>
    </row>
    <row r="100" spans="2:22" ht="15">
      <c r="C100" s="560"/>
      <c r="D100" s="586" t="s">
        <v>5290</v>
      </c>
      <c r="E100" s="585">
        <f>tlOutputPNLProd1TMkt+tlOutputPNLProd1BMkt</f>
        <v>39882.341029966425</v>
      </c>
      <c r="F100" s="583" t="s">
        <v>5536</v>
      </c>
      <c r="G100" s="560"/>
      <c r="H100" s="586" t="s">
        <v>5290</v>
      </c>
      <c r="I100" s="585">
        <f>tlOutputPNLProd2TMkt+tlOutputPNLProd2BMkt</f>
        <v>113967.00207984008</v>
      </c>
      <c r="J100" s="583" t="s">
        <v>5568</v>
      </c>
      <c r="K100" s="560"/>
      <c r="L100" s="586" t="s">
        <v>5290</v>
      </c>
      <c r="M100" s="585">
        <f>tlOutputPNLProd3TMkt+tlOutputPNLProd3BMkt</f>
        <v>80006.540104488784</v>
      </c>
      <c r="N100" s="583" t="s">
        <v>5591</v>
      </c>
      <c r="O100" s="560"/>
      <c r="P100" s="586" t="s">
        <v>5290</v>
      </c>
      <c r="Q100" s="585">
        <f>tlOutputPNLProd4TMkt+tlOutputPNLProd4BMkt</f>
        <v>19049.919807483882</v>
      </c>
      <c r="R100" s="583" t="s">
        <v>5614</v>
      </c>
      <c r="S100" s="560"/>
      <c r="T100" s="586" t="s">
        <v>5290</v>
      </c>
      <c r="U100" s="585">
        <f>tlOutputPNLProdTMkt+tlOutputPNLProdBMkt</f>
        <v>252905.8030217792</v>
      </c>
      <c r="V100" s="583" t="s">
        <v>5618</v>
      </c>
    </row>
    <row r="101" spans="2:22" ht="15">
      <c r="C101" s="560"/>
      <c r="D101" s="586" t="s">
        <v>5508</v>
      </c>
      <c r="E101" s="571">
        <f>tlOutputPNLProd1Overhead/tlOutputPNLProd1NetRev</f>
        <v>5.6371719111493079E-2</v>
      </c>
      <c r="F101" s="583" t="s">
        <v>5537</v>
      </c>
      <c r="G101" s="560"/>
      <c r="H101" s="586" t="s">
        <v>5508</v>
      </c>
      <c r="I101" s="571">
        <f>tlOutputPNLProd2Overhead/tlOutputPNLProd2NetRev</f>
        <v>5.6371719111493079E-2</v>
      </c>
      <c r="J101" s="583" t="s">
        <v>5569</v>
      </c>
      <c r="K101" s="560"/>
      <c r="L101" s="586" t="s">
        <v>5508</v>
      </c>
      <c r="M101" s="571">
        <f>tlOutputPNLProd3Overhead/tlOutputPNLProd3NetRev</f>
        <v>5.6371719111493079E-2</v>
      </c>
      <c r="N101" s="583" t="s">
        <v>5592</v>
      </c>
      <c r="O101" s="560"/>
      <c r="P101" s="586" t="s">
        <v>5508</v>
      </c>
      <c r="Q101" s="571">
        <f>tlOutputPNLProd4Overhead/tlOutputPNLProd4NetRev</f>
        <v>5.6371719111493072E-2</v>
      </c>
      <c r="R101" s="583" t="s">
        <v>5615</v>
      </c>
      <c r="S101" s="560"/>
      <c r="T101" s="586" t="s">
        <v>5289</v>
      </c>
      <c r="U101" s="571">
        <f>tlOutputPNLProdTotOverhead/tlOutputPNLNetRevTot</f>
        <v>5.6371719111493072E-2</v>
      </c>
      <c r="V101" s="583" t="s">
        <v>5619</v>
      </c>
    </row>
    <row r="102" spans="2:22" ht="15">
      <c r="C102" s="560"/>
      <c r="D102" s="569" t="s">
        <v>1393</v>
      </c>
      <c r="E102" s="585">
        <f>INDEX(finPNLProd1GBC,,xxIndexTeam)/1000</f>
        <v>265056.53006216325</v>
      </c>
      <c r="F102" s="583" t="s">
        <v>5538</v>
      </c>
      <c r="G102" s="560"/>
      <c r="H102" s="569" t="s">
        <v>1393</v>
      </c>
      <c r="I102" s="585">
        <f>INDEX(finPNLProd2GBC,,xxIndexTeam)/1000</f>
        <v>851525.86107817257</v>
      </c>
      <c r="J102" s="583" t="s">
        <v>5570</v>
      </c>
      <c r="K102" s="560"/>
      <c r="L102" s="569" t="s">
        <v>1393</v>
      </c>
      <c r="M102" s="585">
        <f>INDEX(finPNLProd3GBC,,xxIndexTeam)/1000</f>
        <v>550854.91884795425</v>
      </c>
      <c r="N102" s="583" t="s">
        <v>5593</v>
      </c>
      <c r="O102" s="560"/>
      <c r="P102" s="569" t="s">
        <v>1393</v>
      </c>
      <c r="Q102" s="585">
        <f>INDEX(finPNLProd4GBC,,xxIndexTeam)/1000</f>
        <v>159245.16166554266</v>
      </c>
      <c r="R102" s="583" t="s">
        <v>5616</v>
      </c>
      <c r="S102" s="560"/>
      <c r="T102" s="569" t="s">
        <v>1393</v>
      </c>
      <c r="U102" s="585">
        <f>tlOutputPNLProd1GBC+tlOutputPNLProd2GBC+tlOutputPNLProd3GBC+tlOutputPNLProd4GBC</f>
        <v>1826682.4716538328</v>
      </c>
      <c r="V102" s="583" t="s">
        <v>5620</v>
      </c>
    </row>
    <row r="103" spans="2:22" ht="15.75" thickBot="1">
      <c r="C103" s="605"/>
      <c r="D103" s="575" t="s">
        <v>2973</v>
      </c>
      <c r="E103" s="567">
        <f>INDEX(finPNLProd1GBCMargin,,xxIndexTeam)</f>
        <v>0.37464431313358798</v>
      </c>
      <c r="F103" s="573" t="s">
        <v>5539</v>
      </c>
      <c r="G103" s="605"/>
      <c r="H103" s="575" t="s">
        <v>2973</v>
      </c>
      <c r="I103" s="567">
        <f>INDEX(finPNLProd2GBCMargin,,xxIndexTeam)</f>
        <v>0.42119188695727056</v>
      </c>
      <c r="J103" s="573" t="s">
        <v>5571</v>
      </c>
      <c r="K103" s="605"/>
      <c r="L103" s="575" t="s">
        <v>2973</v>
      </c>
      <c r="M103" s="567">
        <f>INDEX(finPNLProd3GBCMargin,,xxIndexTeam)</f>
        <v>0.38812625462776357</v>
      </c>
      <c r="N103" s="573" t="s">
        <v>5594</v>
      </c>
      <c r="O103" s="605"/>
      <c r="P103" s="575" t="s">
        <v>2973</v>
      </c>
      <c r="Q103" s="567">
        <f>INDEX(finPNLProd4GBCMargin,,xxIndexTeam)</f>
        <v>0.47123156496163487</v>
      </c>
      <c r="R103" s="573" t="s">
        <v>5617</v>
      </c>
      <c r="S103" s="605"/>
      <c r="T103" s="575" t="s">
        <v>5289</v>
      </c>
      <c r="U103" s="567">
        <f>tlOutputPNLProdTotGBC/tlOutputPNLNetRevTot</f>
        <v>0.407160412958536</v>
      </c>
      <c r="V103" s="573" t="s">
        <v>5621</v>
      </c>
    </row>
    <row r="106" spans="2:22">
      <c r="B106" s="601" t="s">
        <v>6503</v>
      </c>
      <c r="C106" s="612" t="s">
        <v>4631</v>
      </c>
    </row>
    <row r="107" spans="2:22" ht="15" thickBot="1">
      <c r="C107" s="459" t="str">
        <f>nmCh1</f>
        <v>Hypermarkets</v>
      </c>
      <c r="D107" s="207"/>
      <c r="E107" s="225"/>
      <c r="F107" s="609"/>
      <c r="G107" s="459" t="str">
        <f>nmCh2</f>
        <v>Discounters</v>
      </c>
      <c r="H107" s="207"/>
      <c r="I107" s="225"/>
      <c r="J107" s="609"/>
      <c r="K107" s="459" t="str">
        <f>nmCh3</f>
        <v>Convenience</v>
      </c>
      <c r="L107" s="207"/>
      <c r="M107" s="225"/>
      <c r="N107" s="609"/>
      <c r="O107" s="459" t="str">
        <f>nmCh4</f>
        <v>On-Trade</v>
      </c>
      <c r="S107" s="612" t="s">
        <v>14</v>
      </c>
    </row>
    <row r="108" spans="2:22">
      <c r="C108" s="572"/>
      <c r="D108" s="589" t="str">
        <f>nmProd2</f>
        <v>Harken</v>
      </c>
      <c r="E108" s="589"/>
      <c r="F108" s="589"/>
      <c r="G108" s="572"/>
      <c r="H108" s="589" t="str">
        <f>nmProd2</f>
        <v>Harken</v>
      </c>
      <c r="I108" s="589"/>
      <c r="J108" s="588"/>
      <c r="K108" s="572"/>
      <c r="L108" s="589" t="str">
        <f>nmProd2</f>
        <v>Harken</v>
      </c>
      <c r="M108" s="589"/>
      <c r="N108" s="588"/>
      <c r="O108" s="589"/>
      <c r="P108" s="589" t="str">
        <f>nmProd2</f>
        <v>Harken</v>
      </c>
      <c r="Q108" s="589"/>
      <c r="R108" s="588"/>
      <c r="S108" s="589"/>
      <c r="T108" s="589" t="str">
        <f>nmProd2</f>
        <v>Harken</v>
      </c>
      <c r="U108" s="589"/>
      <c r="V108" s="588"/>
    </row>
    <row r="109" spans="2:22" ht="15">
      <c r="C109" s="577"/>
      <c r="D109" s="721" t="s">
        <v>379</v>
      </c>
      <c r="E109" s="585">
        <f>INDEX(calcCh1Prod2Slot1CustProfitTot,,xxIndexTeam)/1000</f>
        <v>136246.21750655997</v>
      </c>
      <c r="F109" s="603" t="s">
        <v>6476</v>
      </c>
      <c r="G109" s="577"/>
      <c r="H109" s="721" t="s">
        <v>379</v>
      </c>
      <c r="I109" s="585">
        <f>INDEX(calcCh2Prod2Slot1CustProfitBase,,xxIndexTeam)/1000</f>
        <v>159094.35017999992</v>
      </c>
      <c r="J109" s="583" t="s">
        <v>6459</v>
      </c>
      <c r="K109" s="577"/>
      <c r="L109" s="721" t="s">
        <v>379</v>
      </c>
      <c r="M109" s="585">
        <f>INDEX(calcCh3Prod2Slot1CustProfitTot,,xxIndexTeam)/1000</f>
        <v>77938.081379850031</v>
      </c>
      <c r="N109" s="583" t="s">
        <v>6442</v>
      </c>
      <c r="O109" s="721"/>
      <c r="P109" s="721" t="s">
        <v>379</v>
      </c>
      <c r="Q109" s="585">
        <f>INDEX(calcCh4Prod2Slot1CustProfitTot,,xxIndexTeam)/1000</f>
        <v>998823.63923999993</v>
      </c>
      <c r="R109" s="583" t="s">
        <v>6425</v>
      </c>
      <c r="S109" s="721"/>
      <c r="T109" s="721" t="s">
        <v>379</v>
      </c>
      <c r="U109" s="585"/>
      <c r="V109" s="557"/>
    </row>
    <row r="110" spans="2:22" ht="15">
      <c r="C110" s="577"/>
      <c r="D110" s="721" t="s">
        <v>394</v>
      </c>
      <c r="E110" s="585">
        <f>INDEX(calcCh1Prod2Slot2CustProfitTot,,xxIndexTeam)/1000</f>
        <v>180693.95170679988</v>
      </c>
      <c r="F110" s="603" t="s">
        <v>6477</v>
      </c>
      <c r="G110" s="577"/>
      <c r="H110" s="721" t="s">
        <v>394</v>
      </c>
      <c r="I110" s="585">
        <f>INDEX(calcCh2Prod2Slot2CustProfitBase,,xxIndexTeam)/1000</f>
        <v>0</v>
      </c>
      <c r="J110" s="557" t="s">
        <v>6460</v>
      </c>
      <c r="K110" s="577"/>
      <c r="L110" s="721" t="s">
        <v>394</v>
      </c>
      <c r="M110" s="585">
        <f>INDEX(calcCh3Prod2Slot2CustProfitTot,,xxIndexTeam)/1000</f>
        <v>111259.40352000001</v>
      </c>
      <c r="N110" s="557" t="s">
        <v>6443</v>
      </c>
      <c r="O110" s="721"/>
      <c r="P110" s="721" t="s">
        <v>394</v>
      </c>
      <c r="Q110" s="585">
        <f>INDEX(calcCh4Prod2Slot2CustProfitTot,,xxIndexTeam)/1000</f>
        <v>0</v>
      </c>
      <c r="R110" s="557" t="s">
        <v>6426</v>
      </c>
      <c r="S110" s="721"/>
      <c r="T110" s="721" t="s">
        <v>394</v>
      </c>
      <c r="U110" s="585"/>
      <c r="V110" s="557"/>
    </row>
    <row r="111" spans="2:22" ht="15">
      <c r="C111" s="577"/>
      <c r="D111" s="721" t="s">
        <v>395</v>
      </c>
      <c r="E111" s="585">
        <f>INDEX(calcCh1Prod2Slot3CustProfitTot,,xxIndexTeam)/1000</f>
        <v>0</v>
      </c>
      <c r="F111" s="603" t="s">
        <v>6478</v>
      </c>
      <c r="G111" s="577"/>
      <c r="H111" s="721" t="s">
        <v>395</v>
      </c>
      <c r="I111" s="585">
        <f>INDEX(calcCh2Prod2Slot3CustProfitBase,,xxIndexTeam)/1000</f>
        <v>0</v>
      </c>
      <c r="J111" s="557" t="s">
        <v>6461</v>
      </c>
      <c r="K111" s="577"/>
      <c r="L111" s="721" t="s">
        <v>395</v>
      </c>
      <c r="M111" s="585">
        <f>INDEX(calcCh3Prod2Slot3CustProfitTot,,xxIndexTeam)/1000</f>
        <v>0</v>
      </c>
      <c r="N111" s="557" t="s">
        <v>6444</v>
      </c>
      <c r="O111" s="721"/>
      <c r="P111" s="721" t="s">
        <v>395</v>
      </c>
      <c r="Q111" s="585">
        <f>INDEX(calcCh4Prod2Slot3CustProfitTot,,xxIndexTeam)/1000</f>
        <v>0</v>
      </c>
      <c r="R111" s="557" t="s">
        <v>6427</v>
      </c>
      <c r="S111" s="721"/>
      <c r="T111" s="721" t="s">
        <v>395</v>
      </c>
    </row>
    <row r="112" spans="2:22" ht="15">
      <c r="C112" s="577"/>
      <c r="D112" s="721" t="s">
        <v>14</v>
      </c>
      <c r="E112" s="585">
        <f>INDEX(calcCh1Prod2CustProfitTot,,xxIndexTeam)/1000</f>
        <v>316940.16921335983</v>
      </c>
      <c r="F112" s="603" t="s">
        <v>6479</v>
      </c>
      <c r="G112" s="577"/>
      <c r="H112" s="721" t="s">
        <v>14</v>
      </c>
      <c r="I112" s="585">
        <f>INDEX(calcCh2Prod2CustProfitTot,,xxIndexTeam)/1000</f>
        <v>159094.35017999992</v>
      </c>
      <c r="J112" s="557" t="s">
        <v>6462</v>
      </c>
      <c r="K112" s="577"/>
      <c r="L112" s="721" t="s">
        <v>14</v>
      </c>
      <c r="M112" s="585">
        <f>INDEX(calcCh3Prod2CustProfitTot,,xxIndexTeam)/1000</f>
        <v>189197.48489985004</v>
      </c>
      <c r="N112" s="557" t="s">
        <v>6445</v>
      </c>
      <c r="O112" s="721"/>
      <c r="P112" s="721" t="s">
        <v>14</v>
      </c>
      <c r="Q112" s="585">
        <f>INDEX(calcCh4Prod2CustProfitTot,,xxIndexTeam)/1000</f>
        <v>998823.63923999993</v>
      </c>
      <c r="R112" s="557" t="s">
        <v>6428</v>
      </c>
      <c r="S112" s="721"/>
      <c r="T112" s="721" t="s">
        <v>14</v>
      </c>
      <c r="U112" s="585">
        <f>INDEX(calcProd2CustProfitTot,,xxIndexTeam)</f>
        <v>1664055643.5332098</v>
      </c>
      <c r="V112" s="557" t="s">
        <v>6421</v>
      </c>
    </row>
    <row r="113" spans="3:22" ht="15">
      <c r="C113" s="577"/>
      <c r="D113" s="721"/>
      <c r="E113" s="585"/>
      <c r="F113" s="603"/>
      <c r="G113" s="577"/>
      <c r="H113" s="721"/>
      <c r="I113" s="585"/>
      <c r="J113" s="557"/>
      <c r="K113" s="577"/>
      <c r="L113" s="721"/>
      <c r="M113" s="585"/>
      <c r="N113" s="557"/>
      <c r="O113" s="721"/>
      <c r="P113" s="721"/>
      <c r="Q113" s="585"/>
      <c r="R113" s="557"/>
      <c r="S113" s="721"/>
      <c r="T113" s="721"/>
      <c r="U113" s="585"/>
      <c r="V113" s="557"/>
    </row>
    <row r="114" spans="3:22" ht="15">
      <c r="C114" s="577"/>
      <c r="D114" s="721" t="str">
        <f>nmProd3</f>
        <v>Kara</v>
      </c>
      <c r="E114" s="585"/>
      <c r="F114" s="603"/>
      <c r="G114" s="577"/>
      <c r="H114" s="721" t="str">
        <f>nmProd3</f>
        <v>Kara</v>
      </c>
      <c r="I114" s="585"/>
      <c r="J114" s="557"/>
      <c r="K114" s="577"/>
      <c r="L114" s="721" t="str">
        <f>nmProd3</f>
        <v>Kara</v>
      </c>
      <c r="M114" s="585"/>
      <c r="N114" s="557"/>
      <c r="O114" s="721"/>
      <c r="P114" s="721" t="str">
        <f>nmProd3</f>
        <v>Kara</v>
      </c>
      <c r="Q114" s="585"/>
      <c r="R114" s="557"/>
      <c r="S114" s="721"/>
      <c r="T114" s="721" t="str">
        <f>nmProd3</f>
        <v>Kara</v>
      </c>
      <c r="U114" s="585"/>
      <c r="V114" s="557"/>
    </row>
    <row r="115" spans="3:22" ht="15">
      <c r="C115" s="577"/>
      <c r="D115" s="721" t="s">
        <v>379</v>
      </c>
      <c r="E115" s="585">
        <f>INDEX(calcCh1Prod3Slot1CustProfitTot,,xxIndexTeam)/1000</f>
        <v>94860.807777792012</v>
      </c>
      <c r="F115" s="603" t="s">
        <v>6480</v>
      </c>
      <c r="G115" s="577"/>
      <c r="H115" s="721" t="s">
        <v>379</v>
      </c>
      <c r="I115" s="585">
        <f>INDEX(calcCh2Prod3Slot1CustProfitBase,,xxIndexTeam)/1000</f>
        <v>122044.98095999996</v>
      </c>
      <c r="J115" s="557" t="s">
        <v>6463</v>
      </c>
      <c r="K115" s="577"/>
      <c r="L115" s="721" t="s">
        <v>379</v>
      </c>
      <c r="M115" s="585">
        <f>INDEX(calcCh3Prod3Slot1CustProfitTot,,xxIndexTeam)/1000</f>
        <v>160683.35128444506</v>
      </c>
      <c r="N115" s="557" t="s">
        <v>6446</v>
      </c>
      <c r="O115" s="721"/>
      <c r="P115" s="721" t="s">
        <v>379</v>
      </c>
      <c r="Q115" s="585">
        <f>INDEX(calcCh4Prod3Slot1CustProfitTot,,xxIndexTeam)/1000</f>
        <v>847717.92</v>
      </c>
      <c r="R115" s="557" t="s">
        <v>6429</v>
      </c>
      <c r="S115" s="721"/>
      <c r="T115" s="721" t="s">
        <v>379</v>
      </c>
      <c r="U115" s="585"/>
      <c r="V115" s="557"/>
    </row>
    <row r="116" spans="3:22" ht="15">
      <c r="C116" s="577"/>
      <c r="D116" s="721" t="s">
        <v>394</v>
      </c>
      <c r="E116" s="585">
        <f>INDEX(calcCh1Prod3Slot2CustProfitTot,,xxIndexTeam)/1000</f>
        <v>152656.56432230398</v>
      </c>
      <c r="F116" s="603" t="s">
        <v>6481</v>
      </c>
      <c r="G116" s="577"/>
      <c r="H116" s="721" t="s">
        <v>394</v>
      </c>
      <c r="I116" s="585">
        <f>INDEX(calcCh2Prod3Slot2CustProfitBase,,xxIndexTeam)/1000</f>
        <v>0</v>
      </c>
      <c r="J116" s="557" t="s">
        <v>6464</v>
      </c>
      <c r="K116" s="577"/>
      <c r="L116" s="721" t="s">
        <v>394</v>
      </c>
      <c r="M116" s="585">
        <f>INDEX(calcCh3Prod3Slot2CustProfitTot,,xxIndexTeam)/1000</f>
        <v>0</v>
      </c>
      <c r="N116" s="557" t="s">
        <v>6447</v>
      </c>
      <c r="O116" s="721"/>
      <c r="P116" s="721" t="s">
        <v>394</v>
      </c>
      <c r="Q116" s="585">
        <f>INDEX(calcCh4Prod3Slot2CustProfitTot,,xxIndexTeam)/1000</f>
        <v>0</v>
      </c>
      <c r="R116" s="557" t="s">
        <v>6430</v>
      </c>
      <c r="S116" s="721"/>
      <c r="T116" s="721" t="s">
        <v>394</v>
      </c>
      <c r="U116" s="585"/>
      <c r="V116" s="557"/>
    </row>
    <row r="117" spans="3:22" ht="15">
      <c r="C117" s="577"/>
      <c r="D117" s="721" t="s">
        <v>395</v>
      </c>
      <c r="E117" s="585">
        <f>INDEX(calcCh1Prod3Slot3CustProfitTot,,xxIndexTeam)/1000</f>
        <v>0</v>
      </c>
      <c r="F117" s="603" t="s">
        <v>6482</v>
      </c>
      <c r="G117" s="577"/>
      <c r="H117" s="721" t="s">
        <v>395</v>
      </c>
      <c r="I117" s="585">
        <f>INDEX(calcCh2Prod3Slot3CustProfitBase,,xxIndexTeam)/1000</f>
        <v>0</v>
      </c>
      <c r="J117" s="557" t="s">
        <v>6465</v>
      </c>
      <c r="K117" s="577"/>
      <c r="L117" s="721" t="s">
        <v>395</v>
      </c>
      <c r="M117" s="585">
        <f>INDEX(calcCh3Prod3Slot3CustProfitTot,,xxIndexTeam)/1000</f>
        <v>0</v>
      </c>
      <c r="N117" s="557" t="s">
        <v>6448</v>
      </c>
      <c r="O117" s="721"/>
      <c r="P117" s="721" t="s">
        <v>395</v>
      </c>
      <c r="Q117" s="585">
        <f>INDEX(calcCh4Prod3Slot3CustProfitTot,,xxIndexTeam)/1000</f>
        <v>0</v>
      </c>
      <c r="R117" s="557" t="s">
        <v>6431</v>
      </c>
      <c r="S117" s="721"/>
      <c r="T117" s="721" t="s">
        <v>395</v>
      </c>
      <c r="U117" s="585"/>
      <c r="V117" s="557"/>
    </row>
    <row r="118" spans="3:22" ht="15">
      <c r="C118" s="577"/>
      <c r="D118" s="721" t="s">
        <v>14</v>
      </c>
      <c r="E118" s="585">
        <f>INDEX(calcCh1Prod3CustProfitTot,,xxIndexTeam)/1000</f>
        <v>247517.37210009599</v>
      </c>
      <c r="F118" s="603" t="s">
        <v>6483</v>
      </c>
      <c r="G118" s="577"/>
      <c r="H118" s="721" t="s">
        <v>14</v>
      </c>
      <c r="I118" s="585">
        <f>INDEX(calcCh2Prod3CustProfitTot,,xxIndexTeam)/1000</f>
        <v>122044.98095999996</v>
      </c>
      <c r="J118" s="557" t="s">
        <v>6466</v>
      </c>
      <c r="K118" s="577"/>
      <c r="L118" s="721" t="s">
        <v>14</v>
      </c>
      <c r="M118" s="585">
        <f>INDEX(calcCh3Prod3CustProfitTot,,xxIndexTeam)/1000</f>
        <v>160683.35128444506</v>
      </c>
      <c r="N118" s="557" t="s">
        <v>6449</v>
      </c>
      <c r="O118" s="721"/>
      <c r="P118" s="721" t="s">
        <v>14</v>
      </c>
      <c r="Q118" s="585">
        <f>INDEX(calcCh4Prod3CustProfitTot,,xxIndexTeam)/1000</f>
        <v>847717.92</v>
      </c>
      <c r="R118" s="557" t="s">
        <v>6432</v>
      </c>
      <c r="S118" s="721"/>
      <c r="T118" s="721" t="s">
        <v>14</v>
      </c>
      <c r="U118" s="585">
        <f>INDEX(calcProd3CustProfitTot,,xxIndexTeam)</f>
        <v>1377963624.3445411</v>
      </c>
      <c r="V118" s="557" t="s">
        <v>6422</v>
      </c>
    </row>
    <row r="119" spans="3:22" ht="15">
      <c r="C119" s="577"/>
      <c r="D119" s="721"/>
      <c r="E119" s="585"/>
      <c r="F119" s="603"/>
      <c r="G119" s="577"/>
      <c r="H119" s="721"/>
      <c r="I119" s="585"/>
      <c r="J119" s="557"/>
      <c r="K119" s="577"/>
      <c r="L119" s="721"/>
      <c r="M119" s="585"/>
      <c r="N119" s="557"/>
      <c r="O119" s="721"/>
      <c r="P119" s="721"/>
      <c r="Q119" s="585"/>
      <c r="R119" s="557"/>
      <c r="S119" s="721"/>
      <c r="T119" s="721"/>
      <c r="U119" s="585"/>
      <c r="V119" s="557"/>
    </row>
    <row r="120" spans="3:22" ht="15">
      <c r="C120" s="577"/>
      <c r="D120" s="721" t="str">
        <f>nmProd1</f>
        <v>Greenborg</v>
      </c>
      <c r="E120" s="585"/>
      <c r="F120" s="603"/>
      <c r="G120" s="577"/>
      <c r="H120" s="721" t="str">
        <f>nmProd1</f>
        <v>Greenborg</v>
      </c>
      <c r="I120" s="585"/>
      <c r="J120" s="557"/>
      <c r="K120" s="577"/>
      <c r="L120" s="721" t="str">
        <f>nmProd1</f>
        <v>Greenborg</v>
      </c>
      <c r="M120" s="585"/>
      <c r="N120" s="557"/>
      <c r="O120" s="721"/>
      <c r="P120" s="721" t="str">
        <f>nmProd1</f>
        <v>Greenborg</v>
      </c>
      <c r="Q120" s="585"/>
      <c r="R120" s="557"/>
      <c r="S120" s="721"/>
      <c r="T120" s="721" t="str">
        <f>nmProd1</f>
        <v>Greenborg</v>
      </c>
      <c r="U120" s="585"/>
      <c r="V120" s="557"/>
    </row>
    <row r="121" spans="3:22" ht="15">
      <c r="C121" s="577"/>
      <c r="D121" s="721" t="s">
        <v>379</v>
      </c>
      <c r="E121" s="585">
        <f>INDEX(calcCh1Prod1Slot1CustProfitTot,,xxIndexTeam)/1000</f>
        <v>73954.74669770879</v>
      </c>
      <c r="F121" s="603" t="s">
        <v>6484</v>
      </c>
      <c r="G121" s="577"/>
      <c r="H121" s="721" t="s">
        <v>379</v>
      </c>
      <c r="I121" s="585">
        <f>INDEX(calcCh2Prod1Slot1CustProfitBase,,xxIndexTeam)/1000</f>
        <v>24952.260599999972</v>
      </c>
      <c r="J121" s="557" t="s">
        <v>6467</v>
      </c>
      <c r="K121" s="577"/>
      <c r="L121" s="721" t="s">
        <v>379</v>
      </c>
      <c r="M121" s="585">
        <f>INDEX(calcCh3Prod1Slot1CustProfitTot,,xxIndexTeam)/1000</f>
        <v>77375.182736250048</v>
      </c>
      <c r="N121" s="557" t="s">
        <v>6450</v>
      </c>
      <c r="O121" s="721"/>
      <c r="P121" s="721" t="s">
        <v>379</v>
      </c>
      <c r="Q121" s="585">
        <f>INDEX(calcCh4Prod1Slot1CustProfitTot,,xxIndexTeam)/1000</f>
        <v>1734170.85</v>
      </c>
      <c r="R121" s="557" t="s">
        <v>6433</v>
      </c>
      <c r="S121" s="721"/>
      <c r="T121" s="721" t="s">
        <v>379</v>
      </c>
      <c r="U121" s="585"/>
      <c r="V121" s="557"/>
    </row>
    <row r="122" spans="3:22" ht="15">
      <c r="C122" s="577"/>
      <c r="D122" s="721" t="s">
        <v>394</v>
      </c>
      <c r="E122" s="585">
        <f>INDEX(calcCh1Prod1Slot2CustProfitTot,,xxIndexTeam)/1000</f>
        <v>0</v>
      </c>
      <c r="F122" s="603" t="s">
        <v>6485</v>
      </c>
      <c r="G122" s="577"/>
      <c r="H122" s="721" t="s">
        <v>394</v>
      </c>
      <c r="I122" s="585">
        <f>INDEX(calcCh2Prod1Slot2CustProfitBase,,xxIndexTeam)/1000</f>
        <v>0</v>
      </c>
      <c r="J122" s="557" t="s">
        <v>6468</v>
      </c>
      <c r="K122" s="577"/>
      <c r="L122" s="721" t="s">
        <v>394</v>
      </c>
      <c r="M122" s="585">
        <f>INDEX(calcCh3Prod1Slot2CustProfitTot,,xxIndexTeam)/1000</f>
        <v>0</v>
      </c>
      <c r="N122" s="557" t="s">
        <v>6451</v>
      </c>
      <c r="O122" s="721"/>
      <c r="P122" s="721" t="s">
        <v>394</v>
      </c>
      <c r="Q122" s="585">
        <f>INDEX(calcCh4Prod1Slot2CustProfitTot,,xxIndexTeam)/1000</f>
        <v>0</v>
      </c>
      <c r="R122" s="557" t="s">
        <v>6434</v>
      </c>
      <c r="S122" s="721"/>
      <c r="T122" s="721" t="s">
        <v>394</v>
      </c>
      <c r="U122" s="585"/>
      <c r="V122" s="557"/>
    </row>
    <row r="123" spans="3:22" ht="15">
      <c r="C123" s="577"/>
      <c r="D123" s="721" t="s">
        <v>395</v>
      </c>
      <c r="E123" s="585">
        <f>INDEX(calcCh1Prod1Slot3CustProfitTot,,xxIndexTeam)/1000</f>
        <v>0</v>
      </c>
      <c r="F123" s="603" t="s">
        <v>6486</v>
      </c>
      <c r="G123" s="577"/>
      <c r="H123" s="721" t="s">
        <v>395</v>
      </c>
      <c r="I123" s="585">
        <f>INDEX(calcCh2Prod1Slot3CustProfitBase,,xxIndexTeam)/1000</f>
        <v>0</v>
      </c>
      <c r="J123" s="557" t="s">
        <v>6469</v>
      </c>
      <c r="K123" s="577"/>
      <c r="L123" s="721" t="s">
        <v>395</v>
      </c>
      <c r="M123" s="585">
        <f>INDEX(calcCh3Prod1Slot3CustProfitTot,,xxIndexTeam)/1000</f>
        <v>0</v>
      </c>
      <c r="N123" s="557" t="s">
        <v>6452</v>
      </c>
      <c r="O123" s="721"/>
      <c r="P123" s="721" t="s">
        <v>395</v>
      </c>
      <c r="Q123" s="585">
        <f>INDEX(calcCh4Prod1Slot3CustProfitTot,,xxIndexTeam)/1000</f>
        <v>0</v>
      </c>
      <c r="R123" s="557" t="s">
        <v>6435</v>
      </c>
      <c r="S123" s="721"/>
      <c r="T123" s="721" t="s">
        <v>395</v>
      </c>
      <c r="U123" s="585"/>
      <c r="V123" s="557"/>
    </row>
    <row r="124" spans="3:22" ht="15">
      <c r="C124" s="577"/>
      <c r="D124" s="721" t="s">
        <v>14</v>
      </c>
      <c r="E124" s="585">
        <f>INDEX(calcCh1Prod1CustProfitTot,,xxIndexTeam)/1000</f>
        <v>73954.74669770879</v>
      </c>
      <c r="F124" s="603" t="s">
        <v>6487</v>
      </c>
      <c r="G124" s="577"/>
      <c r="H124" s="721" t="s">
        <v>14</v>
      </c>
      <c r="I124" s="585">
        <f>INDEX(calcCh2Prod1CustProfitTot,,xxIndexTeam)/1000</f>
        <v>24952.260599999972</v>
      </c>
      <c r="J124" s="557" t="s">
        <v>6470</v>
      </c>
      <c r="K124" s="577"/>
      <c r="L124" s="721" t="s">
        <v>14</v>
      </c>
      <c r="M124" s="585">
        <f>INDEX(calcCh3Prod1CustProfitTot,,xxIndexTeam)/1000</f>
        <v>77375.182736250048</v>
      </c>
      <c r="N124" s="557" t="s">
        <v>6453</v>
      </c>
      <c r="O124" s="721"/>
      <c r="P124" s="721" t="s">
        <v>14</v>
      </c>
      <c r="Q124" s="585">
        <f>INDEX(calcCh4Prod1CustProfitTot,,xxIndexTeam)/1000</f>
        <v>1734170.85</v>
      </c>
      <c r="R124" s="557" t="s">
        <v>6436</v>
      </c>
      <c r="S124" s="721"/>
      <c r="T124" s="721" t="s">
        <v>14</v>
      </c>
      <c r="U124" s="585">
        <f>INDEX(calcProd1CustProfitTot,,xxIndexTeam)</f>
        <v>1910453040.0339589</v>
      </c>
      <c r="V124" s="557" t="s">
        <v>6423</v>
      </c>
    </row>
    <row r="125" spans="3:22" ht="15">
      <c r="C125" s="577"/>
      <c r="D125" s="721"/>
      <c r="E125" s="585"/>
      <c r="F125" s="603"/>
      <c r="G125" s="577"/>
      <c r="H125" s="721"/>
      <c r="I125" s="585"/>
      <c r="J125" s="557"/>
      <c r="K125" s="577"/>
      <c r="L125" s="721"/>
      <c r="M125" s="585"/>
      <c r="N125" s="557"/>
      <c r="O125" s="721"/>
      <c r="P125" s="721"/>
      <c r="Q125" s="585"/>
      <c r="R125" s="557"/>
      <c r="S125" s="721"/>
      <c r="T125" s="721"/>
      <c r="U125" s="585"/>
      <c r="V125" s="557"/>
    </row>
    <row r="126" spans="3:22" ht="15">
      <c r="C126" s="577"/>
      <c r="D126" s="721" t="str">
        <f>nmProd4</f>
        <v>Brew Master</v>
      </c>
      <c r="E126" s="585"/>
      <c r="F126" s="603"/>
      <c r="G126" s="577"/>
      <c r="H126" s="721" t="str">
        <f>nmProd4</f>
        <v>Brew Master</v>
      </c>
      <c r="I126" s="585"/>
      <c r="J126" s="557"/>
      <c r="K126" s="577"/>
      <c r="L126" s="721" t="str">
        <f>nmProd4</f>
        <v>Brew Master</v>
      </c>
      <c r="M126" s="585"/>
      <c r="N126" s="557"/>
      <c r="O126" s="721"/>
      <c r="P126" s="721" t="str">
        <f>nmProd4</f>
        <v>Brew Master</v>
      </c>
      <c r="Q126" s="585"/>
      <c r="R126" s="557"/>
      <c r="S126" s="721"/>
      <c r="T126" s="721" t="str">
        <f>nmProd4</f>
        <v>Brew Master</v>
      </c>
      <c r="U126" s="585"/>
      <c r="V126" s="557"/>
    </row>
    <row r="127" spans="3:22" ht="15">
      <c r="C127" s="577"/>
      <c r="D127" s="721" t="s">
        <v>379</v>
      </c>
      <c r="E127" s="585">
        <f>INDEX(calcCh1Prod4Slot1CustProfitTot,,xxIndexTeam)/1000</f>
        <v>0</v>
      </c>
      <c r="F127" s="603" t="s">
        <v>6488</v>
      </c>
      <c r="G127" s="577"/>
      <c r="H127" s="721" t="s">
        <v>379</v>
      </c>
      <c r="I127" s="585">
        <f>INDEX(calcCh2Prod4Slot1CustProfitBase,,xxIndexTeam)/1000</f>
        <v>0</v>
      </c>
      <c r="J127" s="557" t="s">
        <v>6471</v>
      </c>
      <c r="K127" s="577"/>
      <c r="L127" s="721" t="s">
        <v>379</v>
      </c>
      <c r="M127" s="585">
        <f>INDEX(calcCh3Prod4Slot1CustProfitTot,,xxIndexTeam)/1000</f>
        <v>0</v>
      </c>
      <c r="N127" s="557" t="s">
        <v>6454</v>
      </c>
      <c r="O127" s="721"/>
      <c r="P127" s="721" t="s">
        <v>379</v>
      </c>
      <c r="Q127" s="585">
        <f>INDEX(calcCh4Prod4Slot1CustProfitTot,,xxIndexTeam)/1000</f>
        <v>2479479.6862499993</v>
      </c>
      <c r="R127" s="557" t="s">
        <v>6437</v>
      </c>
      <c r="S127" s="721"/>
      <c r="T127" s="721" t="s">
        <v>379</v>
      </c>
      <c r="U127" s="585"/>
      <c r="V127" s="557"/>
    </row>
    <row r="128" spans="3:22" ht="15">
      <c r="C128" s="577"/>
      <c r="D128" s="721" t="s">
        <v>394</v>
      </c>
      <c r="E128" s="585">
        <f>INDEX(calcCh1Prod4Slot2CustProfitTot,,xxIndexTeam)/1000</f>
        <v>0</v>
      </c>
      <c r="F128" s="603" t="s">
        <v>6489</v>
      </c>
      <c r="G128" s="577"/>
      <c r="H128" s="721" t="s">
        <v>394</v>
      </c>
      <c r="I128" s="585">
        <f>INDEX(calcCh2Prod4Slot2CustProfitBase,,xxIndexTeam)/1000</f>
        <v>0</v>
      </c>
      <c r="J128" s="557" t="s">
        <v>6472</v>
      </c>
      <c r="K128" s="577"/>
      <c r="L128" s="721" t="s">
        <v>394</v>
      </c>
      <c r="M128" s="585">
        <f>INDEX(calcCh3Prod4Slot2CustProfitTot,,xxIndexTeam)/1000</f>
        <v>0</v>
      </c>
      <c r="N128" s="557" t="s">
        <v>6455</v>
      </c>
      <c r="O128" s="721"/>
      <c r="P128" s="721" t="s">
        <v>394</v>
      </c>
      <c r="Q128" s="585">
        <f>INDEX(calcCh4Prod4Slot2CustProfitTot,,xxIndexTeam)/1000</f>
        <v>0</v>
      </c>
      <c r="R128" s="557" t="s">
        <v>6438</v>
      </c>
      <c r="S128" s="721"/>
      <c r="T128" s="721" t="s">
        <v>394</v>
      </c>
      <c r="U128" s="585"/>
      <c r="V128" s="557"/>
    </row>
    <row r="129" spans="2:22" ht="15">
      <c r="C129" s="577"/>
      <c r="D129" s="721" t="s">
        <v>395</v>
      </c>
      <c r="E129" s="585">
        <f>INDEX(calcCh1Prod4Slot3CustProfitTot,,xxIndexTeam)/1000</f>
        <v>0</v>
      </c>
      <c r="F129" s="603" t="s">
        <v>6490</v>
      </c>
      <c r="G129" s="577"/>
      <c r="H129" s="721" t="s">
        <v>395</v>
      </c>
      <c r="I129" s="585">
        <f>INDEX(calcCh2Prod4Slot3CustProfitBase,,xxIndexTeam)/1000</f>
        <v>0</v>
      </c>
      <c r="J129" s="557" t="s">
        <v>6473</v>
      </c>
      <c r="K129" s="577"/>
      <c r="L129" s="721" t="s">
        <v>395</v>
      </c>
      <c r="M129" s="585">
        <f>INDEX(calcCh3Prod4Slot3CustProfitTot,,xxIndexTeam)/1000</f>
        <v>0</v>
      </c>
      <c r="N129" s="557" t="s">
        <v>6456</v>
      </c>
      <c r="O129" s="721"/>
      <c r="P129" s="721" t="s">
        <v>395</v>
      </c>
      <c r="Q129" s="585">
        <f>INDEX(calcCh4Prod4Slot3CustProfitTot,,xxIndexTeam)/1000</f>
        <v>0</v>
      </c>
      <c r="R129" s="557" t="s">
        <v>6439</v>
      </c>
      <c r="S129" s="721"/>
      <c r="T129" s="721" t="s">
        <v>395</v>
      </c>
      <c r="U129" s="585"/>
      <c r="V129" s="557"/>
    </row>
    <row r="130" spans="2:22" ht="15">
      <c r="C130" s="577"/>
      <c r="D130" s="721" t="s">
        <v>14</v>
      </c>
      <c r="E130" s="585">
        <f>INDEX(calcCh1Prod4CustProfitTot,,xxIndexTeam)/1000</f>
        <v>0</v>
      </c>
      <c r="F130" s="603" t="s">
        <v>6491</v>
      </c>
      <c r="G130" s="577"/>
      <c r="H130" s="721" t="s">
        <v>14</v>
      </c>
      <c r="I130" s="585">
        <f>INDEX(calcCh2Prod4CustProfitTot,,xxIndexTeam)/1000</f>
        <v>0</v>
      </c>
      <c r="J130" s="557" t="s">
        <v>6474</v>
      </c>
      <c r="K130" s="577"/>
      <c r="L130" s="721" t="s">
        <v>14</v>
      </c>
      <c r="M130" s="585">
        <f>INDEX(calcCh3Prod4CustProfitTot,,xxIndexTeam)/1000</f>
        <v>0</v>
      </c>
      <c r="N130" s="557" t="s">
        <v>6457</v>
      </c>
      <c r="O130" s="721"/>
      <c r="P130" s="721" t="s">
        <v>14</v>
      </c>
      <c r="Q130" s="585">
        <f>INDEX(calcCh4Prod4CustProfitTot,,xxIndexTeam)/1000</f>
        <v>2479479.6862499993</v>
      </c>
      <c r="R130" s="557" t="s">
        <v>6440</v>
      </c>
      <c r="S130" s="721"/>
      <c r="T130" s="721" t="s">
        <v>14</v>
      </c>
      <c r="U130" s="585">
        <f>INDEX(calcProd4CustProfitTot,,xxIndexTeam)</f>
        <v>2479479686.2499995</v>
      </c>
      <c r="V130" s="557" t="s">
        <v>6424</v>
      </c>
    </row>
    <row r="131" spans="2:22" ht="15">
      <c r="C131" s="577"/>
      <c r="D131" s="721"/>
      <c r="E131" s="585"/>
      <c r="F131" s="603"/>
      <c r="G131" s="577"/>
      <c r="H131" s="721"/>
      <c r="I131" s="585"/>
      <c r="J131" s="557"/>
      <c r="K131" s="577"/>
      <c r="L131" s="721"/>
      <c r="M131" s="585"/>
      <c r="N131" s="557"/>
      <c r="O131" s="721"/>
      <c r="P131" s="721"/>
      <c r="Q131" s="585"/>
      <c r="R131" s="557"/>
      <c r="S131" s="721"/>
      <c r="T131" s="721"/>
      <c r="U131" s="585"/>
      <c r="V131" s="557"/>
    </row>
    <row r="132" spans="2:22" ht="15">
      <c r="C132" s="577"/>
      <c r="D132" s="721" t="s">
        <v>12870</v>
      </c>
      <c r="E132" s="585"/>
      <c r="F132" s="603"/>
      <c r="G132" s="577"/>
      <c r="H132" s="721" t="s">
        <v>12870</v>
      </c>
      <c r="I132" s="585"/>
      <c r="J132" s="557"/>
      <c r="K132" s="577"/>
      <c r="L132" s="721" t="s">
        <v>12870</v>
      </c>
      <c r="M132" s="585"/>
      <c r="N132" s="557"/>
      <c r="O132" s="721"/>
      <c r="P132" s="721" t="s">
        <v>12870</v>
      </c>
      <c r="Q132" s="585"/>
      <c r="R132" s="557"/>
      <c r="S132" s="721"/>
      <c r="T132" s="721" t="s">
        <v>12870</v>
      </c>
    </row>
    <row r="133" spans="2:22" ht="15">
      <c r="C133" s="577"/>
      <c r="D133" s="721" t="str">
        <f>nmValDriv1</f>
        <v>Distribution</v>
      </c>
      <c r="E133" s="585">
        <f>INDEX(calcCh1ValDriv1Exp,,xxIndexTeam)/1000</f>
        <v>300</v>
      </c>
      <c r="F133" s="603" t="s">
        <v>4438</v>
      </c>
      <c r="G133" s="577"/>
      <c r="H133" s="721" t="str">
        <f>nmValDriv1</f>
        <v>Distribution</v>
      </c>
      <c r="I133" s="585">
        <f>INDEX(calcCh2ValDriv1Exp,,xxIndexTeam)/1000</f>
        <v>300</v>
      </c>
      <c r="J133" s="557" t="s">
        <v>4841</v>
      </c>
      <c r="K133" s="577"/>
      <c r="L133" s="721" t="str">
        <f>nmValDriv1</f>
        <v>Distribution</v>
      </c>
      <c r="M133" s="585">
        <f>INDEX(calcCh3ValDriv1Exp,,xxIndexTeam)/1000</f>
        <v>300</v>
      </c>
      <c r="N133" s="557" t="s">
        <v>4975</v>
      </c>
      <c r="O133" s="721"/>
      <c r="P133" s="721" t="str">
        <f>nmValDriv1</f>
        <v>Distribution</v>
      </c>
      <c r="Q133" s="585">
        <f>INDEX(calcCh4ValDriv1Exp,,xxIndexTeam)/1000</f>
        <v>300</v>
      </c>
      <c r="R133" s="557" t="s">
        <v>5109</v>
      </c>
      <c r="S133" s="721"/>
      <c r="T133" s="721" t="str">
        <f>nmValDriv1</f>
        <v>Distribution</v>
      </c>
      <c r="U133" s="585">
        <f>E133+I133+M133+Q133</f>
        <v>1200</v>
      </c>
      <c r="V133" s="557" t="s">
        <v>6492</v>
      </c>
    </row>
    <row r="134" spans="2:22" ht="15">
      <c r="C134" s="577"/>
      <c r="D134" s="721" t="str">
        <f>nmValDriv2</f>
        <v>Shelf Space</v>
      </c>
      <c r="E134" s="585">
        <f>INDEX(calcCh1ValDriv2Exp,,xxIndexTeam)/1000</f>
        <v>300</v>
      </c>
      <c r="F134" s="603" t="s">
        <v>4444</v>
      </c>
      <c r="G134" s="577"/>
      <c r="H134" s="721" t="str">
        <f>nmValDriv2</f>
        <v>Shelf Space</v>
      </c>
      <c r="I134" s="585">
        <f>INDEX(calcCh2ValDriv2Exp,,xxIndexTeam)/1000</f>
        <v>300</v>
      </c>
      <c r="J134" s="557" t="s">
        <v>4847</v>
      </c>
      <c r="K134" s="577"/>
      <c r="L134" s="721" t="str">
        <f>nmValDriv2</f>
        <v>Shelf Space</v>
      </c>
      <c r="M134" s="585">
        <f>INDEX(calcCh3ValDriv2Exp,,xxIndexTeam)/1000</f>
        <v>300</v>
      </c>
      <c r="N134" s="557" t="s">
        <v>4981</v>
      </c>
      <c r="O134" s="721"/>
      <c r="P134" s="721" t="str">
        <f>nmValDriv2</f>
        <v>Shelf Space</v>
      </c>
      <c r="Q134" s="585">
        <f>INDEX(calcCh4ValDriv2Exp,,xxIndexTeam)/1000</f>
        <v>300</v>
      </c>
      <c r="R134" s="557" t="s">
        <v>5115</v>
      </c>
      <c r="S134" s="721"/>
      <c r="T134" s="721" t="str">
        <f>nmValDriv2</f>
        <v>Shelf Space</v>
      </c>
      <c r="U134" s="585">
        <f>E134+I134+M134+Q134</f>
        <v>1200</v>
      </c>
      <c r="V134" s="557" t="s">
        <v>6493</v>
      </c>
    </row>
    <row r="135" spans="2:22" ht="15">
      <c r="C135" s="577"/>
      <c r="D135" s="721" t="str">
        <f>nmValDriv3</f>
        <v>Floor Space</v>
      </c>
      <c r="E135" s="585">
        <f>INDEX(calcCh1ValDriv3Exp,,xxIndexTeam)/1000</f>
        <v>300</v>
      </c>
      <c r="F135" s="603" t="s">
        <v>4453</v>
      </c>
      <c r="G135" s="577"/>
      <c r="H135" s="721" t="str">
        <f>nmValDriv3</f>
        <v>Floor Space</v>
      </c>
      <c r="I135" s="585">
        <f>INDEX(calcCh2ValDriv3Exp,,xxIndexTeam)/1000</f>
        <v>300</v>
      </c>
      <c r="J135" s="557" t="s">
        <v>4856</v>
      </c>
      <c r="K135" s="577"/>
      <c r="L135" s="721" t="str">
        <f>nmValDriv3</f>
        <v>Floor Space</v>
      </c>
      <c r="M135" s="585">
        <f>INDEX(calcCh3ValDriv3Exp,,xxIndexTeam)/1000</f>
        <v>300</v>
      </c>
      <c r="N135" s="557" t="s">
        <v>4990</v>
      </c>
      <c r="O135" s="721"/>
      <c r="P135" s="721" t="str">
        <f>nmValDriv3</f>
        <v>Floor Space</v>
      </c>
      <c r="Q135" s="585">
        <f>INDEX(calcCh4ValDriv3Exp,,xxIndexTeam)/1000</f>
        <v>300</v>
      </c>
      <c r="R135" s="557" t="s">
        <v>5124</v>
      </c>
      <c r="S135" s="721"/>
      <c r="T135" s="721" t="str">
        <f>nmValDriv3</f>
        <v>Floor Space</v>
      </c>
      <c r="U135" s="585">
        <f>E135+I135+M135+Q135</f>
        <v>1200</v>
      </c>
      <c r="V135" s="557" t="s">
        <v>6494</v>
      </c>
    </row>
    <row r="136" spans="2:22" ht="15">
      <c r="C136" s="577"/>
      <c r="D136" s="721" t="str">
        <f>nmValDriv4</f>
        <v>Cool Space</v>
      </c>
      <c r="E136" s="585">
        <f>INDEX(calcCh1ValDriv4Exp,,xxIndexTeam)/1000</f>
        <v>300</v>
      </c>
      <c r="F136" s="603" t="s">
        <v>4459</v>
      </c>
      <c r="G136" s="577"/>
      <c r="H136" s="721" t="str">
        <f>nmValDriv4</f>
        <v>Cool Space</v>
      </c>
      <c r="I136" s="585">
        <f>INDEX(calcCh2ValDriv4Exp,,xxIndexTeam)/1000</f>
        <v>300</v>
      </c>
      <c r="J136" s="557" t="s">
        <v>4862</v>
      </c>
      <c r="K136" s="577"/>
      <c r="L136" s="721" t="str">
        <f>nmValDriv4</f>
        <v>Cool Space</v>
      </c>
      <c r="M136" s="585">
        <f>INDEX(calcCh3ValDriv4Exp,,xxIndexTeam)/1000</f>
        <v>300</v>
      </c>
      <c r="N136" s="557" t="s">
        <v>4996</v>
      </c>
      <c r="O136" s="721"/>
      <c r="P136" s="721" t="str">
        <f>nmValDriv4</f>
        <v>Cool Space</v>
      </c>
      <c r="Q136" s="585">
        <f>INDEX(calcCh4ValDriv4Exp,,xxIndexTeam)/1000</f>
        <v>300</v>
      </c>
      <c r="R136" s="557" t="s">
        <v>5130</v>
      </c>
      <c r="S136" s="721"/>
      <c r="T136" s="721" t="str">
        <f>nmValDriv4</f>
        <v>Cool Space</v>
      </c>
      <c r="U136" s="585">
        <f>E136+I136+M136+Q136</f>
        <v>1200</v>
      </c>
      <c r="V136" s="557" t="s">
        <v>6495</v>
      </c>
    </row>
    <row r="137" spans="2:22" ht="15">
      <c r="C137" s="577"/>
      <c r="D137" s="721" t="str">
        <f>nmValDriv5</f>
        <v>Visibility</v>
      </c>
      <c r="E137" s="585">
        <f>INDEX(calcCh1ValDriv5Exp,,xxIndexTeam)/1000</f>
        <v>300</v>
      </c>
      <c r="F137" s="603" t="s">
        <v>4460</v>
      </c>
      <c r="G137" s="577"/>
      <c r="H137" s="721" t="str">
        <f>nmValDriv5</f>
        <v>Visibility</v>
      </c>
      <c r="I137" s="585">
        <f>INDEX(calcCh2ValDriv5Exp,,xxIndexTeam)/1000</f>
        <v>300</v>
      </c>
      <c r="J137" s="557" t="s">
        <v>4863</v>
      </c>
      <c r="K137" s="577"/>
      <c r="L137" s="721" t="str">
        <f>nmValDriv5</f>
        <v>Visibility</v>
      </c>
      <c r="M137" s="585">
        <f>INDEX(calcCh3ValDriv5Exp,,xxIndexTeam)/1000</f>
        <v>300</v>
      </c>
      <c r="N137" s="557" t="s">
        <v>4997</v>
      </c>
      <c r="O137" s="721"/>
      <c r="P137" s="721" t="str">
        <f>nmValDriv5</f>
        <v>Visibility</v>
      </c>
      <c r="Q137" s="585">
        <f>INDEX(calcCh4ValDriv5Exp,,xxIndexTeam)/1000</f>
        <v>300</v>
      </c>
      <c r="R137" s="557" t="s">
        <v>5131</v>
      </c>
      <c r="S137" s="721"/>
      <c r="T137" s="721" t="str">
        <f>nmValDriv5</f>
        <v>Visibility</v>
      </c>
      <c r="U137" s="585">
        <f>E137+I137+M137+Q137</f>
        <v>1200</v>
      </c>
      <c r="V137" s="557" t="s">
        <v>6496</v>
      </c>
    </row>
    <row r="138" spans="2:22" ht="15">
      <c r="C138" s="577"/>
      <c r="D138" s="721" t="s">
        <v>14</v>
      </c>
      <c r="E138" s="585">
        <f>INDEX(calcCh1ValDrivExpTot,,xxIndexTeam)/1000</f>
        <v>1500</v>
      </c>
      <c r="F138" s="603" t="s">
        <v>5642</v>
      </c>
      <c r="G138" s="577"/>
      <c r="H138" s="721" t="s">
        <v>14</v>
      </c>
      <c r="I138" s="585">
        <f>INDEX(calcCh2ValDrivExpTot,,xxIndexTeam)/1000</f>
        <v>1500</v>
      </c>
      <c r="J138" s="557" t="s">
        <v>6475</v>
      </c>
      <c r="K138" s="577"/>
      <c r="L138" s="721" t="s">
        <v>14</v>
      </c>
      <c r="M138" s="585">
        <f>INDEX(calcCh3ValDrivExpTot,,xxIndexTeam)/1000</f>
        <v>1500</v>
      </c>
      <c r="N138" s="557" t="s">
        <v>6458</v>
      </c>
      <c r="O138" s="721"/>
      <c r="P138" s="721" t="s">
        <v>14</v>
      </c>
      <c r="Q138" s="585">
        <f>INDEX(calcCh4ValDrivExpTot,,xxIndexTeam)/1000</f>
        <v>1500</v>
      </c>
      <c r="R138" s="557" t="s">
        <v>6441</v>
      </c>
      <c r="S138" s="721"/>
      <c r="T138" s="721" t="s">
        <v>14</v>
      </c>
      <c r="U138" s="585">
        <f>SUM(U133:U137)</f>
        <v>6000</v>
      </c>
      <c r="V138" s="557" t="s">
        <v>6497</v>
      </c>
    </row>
    <row r="139" spans="2:22" ht="15">
      <c r="C139" s="577"/>
      <c r="D139" s="721"/>
      <c r="E139" s="585"/>
      <c r="F139" s="603"/>
      <c r="G139" s="577"/>
      <c r="H139" s="721"/>
      <c r="I139" s="585"/>
      <c r="J139" s="557"/>
      <c r="K139" s="577"/>
      <c r="L139" s="721"/>
      <c r="M139" s="585"/>
      <c r="N139" s="557"/>
      <c r="O139" s="721"/>
      <c r="P139" s="721"/>
      <c r="Q139" s="585"/>
      <c r="R139" s="557"/>
      <c r="S139" s="721"/>
      <c r="T139" s="721"/>
      <c r="U139" s="585"/>
      <c r="V139" s="557"/>
    </row>
    <row r="140" spans="2:22" ht="15.75" thickBot="1">
      <c r="C140" s="576"/>
      <c r="D140" s="568" t="s">
        <v>4406</v>
      </c>
      <c r="E140" s="574">
        <f>INDEX(calcCh1CustProfitTot,,xxIndexTeam)/1000</f>
        <v>639912.28801116464</v>
      </c>
      <c r="F140" s="602" t="s">
        <v>4466</v>
      </c>
      <c r="G140" s="576"/>
      <c r="H140" s="568" t="s">
        <v>4406</v>
      </c>
      <c r="I140" s="574">
        <f>INDEX(calcCh2CustProfitTot,,xxIndexTeam)/1000</f>
        <v>307591.59173999983</v>
      </c>
      <c r="J140" s="556" t="s">
        <v>4869</v>
      </c>
      <c r="K140" s="576"/>
      <c r="L140" s="568" t="s">
        <v>4406</v>
      </c>
      <c r="M140" s="574">
        <f>INDEX(calcCh3CustProfitTot,,xxIndexTeam)/1000</f>
        <v>428756.01892054512</v>
      </c>
      <c r="N140" s="556" t="s">
        <v>5003</v>
      </c>
      <c r="O140" s="568"/>
      <c r="P140" s="568" t="s">
        <v>4406</v>
      </c>
      <c r="Q140" s="574">
        <f>INDEX(calcCh4CustProfitTot,,xxIndexTeam)/1000</f>
        <v>6061692.0954900002</v>
      </c>
      <c r="R140" s="556" t="s">
        <v>5137</v>
      </c>
      <c r="S140" s="568"/>
      <c r="T140" s="568" t="s">
        <v>4406</v>
      </c>
      <c r="U140" s="574">
        <f>tlOutputProd2CustProfitTot+tlOutputProd3CustProfitTot+tlOutputProd1CustProfitTot+tlOutputProd4CustProfitTot+tlOutputValDrivExpTot</f>
        <v>7431957994.1617088</v>
      </c>
      <c r="V140" s="556" t="s">
        <v>6498</v>
      </c>
    </row>
    <row r="142" spans="2:22">
      <c r="B142" s="628" t="s">
        <v>6504</v>
      </c>
      <c r="C142" s="612" t="s">
        <v>6499</v>
      </c>
      <c r="I142" s="973"/>
    </row>
    <row r="143" spans="2:22" ht="15" thickBot="1">
      <c r="C143" s="612" t="s">
        <v>743</v>
      </c>
      <c r="G143" s="612" t="str">
        <f>nmSi</f>
        <v>Strategic Initiatives</v>
      </c>
      <c r="K143" s="612" t="str">
        <f>nmEmp1&amp;" Chart"</f>
        <v>MTUs Chart</v>
      </c>
      <c r="O143" s="801" t="s">
        <v>3299</v>
      </c>
    </row>
    <row r="144" spans="2:22">
      <c r="C144" s="807"/>
      <c r="D144" s="813" t="str">
        <f>nmEmp1&amp;" Required"</f>
        <v>MTUs Required</v>
      </c>
      <c r="E144" s="813">
        <f>INDEX(calcPackInnovation1Emp1Req,,xxIndexTeam)</f>
        <v>0</v>
      </c>
      <c r="F144" s="812" t="s">
        <v>6513</v>
      </c>
      <c r="G144" s="807"/>
      <c r="H144" s="813" t="s">
        <v>6505</v>
      </c>
      <c r="I144" s="813"/>
      <c r="J144" s="812"/>
      <c r="K144" s="807"/>
      <c r="L144" s="813" t="str">
        <f>"MTU Allocation"</f>
        <v>MTU Allocation</v>
      </c>
      <c r="M144" s="813" t="str">
        <f>"MTU Allocation"</f>
        <v>MTU Allocation</v>
      </c>
      <c r="N144" s="812" t="s">
        <v>6544</v>
      </c>
      <c r="O144" s="807"/>
      <c r="P144" s="813"/>
      <c r="Q144" s="813"/>
      <c r="R144" s="812"/>
    </row>
    <row r="145" spans="3:18">
      <c r="C145" s="810"/>
      <c r="D145" s="814"/>
      <c r="E145" s="814">
        <f>INDEX(calcPackInnovation2Emp1Req,,xxIndexTeam)</f>
        <v>0</v>
      </c>
      <c r="F145" s="811" t="s">
        <v>6514</v>
      </c>
      <c r="G145" s="810"/>
      <c r="H145" s="814" t="s">
        <v>752</v>
      </c>
      <c r="I145" s="814"/>
      <c r="J145" s="811"/>
      <c r="K145" s="810"/>
      <c r="L145" s="814" t="s">
        <v>743</v>
      </c>
      <c r="M145" s="814">
        <f>INDEX(calcPackInnovationEmp1ReqTot,,xxIndexTeam)</f>
        <v>0</v>
      </c>
      <c r="N145" s="811" t="s">
        <v>6506</v>
      </c>
      <c r="O145" s="810"/>
      <c r="P145" s="814"/>
      <c r="Q145" s="814"/>
      <c r="R145" s="811"/>
    </row>
    <row r="146" spans="3:18">
      <c r="C146" s="810"/>
      <c r="D146" s="814"/>
      <c r="E146" s="814"/>
      <c r="F146" s="811"/>
      <c r="G146" s="810"/>
      <c r="H146" s="814" t="s">
        <v>68</v>
      </c>
      <c r="I146" s="814">
        <f>INDEX(cbalSI1CodeR1,,xxIndexTeam)</f>
        <v>0</v>
      </c>
      <c r="J146" s="811" t="s">
        <v>6517</v>
      </c>
      <c r="K146" s="810"/>
      <c r="L146" s="814" t="s">
        <v>780</v>
      </c>
      <c r="M146" s="814">
        <f>INDEX(calcCh1Promo1PlanEmp1ReqTot,,xxIndexTeam)+INDEX(calcCh1Promo2PlanEmp1ReqTot,,xxIndexTeam)+INDEX(calcCh3Promo1PlanEmp1ReqTot,,xxIndexTeam)+INDEX(calcCh4Promo1PlanEmp1ReqTot,,xxIndexTeam)</f>
        <v>18</v>
      </c>
      <c r="N146" s="811" t="s">
        <v>6507</v>
      </c>
      <c r="O146" s="810"/>
      <c r="P146" s="814" t="s">
        <v>10249</v>
      </c>
      <c r="Q146" s="814">
        <f t="shared" ref="Q146:Q151" si="2">tlInputReport1</f>
        <v>0</v>
      </c>
      <c r="R146" s="811" t="s">
        <v>10255</v>
      </c>
    </row>
    <row r="147" spans="3:18">
      <c r="C147" s="810"/>
      <c r="D147" s="814" t="s">
        <v>748</v>
      </c>
      <c r="E147" s="814">
        <f>INDEX(calcPackInnovation1Exp,,xxIndexTeam)</f>
        <v>0</v>
      </c>
      <c r="F147" s="811" t="s">
        <v>6515</v>
      </c>
      <c r="G147" s="810"/>
      <c r="H147" s="814" t="s">
        <v>69</v>
      </c>
      <c r="I147" s="814">
        <f>INDEX(cbalSI2CodeR1,,xxIndexTeam)</f>
        <v>0</v>
      </c>
      <c r="J147" s="811" t="s">
        <v>6518</v>
      </c>
      <c r="K147" s="810"/>
      <c r="L147" s="814" t="s">
        <v>807</v>
      </c>
      <c r="M147" s="814">
        <f>INDEX(calcMarkPlanEmp1ReqTot,,xxIndexTeam)</f>
        <v>0</v>
      </c>
      <c r="N147" s="811" t="s">
        <v>6508</v>
      </c>
      <c r="O147" s="810"/>
      <c r="P147" s="814" t="s">
        <v>10250</v>
      </c>
      <c r="Q147" s="814">
        <f t="shared" si="2"/>
        <v>0</v>
      </c>
      <c r="R147" s="811" t="s">
        <v>10256</v>
      </c>
    </row>
    <row r="148" spans="3:18">
      <c r="C148" s="810"/>
      <c r="D148" s="814"/>
      <c r="E148" s="814">
        <f>INDEX(calcPackInnovation2Exp,,xxIndexTeam)</f>
        <v>0</v>
      </c>
      <c r="F148" s="811" t="s">
        <v>6516</v>
      </c>
      <c r="G148" s="810"/>
      <c r="H148" s="814" t="s">
        <v>89</v>
      </c>
      <c r="I148" s="814">
        <f>INDEX(cbalSI3CodeR1,,xxIndexTeam)</f>
        <v>0</v>
      </c>
      <c r="J148" s="811" t="s">
        <v>6519</v>
      </c>
      <c r="K148" s="810"/>
      <c r="L148" s="814" t="s">
        <v>67</v>
      </c>
      <c r="M148" s="814">
        <f>INDEX(paramSIEmp1,,xxIndexTeam)</f>
        <v>0</v>
      </c>
      <c r="N148" s="811" t="s">
        <v>6509</v>
      </c>
      <c r="O148" s="810"/>
      <c r="P148" s="814" t="s">
        <v>10251</v>
      </c>
      <c r="Q148" s="814">
        <f t="shared" si="2"/>
        <v>0</v>
      </c>
      <c r="R148" s="811" t="s">
        <v>10257</v>
      </c>
    </row>
    <row r="149" spans="3:18">
      <c r="C149" s="810"/>
      <c r="D149" s="814"/>
      <c r="E149" s="814"/>
      <c r="F149" s="811"/>
      <c r="G149" s="810"/>
      <c r="H149" s="814"/>
      <c r="I149" s="814"/>
      <c r="J149" s="811"/>
      <c r="K149" s="810"/>
      <c r="L149" s="814" t="s">
        <v>1303</v>
      </c>
      <c r="M149" s="814">
        <f>INDEX(calcCh1ValDrivEmp1ReqTot,,xxIndexTeam)+INDEX(calcCh2ValDrivEmp1ReqTot,,xxIndexTeam)+INDEX(calcCh3ValDrivEmp1ReqTot,,xxIndexTeam)+INDEX(calcCh4ValDrivEmp1ReqTot,,xxIndexTeam)</f>
        <v>20</v>
      </c>
      <c r="N149" s="811" t="s">
        <v>6510</v>
      </c>
      <c r="O149" s="810"/>
      <c r="P149" s="814" t="s">
        <v>10252</v>
      </c>
      <c r="Q149" s="814">
        <f t="shared" si="2"/>
        <v>0</v>
      </c>
      <c r="R149" s="811" t="s">
        <v>10258</v>
      </c>
    </row>
    <row r="150" spans="3:18">
      <c r="C150" s="810"/>
      <c r="D150" s="814"/>
      <c r="E150" s="814"/>
      <c r="F150" s="811"/>
      <c r="G150" s="810"/>
      <c r="H150" s="814" t="s">
        <v>753</v>
      </c>
      <c r="I150" s="814"/>
      <c r="J150" s="811"/>
      <c r="K150" s="810"/>
      <c r="L150" s="720" t="s">
        <v>6585</v>
      </c>
      <c r="M150" s="814">
        <f>INDEX(calcCh1SlotsTotEmp1Req,,xxIndexTeam)+INDEX(calcCh2SlotsTotEmp1Req,,xxIndexTeam)+INDEX(calcCh3SlotsTotEmp1Req,,xxIndexTeam)+INDEX(calcCh4SlotsTotEmp1Req,,xxIndexTeam)</f>
        <v>0</v>
      </c>
      <c r="N150" s="811" t="s">
        <v>8992</v>
      </c>
      <c r="O150" s="810"/>
      <c r="P150" s="814" t="s">
        <v>10253</v>
      </c>
      <c r="Q150" s="814">
        <f t="shared" si="2"/>
        <v>0</v>
      </c>
      <c r="R150" s="811" t="s">
        <v>10259</v>
      </c>
    </row>
    <row r="151" spans="3:18">
      <c r="C151" s="810"/>
      <c r="D151" s="814"/>
      <c r="E151" s="814"/>
      <c r="F151" s="811"/>
      <c r="G151" s="810"/>
      <c r="H151" s="814" t="s">
        <v>68</v>
      </c>
      <c r="I151" s="814">
        <f>INDEX(cbalSI1CodeR2,,xxIndexTeam)</f>
        <v>0</v>
      </c>
      <c r="J151" s="811" t="s">
        <v>6520</v>
      </c>
      <c r="K151" s="810"/>
      <c r="L151" s="720" t="s">
        <v>8990</v>
      </c>
      <c r="M151" s="720">
        <f>INDEX(calcCh1AnalyticsEmp1Req,,xxIndexTeam)+INDEX(calcCh2AnalyticsEmp1Req,,xxIndexTeam)+INDEX(calcCh3AnalyticsEmp1Req,,xxIndexTeam)+INDEX(calcCh4AnalyticsEmp1Req,,xxIndexTeam)+INDEX(calcReportEmp1Req,,xxIndexTeam)</f>
        <v>0</v>
      </c>
      <c r="N151" s="811" t="s">
        <v>8991</v>
      </c>
      <c r="O151" s="810"/>
      <c r="P151" s="814" t="s">
        <v>10254</v>
      </c>
      <c r="Q151" s="814">
        <f t="shared" si="2"/>
        <v>0</v>
      </c>
      <c r="R151" s="811" t="s">
        <v>10260</v>
      </c>
    </row>
    <row r="152" spans="3:18">
      <c r="C152" s="810"/>
      <c r="D152" s="814"/>
      <c r="E152" s="814"/>
      <c r="F152" s="811"/>
      <c r="G152" s="810"/>
      <c r="H152" s="814" t="s">
        <v>69</v>
      </c>
      <c r="I152" s="814">
        <f>INDEX(cbalSI2CodeR2,,xxIndexTeam)</f>
        <v>0</v>
      </c>
      <c r="J152" s="811" t="s">
        <v>6521</v>
      </c>
      <c r="K152" s="810"/>
      <c r="L152" s="814" t="s">
        <v>6512</v>
      </c>
      <c r="M152" s="814">
        <f>INDEX(CalcEmp1Unassigned,,xxIndexTeam)</f>
        <v>62</v>
      </c>
      <c r="N152" s="811" t="s">
        <v>6511</v>
      </c>
      <c r="O152" s="810"/>
      <c r="P152" s="814"/>
      <c r="Q152" s="814"/>
      <c r="R152" s="811"/>
    </row>
    <row r="153" spans="3:18">
      <c r="C153" s="810"/>
      <c r="D153" s="814"/>
      <c r="E153" s="814"/>
      <c r="F153" s="811"/>
      <c r="G153" s="810"/>
      <c r="H153" s="814" t="s">
        <v>89</v>
      </c>
      <c r="I153" s="814">
        <f>INDEX(cbalSI3CodeR2,,xxIndexTeam)</f>
        <v>0</v>
      </c>
      <c r="J153" s="811" t="s">
        <v>6522</v>
      </c>
      <c r="K153" s="810"/>
      <c r="L153" s="814"/>
      <c r="M153" s="814"/>
      <c r="N153" s="811"/>
      <c r="O153" s="810"/>
      <c r="P153" s="814"/>
      <c r="Q153" s="814"/>
      <c r="R153" s="811"/>
    </row>
    <row r="154" spans="3:18">
      <c r="C154" s="810"/>
      <c r="D154" s="814"/>
      <c r="E154" s="814"/>
      <c r="F154" s="811"/>
      <c r="G154" s="810"/>
      <c r="H154" s="814"/>
      <c r="I154" s="814"/>
      <c r="J154" s="811"/>
      <c r="K154" s="810"/>
      <c r="L154" s="814"/>
      <c r="M154" s="814"/>
      <c r="N154" s="811"/>
      <c r="O154" s="810"/>
      <c r="P154" s="814"/>
      <c r="Q154" s="814"/>
      <c r="R154" s="811"/>
    </row>
    <row r="155" spans="3:18">
      <c r="C155" s="810"/>
      <c r="D155" s="814"/>
      <c r="E155" s="814"/>
      <c r="F155" s="811"/>
      <c r="G155" s="810"/>
      <c r="H155" s="814" t="s">
        <v>754</v>
      </c>
      <c r="I155" s="814"/>
      <c r="J155" s="811"/>
      <c r="K155" s="810"/>
      <c r="L155" s="814"/>
      <c r="M155" s="814"/>
      <c r="N155" s="811"/>
      <c r="O155" s="810"/>
      <c r="P155" s="814"/>
      <c r="Q155" s="814"/>
      <c r="R155" s="811"/>
    </row>
    <row r="156" spans="3:18">
      <c r="C156" s="810"/>
      <c r="D156" s="814"/>
      <c r="E156" s="814"/>
      <c r="F156" s="811"/>
      <c r="G156" s="810"/>
      <c r="H156" s="814" t="s">
        <v>68</v>
      </c>
      <c r="I156" s="814">
        <f>INDEX(cbalSI1CodeR3,,xxIndexTeam)</f>
        <v>0</v>
      </c>
      <c r="J156" s="811" t="s">
        <v>6523</v>
      </c>
      <c r="K156" s="810"/>
      <c r="L156" s="814"/>
      <c r="M156" s="814"/>
      <c r="N156" s="811"/>
      <c r="O156" s="810"/>
      <c r="P156" s="814"/>
      <c r="Q156" s="814"/>
      <c r="R156" s="811"/>
    </row>
    <row r="157" spans="3:18">
      <c r="C157" s="810"/>
      <c r="D157" s="814"/>
      <c r="E157" s="814"/>
      <c r="F157" s="811"/>
      <c r="G157" s="810"/>
      <c r="H157" s="814" t="s">
        <v>69</v>
      </c>
      <c r="I157" s="814">
        <f>INDEX(cbalSI2CodeR3,,xxIndexTeam)</f>
        <v>0</v>
      </c>
      <c r="J157" s="811" t="s">
        <v>6524</v>
      </c>
      <c r="K157" s="810"/>
      <c r="L157" s="814"/>
      <c r="M157" s="814"/>
      <c r="N157" s="811"/>
      <c r="O157" s="810"/>
      <c r="P157" s="814"/>
      <c r="Q157" s="814"/>
      <c r="R157" s="811"/>
    </row>
    <row r="158" spans="3:18">
      <c r="C158" s="810"/>
      <c r="D158" s="814"/>
      <c r="E158" s="814"/>
      <c r="F158" s="811"/>
      <c r="G158" s="810"/>
      <c r="H158" s="814" t="s">
        <v>89</v>
      </c>
      <c r="I158" s="814">
        <f>INDEX(cbalSI3CodeR3,,xxIndexTeam)</f>
        <v>0</v>
      </c>
      <c r="J158" s="811" t="s">
        <v>6525</v>
      </c>
      <c r="K158" s="810"/>
      <c r="L158" s="814"/>
      <c r="M158" s="814"/>
      <c r="N158" s="811"/>
      <c r="O158" s="810"/>
      <c r="P158" s="814"/>
      <c r="Q158" s="814"/>
      <c r="R158" s="811"/>
    </row>
    <row r="159" spans="3:18">
      <c r="C159" s="810"/>
      <c r="D159" s="814"/>
      <c r="E159" s="814"/>
      <c r="F159" s="811"/>
      <c r="G159" s="810"/>
      <c r="H159" s="814"/>
      <c r="I159" s="814"/>
      <c r="J159" s="811"/>
      <c r="K159" s="810"/>
      <c r="L159" s="814"/>
      <c r="M159" s="814"/>
      <c r="N159" s="811"/>
      <c r="O159" s="810"/>
      <c r="P159" s="814"/>
      <c r="Q159" s="814"/>
      <c r="R159" s="811"/>
    </row>
    <row r="160" spans="3:18">
      <c r="C160" s="810"/>
      <c r="D160" s="814"/>
      <c r="E160" s="814"/>
      <c r="F160" s="811"/>
      <c r="G160" s="810"/>
      <c r="H160" s="814" t="s">
        <v>6535</v>
      </c>
      <c r="I160" s="814" t="str">
        <f>IF(I146=0,"",INDEX(SI_Name,MATCH(I146,SI_Code,0)))</f>
        <v/>
      </c>
      <c r="J160" s="811" t="s">
        <v>6526</v>
      </c>
      <c r="K160" s="810"/>
      <c r="L160" s="814"/>
      <c r="M160" s="814"/>
      <c r="N160" s="811"/>
      <c r="O160" s="810"/>
      <c r="P160" s="814"/>
      <c r="Q160" s="814"/>
      <c r="R160" s="811"/>
    </row>
    <row r="161" spans="1:18">
      <c r="C161" s="810"/>
      <c r="D161" s="814"/>
      <c r="E161" s="814"/>
      <c r="F161" s="811"/>
      <c r="G161" s="810"/>
      <c r="H161" s="814" t="s">
        <v>6536</v>
      </c>
      <c r="I161" s="814" t="str">
        <f>IF(I147=0,"",INDEX(SI_Name,MATCH(I147,SI_Code,0)))</f>
        <v/>
      </c>
      <c r="J161" s="811" t="s">
        <v>6534</v>
      </c>
      <c r="K161" s="810"/>
      <c r="L161" s="814"/>
      <c r="M161" s="814"/>
      <c r="N161" s="811"/>
      <c r="O161" s="810"/>
      <c r="P161" s="814"/>
      <c r="Q161" s="814"/>
      <c r="R161" s="811"/>
    </row>
    <row r="162" spans="1:18">
      <c r="C162" s="810"/>
      <c r="D162" s="814"/>
      <c r="E162" s="814"/>
      <c r="F162" s="811"/>
      <c r="G162" s="810"/>
      <c r="H162" s="814" t="s">
        <v>6537</v>
      </c>
      <c r="I162" s="814" t="str">
        <f>IF(I148=0,"",INDEX(SI_Name,MATCH(I148,SI_Code,0)))</f>
        <v/>
      </c>
      <c r="J162" s="811" t="s">
        <v>6533</v>
      </c>
      <c r="K162" s="810"/>
      <c r="L162" s="814"/>
      <c r="M162" s="814"/>
      <c r="N162" s="811"/>
      <c r="O162" s="810"/>
      <c r="P162" s="814"/>
      <c r="Q162" s="814"/>
      <c r="R162" s="811"/>
    </row>
    <row r="163" spans="1:18">
      <c r="C163" s="810"/>
      <c r="D163" s="814"/>
      <c r="E163" s="814"/>
      <c r="F163" s="811"/>
      <c r="G163" s="810"/>
      <c r="H163" s="814"/>
      <c r="I163" s="814"/>
      <c r="J163" s="811"/>
      <c r="K163" s="810"/>
      <c r="L163" s="814"/>
      <c r="M163" s="814"/>
      <c r="N163" s="811"/>
      <c r="O163" s="810"/>
      <c r="P163" s="814"/>
      <c r="Q163" s="814"/>
      <c r="R163" s="811"/>
    </row>
    <row r="164" spans="1:18">
      <c r="C164" s="810"/>
      <c r="D164" s="814"/>
      <c r="E164" s="814"/>
      <c r="F164" s="811"/>
      <c r="G164" s="810"/>
      <c r="H164" s="814"/>
      <c r="I164" s="814"/>
      <c r="J164" s="811"/>
      <c r="K164" s="810"/>
      <c r="L164" s="814"/>
      <c r="M164" s="814"/>
      <c r="N164" s="811"/>
      <c r="O164" s="810"/>
      <c r="P164" s="814"/>
      <c r="Q164" s="814"/>
      <c r="R164" s="811"/>
    </row>
    <row r="165" spans="1:18">
      <c r="C165" s="810"/>
      <c r="D165" s="814"/>
      <c r="E165" s="814"/>
      <c r="F165" s="811"/>
      <c r="G165" s="810"/>
      <c r="H165" s="814" t="s">
        <v>6538</v>
      </c>
      <c r="I165" s="814" t="str">
        <f>IF(I151=0,"",INDEX(SI_Name,MATCH(I151,SI_Code,0)))</f>
        <v/>
      </c>
      <c r="J165" s="811" t="s">
        <v>6527</v>
      </c>
      <c r="K165" s="810"/>
      <c r="L165" s="814"/>
      <c r="M165" s="814"/>
      <c r="N165" s="811"/>
      <c r="O165" s="810"/>
      <c r="P165" s="814"/>
      <c r="Q165" s="814"/>
      <c r="R165" s="811"/>
    </row>
    <row r="166" spans="1:18">
      <c r="C166" s="810"/>
      <c r="D166" s="814"/>
      <c r="E166" s="814"/>
      <c r="F166" s="811"/>
      <c r="G166" s="810"/>
      <c r="H166" s="814" t="s">
        <v>6539</v>
      </c>
      <c r="I166" s="814" t="str">
        <f>IF(I152=0,"",INDEX(SI_Name,MATCH(I152,SI_Code,0)))</f>
        <v/>
      </c>
      <c r="J166" s="811" t="s">
        <v>6532</v>
      </c>
      <c r="K166" s="810"/>
      <c r="L166" s="814"/>
      <c r="M166" s="814"/>
      <c r="N166" s="811"/>
      <c r="O166" s="810"/>
      <c r="P166" s="814"/>
      <c r="Q166" s="814"/>
      <c r="R166" s="811"/>
    </row>
    <row r="167" spans="1:18">
      <c r="C167" s="810"/>
      <c r="D167" s="814"/>
      <c r="E167" s="814"/>
      <c r="F167" s="811"/>
      <c r="G167" s="810"/>
      <c r="H167" s="814" t="s">
        <v>6540</v>
      </c>
      <c r="I167" s="814" t="str">
        <f>IF(I153=0,"",INDEX(SI_Name,MATCH(I153,SI_Code,0)))</f>
        <v/>
      </c>
      <c r="J167" s="811" t="s">
        <v>6531</v>
      </c>
      <c r="K167" s="810"/>
      <c r="L167" s="814"/>
      <c r="M167" s="814"/>
      <c r="N167" s="811"/>
      <c r="O167" s="810"/>
      <c r="P167" s="814"/>
      <c r="Q167" s="814"/>
      <c r="R167" s="811"/>
    </row>
    <row r="168" spans="1:18">
      <c r="C168" s="810"/>
      <c r="D168" s="814"/>
      <c r="E168" s="814"/>
      <c r="F168" s="811"/>
      <c r="G168" s="810"/>
      <c r="H168" s="814"/>
      <c r="I168" s="814"/>
      <c r="J168" s="811"/>
      <c r="K168" s="810"/>
      <c r="L168" s="814"/>
      <c r="M168" s="814"/>
      <c r="N168" s="811"/>
      <c r="O168" s="810"/>
      <c r="P168" s="814"/>
      <c r="Q168" s="814"/>
      <c r="R168" s="811"/>
    </row>
    <row r="169" spans="1:18">
      <c r="C169" s="810"/>
      <c r="D169" s="814"/>
      <c r="E169" s="814"/>
      <c r="F169" s="811"/>
      <c r="G169" s="810"/>
      <c r="H169" s="814"/>
      <c r="I169" s="814"/>
      <c r="J169" s="811"/>
      <c r="K169" s="810"/>
      <c r="L169" s="814"/>
      <c r="M169" s="814"/>
      <c r="N169" s="811"/>
      <c r="O169" s="810"/>
      <c r="P169" s="814"/>
      <c r="Q169" s="814"/>
      <c r="R169" s="811"/>
    </row>
    <row r="170" spans="1:18">
      <c r="C170" s="810"/>
      <c r="D170" s="814"/>
      <c r="E170" s="814"/>
      <c r="F170" s="811"/>
      <c r="G170" s="810"/>
      <c r="H170" s="814" t="s">
        <v>6541</v>
      </c>
      <c r="I170" s="814" t="str">
        <f>IF(I156=0,"",INDEX(SI_Name,MATCH(I156,SI_Code,0)))</f>
        <v/>
      </c>
      <c r="J170" s="811" t="s">
        <v>6528</v>
      </c>
      <c r="K170" s="810"/>
      <c r="L170" s="814"/>
      <c r="M170" s="814"/>
      <c r="N170" s="811"/>
      <c r="O170" s="810"/>
      <c r="P170" s="814"/>
      <c r="Q170" s="814"/>
      <c r="R170" s="811"/>
    </row>
    <row r="171" spans="1:18">
      <c r="C171" s="810"/>
      <c r="D171" s="814"/>
      <c r="E171" s="814"/>
      <c r="F171" s="811"/>
      <c r="G171" s="810"/>
      <c r="H171" s="814" t="s">
        <v>6542</v>
      </c>
      <c r="I171" s="814" t="str">
        <f>IF(I157=0,"",INDEX(SI_Name,MATCH(I157,SI_Code,0)))</f>
        <v/>
      </c>
      <c r="J171" s="811" t="s">
        <v>6530</v>
      </c>
      <c r="K171" s="810"/>
      <c r="L171" s="814"/>
      <c r="M171" s="814"/>
      <c r="N171" s="811"/>
      <c r="O171" s="810"/>
      <c r="P171" s="814"/>
      <c r="Q171" s="814"/>
      <c r="R171" s="811"/>
    </row>
    <row r="172" spans="1:18">
      <c r="C172" s="810"/>
      <c r="D172" s="814"/>
      <c r="E172" s="814"/>
      <c r="F172" s="811"/>
      <c r="G172" s="810"/>
      <c r="H172" s="814" t="s">
        <v>6543</v>
      </c>
      <c r="I172" s="814" t="str">
        <f>IF(I158=0,"",INDEX(SI_Name,MATCH(I158,SI_Code,0)))</f>
        <v/>
      </c>
      <c r="J172" s="811" t="s">
        <v>6529</v>
      </c>
      <c r="K172" s="810"/>
      <c r="L172" s="814"/>
      <c r="M172" s="814"/>
      <c r="N172" s="811"/>
      <c r="O172" s="810"/>
      <c r="P172" s="814"/>
      <c r="Q172" s="814"/>
      <c r="R172" s="811"/>
    </row>
    <row r="173" spans="1:18" s="800" customFormat="1">
      <c r="A173" s="814"/>
      <c r="B173" s="814"/>
      <c r="C173" s="810"/>
      <c r="D173" s="814"/>
      <c r="E173" s="814"/>
      <c r="F173" s="811"/>
      <c r="G173" s="810"/>
      <c r="H173" s="814"/>
      <c r="I173" s="814"/>
      <c r="J173" s="811"/>
      <c r="K173" s="810"/>
      <c r="L173" s="814"/>
      <c r="M173" s="814"/>
      <c r="N173" s="811"/>
      <c r="O173" s="810"/>
      <c r="P173" s="814"/>
      <c r="Q173" s="814"/>
      <c r="R173" s="811"/>
    </row>
    <row r="174" spans="1:18" s="800" customFormat="1">
      <c r="A174" s="814"/>
      <c r="B174" s="814"/>
      <c r="C174" s="810"/>
      <c r="D174" s="814"/>
      <c r="E174" s="814"/>
      <c r="F174" s="811"/>
      <c r="G174" s="810"/>
      <c r="H174" s="814" t="str">
        <f>nmEmp1&amp;" Required"</f>
        <v>MTUs Required</v>
      </c>
      <c r="I174" s="814">
        <f>INDEX(paramSIEmp1,,xxIndexTeam)</f>
        <v>0</v>
      </c>
      <c r="J174" s="584" t="s">
        <v>9054</v>
      </c>
      <c r="K174" s="810"/>
      <c r="L174" s="814"/>
      <c r="M174" s="814"/>
      <c r="N174" s="811"/>
      <c r="O174" s="810"/>
      <c r="P174" s="814"/>
      <c r="Q174" s="814"/>
      <c r="R174" s="811"/>
    </row>
    <row r="175" spans="1:18" s="800" customFormat="1" ht="15" thickBot="1">
      <c r="A175" s="814"/>
      <c r="B175" s="814"/>
      <c r="C175" s="809"/>
      <c r="D175" s="806"/>
      <c r="E175" s="806"/>
      <c r="F175" s="808"/>
      <c r="G175" s="809"/>
      <c r="H175" s="544" t="s">
        <v>748</v>
      </c>
      <c r="I175" s="806">
        <f>INDEX(paramSIExp,,xxIndexTeam)</f>
        <v>0</v>
      </c>
      <c r="J175" s="733" t="s">
        <v>9055</v>
      </c>
      <c r="K175" s="809"/>
      <c r="L175" s="806"/>
      <c r="M175" s="806"/>
      <c r="N175" s="808"/>
      <c r="O175" s="809"/>
      <c r="P175" s="806"/>
      <c r="Q175" s="806"/>
      <c r="R175" s="808"/>
    </row>
    <row r="176" spans="1:18" s="800" customFormat="1">
      <c r="C176" s="814"/>
      <c r="D176" s="814"/>
      <c r="E176" s="814"/>
      <c r="F176" s="814"/>
      <c r="G176" s="814"/>
      <c r="H176" s="814"/>
      <c r="I176" s="814"/>
      <c r="J176" s="814"/>
      <c r="K176" s="814"/>
      <c r="L176" s="814"/>
      <c r="M176" s="814"/>
      <c r="N176" s="814"/>
    </row>
    <row r="177" spans="2:43" s="800" customFormat="1">
      <c r="C177" s="814"/>
      <c r="D177" s="814"/>
      <c r="E177" s="814"/>
      <c r="F177" s="814"/>
      <c r="G177" s="814"/>
      <c r="H177" s="814"/>
      <c r="I177" s="814"/>
      <c r="J177" s="814"/>
      <c r="K177" s="814"/>
      <c r="L177" s="814"/>
      <c r="M177" s="814"/>
      <c r="N177" s="814"/>
    </row>
    <row r="178" spans="2:43" s="800" customFormat="1">
      <c r="C178" s="814"/>
      <c r="D178" s="814"/>
      <c r="E178" s="814"/>
      <c r="F178" s="814"/>
      <c r="G178" s="814"/>
      <c r="H178" s="814"/>
      <c r="I178" s="814"/>
      <c r="J178" s="814"/>
      <c r="K178" s="814"/>
      <c r="L178" s="814"/>
      <c r="M178" s="814"/>
      <c r="N178" s="814"/>
    </row>
    <row r="181" spans="2:43" ht="15" thickBot="1">
      <c r="B181" s="628" t="s">
        <v>6574</v>
      </c>
      <c r="C181" s="612" t="s">
        <v>6575</v>
      </c>
      <c r="G181" s="612" t="s">
        <v>6576</v>
      </c>
    </row>
    <row r="182" spans="2:43">
      <c r="C182" s="572"/>
      <c r="D182" s="589" t="str">
        <f>nmCh1</f>
        <v>Hypermarkets</v>
      </c>
      <c r="E182" s="589" t="str">
        <f>nmCh1</f>
        <v>Hypermarkets</v>
      </c>
      <c r="F182" s="588" t="s">
        <v>6577</v>
      </c>
      <c r="G182" s="572"/>
      <c r="H182" s="589" t="str">
        <f>nmProd1</f>
        <v>Greenborg</v>
      </c>
      <c r="I182" s="589" t="str">
        <f>nmProd1</f>
        <v>Greenborg</v>
      </c>
      <c r="J182" s="588" t="s">
        <v>6581</v>
      </c>
    </row>
    <row r="183" spans="2:43">
      <c r="C183" s="577"/>
      <c r="D183" s="721" t="str">
        <f>nmCh2</f>
        <v>Discounters</v>
      </c>
      <c r="E183" s="721" t="str">
        <f>nmCh2</f>
        <v>Discounters</v>
      </c>
      <c r="F183" s="583" t="s">
        <v>6578</v>
      </c>
      <c r="G183" s="577"/>
      <c r="H183" s="721" t="str">
        <f>nmProd2</f>
        <v>Harken</v>
      </c>
      <c r="I183" s="721" t="str">
        <f>nmProd2</f>
        <v>Harken</v>
      </c>
      <c r="J183" s="583" t="s">
        <v>6582</v>
      </c>
    </row>
    <row r="184" spans="2:43">
      <c r="C184" s="577"/>
      <c r="D184" s="721" t="str">
        <f>nmCh3</f>
        <v>Convenience</v>
      </c>
      <c r="E184" s="721" t="str">
        <f>nmCh3</f>
        <v>Convenience</v>
      </c>
      <c r="F184" s="583" t="s">
        <v>6579</v>
      </c>
      <c r="G184" s="577"/>
      <c r="H184" s="721" t="str">
        <f>nmProd3</f>
        <v>Kara</v>
      </c>
      <c r="I184" s="721" t="str">
        <f>nmProd3</f>
        <v>Kara</v>
      </c>
      <c r="J184" s="583" t="s">
        <v>6583</v>
      </c>
    </row>
    <row r="185" spans="2:43" ht="15" thickBot="1">
      <c r="C185" s="576"/>
      <c r="D185" s="568" t="str">
        <f>nmCh4</f>
        <v>On-Trade</v>
      </c>
      <c r="E185" s="568" t="str">
        <f>nmCh4</f>
        <v>On-Trade</v>
      </c>
      <c r="F185" s="573" t="s">
        <v>6580</v>
      </c>
      <c r="G185" s="576"/>
      <c r="H185" s="568" t="str">
        <f>nmProd4</f>
        <v>Brew Master</v>
      </c>
      <c r="I185" s="568" t="str">
        <f>nmProd4</f>
        <v>Brew Master</v>
      </c>
      <c r="J185" s="573" t="s">
        <v>6584</v>
      </c>
    </row>
    <row r="188" spans="2:43" ht="15" thickBot="1">
      <c r="B188" s="628" t="s">
        <v>6974</v>
      </c>
      <c r="C188" s="612" t="s">
        <v>11</v>
      </c>
      <c r="D188" s="609"/>
      <c r="E188" s="609"/>
      <c r="F188" s="609"/>
      <c r="G188" s="801" t="s">
        <v>10564</v>
      </c>
      <c r="H188" s="800"/>
      <c r="I188" s="800"/>
      <c r="J188" s="800"/>
    </row>
    <row r="189" spans="2:43" ht="15" thickBot="1">
      <c r="C189" s="790"/>
      <c r="D189" s="791" t="s">
        <v>11</v>
      </c>
      <c r="E189" s="791">
        <f>xxRound</f>
        <v>1</v>
      </c>
      <c r="F189" s="792" t="s">
        <v>6975</v>
      </c>
      <c r="G189" s="790"/>
      <c r="H189" s="791" t="s">
        <v>10565</v>
      </c>
      <c r="I189" s="791" t="b">
        <f>AND(tlOutputCh1Emp1GaugeValue&gt;0,tlOutputCh1PromoWeeksAvailGaugeValue&gt;0,tlOutputCh3PromoWeeksAvailGaugeValue&gt;0,tlOutputCh4PromoWeeksAvailGaugeValue&gt;0)</f>
        <v>0</v>
      </c>
      <c r="J189" s="792" t="s">
        <v>10566</v>
      </c>
    </row>
    <row r="190" spans="2:43">
      <c r="F190" s="609"/>
      <c r="G190" s="609"/>
      <c r="H190" s="609"/>
      <c r="I190" s="609"/>
    </row>
    <row r="191" spans="2:43">
      <c r="F191" s="609"/>
      <c r="G191" s="609"/>
      <c r="H191" s="609"/>
      <c r="I191" s="609"/>
    </row>
    <row r="192" spans="2:43">
      <c r="B192" s="804" t="s">
        <v>8430</v>
      </c>
      <c r="C192" s="801" t="s">
        <v>9748</v>
      </c>
      <c r="D192" s="800"/>
      <c r="E192" s="800"/>
      <c r="F192" s="800"/>
      <c r="G192" s="800"/>
      <c r="H192" s="800"/>
      <c r="I192" s="800"/>
      <c r="J192" s="800"/>
      <c r="K192" s="800"/>
      <c r="L192" s="800"/>
      <c r="M192" s="800"/>
      <c r="N192" s="800"/>
      <c r="O192" s="800"/>
      <c r="P192" s="800"/>
      <c r="Q192" s="800"/>
      <c r="R192" s="800"/>
      <c r="S192" s="800"/>
      <c r="T192" s="800"/>
      <c r="U192" s="800"/>
      <c r="V192" s="800"/>
      <c r="W192" s="800"/>
      <c r="X192" s="800"/>
      <c r="Y192" s="800"/>
      <c r="Z192" s="800"/>
      <c r="AA192" s="800"/>
      <c r="AB192" s="800"/>
      <c r="AC192" s="800"/>
      <c r="AD192" s="800"/>
      <c r="AE192" s="800"/>
      <c r="AF192" s="800"/>
      <c r="AG192" s="800"/>
      <c r="AH192" s="800"/>
      <c r="AI192" s="800"/>
      <c r="AJ192" s="800"/>
      <c r="AK192" s="800"/>
      <c r="AL192" s="800"/>
      <c r="AM192" s="800"/>
      <c r="AN192" s="800"/>
      <c r="AO192" s="800"/>
      <c r="AP192" s="800"/>
      <c r="AQ192" s="800"/>
    </row>
    <row r="193" spans="2:43" ht="15" thickBot="1">
      <c r="B193" s="800"/>
      <c r="C193" s="801" t="s">
        <v>9749</v>
      </c>
      <c r="D193" s="800"/>
      <c r="E193" s="800"/>
      <c r="F193" s="800"/>
      <c r="G193" s="801" t="s">
        <v>9750</v>
      </c>
      <c r="H193" s="800"/>
      <c r="I193" s="800"/>
      <c r="J193" s="800"/>
      <c r="K193" s="801" t="s">
        <v>363</v>
      </c>
      <c r="L193" s="800"/>
      <c r="M193" s="800"/>
      <c r="N193" s="800"/>
      <c r="O193" s="801" t="s">
        <v>9751</v>
      </c>
      <c r="P193" s="800"/>
      <c r="Q193" s="800"/>
      <c r="R193" s="800"/>
      <c r="S193" s="801" t="s">
        <v>9752</v>
      </c>
      <c r="T193" s="800"/>
      <c r="U193" s="800"/>
      <c r="V193" s="800"/>
      <c r="W193" s="801" t="s">
        <v>9753</v>
      </c>
      <c r="X193" s="800"/>
      <c r="Y193" s="800"/>
      <c r="Z193" s="800"/>
      <c r="AA193" s="801" t="s">
        <v>9754</v>
      </c>
      <c r="AB193" s="800"/>
      <c r="AC193" s="800"/>
      <c r="AD193" s="800"/>
      <c r="AE193" s="801" t="s">
        <v>9755</v>
      </c>
      <c r="AF193" s="800"/>
      <c r="AG193" s="800"/>
      <c r="AH193" s="800"/>
      <c r="AI193" s="801" t="s">
        <v>9756</v>
      </c>
      <c r="AJ193" s="800"/>
      <c r="AK193" s="800"/>
      <c r="AL193" s="800"/>
      <c r="AM193" s="801" t="s">
        <v>9757</v>
      </c>
      <c r="AN193" s="800"/>
      <c r="AO193" s="800"/>
      <c r="AP193" s="800"/>
      <c r="AQ193" s="800"/>
    </row>
    <row r="194" spans="2:43" s="800" customFormat="1">
      <c r="C194" s="807" t="str">
        <f>nmProd2</f>
        <v>Harken</v>
      </c>
      <c r="D194" s="813"/>
      <c r="E194" s="813"/>
      <c r="F194" s="812"/>
      <c r="G194" s="807" t="str">
        <f>nmProd2</f>
        <v>Harken</v>
      </c>
      <c r="H194" s="813"/>
      <c r="I194" s="896"/>
      <c r="J194" s="897"/>
      <c r="K194" s="898" t="str">
        <f>nmProd2</f>
        <v>Harken</v>
      </c>
      <c r="L194" s="896"/>
      <c r="M194" s="896"/>
      <c r="N194" s="897"/>
      <c r="O194" s="898" t="str">
        <f>nmProd2</f>
        <v>Harken</v>
      </c>
      <c r="P194" s="896"/>
      <c r="Q194" s="896"/>
      <c r="R194" s="897"/>
      <c r="S194" s="898" t="str">
        <f>nmProd2</f>
        <v>Harken</v>
      </c>
      <c r="T194" s="896"/>
      <c r="U194" s="896"/>
      <c r="V194" s="897"/>
      <c r="W194" s="898" t="str">
        <f>nmProd2</f>
        <v>Harken</v>
      </c>
      <c r="X194" s="896"/>
      <c r="Y194" s="896"/>
      <c r="Z194" s="897"/>
      <c r="AA194" s="898" t="str">
        <f>nmProd2</f>
        <v>Harken</v>
      </c>
      <c r="AB194" s="896"/>
      <c r="AC194" s="896"/>
      <c r="AD194" s="897"/>
      <c r="AE194" s="898" t="str">
        <f>nmProd2</f>
        <v>Harken</v>
      </c>
      <c r="AF194" s="896"/>
      <c r="AG194" s="896"/>
      <c r="AH194" s="897"/>
      <c r="AI194" s="898" t="str">
        <f>nmProd2</f>
        <v>Harken</v>
      </c>
      <c r="AJ194" s="896"/>
      <c r="AK194" s="896"/>
      <c r="AL194" s="897"/>
      <c r="AM194" s="898" t="str">
        <f>nmProd2</f>
        <v>Harken</v>
      </c>
      <c r="AN194" s="896"/>
      <c r="AO194" s="896"/>
      <c r="AP194" s="897"/>
    </row>
    <row r="195" spans="2:43" s="800" customFormat="1">
      <c r="C195" s="810"/>
      <c r="D195" s="814" t="str">
        <f>nmCh1</f>
        <v>Hypermarkets</v>
      </c>
      <c r="E195" s="814"/>
      <c r="F195" s="811"/>
      <c r="G195" s="810"/>
      <c r="H195" s="814" t="str">
        <f>nmCh1</f>
        <v>Hypermarkets</v>
      </c>
      <c r="I195" s="899"/>
      <c r="J195" s="900"/>
      <c r="K195" s="901"/>
      <c r="L195" s="899" t="str">
        <f>nmCh1</f>
        <v>Hypermarkets</v>
      </c>
      <c r="M195" s="899"/>
      <c r="N195" s="900"/>
      <c r="O195" s="901"/>
      <c r="P195" s="899" t="str">
        <f>nmCh1</f>
        <v>Hypermarkets</v>
      </c>
      <c r="Q195" s="899"/>
      <c r="R195" s="900"/>
      <c r="S195" s="901"/>
      <c r="T195" s="899" t="str">
        <f>nmCh1</f>
        <v>Hypermarkets</v>
      </c>
      <c r="U195" s="899"/>
      <c r="V195" s="900"/>
      <c r="W195" s="901"/>
      <c r="X195" s="899" t="str">
        <f>nmCh1</f>
        <v>Hypermarkets</v>
      </c>
      <c r="Y195" s="899"/>
      <c r="Z195" s="900"/>
      <c r="AA195" s="901"/>
      <c r="AB195" s="899" t="str">
        <f>nmCh1</f>
        <v>Hypermarkets</v>
      </c>
      <c r="AC195" s="899"/>
      <c r="AD195" s="900"/>
      <c r="AE195" s="901"/>
      <c r="AF195" s="899" t="str">
        <f>nmCh1</f>
        <v>Hypermarkets</v>
      </c>
      <c r="AG195" s="899"/>
      <c r="AH195" s="900"/>
      <c r="AI195" s="901"/>
      <c r="AJ195" s="899" t="str">
        <f>nmCh1</f>
        <v>Hypermarkets</v>
      </c>
      <c r="AK195" s="899"/>
      <c r="AL195" s="900"/>
      <c r="AM195" s="901"/>
      <c r="AN195" s="899" t="str">
        <f>nmCh1</f>
        <v>Hypermarkets</v>
      </c>
      <c r="AO195" s="899"/>
      <c r="AP195" s="900"/>
    </row>
    <row r="196" spans="2:43" s="800" customFormat="1">
      <c r="C196" s="810"/>
      <c r="D196" s="902" t="s">
        <v>379</v>
      </c>
      <c r="E196" s="814" t="str">
        <f>IF(INDEX(decCh1Prod2Slot1Active,,xxIndexTeam)=1,"Slot 1","")</f>
        <v>Slot 1</v>
      </c>
      <c r="F196" s="811" t="s">
        <v>9758</v>
      </c>
      <c r="G196" s="810"/>
      <c r="H196" s="902" t="s">
        <v>379</v>
      </c>
      <c r="I196" s="903">
        <f>IF(INDEX(decCh1Prod2Slot1Active,,xxIndexTeam)=1,INDEX(decCh1Prod2Slot1Forecast,,xxIndexTeam),"")</f>
        <v>0.44999999999999996</v>
      </c>
      <c r="J196" s="900" t="s">
        <v>9759</v>
      </c>
      <c r="K196" s="901"/>
      <c r="L196" s="902" t="s">
        <v>379</v>
      </c>
      <c r="M196" s="899" t="str">
        <f>IF(INDEX(decCh1Prod2Slot1Active,,xxIndexTeam)=1,INDEX(decCh1Prod2Slot1Pack,,xxIndexTeam),"")</f>
        <v>33cl Can</v>
      </c>
      <c r="N196" s="900" t="s">
        <v>9760</v>
      </c>
      <c r="O196" s="901"/>
      <c r="P196" s="902" t="s">
        <v>379</v>
      </c>
      <c r="Q196" s="899">
        <f>IF(INDEX(decCh1Prod2Slot1Active,,xxIndexTeam)=1,INDEX(decCh1Prod2Slot1CustPrice,,xxIndexTeam),"")</f>
        <v>7.9</v>
      </c>
      <c r="R196" s="900" t="s">
        <v>9761</v>
      </c>
      <c r="S196" s="901"/>
      <c r="T196" s="902" t="s">
        <v>379</v>
      </c>
      <c r="U196" s="899" t="str">
        <f>IF(INDEX(decCh1Prod2Slot1Active,,xxIndexTeam)=1,INDEX(decCh1Prod2Slot1Promo1,,xxIndexTeam),"")</f>
        <v>TPR 33%</v>
      </c>
      <c r="V196" s="900" t="s">
        <v>9762</v>
      </c>
      <c r="W196" s="901"/>
      <c r="X196" s="902" t="s">
        <v>379</v>
      </c>
      <c r="Y196" s="904">
        <f>IF(INDEX(decCh1Prod2Slot1Active,,xxIndexTeam)=1,INDEX(decCh1Prod2Slot1Promo1Weeks,,xxIndexTeam),"")</f>
        <v>2</v>
      </c>
      <c r="Z196" s="900" t="s">
        <v>9763</v>
      </c>
      <c r="AA196" s="901"/>
      <c r="AB196" s="902" t="s">
        <v>379</v>
      </c>
      <c r="AC196" s="905">
        <f>IF(INDEX(decCh1Prod2Slot1Active,,xxIndexTeam)=1,INDEX(decCh1Prod2Slot1Promo1ShareFrc,,xxIndexTeam),"")</f>
        <v>0.1</v>
      </c>
      <c r="AD196" s="900" t="s">
        <v>9764</v>
      </c>
      <c r="AE196" s="901"/>
      <c r="AF196" s="902" t="s">
        <v>379</v>
      </c>
      <c r="AG196" s="899" t="str">
        <f>IF(INDEX(decCh1Prod2Slot1Active,,xxIndexTeam)=1,INDEX(decCh1Prod2Slot1Promo2,,xxIndexTeam),"")</f>
        <v>No Promotion</v>
      </c>
      <c r="AH196" s="900" t="s">
        <v>9765</v>
      </c>
      <c r="AI196" s="901"/>
      <c r="AJ196" s="902" t="s">
        <v>379</v>
      </c>
      <c r="AK196" s="899">
        <f>IF(INDEX(decCh1Prod2Slot1Active,,xxIndexTeam)=1,INDEX(decCh1Prod2Slot1Promo2Weeks,,xxIndexTeam),"")</f>
        <v>0</v>
      </c>
      <c r="AL196" s="900" t="s">
        <v>9766</v>
      </c>
      <c r="AM196" s="901"/>
      <c r="AN196" s="902" t="s">
        <v>379</v>
      </c>
      <c r="AO196" s="903">
        <f>IF(INDEX(decCh1Prod2Slot1Active,,xxIndexTeam)=1,INDEX(decCh1Prod2Slot1Promo2ShareFrc,,xxIndexTeam),"")</f>
        <v>0</v>
      </c>
      <c r="AP196" s="900" t="s">
        <v>9767</v>
      </c>
    </row>
    <row r="197" spans="2:43" s="800" customFormat="1">
      <c r="C197" s="810"/>
      <c r="D197" s="902" t="s">
        <v>394</v>
      </c>
      <c r="E197" s="814" t="str">
        <f>IF(INDEX(decCh1Prod2Slot2Active,,xxIndexTeam)=1,"Slot 2","")</f>
        <v>Slot 2</v>
      </c>
      <c r="F197" s="811" t="s">
        <v>9768</v>
      </c>
      <c r="G197" s="810"/>
      <c r="H197" s="902" t="s">
        <v>394</v>
      </c>
      <c r="I197" s="903">
        <f>IF(INDEX(decCh1Prod2Slot2Active,,xxIndexTeam)=1,INDEX(decCh1Prod2Slot2Forecast,,xxIndexTeam),"")</f>
        <v>0.55000000000000004</v>
      </c>
      <c r="J197" s="900" t="s">
        <v>9769</v>
      </c>
      <c r="K197" s="901"/>
      <c r="L197" s="902" t="s">
        <v>394</v>
      </c>
      <c r="M197" s="899" t="str">
        <f>IF(INDEX(decCh1Prod2Slot2Active,,xxIndexTeam)=1,INDEX(decCh1Prod2Slot2Pack,,xxIndexTeam),"")</f>
        <v>6 x 33cl Can</v>
      </c>
      <c r="N197" s="900" t="s">
        <v>9770</v>
      </c>
      <c r="O197" s="901"/>
      <c r="P197" s="902" t="s">
        <v>394</v>
      </c>
      <c r="Q197" s="899">
        <f>IF(INDEX(decCh1Prod2Slot2Active,,xxIndexTeam)=1,INDEX(decCh1Prod2Slot2CustPrice,,xxIndexTeam),"")</f>
        <v>7.55</v>
      </c>
      <c r="R197" s="900" t="s">
        <v>9771</v>
      </c>
      <c r="S197" s="901"/>
      <c r="T197" s="902" t="s">
        <v>394</v>
      </c>
      <c r="U197" s="899" t="str">
        <f>IF(INDEX(decCh1Prod2Slot2Active,,xxIndexTeam)=1,INDEX(decCh1Prod2Slot2Promo1,,xxIndexTeam),"")</f>
        <v>TPR 20%</v>
      </c>
      <c r="V197" s="900" t="s">
        <v>9772</v>
      </c>
      <c r="W197" s="901"/>
      <c r="X197" s="902" t="s">
        <v>394</v>
      </c>
      <c r="Y197" s="904">
        <f>IF(INDEX(decCh1Prod2Slot2Active,,xxIndexTeam)=1,INDEX(decCh1Prod2Slot2Promo1Weeks,,xxIndexTeam),"")</f>
        <v>3</v>
      </c>
      <c r="Z197" s="900" t="s">
        <v>9773</v>
      </c>
      <c r="AA197" s="901"/>
      <c r="AB197" s="902" t="s">
        <v>394</v>
      </c>
      <c r="AC197" s="905">
        <f>IF(INDEX(decCh1Prod2Slot2Active,,xxIndexTeam)=1,INDEX(decCh1Prod2Slot2Promo1ShareFrc,,xxIndexTeam),"")</f>
        <v>0.3</v>
      </c>
      <c r="AD197" s="900" t="s">
        <v>9774</v>
      </c>
      <c r="AE197" s="901"/>
      <c r="AF197" s="902" t="s">
        <v>394</v>
      </c>
      <c r="AG197" s="899" t="str">
        <f>IF(INDEX(decCh1Prod2Slot2Active,,xxIndexTeam)=1,INDEX(decCh1Prod2Slot2Promo2,,xxIndexTeam),"")</f>
        <v>3/2</v>
      </c>
      <c r="AH197" s="900" t="s">
        <v>9775</v>
      </c>
      <c r="AI197" s="901"/>
      <c r="AJ197" s="902" t="s">
        <v>394</v>
      </c>
      <c r="AK197" s="899">
        <f>IF(INDEX(decCh1Prod2Slot2Active,,xxIndexTeam)=1,INDEX(decCh1Prod2Slot2Promo2Weeks,,xxIndexTeam),"")</f>
        <v>2</v>
      </c>
      <c r="AL197" s="900" t="s">
        <v>9776</v>
      </c>
      <c r="AM197" s="901"/>
      <c r="AN197" s="902" t="s">
        <v>394</v>
      </c>
      <c r="AO197" s="903">
        <f>IF(INDEX(decCh1Prod2Slot2Active,,xxIndexTeam)=1,INDEX(decCh1Prod2Slot2Promo2ShareFrc,,xxIndexTeam),"")</f>
        <v>0.25</v>
      </c>
      <c r="AP197" s="900" t="s">
        <v>9777</v>
      </c>
    </row>
    <row r="198" spans="2:43" s="800" customFormat="1">
      <c r="C198" s="810"/>
      <c r="D198" s="906" t="s">
        <v>395</v>
      </c>
      <c r="E198" s="814" t="str">
        <f>IF(INDEX(decCh1Prod2Slot3Active,,xxIndexTeam)=1,"Slot 3","")</f>
        <v/>
      </c>
      <c r="F198" s="811" t="s">
        <v>9778</v>
      </c>
      <c r="G198" s="810"/>
      <c r="H198" s="906" t="s">
        <v>395</v>
      </c>
      <c r="I198" s="903" t="str">
        <f>IF(INDEX(decCh1Prod2Slot3Active,,xxIndexTeam)=1,INDEX(decCh1Prod2Slot3Forecast,,xxIndexTeam),"")</f>
        <v/>
      </c>
      <c r="J198" s="900" t="s">
        <v>9779</v>
      </c>
      <c r="K198" s="901"/>
      <c r="L198" s="902" t="s">
        <v>395</v>
      </c>
      <c r="M198" s="899" t="str">
        <f>IF(INDEX(decCh1Prod2Slot3Active,,xxIndexTeam)=1,INDEX(decCh1Prod2Slot3Pack,,xxIndexTeam),"")</f>
        <v/>
      </c>
      <c r="N198" s="900" t="s">
        <v>9780</v>
      </c>
      <c r="O198" s="901"/>
      <c r="P198" s="902" t="s">
        <v>395</v>
      </c>
      <c r="Q198" s="899" t="str">
        <f>IF(INDEX(decCh1Prod2Slot3Active,,xxIndexTeam)=1,INDEX(decCh1Prod2Slot3CustPrice,,xxIndexTeam),"")</f>
        <v/>
      </c>
      <c r="R198" s="900" t="s">
        <v>9781</v>
      </c>
      <c r="S198" s="901"/>
      <c r="T198" s="902" t="s">
        <v>395</v>
      </c>
      <c r="U198" s="899" t="str">
        <f>IF(INDEX(decCh1Prod2Slot3Active,,xxIndexTeam)=1,INDEX(decCh1Prod2Slot3Promo1,,xxIndexTeam),"")</f>
        <v/>
      </c>
      <c r="V198" s="900" t="s">
        <v>9782</v>
      </c>
      <c r="W198" s="901"/>
      <c r="X198" s="902" t="s">
        <v>395</v>
      </c>
      <c r="Y198" s="904" t="str">
        <f>IF(INDEX(decCh1Prod2Slot3Active,,xxIndexTeam)=1,INDEX(decCh1Prod2Slot3Promo1Weeks,,xxIndexTeam),"")</f>
        <v/>
      </c>
      <c r="Z198" s="900" t="s">
        <v>9783</v>
      </c>
      <c r="AA198" s="901"/>
      <c r="AB198" s="902" t="s">
        <v>395</v>
      </c>
      <c r="AC198" s="905" t="str">
        <f>IF(INDEX(decCh1Prod2Slot3Active,,xxIndexTeam)=1,INDEX(decCh1Prod2Slot3Promo1ShareFrc,,xxIndexTeam),"")</f>
        <v/>
      </c>
      <c r="AD198" s="900" t="s">
        <v>9784</v>
      </c>
      <c r="AE198" s="901"/>
      <c r="AF198" s="902" t="s">
        <v>395</v>
      </c>
      <c r="AG198" s="899" t="str">
        <f>IF(INDEX(decCh1Prod2Slot3Active,,xxIndexTeam)=1,INDEX(decCh1Prod2Slot3Promo2,,xxIndexTeam),"")</f>
        <v/>
      </c>
      <c r="AH198" s="900" t="s">
        <v>9785</v>
      </c>
      <c r="AI198" s="901"/>
      <c r="AJ198" s="902" t="s">
        <v>395</v>
      </c>
      <c r="AK198" s="899" t="str">
        <f>IF(INDEX(decCh1Prod2Slot3Active,,xxIndexTeam)=1,INDEX(decCh1Prod2Slot3Promo2Weeks,,xxIndexTeam),"")</f>
        <v/>
      </c>
      <c r="AL198" s="900" t="s">
        <v>9786</v>
      </c>
      <c r="AM198" s="901"/>
      <c r="AN198" s="902" t="s">
        <v>395</v>
      </c>
      <c r="AO198" s="903" t="str">
        <f>IF(INDEX(decCh1Prod2Slot3Active,,xxIndexTeam)=1,INDEX(decCh1Prod2Slot3Promo2ShareFrc,,xxIndexTeam),"")</f>
        <v/>
      </c>
      <c r="AP198" s="900" t="s">
        <v>9787</v>
      </c>
    </row>
    <row r="199" spans="2:43">
      <c r="B199" s="800"/>
      <c r="C199" s="810"/>
      <c r="D199" s="814" t="str">
        <f>nmCh2</f>
        <v>Discounters</v>
      </c>
      <c r="E199" s="814"/>
      <c r="F199" s="811"/>
      <c r="G199" s="810"/>
      <c r="H199" s="814" t="str">
        <f>nmCh2</f>
        <v>Discounters</v>
      </c>
      <c r="I199" s="903"/>
      <c r="J199" s="900"/>
      <c r="K199" s="901"/>
      <c r="L199" s="899" t="str">
        <f>nmCh2</f>
        <v>Discounters</v>
      </c>
      <c r="M199" s="899"/>
      <c r="N199" s="900"/>
      <c r="O199" s="901"/>
      <c r="P199" s="899" t="str">
        <f>nmCh2</f>
        <v>Discounters</v>
      </c>
      <c r="Q199" s="899"/>
      <c r="R199" s="900"/>
      <c r="S199" s="901"/>
      <c r="T199" s="899" t="str">
        <f>nmCh2</f>
        <v>Discounters</v>
      </c>
      <c r="U199" s="899"/>
      <c r="V199" s="900"/>
      <c r="W199" s="901"/>
      <c r="X199" s="899" t="str">
        <f>nmCh2</f>
        <v>Discounters</v>
      </c>
      <c r="Y199" s="899"/>
      <c r="Z199" s="900"/>
      <c r="AA199" s="901"/>
      <c r="AB199" s="899" t="str">
        <f>nmCh2</f>
        <v>Discounters</v>
      </c>
      <c r="AC199" s="903"/>
      <c r="AD199" s="900"/>
      <c r="AE199" s="901"/>
      <c r="AF199" s="899" t="str">
        <f>nmCh2</f>
        <v>Discounters</v>
      </c>
      <c r="AG199" s="899"/>
      <c r="AH199" s="900"/>
      <c r="AI199" s="901"/>
      <c r="AJ199" s="899" t="str">
        <f>nmCh2</f>
        <v>Discounters</v>
      </c>
      <c r="AK199" s="899"/>
      <c r="AL199" s="900"/>
      <c r="AM199" s="901"/>
      <c r="AN199" s="899" t="str">
        <f>nmCh2</f>
        <v>Discounters</v>
      </c>
      <c r="AO199" s="903"/>
      <c r="AP199" s="900"/>
      <c r="AQ199" s="800"/>
    </row>
    <row r="200" spans="2:43">
      <c r="B200" s="800"/>
      <c r="C200" s="810"/>
      <c r="D200" s="902" t="s">
        <v>379</v>
      </c>
      <c r="E200" s="814" t="str">
        <f>IF(INDEX(decCh2Prod2Slot1Active,,xxIndexTeam)=1,"Slot 1","")</f>
        <v>Slot 1</v>
      </c>
      <c r="F200" s="811" t="s">
        <v>9788</v>
      </c>
      <c r="G200" s="810"/>
      <c r="H200" s="902" t="s">
        <v>379</v>
      </c>
      <c r="I200" s="903">
        <f>IF(INDEX(decCh2Prod2Slot1Active,,xxIndexTeam)=1,INDEX(decCh2Prod2Slot1Forecast,,xxIndexTeam),"")</f>
        <v>1</v>
      </c>
      <c r="J200" s="900" t="s">
        <v>9789</v>
      </c>
      <c r="K200" s="901"/>
      <c r="L200" s="902" t="s">
        <v>379</v>
      </c>
      <c r="M200" s="899" t="str">
        <f>IF(INDEX(decCh2Prod2Slot1Active,,xxIndexTeam)=1,INDEX(decCh2Prod2Slot1Pack,,xxIndexTeam),"")</f>
        <v>24 x 33cl Can</v>
      </c>
      <c r="N200" s="900" t="s">
        <v>9790</v>
      </c>
      <c r="O200" s="901"/>
      <c r="P200" s="902" t="s">
        <v>379</v>
      </c>
      <c r="Q200" s="899">
        <f>IF(INDEX(decCh2Prod2Slot1Active,,xxIndexTeam)=1,INDEX(decCh2Prod2Slot1CustPrice,,xxIndexTeam),"")</f>
        <v>7.3</v>
      </c>
      <c r="R200" s="900" t="s">
        <v>9791</v>
      </c>
      <c r="S200" s="901"/>
      <c r="T200" s="902" t="s">
        <v>379</v>
      </c>
      <c r="U200" s="899"/>
      <c r="V200" s="900" t="s">
        <v>9792</v>
      </c>
      <c r="W200" s="901"/>
      <c r="X200" s="902" t="s">
        <v>379</v>
      </c>
      <c r="Y200" s="899"/>
      <c r="Z200" s="900" t="s">
        <v>9793</v>
      </c>
      <c r="AA200" s="901"/>
      <c r="AB200" s="902" t="s">
        <v>379</v>
      </c>
      <c r="AC200" s="903"/>
      <c r="AD200" s="900" t="s">
        <v>9794</v>
      </c>
      <c r="AE200" s="901"/>
      <c r="AF200" s="902" t="s">
        <v>379</v>
      </c>
      <c r="AG200" s="899"/>
      <c r="AH200" s="900" t="s">
        <v>9795</v>
      </c>
      <c r="AI200" s="901"/>
      <c r="AJ200" s="902" t="s">
        <v>379</v>
      </c>
      <c r="AK200" s="899"/>
      <c r="AL200" s="900" t="s">
        <v>9796</v>
      </c>
      <c r="AM200" s="901"/>
      <c r="AN200" s="902" t="s">
        <v>379</v>
      </c>
      <c r="AO200" s="903"/>
      <c r="AP200" s="900" t="s">
        <v>9797</v>
      </c>
      <c r="AQ200" s="800"/>
    </row>
    <row r="201" spans="2:43">
      <c r="B201" s="800"/>
      <c r="C201" s="810"/>
      <c r="D201" s="902" t="s">
        <v>394</v>
      </c>
      <c r="E201" s="814" t="str">
        <f>IF(INDEX(decCh2Prod2Slot2Active,,xxIndexTeam)=1,"Slot 2","")</f>
        <v/>
      </c>
      <c r="F201" s="811" t="s">
        <v>9798</v>
      </c>
      <c r="G201" s="810"/>
      <c r="H201" s="902" t="s">
        <v>394</v>
      </c>
      <c r="I201" s="903" t="str">
        <f>IF(INDEX(decCh2Prod2Slot2Active,,xxIndexTeam)=1,INDEX(decCh2Prod2Slot2Forecast,,xxIndexTeam),"")</f>
        <v/>
      </c>
      <c r="J201" s="900" t="s">
        <v>9799</v>
      </c>
      <c r="K201" s="901"/>
      <c r="L201" s="902" t="s">
        <v>394</v>
      </c>
      <c r="M201" s="899" t="str">
        <f>IF(INDEX(decCh2Prod2Slot2Active,,xxIndexTeam)=1,INDEX(decCh2Prod2Slot2Pack,,xxIndexTeam),"")</f>
        <v/>
      </c>
      <c r="N201" s="900" t="s">
        <v>9800</v>
      </c>
      <c r="O201" s="901"/>
      <c r="P201" s="902" t="s">
        <v>394</v>
      </c>
      <c r="Q201" s="899" t="str">
        <f>IF(INDEX(decCh2Prod2Slot2Active,,xxIndexTeam)=1,INDEX(decCh2Prod2Slot2CustPrice,,xxIndexTeam),"")</f>
        <v/>
      </c>
      <c r="R201" s="900" t="s">
        <v>9801</v>
      </c>
      <c r="S201" s="901"/>
      <c r="T201" s="902" t="s">
        <v>394</v>
      </c>
      <c r="U201" s="899"/>
      <c r="V201" s="900" t="s">
        <v>9802</v>
      </c>
      <c r="W201" s="901"/>
      <c r="X201" s="902" t="s">
        <v>394</v>
      </c>
      <c r="Y201" s="899"/>
      <c r="Z201" s="900" t="s">
        <v>9803</v>
      </c>
      <c r="AA201" s="901"/>
      <c r="AB201" s="902" t="s">
        <v>394</v>
      </c>
      <c r="AC201" s="903"/>
      <c r="AD201" s="900" t="s">
        <v>9804</v>
      </c>
      <c r="AE201" s="901"/>
      <c r="AF201" s="902" t="s">
        <v>394</v>
      </c>
      <c r="AG201" s="899"/>
      <c r="AH201" s="900" t="s">
        <v>9805</v>
      </c>
      <c r="AI201" s="901"/>
      <c r="AJ201" s="902" t="s">
        <v>394</v>
      </c>
      <c r="AK201" s="899"/>
      <c r="AL201" s="900" t="s">
        <v>9806</v>
      </c>
      <c r="AM201" s="901"/>
      <c r="AN201" s="902" t="s">
        <v>394</v>
      </c>
      <c r="AO201" s="903"/>
      <c r="AP201" s="900" t="s">
        <v>9807</v>
      </c>
      <c r="AQ201" s="800"/>
    </row>
    <row r="202" spans="2:43">
      <c r="B202" s="800"/>
      <c r="C202" s="810"/>
      <c r="D202" s="906" t="s">
        <v>395</v>
      </c>
      <c r="E202" s="814" t="str">
        <f>IF(INDEX(decCh2Prod2Slot3Active,,xxIndexTeam)=1,"Slot 3","")</f>
        <v/>
      </c>
      <c r="F202" s="811" t="s">
        <v>9808</v>
      </c>
      <c r="G202" s="810"/>
      <c r="H202" s="906" t="s">
        <v>395</v>
      </c>
      <c r="I202" s="903" t="str">
        <f>IF(INDEX(decCh2Prod2Slot3Active,,xxIndexTeam)=1,INDEX(decCh2Prod2Slot3Forecast,,xxIndexTeam),"")</f>
        <v/>
      </c>
      <c r="J202" s="900" t="s">
        <v>9809</v>
      </c>
      <c r="K202" s="901"/>
      <c r="L202" s="902" t="s">
        <v>395</v>
      </c>
      <c r="M202" s="899" t="str">
        <f>IF(INDEX(decCh2Prod2Slot3Active,,xxIndexTeam)=1,INDEX(decCh2Prod2Slot3Pack,,xxIndexTeam),"")</f>
        <v/>
      </c>
      <c r="N202" s="900" t="s">
        <v>9810</v>
      </c>
      <c r="O202" s="901"/>
      <c r="P202" s="902" t="s">
        <v>395</v>
      </c>
      <c r="Q202" s="899" t="str">
        <f>IF(INDEX(decCh2Prod2Slot3Active,,xxIndexTeam)=1,INDEX(decCh2Prod2Slot3CustPrice,,xxIndexTeam),"")</f>
        <v/>
      </c>
      <c r="R202" s="900" t="s">
        <v>9811</v>
      </c>
      <c r="S202" s="901"/>
      <c r="T202" s="902" t="s">
        <v>395</v>
      </c>
      <c r="U202" s="899"/>
      <c r="V202" s="900" t="s">
        <v>9812</v>
      </c>
      <c r="W202" s="901"/>
      <c r="X202" s="902" t="s">
        <v>395</v>
      </c>
      <c r="Y202" s="899"/>
      <c r="Z202" s="900" t="s">
        <v>9813</v>
      </c>
      <c r="AA202" s="901"/>
      <c r="AB202" s="902" t="s">
        <v>395</v>
      </c>
      <c r="AC202" s="903"/>
      <c r="AD202" s="900" t="s">
        <v>9814</v>
      </c>
      <c r="AE202" s="901"/>
      <c r="AF202" s="902" t="s">
        <v>395</v>
      </c>
      <c r="AG202" s="899"/>
      <c r="AH202" s="900" t="s">
        <v>9815</v>
      </c>
      <c r="AI202" s="901"/>
      <c r="AJ202" s="902" t="s">
        <v>395</v>
      </c>
      <c r="AK202" s="899"/>
      <c r="AL202" s="900" t="s">
        <v>9816</v>
      </c>
      <c r="AM202" s="901"/>
      <c r="AN202" s="902" t="s">
        <v>395</v>
      </c>
      <c r="AO202" s="903"/>
      <c r="AP202" s="900" t="s">
        <v>9817</v>
      </c>
      <c r="AQ202" s="800"/>
    </row>
    <row r="203" spans="2:43">
      <c r="B203" s="800"/>
      <c r="C203" s="810"/>
      <c r="D203" s="814" t="str">
        <f>nmCh3</f>
        <v>Convenience</v>
      </c>
      <c r="E203" s="814"/>
      <c r="F203" s="811"/>
      <c r="G203" s="810"/>
      <c r="H203" s="814" t="str">
        <f>nmCh3</f>
        <v>Convenience</v>
      </c>
      <c r="I203" s="903"/>
      <c r="J203" s="900"/>
      <c r="K203" s="901"/>
      <c r="L203" s="899" t="str">
        <f>nmCh3</f>
        <v>Convenience</v>
      </c>
      <c r="M203" s="899"/>
      <c r="N203" s="900"/>
      <c r="O203" s="901"/>
      <c r="P203" s="899" t="str">
        <f>nmCh3</f>
        <v>Convenience</v>
      </c>
      <c r="Q203" s="899"/>
      <c r="R203" s="900"/>
      <c r="S203" s="901"/>
      <c r="T203" s="899" t="str">
        <f>nmCh3</f>
        <v>Convenience</v>
      </c>
      <c r="U203" s="899"/>
      <c r="V203" s="900"/>
      <c r="W203" s="901"/>
      <c r="X203" s="899" t="str">
        <f>nmCh3</f>
        <v>Convenience</v>
      </c>
      <c r="Y203" s="899"/>
      <c r="Z203" s="900"/>
      <c r="AA203" s="901"/>
      <c r="AB203" s="899" t="str">
        <f>nmCh3</f>
        <v>Convenience</v>
      </c>
      <c r="AC203" s="903"/>
      <c r="AD203" s="900"/>
      <c r="AE203" s="901"/>
      <c r="AF203" s="899" t="str">
        <f>nmCh3</f>
        <v>Convenience</v>
      </c>
      <c r="AG203" s="899"/>
      <c r="AH203" s="900"/>
      <c r="AI203" s="901"/>
      <c r="AJ203" s="899" t="str">
        <f>nmCh3</f>
        <v>Convenience</v>
      </c>
      <c r="AK203" s="899"/>
      <c r="AL203" s="900"/>
      <c r="AM203" s="901"/>
      <c r="AN203" s="899" t="str">
        <f>nmCh3</f>
        <v>Convenience</v>
      </c>
      <c r="AO203" s="903"/>
      <c r="AP203" s="900"/>
      <c r="AQ203" s="800"/>
    </row>
    <row r="204" spans="2:43">
      <c r="B204" s="800"/>
      <c r="C204" s="810"/>
      <c r="D204" s="902" t="s">
        <v>379</v>
      </c>
      <c r="E204" s="814" t="str">
        <f>IF(INDEX(decCh3Prod2Slot1Active,,xxIndexTeam)=1,"Slot 1","")</f>
        <v>Slot 1</v>
      </c>
      <c r="F204" s="811" t="s">
        <v>9818</v>
      </c>
      <c r="G204" s="810"/>
      <c r="H204" s="902" t="s">
        <v>379</v>
      </c>
      <c r="I204" s="903">
        <f>IF(INDEX(decCh3Prod2Slot1Active,,xxIndexTeam)=1,INDEX(decCh3Prod2Slot1Forecast,,xxIndexTeam),"")</f>
        <v>0.4</v>
      </c>
      <c r="J204" s="900" t="s">
        <v>9819</v>
      </c>
      <c r="K204" s="901"/>
      <c r="L204" s="902" t="s">
        <v>379</v>
      </c>
      <c r="M204" s="899" t="str">
        <f>IF(INDEX(decCh3Prod2Slot1Active,,xxIndexTeam)=1,INDEX(decCh3Prod2Slot1Pack,,xxIndexTeam),"")</f>
        <v>33cl Can</v>
      </c>
      <c r="N204" s="900" t="s">
        <v>9820</v>
      </c>
      <c r="O204" s="901"/>
      <c r="P204" s="902" t="s">
        <v>379</v>
      </c>
      <c r="Q204" s="899">
        <f>IF(INDEX(decCh3Prod2Slot1Active,,xxIndexTeam)=1,INDEX(decCh3Prod2Slot1CustPrice,,xxIndexTeam),"")</f>
        <v>7.9</v>
      </c>
      <c r="R204" s="900" t="s">
        <v>9821</v>
      </c>
      <c r="S204" s="901"/>
      <c r="T204" s="902" t="s">
        <v>379</v>
      </c>
      <c r="U204" s="899" t="str">
        <f>IF(INDEX(decCh3Prod2Slot1Active,,xxIndexTeam)=1,INDEX(decCh3Prod2Slot1Promo1,,xxIndexTeam),"")</f>
        <v>TPR 33%</v>
      </c>
      <c r="V204" s="900" t="s">
        <v>9822</v>
      </c>
      <c r="W204" s="901"/>
      <c r="X204" s="902" t="s">
        <v>379</v>
      </c>
      <c r="Y204" s="899">
        <f>IF(INDEX(decCh3Prod2Slot1Active,,xxIndexTeam)=1,INDEX(decCh3Prod2Slot1Promo1Weeks,,xxIndexTeam),"")</f>
        <v>2</v>
      </c>
      <c r="Z204" s="900" t="s">
        <v>9823</v>
      </c>
      <c r="AA204" s="901"/>
      <c r="AB204" s="902" t="s">
        <v>379</v>
      </c>
      <c r="AC204" s="903">
        <f>IF(INDEX(decCh3Prod2Slot1Active,,xxIndexTeam)=1,INDEX(decCh3Prod2Slot1Promo1ShareFrc,,xxIndexTeam),"")</f>
        <v>0.2</v>
      </c>
      <c r="AD204" s="900" t="s">
        <v>9824</v>
      </c>
      <c r="AE204" s="901"/>
      <c r="AF204" s="902" t="s">
        <v>379</v>
      </c>
      <c r="AG204" s="899"/>
      <c r="AH204" s="900" t="s">
        <v>9825</v>
      </c>
      <c r="AI204" s="901"/>
      <c r="AJ204" s="902" t="s">
        <v>379</v>
      </c>
      <c r="AK204" s="899"/>
      <c r="AL204" s="900" t="s">
        <v>9826</v>
      </c>
      <c r="AM204" s="901"/>
      <c r="AN204" s="902" t="s">
        <v>379</v>
      </c>
      <c r="AO204" s="903"/>
      <c r="AP204" s="900" t="s">
        <v>9827</v>
      </c>
      <c r="AQ204" s="800"/>
    </row>
    <row r="205" spans="2:43">
      <c r="B205" s="800"/>
      <c r="C205" s="810"/>
      <c r="D205" s="902" t="s">
        <v>394</v>
      </c>
      <c r="E205" s="814" t="str">
        <f>IF(INDEX(decCh3Prod2Slot2Active,,xxIndexTeam)=1,"Slot 2","")</f>
        <v>Slot 2</v>
      </c>
      <c r="F205" s="811" t="s">
        <v>9828</v>
      </c>
      <c r="G205" s="810"/>
      <c r="H205" s="902" t="s">
        <v>394</v>
      </c>
      <c r="I205" s="903">
        <f>IF(INDEX(decCh3Prod2Slot2Active,,xxIndexTeam)=1,INDEX(decCh3Prod2Slot2Forecast,,xxIndexTeam),"")</f>
        <v>0.6</v>
      </c>
      <c r="J205" s="900" t="s">
        <v>9829</v>
      </c>
      <c r="K205" s="901"/>
      <c r="L205" s="902" t="s">
        <v>394</v>
      </c>
      <c r="M205" s="899" t="str">
        <f>IF(INDEX(decCh3Prod2Slot2Active,,xxIndexTeam)=1,INDEX(decCh3Prod2Slot2Pack,,xxIndexTeam),"")</f>
        <v>6 x 33cl Can</v>
      </c>
      <c r="N205" s="900" t="s">
        <v>9830</v>
      </c>
      <c r="O205" s="901"/>
      <c r="P205" s="902" t="s">
        <v>394</v>
      </c>
      <c r="Q205" s="899">
        <f>IF(INDEX(decCh3Prod2Slot2Active,,xxIndexTeam)=1,INDEX(decCh3Prod2Slot2CustPrice,,xxIndexTeam),"")</f>
        <v>8</v>
      </c>
      <c r="R205" s="900" t="s">
        <v>9831</v>
      </c>
      <c r="S205" s="901"/>
      <c r="T205" s="902" t="s">
        <v>394</v>
      </c>
      <c r="U205" s="899" t="str">
        <f>IF(INDEX(decCh3Prod2Slot2Active,,xxIndexTeam)=1,INDEX(decCh3Prod2Slot2Promo1,,xxIndexTeam),"")</f>
        <v>TPR 20%</v>
      </c>
      <c r="V205" s="900" t="s">
        <v>9832</v>
      </c>
      <c r="W205" s="901"/>
      <c r="X205" s="902" t="s">
        <v>394</v>
      </c>
      <c r="Y205" s="899">
        <f>IF(INDEX(decCh3Prod2Slot2Active,,xxIndexTeam)=1,INDEX(decCh3Prod2Slot2Promo1Weeks,,xxIndexTeam),"")</f>
        <v>2</v>
      </c>
      <c r="Z205" s="900" t="s">
        <v>9833</v>
      </c>
      <c r="AA205" s="901"/>
      <c r="AB205" s="902" t="s">
        <v>394</v>
      </c>
      <c r="AC205" s="903">
        <f>IF(INDEX(decCh3Prod2Slot2Active,,xxIndexTeam)=1,INDEX(decCh3Prod2Slot2Promo1ShareFrc,,xxIndexTeam),"")</f>
        <v>0.2</v>
      </c>
      <c r="AD205" s="900" t="s">
        <v>9834</v>
      </c>
      <c r="AE205" s="901"/>
      <c r="AF205" s="902" t="s">
        <v>394</v>
      </c>
      <c r="AG205" s="899"/>
      <c r="AH205" s="900" t="s">
        <v>9835</v>
      </c>
      <c r="AI205" s="901"/>
      <c r="AJ205" s="902" t="s">
        <v>394</v>
      </c>
      <c r="AK205" s="899"/>
      <c r="AL205" s="900" t="s">
        <v>9836</v>
      </c>
      <c r="AM205" s="901"/>
      <c r="AN205" s="902" t="s">
        <v>394</v>
      </c>
      <c r="AO205" s="903"/>
      <c r="AP205" s="900" t="s">
        <v>9837</v>
      </c>
      <c r="AQ205" s="800"/>
    </row>
    <row r="206" spans="2:43">
      <c r="B206" s="800"/>
      <c r="C206" s="810"/>
      <c r="D206" s="906" t="s">
        <v>395</v>
      </c>
      <c r="E206" s="814" t="str">
        <f>IF(INDEX(decCh3Prod2Slot3Active,,xxIndexTeam)=1,"Slot 3","")</f>
        <v/>
      </c>
      <c r="F206" s="811" t="s">
        <v>9838</v>
      </c>
      <c r="G206" s="810"/>
      <c r="H206" s="906" t="s">
        <v>395</v>
      </c>
      <c r="I206" s="903" t="str">
        <f>IF(INDEX(decCh3Prod2Slot3Active,,xxIndexTeam)=1,INDEX(decCh3Prod2Slot3Forecast,,xxIndexTeam),"")</f>
        <v/>
      </c>
      <c r="J206" s="900" t="s">
        <v>9839</v>
      </c>
      <c r="K206" s="901"/>
      <c r="L206" s="902" t="s">
        <v>395</v>
      </c>
      <c r="M206" s="899" t="str">
        <f>IF(INDEX(decCh3Prod2Slot3Active,,xxIndexTeam)=1,INDEX(decCh3Prod2Slot3Pack,,xxIndexTeam),"")</f>
        <v/>
      </c>
      <c r="N206" s="900" t="s">
        <v>9840</v>
      </c>
      <c r="O206" s="901"/>
      <c r="P206" s="902" t="s">
        <v>395</v>
      </c>
      <c r="Q206" s="899" t="str">
        <f>IF(INDEX(decCh3Prod2Slot3Active,,xxIndexTeam)=1,INDEX(decCh3Prod2Slot3CustPrice,,xxIndexTeam),"")</f>
        <v/>
      </c>
      <c r="R206" s="900" t="s">
        <v>9841</v>
      </c>
      <c r="S206" s="901"/>
      <c r="T206" s="902" t="s">
        <v>395</v>
      </c>
      <c r="U206" s="899" t="str">
        <f>IF(INDEX(decCh3Prod2Slot3Active,,xxIndexTeam)=1,INDEX(decCh3Prod2Slot3Promo1,,xxIndexTeam),"")</f>
        <v/>
      </c>
      <c r="V206" s="900" t="s">
        <v>9842</v>
      </c>
      <c r="W206" s="901"/>
      <c r="X206" s="902" t="s">
        <v>395</v>
      </c>
      <c r="Y206" s="899" t="str">
        <f>IF(INDEX(decCh3Prod2Slot3Active,,xxIndexTeam)=1,INDEX(decCh3Prod2Slot3Promo1Weeks,,xxIndexTeam),"")</f>
        <v/>
      </c>
      <c r="Z206" s="900" t="s">
        <v>9843</v>
      </c>
      <c r="AA206" s="901"/>
      <c r="AB206" s="902" t="s">
        <v>395</v>
      </c>
      <c r="AC206" s="903" t="str">
        <f>IF(INDEX(decCh3Prod2Slot3Active,,xxIndexTeam)=1,INDEX(decCh3Prod2Slot3Promo1ShareFrc,,xxIndexTeam),"")</f>
        <v/>
      </c>
      <c r="AD206" s="900" t="s">
        <v>9844</v>
      </c>
      <c r="AE206" s="901"/>
      <c r="AF206" s="902" t="s">
        <v>395</v>
      </c>
      <c r="AG206" s="899"/>
      <c r="AH206" s="900" t="s">
        <v>9845</v>
      </c>
      <c r="AI206" s="901"/>
      <c r="AJ206" s="902" t="s">
        <v>395</v>
      </c>
      <c r="AK206" s="899"/>
      <c r="AL206" s="900" t="s">
        <v>9846</v>
      </c>
      <c r="AM206" s="901"/>
      <c r="AN206" s="902" t="s">
        <v>395</v>
      </c>
      <c r="AO206" s="903"/>
      <c r="AP206" s="900" t="s">
        <v>9847</v>
      </c>
      <c r="AQ206" s="800"/>
    </row>
    <row r="207" spans="2:43">
      <c r="B207" s="800"/>
      <c r="C207" s="810"/>
      <c r="D207" s="814" t="str">
        <f>nmCh4</f>
        <v>On-Trade</v>
      </c>
      <c r="E207" s="814"/>
      <c r="F207" s="811"/>
      <c r="G207" s="810"/>
      <c r="H207" s="814" t="str">
        <f>nmCh4</f>
        <v>On-Trade</v>
      </c>
      <c r="I207" s="903"/>
      <c r="J207" s="900"/>
      <c r="K207" s="901"/>
      <c r="L207" s="899" t="str">
        <f>nmCh4</f>
        <v>On-Trade</v>
      </c>
      <c r="M207" s="899"/>
      <c r="N207" s="900"/>
      <c r="O207" s="901"/>
      <c r="P207" s="899" t="str">
        <f>nmCh4</f>
        <v>On-Trade</v>
      </c>
      <c r="Q207" s="899"/>
      <c r="R207" s="900"/>
      <c r="S207" s="901"/>
      <c r="T207" s="899" t="str">
        <f>nmCh4</f>
        <v>On-Trade</v>
      </c>
      <c r="U207" s="899"/>
      <c r="V207" s="900"/>
      <c r="W207" s="901"/>
      <c r="X207" s="899" t="str">
        <f>nmCh4</f>
        <v>On-Trade</v>
      </c>
      <c r="Y207" s="899"/>
      <c r="Z207" s="900"/>
      <c r="AA207" s="901"/>
      <c r="AB207" s="899" t="str">
        <f>nmCh4</f>
        <v>On-Trade</v>
      </c>
      <c r="AC207" s="903"/>
      <c r="AD207" s="900"/>
      <c r="AE207" s="901"/>
      <c r="AF207" s="899" t="str">
        <f>nmCh4</f>
        <v>On-Trade</v>
      </c>
      <c r="AG207" s="899"/>
      <c r="AH207" s="900"/>
      <c r="AI207" s="901"/>
      <c r="AJ207" s="899" t="str">
        <f>nmCh4</f>
        <v>On-Trade</v>
      </c>
      <c r="AK207" s="899"/>
      <c r="AL207" s="900"/>
      <c r="AM207" s="901"/>
      <c r="AN207" s="899" t="str">
        <f>nmCh4</f>
        <v>On-Trade</v>
      </c>
      <c r="AO207" s="903"/>
      <c r="AP207" s="900"/>
      <c r="AQ207" s="800"/>
    </row>
    <row r="208" spans="2:43">
      <c r="B208" s="800"/>
      <c r="C208" s="810"/>
      <c r="D208" s="902" t="s">
        <v>379</v>
      </c>
      <c r="E208" s="814" t="str">
        <f>IF(INDEX(decCh4Prod2Slot1Active,,xxIndexTeam)=1,"Slot 1","")</f>
        <v>Slot 1</v>
      </c>
      <c r="F208" s="811" t="s">
        <v>9848</v>
      </c>
      <c r="G208" s="810"/>
      <c r="H208" s="902" t="s">
        <v>379</v>
      </c>
      <c r="I208" s="903">
        <f>IF(INDEX(decCh4Prod2Slot1Active,,xxIndexTeam)=1,INDEX(decCh4Prod2Slot1Forecast,,xxIndexTeam),"")</f>
        <v>1</v>
      </c>
      <c r="J208" s="900" t="s">
        <v>9849</v>
      </c>
      <c r="K208" s="901"/>
      <c r="L208" s="902" t="s">
        <v>379</v>
      </c>
      <c r="M208" s="899" t="str">
        <f>IF(INDEX(decCh4Prod2Slot1Active,,xxIndexTeam)=1,INDEX(decCh4Prod2Slot1Pack,,xxIndexTeam),"")</f>
        <v>25Ltr Keg</v>
      </c>
      <c r="N208" s="900" t="s">
        <v>9850</v>
      </c>
      <c r="O208" s="901"/>
      <c r="P208" s="902" t="s">
        <v>379</v>
      </c>
      <c r="Q208" s="899">
        <f>IF(INDEX(decCh4Prod2Slot1Active,,xxIndexTeam)=1,INDEX(decCh4Prod2Slot1CustPrice,,xxIndexTeam),"")</f>
        <v>7.2</v>
      </c>
      <c r="R208" s="900" t="s">
        <v>9851</v>
      </c>
      <c r="S208" s="901"/>
      <c r="T208" s="902" t="s">
        <v>379</v>
      </c>
      <c r="U208" s="899" t="str">
        <f>IF(INDEX(decCh4Prod2Slot1Active,,xxIndexTeam)=1,INDEX(decCh4Prod2Slot1Promo1,,xxIndexTeam),"")</f>
        <v>TPR 33%</v>
      </c>
      <c r="V208" s="900" t="s">
        <v>9852</v>
      </c>
      <c r="W208" s="901"/>
      <c r="X208" s="902" t="s">
        <v>379</v>
      </c>
      <c r="Y208" s="899">
        <f>IF(INDEX(decCh4Prod2Slot1Active,,xxIndexTeam)=1,INDEX(decCh4Prod2Slot1Promo1Weeks,,xxIndexTeam),"")</f>
        <v>8</v>
      </c>
      <c r="Z208" s="900" t="s">
        <v>9853</v>
      </c>
      <c r="AA208" s="901"/>
      <c r="AB208" s="902" t="s">
        <v>379</v>
      </c>
      <c r="AC208" s="903">
        <f>IF(INDEX(decCh4Prod2Slot1Active,,xxIndexTeam)=1,INDEX(decCh4Prod2Slot1Promo1ShareFrc,,xxIndexTeam),"")</f>
        <v>0.65</v>
      </c>
      <c r="AD208" s="900" t="s">
        <v>9854</v>
      </c>
      <c r="AE208" s="901"/>
      <c r="AF208" s="902" t="s">
        <v>379</v>
      </c>
      <c r="AG208" s="899"/>
      <c r="AH208" s="900" t="s">
        <v>9855</v>
      </c>
      <c r="AI208" s="901"/>
      <c r="AJ208" s="902" t="s">
        <v>379</v>
      </c>
      <c r="AK208" s="899"/>
      <c r="AL208" s="900" t="s">
        <v>9856</v>
      </c>
      <c r="AM208" s="901"/>
      <c r="AN208" s="902" t="s">
        <v>379</v>
      </c>
      <c r="AO208" s="903"/>
      <c r="AP208" s="900" t="s">
        <v>9857</v>
      </c>
      <c r="AQ208" s="800"/>
    </row>
    <row r="209" spans="2:43">
      <c r="B209" s="800"/>
      <c r="C209" s="810"/>
      <c r="D209" s="902" t="s">
        <v>394</v>
      </c>
      <c r="E209" s="814" t="str">
        <f>IF(INDEX(decCh4Prod2Slot2Active,,xxIndexTeam)=1,"Slot 2","")</f>
        <v/>
      </c>
      <c r="F209" s="811" t="s">
        <v>9858</v>
      </c>
      <c r="G209" s="810"/>
      <c r="H209" s="902" t="s">
        <v>394</v>
      </c>
      <c r="I209" s="903" t="str">
        <f>IF(INDEX(decCh4Prod2Slot2Active,,xxIndexTeam)=1,INDEX(decCh4Prod2Slot2Forecast,,xxIndexTeam),"")</f>
        <v/>
      </c>
      <c r="J209" s="900" t="s">
        <v>9859</v>
      </c>
      <c r="K209" s="901"/>
      <c r="L209" s="902" t="s">
        <v>394</v>
      </c>
      <c r="M209" s="899" t="str">
        <f>IF(INDEX(decCh4Prod2Slot2Active,,xxIndexTeam)=1,INDEX(decCh4Prod2Slot2Pack,,xxIndexTeam),"")</f>
        <v/>
      </c>
      <c r="N209" s="900" t="s">
        <v>9860</v>
      </c>
      <c r="O209" s="901"/>
      <c r="P209" s="902" t="s">
        <v>394</v>
      </c>
      <c r="Q209" s="899" t="str">
        <f>IF(INDEX(decCh4Prod2Slot2Active,,xxIndexTeam)=1,INDEX(decCh4Prod2Slot2CustPrice,,xxIndexTeam),"")</f>
        <v/>
      </c>
      <c r="R209" s="900" t="s">
        <v>9861</v>
      </c>
      <c r="S209" s="901"/>
      <c r="T209" s="902" t="s">
        <v>394</v>
      </c>
      <c r="U209" s="899" t="str">
        <f>IF(INDEX(decCh4Prod2Slot2Active,,xxIndexTeam)=1,INDEX(decCh4Prod2Slot2Promo1,,xxIndexTeam),"")</f>
        <v/>
      </c>
      <c r="V209" s="900" t="s">
        <v>9862</v>
      </c>
      <c r="W209" s="901"/>
      <c r="X209" s="902" t="s">
        <v>394</v>
      </c>
      <c r="Y209" s="899" t="str">
        <f>IF(INDEX(decCh4Prod2Slot2Active,,xxIndexTeam)=1,INDEX(decCh4Prod2Slot2Promo1Weeks,,xxIndexTeam),"")</f>
        <v/>
      </c>
      <c r="Z209" s="900" t="s">
        <v>9863</v>
      </c>
      <c r="AA209" s="901"/>
      <c r="AB209" s="902" t="s">
        <v>394</v>
      </c>
      <c r="AC209" s="903" t="str">
        <f>IF(INDEX(decCh4Prod2Slot2Active,,xxIndexTeam)=1,INDEX(decCh4Prod2Slot2Promo1ShareFrc,,xxIndexTeam),"")</f>
        <v/>
      </c>
      <c r="AD209" s="900" t="s">
        <v>9864</v>
      </c>
      <c r="AE209" s="901"/>
      <c r="AF209" s="902" t="s">
        <v>394</v>
      </c>
      <c r="AG209" s="899"/>
      <c r="AH209" s="900" t="s">
        <v>9865</v>
      </c>
      <c r="AI209" s="901"/>
      <c r="AJ209" s="902" t="s">
        <v>394</v>
      </c>
      <c r="AK209" s="899"/>
      <c r="AL209" s="900" t="s">
        <v>9866</v>
      </c>
      <c r="AM209" s="901"/>
      <c r="AN209" s="902" t="s">
        <v>394</v>
      </c>
      <c r="AO209" s="903"/>
      <c r="AP209" s="900" t="s">
        <v>9867</v>
      </c>
      <c r="AQ209" s="800"/>
    </row>
    <row r="210" spans="2:43">
      <c r="B210" s="800"/>
      <c r="C210" s="810"/>
      <c r="D210" s="906" t="s">
        <v>395</v>
      </c>
      <c r="E210" s="814" t="str">
        <f>IF(INDEX(decCh4Prod2Slot3Active,,xxIndexTeam)=1,"Slot 3","")</f>
        <v/>
      </c>
      <c r="F210" s="811" t="s">
        <v>9868</v>
      </c>
      <c r="G210" s="810"/>
      <c r="H210" s="906" t="s">
        <v>395</v>
      </c>
      <c r="I210" s="903" t="str">
        <f>IF(INDEX(decCh4Prod2Slot3Active,,xxIndexTeam)=1,INDEX(decCh4Prod2Slot3Forecast,,xxIndexTeam),"")</f>
        <v/>
      </c>
      <c r="J210" s="900" t="s">
        <v>9869</v>
      </c>
      <c r="K210" s="901"/>
      <c r="L210" s="902" t="s">
        <v>395</v>
      </c>
      <c r="M210" s="899" t="str">
        <f>IF(INDEX(decCh4Prod2Slot3Active,,xxIndexTeam)=1,INDEX(decCh4Prod2Slot3Pack,,xxIndexTeam),"")</f>
        <v/>
      </c>
      <c r="N210" s="900" t="s">
        <v>9870</v>
      </c>
      <c r="O210" s="901"/>
      <c r="P210" s="902" t="s">
        <v>395</v>
      </c>
      <c r="Q210" s="899" t="str">
        <f>IF(INDEX(decCh4Prod2Slot3Active,,xxIndexTeam)=1,INDEX(decCh4Prod2Slot3CustPrice,,xxIndexTeam),"")</f>
        <v/>
      </c>
      <c r="R210" s="900" t="s">
        <v>9871</v>
      </c>
      <c r="S210" s="901"/>
      <c r="T210" s="902" t="s">
        <v>395</v>
      </c>
      <c r="U210" s="899" t="str">
        <f>IF(INDEX(decCh4Prod2Slot3Active,,xxIndexTeam)=1,INDEX(decCh4Prod2Slot3Promo1,,xxIndexTeam),"")</f>
        <v/>
      </c>
      <c r="V210" s="900" t="s">
        <v>9872</v>
      </c>
      <c r="W210" s="901"/>
      <c r="X210" s="902" t="s">
        <v>395</v>
      </c>
      <c r="Y210" s="899" t="str">
        <f>IF(INDEX(decCh4Prod2Slot3Active,,xxIndexTeam)=1,INDEX(decCh4Prod2Slot3Promo1Weeks,,xxIndexTeam),"")</f>
        <v/>
      </c>
      <c r="Z210" s="900" t="s">
        <v>9873</v>
      </c>
      <c r="AA210" s="901"/>
      <c r="AB210" s="902" t="s">
        <v>395</v>
      </c>
      <c r="AC210" s="903" t="str">
        <f>IF(INDEX(decCh4Prod2Slot3Active,,xxIndexTeam)=1,INDEX(decCh4Prod2Slot3Promo1ShareFrc,,xxIndexTeam),"")</f>
        <v/>
      </c>
      <c r="AD210" s="900" t="s">
        <v>9874</v>
      </c>
      <c r="AE210" s="901"/>
      <c r="AF210" s="902" t="s">
        <v>395</v>
      </c>
      <c r="AG210" s="899"/>
      <c r="AH210" s="900" t="s">
        <v>9875</v>
      </c>
      <c r="AI210" s="901"/>
      <c r="AJ210" s="902" t="s">
        <v>395</v>
      </c>
      <c r="AK210" s="899"/>
      <c r="AL210" s="900" t="s">
        <v>9876</v>
      </c>
      <c r="AM210" s="901"/>
      <c r="AN210" s="902" t="s">
        <v>395</v>
      </c>
      <c r="AO210" s="903"/>
      <c r="AP210" s="900" t="s">
        <v>9877</v>
      </c>
      <c r="AQ210" s="800"/>
    </row>
    <row r="211" spans="2:43">
      <c r="B211" s="800"/>
      <c r="C211" s="810" t="str">
        <f>nmProd3</f>
        <v>Kara</v>
      </c>
      <c r="D211" s="814"/>
      <c r="E211" s="814"/>
      <c r="F211" s="811"/>
      <c r="G211" s="810" t="str">
        <f>nmProd3</f>
        <v>Kara</v>
      </c>
      <c r="H211" s="814"/>
      <c r="I211" s="903"/>
      <c r="J211" s="900"/>
      <c r="K211" s="901" t="str">
        <f>nmProd3</f>
        <v>Kara</v>
      </c>
      <c r="L211" s="899"/>
      <c r="M211" s="899"/>
      <c r="N211" s="900"/>
      <c r="O211" s="901" t="str">
        <f>nmProd3</f>
        <v>Kara</v>
      </c>
      <c r="P211" s="899"/>
      <c r="Q211" s="899"/>
      <c r="R211" s="900"/>
      <c r="S211" s="901" t="str">
        <f>nmProd3</f>
        <v>Kara</v>
      </c>
      <c r="T211" s="899"/>
      <c r="U211" s="899"/>
      <c r="V211" s="900"/>
      <c r="W211" s="901" t="str">
        <f>nmProd3</f>
        <v>Kara</v>
      </c>
      <c r="X211" s="899"/>
      <c r="Y211" s="899"/>
      <c r="Z211" s="900"/>
      <c r="AA211" s="901" t="str">
        <f>nmProd3</f>
        <v>Kara</v>
      </c>
      <c r="AB211" s="899"/>
      <c r="AC211" s="903"/>
      <c r="AD211" s="900"/>
      <c r="AE211" s="901" t="str">
        <f>nmProd3</f>
        <v>Kara</v>
      </c>
      <c r="AF211" s="899"/>
      <c r="AG211" s="899"/>
      <c r="AH211" s="900"/>
      <c r="AI211" s="901" t="str">
        <f>nmProd3</f>
        <v>Kara</v>
      </c>
      <c r="AJ211" s="899"/>
      <c r="AK211" s="899"/>
      <c r="AL211" s="900"/>
      <c r="AM211" s="901" t="str">
        <f>nmProd3</f>
        <v>Kara</v>
      </c>
      <c r="AN211" s="899"/>
      <c r="AO211" s="903"/>
      <c r="AP211" s="900"/>
      <c r="AQ211" s="800"/>
    </row>
    <row r="212" spans="2:43">
      <c r="B212" s="800"/>
      <c r="C212" s="810"/>
      <c r="D212" s="814" t="str">
        <f>nmCh1</f>
        <v>Hypermarkets</v>
      </c>
      <c r="E212" s="814"/>
      <c r="F212" s="811"/>
      <c r="G212" s="810"/>
      <c r="H212" s="814" t="str">
        <f>nmCh1</f>
        <v>Hypermarkets</v>
      </c>
      <c r="I212" s="903"/>
      <c r="J212" s="900"/>
      <c r="K212" s="901"/>
      <c r="L212" s="899" t="str">
        <f>nmCh1</f>
        <v>Hypermarkets</v>
      </c>
      <c r="M212" s="899"/>
      <c r="N212" s="900"/>
      <c r="O212" s="901"/>
      <c r="P212" s="899" t="str">
        <f>nmCh1</f>
        <v>Hypermarkets</v>
      </c>
      <c r="Q212" s="899"/>
      <c r="R212" s="900"/>
      <c r="S212" s="901"/>
      <c r="T212" s="899" t="str">
        <f>nmCh1</f>
        <v>Hypermarkets</v>
      </c>
      <c r="U212" s="899"/>
      <c r="V212" s="900"/>
      <c r="W212" s="901"/>
      <c r="X212" s="899" t="str">
        <f>nmCh1</f>
        <v>Hypermarkets</v>
      </c>
      <c r="Y212" s="899"/>
      <c r="Z212" s="900"/>
      <c r="AA212" s="901"/>
      <c r="AB212" s="899" t="str">
        <f>nmCh1</f>
        <v>Hypermarkets</v>
      </c>
      <c r="AC212" s="903"/>
      <c r="AD212" s="900"/>
      <c r="AE212" s="901"/>
      <c r="AF212" s="899" t="str">
        <f>nmCh1</f>
        <v>Hypermarkets</v>
      </c>
      <c r="AG212" s="899"/>
      <c r="AH212" s="900"/>
      <c r="AI212" s="901"/>
      <c r="AJ212" s="899" t="str">
        <f>nmCh1</f>
        <v>Hypermarkets</v>
      </c>
      <c r="AK212" s="899"/>
      <c r="AL212" s="900"/>
      <c r="AM212" s="901"/>
      <c r="AN212" s="899" t="str">
        <f>nmCh1</f>
        <v>Hypermarkets</v>
      </c>
      <c r="AO212" s="903"/>
      <c r="AP212" s="900"/>
      <c r="AQ212" s="800"/>
    </row>
    <row r="213" spans="2:43">
      <c r="B213" s="800"/>
      <c r="C213" s="810"/>
      <c r="D213" s="902" t="s">
        <v>379</v>
      </c>
      <c r="E213" s="814" t="str">
        <f>IF(INDEX(decCh1Prod3Slot1Active,,xxIndexTeam)=1,"Slot 1","")</f>
        <v>Slot 1</v>
      </c>
      <c r="F213" s="811" t="s">
        <v>9878</v>
      </c>
      <c r="G213" s="810"/>
      <c r="H213" s="902" t="s">
        <v>379</v>
      </c>
      <c r="I213" s="903">
        <f>IF(INDEX(decCh1Prod3Slot1Active,,xxIndexTeam)=1,INDEX(decCh1Prod3Slot1Forecast,,xxIndexTeam),"")</f>
        <v>0.4</v>
      </c>
      <c r="J213" s="900" t="s">
        <v>9879</v>
      </c>
      <c r="K213" s="901"/>
      <c r="L213" s="902" t="s">
        <v>379</v>
      </c>
      <c r="M213" s="899" t="str">
        <f>IF(INDEX(decCh1Prod3Slot1Active,,xxIndexTeam)=1,INDEX(decCh1Prod3Slot1Pack,,xxIndexTeam),"")</f>
        <v>25cl Can</v>
      </c>
      <c r="N213" s="900" t="s">
        <v>9880</v>
      </c>
      <c r="O213" s="901"/>
      <c r="P213" s="902" t="s">
        <v>379</v>
      </c>
      <c r="Q213" s="899">
        <f>IF(INDEX(decCh1Prod3Slot1Active,,xxIndexTeam)=1,INDEX(decCh1Prod3Slot1CustPrice,,xxIndexTeam),"")</f>
        <v>7.6</v>
      </c>
      <c r="R213" s="900" t="s">
        <v>9881</v>
      </c>
      <c r="S213" s="901"/>
      <c r="T213" s="902" t="s">
        <v>379</v>
      </c>
      <c r="U213" s="899" t="str">
        <f>IF(INDEX(decCh1Prod3Slot1Active,,xxIndexTeam)=1,INDEX(decCh1Prod3Slot1Promo1,,xxIndexTeam),"")</f>
        <v>TPR 33%</v>
      </c>
      <c r="V213" s="900" t="s">
        <v>9882</v>
      </c>
      <c r="W213" s="901"/>
      <c r="X213" s="902" t="s">
        <v>379</v>
      </c>
      <c r="Y213" s="899">
        <f>IF(INDEX(decCh1Prod3Slot1Active,,xxIndexTeam)=1,INDEX(decCh1Prod3Slot1Promo2Weeks,,xxIndexTeam),"")</f>
        <v>0</v>
      </c>
      <c r="Z213" s="900" t="s">
        <v>9883</v>
      </c>
      <c r="AA213" s="901"/>
      <c r="AB213" s="902" t="s">
        <v>379</v>
      </c>
      <c r="AC213" s="903">
        <f>IF(INDEX(decCh1Prod3Slot1Active,,xxIndexTeam)=1,INDEX(decCh1Prod3Slot1Promo1ShareFrc,,xxIndexTeam),"")</f>
        <v>0.1</v>
      </c>
      <c r="AD213" s="900" t="s">
        <v>9884</v>
      </c>
      <c r="AE213" s="901"/>
      <c r="AF213" s="902" t="s">
        <v>379</v>
      </c>
      <c r="AG213" s="899" t="str">
        <f>IF(INDEX(decCh1Prod3Slot1Active,,xxIndexTeam)=1,INDEX(decCh1Prod3Slot1Promo2,,xxIndexTeam),"")</f>
        <v>No Promotion</v>
      </c>
      <c r="AH213" s="900" t="s">
        <v>9885</v>
      </c>
      <c r="AI213" s="901"/>
      <c r="AJ213" s="902" t="s">
        <v>379</v>
      </c>
      <c r="AK213" s="899">
        <f>IF(INDEX(decCh1Prod3Slot1Active,,xxIndexTeam)=1,INDEX(decCh1Prod3Slot1Promo2Weeks,,xxIndexTeam),"")</f>
        <v>0</v>
      </c>
      <c r="AL213" s="900" t="s">
        <v>9886</v>
      </c>
      <c r="AM213" s="901"/>
      <c r="AN213" s="902" t="s">
        <v>379</v>
      </c>
      <c r="AO213" s="903">
        <f>IF(INDEX(decCh1Prod3Slot1Active,,xxIndexTeam)=1,INDEX(decCh1Prod3Slot1Promo2ShareFrc,,xxIndexTeam),"")</f>
        <v>0</v>
      </c>
      <c r="AP213" s="900" t="s">
        <v>9887</v>
      </c>
      <c r="AQ213" s="800"/>
    </row>
    <row r="214" spans="2:43">
      <c r="B214" s="800"/>
      <c r="C214" s="810"/>
      <c r="D214" s="902" t="s">
        <v>394</v>
      </c>
      <c r="E214" s="814" t="str">
        <f>IF(INDEX(decCh1Prod3Slot2Active,,xxIndexTeam)=1,"Slot 2","")</f>
        <v>Slot 2</v>
      </c>
      <c r="F214" s="811" t="s">
        <v>9888</v>
      </c>
      <c r="G214" s="810"/>
      <c r="H214" s="902" t="s">
        <v>394</v>
      </c>
      <c r="I214" s="903">
        <f>IF(INDEX(decCh1Prod3Slot2Active,,xxIndexTeam)=1,INDEX(decCh1Prod3Slot2Forecast,,xxIndexTeam),"")</f>
        <v>0.6</v>
      </c>
      <c r="J214" s="900" t="s">
        <v>9889</v>
      </c>
      <c r="K214" s="901"/>
      <c r="L214" s="902" t="s">
        <v>394</v>
      </c>
      <c r="M214" s="899" t="str">
        <f>IF(INDEX(decCh1Prod3Slot2Active,,xxIndexTeam)=1,INDEX(decCh1Prod3Slot2Pack,,xxIndexTeam),"")</f>
        <v>6 x 33cl Can</v>
      </c>
      <c r="N214" s="900" t="s">
        <v>9890</v>
      </c>
      <c r="O214" s="901"/>
      <c r="P214" s="902" t="s">
        <v>394</v>
      </c>
      <c r="Q214" s="899">
        <f>IF(INDEX(decCh1Prod3Slot2Active,,xxIndexTeam)=1,INDEX(decCh1Prod3Slot2CustPrice,,xxIndexTeam),"")</f>
        <v>7.68</v>
      </c>
      <c r="R214" s="900" t="s">
        <v>9891</v>
      </c>
      <c r="S214" s="901"/>
      <c r="T214" s="902" t="s">
        <v>394</v>
      </c>
      <c r="U214" s="899" t="str">
        <f>IF(INDEX(decCh1Prod3Slot2Active,,xxIndexTeam)=1,INDEX(decCh1Prod3Slot2Promo1,,xxIndexTeam),"")</f>
        <v>TPR 20%</v>
      </c>
      <c r="V214" s="900" t="s">
        <v>9892</v>
      </c>
      <c r="W214" s="901"/>
      <c r="X214" s="902" t="s">
        <v>394</v>
      </c>
      <c r="Y214" s="899">
        <f>IF(INDEX(decCh1Prod3Slot2Active,,xxIndexTeam)=1,INDEX(decCh1Prod3Slot2Promo2Weeks,,xxIndexTeam),"")</f>
        <v>0</v>
      </c>
      <c r="Z214" s="900" t="s">
        <v>9893</v>
      </c>
      <c r="AA214" s="901"/>
      <c r="AB214" s="902" t="s">
        <v>394</v>
      </c>
      <c r="AC214" s="903">
        <f>IF(INDEX(decCh1Prod3Slot2Active,,xxIndexTeam)=1,INDEX(decCh1Prod3Slot2Promo1ShareFrc,,xxIndexTeam),"")</f>
        <v>0.4</v>
      </c>
      <c r="AD214" s="900" t="s">
        <v>9894</v>
      </c>
      <c r="AE214" s="901"/>
      <c r="AF214" s="902" t="s">
        <v>394</v>
      </c>
      <c r="AG214" s="899" t="str">
        <f>IF(INDEX(decCh1Prod3Slot2Active,,xxIndexTeam)=1,INDEX(decCh1Prod3Slot2Promo2,,xxIndexTeam),"")</f>
        <v>No Promotion</v>
      </c>
      <c r="AH214" s="900" t="s">
        <v>9895</v>
      </c>
      <c r="AI214" s="901"/>
      <c r="AJ214" s="902" t="s">
        <v>394</v>
      </c>
      <c r="AK214" s="899">
        <f>IF(INDEX(decCh1Prod3Slot2Active,,xxIndexTeam)=1,INDEX(decCh1Prod3Slot2Promo2Weeks,,xxIndexTeam),"")</f>
        <v>0</v>
      </c>
      <c r="AL214" s="900" t="s">
        <v>9896</v>
      </c>
      <c r="AM214" s="901"/>
      <c r="AN214" s="902" t="s">
        <v>394</v>
      </c>
      <c r="AO214" s="903">
        <f>IF(INDEX(decCh1Prod3Slot2Active,,xxIndexTeam)=1,INDEX(decCh1Prod3Slot2Promo2ShareFrc,,xxIndexTeam),"")</f>
        <v>0</v>
      </c>
      <c r="AP214" s="900" t="s">
        <v>9897</v>
      </c>
      <c r="AQ214" s="800"/>
    </row>
    <row r="215" spans="2:43">
      <c r="B215" s="800"/>
      <c r="C215" s="810"/>
      <c r="D215" s="906" t="s">
        <v>395</v>
      </c>
      <c r="E215" s="814" t="str">
        <f>IF(INDEX(decCh1Prod3Slot3Active,,xxIndexTeam)=1,"Slot 3","")</f>
        <v/>
      </c>
      <c r="F215" s="811" t="s">
        <v>9898</v>
      </c>
      <c r="G215" s="810"/>
      <c r="H215" s="906" t="s">
        <v>395</v>
      </c>
      <c r="I215" s="903" t="str">
        <f>IF(INDEX(decCh1Prod3Slot3Active,,xxIndexTeam)=1,INDEX(decCh1Prod3Slot3Forecast,,xxIndexTeam),"")</f>
        <v/>
      </c>
      <c r="J215" s="900" t="s">
        <v>9899</v>
      </c>
      <c r="K215" s="901"/>
      <c r="L215" s="902" t="s">
        <v>395</v>
      </c>
      <c r="M215" s="899" t="str">
        <f>IF(INDEX(decCh1Prod3Slot3Active,,xxIndexTeam)=1,INDEX(decCh1Prod3Slot3Pack,,xxIndexTeam),"")</f>
        <v/>
      </c>
      <c r="N215" s="900" t="s">
        <v>9900</v>
      </c>
      <c r="O215" s="901"/>
      <c r="P215" s="902" t="s">
        <v>395</v>
      </c>
      <c r="Q215" s="899" t="str">
        <f>IF(INDEX(decCh1Prod3Slot3Active,,xxIndexTeam)=1,INDEX(decCh1Prod3Slot3CustPrice,,xxIndexTeam),"")</f>
        <v/>
      </c>
      <c r="R215" s="900" t="s">
        <v>9901</v>
      </c>
      <c r="S215" s="901"/>
      <c r="T215" s="902" t="s">
        <v>395</v>
      </c>
      <c r="U215" s="899" t="str">
        <f>IF(INDEX(decCh1Prod3Slot3Active,,xxIndexTeam)=1,INDEX(decCh1Prod3Slot3Promo1,,xxIndexTeam),"")</f>
        <v/>
      </c>
      <c r="V215" s="900" t="s">
        <v>9902</v>
      </c>
      <c r="W215" s="901"/>
      <c r="X215" s="902" t="s">
        <v>395</v>
      </c>
      <c r="Y215" s="899" t="str">
        <f>IF(INDEX(decCh1Prod3Slot3Active,,xxIndexTeam)=1,INDEX(decCh1Prod3Slot3Promo2Weeks,,xxIndexTeam),"")</f>
        <v/>
      </c>
      <c r="Z215" s="900" t="s">
        <v>9903</v>
      </c>
      <c r="AA215" s="901"/>
      <c r="AB215" s="902" t="s">
        <v>395</v>
      </c>
      <c r="AC215" s="903" t="str">
        <f>IF(INDEX(decCh1Prod3Slot3Active,,xxIndexTeam)=1,INDEX(decCh1Prod3Slot3Promo1ShareFrc,,xxIndexTeam),"")</f>
        <v/>
      </c>
      <c r="AD215" s="900" t="s">
        <v>9904</v>
      </c>
      <c r="AE215" s="901"/>
      <c r="AF215" s="902" t="s">
        <v>395</v>
      </c>
      <c r="AG215" s="899" t="str">
        <f>IF(INDEX(decCh1Prod3Slot3Active,,xxIndexTeam)=1,INDEX(decCh1Prod3Slot3Promo2,,xxIndexTeam),"")</f>
        <v/>
      </c>
      <c r="AH215" s="900" t="s">
        <v>9905</v>
      </c>
      <c r="AI215" s="901"/>
      <c r="AJ215" s="902" t="s">
        <v>395</v>
      </c>
      <c r="AK215" s="899" t="str">
        <f>IF(INDEX(decCh1Prod3Slot3Active,,xxIndexTeam)=1,INDEX(decCh1Prod3Slot3Promo2Weeks,,xxIndexTeam),"")</f>
        <v/>
      </c>
      <c r="AL215" s="900" t="s">
        <v>9906</v>
      </c>
      <c r="AM215" s="901"/>
      <c r="AN215" s="902" t="s">
        <v>395</v>
      </c>
      <c r="AO215" s="903" t="str">
        <f>IF(INDEX(decCh1Prod3Slot3Active,,xxIndexTeam)=1,INDEX(decCh1Prod3Slot3Promo2ShareFrc,,xxIndexTeam),"")</f>
        <v/>
      </c>
      <c r="AP215" s="900" t="s">
        <v>9907</v>
      </c>
      <c r="AQ215" s="800"/>
    </row>
    <row r="216" spans="2:43">
      <c r="B216" s="800"/>
      <c r="C216" s="810"/>
      <c r="D216" s="814" t="str">
        <f>nmCh2</f>
        <v>Discounters</v>
      </c>
      <c r="E216" s="814"/>
      <c r="F216" s="811"/>
      <c r="G216" s="810"/>
      <c r="H216" s="814" t="str">
        <f>nmCh2</f>
        <v>Discounters</v>
      </c>
      <c r="I216" s="903"/>
      <c r="J216" s="900"/>
      <c r="K216" s="901"/>
      <c r="L216" s="899" t="str">
        <f>nmCh2</f>
        <v>Discounters</v>
      </c>
      <c r="M216" s="899"/>
      <c r="N216" s="900"/>
      <c r="O216" s="901"/>
      <c r="P216" s="899" t="str">
        <f>nmCh2</f>
        <v>Discounters</v>
      </c>
      <c r="Q216" s="899"/>
      <c r="R216" s="900"/>
      <c r="S216" s="901"/>
      <c r="T216" s="899" t="str">
        <f>nmCh2</f>
        <v>Discounters</v>
      </c>
      <c r="U216" s="899"/>
      <c r="V216" s="900"/>
      <c r="W216" s="901"/>
      <c r="X216" s="899" t="str">
        <f>nmCh2</f>
        <v>Discounters</v>
      </c>
      <c r="Y216" s="899"/>
      <c r="Z216" s="900"/>
      <c r="AA216" s="901"/>
      <c r="AB216" s="899" t="str">
        <f>nmCh2</f>
        <v>Discounters</v>
      </c>
      <c r="AC216" s="903"/>
      <c r="AD216" s="900"/>
      <c r="AE216" s="901"/>
      <c r="AF216" s="899" t="str">
        <f>nmCh2</f>
        <v>Discounters</v>
      </c>
      <c r="AG216" s="899"/>
      <c r="AH216" s="900"/>
      <c r="AI216" s="901"/>
      <c r="AJ216" s="899" t="str">
        <f>nmCh2</f>
        <v>Discounters</v>
      </c>
      <c r="AK216" s="899"/>
      <c r="AL216" s="900"/>
      <c r="AM216" s="901"/>
      <c r="AN216" s="899" t="str">
        <f>nmCh2</f>
        <v>Discounters</v>
      </c>
      <c r="AO216" s="903"/>
      <c r="AP216" s="900"/>
      <c r="AQ216" s="800"/>
    </row>
    <row r="217" spans="2:43">
      <c r="B217" s="800"/>
      <c r="C217" s="810"/>
      <c r="D217" s="902" t="s">
        <v>379</v>
      </c>
      <c r="E217" s="814" t="str">
        <f>IF(INDEX(decCh2Prod3Slot1Active,,xxIndexTeam)=1,"Slot 1","")</f>
        <v>Slot 1</v>
      </c>
      <c r="F217" s="811" t="s">
        <v>9908</v>
      </c>
      <c r="G217" s="810"/>
      <c r="H217" s="902" t="s">
        <v>379</v>
      </c>
      <c r="I217" s="903">
        <f>IF(INDEX(decCh2Prod3Slot1Active,,xxIndexTeam)=1,INDEX(decCh2Prod3Slot1Forecast,,xxIndexTeam),"")</f>
        <v>1</v>
      </c>
      <c r="J217" s="900" t="s">
        <v>9909</v>
      </c>
      <c r="K217" s="901"/>
      <c r="L217" s="902" t="s">
        <v>379</v>
      </c>
      <c r="M217" s="899" t="str">
        <f>IF(INDEX(decCh2Prod3Slot1Active,,xxIndexTeam)=1,INDEX(decCh2Prod3Slot1Pack,,xxIndexTeam),"")</f>
        <v>25cl Can</v>
      </c>
      <c r="N217" s="900" t="s">
        <v>9910</v>
      </c>
      <c r="O217" s="901"/>
      <c r="P217" s="902" t="s">
        <v>379</v>
      </c>
      <c r="Q217" s="899">
        <f>IF(INDEX(decCh2Prod3Slot1Active,,xxIndexTeam)=1,INDEX(decCh2Prod3Slot1CustPrice,,xxIndexTeam),"")</f>
        <v>7</v>
      </c>
      <c r="R217" s="900" t="s">
        <v>9911</v>
      </c>
      <c r="S217" s="901"/>
      <c r="T217" s="902" t="s">
        <v>379</v>
      </c>
      <c r="U217" s="899"/>
      <c r="V217" s="900" t="s">
        <v>9912</v>
      </c>
      <c r="W217" s="901"/>
      <c r="X217" s="902" t="s">
        <v>379</v>
      </c>
      <c r="Y217" s="899"/>
      <c r="Z217" s="900" t="s">
        <v>9913</v>
      </c>
      <c r="AA217" s="901"/>
      <c r="AB217" s="902" t="s">
        <v>379</v>
      </c>
      <c r="AC217" s="903"/>
      <c r="AD217" s="900" t="s">
        <v>9914</v>
      </c>
      <c r="AE217" s="901"/>
      <c r="AF217" s="902" t="s">
        <v>379</v>
      </c>
      <c r="AG217" s="899"/>
      <c r="AH217" s="900" t="s">
        <v>9915</v>
      </c>
      <c r="AI217" s="901"/>
      <c r="AJ217" s="902" t="s">
        <v>379</v>
      </c>
      <c r="AK217" s="899"/>
      <c r="AL217" s="900" t="s">
        <v>9916</v>
      </c>
      <c r="AM217" s="901"/>
      <c r="AN217" s="902" t="s">
        <v>379</v>
      </c>
      <c r="AO217" s="903"/>
      <c r="AP217" s="900" t="s">
        <v>9917</v>
      </c>
      <c r="AQ217" s="800"/>
    </row>
    <row r="218" spans="2:43">
      <c r="B218" s="800"/>
      <c r="C218" s="810"/>
      <c r="D218" s="902" t="s">
        <v>394</v>
      </c>
      <c r="E218" s="814" t="str">
        <f>IF(INDEX(decCh2Prod3Slot2Active,,xxIndexTeam)=1,"Slot 2","")</f>
        <v/>
      </c>
      <c r="F218" s="811" t="s">
        <v>9918</v>
      </c>
      <c r="G218" s="810"/>
      <c r="H218" s="902" t="s">
        <v>394</v>
      </c>
      <c r="I218" s="903" t="str">
        <f>IF(INDEX(decCh2Prod3Slot2Active,,xxIndexTeam)=1,INDEX(decCh2Prod3Slot2Forecast,,xxIndexTeam),"")</f>
        <v/>
      </c>
      <c r="J218" s="900" t="s">
        <v>9919</v>
      </c>
      <c r="K218" s="901"/>
      <c r="L218" s="902" t="s">
        <v>394</v>
      </c>
      <c r="M218" s="899" t="str">
        <f>IF(INDEX(decCh2Prod3Slot2Active,,xxIndexTeam)=1,INDEX(decCh2Prod3Slot2Pack,,xxIndexTeam),"")</f>
        <v/>
      </c>
      <c r="N218" s="900" t="s">
        <v>9920</v>
      </c>
      <c r="O218" s="901"/>
      <c r="P218" s="902" t="s">
        <v>394</v>
      </c>
      <c r="Q218" s="899" t="str">
        <f>IF(INDEX(decCh2Prod3Slot2Active,,xxIndexTeam)=1,INDEX(decCh2Prod3Slot2CustPrice,,xxIndexTeam),"")</f>
        <v/>
      </c>
      <c r="R218" s="900" t="s">
        <v>9921</v>
      </c>
      <c r="S218" s="901"/>
      <c r="T218" s="902" t="s">
        <v>394</v>
      </c>
      <c r="U218" s="899"/>
      <c r="V218" s="900" t="s">
        <v>9922</v>
      </c>
      <c r="W218" s="901"/>
      <c r="X218" s="902" t="s">
        <v>394</v>
      </c>
      <c r="Y218" s="899"/>
      <c r="Z218" s="900" t="s">
        <v>9923</v>
      </c>
      <c r="AA218" s="901"/>
      <c r="AB218" s="902" t="s">
        <v>394</v>
      </c>
      <c r="AC218" s="903"/>
      <c r="AD218" s="900" t="s">
        <v>9924</v>
      </c>
      <c r="AE218" s="901"/>
      <c r="AF218" s="902" t="s">
        <v>394</v>
      </c>
      <c r="AG218" s="899"/>
      <c r="AH218" s="900" t="s">
        <v>9925</v>
      </c>
      <c r="AI218" s="901"/>
      <c r="AJ218" s="902" t="s">
        <v>394</v>
      </c>
      <c r="AK218" s="899"/>
      <c r="AL218" s="900" t="s">
        <v>9926</v>
      </c>
      <c r="AM218" s="901"/>
      <c r="AN218" s="902" t="s">
        <v>394</v>
      </c>
      <c r="AO218" s="903"/>
      <c r="AP218" s="900" t="s">
        <v>9927</v>
      </c>
      <c r="AQ218" s="800"/>
    </row>
    <row r="219" spans="2:43">
      <c r="B219" s="800"/>
      <c r="C219" s="810"/>
      <c r="D219" s="906" t="s">
        <v>395</v>
      </c>
      <c r="E219" s="814" t="str">
        <f>IF(INDEX(decCh2Prod3Slot3Active,,xxIndexTeam)=1,"Slot 3","")</f>
        <v/>
      </c>
      <c r="F219" s="811" t="s">
        <v>9928</v>
      </c>
      <c r="G219" s="810"/>
      <c r="H219" s="906" t="s">
        <v>395</v>
      </c>
      <c r="I219" s="903" t="str">
        <f>IF(INDEX(decCh2Prod3Slot3Active,,xxIndexTeam)=1,INDEX(decCh2Prod3Slot3Forecast,,xxIndexTeam),"")</f>
        <v/>
      </c>
      <c r="J219" s="900" t="s">
        <v>9929</v>
      </c>
      <c r="K219" s="901"/>
      <c r="L219" s="902" t="s">
        <v>395</v>
      </c>
      <c r="M219" s="899" t="str">
        <f>IF(INDEX(decCh2Prod3Slot3Active,,xxIndexTeam)=1,INDEX(decCh2Prod3Slot3Pack,,xxIndexTeam),"")</f>
        <v/>
      </c>
      <c r="N219" s="900" t="s">
        <v>9930</v>
      </c>
      <c r="O219" s="901"/>
      <c r="P219" s="902" t="s">
        <v>395</v>
      </c>
      <c r="Q219" s="899" t="str">
        <f>IF(INDEX(decCh2Prod3Slot3Active,,xxIndexTeam)=1,INDEX(decCh2Prod3Slot3CustPrice,,xxIndexTeam),"")</f>
        <v/>
      </c>
      <c r="R219" s="900" t="s">
        <v>9931</v>
      </c>
      <c r="S219" s="901"/>
      <c r="T219" s="902" t="s">
        <v>395</v>
      </c>
      <c r="U219" s="899"/>
      <c r="V219" s="900" t="s">
        <v>9932</v>
      </c>
      <c r="W219" s="901"/>
      <c r="X219" s="902" t="s">
        <v>395</v>
      </c>
      <c r="Y219" s="899"/>
      <c r="Z219" s="900" t="s">
        <v>9933</v>
      </c>
      <c r="AA219" s="901"/>
      <c r="AB219" s="902" t="s">
        <v>395</v>
      </c>
      <c r="AC219" s="903"/>
      <c r="AD219" s="900" t="s">
        <v>9934</v>
      </c>
      <c r="AE219" s="901"/>
      <c r="AF219" s="902" t="s">
        <v>395</v>
      </c>
      <c r="AG219" s="899"/>
      <c r="AH219" s="900" t="s">
        <v>9935</v>
      </c>
      <c r="AI219" s="901"/>
      <c r="AJ219" s="902" t="s">
        <v>395</v>
      </c>
      <c r="AK219" s="899"/>
      <c r="AL219" s="900" t="s">
        <v>9936</v>
      </c>
      <c r="AM219" s="901"/>
      <c r="AN219" s="902" t="s">
        <v>395</v>
      </c>
      <c r="AO219" s="903"/>
      <c r="AP219" s="900" t="s">
        <v>9937</v>
      </c>
      <c r="AQ219" s="800"/>
    </row>
    <row r="220" spans="2:43" s="800" customFormat="1">
      <c r="C220" s="810"/>
      <c r="D220" s="814" t="str">
        <f>nmCh3</f>
        <v>Convenience</v>
      </c>
      <c r="E220" s="814"/>
      <c r="F220" s="811"/>
      <c r="G220" s="810"/>
      <c r="H220" s="814" t="str">
        <f>nmCh3</f>
        <v>Convenience</v>
      </c>
      <c r="I220" s="903"/>
      <c r="J220" s="900"/>
      <c r="K220" s="901"/>
      <c r="L220" s="899" t="str">
        <f>nmCh3</f>
        <v>Convenience</v>
      </c>
      <c r="M220" s="899"/>
      <c r="N220" s="900"/>
      <c r="O220" s="901"/>
      <c r="P220" s="899" t="str">
        <f>nmCh3</f>
        <v>Convenience</v>
      </c>
      <c r="Q220" s="899"/>
      <c r="R220" s="900"/>
      <c r="S220" s="901"/>
      <c r="T220" s="899" t="str">
        <f>nmCh3</f>
        <v>Convenience</v>
      </c>
      <c r="U220" s="899"/>
      <c r="V220" s="900"/>
      <c r="W220" s="901"/>
      <c r="X220" s="899" t="str">
        <f>nmCh3</f>
        <v>Convenience</v>
      </c>
      <c r="Y220" s="899"/>
      <c r="Z220" s="900"/>
      <c r="AA220" s="901"/>
      <c r="AB220" s="899" t="str">
        <f>nmCh3</f>
        <v>Convenience</v>
      </c>
      <c r="AC220" s="903"/>
      <c r="AD220" s="900"/>
      <c r="AE220" s="901"/>
      <c r="AF220" s="899" t="str">
        <f>nmCh3</f>
        <v>Convenience</v>
      </c>
      <c r="AG220" s="899"/>
      <c r="AH220" s="900"/>
      <c r="AI220" s="901"/>
      <c r="AJ220" s="899" t="str">
        <f>nmCh3</f>
        <v>Convenience</v>
      </c>
      <c r="AK220" s="899"/>
      <c r="AL220" s="900"/>
      <c r="AM220" s="901"/>
      <c r="AN220" s="899" t="str">
        <f>nmCh3</f>
        <v>Convenience</v>
      </c>
      <c r="AO220" s="903"/>
      <c r="AP220" s="900"/>
    </row>
    <row r="221" spans="2:43" s="800" customFormat="1">
      <c r="C221" s="810"/>
      <c r="D221" s="902" t="s">
        <v>379</v>
      </c>
      <c r="E221" s="814" t="str">
        <f>IF(INDEX(decCh3Prod3Slot1Active,,xxIndexTeam)=1,"Slot 1","")</f>
        <v>Slot 1</v>
      </c>
      <c r="F221" s="811" t="s">
        <v>9938</v>
      </c>
      <c r="G221" s="810"/>
      <c r="H221" s="902" t="s">
        <v>379</v>
      </c>
      <c r="I221" s="903">
        <f>IF(INDEX(decCh3Prod3Slot1Active,,xxIndexTeam)=1,INDEX(decCh3Prod3Slot1Forecast,,xxIndexTeam),"")</f>
        <v>1</v>
      </c>
      <c r="J221" s="900" t="s">
        <v>9939</v>
      </c>
      <c r="K221" s="901"/>
      <c r="L221" s="902" t="s">
        <v>379</v>
      </c>
      <c r="M221" s="899" t="str">
        <f>IF(INDEX(decCh3Prod3Slot1Active,,xxIndexTeam)=1,INDEX(decCh3Prod3Slot1Pack,,xxIndexTeam),"")</f>
        <v>33cl Bottle</v>
      </c>
      <c r="N221" s="900" t="s">
        <v>9940</v>
      </c>
      <c r="O221" s="901"/>
      <c r="P221" s="902" t="s">
        <v>379</v>
      </c>
      <c r="Q221" s="899">
        <f>IF(INDEX(decCh3Prod3Slot1Active,,xxIndexTeam)=1,INDEX(decCh3Prod3Slot1CustPrice,,xxIndexTeam),"")</f>
        <v>7.6</v>
      </c>
      <c r="R221" s="900" t="s">
        <v>9941</v>
      </c>
      <c r="S221" s="901"/>
      <c r="T221" s="902" t="s">
        <v>379</v>
      </c>
      <c r="U221" s="899" t="str">
        <f>IF(INDEX(decCh3Prod3Slot1Active,,xxIndexTeam)=1,INDEX(decCh3Prod3Slot1Promo1,,xxIndexTeam),"")</f>
        <v>3/2</v>
      </c>
      <c r="V221" s="900" t="s">
        <v>9942</v>
      </c>
      <c r="W221" s="901"/>
      <c r="X221" s="902" t="s">
        <v>379</v>
      </c>
      <c r="Y221" s="899">
        <f>IF(INDEX(decCh3Prod3Slot1Active,,xxIndexTeam)=1,INDEX(decCh3Prod3Slot1Promo1Weeks,,xxIndexTeam),"")</f>
        <v>3</v>
      </c>
      <c r="Z221" s="900" t="s">
        <v>9943</v>
      </c>
      <c r="AA221" s="901"/>
      <c r="AB221" s="902" t="s">
        <v>379</v>
      </c>
      <c r="AC221" s="903">
        <f>IF(INDEX(decCh3Prod3Slot1Active,,xxIndexTeam)=1,INDEX(decCh3Prod3Slot1Promo1ShareFrc,,xxIndexTeam),"")</f>
        <v>0.35</v>
      </c>
      <c r="AD221" s="900" t="s">
        <v>9944</v>
      </c>
      <c r="AE221" s="901"/>
      <c r="AF221" s="902" t="s">
        <v>379</v>
      </c>
      <c r="AG221" s="899"/>
      <c r="AH221" s="900" t="s">
        <v>9945</v>
      </c>
      <c r="AI221" s="901"/>
      <c r="AJ221" s="902" t="s">
        <v>379</v>
      </c>
      <c r="AK221" s="899"/>
      <c r="AL221" s="900" t="s">
        <v>9946</v>
      </c>
      <c r="AM221" s="901"/>
      <c r="AN221" s="902" t="s">
        <v>379</v>
      </c>
      <c r="AO221" s="903"/>
      <c r="AP221" s="900" t="s">
        <v>9947</v>
      </c>
    </row>
    <row r="222" spans="2:43" s="800" customFormat="1">
      <c r="C222" s="810"/>
      <c r="D222" s="902" t="s">
        <v>394</v>
      </c>
      <c r="E222" s="814" t="str">
        <f>IF(INDEX(decCh3Prod3Slot2Active,,xxIndexTeam)=1,"Slot 2","")</f>
        <v/>
      </c>
      <c r="F222" s="811" t="s">
        <v>9948</v>
      </c>
      <c r="G222" s="810"/>
      <c r="H222" s="902" t="s">
        <v>394</v>
      </c>
      <c r="I222" s="903" t="str">
        <f>IF(INDEX(decCh3Prod3Slot2Active,,xxIndexTeam)=1,INDEX(decCh3Prod3Slot2Forecast,,xxIndexTeam),"")</f>
        <v/>
      </c>
      <c r="J222" s="900" t="s">
        <v>9949</v>
      </c>
      <c r="K222" s="901"/>
      <c r="L222" s="902" t="s">
        <v>394</v>
      </c>
      <c r="M222" s="899" t="str">
        <f>IF(INDEX(decCh3Prod3Slot2Active,,xxIndexTeam)=1,INDEX(decCh3Prod3Slot2Pack,,xxIndexTeam),"")</f>
        <v/>
      </c>
      <c r="N222" s="900" t="s">
        <v>9950</v>
      </c>
      <c r="O222" s="901"/>
      <c r="P222" s="902" t="s">
        <v>394</v>
      </c>
      <c r="Q222" s="899" t="str">
        <f>IF(INDEX(decCh3Prod3Slot2Active,,xxIndexTeam)=1,INDEX(decCh3Prod3Slot2CustPrice,,xxIndexTeam),"")</f>
        <v/>
      </c>
      <c r="R222" s="900" t="s">
        <v>9951</v>
      </c>
      <c r="S222" s="901"/>
      <c r="T222" s="902" t="s">
        <v>394</v>
      </c>
      <c r="U222" s="899" t="str">
        <f>IF(INDEX(decCh3Prod3Slot2Active,,xxIndexTeam)=1,INDEX(decCh3Prod3Slot2Promo1,,xxIndexTeam),"")</f>
        <v/>
      </c>
      <c r="V222" s="900" t="s">
        <v>9952</v>
      </c>
      <c r="W222" s="901"/>
      <c r="X222" s="902" t="s">
        <v>394</v>
      </c>
      <c r="Y222" s="899" t="str">
        <f>IF(INDEX(decCh3Prod3Slot2Active,,xxIndexTeam)=1,INDEX(decCh3Prod3Slot2Promo1Weeks,,xxIndexTeam),"")</f>
        <v/>
      </c>
      <c r="Z222" s="900" t="s">
        <v>9953</v>
      </c>
      <c r="AA222" s="901"/>
      <c r="AB222" s="902" t="s">
        <v>394</v>
      </c>
      <c r="AC222" s="903" t="str">
        <f>IF(INDEX(decCh3Prod3Slot2Active,,xxIndexTeam)=1,INDEX(decCh3Prod3Slot2Promo1ShareFrc,,xxIndexTeam),"")</f>
        <v/>
      </c>
      <c r="AD222" s="900" t="s">
        <v>9954</v>
      </c>
      <c r="AE222" s="901"/>
      <c r="AF222" s="902" t="s">
        <v>394</v>
      </c>
      <c r="AG222" s="899"/>
      <c r="AH222" s="900" t="s">
        <v>9955</v>
      </c>
      <c r="AI222" s="901"/>
      <c r="AJ222" s="902" t="s">
        <v>394</v>
      </c>
      <c r="AK222" s="899"/>
      <c r="AL222" s="900" t="s">
        <v>9956</v>
      </c>
      <c r="AM222" s="901"/>
      <c r="AN222" s="902" t="s">
        <v>394</v>
      </c>
      <c r="AO222" s="903"/>
      <c r="AP222" s="900" t="s">
        <v>9957</v>
      </c>
    </row>
    <row r="223" spans="2:43" s="800" customFormat="1">
      <c r="B223" s="814"/>
      <c r="C223" s="810"/>
      <c r="D223" s="906" t="s">
        <v>395</v>
      </c>
      <c r="E223" s="814" t="str">
        <f>IF(INDEX(decCh3Prod3Slot3Active,,xxIndexTeam)=1,"Slot 3","")</f>
        <v/>
      </c>
      <c r="F223" s="811" t="s">
        <v>9958</v>
      </c>
      <c r="G223" s="810"/>
      <c r="H223" s="906" t="s">
        <v>395</v>
      </c>
      <c r="I223" s="903" t="str">
        <f>IF(INDEX(decCh3Prod3Slot3Active,,xxIndexTeam)=1,INDEX(decCh3Prod3Slot3Forecast,,xxIndexTeam),"")</f>
        <v/>
      </c>
      <c r="J223" s="900" t="s">
        <v>9959</v>
      </c>
      <c r="K223" s="901"/>
      <c r="L223" s="902" t="s">
        <v>395</v>
      </c>
      <c r="M223" s="899" t="str">
        <f>IF(INDEX(decCh3Prod3Slot3Active,,xxIndexTeam)=1,INDEX(decCh3Prod3Slot3Pack,,xxIndexTeam),"")</f>
        <v/>
      </c>
      <c r="N223" s="900" t="s">
        <v>9960</v>
      </c>
      <c r="O223" s="901"/>
      <c r="P223" s="902" t="s">
        <v>395</v>
      </c>
      <c r="Q223" s="899" t="str">
        <f>IF(INDEX(decCh3Prod3Slot3Active,,xxIndexTeam)=1,INDEX(decCh3Prod3Slot3CustPrice,,xxIndexTeam),"")</f>
        <v/>
      </c>
      <c r="R223" s="900" t="s">
        <v>9961</v>
      </c>
      <c r="S223" s="901"/>
      <c r="T223" s="902" t="s">
        <v>395</v>
      </c>
      <c r="U223" s="899" t="str">
        <f>IF(INDEX(decCh3Prod3Slot3Active,,xxIndexTeam)=1,INDEX(decCh3Prod3Slot3Promo1,,xxIndexTeam),"")</f>
        <v/>
      </c>
      <c r="V223" s="900" t="s">
        <v>9962</v>
      </c>
      <c r="W223" s="901"/>
      <c r="X223" s="902" t="s">
        <v>395</v>
      </c>
      <c r="Y223" s="899" t="str">
        <f>IF(INDEX(decCh3Prod3Slot3Active,,xxIndexTeam)=1,INDEX(decCh3Prod3Slot3Promo1Weeks,,xxIndexTeam),"")</f>
        <v/>
      </c>
      <c r="Z223" s="900" t="s">
        <v>9963</v>
      </c>
      <c r="AA223" s="901"/>
      <c r="AB223" s="902" t="s">
        <v>395</v>
      </c>
      <c r="AC223" s="903" t="str">
        <f>IF(INDEX(decCh3Prod3Slot3Active,,xxIndexTeam)=1,INDEX(decCh3Prod3Slot3Promo1ShareFrc,,xxIndexTeam),"")</f>
        <v/>
      </c>
      <c r="AD223" s="900" t="s">
        <v>9964</v>
      </c>
      <c r="AE223" s="901"/>
      <c r="AF223" s="902" t="s">
        <v>395</v>
      </c>
      <c r="AG223" s="899"/>
      <c r="AH223" s="900" t="s">
        <v>9965</v>
      </c>
      <c r="AI223" s="901"/>
      <c r="AJ223" s="902" t="s">
        <v>395</v>
      </c>
      <c r="AK223" s="899"/>
      <c r="AL223" s="900" t="s">
        <v>9966</v>
      </c>
      <c r="AM223" s="901"/>
      <c r="AN223" s="902" t="s">
        <v>395</v>
      </c>
      <c r="AO223" s="903"/>
      <c r="AP223" s="900" t="s">
        <v>9967</v>
      </c>
    </row>
    <row r="224" spans="2:43" s="800" customFormat="1">
      <c r="B224" s="814"/>
      <c r="C224" s="810"/>
      <c r="D224" s="814" t="str">
        <f>nmCh4</f>
        <v>On-Trade</v>
      </c>
      <c r="E224" s="814"/>
      <c r="F224" s="811"/>
      <c r="G224" s="810"/>
      <c r="H224" s="814" t="str">
        <f>nmCh4</f>
        <v>On-Trade</v>
      </c>
      <c r="I224" s="903"/>
      <c r="J224" s="900"/>
      <c r="K224" s="901"/>
      <c r="L224" s="899" t="str">
        <f>nmCh4</f>
        <v>On-Trade</v>
      </c>
      <c r="M224" s="899"/>
      <c r="N224" s="900"/>
      <c r="O224" s="901"/>
      <c r="P224" s="899" t="str">
        <f>nmCh4</f>
        <v>On-Trade</v>
      </c>
      <c r="Q224" s="899"/>
      <c r="R224" s="900"/>
      <c r="S224" s="901"/>
      <c r="T224" s="899" t="str">
        <f>nmCh4</f>
        <v>On-Trade</v>
      </c>
      <c r="U224" s="899"/>
      <c r="V224" s="900"/>
      <c r="W224" s="901"/>
      <c r="X224" s="899" t="str">
        <f>nmCh4</f>
        <v>On-Trade</v>
      </c>
      <c r="Y224" s="899"/>
      <c r="Z224" s="900"/>
      <c r="AA224" s="901"/>
      <c r="AB224" s="899" t="str">
        <f>nmCh4</f>
        <v>On-Trade</v>
      </c>
      <c r="AC224" s="903"/>
      <c r="AD224" s="900"/>
      <c r="AE224" s="901"/>
      <c r="AF224" s="899" t="str">
        <f>nmCh4</f>
        <v>On-Trade</v>
      </c>
      <c r="AG224" s="899"/>
      <c r="AH224" s="900"/>
      <c r="AI224" s="901"/>
      <c r="AJ224" s="899" t="str">
        <f>nmCh4</f>
        <v>On-Trade</v>
      </c>
      <c r="AK224" s="899"/>
      <c r="AL224" s="900"/>
      <c r="AM224" s="901"/>
      <c r="AN224" s="899" t="str">
        <f>nmCh4</f>
        <v>On-Trade</v>
      </c>
      <c r="AO224" s="903"/>
      <c r="AP224" s="900"/>
    </row>
    <row r="225" spans="2:43" s="800" customFormat="1">
      <c r="B225" s="814"/>
      <c r="C225" s="810"/>
      <c r="D225" s="902" t="s">
        <v>379</v>
      </c>
      <c r="E225" s="814" t="str">
        <f>IF(INDEX(decCh4Prod3Slot1Active,,xxIndexTeam)=1,"Slot 1","")</f>
        <v>Slot 1</v>
      </c>
      <c r="F225" s="811" t="s">
        <v>9968</v>
      </c>
      <c r="G225" s="810"/>
      <c r="H225" s="902" t="s">
        <v>379</v>
      </c>
      <c r="I225" s="903">
        <f>IF(INDEX(decCh4Prod3Slot1Active,,xxIndexTeam)=1,INDEX(decCh4Prod3Slot1Forecast,,xxIndexTeam),"")</f>
        <v>1</v>
      </c>
      <c r="J225" s="900" t="s">
        <v>9969</v>
      </c>
      <c r="K225" s="901"/>
      <c r="L225" s="902" t="s">
        <v>379</v>
      </c>
      <c r="M225" s="899" t="str">
        <f>IF(INDEX(decCh4Prod3Slot1Active,,xxIndexTeam)=1,INDEX(decCh4Prod3Slot1Pack,,xxIndexTeam),"")</f>
        <v>25Ltr Keg</v>
      </c>
      <c r="N225" s="900" t="s">
        <v>9970</v>
      </c>
      <c r="O225" s="901"/>
      <c r="P225" s="902" t="s">
        <v>379</v>
      </c>
      <c r="Q225" s="899">
        <f>IF(INDEX(decCh4Prod3Slot1Active,,xxIndexTeam)=1,INDEX(decCh4Prod3Slot1CustPrice,,xxIndexTeam),"")</f>
        <v>7.2</v>
      </c>
      <c r="R225" s="900" t="s">
        <v>9971</v>
      </c>
      <c r="S225" s="901"/>
      <c r="T225" s="902" t="s">
        <v>379</v>
      </c>
      <c r="U225" s="899" t="str">
        <f>IF(INDEX(decCh4Prod3Slot1Active,,xxIndexTeam)=1,INDEX(decCh4Prod3Slot1Promo1,,xxIndexTeam),"")</f>
        <v>No Promotion</v>
      </c>
      <c r="V225" s="900" t="s">
        <v>9972</v>
      </c>
      <c r="W225" s="901"/>
      <c r="X225" s="902" t="s">
        <v>379</v>
      </c>
      <c r="Y225" s="899">
        <f>IF(INDEX(decCh4Prod3Slot1Active,,xxIndexTeam)=1,INDEX(decCh4Prod3Slot1Promo1Weeks,,xxIndexTeam),"")</f>
        <v>0</v>
      </c>
      <c r="Z225" s="900" t="s">
        <v>9973</v>
      </c>
      <c r="AA225" s="901"/>
      <c r="AB225" s="902" t="s">
        <v>379</v>
      </c>
      <c r="AC225" s="903">
        <f>IF(INDEX(decCh4Prod3Slot1Active,,xxIndexTeam)=1,INDEX(decCh4Prod3Slot1Promo1ShareFrc,,xxIndexTeam),"")</f>
        <v>0</v>
      </c>
      <c r="AD225" s="900" t="s">
        <v>9974</v>
      </c>
      <c r="AE225" s="901"/>
      <c r="AF225" s="902" t="s">
        <v>379</v>
      </c>
      <c r="AG225" s="899"/>
      <c r="AH225" s="900" t="s">
        <v>9975</v>
      </c>
      <c r="AI225" s="901"/>
      <c r="AJ225" s="902" t="s">
        <v>379</v>
      </c>
      <c r="AK225" s="899"/>
      <c r="AL225" s="900" t="s">
        <v>9976</v>
      </c>
      <c r="AM225" s="901"/>
      <c r="AN225" s="902" t="s">
        <v>379</v>
      </c>
      <c r="AO225" s="903"/>
      <c r="AP225" s="900" t="s">
        <v>9977</v>
      </c>
    </row>
    <row r="226" spans="2:43" s="800" customFormat="1">
      <c r="C226" s="810"/>
      <c r="D226" s="902" t="s">
        <v>394</v>
      </c>
      <c r="E226" s="814" t="str">
        <f>IF(INDEX(decCh4Prod3Slot2Active,,xxIndexTeam)=1,"Slot 2","")</f>
        <v/>
      </c>
      <c r="F226" s="811" t="s">
        <v>9978</v>
      </c>
      <c r="G226" s="810"/>
      <c r="H226" s="902" t="s">
        <v>394</v>
      </c>
      <c r="I226" s="903" t="str">
        <f>IF(INDEX(decCh4Prod3Slot2Active,,xxIndexTeam)=1,INDEX(decCh4Prod3Slot2Forecast,,xxIndexTeam),"")</f>
        <v/>
      </c>
      <c r="J226" s="900" t="s">
        <v>9979</v>
      </c>
      <c r="K226" s="901"/>
      <c r="L226" s="902" t="s">
        <v>394</v>
      </c>
      <c r="M226" s="899" t="str">
        <f>IF(INDEX(decCh4Prod3Slot2Active,,xxIndexTeam)=1,INDEX(decCh4Prod3Slot2Pack,,xxIndexTeam),"")</f>
        <v/>
      </c>
      <c r="N226" s="900" t="s">
        <v>9980</v>
      </c>
      <c r="O226" s="901"/>
      <c r="P226" s="902" t="s">
        <v>394</v>
      </c>
      <c r="Q226" s="899" t="str">
        <f>IF(INDEX(decCh4Prod3Slot2Active,,xxIndexTeam)=1,INDEX(decCh4Prod3Slot2CustPrice,,xxIndexTeam),"")</f>
        <v/>
      </c>
      <c r="R226" s="900" t="s">
        <v>9981</v>
      </c>
      <c r="S226" s="901"/>
      <c r="T226" s="902" t="s">
        <v>394</v>
      </c>
      <c r="U226" s="899" t="str">
        <f>IF(INDEX(decCh4Prod3Slot2Active,,xxIndexTeam)=1,INDEX(decCh4Prod3Slot2Promo1,,xxIndexTeam),"")</f>
        <v/>
      </c>
      <c r="V226" s="900" t="s">
        <v>9982</v>
      </c>
      <c r="W226" s="901"/>
      <c r="X226" s="902" t="s">
        <v>394</v>
      </c>
      <c r="Y226" s="899" t="str">
        <f>IF(INDEX(decCh4Prod3Slot2Active,,xxIndexTeam)=1,INDEX(decCh4Prod3Slot2Promo1Weeks,,xxIndexTeam),"")</f>
        <v/>
      </c>
      <c r="Z226" s="900" t="s">
        <v>9983</v>
      </c>
      <c r="AA226" s="901"/>
      <c r="AB226" s="902" t="s">
        <v>394</v>
      </c>
      <c r="AC226" s="903" t="str">
        <f>IF(INDEX(decCh4Prod3Slot2Active,,xxIndexTeam)=1,INDEX(decCh4Prod3Slot2Promo1ShareFrc,,xxIndexTeam),"")</f>
        <v/>
      </c>
      <c r="AD226" s="900" t="s">
        <v>9984</v>
      </c>
      <c r="AE226" s="901"/>
      <c r="AF226" s="902" t="s">
        <v>394</v>
      </c>
      <c r="AG226" s="899"/>
      <c r="AH226" s="900" t="s">
        <v>9985</v>
      </c>
      <c r="AI226" s="901"/>
      <c r="AJ226" s="902" t="s">
        <v>394</v>
      </c>
      <c r="AK226" s="899"/>
      <c r="AL226" s="900" t="s">
        <v>9986</v>
      </c>
      <c r="AM226" s="901"/>
      <c r="AN226" s="902" t="s">
        <v>394</v>
      </c>
      <c r="AO226" s="903"/>
      <c r="AP226" s="900" t="s">
        <v>9987</v>
      </c>
    </row>
    <row r="227" spans="2:43" s="800" customFormat="1">
      <c r="C227" s="810"/>
      <c r="D227" s="906" t="s">
        <v>395</v>
      </c>
      <c r="E227" s="814" t="str">
        <f>IF(INDEX(decCh4Prod3Slot3Active,,xxIndexTeam)=1,"Slot 3","")</f>
        <v/>
      </c>
      <c r="F227" s="811" t="s">
        <v>9988</v>
      </c>
      <c r="G227" s="810"/>
      <c r="H227" s="906" t="s">
        <v>395</v>
      </c>
      <c r="I227" s="903" t="str">
        <f>IF(INDEX(decCh4Prod3Slot3Active,,xxIndexTeam)=1,INDEX(decCh4Prod3Slot3Forecast,,xxIndexTeam),"")</f>
        <v/>
      </c>
      <c r="J227" s="900" t="s">
        <v>9989</v>
      </c>
      <c r="K227" s="901"/>
      <c r="L227" s="902" t="s">
        <v>395</v>
      </c>
      <c r="M227" s="899" t="str">
        <f>IF(INDEX(decCh4Prod3Slot3Active,,xxIndexTeam)=1,INDEX(decCh4Prod3Slot3Pack,,xxIndexTeam),"")</f>
        <v/>
      </c>
      <c r="N227" s="900" t="s">
        <v>9990</v>
      </c>
      <c r="O227" s="901"/>
      <c r="P227" s="902" t="s">
        <v>395</v>
      </c>
      <c r="Q227" s="899" t="str">
        <f>IF(INDEX(decCh4Prod3Slot3Active,,xxIndexTeam)=1,INDEX(decCh4Prod3Slot3CustPrice,,xxIndexTeam),"")</f>
        <v/>
      </c>
      <c r="R227" s="900" t="s">
        <v>9991</v>
      </c>
      <c r="S227" s="901"/>
      <c r="T227" s="902" t="s">
        <v>395</v>
      </c>
      <c r="U227" s="899" t="str">
        <f>IF(INDEX(decCh4Prod3Slot3Active,,xxIndexTeam)=1,INDEX(decCh4Prod3Slot3Promo1,,xxIndexTeam),"")</f>
        <v/>
      </c>
      <c r="V227" s="900" t="s">
        <v>9992</v>
      </c>
      <c r="W227" s="901"/>
      <c r="X227" s="902" t="s">
        <v>395</v>
      </c>
      <c r="Y227" s="899" t="str">
        <f>IF(INDEX(decCh4Prod3Slot3Active,,xxIndexTeam)=1,INDEX(decCh4Prod3Slot3Promo1Weeks,,xxIndexTeam),"")</f>
        <v/>
      </c>
      <c r="Z227" s="900" t="s">
        <v>9993</v>
      </c>
      <c r="AA227" s="901"/>
      <c r="AB227" s="902" t="s">
        <v>395</v>
      </c>
      <c r="AC227" s="903" t="str">
        <f>IF(INDEX(decCh4Prod3Slot3Active,,xxIndexTeam)=1,INDEX(decCh4Prod3Slot3Promo1ShareFrc,,xxIndexTeam),"")</f>
        <v/>
      </c>
      <c r="AD227" s="900" t="s">
        <v>9994</v>
      </c>
      <c r="AE227" s="901"/>
      <c r="AF227" s="902" t="s">
        <v>395</v>
      </c>
      <c r="AG227" s="899"/>
      <c r="AH227" s="900" t="s">
        <v>9995</v>
      </c>
      <c r="AI227" s="901"/>
      <c r="AJ227" s="902" t="s">
        <v>395</v>
      </c>
      <c r="AK227" s="899"/>
      <c r="AL227" s="900" t="s">
        <v>9996</v>
      </c>
      <c r="AM227" s="901"/>
      <c r="AN227" s="902" t="s">
        <v>395</v>
      </c>
      <c r="AO227" s="903"/>
      <c r="AP227" s="900" t="s">
        <v>9997</v>
      </c>
    </row>
    <row r="228" spans="2:43" s="800" customFormat="1">
      <c r="C228" s="810" t="str">
        <f>nmProd1</f>
        <v>Greenborg</v>
      </c>
      <c r="D228" s="814"/>
      <c r="E228" s="814"/>
      <c r="F228" s="811"/>
      <c r="G228" s="810" t="str">
        <f>nmProd1</f>
        <v>Greenborg</v>
      </c>
      <c r="H228" s="814"/>
      <c r="I228" s="903"/>
      <c r="J228" s="900"/>
      <c r="K228" s="901" t="str">
        <f>nmProd1</f>
        <v>Greenborg</v>
      </c>
      <c r="L228" s="899"/>
      <c r="M228" s="899"/>
      <c r="N228" s="900"/>
      <c r="O228" s="901" t="str">
        <f>nmProd1</f>
        <v>Greenborg</v>
      </c>
      <c r="P228" s="899"/>
      <c r="Q228" s="899"/>
      <c r="R228" s="900"/>
      <c r="S228" s="901" t="str">
        <f>nmProd1</f>
        <v>Greenborg</v>
      </c>
      <c r="T228" s="899"/>
      <c r="U228" s="899"/>
      <c r="V228" s="900"/>
      <c r="W228" s="901" t="str">
        <f>nmProd1</f>
        <v>Greenborg</v>
      </c>
      <c r="X228" s="899"/>
      <c r="Y228" s="899"/>
      <c r="Z228" s="900"/>
      <c r="AA228" s="901" t="str">
        <f>nmProd1</f>
        <v>Greenborg</v>
      </c>
      <c r="AB228" s="899"/>
      <c r="AC228" s="903"/>
      <c r="AD228" s="900"/>
      <c r="AE228" s="901" t="str">
        <f>nmProd1</f>
        <v>Greenborg</v>
      </c>
      <c r="AF228" s="899"/>
      <c r="AG228" s="899"/>
      <c r="AH228" s="900"/>
      <c r="AI228" s="901" t="str">
        <f>nmProd1</f>
        <v>Greenborg</v>
      </c>
      <c r="AJ228" s="899"/>
      <c r="AK228" s="899"/>
      <c r="AL228" s="900"/>
      <c r="AM228" s="901" t="str">
        <f>nmProd1</f>
        <v>Greenborg</v>
      </c>
      <c r="AN228" s="899"/>
      <c r="AO228" s="903"/>
      <c r="AP228" s="900"/>
    </row>
    <row r="229" spans="2:43" s="800" customFormat="1">
      <c r="C229" s="810"/>
      <c r="D229" s="814" t="str">
        <f>nmCh1</f>
        <v>Hypermarkets</v>
      </c>
      <c r="E229" s="814"/>
      <c r="F229" s="811"/>
      <c r="G229" s="810"/>
      <c r="H229" s="814" t="str">
        <f>nmCh1</f>
        <v>Hypermarkets</v>
      </c>
      <c r="I229" s="903"/>
      <c r="J229" s="900"/>
      <c r="K229" s="901"/>
      <c r="L229" s="899" t="str">
        <f>nmCh1</f>
        <v>Hypermarkets</v>
      </c>
      <c r="M229" s="899"/>
      <c r="N229" s="900"/>
      <c r="O229" s="901"/>
      <c r="P229" s="899" t="str">
        <f>nmCh1</f>
        <v>Hypermarkets</v>
      </c>
      <c r="Q229" s="899"/>
      <c r="R229" s="900"/>
      <c r="S229" s="901"/>
      <c r="T229" s="899" t="str">
        <f>nmCh1</f>
        <v>Hypermarkets</v>
      </c>
      <c r="U229" s="899"/>
      <c r="V229" s="900"/>
      <c r="W229" s="901"/>
      <c r="X229" s="899" t="str">
        <f>nmCh1</f>
        <v>Hypermarkets</v>
      </c>
      <c r="Y229" s="899"/>
      <c r="Z229" s="900"/>
      <c r="AA229" s="901"/>
      <c r="AB229" s="899" t="str">
        <f>nmCh1</f>
        <v>Hypermarkets</v>
      </c>
      <c r="AC229" s="903"/>
      <c r="AD229" s="900"/>
      <c r="AE229" s="901"/>
      <c r="AF229" s="899" t="str">
        <f>nmCh1</f>
        <v>Hypermarkets</v>
      </c>
      <c r="AG229" s="899"/>
      <c r="AH229" s="900"/>
      <c r="AI229" s="901"/>
      <c r="AJ229" s="899" t="str">
        <f>nmCh1</f>
        <v>Hypermarkets</v>
      </c>
      <c r="AK229" s="899"/>
      <c r="AL229" s="900"/>
      <c r="AM229" s="901"/>
      <c r="AN229" s="899" t="str">
        <f>nmCh1</f>
        <v>Hypermarkets</v>
      </c>
      <c r="AO229" s="903"/>
      <c r="AP229" s="900"/>
    </row>
    <row r="230" spans="2:43">
      <c r="B230" s="800"/>
      <c r="C230" s="810"/>
      <c r="D230" s="902" t="s">
        <v>379</v>
      </c>
      <c r="E230" s="814" t="str">
        <f>IF(INDEX(decCh1Prod1Slot1Active,,xxIndexTeam)=1,"Slot 1","")</f>
        <v>Slot 1</v>
      </c>
      <c r="F230" s="811" t="s">
        <v>9998</v>
      </c>
      <c r="G230" s="810"/>
      <c r="H230" s="902" t="s">
        <v>379</v>
      </c>
      <c r="I230" s="903">
        <f>IF(INDEX(decCh1Prod1Slot1Active,,xxIndexTeam)=1,INDEX(decCh1Prod1Slot1Forecast,,xxIndexTeam),"")</f>
        <v>1</v>
      </c>
      <c r="J230" s="900" t="s">
        <v>9999</v>
      </c>
      <c r="K230" s="901"/>
      <c r="L230" s="902" t="s">
        <v>379</v>
      </c>
      <c r="M230" s="899" t="str">
        <f>IF(INDEX(decCh1Prod1Slot1Active,,xxIndexTeam)=1,INDEX(decCh1Prod1Slot1Pack,,xxIndexTeam),"")</f>
        <v>24 x 33cl Can</v>
      </c>
      <c r="N230" s="900" t="s">
        <v>10000</v>
      </c>
      <c r="O230" s="901"/>
      <c r="P230" s="902" t="s">
        <v>379</v>
      </c>
      <c r="Q230" s="899">
        <f>IF(INDEX(decCh1Prod1Slot1Active,,xxIndexTeam)=1,INDEX(decCh1Prod1Slot1CustPrice,,xxIndexTeam),"")</f>
        <v>7.7</v>
      </c>
      <c r="R230" s="900" t="s">
        <v>10001</v>
      </c>
      <c r="S230" s="901"/>
      <c r="T230" s="902" t="s">
        <v>379</v>
      </c>
      <c r="U230" s="899" t="str">
        <f>IF(INDEX(decCh1Prod1Slot1Active,,xxIndexTeam)=1,INDEX(decCh1Prod1Slot1Promo1,,xxIndexTeam),"")</f>
        <v>TPR 33%</v>
      </c>
      <c r="V230" s="900" t="s">
        <v>10002</v>
      </c>
      <c r="W230" s="901"/>
      <c r="X230" s="902" t="s">
        <v>379</v>
      </c>
      <c r="Y230" s="899">
        <f>IF(INDEX(decCh1Prod1Slot1Active,,xxIndexTeam)=1,INDEX(decCh1Prod1Slot1Promo1Weeks,,xxIndexTeam),"")</f>
        <v>4</v>
      </c>
      <c r="Z230" s="900" t="s">
        <v>10003</v>
      </c>
      <c r="AA230" s="901"/>
      <c r="AB230" s="902" t="s">
        <v>379</v>
      </c>
      <c r="AC230" s="903">
        <f>IF(INDEX(decCh1Prod1Slot1Active,,xxIndexTeam)=1,INDEX(decCh1Prod1Slot1Promo1ShareFrc,,xxIndexTeam),"")</f>
        <v>0.4</v>
      </c>
      <c r="AD230" s="900" t="s">
        <v>10004</v>
      </c>
      <c r="AE230" s="901"/>
      <c r="AF230" s="902" t="s">
        <v>379</v>
      </c>
      <c r="AG230" s="899" t="str">
        <f>IF(INDEX(decCh1Prod1Slot1Active,,xxIndexTeam)=1,INDEX(decCh1Prod1Slot1Promo2,,xxIndexTeam),"")</f>
        <v>TPR 20%</v>
      </c>
      <c r="AH230" s="900" t="s">
        <v>10005</v>
      </c>
      <c r="AI230" s="901"/>
      <c r="AJ230" s="902" t="s">
        <v>379</v>
      </c>
      <c r="AK230" s="899">
        <f>IF(INDEX(decCh1Prod1Slot1Active,,xxIndexTeam)=1,INDEX(decCh1Prod1Slot1Promo2Weeks,,xxIndexTeam),"")</f>
        <v>2</v>
      </c>
      <c r="AL230" s="900" t="s">
        <v>10006</v>
      </c>
      <c r="AM230" s="901"/>
      <c r="AN230" s="902" t="s">
        <v>379</v>
      </c>
      <c r="AO230" s="903">
        <f>IF(INDEX(decCh1Prod1Slot1Active,,xxIndexTeam)=1,INDEX(decCh1Prod1Slot1Promo2ShareFrc,,xxIndexTeam),"")</f>
        <v>0.2</v>
      </c>
      <c r="AP230" s="900" t="s">
        <v>10007</v>
      </c>
      <c r="AQ230" s="800"/>
    </row>
    <row r="231" spans="2:43">
      <c r="B231" s="800"/>
      <c r="C231" s="810"/>
      <c r="D231" s="902" t="s">
        <v>394</v>
      </c>
      <c r="E231" s="814" t="str">
        <f>IF(INDEX(decCh1Prod1Slot2Active,,xxIndexTeam)=1,"Slot 2","")</f>
        <v/>
      </c>
      <c r="F231" s="811" t="s">
        <v>10008</v>
      </c>
      <c r="G231" s="810"/>
      <c r="H231" s="902" t="s">
        <v>394</v>
      </c>
      <c r="I231" s="903" t="str">
        <f>IF(INDEX(decCh1Prod1Slot2Active,,xxIndexTeam)=1,INDEX(decCh1Prod1Slot2Forecast,,xxIndexTeam),"")</f>
        <v/>
      </c>
      <c r="J231" s="900" t="s">
        <v>10009</v>
      </c>
      <c r="K231" s="901"/>
      <c r="L231" s="902" t="s">
        <v>394</v>
      </c>
      <c r="M231" s="899" t="str">
        <f>IF(INDEX(decCh1Prod1Slot2Active,,xxIndexTeam)=1,INDEX(decCh1Prod1Slot2Pack,,xxIndexTeam),"")</f>
        <v/>
      </c>
      <c r="N231" s="900" t="s">
        <v>10010</v>
      </c>
      <c r="O231" s="901"/>
      <c r="P231" s="902" t="s">
        <v>394</v>
      </c>
      <c r="Q231" s="899" t="str">
        <f>IF(INDEX(decCh1Prod1Slot2Active,,xxIndexTeam)=1,INDEX(decCh1Prod1Slot2CustPrice,,xxIndexTeam),"")</f>
        <v/>
      </c>
      <c r="R231" s="900" t="s">
        <v>10011</v>
      </c>
      <c r="S231" s="901"/>
      <c r="T231" s="902" t="s">
        <v>394</v>
      </c>
      <c r="U231" s="899" t="str">
        <f>IF(INDEX(decCh1Prod1Slot2Active,,xxIndexTeam)=1,INDEX(decCh1Prod1Slot2Promo1,,xxIndexTeam),"")</f>
        <v/>
      </c>
      <c r="V231" s="900" t="s">
        <v>10012</v>
      </c>
      <c r="W231" s="901"/>
      <c r="X231" s="902" t="s">
        <v>394</v>
      </c>
      <c r="Y231" s="899" t="str">
        <f>IF(INDEX(decCh1Prod1Slot2Active,,xxIndexTeam)=1,INDEX(decCh1Prod1Slot2Promo1Weeks,,xxIndexTeam),"")</f>
        <v/>
      </c>
      <c r="Z231" s="900" t="s">
        <v>10013</v>
      </c>
      <c r="AA231" s="901"/>
      <c r="AB231" s="902" t="s">
        <v>394</v>
      </c>
      <c r="AC231" s="903" t="str">
        <f>IF(INDEX(decCh1Prod1Slot2Active,,xxIndexTeam)=1,INDEX(decCh1Prod1Slot2Promo1ShareFrc,,xxIndexTeam),"")</f>
        <v/>
      </c>
      <c r="AD231" s="900" t="s">
        <v>10014</v>
      </c>
      <c r="AE231" s="901"/>
      <c r="AF231" s="902" t="s">
        <v>394</v>
      </c>
      <c r="AG231" s="899" t="str">
        <f>IF(INDEX(decCh1Prod1Slot2Active,,xxIndexTeam)=1,INDEX(decCh1Prod1Slot2Promo2,,xxIndexTeam),"")</f>
        <v/>
      </c>
      <c r="AH231" s="900" t="s">
        <v>10015</v>
      </c>
      <c r="AI231" s="901"/>
      <c r="AJ231" s="902" t="s">
        <v>394</v>
      </c>
      <c r="AK231" s="899" t="str">
        <f>IF(INDEX(decCh1Prod1Slot2Active,,xxIndexTeam)=1,INDEX(decCh1Prod1Slot2Promo2Weeks,,xxIndexTeam),"")</f>
        <v/>
      </c>
      <c r="AL231" s="900" t="s">
        <v>10016</v>
      </c>
      <c r="AM231" s="901"/>
      <c r="AN231" s="902" t="s">
        <v>394</v>
      </c>
      <c r="AO231" s="903" t="str">
        <f>IF(INDEX(decCh1Prod1Slot2Active,,xxIndexTeam)=1,INDEX(decCh1Prod1Slot2Promo2ShareFrc,,xxIndexTeam),"")</f>
        <v/>
      </c>
      <c r="AP231" s="900" t="s">
        <v>10017</v>
      </c>
      <c r="AQ231" s="800"/>
    </row>
    <row r="232" spans="2:43">
      <c r="B232" s="800"/>
      <c r="C232" s="810"/>
      <c r="D232" s="906" t="s">
        <v>395</v>
      </c>
      <c r="E232" s="814" t="str">
        <f>IF(INDEX(decCh1Prod1Slot3Active,,xxIndexTeam)=1,"Slot 3","")</f>
        <v/>
      </c>
      <c r="F232" s="811" t="s">
        <v>10018</v>
      </c>
      <c r="G232" s="810"/>
      <c r="H232" s="906" t="s">
        <v>395</v>
      </c>
      <c r="I232" s="903" t="str">
        <f>IF(INDEX(decCh1Prod1Slot3Active,,xxIndexTeam)=1,INDEX(decCh1Prod1Slot3Forecast,,xxIndexTeam),"")</f>
        <v/>
      </c>
      <c r="J232" s="900" t="s">
        <v>10019</v>
      </c>
      <c r="K232" s="901"/>
      <c r="L232" s="902" t="s">
        <v>395</v>
      </c>
      <c r="M232" s="899" t="str">
        <f>IF(INDEX(decCh1Prod1Slot3Active,,xxIndexTeam)=1,INDEX(decCh1Prod1Slot3Pack,,xxIndexTeam),"")</f>
        <v/>
      </c>
      <c r="N232" s="900" t="s">
        <v>10020</v>
      </c>
      <c r="O232" s="901"/>
      <c r="P232" s="902" t="s">
        <v>395</v>
      </c>
      <c r="Q232" s="899" t="str">
        <f>IF(INDEX(decCh1Prod1Slot3Active,,xxIndexTeam)=1,INDEX(decCh1Prod1Slot3CustPrice,,xxIndexTeam),"")</f>
        <v/>
      </c>
      <c r="R232" s="900" t="s">
        <v>10021</v>
      </c>
      <c r="S232" s="901"/>
      <c r="T232" s="902" t="s">
        <v>395</v>
      </c>
      <c r="U232" s="899" t="str">
        <f>IF(INDEX(decCh1Prod1Slot3Active,,xxIndexTeam)=1,INDEX(decCh1Prod1Slot3Promo1,,xxIndexTeam),"")</f>
        <v/>
      </c>
      <c r="V232" s="900" t="s">
        <v>10022</v>
      </c>
      <c r="W232" s="901"/>
      <c r="X232" s="902" t="s">
        <v>395</v>
      </c>
      <c r="Y232" s="899" t="str">
        <f>IF(INDEX(decCh1Prod1Slot3Active,,xxIndexTeam)=1,INDEX(decCh1Prod1Slot3Promo1Weeks,,xxIndexTeam),"")</f>
        <v/>
      </c>
      <c r="Z232" s="900" t="s">
        <v>10023</v>
      </c>
      <c r="AA232" s="901"/>
      <c r="AB232" s="902" t="s">
        <v>395</v>
      </c>
      <c r="AC232" s="903" t="str">
        <f>IF(INDEX(decCh1Prod1Slot3Active,,xxIndexTeam)=1,INDEX(decCh1Prod1Slot3Promo1ShareFrc,,xxIndexTeam),"")</f>
        <v/>
      </c>
      <c r="AD232" s="900" t="s">
        <v>10024</v>
      </c>
      <c r="AE232" s="901"/>
      <c r="AF232" s="902" t="s">
        <v>395</v>
      </c>
      <c r="AG232" s="899" t="str">
        <f>IF(INDEX(decCh1Prod1Slot3Active,,xxIndexTeam)=1,INDEX(decCh1Prod1Slot3Promo2,,xxIndexTeam),"")</f>
        <v/>
      </c>
      <c r="AH232" s="900" t="s">
        <v>10025</v>
      </c>
      <c r="AI232" s="901"/>
      <c r="AJ232" s="902" t="s">
        <v>395</v>
      </c>
      <c r="AK232" s="899" t="str">
        <f>IF(INDEX(decCh1Prod1Slot3Active,,xxIndexTeam)=1,INDEX(decCh1Prod1Slot3Promo2Weeks,,xxIndexTeam),"")</f>
        <v/>
      </c>
      <c r="AL232" s="900" t="s">
        <v>10026</v>
      </c>
      <c r="AM232" s="901"/>
      <c r="AN232" s="902" t="s">
        <v>395</v>
      </c>
      <c r="AO232" s="903" t="str">
        <f>IF(INDEX(decCh1Prod1Slot3Active,,xxIndexTeam)=1,INDEX(decCh1Prod1Slot3Promo2ShareFrc,,xxIndexTeam),"")</f>
        <v/>
      </c>
      <c r="AP232" s="900" t="s">
        <v>10027</v>
      </c>
      <c r="AQ232" s="800"/>
    </row>
    <row r="233" spans="2:43">
      <c r="B233" s="800"/>
      <c r="C233" s="810"/>
      <c r="D233" s="814" t="str">
        <f>nmCh2</f>
        <v>Discounters</v>
      </c>
      <c r="E233" s="814"/>
      <c r="F233" s="811"/>
      <c r="G233" s="810"/>
      <c r="H233" s="814" t="str">
        <f>nmCh2</f>
        <v>Discounters</v>
      </c>
      <c r="I233" s="903"/>
      <c r="J233" s="900"/>
      <c r="K233" s="901"/>
      <c r="L233" s="899" t="str">
        <f>nmCh2</f>
        <v>Discounters</v>
      </c>
      <c r="M233" s="899"/>
      <c r="N233" s="900"/>
      <c r="O233" s="901"/>
      <c r="P233" s="899" t="str">
        <f>nmCh2</f>
        <v>Discounters</v>
      </c>
      <c r="Q233" s="899"/>
      <c r="R233" s="900"/>
      <c r="S233" s="901"/>
      <c r="T233" s="899" t="str">
        <f>nmCh2</f>
        <v>Discounters</v>
      </c>
      <c r="U233" s="899"/>
      <c r="V233" s="900"/>
      <c r="W233" s="901"/>
      <c r="X233" s="899" t="str">
        <f>nmCh2</f>
        <v>Discounters</v>
      </c>
      <c r="Y233" s="899"/>
      <c r="Z233" s="900"/>
      <c r="AA233" s="901"/>
      <c r="AB233" s="899" t="str">
        <f>nmCh2</f>
        <v>Discounters</v>
      </c>
      <c r="AC233" s="903"/>
      <c r="AD233" s="900"/>
      <c r="AE233" s="901"/>
      <c r="AF233" s="899" t="str">
        <f>nmCh2</f>
        <v>Discounters</v>
      </c>
      <c r="AG233" s="899"/>
      <c r="AH233" s="900"/>
      <c r="AI233" s="901"/>
      <c r="AJ233" s="899" t="str">
        <f>nmCh2</f>
        <v>Discounters</v>
      </c>
      <c r="AK233" s="899"/>
      <c r="AL233" s="900"/>
      <c r="AM233" s="901"/>
      <c r="AN233" s="899" t="str">
        <f>nmCh2</f>
        <v>Discounters</v>
      </c>
      <c r="AO233" s="903"/>
      <c r="AP233" s="900"/>
      <c r="AQ233" s="800"/>
    </row>
    <row r="234" spans="2:43">
      <c r="B234" s="800"/>
      <c r="C234" s="810"/>
      <c r="D234" s="902" t="s">
        <v>379</v>
      </c>
      <c r="E234" s="814" t="str">
        <f>IF(INDEX(decCh2Prod1Slot1Active,,xxIndexTeam)=1,"Slot 1","")</f>
        <v>Slot 1</v>
      </c>
      <c r="F234" s="811" t="s">
        <v>10028</v>
      </c>
      <c r="G234" s="810"/>
      <c r="H234" s="902" t="s">
        <v>379</v>
      </c>
      <c r="I234" s="903">
        <f>IF(INDEX(decCh2Prod1Slot1Active,,xxIndexTeam)=1,INDEX(decCh2Prod1Slot1Forecast,,xxIndexTeam),"")</f>
        <v>1</v>
      </c>
      <c r="J234" s="900" t="s">
        <v>10029</v>
      </c>
      <c r="K234" s="901"/>
      <c r="L234" s="902" t="s">
        <v>379</v>
      </c>
      <c r="M234" s="899" t="str">
        <f>IF(INDEX(decCh2Prod1Slot1Active,,xxIndexTeam)=1,INDEX(decCh2Prod1Slot1Pack,,xxIndexTeam),"")</f>
        <v>10 x 33cl Can</v>
      </c>
      <c r="N234" s="900" t="s">
        <v>10030</v>
      </c>
      <c r="O234" s="901"/>
      <c r="P234" s="902" t="s">
        <v>379</v>
      </c>
      <c r="Q234" s="899">
        <f>IF(INDEX(decCh2Prod1Slot1Active,,xxIndexTeam)=1,INDEX(decCh2Prod1Slot1CustPrice,,xxIndexTeam),"")</f>
        <v>7.9</v>
      </c>
      <c r="R234" s="900" t="s">
        <v>10031</v>
      </c>
      <c r="S234" s="901"/>
      <c r="T234" s="902" t="s">
        <v>379</v>
      </c>
      <c r="U234" s="899"/>
      <c r="V234" s="900" t="s">
        <v>10032</v>
      </c>
      <c r="W234" s="901"/>
      <c r="X234" s="902" t="s">
        <v>379</v>
      </c>
      <c r="Y234" s="899"/>
      <c r="Z234" s="900" t="s">
        <v>10033</v>
      </c>
      <c r="AA234" s="901"/>
      <c r="AB234" s="902" t="s">
        <v>379</v>
      </c>
      <c r="AC234" s="903"/>
      <c r="AD234" s="900" t="s">
        <v>10034</v>
      </c>
      <c r="AE234" s="901"/>
      <c r="AF234" s="902" t="s">
        <v>379</v>
      </c>
      <c r="AG234" s="899"/>
      <c r="AH234" s="900" t="s">
        <v>10035</v>
      </c>
      <c r="AI234" s="901"/>
      <c r="AJ234" s="902" t="s">
        <v>379</v>
      </c>
      <c r="AK234" s="899"/>
      <c r="AL234" s="900" t="s">
        <v>10036</v>
      </c>
      <c r="AM234" s="901"/>
      <c r="AN234" s="902" t="s">
        <v>379</v>
      </c>
      <c r="AO234" s="903"/>
      <c r="AP234" s="900" t="s">
        <v>10037</v>
      </c>
      <c r="AQ234" s="800"/>
    </row>
    <row r="235" spans="2:43">
      <c r="B235" s="800"/>
      <c r="C235" s="810"/>
      <c r="D235" s="902" t="s">
        <v>394</v>
      </c>
      <c r="E235" s="814" t="str">
        <f>IF(INDEX(decCh2Prod1Slot2Active,,xxIndexTeam)=1,"Slot 2","")</f>
        <v/>
      </c>
      <c r="F235" s="811" t="s">
        <v>10038</v>
      </c>
      <c r="G235" s="810"/>
      <c r="H235" s="902" t="s">
        <v>394</v>
      </c>
      <c r="I235" s="903" t="str">
        <f>IF(INDEX(decCh2Prod1Slot2Active,,xxIndexTeam)=1,INDEX(decCh2Prod1Slot2Forecast,,xxIndexTeam),"")</f>
        <v/>
      </c>
      <c r="J235" s="900" t="s">
        <v>10039</v>
      </c>
      <c r="K235" s="901"/>
      <c r="L235" s="902" t="s">
        <v>394</v>
      </c>
      <c r="M235" s="899" t="str">
        <f>IF(INDEX(decCh2Prod1Slot2Active,,xxIndexTeam)=1,INDEX(decCh2Prod1Slot2Pack,,xxIndexTeam),"")</f>
        <v/>
      </c>
      <c r="N235" s="900" t="s">
        <v>10040</v>
      </c>
      <c r="O235" s="901"/>
      <c r="P235" s="902" t="s">
        <v>394</v>
      </c>
      <c r="Q235" s="899" t="str">
        <f>IF(INDEX(decCh2Prod1Slot2Active,,xxIndexTeam)=1,INDEX(decCh2Prod1Slot2CustPrice,,xxIndexTeam),"")</f>
        <v/>
      </c>
      <c r="R235" s="900" t="s">
        <v>10041</v>
      </c>
      <c r="S235" s="901"/>
      <c r="T235" s="902" t="s">
        <v>394</v>
      </c>
      <c r="U235" s="899"/>
      <c r="V235" s="900" t="s">
        <v>10042</v>
      </c>
      <c r="W235" s="901"/>
      <c r="X235" s="902" t="s">
        <v>394</v>
      </c>
      <c r="Y235" s="899"/>
      <c r="Z235" s="900" t="s">
        <v>10043</v>
      </c>
      <c r="AA235" s="901"/>
      <c r="AB235" s="902" t="s">
        <v>394</v>
      </c>
      <c r="AC235" s="903"/>
      <c r="AD235" s="900" t="s">
        <v>10044</v>
      </c>
      <c r="AE235" s="901"/>
      <c r="AF235" s="902" t="s">
        <v>394</v>
      </c>
      <c r="AG235" s="899"/>
      <c r="AH235" s="900" t="s">
        <v>10045</v>
      </c>
      <c r="AI235" s="901"/>
      <c r="AJ235" s="902" t="s">
        <v>394</v>
      </c>
      <c r="AK235" s="899"/>
      <c r="AL235" s="900" t="s">
        <v>10046</v>
      </c>
      <c r="AM235" s="901"/>
      <c r="AN235" s="902" t="s">
        <v>394</v>
      </c>
      <c r="AO235" s="903"/>
      <c r="AP235" s="900" t="s">
        <v>10047</v>
      </c>
      <c r="AQ235" s="800"/>
    </row>
    <row r="236" spans="2:43">
      <c r="B236" s="800"/>
      <c r="C236" s="810"/>
      <c r="D236" s="906" t="s">
        <v>395</v>
      </c>
      <c r="E236" s="814" t="str">
        <f>IF(INDEX(decCh2Prod1Slot3Active,,xxIndexTeam)=1,"Slot 3","")</f>
        <v/>
      </c>
      <c r="F236" s="811" t="s">
        <v>10048</v>
      </c>
      <c r="G236" s="810"/>
      <c r="H236" s="906" t="s">
        <v>395</v>
      </c>
      <c r="I236" s="903" t="str">
        <f>IF(INDEX(decCh2Prod1Slot3Active,,xxIndexTeam)=1,INDEX(decCh2Prod1Slot3Forecast,,xxIndexTeam),"")</f>
        <v/>
      </c>
      <c r="J236" s="900" t="s">
        <v>10049</v>
      </c>
      <c r="K236" s="901"/>
      <c r="L236" s="902" t="s">
        <v>395</v>
      </c>
      <c r="M236" s="899" t="str">
        <f>IF(INDEX(decCh2Prod1Slot3Active,,xxIndexTeam)=1,INDEX(decCh2Prod1Slot3Pack,,xxIndexTeam),"")</f>
        <v/>
      </c>
      <c r="N236" s="900" t="s">
        <v>10050</v>
      </c>
      <c r="O236" s="901"/>
      <c r="P236" s="902" t="s">
        <v>395</v>
      </c>
      <c r="Q236" s="899" t="str">
        <f>IF(INDEX(decCh2Prod1Slot3Active,,xxIndexTeam)=1,INDEX(decCh2Prod1Slot3CustPrice,,xxIndexTeam),"")</f>
        <v/>
      </c>
      <c r="R236" s="900" t="s">
        <v>10051</v>
      </c>
      <c r="S236" s="901"/>
      <c r="T236" s="902" t="s">
        <v>395</v>
      </c>
      <c r="U236" s="899"/>
      <c r="V236" s="900" t="s">
        <v>10052</v>
      </c>
      <c r="W236" s="901"/>
      <c r="X236" s="902" t="s">
        <v>395</v>
      </c>
      <c r="Y236" s="899"/>
      <c r="Z236" s="900" t="s">
        <v>10053</v>
      </c>
      <c r="AA236" s="901"/>
      <c r="AB236" s="902" t="s">
        <v>395</v>
      </c>
      <c r="AC236" s="903"/>
      <c r="AD236" s="900" t="s">
        <v>10054</v>
      </c>
      <c r="AE236" s="901"/>
      <c r="AF236" s="902" t="s">
        <v>395</v>
      </c>
      <c r="AG236" s="899"/>
      <c r="AH236" s="900" t="s">
        <v>10055</v>
      </c>
      <c r="AI236" s="901"/>
      <c r="AJ236" s="902" t="s">
        <v>395</v>
      </c>
      <c r="AK236" s="899"/>
      <c r="AL236" s="900" t="s">
        <v>10056</v>
      </c>
      <c r="AM236" s="901"/>
      <c r="AN236" s="902" t="s">
        <v>395</v>
      </c>
      <c r="AO236" s="903"/>
      <c r="AP236" s="900" t="s">
        <v>10057</v>
      </c>
      <c r="AQ236" s="800"/>
    </row>
    <row r="237" spans="2:43">
      <c r="B237" s="800"/>
      <c r="C237" s="810"/>
      <c r="D237" s="814" t="str">
        <f>nmCh3</f>
        <v>Convenience</v>
      </c>
      <c r="E237" s="814"/>
      <c r="F237" s="811"/>
      <c r="G237" s="810"/>
      <c r="H237" s="814" t="str">
        <f>nmCh3</f>
        <v>Convenience</v>
      </c>
      <c r="I237" s="903"/>
      <c r="J237" s="900"/>
      <c r="K237" s="901"/>
      <c r="L237" s="899" t="str">
        <f>nmCh3</f>
        <v>Convenience</v>
      </c>
      <c r="M237" s="899"/>
      <c r="N237" s="900"/>
      <c r="O237" s="901"/>
      <c r="P237" s="899" t="str">
        <f>nmCh3</f>
        <v>Convenience</v>
      </c>
      <c r="Q237" s="899"/>
      <c r="R237" s="900"/>
      <c r="S237" s="901"/>
      <c r="T237" s="899" t="str">
        <f>nmCh3</f>
        <v>Convenience</v>
      </c>
      <c r="U237" s="899"/>
      <c r="V237" s="900"/>
      <c r="W237" s="901"/>
      <c r="X237" s="899" t="str">
        <f>nmCh3</f>
        <v>Convenience</v>
      </c>
      <c r="Y237" s="899"/>
      <c r="Z237" s="900"/>
      <c r="AA237" s="901"/>
      <c r="AB237" s="899" t="str">
        <f>nmCh3</f>
        <v>Convenience</v>
      </c>
      <c r="AC237" s="903"/>
      <c r="AD237" s="900"/>
      <c r="AE237" s="901"/>
      <c r="AF237" s="899" t="str">
        <f>nmCh3</f>
        <v>Convenience</v>
      </c>
      <c r="AG237" s="899"/>
      <c r="AH237" s="900"/>
      <c r="AI237" s="901"/>
      <c r="AJ237" s="899" t="str">
        <f>nmCh3</f>
        <v>Convenience</v>
      </c>
      <c r="AK237" s="899"/>
      <c r="AL237" s="900"/>
      <c r="AM237" s="901"/>
      <c r="AN237" s="899" t="str">
        <f>nmCh3</f>
        <v>Convenience</v>
      </c>
      <c r="AO237" s="903"/>
      <c r="AP237" s="900"/>
      <c r="AQ237" s="800"/>
    </row>
    <row r="238" spans="2:43">
      <c r="B238" s="800"/>
      <c r="C238" s="810"/>
      <c r="D238" s="902" t="s">
        <v>379</v>
      </c>
      <c r="E238" s="814" t="str">
        <f>IF(INDEX(decCh3Prod1Slot1Active,,xxIndexTeam)=1,"Slot 1","")</f>
        <v>Slot 1</v>
      </c>
      <c r="F238" s="811" t="s">
        <v>10058</v>
      </c>
      <c r="G238" s="810"/>
      <c r="H238" s="902" t="s">
        <v>379</v>
      </c>
      <c r="I238" s="903">
        <f>IF(INDEX(decCh3Prod1Slot1Active,,xxIndexTeam)=1,INDEX(decCh3Prod1Slot1Forecast,,xxIndexTeam),"")</f>
        <v>1</v>
      </c>
      <c r="J238" s="900" t="s">
        <v>10059</v>
      </c>
      <c r="K238" s="901"/>
      <c r="L238" s="902" t="s">
        <v>379</v>
      </c>
      <c r="M238" s="899" t="str">
        <f>IF(INDEX(decCh3Prod1Slot1Active,,xxIndexTeam)=1,INDEX(decCh3Prod1Slot1Pack,,xxIndexTeam),"")</f>
        <v>24 x 33cl Can</v>
      </c>
      <c r="N238" s="900" t="s">
        <v>10060</v>
      </c>
      <c r="O238" s="901"/>
      <c r="P238" s="902" t="s">
        <v>379</v>
      </c>
      <c r="Q238" s="899">
        <f>IF(INDEX(decCh3Prod1Slot1Active,,xxIndexTeam)=1,INDEX(decCh3Prod1Slot1CustPrice,,xxIndexTeam),"")</f>
        <v>7.05</v>
      </c>
      <c r="R238" s="900" t="s">
        <v>10061</v>
      </c>
      <c r="S238" s="901"/>
      <c r="T238" s="902" t="s">
        <v>379</v>
      </c>
      <c r="U238" s="899" t="str">
        <f>IF(INDEX(decCh3Prod1Slot1Active,,xxIndexTeam)=1,INDEX(decCh3Prod1Slot1Promo1,,xxIndexTeam),"")</f>
        <v>TPR 20%</v>
      </c>
      <c r="V238" s="900" t="s">
        <v>10062</v>
      </c>
      <c r="W238" s="901"/>
      <c r="X238" s="902" t="s">
        <v>379</v>
      </c>
      <c r="Y238" s="899">
        <f>IF(INDEX(decCh3Prod1Slot1Active,,xxIndexTeam)=1,INDEX(decCh3Prod1Slot1Promo1Weeks,,xxIndexTeam),"")</f>
        <v>2</v>
      </c>
      <c r="Z238" s="900" t="s">
        <v>10063</v>
      </c>
      <c r="AA238" s="901"/>
      <c r="AB238" s="902" t="s">
        <v>379</v>
      </c>
      <c r="AC238" s="903">
        <f>IF(INDEX(decCh3Prod1Slot1Active,,xxIndexTeam)=1,INDEX(decCh3Prod1Slot1Promo1ShareFrc,,xxIndexTeam),"")</f>
        <v>0.25</v>
      </c>
      <c r="AD238" s="900" t="s">
        <v>10064</v>
      </c>
      <c r="AE238" s="901"/>
      <c r="AF238" s="902" t="s">
        <v>379</v>
      </c>
      <c r="AG238" s="899"/>
      <c r="AH238" s="900" t="s">
        <v>10065</v>
      </c>
      <c r="AI238" s="901"/>
      <c r="AJ238" s="902" t="s">
        <v>379</v>
      </c>
      <c r="AK238" s="899"/>
      <c r="AL238" s="900" t="s">
        <v>10066</v>
      </c>
      <c r="AM238" s="901"/>
      <c r="AN238" s="902" t="s">
        <v>379</v>
      </c>
      <c r="AO238" s="903"/>
      <c r="AP238" s="900" t="s">
        <v>10067</v>
      </c>
      <c r="AQ238" s="800"/>
    </row>
    <row r="239" spans="2:43">
      <c r="B239" s="800"/>
      <c r="C239" s="810"/>
      <c r="D239" s="902" t="s">
        <v>394</v>
      </c>
      <c r="E239" s="814" t="str">
        <f>IF(INDEX(decCh3Prod1Slot2Active,,xxIndexTeam)=1,"Slot 2","")</f>
        <v/>
      </c>
      <c r="F239" s="811" t="s">
        <v>10068</v>
      </c>
      <c r="G239" s="810"/>
      <c r="H239" s="902" t="s">
        <v>394</v>
      </c>
      <c r="I239" s="903" t="str">
        <f>IF(INDEX(decCh3Prod1Slot2Active,,xxIndexTeam)=1,INDEX(decCh3Prod1Slot2Forecast,,xxIndexTeam),"")</f>
        <v/>
      </c>
      <c r="J239" s="900" t="s">
        <v>10069</v>
      </c>
      <c r="K239" s="901"/>
      <c r="L239" s="902" t="s">
        <v>394</v>
      </c>
      <c r="M239" s="899" t="str">
        <f>IF(INDEX(decCh3Prod1Slot2Active,,xxIndexTeam)=1,INDEX(decCh3Prod1Slot2Pack,,xxIndexTeam),"")</f>
        <v/>
      </c>
      <c r="N239" s="900" t="s">
        <v>10070</v>
      </c>
      <c r="O239" s="901"/>
      <c r="P239" s="902" t="s">
        <v>394</v>
      </c>
      <c r="Q239" s="899" t="str">
        <f>IF(INDEX(decCh3Prod1Slot2Active,,xxIndexTeam)=1,INDEX(decCh3Prod1Slot2CustPrice,,xxIndexTeam),"")</f>
        <v/>
      </c>
      <c r="R239" s="900" t="s">
        <v>10071</v>
      </c>
      <c r="S239" s="901"/>
      <c r="T239" s="902" t="s">
        <v>394</v>
      </c>
      <c r="U239" s="899" t="str">
        <f>IF(INDEX(decCh3Prod1Slot2Active,,xxIndexTeam)=1,INDEX(decCh3Prod1Slot2Promo1,,xxIndexTeam),"")</f>
        <v/>
      </c>
      <c r="V239" s="900" t="s">
        <v>10072</v>
      </c>
      <c r="W239" s="901"/>
      <c r="X239" s="902" t="s">
        <v>394</v>
      </c>
      <c r="Y239" s="899" t="str">
        <f>IF(INDEX(decCh3Prod1Slot2Active,,xxIndexTeam)=1,INDEX(decCh3Prod1Slot2Promo1Weeks,,xxIndexTeam),"")</f>
        <v/>
      </c>
      <c r="Z239" s="900" t="s">
        <v>10073</v>
      </c>
      <c r="AA239" s="901"/>
      <c r="AB239" s="902" t="s">
        <v>394</v>
      </c>
      <c r="AC239" s="903" t="str">
        <f>IF(INDEX(decCh3Prod1Slot2Active,,xxIndexTeam)=1,INDEX(decCh3Prod1Slot2Promo1ShareFrc,,xxIndexTeam),"")</f>
        <v/>
      </c>
      <c r="AD239" s="900" t="s">
        <v>10074</v>
      </c>
      <c r="AE239" s="901"/>
      <c r="AF239" s="902" t="s">
        <v>394</v>
      </c>
      <c r="AG239" s="899"/>
      <c r="AH239" s="900" t="s">
        <v>10075</v>
      </c>
      <c r="AI239" s="901"/>
      <c r="AJ239" s="902" t="s">
        <v>394</v>
      </c>
      <c r="AK239" s="899"/>
      <c r="AL239" s="900" t="s">
        <v>10076</v>
      </c>
      <c r="AM239" s="901"/>
      <c r="AN239" s="902" t="s">
        <v>394</v>
      </c>
      <c r="AO239" s="903"/>
      <c r="AP239" s="900" t="s">
        <v>10077</v>
      </c>
      <c r="AQ239" s="800"/>
    </row>
    <row r="240" spans="2:43">
      <c r="B240" s="800"/>
      <c r="C240" s="810"/>
      <c r="D240" s="906" t="s">
        <v>395</v>
      </c>
      <c r="E240" s="814" t="str">
        <f>IF(INDEX(decCh3Prod1Slot3Active,,xxIndexTeam)=1,"Slot 3","")</f>
        <v/>
      </c>
      <c r="F240" s="811" t="s">
        <v>10078</v>
      </c>
      <c r="G240" s="810"/>
      <c r="H240" s="906" t="s">
        <v>395</v>
      </c>
      <c r="I240" s="903" t="str">
        <f>IF(INDEX(decCh3Prod1Slot3Active,,xxIndexTeam)=1,INDEX(decCh3Prod1Slot3Forecast,,xxIndexTeam),"")</f>
        <v/>
      </c>
      <c r="J240" s="900" t="s">
        <v>10079</v>
      </c>
      <c r="K240" s="901"/>
      <c r="L240" s="902" t="s">
        <v>395</v>
      </c>
      <c r="M240" s="899" t="str">
        <f>IF(INDEX(decCh3Prod1Slot3Active,,xxIndexTeam)=1,INDEX(decCh3Prod1Slot3Pack,,xxIndexTeam),"")</f>
        <v/>
      </c>
      <c r="N240" s="900" t="s">
        <v>10080</v>
      </c>
      <c r="O240" s="901"/>
      <c r="P240" s="902" t="s">
        <v>395</v>
      </c>
      <c r="Q240" s="899" t="str">
        <f>IF(INDEX(decCh3Prod1Slot3Active,,xxIndexTeam)=1,INDEX(decCh3Prod1Slot3CustPrice,,xxIndexTeam),"")</f>
        <v/>
      </c>
      <c r="R240" s="900" t="s">
        <v>10081</v>
      </c>
      <c r="S240" s="901"/>
      <c r="T240" s="902" t="s">
        <v>395</v>
      </c>
      <c r="U240" s="899" t="str">
        <f>IF(INDEX(decCh3Prod1Slot3Active,,xxIndexTeam)=1,INDEX(decCh3Prod1Slot3Promo1,,xxIndexTeam),"")</f>
        <v/>
      </c>
      <c r="V240" s="900" t="s">
        <v>10082</v>
      </c>
      <c r="W240" s="901"/>
      <c r="X240" s="902" t="s">
        <v>395</v>
      </c>
      <c r="Y240" s="899" t="str">
        <f>IF(INDEX(decCh3Prod1Slot3Active,,xxIndexTeam)=1,INDEX(decCh3Prod1Slot3Promo1Weeks,,xxIndexTeam),"")</f>
        <v/>
      </c>
      <c r="Z240" s="900" t="s">
        <v>10083</v>
      </c>
      <c r="AA240" s="901"/>
      <c r="AB240" s="902" t="s">
        <v>395</v>
      </c>
      <c r="AC240" s="903" t="str">
        <f>IF(INDEX(decCh3Prod1Slot3Active,,xxIndexTeam)=1,INDEX(decCh3Prod1Slot3Promo1ShareFrc,,xxIndexTeam),"")</f>
        <v/>
      </c>
      <c r="AD240" s="900" t="s">
        <v>10084</v>
      </c>
      <c r="AE240" s="901"/>
      <c r="AF240" s="902" t="s">
        <v>395</v>
      </c>
      <c r="AG240" s="899"/>
      <c r="AH240" s="900" t="s">
        <v>10085</v>
      </c>
      <c r="AI240" s="901"/>
      <c r="AJ240" s="902" t="s">
        <v>395</v>
      </c>
      <c r="AK240" s="899"/>
      <c r="AL240" s="900" t="s">
        <v>10086</v>
      </c>
      <c r="AM240" s="901"/>
      <c r="AN240" s="902" t="s">
        <v>395</v>
      </c>
      <c r="AO240" s="903"/>
      <c r="AP240" s="900" t="s">
        <v>10087</v>
      </c>
      <c r="AQ240" s="800"/>
    </row>
    <row r="241" spans="2:43">
      <c r="B241" s="800"/>
      <c r="C241" s="810"/>
      <c r="D241" s="814" t="str">
        <f>nmCh4</f>
        <v>On-Trade</v>
      </c>
      <c r="E241" s="814"/>
      <c r="F241" s="811"/>
      <c r="G241" s="810"/>
      <c r="H241" s="814" t="str">
        <f>nmCh4</f>
        <v>On-Trade</v>
      </c>
      <c r="I241" s="903"/>
      <c r="J241" s="900"/>
      <c r="K241" s="901"/>
      <c r="L241" s="899" t="str">
        <f>nmCh4</f>
        <v>On-Trade</v>
      </c>
      <c r="M241" s="899"/>
      <c r="N241" s="900"/>
      <c r="O241" s="901"/>
      <c r="P241" s="899" t="str">
        <f>nmCh4</f>
        <v>On-Trade</v>
      </c>
      <c r="Q241" s="899"/>
      <c r="R241" s="900"/>
      <c r="S241" s="901"/>
      <c r="T241" s="899" t="str">
        <f>nmCh4</f>
        <v>On-Trade</v>
      </c>
      <c r="U241" s="899"/>
      <c r="V241" s="900"/>
      <c r="W241" s="901"/>
      <c r="X241" s="899" t="str">
        <f>nmCh4</f>
        <v>On-Trade</v>
      </c>
      <c r="Y241" s="899"/>
      <c r="Z241" s="900"/>
      <c r="AA241" s="901"/>
      <c r="AB241" s="899" t="str">
        <f>nmCh4</f>
        <v>On-Trade</v>
      </c>
      <c r="AC241" s="903"/>
      <c r="AD241" s="900"/>
      <c r="AE241" s="901"/>
      <c r="AF241" s="899" t="str">
        <f>nmCh4</f>
        <v>On-Trade</v>
      </c>
      <c r="AG241" s="899"/>
      <c r="AH241" s="900"/>
      <c r="AI241" s="901"/>
      <c r="AJ241" s="899" t="str">
        <f>nmCh4</f>
        <v>On-Trade</v>
      </c>
      <c r="AK241" s="899"/>
      <c r="AL241" s="900"/>
      <c r="AM241" s="901"/>
      <c r="AN241" s="899" t="str">
        <f>nmCh4</f>
        <v>On-Trade</v>
      </c>
      <c r="AO241" s="903"/>
      <c r="AP241" s="900"/>
      <c r="AQ241" s="800"/>
    </row>
    <row r="242" spans="2:43">
      <c r="B242" s="800"/>
      <c r="C242" s="810"/>
      <c r="D242" s="902" t="s">
        <v>379</v>
      </c>
      <c r="E242" s="814" t="str">
        <f>IF(INDEX(decCh4Prod1Slot1Active,,xxIndexTeam)=1,"Slot 1","")</f>
        <v>Slot 1</v>
      </c>
      <c r="F242" s="811" t="s">
        <v>10088</v>
      </c>
      <c r="G242" s="810"/>
      <c r="H242" s="902" t="s">
        <v>379</v>
      </c>
      <c r="I242" s="903">
        <f>IF(INDEX(decCh4Prod1Slot1Active,,xxIndexTeam)=1,INDEX(decCh4Prod1Slot1Forecast,,xxIndexTeam),"")</f>
        <v>1</v>
      </c>
      <c r="J242" s="900" t="s">
        <v>10089</v>
      </c>
      <c r="K242" s="901"/>
      <c r="L242" s="902" t="s">
        <v>379</v>
      </c>
      <c r="M242" s="899" t="str">
        <f>IF(INDEX(decCh4Prod1Slot1Active,,xxIndexTeam)=1,INDEX(decCh4Prod1Slot1Pack,,xxIndexTeam),"")</f>
        <v>25Ltr Keg</v>
      </c>
      <c r="N242" s="900" t="s">
        <v>10090</v>
      </c>
      <c r="O242" s="901"/>
      <c r="P242" s="902" t="s">
        <v>379</v>
      </c>
      <c r="Q242" s="899">
        <f>IF(INDEX(decCh4Prod1Slot1Active,,xxIndexTeam)=1,INDEX(decCh4Prod1Slot1CustPrice,,xxIndexTeam),"")</f>
        <v>7.2</v>
      </c>
      <c r="R242" s="900" t="s">
        <v>10091</v>
      </c>
      <c r="S242" s="901"/>
      <c r="T242" s="902" t="s">
        <v>379</v>
      </c>
      <c r="U242" s="899" t="str">
        <f>IF(INDEX(decCh4Prod1Slot1Active,,xxIndexTeam)=1,INDEX(decCh4Prod1Slot1Promo1,,xxIndexTeam),"")</f>
        <v>TPR 20%</v>
      </c>
      <c r="V242" s="900" t="s">
        <v>10092</v>
      </c>
      <c r="W242" s="901"/>
      <c r="X242" s="902" t="s">
        <v>379</v>
      </c>
      <c r="Y242" s="899">
        <f>IF(INDEX(decCh4Prod1Slot1Active,,xxIndexTeam)=1,INDEX(decCh4Prod1Slot1Promo1Weeks,,xxIndexTeam),"")</f>
        <v>4</v>
      </c>
      <c r="Z242" s="900" t="s">
        <v>10093</v>
      </c>
      <c r="AA242" s="901"/>
      <c r="AB242" s="902" t="s">
        <v>379</v>
      </c>
      <c r="AC242" s="903">
        <f>IF(INDEX(decCh4Prod1Slot1Active,,xxIndexTeam)=1,INDEX(decCh4Prod1Slot1Promo1ShareFrc,,xxIndexTeam),"")</f>
        <v>0.25</v>
      </c>
      <c r="AD242" s="900" t="s">
        <v>10094</v>
      </c>
      <c r="AE242" s="901"/>
      <c r="AF242" s="902" t="s">
        <v>379</v>
      </c>
      <c r="AG242" s="899"/>
      <c r="AH242" s="900" t="s">
        <v>10095</v>
      </c>
      <c r="AI242" s="901"/>
      <c r="AJ242" s="902" t="s">
        <v>379</v>
      </c>
      <c r="AK242" s="899"/>
      <c r="AL242" s="900" t="s">
        <v>10096</v>
      </c>
      <c r="AM242" s="901"/>
      <c r="AN242" s="902" t="s">
        <v>379</v>
      </c>
      <c r="AO242" s="903"/>
      <c r="AP242" s="900" t="s">
        <v>10097</v>
      </c>
      <c r="AQ242" s="800"/>
    </row>
    <row r="243" spans="2:43">
      <c r="B243" s="800"/>
      <c r="C243" s="810"/>
      <c r="D243" s="902" t="s">
        <v>394</v>
      </c>
      <c r="E243" s="814" t="str">
        <f>IF(INDEX(decCh4Prod1Slot2Active,,xxIndexTeam)=1,"Slot 2","")</f>
        <v/>
      </c>
      <c r="F243" s="811" t="s">
        <v>10098</v>
      </c>
      <c r="G243" s="810"/>
      <c r="H243" s="902" t="s">
        <v>394</v>
      </c>
      <c r="I243" s="903" t="str">
        <f>IF(INDEX(decCh4Prod1Slot2Active,,xxIndexTeam)=1,INDEX(decCh4Prod1Slot2Forecast,,xxIndexTeam),"")</f>
        <v/>
      </c>
      <c r="J243" s="900" t="s">
        <v>10099</v>
      </c>
      <c r="K243" s="901"/>
      <c r="L243" s="902" t="s">
        <v>394</v>
      </c>
      <c r="M243" s="899" t="str">
        <f>IF(INDEX(decCh4Prod1Slot2Active,,xxIndexTeam)=1,INDEX(decCh4Prod1Slot2Pack,,xxIndexTeam),"")</f>
        <v/>
      </c>
      <c r="N243" s="900" t="s">
        <v>10100</v>
      </c>
      <c r="O243" s="901"/>
      <c r="P243" s="902" t="s">
        <v>394</v>
      </c>
      <c r="Q243" s="899" t="str">
        <f>IF(INDEX(decCh4Prod1Slot2Active,,xxIndexTeam)=1,INDEX(decCh4Prod1Slot2CustPrice,,xxIndexTeam),"")</f>
        <v/>
      </c>
      <c r="R243" s="900" t="s">
        <v>10101</v>
      </c>
      <c r="S243" s="901"/>
      <c r="T243" s="902" t="s">
        <v>394</v>
      </c>
      <c r="U243" s="899" t="str">
        <f>IF(INDEX(decCh4Prod1Slot2Active,,xxIndexTeam)=1,INDEX(decCh4Prod1Slot2Promo1,,xxIndexTeam),"")</f>
        <v/>
      </c>
      <c r="V243" s="900" t="s">
        <v>10102</v>
      </c>
      <c r="W243" s="901"/>
      <c r="X243" s="902" t="s">
        <v>394</v>
      </c>
      <c r="Y243" s="899" t="str">
        <f>IF(INDEX(decCh4Prod1Slot2Active,,xxIndexTeam)=1,INDEX(decCh4Prod1Slot2Promo1Weeks,,xxIndexTeam),"")</f>
        <v/>
      </c>
      <c r="Z243" s="900" t="s">
        <v>10103</v>
      </c>
      <c r="AA243" s="901"/>
      <c r="AB243" s="902" t="s">
        <v>394</v>
      </c>
      <c r="AC243" s="903" t="str">
        <f>IF(INDEX(decCh4Prod1Slot2Active,,xxIndexTeam)=1,INDEX(decCh4Prod1Slot2Promo1ShareFrc,,xxIndexTeam),"")</f>
        <v/>
      </c>
      <c r="AD243" s="900" t="s">
        <v>10104</v>
      </c>
      <c r="AE243" s="901"/>
      <c r="AF243" s="902" t="s">
        <v>394</v>
      </c>
      <c r="AG243" s="899"/>
      <c r="AH243" s="900" t="s">
        <v>10105</v>
      </c>
      <c r="AI243" s="901"/>
      <c r="AJ243" s="902" t="s">
        <v>394</v>
      </c>
      <c r="AK243" s="899"/>
      <c r="AL243" s="900" t="s">
        <v>10106</v>
      </c>
      <c r="AM243" s="901"/>
      <c r="AN243" s="902" t="s">
        <v>394</v>
      </c>
      <c r="AO243" s="903"/>
      <c r="AP243" s="900" t="s">
        <v>10107</v>
      </c>
      <c r="AQ243" s="800"/>
    </row>
    <row r="244" spans="2:43">
      <c r="B244" s="800"/>
      <c r="C244" s="810"/>
      <c r="D244" s="906" t="s">
        <v>395</v>
      </c>
      <c r="E244" s="814" t="str">
        <f>IF(INDEX(decCh4Prod1Slot3Active,,xxIndexTeam)=1,"Slot 3","")</f>
        <v/>
      </c>
      <c r="F244" s="811" t="s">
        <v>10108</v>
      </c>
      <c r="G244" s="810"/>
      <c r="H244" s="906" t="s">
        <v>395</v>
      </c>
      <c r="I244" s="903" t="str">
        <f>IF(INDEX(decCh4Prod1Slot3Active,,xxIndexTeam)=1,INDEX(decCh4Prod1Slot3Forecast,,xxIndexTeam),"")</f>
        <v/>
      </c>
      <c r="J244" s="900" t="s">
        <v>10109</v>
      </c>
      <c r="K244" s="901"/>
      <c r="L244" s="902" t="s">
        <v>395</v>
      </c>
      <c r="M244" s="899" t="str">
        <f>IF(INDEX(decCh4Prod1Slot3Active,,xxIndexTeam)=1,INDEX(decCh4Prod1Slot3Pack,,xxIndexTeam),"")</f>
        <v/>
      </c>
      <c r="N244" s="900" t="s">
        <v>10110</v>
      </c>
      <c r="O244" s="901"/>
      <c r="P244" s="902" t="s">
        <v>395</v>
      </c>
      <c r="Q244" s="899" t="str">
        <f>IF(INDEX(decCh4Prod1Slot3Active,,xxIndexTeam)=1,INDEX(decCh4Prod1Slot3CustPrice,,xxIndexTeam),"")</f>
        <v/>
      </c>
      <c r="R244" s="900" t="s">
        <v>10111</v>
      </c>
      <c r="S244" s="901"/>
      <c r="T244" s="902" t="s">
        <v>395</v>
      </c>
      <c r="U244" s="899" t="str">
        <f>IF(INDEX(decCh4Prod1Slot3Active,,xxIndexTeam)=1,INDEX(decCh4Prod1Slot3Promo1,,xxIndexTeam),"")</f>
        <v/>
      </c>
      <c r="V244" s="900" t="s">
        <v>10112</v>
      </c>
      <c r="W244" s="901"/>
      <c r="X244" s="902" t="s">
        <v>395</v>
      </c>
      <c r="Y244" s="899" t="str">
        <f>IF(INDEX(decCh4Prod1Slot3Active,,xxIndexTeam)=1,INDEX(decCh4Prod1Slot3Promo1Weeks,,xxIndexTeam),"")</f>
        <v/>
      </c>
      <c r="Z244" s="900" t="s">
        <v>10113</v>
      </c>
      <c r="AA244" s="901"/>
      <c r="AB244" s="902" t="s">
        <v>395</v>
      </c>
      <c r="AC244" s="903" t="str">
        <f>IF(INDEX(decCh4Prod1Slot3Active,,xxIndexTeam)=1,INDEX(decCh4Prod1Slot3Promo1ShareFrc,,xxIndexTeam),"")</f>
        <v/>
      </c>
      <c r="AD244" s="900" t="s">
        <v>10114</v>
      </c>
      <c r="AE244" s="901"/>
      <c r="AF244" s="902" t="s">
        <v>395</v>
      </c>
      <c r="AG244" s="899"/>
      <c r="AH244" s="900" t="s">
        <v>10115</v>
      </c>
      <c r="AI244" s="901"/>
      <c r="AJ244" s="902" t="s">
        <v>395</v>
      </c>
      <c r="AK244" s="899"/>
      <c r="AL244" s="900" t="s">
        <v>10116</v>
      </c>
      <c r="AM244" s="901"/>
      <c r="AN244" s="902" t="s">
        <v>395</v>
      </c>
      <c r="AO244" s="903"/>
      <c r="AP244" s="900" t="s">
        <v>10117</v>
      </c>
      <c r="AQ244" s="800"/>
    </row>
    <row r="245" spans="2:43">
      <c r="B245" s="800"/>
      <c r="C245" s="810" t="str">
        <f>nmProd4</f>
        <v>Brew Master</v>
      </c>
      <c r="D245" s="814"/>
      <c r="E245" s="814"/>
      <c r="F245" s="811"/>
      <c r="G245" s="810" t="str">
        <f>nmProd4</f>
        <v>Brew Master</v>
      </c>
      <c r="H245" s="814"/>
      <c r="I245" s="903"/>
      <c r="J245" s="900"/>
      <c r="K245" s="901" t="str">
        <f>nmProd4</f>
        <v>Brew Master</v>
      </c>
      <c r="L245" s="899"/>
      <c r="M245" s="899"/>
      <c r="N245" s="900"/>
      <c r="O245" s="901" t="str">
        <f>nmProd4</f>
        <v>Brew Master</v>
      </c>
      <c r="P245" s="899"/>
      <c r="Q245" s="899"/>
      <c r="R245" s="900"/>
      <c r="S245" s="901" t="str">
        <f>nmProd4</f>
        <v>Brew Master</v>
      </c>
      <c r="T245" s="899"/>
      <c r="U245" s="899"/>
      <c r="V245" s="900"/>
      <c r="W245" s="901" t="str">
        <f>nmProd4</f>
        <v>Brew Master</v>
      </c>
      <c r="X245" s="899"/>
      <c r="Y245" s="899"/>
      <c r="Z245" s="900"/>
      <c r="AA245" s="901" t="str">
        <f>nmProd4</f>
        <v>Brew Master</v>
      </c>
      <c r="AB245" s="899"/>
      <c r="AC245" s="903"/>
      <c r="AD245" s="900"/>
      <c r="AE245" s="901" t="str">
        <f>nmProd4</f>
        <v>Brew Master</v>
      </c>
      <c r="AF245" s="899"/>
      <c r="AG245" s="899"/>
      <c r="AH245" s="900"/>
      <c r="AI245" s="901" t="str">
        <f>nmProd4</f>
        <v>Brew Master</v>
      </c>
      <c r="AJ245" s="899"/>
      <c r="AK245" s="899"/>
      <c r="AL245" s="900"/>
      <c r="AM245" s="901" t="str">
        <f>nmProd4</f>
        <v>Brew Master</v>
      </c>
      <c r="AN245" s="899"/>
      <c r="AO245" s="903"/>
      <c r="AP245" s="900"/>
      <c r="AQ245" s="800"/>
    </row>
    <row r="246" spans="2:43">
      <c r="B246" s="800"/>
      <c r="C246" s="810"/>
      <c r="D246" s="814" t="str">
        <f>nmCh1</f>
        <v>Hypermarkets</v>
      </c>
      <c r="E246" s="814"/>
      <c r="F246" s="811"/>
      <c r="G246" s="810"/>
      <c r="H246" s="814" t="str">
        <f>nmCh1</f>
        <v>Hypermarkets</v>
      </c>
      <c r="I246" s="903"/>
      <c r="J246" s="900"/>
      <c r="K246" s="901"/>
      <c r="L246" s="899" t="str">
        <f>nmCh1</f>
        <v>Hypermarkets</v>
      </c>
      <c r="M246" s="899"/>
      <c r="N246" s="900"/>
      <c r="O246" s="901"/>
      <c r="P246" s="899" t="str">
        <f>nmCh1</f>
        <v>Hypermarkets</v>
      </c>
      <c r="Q246" s="899"/>
      <c r="R246" s="900"/>
      <c r="S246" s="901"/>
      <c r="T246" s="899" t="str">
        <f>nmCh1</f>
        <v>Hypermarkets</v>
      </c>
      <c r="U246" s="899"/>
      <c r="V246" s="900"/>
      <c r="W246" s="901"/>
      <c r="X246" s="899" t="str">
        <f>nmCh1</f>
        <v>Hypermarkets</v>
      </c>
      <c r="Y246" s="899"/>
      <c r="Z246" s="900"/>
      <c r="AA246" s="901"/>
      <c r="AB246" s="899" t="str">
        <f>nmCh1</f>
        <v>Hypermarkets</v>
      </c>
      <c r="AC246" s="903"/>
      <c r="AD246" s="900"/>
      <c r="AE246" s="901"/>
      <c r="AF246" s="899" t="str">
        <f>nmCh1</f>
        <v>Hypermarkets</v>
      </c>
      <c r="AG246" s="899"/>
      <c r="AH246" s="900"/>
      <c r="AI246" s="901"/>
      <c r="AJ246" s="899" t="str">
        <f>nmCh1</f>
        <v>Hypermarkets</v>
      </c>
      <c r="AK246" s="899"/>
      <c r="AL246" s="900"/>
      <c r="AM246" s="901"/>
      <c r="AN246" s="899" t="str">
        <f>nmCh1</f>
        <v>Hypermarkets</v>
      </c>
      <c r="AO246" s="903"/>
      <c r="AP246" s="900"/>
      <c r="AQ246" s="800"/>
    </row>
    <row r="247" spans="2:43">
      <c r="B247" s="800"/>
      <c r="C247" s="810"/>
      <c r="D247" s="902" t="s">
        <v>379</v>
      </c>
      <c r="E247" s="814" t="str">
        <f>IF(INDEX(decCh1Prod4Slot1Active,,xxIndexTeam)=1,"Slot 1","")</f>
        <v/>
      </c>
      <c r="F247" s="811" t="s">
        <v>10118</v>
      </c>
      <c r="G247" s="810"/>
      <c r="H247" s="902" t="s">
        <v>379</v>
      </c>
      <c r="I247" s="903" t="str">
        <f>IF(INDEX(decCh1Prod4Slot1Active,,xxIndexTeam)=1,INDEX(decCh1Prod4Slot1Forecast,,xxIndexTeam),"")</f>
        <v/>
      </c>
      <c r="J247" s="900" t="s">
        <v>10119</v>
      </c>
      <c r="K247" s="901"/>
      <c r="L247" s="902" t="s">
        <v>379</v>
      </c>
      <c r="M247" s="899" t="str">
        <f>IF(INDEX(decCh1Prod4Slot1Active,,xxIndexTeam)=1,INDEX(decCh1Prod4Slot1Pack,,xxIndexTeam),"")</f>
        <v/>
      </c>
      <c r="N247" s="900" t="s">
        <v>10120</v>
      </c>
      <c r="O247" s="901"/>
      <c r="P247" s="902" t="s">
        <v>379</v>
      </c>
      <c r="Q247" s="899" t="str">
        <f>IF(INDEX(decCh1Prod4Slot1Active,,xxIndexTeam)=1,INDEX(decCh1Prod4Slot1CustPrice,,xxIndexTeam),"")</f>
        <v/>
      </c>
      <c r="R247" s="900" t="s">
        <v>10121</v>
      </c>
      <c r="S247" s="901"/>
      <c r="T247" s="902" t="s">
        <v>379</v>
      </c>
      <c r="U247" s="899" t="str">
        <f>IF(INDEX(decCh1Prod4Slot1Active,,xxIndexTeam)=1,INDEX(decCh1Prod4Slot1Promo1,,xxIndexTeam),"")</f>
        <v/>
      </c>
      <c r="V247" s="900" t="s">
        <v>10122</v>
      </c>
      <c r="W247" s="901"/>
      <c r="X247" s="902" t="s">
        <v>379</v>
      </c>
      <c r="Y247" s="899" t="str">
        <f>IF(INDEX(decCh1Prod4Slot1Active,,xxIndexTeam)=1,INDEX(decCh1Prod4Slot1Promo1Weeks,,xxIndexTeam),"")</f>
        <v/>
      </c>
      <c r="Z247" s="900" t="s">
        <v>10123</v>
      </c>
      <c r="AA247" s="901"/>
      <c r="AB247" s="902" t="s">
        <v>379</v>
      </c>
      <c r="AC247" s="903" t="str">
        <f>IF(INDEX(decCh1Prod4Slot1Active,,xxIndexTeam)=1,INDEX(decCh1Prod4Slot1Promo1ShareFrc,,xxIndexTeam),"")</f>
        <v/>
      </c>
      <c r="AD247" s="900" t="s">
        <v>10124</v>
      </c>
      <c r="AE247" s="901"/>
      <c r="AF247" s="902" t="s">
        <v>379</v>
      </c>
      <c r="AG247" s="899" t="str">
        <f>IF(INDEX(decCh1Prod4Slot1Active,,xxIndexTeam)=1,INDEX(decCh1Prod4Slot1Promo2,,xxIndexTeam),"")</f>
        <v/>
      </c>
      <c r="AH247" s="900" t="s">
        <v>10125</v>
      </c>
      <c r="AI247" s="901"/>
      <c r="AJ247" s="902" t="s">
        <v>379</v>
      </c>
      <c r="AK247" s="899" t="str">
        <f>IF(INDEX(decCh1Prod4Slot1Active,,xxIndexTeam)=1,INDEX(decCh1Prod4Slot1Promo2Weeks,,xxIndexTeam),"")</f>
        <v/>
      </c>
      <c r="AL247" s="900" t="s">
        <v>10126</v>
      </c>
      <c r="AM247" s="901"/>
      <c r="AN247" s="902" t="s">
        <v>379</v>
      </c>
      <c r="AO247" s="903" t="str">
        <f>IF(INDEX(decCh1Prod4Slot1Active,,xxIndexTeam)=1,INDEX(decCh1Prod4Slot1Promo2ShareFrc,,xxIndexTeam),"")</f>
        <v/>
      </c>
      <c r="AP247" s="900" t="s">
        <v>10127</v>
      </c>
      <c r="AQ247" s="800"/>
    </row>
    <row r="248" spans="2:43">
      <c r="B248" s="800"/>
      <c r="C248" s="810"/>
      <c r="D248" s="902" t="s">
        <v>394</v>
      </c>
      <c r="E248" s="814" t="str">
        <f>IF(INDEX(decCh1Prod4Slot2Active,,xxIndexTeam)=1,"Slot 2","")</f>
        <v/>
      </c>
      <c r="F248" s="811" t="s">
        <v>10128</v>
      </c>
      <c r="G248" s="810"/>
      <c r="H248" s="902" t="s">
        <v>394</v>
      </c>
      <c r="I248" s="903" t="str">
        <f>IF(INDEX(decCh1Prod4Slot2Active,,xxIndexTeam)=1,INDEX(decCh1Prod4Slot2Forecast,,xxIndexTeam),"")</f>
        <v/>
      </c>
      <c r="J248" s="900" t="s">
        <v>10129</v>
      </c>
      <c r="K248" s="901"/>
      <c r="L248" s="902" t="s">
        <v>394</v>
      </c>
      <c r="M248" s="899" t="str">
        <f>IF(INDEX(decCh1Prod4Slot2Active,,xxIndexTeam)=1,INDEX(decCh1Prod4Slot2Pack,,xxIndexTeam),"")</f>
        <v/>
      </c>
      <c r="N248" s="900" t="s">
        <v>10130</v>
      </c>
      <c r="O248" s="901"/>
      <c r="P248" s="902" t="s">
        <v>394</v>
      </c>
      <c r="Q248" s="899" t="str">
        <f>IF(INDEX(decCh1Prod4Slot2Active,,xxIndexTeam)=1,INDEX(decCh1Prod4Slot2CustPrice,,xxIndexTeam),"")</f>
        <v/>
      </c>
      <c r="R248" s="900" t="s">
        <v>10131</v>
      </c>
      <c r="S248" s="901"/>
      <c r="T248" s="902" t="s">
        <v>394</v>
      </c>
      <c r="U248" s="899" t="str">
        <f>IF(INDEX(decCh1Prod4Slot2Active,,xxIndexTeam)=1,INDEX(decCh1Prod4Slot2Promo1,,xxIndexTeam),"")</f>
        <v/>
      </c>
      <c r="V248" s="900" t="s">
        <v>10132</v>
      </c>
      <c r="W248" s="901"/>
      <c r="X248" s="902" t="s">
        <v>394</v>
      </c>
      <c r="Y248" s="899" t="str">
        <f>IF(INDEX(decCh1Prod4Slot2Active,,xxIndexTeam)=1,INDEX(decCh1Prod4Slot2Promo1Weeks,,xxIndexTeam),"")</f>
        <v/>
      </c>
      <c r="Z248" s="900" t="s">
        <v>10133</v>
      </c>
      <c r="AA248" s="901"/>
      <c r="AB248" s="902" t="s">
        <v>394</v>
      </c>
      <c r="AC248" s="903" t="str">
        <f>IF(INDEX(decCh1Prod4Slot2Active,,xxIndexTeam)=1,INDEX(decCh1Prod4Slot2Promo1ShareFrc,,xxIndexTeam),"")</f>
        <v/>
      </c>
      <c r="AD248" s="900" t="s">
        <v>10134</v>
      </c>
      <c r="AE248" s="901"/>
      <c r="AF248" s="902" t="s">
        <v>394</v>
      </c>
      <c r="AG248" s="899" t="str">
        <f>IF(INDEX(decCh1Prod4Slot2Active,,xxIndexTeam)=1,INDEX(decCh1Prod4Slot2Promo2,,xxIndexTeam),"")</f>
        <v/>
      </c>
      <c r="AH248" s="900" t="s">
        <v>10135</v>
      </c>
      <c r="AI248" s="901"/>
      <c r="AJ248" s="902" t="s">
        <v>394</v>
      </c>
      <c r="AK248" s="899" t="str">
        <f>IF(INDEX(decCh1Prod4Slot2Active,,xxIndexTeam)=1,INDEX(decCh1Prod4Slot2Promo2Weeks,,xxIndexTeam),"")</f>
        <v/>
      </c>
      <c r="AL248" s="900" t="s">
        <v>10136</v>
      </c>
      <c r="AM248" s="901"/>
      <c r="AN248" s="902" t="s">
        <v>394</v>
      </c>
      <c r="AO248" s="903" t="str">
        <f>IF(INDEX(decCh1Prod4Slot2Active,,xxIndexTeam)=1,INDEX(decCh1Prod4Slot2Promo2ShareFrc,,xxIndexTeam),"")</f>
        <v/>
      </c>
      <c r="AP248" s="900" t="s">
        <v>10137</v>
      </c>
      <c r="AQ248" s="800"/>
    </row>
    <row r="249" spans="2:43">
      <c r="B249" s="800"/>
      <c r="C249" s="810"/>
      <c r="D249" s="906" t="s">
        <v>395</v>
      </c>
      <c r="E249" s="814" t="str">
        <f>IF(INDEX(decCh1Prod4Slot3Active,,xxIndexTeam)=1,"Slot 3","")</f>
        <v/>
      </c>
      <c r="F249" s="811" t="s">
        <v>10138</v>
      </c>
      <c r="G249" s="810"/>
      <c r="H249" s="906" t="s">
        <v>395</v>
      </c>
      <c r="I249" s="903" t="str">
        <f>IF(INDEX(decCh1Prod4Slot3Active,,xxIndexTeam)=1,INDEX(decCh1Prod4Slot3Forecast,,xxIndexTeam),"")</f>
        <v/>
      </c>
      <c r="J249" s="900" t="s">
        <v>10139</v>
      </c>
      <c r="K249" s="901"/>
      <c r="L249" s="902" t="s">
        <v>395</v>
      </c>
      <c r="M249" s="899" t="str">
        <f>IF(INDEX(decCh1Prod4Slot3Active,,xxIndexTeam)=1,INDEX(decCh1Prod4Slot3Pack,,xxIndexTeam),"")</f>
        <v/>
      </c>
      <c r="N249" s="900" t="s">
        <v>10140</v>
      </c>
      <c r="O249" s="901"/>
      <c r="P249" s="902" t="s">
        <v>395</v>
      </c>
      <c r="Q249" s="899" t="str">
        <f>IF(INDEX(decCh1Prod4Slot3Active,,xxIndexTeam)=1,INDEX(decCh1Prod4Slot3CustPrice,,xxIndexTeam),"")</f>
        <v/>
      </c>
      <c r="R249" s="900" t="s">
        <v>10141</v>
      </c>
      <c r="S249" s="901"/>
      <c r="T249" s="902" t="s">
        <v>395</v>
      </c>
      <c r="U249" s="899" t="str">
        <f>IF(INDEX(decCh1Prod4Slot3Active,,xxIndexTeam)=1,INDEX(decCh1Prod4Slot3Promo1,,xxIndexTeam),"")</f>
        <v/>
      </c>
      <c r="V249" s="900" t="s">
        <v>10142</v>
      </c>
      <c r="W249" s="901"/>
      <c r="X249" s="902" t="s">
        <v>395</v>
      </c>
      <c r="Y249" s="899" t="str">
        <f>IF(INDEX(decCh1Prod4Slot3Active,,xxIndexTeam)=1,INDEX(decCh1Prod4Slot3Promo1Weeks,,xxIndexTeam),"")</f>
        <v/>
      </c>
      <c r="Z249" s="900" t="s">
        <v>10143</v>
      </c>
      <c r="AA249" s="901"/>
      <c r="AB249" s="902" t="s">
        <v>395</v>
      </c>
      <c r="AC249" s="903" t="str">
        <f>IF(INDEX(decCh1Prod4Slot3Active,,xxIndexTeam)=1,INDEX(decCh1Prod4Slot3Promo1ShareFrc,,xxIndexTeam),"")</f>
        <v/>
      </c>
      <c r="AD249" s="900" t="s">
        <v>10144</v>
      </c>
      <c r="AE249" s="901"/>
      <c r="AF249" s="902" t="s">
        <v>395</v>
      </c>
      <c r="AG249" s="899" t="str">
        <f>IF(INDEX(decCh1Prod4Slot3Active,,xxIndexTeam)=1,INDEX(decCh1Prod4Slot3Promo2,,xxIndexTeam),"")</f>
        <v/>
      </c>
      <c r="AH249" s="900" t="s">
        <v>10145</v>
      </c>
      <c r="AI249" s="901"/>
      <c r="AJ249" s="902" t="s">
        <v>395</v>
      </c>
      <c r="AK249" s="899" t="str">
        <f>IF(INDEX(decCh1Prod4Slot3Active,,xxIndexTeam)=1,INDEX(decCh1Prod4Slot3Promo2Weeks,,xxIndexTeam),"")</f>
        <v/>
      </c>
      <c r="AL249" s="900" t="s">
        <v>10146</v>
      </c>
      <c r="AM249" s="901"/>
      <c r="AN249" s="902" t="s">
        <v>395</v>
      </c>
      <c r="AO249" s="903" t="str">
        <f>IF(INDEX(decCh1Prod4Slot3Active,,xxIndexTeam)=1,INDEX(decCh1Prod4Slot3Promo2ShareFrc,,xxIndexTeam),"")</f>
        <v/>
      </c>
      <c r="AP249" s="900" t="s">
        <v>10147</v>
      </c>
      <c r="AQ249" s="800"/>
    </row>
    <row r="250" spans="2:43">
      <c r="B250" s="800"/>
      <c r="C250" s="810"/>
      <c r="D250" s="814" t="str">
        <f>nmCh2</f>
        <v>Discounters</v>
      </c>
      <c r="E250" s="814"/>
      <c r="F250" s="811"/>
      <c r="G250" s="810"/>
      <c r="H250" s="814" t="str">
        <f>nmCh2</f>
        <v>Discounters</v>
      </c>
      <c r="I250" s="903"/>
      <c r="J250" s="900"/>
      <c r="K250" s="901"/>
      <c r="L250" s="899" t="str">
        <f>nmCh2</f>
        <v>Discounters</v>
      </c>
      <c r="M250" s="899"/>
      <c r="N250" s="900"/>
      <c r="O250" s="901"/>
      <c r="P250" s="899" t="str">
        <f>nmCh2</f>
        <v>Discounters</v>
      </c>
      <c r="Q250" s="899"/>
      <c r="R250" s="900"/>
      <c r="S250" s="901"/>
      <c r="T250" s="899" t="str">
        <f>nmCh2</f>
        <v>Discounters</v>
      </c>
      <c r="U250" s="899"/>
      <c r="V250" s="900"/>
      <c r="W250" s="901"/>
      <c r="X250" s="899" t="str">
        <f>nmCh2</f>
        <v>Discounters</v>
      </c>
      <c r="Y250" s="899"/>
      <c r="Z250" s="900"/>
      <c r="AA250" s="901"/>
      <c r="AB250" s="899" t="str">
        <f>nmCh2</f>
        <v>Discounters</v>
      </c>
      <c r="AC250" s="903"/>
      <c r="AD250" s="900"/>
      <c r="AE250" s="901"/>
      <c r="AF250" s="899" t="str">
        <f>nmCh2</f>
        <v>Discounters</v>
      </c>
      <c r="AG250" s="899"/>
      <c r="AH250" s="900"/>
      <c r="AI250" s="901"/>
      <c r="AJ250" s="899" t="str">
        <f>nmCh2</f>
        <v>Discounters</v>
      </c>
      <c r="AK250" s="899"/>
      <c r="AL250" s="900"/>
      <c r="AM250" s="901"/>
      <c r="AN250" s="899" t="str">
        <f>nmCh2</f>
        <v>Discounters</v>
      </c>
      <c r="AO250" s="903"/>
      <c r="AP250" s="900"/>
      <c r="AQ250" s="800"/>
    </row>
    <row r="251" spans="2:43">
      <c r="B251" s="800"/>
      <c r="C251" s="810"/>
      <c r="D251" s="902" t="s">
        <v>379</v>
      </c>
      <c r="E251" s="814" t="str">
        <f>IF(INDEX(decCh2Prod4Slot1Active,,xxIndexTeam)=1,"Slot 1","")</f>
        <v/>
      </c>
      <c r="F251" s="811" t="s">
        <v>10148</v>
      </c>
      <c r="G251" s="810"/>
      <c r="H251" s="902" t="s">
        <v>379</v>
      </c>
      <c r="I251" s="903" t="str">
        <f>IF(INDEX(decCh2Prod4Slot1Active,,xxIndexTeam)=1,INDEX(decCh2Prod4Slot1Forecast,,xxIndexTeam),"")</f>
        <v/>
      </c>
      <c r="J251" s="900" t="s">
        <v>10149</v>
      </c>
      <c r="K251" s="901"/>
      <c r="L251" s="902" t="s">
        <v>379</v>
      </c>
      <c r="M251" s="899" t="str">
        <f>IF(INDEX(decCh2Prod4Slot1Active,,xxIndexTeam)=1,INDEX(decCh2Prod4Slot1Pack,,xxIndexTeam),"")</f>
        <v/>
      </c>
      <c r="N251" s="900" t="s">
        <v>10150</v>
      </c>
      <c r="O251" s="901"/>
      <c r="P251" s="902" t="s">
        <v>379</v>
      </c>
      <c r="Q251" s="899" t="str">
        <f>IF(INDEX(decCh2Prod4Slot1Active,,xxIndexTeam)=1,INDEX(decCh2Prod4Slot1CustPrice,,xxIndexTeam),"")</f>
        <v/>
      </c>
      <c r="R251" s="900" t="s">
        <v>10151</v>
      </c>
      <c r="S251" s="901"/>
      <c r="T251" s="902" t="s">
        <v>379</v>
      </c>
      <c r="U251" s="899"/>
      <c r="V251" s="900" t="s">
        <v>10152</v>
      </c>
      <c r="W251" s="901"/>
      <c r="X251" s="902" t="s">
        <v>379</v>
      </c>
      <c r="Y251" s="899"/>
      <c r="Z251" s="900" t="s">
        <v>10153</v>
      </c>
      <c r="AA251" s="901"/>
      <c r="AB251" s="902" t="s">
        <v>379</v>
      </c>
      <c r="AC251" s="903"/>
      <c r="AD251" s="900" t="s">
        <v>10154</v>
      </c>
      <c r="AE251" s="901"/>
      <c r="AF251" s="902" t="s">
        <v>379</v>
      </c>
      <c r="AG251" s="899"/>
      <c r="AH251" s="900" t="s">
        <v>10155</v>
      </c>
      <c r="AI251" s="901"/>
      <c r="AJ251" s="902" t="s">
        <v>379</v>
      </c>
      <c r="AK251" s="899"/>
      <c r="AL251" s="900" t="s">
        <v>10156</v>
      </c>
      <c r="AM251" s="901"/>
      <c r="AN251" s="902" t="s">
        <v>379</v>
      </c>
      <c r="AO251" s="903"/>
      <c r="AP251" s="900" t="s">
        <v>10157</v>
      </c>
      <c r="AQ251" s="800"/>
    </row>
    <row r="252" spans="2:43">
      <c r="B252" s="800"/>
      <c r="C252" s="810"/>
      <c r="D252" s="902" t="s">
        <v>394</v>
      </c>
      <c r="E252" s="814" t="str">
        <f>IF(INDEX(decCh2Prod4Slot2Active,,xxIndexTeam)=1,"Slot 2","")</f>
        <v/>
      </c>
      <c r="F252" s="811" t="s">
        <v>10158</v>
      </c>
      <c r="G252" s="810"/>
      <c r="H252" s="902" t="s">
        <v>394</v>
      </c>
      <c r="I252" s="903" t="str">
        <f>IF(INDEX(decCh2Prod4Slot2Active,,xxIndexTeam)=1,INDEX(decCh2Prod4Slot2Forecast,,xxIndexTeam),"")</f>
        <v/>
      </c>
      <c r="J252" s="900" t="s">
        <v>10159</v>
      </c>
      <c r="K252" s="901"/>
      <c r="L252" s="902" t="s">
        <v>394</v>
      </c>
      <c r="M252" s="899" t="str">
        <f>IF(INDEX(decCh2Prod4Slot2Active,,xxIndexTeam)=1,INDEX(decCh2Prod4Slot2Pack,,xxIndexTeam),"")</f>
        <v/>
      </c>
      <c r="N252" s="900" t="s">
        <v>10160</v>
      </c>
      <c r="O252" s="901"/>
      <c r="P252" s="902" t="s">
        <v>394</v>
      </c>
      <c r="Q252" s="899" t="str">
        <f>IF(INDEX(decCh2Prod4Slot2Active,,xxIndexTeam)=1,INDEX(decCh2Prod4Slot2CustPrice,,xxIndexTeam),"")</f>
        <v/>
      </c>
      <c r="R252" s="900" t="s">
        <v>10161</v>
      </c>
      <c r="S252" s="901"/>
      <c r="T252" s="902" t="s">
        <v>394</v>
      </c>
      <c r="U252" s="899"/>
      <c r="V252" s="900" t="s">
        <v>10162</v>
      </c>
      <c r="W252" s="901"/>
      <c r="X252" s="902" t="s">
        <v>394</v>
      </c>
      <c r="Y252" s="899"/>
      <c r="Z252" s="900" t="s">
        <v>10163</v>
      </c>
      <c r="AA252" s="901"/>
      <c r="AB252" s="902" t="s">
        <v>394</v>
      </c>
      <c r="AC252" s="903"/>
      <c r="AD252" s="900" t="s">
        <v>10164</v>
      </c>
      <c r="AE252" s="901"/>
      <c r="AF252" s="902" t="s">
        <v>394</v>
      </c>
      <c r="AG252" s="899"/>
      <c r="AH252" s="900" t="s">
        <v>10165</v>
      </c>
      <c r="AI252" s="901"/>
      <c r="AJ252" s="902" t="s">
        <v>394</v>
      </c>
      <c r="AK252" s="899"/>
      <c r="AL252" s="900" t="s">
        <v>10166</v>
      </c>
      <c r="AM252" s="901"/>
      <c r="AN252" s="902" t="s">
        <v>394</v>
      </c>
      <c r="AO252" s="903"/>
      <c r="AP252" s="900" t="s">
        <v>10167</v>
      </c>
      <c r="AQ252" s="800"/>
    </row>
    <row r="253" spans="2:43">
      <c r="B253" s="800"/>
      <c r="C253" s="810"/>
      <c r="D253" s="906" t="s">
        <v>395</v>
      </c>
      <c r="E253" s="814" t="str">
        <f>IF(INDEX(decCh2Prod4Slot3Active,,xxIndexTeam)=1,"Slot 3","")</f>
        <v/>
      </c>
      <c r="F253" s="811" t="s">
        <v>10168</v>
      </c>
      <c r="G253" s="810"/>
      <c r="H253" s="906" t="s">
        <v>395</v>
      </c>
      <c r="I253" s="903" t="str">
        <f>IF(INDEX(decCh2Prod4Slot3Active,,xxIndexTeam)=1,INDEX(decCh2Prod4Slot3Forecast,,xxIndexTeam),"")</f>
        <v/>
      </c>
      <c r="J253" s="900" t="s">
        <v>10169</v>
      </c>
      <c r="K253" s="901"/>
      <c r="L253" s="902" t="s">
        <v>395</v>
      </c>
      <c r="M253" s="899" t="str">
        <f>IF(INDEX(decCh2Prod4Slot3Active,,xxIndexTeam)=1,INDEX(decCh2Prod4Slot3Pack,,xxIndexTeam),"")</f>
        <v/>
      </c>
      <c r="N253" s="900" t="s">
        <v>10170</v>
      </c>
      <c r="O253" s="901"/>
      <c r="P253" s="902" t="s">
        <v>395</v>
      </c>
      <c r="Q253" s="899" t="str">
        <f>IF(INDEX(decCh2Prod4Slot3Active,,xxIndexTeam)=1,INDEX(decCh2Prod4Slot3CustPrice,,xxIndexTeam),"")</f>
        <v/>
      </c>
      <c r="R253" s="900" t="s">
        <v>10171</v>
      </c>
      <c r="S253" s="901"/>
      <c r="T253" s="902" t="s">
        <v>395</v>
      </c>
      <c r="U253" s="899"/>
      <c r="V253" s="900" t="s">
        <v>10172</v>
      </c>
      <c r="W253" s="901"/>
      <c r="X253" s="902" t="s">
        <v>395</v>
      </c>
      <c r="Y253" s="899"/>
      <c r="Z253" s="900" t="s">
        <v>10173</v>
      </c>
      <c r="AA253" s="901"/>
      <c r="AB253" s="902" t="s">
        <v>395</v>
      </c>
      <c r="AC253" s="903"/>
      <c r="AD253" s="900" t="s">
        <v>10174</v>
      </c>
      <c r="AE253" s="901"/>
      <c r="AF253" s="902" t="s">
        <v>395</v>
      </c>
      <c r="AG253" s="899"/>
      <c r="AH253" s="900" t="s">
        <v>10175</v>
      </c>
      <c r="AI253" s="901"/>
      <c r="AJ253" s="902" t="s">
        <v>395</v>
      </c>
      <c r="AK253" s="899"/>
      <c r="AL253" s="900" t="s">
        <v>10176</v>
      </c>
      <c r="AM253" s="901"/>
      <c r="AN253" s="902" t="s">
        <v>395</v>
      </c>
      <c r="AO253" s="903"/>
      <c r="AP253" s="900" t="s">
        <v>10177</v>
      </c>
      <c r="AQ253" s="800"/>
    </row>
    <row r="254" spans="2:43">
      <c r="B254" s="800"/>
      <c r="C254" s="810"/>
      <c r="D254" s="814" t="str">
        <f>nmCh3</f>
        <v>Convenience</v>
      </c>
      <c r="E254" s="814"/>
      <c r="F254" s="811"/>
      <c r="G254" s="810"/>
      <c r="H254" s="814" t="str">
        <f>nmCh3</f>
        <v>Convenience</v>
      </c>
      <c r="I254" s="903"/>
      <c r="J254" s="900"/>
      <c r="K254" s="901"/>
      <c r="L254" s="899" t="str">
        <f>nmCh3</f>
        <v>Convenience</v>
      </c>
      <c r="M254" s="899"/>
      <c r="N254" s="900"/>
      <c r="O254" s="901"/>
      <c r="P254" s="899" t="str">
        <f>nmCh3</f>
        <v>Convenience</v>
      </c>
      <c r="Q254" s="899"/>
      <c r="R254" s="900"/>
      <c r="S254" s="901"/>
      <c r="T254" s="899" t="str">
        <f>nmCh3</f>
        <v>Convenience</v>
      </c>
      <c r="U254" s="899"/>
      <c r="V254" s="900"/>
      <c r="W254" s="901"/>
      <c r="X254" s="899" t="str">
        <f>nmCh3</f>
        <v>Convenience</v>
      </c>
      <c r="Y254" s="899"/>
      <c r="Z254" s="900"/>
      <c r="AA254" s="901"/>
      <c r="AB254" s="899" t="str">
        <f>nmCh3</f>
        <v>Convenience</v>
      </c>
      <c r="AC254" s="903"/>
      <c r="AD254" s="900"/>
      <c r="AE254" s="901"/>
      <c r="AF254" s="899" t="str">
        <f>nmCh3</f>
        <v>Convenience</v>
      </c>
      <c r="AG254" s="899"/>
      <c r="AH254" s="900"/>
      <c r="AI254" s="901"/>
      <c r="AJ254" s="899" t="str">
        <f>nmCh3</f>
        <v>Convenience</v>
      </c>
      <c r="AK254" s="899"/>
      <c r="AL254" s="900"/>
      <c r="AM254" s="901"/>
      <c r="AN254" s="899" t="str">
        <f>nmCh3</f>
        <v>Convenience</v>
      </c>
      <c r="AO254" s="903"/>
      <c r="AP254" s="900"/>
      <c r="AQ254" s="800"/>
    </row>
    <row r="255" spans="2:43">
      <c r="B255" s="800"/>
      <c r="C255" s="810"/>
      <c r="D255" s="902" t="s">
        <v>379</v>
      </c>
      <c r="E255" s="814" t="str">
        <f>IF(INDEX(decCh3Prod4Slot1Active,,xxIndexTeam)=1,"Slot 1","")</f>
        <v/>
      </c>
      <c r="F255" s="811" t="s">
        <v>10178</v>
      </c>
      <c r="G255" s="810"/>
      <c r="H255" s="902" t="s">
        <v>379</v>
      </c>
      <c r="I255" s="903" t="str">
        <f>IF(INDEX(decCh3Prod4Slot1Active,,xxIndexTeam)=1,INDEX(decCh3Prod4Slot1Forecast,,xxIndexTeam),"")</f>
        <v/>
      </c>
      <c r="J255" s="900" t="s">
        <v>10179</v>
      </c>
      <c r="K255" s="901"/>
      <c r="L255" s="902" t="s">
        <v>379</v>
      </c>
      <c r="M255" s="899" t="str">
        <f>IF(INDEX(decCh3Prod4Slot1Active,,xxIndexTeam)=1,INDEX(decCh3Prod4Slot1Pack,,xxIndexTeam),"")</f>
        <v/>
      </c>
      <c r="N255" s="900" t="s">
        <v>10180</v>
      </c>
      <c r="O255" s="901"/>
      <c r="P255" s="902" t="s">
        <v>379</v>
      </c>
      <c r="Q255" s="899" t="str">
        <f>IF(INDEX(decCh3Prod4Slot1Active,,xxIndexTeam)=1,INDEX(decCh3Prod4Slot1CustPrice,,xxIndexTeam),"")</f>
        <v/>
      </c>
      <c r="R255" s="900" t="s">
        <v>10181</v>
      </c>
      <c r="S255" s="901"/>
      <c r="T255" s="902" t="s">
        <v>379</v>
      </c>
      <c r="U255" s="899" t="str">
        <f>IF(INDEX(decCh3Prod4Slot1Active,,xxIndexTeam)=1,INDEX(decCh3Prod4Slot1Promo1,,xxIndexTeam),"")</f>
        <v/>
      </c>
      <c r="V255" s="900" t="s">
        <v>10182</v>
      </c>
      <c r="W255" s="901"/>
      <c r="X255" s="902" t="s">
        <v>379</v>
      </c>
      <c r="Y255" s="899" t="str">
        <f>IF(INDEX(decCh3Prod4Slot1Active,,xxIndexTeam)=1,INDEX(decCh3Prod4Slot1Promo1Weeks,,xxIndexTeam),"")</f>
        <v/>
      </c>
      <c r="Z255" s="900" t="s">
        <v>10183</v>
      </c>
      <c r="AA255" s="901"/>
      <c r="AB255" s="902" t="s">
        <v>379</v>
      </c>
      <c r="AC255" s="903" t="str">
        <f>IF(INDEX(decCh3Prod4Slot1Active,,xxIndexTeam)=1,INDEX(decCh3Prod4Slot1Promo1ShareFrc,,xxIndexTeam),"")</f>
        <v/>
      </c>
      <c r="AD255" s="900" t="s">
        <v>10184</v>
      </c>
      <c r="AE255" s="901"/>
      <c r="AF255" s="902" t="s">
        <v>379</v>
      </c>
      <c r="AG255" s="899"/>
      <c r="AH255" s="900" t="s">
        <v>10185</v>
      </c>
      <c r="AI255" s="901"/>
      <c r="AJ255" s="902" t="s">
        <v>379</v>
      </c>
      <c r="AK255" s="899"/>
      <c r="AL255" s="900" t="s">
        <v>10186</v>
      </c>
      <c r="AM255" s="901"/>
      <c r="AN255" s="902" t="s">
        <v>379</v>
      </c>
      <c r="AO255" s="903"/>
      <c r="AP255" s="900" t="s">
        <v>10187</v>
      </c>
      <c r="AQ255" s="800"/>
    </row>
    <row r="256" spans="2:43">
      <c r="B256" s="800"/>
      <c r="C256" s="810"/>
      <c r="D256" s="902" t="s">
        <v>394</v>
      </c>
      <c r="E256" s="814" t="str">
        <f>IF(INDEX(decCh3Prod4Slot2Active,,xxIndexTeam)=1,"Slot 2","")</f>
        <v/>
      </c>
      <c r="F256" s="811" t="s">
        <v>10188</v>
      </c>
      <c r="G256" s="810"/>
      <c r="H256" s="902" t="s">
        <v>394</v>
      </c>
      <c r="I256" s="903" t="str">
        <f>IF(INDEX(decCh3Prod4Slot2Active,,xxIndexTeam)=1,INDEX(decCh3Prod4Slot2Forecast,,xxIndexTeam),"")</f>
        <v/>
      </c>
      <c r="J256" s="900" t="s">
        <v>10189</v>
      </c>
      <c r="K256" s="901"/>
      <c r="L256" s="902" t="s">
        <v>394</v>
      </c>
      <c r="M256" s="899" t="str">
        <f>IF(INDEX(decCh3Prod4Slot2Active,,xxIndexTeam)=1,INDEX(decCh3Prod4Slot2Pack,,xxIndexTeam),"")</f>
        <v/>
      </c>
      <c r="N256" s="900" t="s">
        <v>10190</v>
      </c>
      <c r="O256" s="901"/>
      <c r="P256" s="902" t="s">
        <v>394</v>
      </c>
      <c r="Q256" s="899" t="str">
        <f>IF(INDEX(decCh3Prod4Slot2Active,,xxIndexTeam)=1,INDEX(decCh3Prod4Slot2CustPrice,,xxIndexTeam),"")</f>
        <v/>
      </c>
      <c r="R256" s="900" t="s">
        <v>10191</v>
      </c>
      <c r="S256" s="901"/>
      <c r="T256" s="902" t="s">
        <v>394</v>
      </c>
      <c r="U256" s="899" t="str">
        <f>IF(INDEX(decCh3Prod4Slot2Active,,xxIndexTeam)=1,INDEX(decCh3Prod4Slot2Promo1,,xxIndexTeam),"")</f>
        <v/>
      </c>
      <c r="V256" s="900" t="s">
        <v>10192</v>
      </c>
      <c r="W256" s="901"/>
      <c r="X256" s="902" t="s">
        <v>394</v>
      </c>
      <c r="Y256" s="899" t="str">
        <f>IF(INDEX(decCh3Prod4Slot2Active,,xxIndexTeam)=1,INDEX(decCh3Prod4Slot2Promo1Weeks,,xxIndexTeam),"")</f>
        <v/>
      </c>
      <c r="Z256" s="900" t="s">
        <v>10193</v>
      </c>
      <c r="AA256" s="901"/>
      <c r="AB256" s="902" t="s">
        <v>394</v>
      </c>
      <c r="AC256" s="903" t="str">
        <f>IF(INDEX(decCh3Prod4Slot2Active,,xxIndexTeam)=1,INDEX(decCh3Prod4Slot2Promo1ShareFrc,,xxIndexTeam),"")</f>
        <v/>
      </c>
      <c r="AD256" s="900" t="s">
        <v>10194</v>
      </c>
      <c r="AE256" s="901"/>
      <c r="AF256" s="902" t="s">
        <v>394</v>
      </c>
      <c r="AG256" s="899"/>
      <c r="AH256" s="900" t="s">
        <v>10195</v>
      </c>
      <c r="AI256" s="901"/>
      <c r="AJ256" s="902" t="s">
        <v>394</v>
      </c>
      <c r="AK256" s="899"/>
      <c r="AL256" s="900" t="s">
        <v>10196</v>
      </c>
      <c r="AM256" s="901"/>
      <c r="AN256" s="902" t="s">
        <v>394</v>
      </c>
      <c r="AO256" s="903"/>
      <c r="AP256" s="900" t="s">
        <v>10197</v>
      </c>
      <c r="AQ256" s="800"/>
    </row>
    <row r="257" spans="2:43">
      <c r="B257" s="800"/>
      <c r="C257" s="810"/>
      <c r="D257" s="906" t="s">
        <v>395</v>
      </c>
      <c r="E257" s="814" t="str">
        <f>IF(INDEX(decCh3Prod4Slot3Active,,xxIndexTeam)=1,"Slot 3","")</f>
        <v/>
      </c>
      <c r="F257" s="811" t="s">
        <v>10198</v>
      </c>
      <c r="G257" s="810"/>
      <c r="H257" s="906" t="s">
        <v>395</v>
      </c>
      <c r="I257" s="903" t="str">
        <f>IF(INDEX(decCh3Prod4Slot3Active,,xxIndexTeam)=1,INDEX(decCh3Prod4Slot3Forecast,,xxIndexTeam),"")</f>
        <v/>
      </c>
      <c r="J257" s="900" t="s">
        <v>10199</v>
      </c>
      <c r="K257" s="901"/>
      <c r="L257" s="902" t="s">
        <v>395</v>
      </c>
      <c r="M257" s="899" t="str">
        <f>IF(INDEX(decCh3Prod4Slot3Active,,xxIndexTeam)=1,INDEX(decCh3Prod4Slot3Pack,,xxIndexTeam),"")</f>
        <v/>
      </c>
      <c r="N257" s="900" t="s">
        <v>10200</v>
      </c>
      <c r="O257" s="901"/>
      <c r="P257" s="902" t="s">
        <v>395</v>
      </c>
      <c r="Q257" s="899" t="str">
        <f>IF(INDEX(decCh3Prod4Slot3Active,,xxIndexTeam)=1,INDEX(decCh3Prod4Slot3CustPrice,,xxIndexTeam),"")</f>
        <v/>
      </c>
      <c r="R257" s="900" t="s">
        <v>10201</v>
      </c>
      <c r="S257" s="901"/>
      <c r="T257" s="902" t="s">
        <v>395</v>
      </c>
      <c r="U257" s="899" t="str">
        <f>IF(INDEX(decCh3Prod4Slot3Active,,xxIndexTeam)=1,INDEX(decCh3Prod4Slot3Promo1,,xxIndexTeam),"")</f>
        <v/>
      </c>
      <c r="V257" s="900" t="s">
        <v>10202</v>
      </c>
      <c r="W257" s="901"/>
      <c r="X257" s="902" t="s">
        <v>395</v>
      </c>
      <c r="Y257" s="899" t="str">
        <f>IF(INDEX(decCh3Prod4Slot3Active,,xxIndexTeam)=1,INDEX(decCh3Prod4Slot3Promo1Weeks,,xxIndexTeam),"")</f>
        <v/>
      </c>
      <c r="Z257" s="900" t="s">
        <v>10203</v>
      </c>
      <c r="AA257" s="901"/>
      <c r="AB257" s="902" t="s">
        <v>395</v>
      </c>
      <c r="AC257" s="903" t="str">
        <f>IF(INDEX(decCh3Prod4Slot3Active,,xxIndexTeam)=1,INDEX(decCh3Prod4Slot3Promo1ShareFrc,,xxIndexTeam),"")</f>
        <v/>
      </c>
      <c r="AD257" s="900" t="s">
        <v>10204</v>
      </c>
      <c r="AE257" s="901"/>
      <c r="AF257" s="902" t="s">
        <v>395</v>
      </c>
      <c r="AG257" s="899"/>
      <c r="AH257" s="900" t="s">
        <v>10205</v>
      </c>
      <c r="AI257" s="901"/>
      <c r="AJ257" s="902" t="s">
        <v>395</v>
      </c>
      <c r="AK257" s="899"/>
      <c r="AL257" s="900" t="s">
        <v>10206</v>
      </c>
      <c r="AM257" s="901"/>
      <c r="AN257" s="902" t="s">
        <v>395</v>
      </c>
      <c r="AO257" s="903"/>
      <c r="AP257" s="900" t="s">
        <v>10207</v>
      </c>
      <c r="AQ257" s="800"/>
    </row>
    <row r="258" spans="2:43">
      <c r="B258" s="800"/>
      <c r="C258" s="810"/>
      <c r="D258" s="814" t="str">
        <f>nmCh4</f>
        <v>On-Trade</v>
      </c>
      <c r="E258" s="814"/>
      <c r="F258" s="811"/>
      <c r="G258" s="810"/>
      <c r="H258" s="814" t="str">
        <f>nmCh4</f>
        <v>On-Trade</v>
      </c>
      <c r="I258" s="903"/>
      <c r="J258" s="900"/>
      <c r="K258" s="901"/>
      <c r="L258" s="899" t="str">
        <f>nmCh4</f>
        <v>On-Trade</v>
      </c>
      <c r="M258" s="899"/>
      <c r="N258" s="900"/>
      <c r="O258" s="901"/>
      <c r="P258" s="899" t="str">
        <f>nmCh4</f>
        <v>On-Trade</v>
      </c>
      <c r="Q258" s="899"/>
      <c r="R258" s="900"/>
      <c r="S258" s="901"/>
      <c r="T258" s="899" t="str">
        <f>nmCh4</f>
        <v>On-Trade</v>
      </c>
      <c r="U258" s="899"/>
      <c r="V258" s="900"/>
      <c r="W258" s="901"/>
      <c r="X258" s="899" t="str">
        <f>nmCh4</f>
        <v>On-Trade</v>
      </c>
      <c r="Y258" s="899"/>
      <c r="Z258" s="900"/>
      <c r="AA258" s="901"/>
      <c r="AB258" s="899" t="str">
        <f>nmCh4</f>
        <v>On-Trade</v>
      </c>
      <c r="AC258" s="903"/>
      <c r="AD258" s="900"/>
      <c r="AE258" s="901"/>
      <c r="AF258" s="899" t="str">
        <f>nmCh4</f>
        <v>On-Trade</v>
      </c>
      <c r="AG258" s="899"/>
      <c r="AH258" s="900"/>
      <c r="AI258" s="901"/>
      <c r="AJ258" s="899" t="str">
        <f>nmCh4</f>
        <v>On-Trade</v>
      </c>
      <c r="AK258" s="899"/>
      <c r="AL258" s="900"/>
      <c r="AM258" s="901"/>
      <c r="AN258" s="899" t="str">
        <f>nmCh4</f>
        <v>On-Trade</v>
      </c>
      <c r="AO258" s="903"/>
      <c r="AP258" s="900"/>
      <c r="AQ258" s="800"/>
    </row>
    <row r="259" spans="2:43">
      <c r="B259" s="800"/>
      <c r="C259" s="810"/>
      <c r="D259" s="902" t="s">
        <v>379</v>
      </c>
      <c r="E259" s="814" t="str">
        <f>IF(INDEX(decCh4Prod4Slot1Active,,xxIndexTeam)=1,"Slot 1","")</f>
        <v>Slot 1</v>
      </c>
      <c r="F259" s="811" t="s">
        <v>10208</v>
      </c>
      <c r="G259" s="810"/>
      <c r="H259" s="902" t="s">
        <v>379</v>
      </c>
      <c r="I259" s="903">
        <f>IF(INDEX(decCh4Prod4Slot1Active,,xxIndexTeam)=1,INDEX(decCh4Prod4Slot1Forecast,,xxIndexTeam),"")</f>
        <v>1</v>
      </c>
      <c r="J259" s="900" t="s">
        <v>10209</v>
      </c>
      <c r="K259" s="901"/>
      <c r="L259" s="902" t="s">
        <v>379</v>
      </c>
      <c r="M259" s="899" t="str">
        <f>IF(INDEX(decCh4Prod4Slot1Active,,xxIndexTeam)=1,INDEX(decCh4Prod4Slot1Pack,,xxIndexTeam),"")</f>
        <v>33cl Bottle</v>
      </c>
      <c r="N259" s="900" t="s">
        <v>10210</v>
      </c>
      <c r="O259" s="901"/>
      <c r="P259" s="902" t="s">
        <v>379</v>
      </c>
      <c r="Q259" s="899">
        <f>IF(INDEX(decCh4Prod4Slot1Active,,xxIndexTeam)=1,INDEX(decCh4Prod4Slot1CustPrice,,xxIndexTeam),"")</f>
        <v>8.35</v>
      </c>
      <c r="R259" s="900" t="s">
        <v>10211</v>
      </c>
      <c r="S259" s="901"/>
      <c r="T259" s="902" t="s">
        <v>379</v>
      </c>
      <c r="U259" s="899" t="str">
        <f>IF(INDEX(decCh4Prod4Slot1Active,,xxIndexTeam)=1,INDEX(decCh4Prod4Slot1Promo1,,xxIndexTeam),"")</f>
        <v>TPR 20%</v>
      </c>
      <c r="V259" s="900" t="s">
        <v>10212</v>
      </c>
      <c r="W259" s="901"/>
      <c r="X259" s="902" t="s">
        <v>379</v>
      </c>
      <c r="Y259" s="899">
        <f>IF(INDEX(decCh4Prod4Slot1Active,,xxIndexTeam)=1,INDEX(decCh4Prod4Slot1Promo1Weeks,,xxIndexTeam),"")</f>
        <v>2</v>
      </c>
      <c r="Z259" s="900" t="s">
        <v>10213</v>
      </c>
      <c r="AA259" s="901"/>
      <c r="AB259" s="902" t="s">
        <v>379</v>
      </c>
      <c r="AC259" s="903">
        <f>IF(INDEX(decCh4Prod4Slot1Active,,xxIndexTeam)=1,INDEX(decCh4Prod4Slot1Promo1ShareFrc,,xxIndexTeam),"")</f>
        <v>0.1</v>
      </c>
      <c r="AD259" s="900" t="s">
        <v>10214</v>
      </c>
      <c r="AE259" s="901"/>
      <c r="AF259" s="902" t="s">
        <v>379</v>
      </c>
      <c r="AG259" s="899"/>
      <c r="AH259" s="900" t="s">
        <v>10215</v>
      </c>
      <c r="AI259" s="901"/>
      <c r="AJ259" s="902" t="s">
        <v>379</v>
      </c>
      <c r="AK259" s="899"/>
      <c r="AL259" s="900" t="s">
        <v>10216</v>
      </c>
      <c r="AM259" s="901"/>
      <c r="AN259" s="902" t="s">
        <v>379</v>
      </c>
      <c r="AO259" s="903"/>
      <c r="AP259" s="900" t="s">
        <v>10217</v>
      </c>
      <c r="AQ259" s="800"/>
    </row>
    <row r="260" spans="2:43">
      <c r="B260" s="800"/>
      <c r="C260" s="810"/>
      <c r="D260" s="902" t="s">
        <v>394</v>
      </c>
      <c r="E260" s="814" t="str">
        <f>IF(INDEX(decCh4Prod4Slot2Active,,xxIndexTeam)=1,"Slot 2","")</f>
        <v/>
      </c>
      <c r="F260" s="811" t="s">
        <v>10218</v>
      </c>
      <c r="G260" s="810"/>
      <c r="H260" s="902" t="s">
        <v>394</v>
      </c>
      <c r="I260" s="903" t="str">
        <f>IF(INDEX(decCh4Prod4Slot2Active,,xxIndexTeam)=1,INDEX(decCh4Prod4Slot2Forecast,,xxIndexTeam),"")</f>
        <v/>
      </c>
      <c r="J260" s="900" t="s">
        <v>10219</v>
      </c>
      <c r="K260" s="901"/>
      <c r="L260" s="902" t="s">
        <v>394</v>
      </c>
      <c r="M260" s="899" t="str">
        <f>IF(INDEX(decCh4Prod4Slot2Active,,xxIndexTeam)=1,INDEX(decCh4Prod4Slot2Pack,,xxIndexTeam),"")</f>
        <v/>
      </c>
      <c r="N260" s="900" t="s">
        <v>10220</v>
      </c>
      <c r="O260" s="901"/>
      <c r="P260" s="902" t="s">
        <v>394</v>
      </c>
      <c r="Q260" s="899" t="str">
        <f>IF(INDEX(decCh4Prod4Slot2Active,,xxIndexTeam)=1,INDEX(decCh4Prod4Slot2CustPrice,,xxIndexTeam),"")</f>
        <v/>
      </c>
      <c r="R260" s="900" t="s">
        <v>10221</v>
      </c>
      <c r="S260" s="901"/>
      <c r="T260" s="902" t="s">
        <v>394</v>
      </c>
      <c r="U260" s="899" t="str">
        <f>IF(INDEX(decCh4Prod4Slot2Active,,xxIndexTeam)=1,INDEX(decCh4Prod4Slot2Promo1,,xxIndexTeam),"")</f>
        <v/>
      </c>
      <c r="V260" s="900" t="s">
        <v>10222</v>
      </c>
      <c r="W260" s="901"/>
      <c r="X260" s="902" t="s">
        <v>394</v>
      </c>
      <c r="Y260" s="899" t="str">
        <f>IF(INDEX(decCh4Prod4Slot2Active,,xxIndexTeam)=1,INDEX(decCh4Prod4Slot2Promo1Weeks,,xxIndexTeam),"")</f>
        <v/>
      </c>
      <c r="Z260" s="900" t="s">
        <v>10223</v>
      </c>
      <c r="AA260" s="901"/>
      <c r="AB260" s="902" t="s">
        <v>394</v>
      </c>
      <c r="AC260" s="903" t="str">
        <f>IF(INDEX(decCh4Prod4Slot2Active,,xxIndexTeam)=1,INDEX(decCh4Prod4Slot2Promo1ShareFrc,,xxIndexTeam),"")</f>
        <v/>
      </c>
      <c r="AD260" s="900" t="s">
        <v>10224</v>
      </c>
      <c r="AE260" s="901"/>
      <c r="AF260" s="902" t="s">
        <v>394</v>
      </c>
      <c r="AG260" s="899"/>
      <c r="AH260" s="900" t="s">
        <v>10225</v>
      </c>
      <c r="AI260" s="901"/>
      <c r="AJ260" s="902" t="s">
        <v>394</v>
      </c>
      <c r="AK260" s="899"/>
      <c r="AL260" s="900" t="s">
        <v>10226</v>
      </c>
      <c r="AM260" s="901"/>
      <c r="AN260" s="902" t="s">
        <v>394</v>
      </c>
      <c r="AO260" s="903"/>
      <c r="AP260" s="900" t="s">
        <v>10227</v>
      </c>
      <c r="AQ260" s="800"/>
    </row>
    <row r="261" spans="2:43" ht="15" thickBot="1">
      <c r="B261" s="800"/>
      <c r="C261" s="809"/>
      <c r="D261" s="907" t="s">
        <v>395</v>
      </c>
      <c r="E261" s="806" t="str">
        <f>IF(INDEX(decCh4Prod4Slot3Active,,xxIndexTeam)=1,"Slot 3","")</f>
        <v/>
      </c>
      <c r="F261" s="808" t="s">
        <v>10228</v>
      </c>
      <c r="G261" s="809"/>
      <c r="H261" s="907" t="s">
        <v>395</v>
      </c>
      <c r="I261" s="908" t="str">
        <f>IF(INDEX(decCh4Prod4Slot3Active,,xxIndexTeam)=1,INDEX(decCh4Prod4Slot3Forecast,,xxIndexTeam),"")</f>
        <v/>
      </c>
      <c r="J261" s="909" t="s">
        <v>10229</v>
      </c>
      <c r="K261" s="910"/>
      <c r="L261" s="911" t="s">
        <v>395</v>
      </c>
      <c r="M261" s="912" t="str">
        <f>IF(INDEX(decCh4Prod4Slot3Active,,xxIndexTeam)=1,INDEX(decCh4Prod4Slot3Pack,,xxIndexTeam),"")</f>
        <v/>
      </c>
      <c r="N261" s="909" t="s">
        <v>10230</v>
      </c>
      <c r="O261" s="910"/>
      <c r="P261" s="911" t="s">
        <v>395</v>
      </c>
      <c r="Q261" s="912" t="str">
        <f>IF(INDEX(decCh4Prod4Slot3Active,,xxIndexTeam)=1,INDEX(decCh4Prod4Slot3CustPrice,,xxIndexTeam),"")</f>
        <v/>
      </c>
      <c r="R261" s="909" t="s">
        <v>10231</v>
      </c>
      <c r="S261" s="910"/>
      <c r="T261" s="911" t="s">
        <v>395</v>
      </c>
      <c r="U261" s="912" t="str">
        <f>IF(INDEX(decCh4Prod4Slot3Active,,xxIndexTeam)=1,INDEX(decCh4Prod4Slot3Promo1,,xxIndexTeam),"")</f>
        <v/>
      </c>
      <c r="V261" s="909" t="s">
        <v>10232</v>
      </c>
      <c r="W261" s="910"/>
      <c r="X261" s="911" t="s">
        <v>395</v>
      </c>
      <c r="Y261" s="912" t="str">
        <f>IF(INDEX(decCh4Prod4Slot3Active,,xxIndexTeam)=1,INDEX(decCh4Prod4Slot3Promo1Weeks,,xxIndexTeam),"")</f>
        <v/>
      </c>
      <c r="Z261" s="909" t="s">
        <v>10233</v>
      </c>
      <c r="AA261" s="910"/>
      <c r="AB261" s="911" t="s">
        <v>395</v>
      </c>
      <c r="AC261" s="908" t="str">
        <f>IF(INDEX(decCh4Prod4Slot3Active,,xxIndexTeam)=1,INDEX(decCh4Prod4Slot3Promo1ShareFrc,,xxIndexTeam),"")</f>
        <v/>
      </c>
      <c r="AD261" s="909" t="s">
        <v>10234</v>
      </c>
      <c r="AE261" s="910"/>
      <c r="AF261" s="911" t="s">
        <v>395</v>
      </c>
      <c r="AG261" s="912"/>
      <c r="AH261" s="909" t="s">
        <v>10235</v>
      </c>
      <c r="AI261" s="910"/>
      <c r="AJ261" s="911" t="s">
        <v>395</v>
      </c>
      <c r="AK261" s="912"/>
      <c r="AL261" s="909" t="s">
        <v>10236</v>
      </c>
      <c r="AM261" s="910"/>
      <c r="AN261" s="911" t="s">
        <v>395</v>
      </c>
      <c r="AO261" s="908"/>
      <c r="AP261" s="909" t="s">
        <v>10237</v>
      </c>
      <c r="AQ261" s="800"/>
    </row>
    <row r="262" spans="2:43">
      <c r="B262" s="800"/>
      <c r="C262" s="800"/>
      <c r="D262" s="800"/>
      <c r="E262" s="800"/>
      <c r="F262" s="800"/>
      <c r="G262" s="800"/>
      <c r="H262" s="800"/>
      <c r="I262" s="905"/>
      <c r="J262" s="800"/>
      <c r="K262" s="800"/>
      <c r="L262" s="800"/>
      <c r="M262" s="800"/>
      <c r="N262" s="800"/>
      <c r="O262" s="800"/>
      <c r="P262" s="800"/>
      <c r="Q262" s="800"/>
      <c r="R262" s="800"/>
      <c r="S262" s="800"/>
      <c r="T262" s="800"/>
      <c r="U262" s="800"/>
      <c r="V262" s="800"/>
      <c r="W262" s="800"/>
      <c r="X262" s="800"/>
      <c r="Y262" s="800"/>
      <c r="Z262" s="800"/>
      <c r="AA262" s="800"/>
      <c r="AB262" s="800"/>
      <c r="AC262" s="800"/>
      <c r="AD262" s="800"/>
      <c r="AE262" s="800"/>
      <c r="AF262" s="800"/>
      <c r="AG262" s="800"/>
      <c r="AH262" s="800"/>
      <c r="AI262" s="800"/>
      <c r="AJ262" s="800"/>
      <c r="AK262" s="800"/>
      <c r="AL262" s="800"/>
      <c r="AM262" s="800"/>
      <c r="AN262" s="800"/>
      <c r="AO262" s="800"/>
      <c r="AP262" s="800"/>
      <c r="AQ262" s="800"/>
    </row>
    <row r="263" spans="2:43">
      <c r="B263" s="800"/>
      <c r="C263" s="800"/>
      <c r="D263" s="800"/>
      <c r="E263" s="800"/>
      <c r="F263" s="800"/>
      <c r="G263" s="800"/>
      <c r="H263" s="800"/>
      <c r="I263" s="800"/>
      <c r="J263" s="800"/>
      <c r="K263" s="800"/>
      <c r="L263" s="800"/>
      <c r="M263" s="800"/>
      <c r="N263" s="800"/>
      <c r="O263" s="800"/>
      <c r="P263" s="800"/>
      <c r="Q263" s="800"/>
      <c r="R263" s="800"/>
      <c r="S263" s="800"/>
      <c r="T263" s="800"/>
      <c r="U263" s="800"/>
      <c r="V263" s="800"/>
      <c r="W263" s="800"/>
      <c r="X263" s="800"/>
      <c r="Y263" s="800"/>
      <c r="Z263" s="800"/>
      <c r="AA263" s="800"/>
      <c r="AB263" s="800"/>
      <c r="AC263" s="800"/>
      <c r="AD263" s="800"/>
      <c r="AE263" s="800"/>
      <c r="AF263" s="800"/>
      <c r="AG263" s="800"/>
      <c r="AH263" s="800"/>
      <c r="AI263" s="800"/>
      <c r="AJ263" s="800"/>
      <c r="AK263" s="800"/>
      <c r="AL263" s="800"/>
      <c r="AM263" s="800"/>
      <c r="AN263" s="800"/>
      <c r="AO263" s="800"/>
      <c r="AP263" s="800"/>
      <c r="AQ263" s="800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7030A0"/>
  </sheetPr>
  <dimension ref="B1:BB363"/>
  <sheetViews>
    <sheetView topLeftCell="AD11" zoomScale="55" zoomScaleNormal="55" workbookViewId="0">
      <selection activeCell="AH65" sqref="AH65"/>
    </sheetView>
  </sheetViews>
  <sheetFormatPr defaultColWidth="8.796875" defaultRowHeight="14.25"/>
  <cols>
    <col min="1" max="4" width="8.796875" style="21"/>
    <col min="5" max="5" width="18.8984375" style="522" customWidth="1"/>
    <col min="6" max="6" width="30.09765625" style="21" customWidth="1"/>
    <col min="7" max="7" width="13" style="21" customWidth="1"/>
    <col min="8" max="8" width="8.796875" style="21"/>
    <col min="9" max="9" width="7.09765625" style="21" customWidth="1"/>
    <col min="10" max="10" width="18.3984375" style="21" customWidth="1"/>
    <col min="11" max="11" width="18.69921875" style="21" customWidth="1"/>
    <col min="12" max="13" width="15.69921875" style="21" customWidth="1"/>
    <col min="14" max="14" width="17.09765625" style="21" customWidth="1"/>
    <col min="15" max="22" width="15.69921875" style="21" customWidth="1"/>
    <col min="23" max="23" width="15.69921875" style="802" customWidth="1"/>
    <col min="24" max="28" width="15.69921875" style="21" customWidth="1"/>
    <col min="29" max="29" width="8.796875" style="21"/>
    <col min="30" max="30" width="15" style="21" customWidth="1"/>
    <col min="31" max="31" width="8.796875" style="21"/>
    <col min="32" max="32" width="17.19921875" style="21" bestFit="1" customWidth="1"/>
    <col min="33" max="33" width="24.3984375" style="21" bestFit="1" customWidth="1"/>
    <col min="34" max="34" width="36.796875" style="21" customWidth="1"/>
    <col min="35" max="35" width="8.796875" style="21"/>
    <col min="36" max="36" width="14.69921875" style="21" customWidth="1"/>
    <col min="37" max="37" width="33.69921875" style="21" bestFit="1" customWidth="1"/>
    <col min="38" max="38" width="38.59765625" style="21" customWidth="1"/>
    <col min="39" max="39" width="11.69921875" style="21" bestFit="1" customWidth="1"/>
    <col min="40" max="40" width="22.5" style="21" bestFit="1" customWidth="1"/>
    <col min="41" max="41" width="18.09765625" style="21" customWidth="1"/>
    <col min="42" max="42" width="33.8984375" style="21" customWidth="1"/>
    <col min="43" max="43" width="14.09765625" style="21" customWidth="1"/>
    <col min="44" max="44" width="20.09765625" style="21" customWidth="1"/>
    <col min="45" max="45" width="16.5" style="21" customWidth="1"/>
    <col min="46" max="46" width="33.19921875" style="21" customWidth="1"/>
    <col min="47" max="48" width="8.796875" style="21"/>
    <col min="49" max="49" width="12" style="21" bestFit="1" customWidth="1"/>
    <col min="50" max="50" width="24.296875" style="21" bestFit="1" customWidth="1"/>
    <col min="51" max="53" width="8.796875" style="21"/>
    <col min="54" max="54" width="24.296875" style="21" bestFit="1" customWidth="1"/>
    <col min="55" max="57" width="8.796875" style="21"/>
    <col min="58" max="58" width="24.3984375" style="21" bestFit="1" customWidth="1"/>
    <col min="59" max="16384" width="8.796875" style="21"/>
  </cols>
  <sheetData>
    <row r="1" spans="2:46" s="613" customFormat="1">
      <c r="E1" s="713"/>
      <c r="W1" s="802"/>
    </row>
    <row r="2" spans="2:46" s="613" customFormat="1" ht="15" thickBot="1">
      <c r="D2" s="719" t="s">
        <v>6545</v>
      </c>
      <c r="E2" s="719"/>
      <c r="W2" s="802"/>
    </row>
    <row r="3" spans="2:46">
      <c r="B3" s="628" t="s">
        <v>6547</v>
      </c>
      <c r="D3" s="555"/>
      <c r="E3" s="600"/>
      <c r="F3" s="600"/>
      <c r="G3" s="600"/>
      <c r="H3" s="600"/>
      <c r="I3" s="600"/>
      <c r="J3" s="599" t="str">
        <f>"Variance Tracker Table - "&amp;nmCh1</f>
        <v>Variance Tracker Table - Hypermarkets</v>
      </c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561"/>
      <c r="AD3" s="628" t="s">
        <v>6565</v>
      </c>
      <c r="AE3" s="612" t="s">
        <v>6566</v>
      </c>
    </row>
    <row r="4" spans="2:46" ht="29.25" customHeight="1" thickBot="1">
      <c r="D4" s="554"/>
      <c r="E4" s="553" t="str">
        <f>nmCh1</f>
        <v>Hypermarkets</v>
      </c>
      <c r="F4" s="617"/>
      <c r="G4" s="720"/>
      <c r="H4" s="720"/>
      <c r="I4" s="720"/>
      <c r="J4" s="720"/>
      <c r="K4" s="720"/>
      <c r="L4" s="704" t="str">
        <f>nmCh1</f>
        <v>Hypermarkets</v>
      </c>
      <c r="M4" s="598" t="str">
        <f>nmProd2</f>
        <v>Harken</v>
      </c>
      <c r="N4" s="598" t="str">
        <f>nmProd2&amp;" Slot 1"</f>
        <v>Harken Slot 1</v>
      </c>
      <c r="O4" s="598" t="str">
        <f>nmProd2&amp;" Slot 2"</f>
        <v>Harken Slot 2</v>
      </c>
      <c r="P4" s="598" t="str">
        <f>nmProd2&amp;" Slot 3"</f>
        <v>Harken Slot 3</v>
      </c>
      <c r="Q4" s="598" t="str">
        <f>nmProd3</f>
        <v>Kara</v>
      </c>
      <c r="R4" s="598" t="str">
        <f>nmProd3&amp;" Slot 1"</f>
        <v>Kara Slot 1</v>
      </c>
      <c r="S4" s="598" t="str">
        <f>nmProd3&amp;" Slot 2"</f>
        <v>Kara Slot 2</v>
      </c>
      <c r="T4" s="598" t="str">
        <f>nmProd3&amp;" Slot 3"</f>
        <v>Kara Slot 3</v>
      </c>
      <c r="U4" s="598" t="str">
        <f>nmProd1</f>
        <v>Greenborg</v>
      </c>
      <c r="V4" s="598" t="str">
        <f>nmProd1&amp;" Slot 1"</f>
        <v>Greenborg Slot 1</v>
      </c>
      <c r="W4" s="598" t="str">
        <f>nmProd1&amp;" Slot 2"</f>
        <v>Greenborg Slot 2</v>
      </c>
      <c r="X4" s="598" t="str">
        <f>nmProd1&amp;" Slot 3"</f>
        <v>Greenborg Slot 3</v>
      </c>
      <c r="Y4" s="598" t="str">
        <f>nmProd4</f>
        <v>Brew Master</v>
      </c>
      <c r="Z4" s="598" t="str">
        <f>nmProd4&amp;" Slot 1"</f>
        <v>Brew Master Slot 1</v>
      </c>
      <c r="AA4" s="598" t="str">
        <f>nmProd4&amp;" Slot 2"</f>
        <v>Brew Master Slot 2</v>
      </c>
      <c r="AB4" s="597" t="str">
        <f>nmProd4&amp;" Slot 3"</f>
        <v>Brew Master Slot 3</v>
      </c>
      <c r="AE4" s="702" t="str">
        <f>nmEmp1&amp;" Gauge"</f>
        <v>MTUs Gauge</v>
      </c>
      <c r="AI4" s="702" t="s">
        <v>6570</v>
      </c>
      <c r="AM4" s="702" t="s">
        <v>6571</v>
      </c>
    </row>
    <row r="5" spans="2:46" ht="15">
      <c r="D5" s="554"/>
      <c r="E5" s="585">
        <f t="shared" ref="E5:E17" si="0">INDEX(L5:AB5,,calcCh1VtCode)/1000</f>
        <v>446586.63464800001</v>
      </c>
      <c r="F5" s="720" t="s">
        <v>4732</v>
      </c>
      <c r="G5" s="552"/>
      <c r="H5" s="720"/>
      <c r="I5" s="720"/>
      <c r="J5" s="551" t="s">
        <v>3760</v>
      </c>
      <c r="K5" s="608" t="s">
        <v>1394</v>
      </c>
      <c r="L5" s="706">
        <f t="shared" ref="L5:L17" si="1">U5+M5+Q5+Y5</f>
        <v>2786202287.2599998</v>
      </c>
      <c r="M5" s="706">
        <f>N5+O5+P5</f>
        <v>1408117519.6199999</v>
      </c>
      <c r="N5" s="706">
        <f>INDEX(finPNLCh1Prod2Slot1Turn,xxIndexTeam)</f>
        <v>649478791.07999992</v>
      </c>
      <c r="O5" s="706">
        <f>INDEX(finPNLCh1Prod2Slot2Turn,xxIndexTeam)</f>
        <v>758638728.54000008</v>
      </c>
      <c r="P5" s="706">
        <f>INDEX(finPNLCh1Prod2Slot3Turn,xxIndexTeam)</f>
        <v>0</v>
      </c>
      <c r="Q5" s="706">
        <f>R5+S5+T5</f>
        <v>931498132.99199986</v>
      </c>
      <c r="R5" s="706">
        <f>INDEX(finPNLCh1Prod3Slot1Turn,xxIndexTeam)</f>
        <v>370260764.15999997</v>
      </c>
      <c r="S5" s="706">
        <f>INDEX(finPNLCh1Prod3Slot2Turn,xxIndexTeam)</f>
        <v>561237368.8319999</v>
      </c>
      <c r="T5" s="706">
        <f>INDEX(finPNLCh1Prod3Slot3Turn,xxIndexTeam)</f>
        <v>0</v>
      </c>
      <c r="U5" s="706">
        <f>V5+W5+X5</f>
        <v>446586634.648</v>
      </c>
      <c r="V5" s="706">
        <f>INDEX(finPNLCh1Prod1Slot1Turn,xxIndexTeam)</f>
        <v>446586634.648</v>
      </c>
      <c r="W5" s="706">
        <f>INDEX(finPNLCh1Prod1Slot2Turn,xxIndexTeam)</f>
        <v>0</v>
      </c>
      <c r="X5" s="706">
        <f>INDEX(finPNLCh1Prod1Slot3Turn,xxIndexTeam)</f>
        <v>0</v>
      </c>
      <c r="Y5" s="706">
        <f>Z5+AA5+AB5</f>
        <v>0</v>
      </c>
      <c r="Z5" s="706">
        <f>INDEX(finPNLCh1Prod4Slot1Turn,xxIndexTeam)</f>
        <v>0</v>
      </c>
      <c r="AA5" s="706">
        <f>INDEX(finPNLCh1Prod4Slot2Turn,xxIndexTeam)</f>
        <v>0</v>
      </c>
      <c r="AB5" s="596">
        <f>INDEX(finPNLCh1Prod4Slot3Turn,xxIndexTeam)</f>
        <v>0</v>
      </c>
      <c r="AC5" s="483"/>
      <c r="AE5" s="555"/>
      <c r="AF5" s="600" t="s">
        <v>6569</v>
      </c>
      <c r="AG5" s="600">
        <f>INDEX(CalcEmp1Unassigned,,xxIndexTeam)</f>
        <v>62</v>
      </c>
      <c r="AH5" s="561" t="s">
        <v>6597</v>
      </c>
      <c r="AI5" s="555"/>
      <c r="AJ5" s="600" t="s">
        <v>6569</v>
      </c>
      <c r="AK5" s="600">
        <f>INDEX(calcCh1AddSlotAvailable,,xxIndexTeam)</f>
        <v>1</v>
      </c>
      <c r="AL5" s="561" t="s">
        <v>6598</v>
      </c>
      <c r="AM5" s="555"/>
      <c r="AN5" s="600" t="s">
        <v>6569</v>
      </c>
      <c r="AO5" s="600">
        <f>INDEX(calcCh1PromoWeeksAvail,,xxIndexTeam)</f>
        <v>0</v>
      </c>
      <c r="AP5" s="561" t="s">
        <v>6599</v>
      </c>
    </row>
    <row r="6" spans="2:46" ht="15">
      <c r="D6" s="554"/>
      <c r="E6" s="585">
        <f t="shared" si="0"/>
        <v>142095.74738800002</v>
      </c>
      <c r="F6" s="720" t="s">
        <v>4733</v>
      </c>
      <c r="G6" s="720"/>
      <c r="H6" s="720"/>
      <c r="I6" s="720"/>
      <c r="J6" s="551" t="s">
        <v>3761</v>
      </c>
      <c r="K6" s="608" t="s">
        <v>1395</v>
      </c>
      <c r="L6" s="706">
        <f t="shared" si="1"/>
        <v>885053201.78799999</v>
      </c>
      <c r="M6" s="706">
        <f t="shared" ref="M6:M17" si="2">N6+O6+P6</f>
        <v>438466694.39999998</v>
      </c>
      <c r="N6" s="706">
        <f>INDEX(finPNLCh1Prod2Slot1Excise,xxIndexTeam)</f>
        <v>197310012.47999996</v>
      </c>
      <c r="O6" s="706">
        <f>INDEX(finPNLCh1Prod2Slot2Excise,xxIndexTeam)</f>
        <v>241156681.92000002</v>
      </c>
      <c r="P6" s="706">
        <f>INDEX(finPNLCh1Prod2Slot3Excise,xxIndexTeam)</f>
        <v>0</v>
      </c>
      <c r="Q6" s="706">
        <f t="shared" ref="Q6:Q17" si="3">R6+S6+T6</f>
        <v>304490760</v>
      </c>
      <c r="R6" s="706">
        <f>INDEX(finPNLCh1Prod3Slot1Excise,xxIndexTeam)</f>
        <v>121796304</v>
      </c>
      <c r="S6" s="706">
        <f>INDEX(finPNLCh1Prod3Slot2Excise,xxIndexTeam)</f>
        <v>182694455.99999997</v>
      </c>
      <c r="T6" s="706">
        <f>INDEX(finPNLCh1Prod3Slot3Excise,xxIndexTeam)</f>
        <v>0</v>
      </c>
      <c r="U6" s="706">
        <f t="shared" ref="U6:U17" si="4">V6+W6+X6</f>
        <v>142095747.38800001</v>
      </c>
      <c r="V6" s="706">
        <f>INDEX(finPNLCh1Prod1Slot1Excise,xxIndexTeam)</f>
        <v>142095747.38800001</v>
      </c>
      <c r="W6" s="706">
        <f>INDEX(finPNLCh1Prod1Slot2Excise,xxIndexTeam)</f>
        <v>0</v>
      </c>
      <c r="X6" s="706">
        <f>INDEX(finPNLCh1Prod1Slot3Excise,xxIndexTeam)</f>
        <v>0</v>
      </c>
      <c r="Y6" s="706">
        <f t="shared" ref="Y6:Y17" si="5">Z6+AA6+AB6</f>
        <v>0</v>
      </c>
      <c r="Z6" s="706">
        <f>INDEX(finPNLCh1Prod4Slot1Excise,xxIndexTeam)</f>
        <v>0</v>
      </c>
      <c r="AA6" s="706">
        <f>INDEX(finPNLCh1Prod4Slot2Excise,xxIndexTeam)</f>
        <v>0</v>
      </c>
      <c r="AB6" s="596">
        <f>INDEX(finPNLCh1Prod4Slot3Excise,xxIndexTeam)</f>
        <v>0</v>
      </c>
      <c r="AC6" s="483"/>
      <c r="AE6" s="554"/>
      <c r="AF6" s="720" t="s">
        <v>6568</v>
      </c>
      <c r="AG6" s="720">
        <v>0</v>
      </c>
      <c r="AH6" s="584" t="s">
        <v>6595</v>
      </c>
      <c r="AI6" s="554"/>
      <c r="AJ6" s="720" t="s">
        <v>6568</v>
      </c>
      <c r="AK6" s="720">
        <v>0</v>
      </c>
      <c r="AL6" s="584" t="s">
        <v>6572</v>
      </c>
      <c r="AM6" s="554"/>
      <c r="AN6" s="720" t="s">
        <v>6568</v>
      </c>
      <c r="AO6" s="720">
        <f>INDEX(calcCh1PromoWeeksAvail,,xxIndexTeam)</f>
        <v>0</v>
      </c>
      <c r="AP6" s="584" t="s">
        <v>6593</v>
      </c>
    </row>
    <row r="7" spans="2:46" ht="15.75" thickBot="1">
      <c r="D7" s="554"/>
      <c r="E7" s="585">
        <f t="shared" si="0"/>
        <v>304490.88725999999</v>
      </c>
      <c r="F7" s="720" t="s">
        <v>4734</v>
      </c>
      <c r="G7" s="720"/>
      <c r="H7" s="720"/>
      <c r="I7" s="720"/>
      <c r="J7" s="720"/>
      <c r="K7" s="608" t="s">
        <v>694</v>
      </c>
      <c r="L7" s="706">
        <f t="shared" si="1"/>
        <v>1901149085.4719999</v>
      </c>
      <c r="M7" s="706">
        <f t="shared" si="2"/>
        <v>969650825.22000003</v>
      </c>
      <c r="N7" s="706">
        <f>INDEX(finPNLCh1Prod2Slot1GrossSales,xxIndexTeam)</f>
        <v>452168778.59999996</v>
      </c>
      <c r="O7" s="706">
        <f>INDEX(finPNLCh1Prod2Slot2GrossSales,xxIndexTeam)</f>
        <v>517482046.62000006</v>
      </c>
      <c r="P7" s="706">
        <f>INDEX(finPNLCh1Prod2Slot3GrossSales,xxIndexTeam)</f>
        <v>0</v>
      </c>
      <c r="Q7" s="706">
        <f t="shared" si="3"/>
        <v>627007372.99199986</v>
      </c>
      <c r="R7" s="706">
        <f>INDEX(finPNLCh1Prod3Slot1GrossSales,xxIndexTeam)</f>
        <v>248464460.15999997</v>
      </c>
      <c r="S7" s="706">
        <f>INDEX(finPNLCh1Prod3Slot2GrossSales,xxIndexTeam)</f>
        <v>378542912.8319999</v>
      </c>
      <c r="T7" s="706">
        <f>INDEX(finPNLCh1Prod3Slot3GrossSales,xxIndexTeam)</f>
        <v>0</v>
      </c>
      <c r="U7" s="706">
        <f t="shared" si="4"/>
        <v>304490887.25999999</v>
      </c>
      <c r="V7" s="706">
        <f>INDEX(finPNLCh1Prod1Slot1GrossSales,xxIndexTeam)</f>
        <v>304490887.25999999</v>
      </c>
      <c r="W7" s="706">
        <f>INDEX(finPNLCh1Prod1Slot2GrossSales,xxIndexTeam)</f>
        <v>0</v>
      </c>
      <c r="X7" s="706">
        <f>INDEX(finPNLCh1Prod1Slot3GrossSales,xxIndexTeam)</f>
        <v>0</v>
      </c>
      <c r="Y7" s="706">
        <f t="shared" si="5"/>
        <v>0</v>
      </c>
      <c r="Z7" s="706">
        <f>INDEX(finPNLCh1Prod4Slot1GrossSales,xxIndexTeam)</f>
        <v>0</v>
      </c>
      <c r="AA7" s="706">
        <f>INDEX(finPNLCh1Prod4Slot2GrossSales,xxIndexTeam)</f>
        <v>0</v>
      </c>
      <c r="AB7" s="596">
        <f>INDEX(finPNLCh1Prod4Slot3GrossSales,xxIndexTeam)</f>
        <v>0</v>
      </c>
      <c r="AC7" s="483"/>
      <c r="AE7" s="546"/>
      <c r="AF7" s="544" t="s">
        <v>6567</v>
      </c>
      <c r="AG7" s="544">
        <v>150</v>
      </c>
      <c r="AH7" s="733" t="s">
        <v>6596</v>
      </c>
      <c r="AI7" s="546"/>
      <c r="AJ7" s="544" t="s">
        <v>6567</v>
      </c>
      <c r="AK7" s="544">
        <v>3</v>
      </c>
      <c r="AL7" s="733" t="s">
        <v>6573</v>
      </c>
      <c r="AM7" s="546"/>
      <c r="AN7" s="544" t="s">
        <v>6567</v>
      </c>
      <c r="AO7" s="544">
        <f>INDEX(calcCh1PromoWeeks,,xxIndexTeam)</f>
        <v>18</v>
      </c>
      <c r="AP7" s="733" t="s">
        <v>6594</v>
      </c>
    </row>
    <row r="8" spans="2:46" ht="15">
      <c r="D8" s="554"/>
      <c r="E8" s="585">
        <f t="shared" si="0"/>
        <v>96116.608793803665</v>
      </c>
      <c r="F8" s="720" t="s">
        <v>4735</v>
      </c>
      <c r="G8" s="720"/>
      <c r="H8" s="720"/>
      <c r="I8" s="720"/>
      <c r="J8" s="720"/>
      <c r="K8" s="608" t="s">
        <v>1396</v>
      </c>
      <c r="L8" s="706">
        <f t="shared" si="1"/>
        <v>298950319.2127161</v>
      </c>
      <c r="M8" s="706">
        <f t="shared" si="2"/>
        <v>144221409.06386971</v>
      </c>
      <c r="N8" s="706">
        <f>INDEX(finPNLCh1Prod2Slot1Discounts,xxIndexTeam)</f>
        <v>22189559.69544965</v>
      </c>
      <c r="O8" s="706">
        <f>INDEX(finPNLCh1Prod2Slot2Discounts,xxIndexTeam)</f>
        <v>122031849.36842005</v>
      </c>
      <c r="P8" s="706">
        <f>INDEX(finPNLCh1Prod2Slot3Discounts,xxIndexTeam)</f>
        <v>0</v>
      </c>
      <c r="Q8" s="706">
        <f t="shared" si="3"/>
        <v>58612301.355042703</v>
      </c>
      <c r="R8" s="706">
        <f>INDEX(finPNLCh1Prod3Slot1Discounts,xxIndexTeam)</f>
        <v>12814642.810064295</v>
      </c>
      <c r="S8" s="706">
        <f>INDEX(finPNLCh1Prod3Slot2Discounts,xxIndexTeam)</f>
        <v>45797658.54497841</v>
      </c>
      <c r="T8" s="706">
        <f>INDEX(finPNLCh1Prod3Slot3Discounts,xxIndexTeam)</f>
        <v>0</v>
      </c>
      <c r="U8" s="706">
        <f t="shared" si="4"/>
        <v>96116608.793803662</v>
      </c>
      <c r="V8" s="706">
        <f>INDEX(finPNLCh1Prod1Slot1Discounts,xxIndexTeam)</f>
        <v>96116608.793803662</v>
      </c>
      <c r="W8" s="706">
        <f>INDEX(finPNLCh1Prod1Slot2Discounts,xxIndexTeam)</f>
        <v>0</v>
      </c>
      <c r="X8" s="706">
        <f>INDEX(finPNLCh1Prod1Slot3Discounts,xxIndexTeam)</f>
        <v>0</v>
      </c>
      <c r="Y8" s="706">
        <f t="shared" si="5"/>
        <v>0</v>
      </c>
      <c r="Z8" s="706">
        <f>INDEX(finPNLCh1Prod4Slot1Discounts,xxIndexTeam)</f>
        <v>0</v>
      </c>
      <c r="AA8" s="706">
        <f>INDEX(finPNLCh1Prod4Slot2Discounts,xxIndexTeam)</f>
        <v>0</v>
      </c>
      <c r="AB8" s="596">
        <f>INDEX(finPNLCh1Prod4Slot3Discounts,xxIndexTeam)</f>
        <v>0</v>
      </c>
      <c r="AC8" s="483"/>
    </row>
    <row r="9" spans="2:46" ht="15">
      <c r="D9" s="554"/>
      <c r="E9" s="585">
        <f t="shared" si="0"/>
        <v>208374.27846619632</v>
      </c>
      <c r="F9" s="720" t="s">
        <v>4736</v>
      </c>
      <c r="G9" s="720"/>
      <c r="H9" s="720"/>
      <c r="I9" s="720"/>
      <c r="J9" s="720"/>
      <c r="K9" s="608" t="s">
        <v>1397</v>
      </c>
      <c r="L9" s="706">
        <f t="shared" si="1"/>
        <v>1602198766.2592838</v>
      </c>
      <c r="M9" s="706">
        <f t="shared" si="2"/>
        <v>825429416.15613031</v>
      </c>
      <c r="N9" s="706">
        <f>INDEX(finPNLCh1Prod2Slot1TotalRev,xxIndexTeam)</f>
        <v>429979218.90455031</v>
      </c>
      <c r="O9" s="706">
        <f>INDEX(finPNLCh1Prod2Slot2TotalRev,xxIndexTeam)</f>
        <v>395450197.25158</v>
      </c>
      <c r="P9" s="706">
        <f>INDEX(finPNLCh1Prod2Slot3TotalRev,xxIndexTeam)</f>
        <v>0</v>
      </c>
      <c r="Q9" s="706">
        <f t="shared" si="3"/>
        <v>568395071.63695717</v>
      </c>
      <c r="R9" s="706">
        <f>INDEX(finPNLCh1Prod3Slot1TotalRev,xxIndexTeam)</f>
        <v>235649817.34993568</v>
      </c>
      <c r="S9" s="706">
        <f>INDEX(finPNLCh1Prod3Slot2TotalRev,xxIndexTeam)</f>
        <v>332745254.28702152</v>
      </c>
      <c r="T9" s="706">
        <f>INDEX(finPNLCh1Prod3Slot3TotalRev,xxIndexTeam)</f>
        <v>0</v>
      </c>
      <c r="U9" s="706">
        <f t="shared" si="4"/>
        <v>208374278.46619633</v>
      </c>
      <c r="V9" s="706">
        <f>INDEX(finPNLCh1Prod1Slot1TotalRev,xxIndexTeam)</f>
        <v>208374278.46619633</v>
      </c>
      <c r="W9" s="706">
        <f>INDEX(finPNLCh1Prod1Slot2TotalRev,xxIndexTeam)</f>
        <v>0</v>
      </c>
      <c r="X9" s="706">
        <f>INDEX(finPNLCh1Prod1Slot3TotalRev,xxIndexTeam)</f>
        <v>0</v>
      </c>
      <c r="Y9" s="706">
        <f t="shared" si="5"/>
        <v>0</v>
      </c>
      <c r="Z9" s="706">
        <f>INDEX(finPNLCh1Prod4Slot1TotalRev,xxIndexTeam)</f>
        <v>0</v>
      </c>
      <c r="AA9" s="706">
        <f>INDEX(finPNLCh1Prod4Slot2TotalRev,xxIndexTeam)</f>
        <v>0</v>
      </c>
      <c r="AB9" s="596">
        <f>INDEX(finPNLCh1Prod4Slot3TotalRev,xxIndexTeam)</f>
        <v>0</v>
      </c>
      <c r="AC9" s="483"/>
      <c r="AD9" s="628" t="s">
        <v>6548</v>
      </c>
      <c r="AE9" s="612" t="s">
        <v>6549</v>
      </c>
      <c r="AG9" s="722"/>
      <c r="AH9" s="613"/>
      <c r="AI9" s="613"/>
      <c r="AJ9" s="613"/>
      <c r="AK9" s="613"/>
      <c r="AL9" s="613"/>
      <c r="AM9" s="613"/>
      <c r="AN9" s="613"/>
      <c r="AO9" s="613"/>
    </row>
    <row r="10" spans="2:46" ht="15.75" thickBot="1">
      <c r="D10" s="554"/>
      <c r="E10" s="585">
        <f t="shared" si="0"/>
        <v>88215.151115288769</v>
      </c>
      <c r="F10" s="720" t="s">
        <v>4737</v>
      </c>
      <c r="G10" s="720"/>
      <c r="H10" s="720"/>
      <c r="I10" s="720"/>
      <c r="J10" s="720"/>
      <c r="K10" s="608" t="s">
        <v>1398</v>
      </c>
      <c r="L10" s="706">
        <f t="shared" si="1"/>
        <v>568973295.51358676</v>
      </c>
      <c r="M10" s="706">
        <f t="shared" si="2"/>
        <v>285945024.35622823</v>
      </c>
      <c r="N10" s="706">
        <f>INDEX(finPNLCh1Prod2Slot1MatExp,xxIndexTeam)</f>
        <v>133112338.92445104</v>
      </c>
      <c r="O10" s="706">
        <f>INDEX(finPNLCh1Prod2Slot2MatExp,xxIndexTeam)</f>
        <v>152832685.43177718</v>
      </c>
      <c r="P10" s="706">
        <f>INDEX(finPNLCh1Prod2Slot3MatExp,xxIndexTeam)</f>
        <v>0</v>
      </c>
      <c r="Q10" s="706">
        <f t="shared" si="3"/>
        <v>194813120.04206979</v>
      </c>
      <c r="R10" s="706">
        <f>INDEX(finPNLCh1Prod3Slot1MatExp,xxIndexTeam)</f>
        <v>83662076.091686398</v>
      </c>
      <c r="S10" s="706">
        <f>INDEX(finPNLCh1Prod3Slot2MatExp,xxIndexTeam)</f>
        <v>111151043.95038338</v>
      </c>
      <c r="T10" s="706">
        <f>INDEX(finPNLCh1Prod3Slot3MatExp,xxIndexTeam)</f>
        <v>0</v>
      </c>
      <c r="U10" s="706">
        <f t="shared" si="4"/>
        <v>88215151.115288764</v>
      </c>
      <c r="V10" s="706">
        <f>INDEX(finPNLCh1Prod1Slot1MatExp,xxIndexTeam)</f>
        <v>88215151.115288764</v>
      </c>
      <c r="W10" s="706">
        <f>INDEX(finPNLCh1Prod1Slot2MatExp,xxIndexTeam)</f>
        <v>0</v>
      </c>
      <c r="X10" s="706">
        <f>INDEX(finPNLCh1Prod1Slot3MatExp,xxIndexTeam)</f>
        <v>0</v>
      </c>
      <c r="Y10" s="706">
        <f t="shared" si="5"/>
        <v>0</v>
      </c>
      <c r="Z10" s="706">
        <f>INDEX(finPNLCh1Prod4Slot1MatExp,xxIndexTeam)</f>
        <v>0</v>
      </c>
      <c r="AA10" s="706">
        <f>INDEX(finPNLCh1Prod4Slot2MatExp,xxIndexTeam)</f>
        <v>0</v>
      </c>
      <c r="AB10" s="596">
        <f>INDEX(finPNLCh1Prod4Slot3MatExp,xxIndexTeam)</f>
        <v>0</v>
      </c>
      <c r="AC10" s="483"/>
      <c r="AE10" s="702" t="s">
        <v>1408</v>
      </c>
      <c r="AF10" s="613"/>
      <c r="AI10" s="702" t="s">
        <v>1409</v>
      </c>
      <c r="AM10" s="702" t="s">
        <v>6550</v>
      </c>
      <c r="AQ10" s="702" t="s">
        <v>14</v>
      </c>
      <c r="AR10" s="613"/>
      <c r="AS10" s="613"/>
      <c r="AT10" s="613"/>
    </row>
    <row r="11" spans="2:46" ht="15">
      <c r="D11" s="554"/>
      <c r="E11" s="585">
        <f t="shared" si="0"/>
        <v>12972.816340483641</v>
      </c>
      <c r="F11" s="720" t="s">
        <v>4738</v>
      </c>
      <c r="G11" s="720"/>
      <c r="H11" s="720"/>
      <c r="I11" s="720"/>
      <c r="J11" s="720"/>
      <c r="K11" s="608" t="s">
        <v>575</v>
      </c>
      <c r="L11" s="706">
        <f t="shared" si="1"/>
        <v>83672543.457880408</v>
      </c>
      <c r="M11" s="706">
        <f t="shared" si="2"/>
        <v>42050738.875915915</v>
      </c>
      <c r="N11" s="706">
        <f>INDEX(finPNLCh1Prod2Slot1LabourExp,xxIndexTeam)</f>
        <v>19575343.959478095</v>
      </c>
      <c r="O11" s="706">
        <f>INDEX(finPNLCh1Prod2Slot2LabourExp,xxIndexTeam)</f>
        <v>22475394.91643782</v>
      </c>
      <c r="P11" s="706">
        <f>INDEX(finPNLCh1Prod2Slot3LabourExp,xxIndexTeam)</f>
        <v>0</v>
      </c>
      <c r="Q11" s="706">
        <f t="shared" si="3"/>
        <v>28648988.24148085</v>
      </c>
      <c r="R11" s="706">
        <f>INDEX(finPNLCh1Prod3Slot1LabourExp,xxIndexTeam)</f>
        <v>12303246.484071529</v>
      </c>
      <c r="S11" s="706">
        <f>INDEX(finPNLCh1Prod3Slot2LabourExp,xxIndexTeam)</f>
        <v>16345741.757409319</v>
      </c>
      <c r="T11" s="706">
        <f>INDEX(finPNLCh1Prod3Slot3LabourExp,xxIndexTeam)</f>
        <v>0</v>
      </c>
      <c r="U11" s="706">
        <f t="shared" si="4"/>
        <v>12972816.340483641</v>
      </c>
      <c r="V11" s="706">
        <f>INDEX(finPNLCh1Prod1Slot1LabourExp,xxIndexTeam)</f>
        <v>12972816.340483641</v>
      </c>
      <c r="W11" s="706">
        <f>INDEX(finPNLCh1Prod1Slot2LabourExp,xxIndexTeam)</f>
        <v>0</v>
      </c>
      <c r="X11" s="706">
        <f>INDEX(finPNLCh1Prod1Slot3LabourExp,xxIndexTeam)</f>
        <v>0</v>
      </c>
      <c r="Y11" s="706">
        <f t="shared" si="5"/>
        <v>0</v>
      </c>
      <c r="Z11" s="706">
        <f>INDEX(finPNLCh1Prod4Slot1LabourExp,xxIndexTeam)</f>
        <v>0</v>
      </c>
      <c r="AA11" s="706">
        <f>INDEX(finPNLCh1Prod4Slot2LabourExp,xxIndexTeam)</f>
        <v>0</v>
      </c>
      <c r="AB11" s="596">
        <f>INDEX(finPNLCh1Prod4Slot3LabourExp,xxIndexTeam)</f>
        <v>0</v>
      </c>
      <c r="AC11" s="483"/>
      <c r="AE11" s="728" t="str">
        <f>"Column 1 ("&amp;nmProd2&amp;")"</f>
        <v>Column 1 (Harken)</v>
      </c>
      <c r="AF11" s="600"/>
      <c r="AG11" s="600"/>
      <c r="AH11" s="561"/>
      <c r="AI11" s="728" t="str">
        <f>"Column 3 ("&amp;nmProd1&amp;")"</f>
        <v>Column 3 (Greenborg)</v>
      </c>
      <c r="AJ11" s="600"/>
      <c r="AK11" s="600"/>
      <c r="AL11" s="561"/>
      <c r="AM11" s="728" t="str">
        <f>"Column 4 ("&amp;nmProd4&amp;")"</f>
        <v>Column 4 (Brew Master)</v>
      </c>
      <c r="AN11" s="600"/>
      <c r="AO11" s="600"/>
      <c r="AP11" s="561"/>
      <c r="AQ11" s="728" t="s">
        <v>6551</v>
      </c>
      <c r="AR11" s="600"/>
      <c r="AS11" s="600"/>
      <c r="AT11" s="561"/>
    </row>
    <row r="12" spans="2:46" ht="15">
      <c r="D12" s="554"/>
      <c r="E12" s="585">
        <f t="shared" si="0"/>
        <v>19204.849241262724</v>
      </c>
      <c r="F12" s="720" t="s">
        <v>4739</v>
      </c>
      <c r="G12" s="720"/>
      <c r="H12" s="720"/>
      <c r="I12" s="720"/>
      <c r="J12" s="720"/>
      <c r="K12" s="608" t="s">
        <v>1399</v>
      </c>
      <c r="L12" s="706">
        <f t="shared" si="1"/>
        <v>95473061.465281934</v>
      </c>
      <c r="M12" s="706">
        <f t="shared" si="2"/>
        <v>45661483.088121608</v>
      </c>
      <c r="N12" s="706">
        <f>INDEX(finPNLCh1Prod2Slot1MachExp,xxIndexTeam)</f>
        <v>16035384.714249598</v>
      </c>
      <c r="O12" s="706">
        <f>INDEX(finPNLCh1Prod2Slot2MachExp,xxIndexTeam)</f>
        <v>29626098.373872008</v>
      </c>
      <c r="P12" s="706">
        <f>INDEX(finPNLCh1Prod2Slot3MachExp,xxIndexTeam)</f>
        <v>0</v>
      </c>
      <c r="Q12" s="706">
        <f t="shared" si="3"/>
        <v>30606729.135897607</v>
      </c>
      <c r="R12" s="706">
        <f>INDEX(finPNLCh1Prod3Slot1MachExp,xxIndexTeam)</f>
        <v>9060475.7730816025</v>
      </c>
      <c r="S12" s="706">
        <f>INDEX(finPNLCh1Prod3Slot2MachExp,xxIndexTeam)</f>
        <v>21546253.362816002</v>
      </c>
      <c r="T12" s="706">
        <f>INDEX(finPNLCh1Prod3Slot3MachExp,xxIndexTeam)</f>
        <v>0</v>
      </c>
      <c r="U12" s="706">
        <f t="shared" si="4"/>
        <v>19204849.241262723</v>
      </c>
      <c r="V12" s="706">
        <f>INDEX(finPNLCh1Prod1Slot1MachExp,xxIndexTeam)</f>
        <v>19204849.241262723</v>
      </c>
      <c r="W12" s="706">
        <f>INDEX(finPNLCh1Prod1Slot2MachExp,xxIndexTeam)</f>
        <v>0</v>
      </c>
      <c r="X12" s="706">
        <f>INDEX(finPNLCh1Prod1Slot3MachExp,xxIndexTeam)</f>
        <v>0</v>
      </c>
      <c r="Y12" s="706">
        <f t="shared" si="5"/>
        <v>0</v>
      </c>
      <c r="Z12" s="706">
        <f>INDEX(finPNLCh1Prod4Slot1MachExp,xxIndexTeam)</f>
        <v>0</v>
      </c>
      <c r="AA12" s="706">
        <f>INDEX(finPNLCh1Prod4Slot2MachExp,xxIndexTeam)</f>
        <v>0</v>
      </c>
      <c r="AB12" s="596">
        <f>INDEX(finPNLCh1Prod4Slot3MachExp,xxIndexTeam)</f>
        <v>0</v>
      </c>
      <c r="AC12" s="483"/>
      <c r="AE12" s="554"/>
      <c r="AF12" s="720" t="s">
        <v>3328</v>
      </c>
      <c r="AG12" s="729">
        <f>INDEX(dataCh1Prod2n3MarketVolume,,4+xxRound)</f>
        <v>1522453800</v>
      </c>
      <c r="AH12" s="584" t="s">
        <v>4439</v>
      </c>
      <c r="AI12" s="554"/>
      <c r="AJ12" s="720" t="s">
        <v>3328</v>
      </c>
      <c r="AK12" s="585">
        <f>INDEX(dataCh1Prod1MarketVolume,,4+xxRound)</f>
        <v>289991321.19999999</v>
      </c>
      <c r="AL12" s="584" t="s">
        <v>4433</v>
      </c>
      <c r="AM12" s="554"/>
      <c r="AN12" s="720" t="s">
        <v>3328</v>
      </c>
      <c r="AO12" s="585">
        <f>VLOOKUP(3,dataCh1Prod4MarketVolume,xxRound+2,FALSE)</f>
        <v>69300000</v>
      </c>
      <c r="AP12" s="584" t="s">
        <v>4454</v>
      </c>
      <c r="AQ12" s="554"/>
      <c r="AR12" s="720" t="s">
        <v>3328</v>
      </c>
      <c r="AS12" s="585">
        <f>tlOutputCh1Prod1MktSize+tlOutputCh1Prod2n3MktSize+tlOutputCh1Prod4MktSize</f>
        <v>1881745121.2</v>
      </c>
      <c r="AT12" s="584" t="s">
        <v>4462</v>
      </c>
    </row>
    <row r="13" spans="2:46" ht="15">
      <c r="D13" s="554"/>
      <c r="E13" s="585">
        <f t="shared" si="0"/>
        <v>8547.3210384296435</v>
      </c>
      <c r="F13" s="720" t="s">
        <v>4740</v>
      </c>
      <c r="G13" s="720"/>
      <c r="H13" s="720"/>
      <c r="I13" s="720"/>
      <c r="J13" s="720"/>
      <c r="K13" s="608" t="s">
        <v>398</v>
      </c>
      <c r="L13" s="706">
        <f t="shared" si="1"/>
        <v>42491294.600333765</v>
      </c>
      <c r="M13" s="706">
        <f t="shared" si="2"/>
        <v>20322125.424783599</v>
      </c>
      <c r="N13" s="706">
        <f>INDEX(finPNLCh1Prod2Slot1DeprExp,xxIndexTeam)</f>
        <v>7136717.3678686479</v>
      </c>
      <c r="O13" s="706">
        <f>INDEX(finPNLCh1Prod2Slot2DeprExp,xxIndexTeam)</f>
        <v>13185408.05691495</v>
      </c>
      <c r="P13" s="706">
        <f>INDEX(finPNLCh1Prod2Slot3DeprExp,xxIndexTeam)</f>
        <v>0</v>
      </c>
      <c r="Q13" s="706">
        <f t="shared" si="3"/>
        <v>13621848.137120523</v>
      </c>
      <c r="R13" s="706">
        <f>INDEX(finPNLCh1Prod3Slot1DeprExp,xxIndexTeam)</f>
        <v>4032460.4593641991</v>
      </c>
      <c r="S13" s="706">
        <f>INDEX(finPNLCh1Prod3Slot2DeprExp,xxIndexTeam)</f>
        <v>9589387.6777563244</v>
      </c>
      <c r="T13" s="706">
        <f>INDEX(finPNLCh1Prod3Slot3DeprExp,xxIndexTeam)</f>
        <v>0</v>
      </c>
      <c r="U13" s="706">
        <f t="shared" si="4"/>
        <v>8547321.038429644</v>
      </c>
      <c r="V13" s="706">
        <f>INDEX(finPNLCh1Prod1Slot1DeprExp,xxIndexTeam)</f>
        <v>8547321.038429644</v>
      </c>
      <c r="W13" s="706">
        <f>INDEX(finPNLCh1Prod1Slot2DeprExp,xxIndexTeam)</f>
        <v>0</v>
      </c>
      <c r="X13" s="706">
        <f>INDEX(finPNLCh1Prod1Slot3DeprExp,xxIndexTeam)</f>
        <v>0</v>
      </c>
      <c r="Y13" s="706">
        <f t="shared" si="5"/>
        <v>0</v>
      </c>
      <c r="Z13" s="706">
        <f>INDEX(finPNLCh1Prod4Slot1DeprExp,xxIndexTeam)</f>
        <v>0</v>
      </c>
      <c r="AA13" s="706">
        <f>INDEX(finPNLCh1Prod4Slot2DeprExp,xxIndexTeam)</f>
        <v>0</v>
      </c>
      <c r="AB13" s="596">
        <f>INDEX(finPNLCh1Prod4Slot3DeprExp,xxIndexTeam)</f>
        <v>0</v>
      </c>
      <c r="AC13" s="483"/>
      <c r="AE13" s="554"/>
      <c r="AF13" s="720" t="s">
        <v>1392</v>
      </c>
      <c r="AG13" s="585">
        <f>INDEX(calcCh1Prod2VolForecastProd,,xxIndexTeam)</f>
        <v>182694456</v>
      </c>
      <c r="AH13" s="584" t="s">
        <v>4440</v>
      </c>
      <c r="AI13" s="554"/>
      <c r="AJ13" s="720" t="s">
        <v>1392</v>
      </c>
      <c r="AK13" s="585">
        <f>INDEX(calcCh1Prod1VolForecastProd,,xxIndexTeam)</f>
        <v>57998264.240000002</v>
      </c>
      <c r="AL13" s="584" t="s">
        <v>4434</v>
      </c>
      <c r="AM13" s="554"/>
      <c r="AN13" s="720" t="s">
        <v>1392</v>
      </c>
      <c r="AO13" s="604">
        <f>INDEX(calcCh1Prod4VolForecastProd,,xxIndexTeam)/tlOutputCh1Prod4MktSize</f>
        <v>0</v>
      </c>
      <c r="AP13" s="584" t="s">
        <v>4455</v>
      </c>
      <c r="AQ13" s="554"/>
      <c r="AR13" s="720" t="s">
        <v>1392</v>
      </c>
      <c r="AS13" s="585">
        <f>tlOutputCh1Prod1VolForcast+tlOutputCh1Prod2VolForcast+tlOutputCh1Prod3VolForcast+tlOutputCh1Prod4VolForcast</f>
        <v>362489024.24000001</v>
      </c>
      <c r="AT13" s="584" t="s">
        <v>4463</v>
      </c>
    </row>
    <row r="14" spans="2:46" ht="15">
      <c r="D14" s="554"/>
      <c r="E14" s="585">
        <f t="shared" si="0"/>
        <v>128940.13773546477</v>
      </c>
      <c r="F14" s="720" t="s">
        <v>4741</v>
      </c>
      <c r="G14" s="720"/>
      <c r="H14" s="720"/>
      <c r="I14" s="720"/>
      <c r="J14" s="720"/>
      <c r="K14" s="608" t="s">
        <v>157</v>
      </c>
      <c r="L14" s="706">
        <f t="shared" si="1"/>
        <v>790610195.03708291</v>
      </c>
      <c r="M14" s="706">
        <f t="shared" si="2"/>
        <v>393979371.74504936</v>
      </c>
      <c r="N14" s="706">
        <f>INDEX(finPNLCh1Prod2Slot1TotalCOGs,xxIndexTeam)</f>
        <v>175859784.96604741</v>
      </c>
      <c r="O14" s="706">
        <f>INDEX(finPNLCh1Prod2Slot2TotalCOGs,xxIndexTeam)</f>
        <v>218119586.77900195</v>
      </c>
      <c r="P14" s="706">
        <f>INDEX(finPNLCh1Prod2Slot3TotalCOGs,xxIndexTeam)</f>
        <v>0</v>
      </c>
      <c r="Q14" s="706">
        <f t="shared" si="3"/>
        <v>267690685.55656877</v>
      </c>
      <c r="R14" s="706">
        <f>INDEX(finPNLCh1Prod3Slot1TotalCOGs,xxIndexTeam)</f>
        <v>109058258.80820373</v>
      </c>
      <c r="S14" s="706">
        <f>INDEX(finPNLCh1Prod3Slot2TotalCOGs,xxIndexTeam)</f>
        <v>158632426.74836504</v>
      </c>
      <c r="T14" s="706">
        <f>INDEX(finPNLCh1Prod3Slot3TotalCOGs,xxIndexTeam)</f>
        <v>0</v>
      </c>
      <c r="U14" s="706">
        <f t="shared" si="4"/>
        <v>128940137.73546477</v>
      </c>
      <c r="V14" s="706">
        <f>INDEX(finPNLCh1Prod1Slot1TotalCOGs,xxIndexTeam)</f>
        <v>128940137.73546477</v>
      </c>
      <c r="W14" s="706">
        <f>INDEX(finPNLCh1Prod1Slot2TotalCOGs,xxIndexTeam)</f>
        <v>0</v>
      </c>
      <c r="X14" s="706">
        <f>INDEX(finPNLCh1Prod1Slot3TotalCOGs,xxIndexTeam)</f>
        <v>0</v>
      </c>
      <c r="Y14" s="706">
        <f t="shared" si="5"/>
        <v>0</v>
      </c>
      <c r="Z14" s="706">
        <f>INDEX(finPNLCh1Prod4Slot1TotalCOGs,xxIndexTeam)</f>
        <v>0</v>
      </c>
      <c r="AA14" s="706">
        <f>INDEX(finPNLCh1Prod4Slot2TotalCOGs,xxIndexTeam)</f>
        <v>0</v>
      </c>
      <c r="AB14" s="596">
        <f>INDEX(finPNLCh1Prod4Slot3TotalCOGs,xxIndexTeam)</f>
        <v>0</v>
      </c>
      <c r="AC14" s="483"/>
      <c r="AE14" s="554"/>
      <c r="AF14" s="720" t="s">
        <v>1397</v>
      </c>
      <c r="AG14" s="585">
        <f>INDEX(finPNLCh1Prod2Slot1TotalRev,,xxIndexTeam)+INDEX(finPNLCh1Prod2Slot2TotalRev,,xxIndexTeam)+INDEX(finPNLCh1Prod2Slot3TotalRev,,xxIndexTeam)</f>
        <v>825429416.15613031</v>
      </c>
      <c r="AH14" s="584" t="s">
        <v>4441</v>
      </c>
      <c r="AI14" s="554"/>
      <c r="AJ14" s="720" t="s">
        <v>1397</v>
      </c>
      <c r="AK14" s="585">
        <f>INDEX(finPNLCh1Prod1Slot1TotalRev,,xxIndexTeam)+INDEX(finPNLCh1Prod1Slot2TotalRev,,xxIndexTeam)+INDEX(finPNLCh1Prod1Slot3TotalRev,,xxIndexTeam)</f>
        <v>208374278.46619633</v>
      </c>
      <c r="AL14" s="584" t="s">
        <v>4435</v>
      </c>
      <c r="AM14" s="554"/>
      <c r="AN14" s="720" t="s">
        <v>1397</v>
      </c>
      <c r="AO14" s="585">
        <f>INDEX(finPNLCh1Prod4Slot1TotalRev,,xxIndexTeam)+INDEX(finPNLCh1Prod4Slot2TotalRev,,xxIndexTeam)+INDEX(finPNLCh1Prod4Slot3TotalRev,,xxIndexTeam)</f>
        <v>0</v>
      </c>
      <c r="AP14" s="584" t="s">
        <v>4456</v>
      </c>
      <c r="AQ14" s="554"/>
      <c r="AR14" s="720" t="s">
        <v>1397</v>
      </c>
      <c r="AS14" s="585">
        <f>tlOutputCh1Prod1NetSales+tlOutputCh1Prod2NetSales+tlOutputCh1Prod3NetSales+tlOutputCh1Prod4NetSales</f>
        <v>1602198766.2592838</v>
      </c>
      <c r="AT14" s="584" t="s">
        <v>4464</v>
      </c>
    </row>
    <row r="15" spans="2:46" ht="15">
      <c r="D15" s="554"/>
      <c r="E15" s="585">
        <f t="shared" si="0"/>
        <v>79434.140730731568</v>
      </c>
      <c r="F15" s="720" t="s">
        <v>4742</v>
      </c>
      <c r="G15" s="720"/>
      <c r="H15" s="720"/>
      <c r="I15" s="720"/>
      <c r="J15" s="720"/>
      <c r="K15" s="608" t="s">
        <v>160</v>
      </c>
      <c r="L15" s="706">
        <f t="shared" si="1"/>
        <v>811588571.22220087</v>
      </c>
      <c r="M15" s="706">
        <f t="shared" si="2"/>
        <v>431450044.41108096</v>
      </c>
      <c r="N15" s="706">
        <f>INDEX(finPNLCh1Prod2Slot1GP,xxIndexTeam)</f>
        <v>254119433.93850291</v>
      </c>
      <c r="O15" s="706">
        <f>INDEX(finPNLCh1Prod2Slot2GP,xxIndexTeam)</f>
        <v>177330610.47257805</v>
      </c>
      <c r="P15" s="706">
        <f>INDEX(finPNLCh1Prod2Slot3GP,xxIndexTeam)</f>
        <v>0</v>
      </c>
      <c r="Q15" s="706">
        <f t="shared" si="3"/>
        <v>300704386.08038843</v>
      </c>
      <c r="R15" s="706">
        <f>INDEX(finPNLCh1Prod3Slot1GP,xxIndexTeam)</f>
        <v>126591558.54173195</v>
      </c>
      <c r="S15" s="706">
        <f>INDEX(finPNLCh1Prod3Slot2GP,xxIndexTeam)</f>
        <v>174112827.53865647</v>
      </c>
      <c r="T15" s="706">
        <f>INDEX(finPNLCh1Prod3Slot3GP,xxIndexTeam)</f>
        <v>0</v>
      </c>
      <c r="U15" s="706">
        <f t="shared" si="4"/>
        <v>79434140.730731562</v>
      </c>
      <c r="V15" s="706">
        <f>INDEX(finPNLCh1Prod1Slot1GP,xxIndexTeam)</f>
        <v>79434140.730731562</v>
      </c>
      <c r="W15" s="706">
        <f>INDEX(finPNLCh1Prod1Slot2GP,xxIndexTeam)</f>
        <v>0</v>
      </c>
      <c r="X15" s="706">
        <f>INDEX(finPNLCh1Prod1Slot3GP,xxIndexTeam)</f>
        <v>0</v>
      </c>
      <c r="Y15" s="706">
        <f t="shared" si="5"/>
        <v>0</v>
      </c>
      <c r="Z15" s="706">
        <f>INDEX(finPNLCh1Prod4Slot1GP,xxIndexTeam)</f>
        <v>0</v>
      </c>
      <c r="AA15" s="706">
        <f>INDEX(finPNLCh1Prod4Slot2GP,xxIndexTeam)</f>
        <v>0</v>
      </c>
      <c r="AB15" s="596">
        <f>INDEX(finPNLCh1Prod4Slot3GP,xxIndexTeam)</f>
        <v>0</v>
      </c>
      <c r="AC15" s="483"/>
      <c r="AE15" s="554"/>
      <c r="AF15" s="720" t="s">
        <v>521</v>
      </c>
      <c r="AG15" s="585">
        <f>INDEX(finPNLCh1Prod2Slot1GPaL,,xxIndexTeam)+INDEX(finPNLCh1Prod2Slot2GPaL,,xxIndexTeam)+INDEX(finPNLCh1Prod2Slot3GPaL,,xxIndexTeam)</f>
        <v>382863319.23267251</v>
      </c>
      <c r="AH15" s="584" t="s">
        <v>4442</v>
      </c>
      <c r="AI15" s="554"/>
      <c r="AJ15" s="720" t="s">
        <v>521</v>
      </c>
      <c r="AK15" s="585">
        <f>INDEX(finPNLCh1Prod1Slot1GPaL,,xxIndexTeam)+INDEX(finPNLCh1Prod1Slot2GPaL,,xxIndexTeam)+INDEX(finPNLCh1Prod1Slot3GPaL,,xxIndexTeam)</f>
        <v>64444947.218937032</v>
      </c>
      <c r="AL15" s="584" t="s">
        <v>4436</v>
      </c>
      <c r="AM15" s="554"/>
      <c r="AN15" s="720" t="s">
        <v>521</v>
      </c>
      <c r="AO15" s="585">
        <f>INDEX(finPNLCh1Prod4Slot1GPaL,,xxIndexTeam)+INDEX(finPNLCh1Prod4Slot2GPaL,,xxIndexTeam)+INDEX(finPNLCh1Prod4Slot3GPaL,,xxIndexTeam)</f>
        <v>0</v>
      </c>
      <c r="AP15" s="584" t="s">
        <v>4457</v>
      </c>
      <c r="AQ15" s="554"/>
      <c r="AR15" s="720" t="s">
        <v>521</v>
      </c>
      <c r="AS15" s="585">
        <f>tlOutputCh1Prod1GPaL+tlOutputCh1Prod2GPaL+tlOutputCh1Prod3GPaL+tlOutputCh1Prod4GPaL</f>
        <v>714910724.82424212</v>
      </c>
      <c r="AT15" s="584" t="s">
        <v>4465</v>
      </c>
    </row>
    <row r="16" spans="2:46" ht="15">
      <c r="D16" s="554"/>
      <c r="E16" s="585">
        <f t="shared" si="0"/>
        <v>14989.193511794529</v>
      </c>
      <c r="F16" s="720" t="s">
        <v>4743</v>
      </c>
      <c r="G16" s="720"/>
      <c r="H16" s="720"/>
      <c r="I16" s="720"/>
      <c r="J16" s="720"/>
      <c r="K16" s="608" t="s">
        <v>519</v>
      </c>
      <c r="L16" s="706">
        <f t="shared" si="1"/>
        <v>96677846.397958755</v>
      </c>
      <c r="M16" s="706">
        <f t="shared" si="2"/>
        <v>48586725.178408429</v>
      </c>
      <c r="N16" s="706">
        <f>INDEX(finPNLCh1Prod2Slot1LogExp,xxIndexTeam)</f>
        <v>22617958.272707369</v>
      </c>
      <c r="O16" s="706">
        <f>INDEX(finPNLCh1Prod2Slot2LogExp,xxIndexTeam)</f>
        <v>25968766.90570106</v>
      </c>
      <c r="P16" s="706">
        <f>INDEX(finPNLCh1Prod2Slot3LogExp,xxIndexTeam)</f>
        <v>0</v>
      </c>
      <c r="Q16" s="706">
        <f t="shared" si="3"/>
        <v>33101927.707755789</v>
      </c>
      <c r="R16" s="706">
        <f>INDEX(finPNLCh1Prod3Slot1LogExp,xxIndexTeam)</f>
        <v>14215551.776336843</v>
      </c>
      <c r="S16" s="706">
        <f>INDEX(finPNLCh1Prod3Slot2LogExp,xxIndexTeam)</f>
        <v>18886375.931418948</v>
      </c>
      <c r="T16" s="706">
        <f>INDEX(finPNLCh1Prod3Slot3LogExp,xxIndexTeam)</f>
        <v>0</v>
      </c>
      <c r="U16" s="706">
        <f t="shared" si="4"/>
        <v>14989193.511794528</v>
      </c>
      <c r="V16" s="706">
        <f>INDEX(finPNLCh1Prod1Slot1LogExp,xxIndexTeam)</f>
        <v>14989193.511794528</v>
      </c>
      <c r="W16" s="706">
        <f>INDEX(finPNLCh1Prod1Slot2LogExp,xxIndexTeam)</f>
        <v>0</v>
      </c>
      <c r="X16" s="706">
        <f>INDEX(finPNLCh1Prod1Slot3LogExp,xxIndexTeam)</f>
        <v>0</v>
      </c>
      <c r="Y16" s="706">
        <f t="shared" si="5"/>
        <v>0</v>
      </c>
      <c r="Z16" s="706">
        <f>INDEX(finPNLCh1Prod4Slot1LogExp,xxIndexTeam)</f>
        <v>0</v>
      </c>
      <c r="AA16" s="706">
        <f>INDEX(finPNLCh1Prod4Slot2LogExp,xxIndexTeam)</f>
        <v>0</v>
      </c>
      <c r="AB16" s="596">
        <f>INDEX(finPNLCh1Prod4Slot3LogExp,xxIndexTeam)</f>
        <v>0</v>
      </c>
      <c r="AC16" s="483"/>
      <c r="AE16" s="554"/>
      <c r="AF16" s="720" t="s">
        <v>517</v>
      </c>
      <c r="AG16" s="730">
        <f>INDEX(calcCh1Prod2CustProfitTot,,xxIndexTeam)</f>
        <v>316940169.21335983</v>
      </c>
      <c r="AH16" s="584" t="s">
        <v>4443</v>
      </c>
      <c r="AI16" s="554"/>
      <c r="AJ16" s="720" t="s">
        <v>517</v>
      </c>
      <c r="AK16" s="730">
        <f>INDEX(calcCh1Prod1CustProfitTot,,xxIndexTeam)</f>
        <v>73954746.697708786</v>
      </c>
      <c r="AL16" s="584" t="s">
        <v>4437</v>
      </c>
      <c r="AM16" s="554"/>
      <c r="AN16" s="720" t="s">
        <v>517</v>
      </c>
      <c r="AO16" s="730">
        <f>INDEX(calcCh1Prod4CustProfitTot,,xxIndexTeam)</f>
        <v>0</v>
      </c>
      <c r="AP16" s="584" t="s">
        <v>4458</v>
      </c>
      <c r="AQ16" s="554"/>
      <c r="AR16" s="720" t="s">
        <v>517</v>
      </c>
      <c r="AS16" s="585">
        <f>tlOutputCh1Prod1CustProfit+tlOutputCh1Prod2CustProfit+tlOutputCh1Prod3CustProfit+tlOutputCh1Prod4CustProfit</f>
        <v>638412288.01116467</v>
      </c>
      <c r="AT16" s="584" t="s">
        <v>4466</v>
      </c>
    </row>
    <row r="17" spans="4:46" ht="15">
      <c r="D17" s="554"/>
      <c r="E17" s="585">
        <f t="shared" si="0"/>
        <v>64444.947218937035</v>
      </c>
      <c r="F17" s="720" t="s">
        <v>4744</v>
      </c>
      <c r="G17" s="720"/>
      <c r="H17" s="720"/>
      <c r="I17" s="720"/>
      <c r="J17" s="720"/>
      <c r="K17" s="608" t="s">
        <v>521</v>
      </c>
      <c r="L17" s="706">
        <f t="shared" si="1"/>
        <v>714910724.82424212</v>
      </c>
      <c r="M17" s="706">
        <f t="shared" si="2"/>
        <v>382863319.23267251</v>
      </c>
      <c r="N17" s="706">
        <f>INDEX(finPNLCh1Prod2Slot1GPaL,xxIndexTeam)</f>
        <v>231501475.66579553</v>
      </c>
      <c r="O17" s="706">
        <f>INDEX(finPNLCh1Prod2Slot2GPaL,xxIndexTeam)</f>
        <v>151361843.56687698</v>
      </c>
      <c r="P17" s="706">
        <f>INDEX(finPNLCh1Prod2Slot3GPaL,xxIndexTeam)</f>
        <v>0</v>
      </c>
      <c r="Q17" s="706">
        <f t="shared" si="3"/>
        <v>267602458.37263262</v>
      </c>
      <c r="R17" s="706">
        <f>INDEX(finPNLCh1Prod3Slot1GPaL,xxIndexTeam)</f>
        <v>112376006.7653951</v>
      </c>
      <c r="S17" s="706">
        <f>INDEX(finPNLCh1Prod3Slot2GPaL,xxIndexTeam)</f>
        <v>155226451.60723752</v>
      </c>
      <c r="T17" s="706">
        <f>INDEX(finPNLCh1Prod3Slot3GPaL,xxIndexTeam)</f>
        <v>0</v>
      </c>
      <c r="U17" s="706">
        <f t="shared" si="4"/>
        <v>64444947.218937032</v>
      </c>
      <c r="V17" s="706">
        <f>INDEX(finPNLCh1Prod1Slot1GPaL,xxIndexTeam)</f>
        <v>64444947.218937032</v>
      </c>
      <c r="W17" s="706">
        <f>INDEX(finPNLCh1Prod1Slot2GPaL,xxIndexTeam)</f>
        <v>0</v>
      </c>
      <c r="X17" s="706">
        <f>INDEX(finPNLCh1Prod1Slot3GPaL,xxIndexTeam)</f>
        <v>0</v>
      </c>
      <c r="Y17" s="706">
        <f t="shared" si="5"/>
        <v>0</v>
      </c>
      <c r="Z17" s="706">
        <f>INDEX(finPNLCh1Prod4Slot1GPaL,xxIndexTeam)</f>
        <v>0</v>
      </c>
      <c r="AA17" s="706">
        <f>INDEX(finPNLCh1Prod4Slot2GPaL,xxIndexTeam)</f>
        <v>0</v>
      </c>
      <c r="AB17" s="596">
        <f>INDEX(finPNLCh1Prod4Slot3GPaL,xxIndexTeam)</f>
        <v>0</v>
      </c>
      <c r="AC17" s="483"/>
      <c r="AE17" s="731" t="str">
        <f>"Column 2 ("&amp;nmProd3&amp;")"</f>
        <v>Column 2 (Kara)</v>
      </c>
      <c r="AF17" s="720"/>
      <c r="AG17" s="720"/>
      <c r="AH17" s="584"/>
      <c r="AI17" s="554"/>
      <c r="AJ17" s="720"/>
      <c r="AK17" s="720"/>
      <c r="AL17" s="584"/>
      <c r="AM17" s="554"/>
      <c r="AN17" s="720"/>
      <c r="AO17" s="720"/>
      <c r="AP17" s="584"/>
      <c r="AQ17" s="554"/>
      <c r="AR17" s="720"/>
      <c r="AS17" s="720"/>
      <c r="AT17" s="584"/>
    </row>
    <row r="18" spans="4:46" ht="15">
      <c r="D18" s="554"/>
      <c r="E18" s="604" t="str">
        <f t="shared" ref="E18:E36" si="6">INDEX(L18:AB18,,calcCh1VtCode)</f>
        <v/>
      </c>
      <c r="F18" s="720" t="s">
        <v>4745</v>
      </c>
      <c r="G18" s="720"/>
      <c r="H18" s="720"/>
      <c r="I18" s="720"/>
      <c r="J18" s="551" t="s">
        <v>3762</v>
      </c>
      <c r="K18" s="608" t="s">
        <v>1394</v>
      </c>
      <c r="L18" s="703" t="str">
        <f>""</f>
        <v/>
      </c>
      <c r="M18" s="703" t="str">
        <f>""</f>
        <v/>
      </c>
      <c r="N18" s="703" t="str">
        <f>""</f>
        <v/>
      </c>
      <c r="O18" s="703" t="str">
        <f>""</f>
        <v/>
      </c>
      <c r="P18" s="703" t="str">
        <f>""</f>
        <v/>
      </c>
      <c r="Q18" s="703" t="str">
        <f>""</f>
        <v/>
      </c>
      <c r="R18" s="703" t="str">
        <f>""</f>
        <v/>
      </c>
      <c r="S18" s="703" t="str">
        <f>""</f>
        <v/>
      </c>
      <c r="T18" s="703" t="str">
        <f>""</f>
        <v/>
      </c>
      <c r="U18" s="703" t="str">
        <f>""</f>
        <v/>
      </c>
      <c r="V18" s="703" t="str">
        <f>""</f>
        <v/>
      </c>
      <c r="W18" s="703" t="str">
        <f>""</f>
        <v/>
      </c>
      <c r="X18" s="703" t="str">
        <f>""</f>
        <v/>
      </c>
      <c r="Y18" s="703" t="str">
        <f>""</f>
        <v/>
      </c>
      <c r="Z18" s="703" t="str">
        <f>""</f>
        <v/>
      </c>
      <c r="AA18" s="703" t="str">
        <f>""</f>
        <v/>
      </c>
      <c r="AB18" s="550" t="str">
        <f>""</f>
        <v/>
      </c>
      <c r="AC18" s="483"/>
      <c r="AE18" s="554"/>
      <c r="AF18" s="720" t="s">
        <v>1392</v>
      </c>
      <c r="AG18" s="585">
        <f>INDEX(calcCh1Prod3VolForecastProd,,xxIndexTeam)</f>
        <v>121796304</v>
      </c>
      <c r="AH18" s="584" t="s">
        <v>4449</v>
      </c>
      <c r="AI18" s="554"/>
      <c r="AJ18" s="720"/>
      <c r="AK18" s="720"/>
      <c r="AL18" s="584"/>
      <c r="AM18" s="554"/>
      <c r="AN18" s="720"/>
      <c r="AO18" s="720"/>
      <c r="AP18" s="584"/>
      <c r="AQ18" s="554"/>
      <c r="AR18" s="720"/>
      <c r="AS18" s="720"/>
      <c r="AT18" s="584"/>
    </row>
    <row r="19" spans="4:46" ht="15">
      <c r="D19" s="554"/>
      <c r="E19" s="604" t="str">
        <f t="shared" si="6"/>
        <v/>
      </c>
      <c r="F19" s="720" t="s">
        <v>4746</v>
      </c>
      <c r="G19" s="720"/>
      <c r="H19" s="720"/>
      <c r="I19" s="720"/>
      <c r="J19" s="551" t="s">
        <v>3763</v>
      </c>
      <c r="K19" s="608" t="s">
        <v>1395</v>
      </c>
      <c r="L19" s="703" t="str">
        <f>""</f>
        <v/>
      </c>
      <c r="M19" s="703" t="str">
        <f>""</f>
        <v/>
      </c>
      <c r="N19" s="703" t="str">
        <f>""</f>
        <v/>
      </c>
      <c r="O19" s="703" t="str">
        <f>""</f>
        <v/>
      </c>
      <c r="P19" s="703" t="str">
        <f>""</f>
        <v/>
      </c>
      <c r="Q19" s="703" t="str">
        <f>""</f>
        <v/>
      </c>
      <c r="R19" s="703" t="str">
        <f>""</f>
        <v/>
      </c>
      <c r="S19" s="703" t="str">
        <f>""</f>
        <v/>
      </c>
      <c r="T19" s="703" t="str">
        <f>""</f>
        <v/>
      </c>
      <c r="U19" s="703" t="str">
        <f>""</f>
        <v/>
      </c>
      <c r="V19" s="703" t="str">
        <f>""</f>
        <v/>
      </c>
      <c r="W19" s="703" t="str">
        <f>""</f>
        <v/>
      </c>
      <c r="X19" s="703" t="str">
        <f>""</f>
        <v/>
      </c>
      <c r="Y19" s="703" t="str">
        <f>""</f>
        <v/>
      </c>
      <c r="Z19" s="703" t="str">
        <f>""</f>
        <v/>
      </c>
      <c r="AA19" s="703" t="str">
        <f>""</f>
        <v/>
      </c>
      <c r="AB19" s="550" t="str">
        <f>""</f>
        <v/>
      </c>
      <c r="AC19" s="483"/>
      <c r="AE19" s="554"/>
      <c r="AF19" s="720" t="s">
        <v>1397</v>
      </c>
      <c r="AG19" s="585">
        <f>INDEX(finPNLCh1Prod3Slot1TotalRev,,xxIndexTeam)+INDEX(finPNLCh1Prod3Slot2TotalRev,,xxIndexTeam)+INDEX(finPNLCh1Prod3Slot3TotalRev,,xxIndexTeam)</f>
        <v>568395071.63695717</v>
      </c>
      <c r="AH19" s="584" t="s">
        <v>4450</v>
      </c>
      <c r="AI19" s="554"/>
      <c r="AJ19" s="720"/>
      <c r="AK19" s="720"/>
      <c r="AL19" s="584"/>
      <c r="AM19" s="554"/>
      <c r="AN19" s="720"/>
      <c r="AO19" s="720"/>
      <c r="AP19" s="584"/>
      <c r="AQ19" s="554"/>
      <c r="AR19" s="720"/>
      <c r="AS19" s="720"/>
      <c r="AT19" s="584"/>
    </row>
    <row r="20" spans="4:46" ht="15">
      <c r="D20" s="554"/>
      <c r="E20" s="604" t="str">
        <f t="shared" si="6"/>
        <v/>
      </c>
      <c r="F20" s="720" t="s">
        <v>4747</v>
      </c>
      <c r="G20" s="720"/>
      <c r="H20" s="720"/>
      <c r="I20" s="720"/>
      <c r="J20" s="720"/>
      <c r="K20" s="608" t="s">
        <v>694</v>
      </c>
      <c r="L20" s="703" t="str">
        <f>""</f>
        <v/>
      </c>
      <c r="M20" s="703" t="str">
        <f>""</f>
        <v/>
      </c>
      <c r="N20" s="703" t="str">
        <f>""</f>
        <v/>
      </c>
      <c r="O20" s="703" t="str">
        <f>""</f>
        <v/>
      </c>
      <c r="P20" s="703" t="str">
        <f>""</f>
        <v/>
      </c>
      <c r="Q20" s="703" t="str">
        <f>""</f>
        <v/>
      </c>
      <c r="R20" s="703" t="str">
        <f>""</f>
        <v/>
      </c>
      <c r="S20" s="703" t="str">
        <f>""</f>
        <v/>
      </c>
      <c r="T20" s="703" t="str">
        <f>""</f>
        <v/>
      </c>
      <c r="U20" s="703" t="str">
        <f>""</f>
        <v/>
      </c>
      <c r="V20" s="703" t="str">
        <f>""</f>
        <v/>
      </c>
      <c r="W20" s="703" t="str">
        <f>""</f>
        <v/>
      </c>
      <c r="X20" s="703" t="str">
        <f>""</f>
        <v/>
      </c>
      <c r="Y20" s="703" t="str">
        <f>""</f>
        <v/>
      </c>
      <c r="Z20" s="703" t="str">
        <f>""</f>
        <v/>
      </c>
      <c r="AA20" s="703" t="str">
        <f>""</f>
        <v/>
      </c>
      <c r="AB20" s="550" t="str">
        <f>""</f>
        <v/>
      </c>
      <c r="AC20" s="483"/>
      <c r="AE20" s="554"/>
      <c r="AF20" s="720" t="s">
        <v>521</v>
      </c>
      <c r="AG20" s="585">
        <f>INDEX(finPNLCh1Prod3Slot1GPaL,,xxIndexTeam)+INDEX(finPNLCh1Prod3Slot2GPaL,,xxIndexTeam)+INDEX(finPNLCh1Prod3Slot3GPaL,,xxIndexTeam)</f>
        <v>267602458.37263262</v>
      </c>
      <c r="AH20" s="584" t="s">
        <v>4451</v>
      </c>
      <c r="AI20" s="554"/>
      <c r="AJ20" s="720"/>
      <c r="AK20" s="720"/>
      <c r="AL20" s="584"/>
      <c r="AM20" s="554"/>
      <c r="AN20" s="720"/>
      <c r="AO20" s="720"/>
      <c r="AP20" s="584"/>
      <c r="AQ20" s="554"/>
      <c r="AR20" s="720"/>
      <c r="AS20" s="720"/>
      <c r="AT20" s="584"/>
    </row>
    <row r="21" spans="4:46" ht="15.75" thickBot="1">
      <c r="D21" s="554"/>
      <c r="E21" s="604" t="str">
        <f t="shared" si="6"/>
        <v/>
      </c>
      <c r="F21" s="720" t="s">
        <v>4748</v>
      </c>
      <c r="G21" s="720"/>
      <c r="H21" s="720"/>
      <c r="I21" s="720"/>
      <c r="J21" s="720"/>
      <c r="K21" s="608" t="s">
        <v>1396</v>
      </c>
      <c r="L21" s="703" t="str">
        <f>""</f>
        <v/>
      </c>
      <c r="M21" s="703" t="str">
        <f>""</f>
        <v/>
      </c>
      <c r="N21" s="703" t="str">
        <f>""</f>
        <v/>
      </c>
      <c r="O21" s="703" t="str">
        <f>""</f>
        <v/>
      </c>
      <c r="P21" s="703" t="str">
        <f>""</f>
        <v/>
      </c>
      <c r="Q21" s="703" t="str">
        <f>""</f>
        <v/>
      </c>
      <c r="R21" s="703" t="str">
        <f>""</f>
        <v/>
      </c>
      <c r="S21" s="703" t="str">
        <f>""</f>
        <v/>
      </c>
      <c r="T21" s="703" t="str">
        <f>""</f>
        <v/>
      </c>
      <c r="U21" s="703" t="str">
        <f>""</f>
        <v/>
      </c>
      <c r="V21" s="703" t="str">
        <f>""</f>
        <v/>
      </c>
      <c r="W21" s="703" t="str">
        <f>""</f>
        <v/>
      </c>
      <c r="X21" s="703" t="str">
        <f>""</f>
        <v/>
      </c>
      <c r="Y21" s="703" t="str">
        <f>""</f>
        <v/>
      </c>
      <c r="Z21" s="703" t="str">
        <f>""</f>
        <v/>
      </c>
      <c r="AA21" s="703" t="str">
        <f>""</f>
        <v/>
      </c>
      <c r="AB21" s="550" t="str">
        <f>""</f>
        <v/>
      </c>
      <c r="AC21" s="483"/>
      <c r="AE21" s="546"/>
      <c r="AF21" s="544" t="s">
        <v>517</v>
      </c>
      <c r="AG21" s="732">
        <f>INDEX(calcCh1Prod3CustProfitTot,,xxIndexTeam)</f>
        <v>247517372.10009599</v>
      </c>
      <c r="AH21" s="733" t="s">
        <v>4452</v>
      </c>
      <c r="AI21" s="546"/>
      <c r="AJ21" s="544"/>
      <c r="AK21" s="544"/>
      <c r="AL21" s="733"/>
      <c r="AM21" s="546"/>
      <c r="AN21" s="544"/>
      <c r="AO21" s="544"/>
      <c r="AP21" s="733"/>
      <c r="AQ21" s="546"/>
      <c r="AR21" s="544"/>
      <c r="AS21" s="544"/>
      <c r="AT21" s="733"/>
    </row>
    <row r="22" spans="4:46" ht="15">
      <c r="D22" s="554"/>
      <c r="E22" s="604">
        <f t="shared" si="6"/>
        <v>1</v>
      </c>
      <c r="F22" s="720" t="s">
        <v>4749</v>
      </c>
      <c r="G22" s="720"/>
      <c r="H22" s="720"/>
      <c r="I22" s="720"/>
      <c r="J22" s="720"/>
      <c r="K22" s="608" t="s">
        <v>1397</v>
      </c>
      <c r="L22" s="705">
        <f t="shared" ref="L22:X22" si="7">IF(L$9=0,0%,L9/L$9)</f>
        <v>1</v>
      </c>
      <c r="M22" s="705">
        <f t="shared" si="7"/>
        <v>1</v>
      </c>
      <c r="N22" s="705">
        <f t="shared" si="7"/>
        <v>1</v>
      </c>
      <c r="O22" s="705">
        <f t="shared" si="7"/>
        <v>1</v>
      </c>
      <c r="P22" s="705">
        <f t="shared" si="7"/>
        <v>0</v>
      </c>
      <c r="Q22" s="705">
        <f t="shared" si="7"/>
        <v>1</v>
      </c>
      <c r="R22" s="705">
        <f t="shared" si="7"/>
        <v>1</v>
      </c>
      <c r="S22" s="705">
        <f t="shared" si="7"/>
        <v>1</v>
      </c>
      <c r="T22" s="705">
        <f t="shared" si="7"/>
        <v>0</v>
      </c>
      <c r="U22" s="705">
        <f t="shared" si="7"/>
        <v>1</v>
      </c>
      <c r="V22" s="705">
        <f t="shared" si="7"/>
        <v>1</v>
      </c>
      <c r="W22" s="705">
        <f t="shared" si="7"/>
        <v>0</v>
      </c>
      <c r="X22" s="705">
        <f t="shared" si="7"/>
        <v>0</v>
      </c>
      <c r="Y22" s="705">
        <f t="shared" ref="Y22:AB30" si="8">IF(Y$9=0,0%,Y9/Y$9)</f>
        <v>0</v>
      </c>
      <c r="Z22" s="705">
        <f t="shared" si="8"/>
        <v>0</v>
      </c>
      <c r="AA22" s="705">
        <f t="shared" si="8"/>
        <v>0</v>
      </c>
      <c r="AB22" s="549">
        <f t="shared" si="8"/>
        <v>0</v>
      </c>
      <c r="AC22" s="483"/>
    </row>
    <row r="23" spans="4:46" ht="15.75" thickBot="1">
      <c r="D23" s="554"/>
      <c r="E23" s="604">
        <f t="shared" si="6"/>
        <v>0.42334952166180884</v>
      </c>
      <c r="F23" s="720" t="s">
        <v>4750</v>
      </c>
      <c r="G23" s="720"/>
      <c r="H23" s="720"/>
      <c r="I23" s="720"/>
      <c r="J23" s="720"/>
      <c r="K23" s="608" t="s">
        <v>1398</v>
      </c>
      <c r="L23" s="705">
        <f t="shared" ref="L23:AA30" si="9">IF(L$9=0,0%,L10/L$9)</f>
        <v>0.35512029312192706</v>
      </c>
      <c r="M23" s="705">
        <f t="shared" ref="M23:X23" si="10">IF(M$9=0,0%,M10/M$9)</f>
        <v>0.34641971652503067</v>
      </c>
      <c r="N23" s="705">
        <f t="shared" si="10"/>
        <v>0.30957854024568621</v>
      </c>
      <c r="O23" s="705">
        <f t="shared" si="10"/>
        <v>0.38647770691222366</v>
      </c>
      <c r="P23" s="705">
        <f t="shared" si="10"/>
        <v>0</v>
      </c>
      <c r="Q23" s="705">
        <f t="shared" si="10"/>
        <v>0.34274245109306645</v>
      </c>
      <c r="R23" s="705">
        <f t="shared" si="10"/>
        <v>0.35502712046430207</v>
      </c>
      <c r="S23" s="705">
        <f t="shared" si="10"/>
        <v>0.33404246196853649</v>
      </c>
      <c r="T23" s="705">
        <f t="shared" si="10"/>
        <v>0</v>
      </c>
      <c r="U23" s="705">
        <f t="shared" si="10"/>
        <v>0.42334952166180884</v>
      </c>
      <c r="V23" s="705">
        <f t="shared" si="10"/>
        <v>0.42334952166180884</v>
      </c>
      <c r="W23" s="705">
        <f t="shared" si="10"/>
        <v>0</v>
      </c>
      <c r="X23" s="705">
        <f t="shared" si="10"/>
        <v>0</v>
      </c>
      <c r="Y23" s="705">
        <f t="shared" si="9"/>
        <v>0</v>
      </c>
      <c r="Z23" s="705">
        <f t="shared" si="9"/>
        <v>0</v>
      </c>
      <c r="AA23" s="705">
        <f t="shared" si="9"/>
        <v>0</v>
      </c>
      <c r="AB23" s="549">
        <f t="shared" si="8"/>
        <v>0</v>
      </c>
      <c r="AC23" s="483"/>
      <c r="AD23" s="628" t="s">
        <v>6548</v>
      </c>
      <c r="AE23" s="612" t="s">
        <v>1303</v>
      </c>
    </row>
    <row r="24" spans="4:46" ht="15">
      <c r="D24" s="554"/>
      <c r="E24" s="604">
        <f t="shared" si="6"/>
        <v>6.2257282597324826E-2</v>
      </c>
      <c r="F24" s="720" t="s">
        <v>4751</v>
      </c>
      <c r="G24" s="720"/>
      <c r="H24" s="720"/>
      <c r="I24" s="720"/>
      <c r="J24" s="720"/>
      <c r="K24" s="608" t="s">
        <v>575</v>
      </c>
      <c r="L24" s="705">
        <f t="shared" si="9"/>
        <v>5.2223572517930451E-2</v>
      </c>
      <c r="M24" s="705">
        <f t="shared" si="9"/>
        <v>5.094407595956333E-2</v>
      </c>
      <c r="N24" s="705">
        <f t="shared" si="9"/>
        <v>4.5526255918483263E-2</v>
      </c>
      <c r="O24" s="705">
        <f>IF(O$9=0,0%,O11/O$9)</f>
        <v>5.6834956898856419E-2</v>
      </c>
      <c r="P24" s="705">
        <f t="shared" si="9"/>
        <v>0</v>
      </c>
      <c r="Q24" s="705">
        <f t="shared" si="9"/>
        <v>5.0403301631333296E-2</v>
      </c>
      <c r="R24" s="705">
        <f t="shared" si="9"/>
        <v>5.2209870656515008E-2</v>
      </c>
      <c r="S24" s="705">
        <f t="shared" si="9"/>
        <v>4.9123891465961238E-2</v>
      </c>
      <c r="T24" s="705">
        <f t="shared" si="9"/>
        <v>0</v>
      </c>
      <c r="U24" s="705">
        <f t="shared" si="9"/>
        <v>6.2257282597324826E-2</v>
      </c>
      <c r="V24" s="705">
        <f t="shared" si="9"/>
        <v>6.2257282597324826E-2</v>
      </c>
      <c r="W24" s="705">
        <f t="shared" si="9"/>
        <v>0</v>
      </c>
      <c r="X24" s="705">
        <f t="shared" si="9"/>
        <v>0</v>
      </c>
      <c r="Y24" s="705">
        <f t="shared" si="8"/>
        <v>0</v>
      </c>
      <c r="Z24" s="705">
        <f t="shared" si="8"/>
        <v>0</v>
      </c>
      <c r="AA24" s="705">
        <f t="shared" si="8"/>
        <v>0</v>
      </c>
      <c r="AB24" s="549">
        <f t="shared" si="8"/>
        <v>0</v>
      </c>
      <c r="AC24" s="483"/>
      <c r="AE24" s="555"/>
      <c r="AF24" s="600" t="s">
        <v>1293</v>
      </c>
      <c r="AG24" s="734">
        <f>INDEX(calcCh1ValDriv1Emp1Req,xxIndexTeam)</f>
        <v>1</v>
      </c>
      <c r="AH24" s="561" t="s">
        <v>6552</v>
      </c>
    </row>
    <row r="25" spans="4:46" ht="15">
      <c r="D25" s="554"/>
      <c r="E25" s="604">
        <f t="shared" si="6"/>
        <v>9.2165162526901059E-2</v>
      </c>
      <c r="F25" s="720" t="s">
        <v>4752</v>
      </c>
      <c r="G25" s="720"/>
      <c r="H25" s="720"/>
      <c r="I25" s="720"/>
      <c r="J25" s="720"/>
      <c r="K25" s="608" t="s">
        <v>1399</v>
      </c>
      <c r="L25" s="705">
        <f t="shared" si="9"/>
        <v>5.9588774798639138E-2</v>
      </c>
      <c r="M25" s="705">
        <f t="shared" si="9"/>
        <v>5.5318458725106448E-2</v>
      </c>
      <c r="N25" s="705">
        <f t="shared" si="9"/>
        <v>3.7293394678707112E-2</v>
      </c>
      <c r="O25" s="705">
        <f>IF(O$9=0,0%,O12/O$9)</f>
        <v>7.4917394351492236E-2</v>
      </c>
      <c r="P25" s="705">
        <f t="shared" si="9"/>
        <v>0</v>
      </c>
      <c r="Q25" s="705">
        <f t="shared" si="9"/>
        <v>5.3847632858165601E-2</v>
      </c>
      <c r="R25" s="705">
        <f t="shared" si="9"/>
        <v>3.8448897923934994E-2</v>
      </c>
      <c r="S25" s="705">
        <f t="shared" si="9"/>
        <v>6.4752999735438743E-2</v>
      </c>
      <c r="T25" s="705">
        <f t="shared" si="9"/>
        <v>0</v>
      </c>
      <c r="U25" s="705">
        <f t="shared" si="9"/>
        <v>9.2165162526901059E-2</v>
      </c>
      <c r="V25" s="705">
        <f t="shared" si="9"/>
        <v>9.2165162526901059E-2</v>
      </c>
      <c r="W25" s="705">
        <f t="shared" si="9"/>
        <v>0</v>
      </c>
      <c r="X25" s="705">
        <f t="shared" si="9"/>
        <v>0</v>
      </c>
      <c r="Y25" s="705">
        <f t="shared" si="8"/>
        <v>0</v>
      </c>
      <c r="Z25" s="705">
        <f t="shared" si="8"/>
        <v>0</v>
      </c>
      <c r="AA25" s="705">
        <f t="shared" si="8"/>
        <v>0</v>
      </c>
      <c r="AB25" s="549">
        <f t="shared" si="8"/>
        <v>0</v>
      </c>
      <c r="AC25" s="483"/>
      <c r="AE25" s="554"/>
      <c r="AF25" s="720"/>
      <c r="AG25" s="585">
        <f>INDEX(calcCh1ValDriv1Exp,xxIndexTeam)</f>
        <v>300000</v>
      </c>
      <c r="AH25" s="584" t="s">
        <v>4438</v>
      </c>
    </row>
    <row r="26" spans="4:46" ht="15">
      <c r="D26" s="554"/>
      <c r="E26" s="604">
        <f t="shared" si="6"/>
        <v>4.1019079232546635E-2</v>
      </c>
      <c r="F26" s="720" t="s">
        <v>4753</v>
      </c>
      <c r="G26" s="720"/>
      <c r="H26" s="720"/>
      <c r="I26" s="720"/>
      <c r="J26" s="720"/>
      <c r="K26" s="608" t="s">
        <v>398</v>
      </c>
      <c r="L26" s="705">
        <f t="shared" si="9"/>
        <v>2.6520613731054014E-2</v>
      </c>
      <c r="M26" s="705">
        <f t="shared" si="9"/>
        <v>2.4620064450113638E-2</v>
      </c>
      <c r="N26" s="705">
        <f t="shared" si="9"/>
        <v>1.6597819276128561E-2</v>
      </c>
      <c r="O26" s="705">
        <f>IF(O$9=0,0%,O13/O$9)</f>
        <v>3.3342777797444295E-2</v>
      </c>
      <c r="P26" s="705">
        <f t="shared" si="9"/>
        <v>0</v>
      </c>
      <c r="Q26" s="705">
        <f t="shared" si="9"/>
        <v>2.3965457859953104E-2</v>
      </c>
      <c r="R26" s="705">
        <f t="shared" si="9"/>
        <v>1.711208820236881E-2</v>
      </c>
      <c r="S26" s="705">
        <f t="shared" si="9"/>
        <v>2.8819006595011118E-2</v>
      </c>
      <c r="T26" s="705">
        <f t="shared" si="9"/>
        <v>0</v>
      </c>
      <c r="U26" s="705">
        <f t="shared" si="9"/>
        <v>4.1019079232546635E-2</v>
      </c>
      <c r="V26" s="705">
        <f t="shared" si="9"/>
        <v>4.1019079232546635E-2</v>
      </c>
      <c r="W26" s="705">
        <f t="shared" si="9"/>
        <v>0</v>
      </c>
      <c r="X26" s="705">
        <f t="shared" si="9"/>
        <v>0</v>
      </c>
      <c r="Y26" s="705">
        <f t="shared" si="8"/>
        <v>0</v>
      </c>
      <c r="Z26" s="705">
        <f t="shared" si="8"/>
        <v>0</v>
      </c>
      <c r="AA26" s="705">
        <f t="shared" si="8"/>
        <v>0</v>
      </c>
      <c r="AB26" s="549">
        <f t="shared" si="8"/>
        <v>0</v>
      </c>
      <c r="AC26" s="483"/>
      <c r="AE26" s="554"/>
      <c r="AF26" s="720" t="s">
        <v>1411</v>
      </c>
      <c r="AG26" s="553">
        <f>INDEX(calcCh1ValDriv2Emp1Req,xxIndexTeam)</f>
        <v>1</v>
      </c>
      <c r="AH26" s="584" t="s">
        <v>6553</v>
      </c>
    </row>
    <row r="27" spans="4:46" ht="15">
      <c r="D27" s="554"/>
      <c r="E27" s="604">
        <f t="shared" si="6"/>
        <v>0.61879104601858126</v>
      </c>
      <c r="F27" s="720" t="s">
        <v>4754</v>
      </c>
      <c r="G27" s="720"/>
      <c r="H27" s="720"/>
      <c r="I27" s="720"/>
      <c r="J27" s="720"/>
      <c r="K27" s="608" t="s">
        <v>157</v>
      </c>
      <c r="L27" s="705">
        <f t="shared" si="9"/>
        <v>0.49345325416955071</v>
      </c>
      <c r="M27" s="705">
        <f t="shared" si="9"/>
        <v>0.47730231565981407</v>
      </c>
      <c r="N27" s="705">
        <f t="shared" si="9"/>
        <v>0.40899601011900516</v>
      </c>
      <c r="O27" s="705">
        <f>IF(O$9=0,0%,O14/O$9)</f>
        <v>0.55157283596001661</v>
      </c>
      <c r="P27" s="705">
        <f t="shared" si="9"/>
        <v>0</v>
      </c>
      <c r="Q27" s="705">
        <f t="shared" si="9"/>
        <v>0.47095884344251843</v>
      </c>
      <c r="R27" s="705">
        <f t="shared" si="9"/>
        <v>0.46279797724712091</v>
      </c>
      <c r="S27" s="705">
        <f t="shared" si="9"/>
        <v>0.47673835976494761</v>
      </c>
      <c r="T27" s="705">
        <f t="shared" si="9"/>
        <v>0</v>
      </c>
      <c r="U27" s="705">
        <f t="shared" si="9"/>
        <v>0.61879104601858126</v>
      </c>
      <c r="V27" s="705">
        <f t="shared" si="9"/>
        <v>0.61879104601858126</v>
      </c>
      <c r="W27" s="705">
        <f t="shared" si="9"/>
        <v>0</v>
      </c>
      <c r="X27" s="705">
        <f t="shared" si="9"/>
        <v>0</v>
      </c>
      <c r="Y27" s="705">
        <f t="shared" si="8"/>
        <v>0</v>
      </c>
      <c r="Z27" s="705">
        <f t="shared" si="8"/>
        <v>0</v>
      </c>
      <c r="AA27" s="705">
        <f t="shared" si="8"/>
        <v>0</v>
      </c>
      <c r="AB27" s="549">
        <f t="shared" si="8"/>
        <v>0</v>
      </c>
      <c r="AC27" s="483"/>
      <c r="AE27" s="554"/>
      <c r="AF27" s="720"/>
      <c r="AG27" s="585">
        <f>INDEX(calcCh1ValDriv2Exp,xxIndexTeam)</f>
        <v>300000</v>
      </c>
      <c r="AH27" s="584" t="s">
        <v>4444</v>
      </c>
    </row>
    <row r="28" spans="4:46" ht="15">
      <c r="D28" s="554"/>
      <c r="E28" s="604">
        <f t="shared" si="6"/>
        <v>0.38120895398141869</v>
      </c>
      <c r="F28" s="720" t="s">
        <v>4755</v>
      </c>
      <c r="G28" s="720"/>
      <c r="H28" s="720"/>
      <c r="I28" s="720"/>
      <c r="J28" s="720"/>
      <c r="K28" s="608" t="s">
        <v>160</v>
      </c>
      <c r="L28" s="705">
        <f t="shared" si="9"/>
        <v>0.50654674583044934</v>
      </c>
      <c r="M28" s="705">
        <f t="shared" si="9"/>
        <v>0.52269768434018593</v>
      </c>
      <c r="N28" s="705">
        <f t="shared" si="9"/>
        <v>0.59100398988099478</v>
      </c>
      <c r="O28" s="705">
        <f t="shared" si="9"/>
        <v>0.44842716403998339</v>
      </c>
      <c r="P28" s="705">
        <f t="shared" si="9"/>
        <v>0</v>
      </c>
      <c r="Q28" s="705">
        <f t="shared" si="9"/>
        <v>0.52904115655748163</v>
      </c>
      <c r="R28" s="705">
        <f t="shared" si="9"/>
        <v>0.53720202275287909</v>
      </c>
      <c r="S28" s="705">
        <f t="shared" si="9"/>
        <v>0.52326164023505239</v>
      </c>
      <c r="T28" s="705">
        <f t="shared" si="9"/>
        <v>0</v>
      </c>
      <c r="U28" s="705">
        <f t="shared" si="9"/>
        <v>0.38120895398141869</v>
      </c>
      <c r="V28" s="705">
        <f t="shared" si="9"/>
        <v>0.38120895398141869</v>
      </c>
      <c r="W28" s="705">
        <f t="shared" si="9"/>
        <v>0</v>
      </c>
      <c r="X28" s="705">
        <f t="shared" si="9"/>
        <v>0</v>
      </c>
      <c r="Y28" s="705">
        <f t="shared" si="8"/>
        <v>0</v>
      </c>
      <c r="Z28" s="705">
        <f t="shared" si="8"/>
        <v>0</v>
      </c>
      <c r="AA28" s="705">
        <f t="shared" si="8"/>
        <v>0</v>
      </c>
      <c r="AB28" s="549">
        <f t="shared" si="8"/>
        <v>0</v>
      </c>
      <c r="AC28" s="483"/>
      <c r="AE28" s="554"/>
      <c r="AF28" s="720" t="s">
        <v>1294</v>
      </c>
      <c r="AG28" s="553">
        <f>INDEX(calcCh1ValDriv3Emp1Req,xxIndexTeam)</f>
        <v>1</v>
      </c>
      <c r="AH28" s="584" t="s">
        <v>6554</v>
      </c>
    </row>
    <row r="29" spans="4:46" ht="15">
      <c r="D29" s="554"/>
      <c r="E29" s="604">
        <f t="shared" si="6"/>
        <v>7.1933991191845501E-2</v>
      </c>
      <c r="F29" s="720" t="s">
        <v>4756</v>
      </c>
      <c r="G29" s="720"/>
      <c r="H29" s="720"/>
      <c r="I29" s="720"/>
      <c r="J29" s="720"/>
      <c r="K29" s="608" t="s">
        <v>519</v>
      </c>
      <c r="L29" s="705">
        <f t="shared" si="9"/>
        <v>6.0340732020207649E-2</v>
      </c>
      <c r="M29" s="705">
        <f t="shared" si="9"/>
        <v>5.8862362095922965E-2</v>
      </c>
      <c r="N29" s="705">
        <f t="shared" si="9"/>
        <v>5.2602445137536417E-2</v>
      </c>
      <c r="O29" s="705">
        <f t="shared" si="9"/>
        <v>6.5668868257461224E-2</v>
      </c>
      <c r="P29" s="705">
        <f t="shared" si="9"/>
        <v>0</v>
      </c>
      <c r="Q29" s="705">
        <f t="shared" si="9"/>
        <v>5.8237534699981545E-2</v>
      </c>
      <c r="R29" s="705">
        <f t="shared" si="9"/>
        <v>6.0324900465452122E-2</v>
      </c>
      <c r="S29" s="705">
        <f t="shared" si="9"/>
        <v>5.675926459683725E-2</v>
      </c>
      <c r="T29" s="705">
        <f t="shared" si="9"/>
        <v>0</v>
      </c>
      <c r="U29" s="705">
        <f t="shared" si="9"/>
        <v>7.1933991191845501E-2</v>
      </c>
      <c r="V29" s="705">
        <f t="shared" si="9"/>
        <v>7.1933991191845501E-2</v>
      </c>
      <c r="W29" s="705">
        <f t="shared" si="9"/>
        <v>0</v>
      </c>
      <c r="X29" s="705">
        <f t="shared" si="9"/>
        <v>0</v>
      </c>
      <c r="Y29" s="705">
        <f t="shared" si="8"/>
        <v>0</v>
      </c>
      <c r="Z29" s="705">
        <f t="shared" si="8"/>
        <v>0</v>
      </c>
      <c r="AA29" s="705">
        <f t="shared" si="8"/>
        <v>0</v>
      </c>
      <c r="AB29" s="549">
        <f t="shared" si="8"/>
        <v>0</v>
      </c>
      <c r="AC29" s="483"/>
      <c r="AE29" s="554"/>
      <c r="AF29" s="720"/>
      <c r="AG29" s="585">
        <f>INDEX(calcCh1ValDriv3Exp,xxIndexTeam)</f>
        <v>300000</v>
      </c>
      <c r="AH29" s="584" t="s">
        <v>4453</v>
      </c>
    </row>
    <row r="30" spans="4:46" ht="15">
      <c r="D30" s="554"/>
      <c r="E30" s="604">
        <f t="shared" si="6"/>
        <v>0.30927496278957317</v>
      </c>
      <c r="F30" s="720" t="s">
        <v>4757</v>
      </c>
      <c r="G30" s="720"/>
      <c r="H30" s="720"/>
      <c r="I30" s="720"/>
      <c r="J30" s="720"/>
      <c r="K30" s="608" t="s">
        <v>521</v>
      </c>
      <c r="L30" s="705">
        <f>IF(L$9=0,0%,L17/L$9)</f>
        <v>0.44620601381024166</v>
      </c>
      <c r="M30" s="705">
        <f>IF(M$9=0,0%,M17/M$9)</f>
        <v>0.46383532224426294</v>
      </c>
      <c r="N30" s="705">
        <f t="shared" si="9"/>
        <v>0.53840154474345836</v>
      </c>
      <c r="O30" s="705">
        <f t="shared" si="9"/>
        <v>0.38275829578252213</v>
      </c>
      <c r="P30" s="705">
        <f t="shared" si="9"/>
        <v>0</v>
      </c>
      <c r="Q30" s="705">
        <f t="shared" si="9"/>
        <v>0.47080362185750002</v>
      </c>
      <c r="R30" s="705">
        <f t="shared" si="9"/>
        <v>0.47687712228742696</v>
      </c>
      <c r="S30" s="705">
        <f t="shared" si="9"/>
        <v>0.46650237563821512</v>
      </c>
      <c r="T30" s="705">
        <f t="shared" si="9"/>
        <v>0</v>
      </c>
      <c r="U30" s="705">
        <f t="shared" si="9"/>
        <v>0.30927496278957317</v>
      </c>
      <c r="V30" s="705">
        <f t="shared" si="9"/>
        <v>0.30927496278957317</v>
      </c>
      <c r="W30" s="705">
        <f t="shared" si="9"/>
        <v>0</v>
      </c>
      <c r="X30" s="705">
        <f t="shared" si="9"/>
        <v>0</v>
      </c>
      <c r="Y30" s="705">
        <f t="shared" si="8"/>
        <v>0</v>
      </c>
      <c r="Z30" s="705">
        <f t="shared" si="8"/>
        <v>0</v>
      </c>
      <c r="AA30" s="705">
        <f t="shared" si="8"/>
        <v>0</v>
      </c>
      <c r="AB30" s="549">
        <f t="shared" si="8"/>
        <v>0</v>
      </c>
      <c r="AC30" s="483"/>
      <c r="AE30" s="554"/>
      <c r="AF30" s="720" t="s">
        <v>5196</v>
      </c>
      <c r="AG30" s="553">
        <f>INDEX(calcCh1ValDriv4Emp1Req,xxIndexTeam)</f>
        <v>1</v>
      </c>
      <c r="AH30" s="584" t="s">
        <v>6555</v>
      </c>
    </row>
    <row r="31" spans="4:46" ht="15">
      <c r="D31" s="554"/>
      <c r="E31" s="548">
        <f t="shared" si="6"/>
        <v>7.7</v>
      </c>
      <c r="F31" s="720" t="s">
        <v>4758</v>
      </c>
      <c r="G31" s="720"/>
      <c r="H31" s="720"/>
      <c r="I31" s="720"/>
      <c r="J31" s="551" t="s">
        <v>3760</v>
      </c>
      <c r="K31" s="608" t="s">
        <v>1394</v>
      </c>
      <c r="L31" s="708">
        <f t="shared" ref="L31:L43" si="11">IF(L5=0,0,L5/INDEX(finCalcCh1VolSold,,xxIndexTeam))</f>
        <v>7.6863080009155968</v>
      </c>
      <c r="M31" s="708">
        <f t="shared" ref="M31:M43" si="12">IF(M5=0,0,M5/INDEX(finCalcCh1Prod2VolSold,,xxIndexTeam))</f>
        <v>7.7074999999999996</v>
      </c>
      <c r="N31" s="708">
        <f t="shared" ref="N31:N43" si="13">IF(N$5=0,0,N5/INDEX(finCalcCh1Prod2Slot1VolSold,,xxIndexTeam))</f>
        <v>7.9</v>
      </c>
      <c r="O31" s="708">
        <f t="shared" ref="O31:O43" si="14">IF(O$5=0,0,O5/INDEX(finCalcCh1Prod2Slot2VolSold,,xxIndexTeam))</f>
        <v>7.55</v>
      </c>
      <c r="P31" s="708">
        <f t="shared" ref="P31:P43" si="15">IF(P$5=0,0,P5/INDEX(finCalcCh1Prod2Slot3VolSold,,xxIndexTeam))</f>
        <v>0</v>
      </c>
      <c r="Q31" s="708">
        <f t="shared" ref="Q31:Q43" si="16">IF(Q5=0,0,Q5/INDEX(finCalcCh1Prod3VolSold,,xxIndexTeam))</f>
        <v>7.6479999999999988</v>
      </c>
      <c r="R31" s="708">
        <f t="shared" ref="R31:R43" si="17">IF(R$5=0,0,R5/INDEX(finCalcCh1Prod3Slot1VolSold,,xxIndexTeam))</f>
        <v>7.5999999999999988</v>
      </c>
      <c r="S31" s="708">
        <f t="shared" ref="S31:S43" si="18">IF(S$5=0,0,S5/INDEX(finCalcCh1Prod3Slot2VolSold,,xxIndexTeam))</f>
        <v>7.68</v>
      </c>
      <c r="T31" s="708">
        <f t="shared" ref="T31:T43" si="19">IF(T$5=0,0,T5/INDEX(finCalcCh1Prod3Slot3VolSold,,xxIndexTeam))</f>
        <v>0</v>
      </c>
      <c r="U31" s="708">
        <f t="shared" ref="U31:U43" si="20">IF(U5=0,0,U5/INDEX(finCalcCh1Prod1VolSold,,xxIndexTeam))</f>
        <v>7.7</v>
      </c>
      <c r="V31" s="708">
        <f t="shared" ref="V31:V43" si="21">IF(V$5=0,0,V5/INDEX(finCalcCh1Prod1Slot1VolSold,,xxIndexTeam))</f>
        <v>7.7</v>
      </c>
      <c r="W31" s="708">
        <f t="shared" ref="W31:W43" si="22">IF(W$5=0,0,W5/INDEX(finCalcCh1Prod1Slot2VolSold,,xxIndexTeam))</f>
        <v>0</v>
      </c>
      <c r="X31" s="708">
        <f t="shared" ref="X31:X43" si="23">IF(X$5=0,0,X5/INDEX(finCalcCh1Prod1Slot3VolSold,,xxIndexTeam))</f>
        <v>0</v>
      </c>
      <c r="Y31" s="708">
        <f t="shared" ref="Y31:Y43" si="24">IF(Y5=0,0,Y5/INDEX(finCalcCh1Prod4VolSold,,xxIndexTeam))</f>
        <v>0</v>
      </c>
      <c r="Z31" s="708">
        <f t="shared" ref="Z31:Z43" si="25">IF(Z$5=0,0,Z5/INDEX(finCalcCh1Prod4Slot1VolSold,,xxIndexTeam))</f>
        <v>0</v>
      </c>
      <c r="AA31" s="708">
        <f t="shared" ref="AA31:AA43" si="26">IF(AA$5=0,0,AA5/INDEX(finCalcCh1Prod4Slot2VolSold,,xxIndexTeam))</f>
        <v>0</v>
      </c>
      <c r="AB31" s="547">
        <f t="shared" ref="AB31:AB43" si="27">IF(AB$5=0,0,AB5/INDEX(finCalcCh1Prod4Slot3VolSold,,xxIndexTeam))</f>
        <v>0</v>
      </c>
      <c r="AC31" s="483"/>
      <c r="AE31" s="554"/>
      <c r="AF31" s="720"/>
      <c r="AG31" s="585">
        <f>INDEX(calcCh1ValDriv4Exp,xxIndexTeam)</f>
        <v>300000</v>
      </c>
      <c r="AH31" s="584" t="s">
        <v>4459</v>
      </c>
    </row>
    <row r="32" spans="4:46" ht="15">
      <c r="D32" s="554"/>
      <c r="E32" s="548">
        <f t="shared" si="6"/>
        <v>2.4500000000000002</v>
      </c>
      <c r="F32" s="720" t="s">
        <v>4759</v>
      </c>
      <c r="G32" s="720"/>
      <c r="H32" s="720"/>
      <c r="I32" s="720"/>
      <c r="J32" s="551" t="s">
        <v>1400</v>
      </c>
      <c r="K32" s="608" t="s">
        <v>1395</v>
      </c>
      <c r="L32" s="708">
        <f t="shared" si="11"/>
        <v>2.4416000005617162</v>
      </c>
      <c r="M32" s="708">
        <f t="shared" si="12"/>
        <v>2.4</v>
      </c>
      <c r="N32" s="708">
        <f t="shared" si="13"/>
        <v>2.4</v>
      </c>
      <c r="O32" s="708">
        <f t="shared" si="14"/>
        <v>2.4</v>
      </c>
      <c r="P32" s="708">
        <f t="shared" si="15"/>
        <v>0</v>
      </c>
      <c r="Q32" s="708">
        <f t="shared" si="16"/>
        <v>2.5</v>
      </c>
      <c r="R32" s="708">
        <f t="shared" si="17"/>
        <v>2.5</v>
      </c>
      <c r="S32" s="708">
        <f t="shared" si="18"/>
        <v>2.5</v>
      </c>
      <c r="T32" s="708">
        <f t="shared" si="19"/>
        <v>0</v>
      </c>
      <c r="U32" s="708">
        <f t="shared" si="20"/>
        <v>2.4500000000000002</v>
      </c>
      <c r="V32" s="708">
        <f t="shared" si="21"/>
        <v>2.4500000000000002</v>
      </c>
      <c r="W32" s="708">
        <f t="shared" si="22"/>
        <v>0</v>
      </c>
      <c r="X32" s="708">
        <f t="shared" si="23"/>
        <v>0</v>
      </c>
      <c r="Y32" s="708">
        <f t="shared" si="24"/>
        <v>0</v>
      </c>
      <c r="Z32" s="708">
        <f t="shared" si="25"/>
        <v>0</v>
      </c>
      <c r="AA32" s="708">
        <f t="shared" si="26"/>
        <v>0</v>
      </c>
      <c r="AB32" s="547">
        <f t="shared" si="27"/>
        <v>0</v>
      </c>
      <c r="AC32" s="483"/>
      <c r="AE32" s="554"/>
      <c r="AF32" s="720" t="s">
        <v>812</v>
      </c>
      <c r="AG32" s="553">
        <f>INDEX(calcCh1ValDriv5Emp1Req,xxIndexTeam)</f>
        <v>1</v>
      </c>
      <c r="AH32" s="584" t="s">
        <v>6556</v>
      </c>
    </row>
    <row r="33" spans="4:40" ht="15">
      <c r="D33" s="554"/>
      <c r="E33" s="548">
        <f t="shared" si="6"/>
        <v>5.25</v>
      </c>
      <c r="F33" s="720" t="s">
        <v>4760</v>
      </c>
      <c r="G33" s="720"/>
      <c r="H33" s="720"/>
      <c r="I33" s="720"/>
      <c r="J33" s="720"/>
      <c r="K33" s="608" t="s">
        <v>694</v>
      </c>
      <c r="L33" s="708">
        <f>IF(L7=0,0,L7/INDEX(finCalcCh1VolSold,,xxIndexTeam))</f>
        <v>5.2447080003538806</v>
      </c>
      <c r="M33" s="708">
        <f t="shared" si="12"/>
        <v>5.3075000000000001</v>
      </c>
      <c r="N33" s="708">
        <f t="shared" si="13"/>
        <v>5.5</v>
      </c>
      <c r="O33" s="708">
        <f t="shared" si="14"/>
        <v>5.15</v>
      </c>
      <c r="P33" s="708">
        <f t="shared" si="15"/>
        <v>0</v>
      </c>
      <c r="Q33" s="708">
        <f t="shared" si="16"/>
        <v>5.1479999999999988</v>
      </c>
      <c r="R33" s="708">
        <f t="shared" si="17"/>
        <v>5.0999999999999988</v>
      </c>
      <c r="S33" s="708">
        <f t="shared" si="18"/>
        <v>5.1799999999999988</v>
      </c>
      <c r="T33" s="708">
        <f t="shared" si="19"/>
        <v>0</v>
      </c>
      <c r="U33" s="708">
        <f t="shared" si="20"/>
        <v>5.25</v>
      </c>
      <c r="V33" s="708">
        <f t="shared" si="21"/>
        <v>5.25</v>
      </c>
      <c r="W33" s="708">
        <f t="shared" si="22"/>
        <v>0</v>
      </c>
      <c r="X33" s="708">
        <f t="shared" si="23"/>
        <v>0</v>
      </c>
      <c r="Y33" s="708">
        <f t="shared" si="24"/>
        <v>0</v>
      </c>
      <c r="Z33" s="708">
        <f t="shared" si="25"/>
        <v>0</v>
      </c>
      <c r="AA33" s="708">
        <f t="shared" si="26"/>
        <v>0</v>
      </c>
      <c r="AB33" s="547">
        <f t="shared" si="27"/>
        <v>0</v>
      </c>
      <c r="AC33" s="483"/>
      <c r="AE33" s="554"/>
      <c r="AF33" s="720"/>
      <c r="AG33" s="585">
        <f>INDEX(calcCh1ValDriv5Exp,xxIndexTeam)</f>
        <v>300000</v>
      </c>
      <c r="AH33" s="584" t="s">
        <v>4460</v>
      </c>
    </row>
    <row r="34" spans="4:40" ht="15">
      <c r="D34" s="554"/>
      <c r="E34" s="548">
        <f t="shared" si="6"/>
        <v>1.6572325060637652</v>
      </c>
      <c r="F34" s="720" t="s">
        <v>4761</v>
      </c>
      <c r="G34" s="720"/>
      <c r="H34" s="720"/>
      <c r="I34" s="720"/>
      <c r="J34" s="720"/>
      <c r="K34" s="608" t="s">
        <v>1396</v>
      </c>
      <c r="L34" s="708">
        <f t="shared" si="11"/>
        <v>0.82471550646119529</v>
      </c>
      <c r="M34" s="708">
        <f>IF(M8=0,0,M8/INDEX(finCalcCh1Prod2VolSold,,xxIndexTeam))</f>
        <v>0.78941316677868822</v>
      </c>
      <c r="N34" s="708">
        <f t="shared" si="13"/>
        <v>0.26990492068656308</v>
      </c>
      <c r="O34" s="708">
        <f t="shared" si="14"/>
        <v>1.2144653681267903</v>
      </c>
      <c r="P34" s="708">
        <f t="shared" si="15"/>
        <v>0</v>
      </c>
      <c r="Q34" s="708">
        <f t="shared" si="16"/>
        <v>0.48123218381932759</v>
      </c>
      <c r="R34" s="708">
        <f t="shared" si="17"/>
        <v>0.26303431198668176</v>
      </c>
      <c r="S34" s="708">
        <f t="shared" si="18"/>
        <v>0.62669743170775827</v>
      </c>
      <c r="T34" s="708">
        <f t="shared" si="19"/>
        <v>0</v>
      </c>
      <c r="U34" s="708">
        <f t="shared" si="20"/>
        <v>1.6572325060637652</v>
      </c>
      <c r="V34" s="708">
        <f t="shared" si="21"/>
        <v>1.6572325060637652</v>
      </c>
      <c r="W34" s="708">
        <f t="shared" si="22"/>
        <v>0</v>
      </c>
      <c r="X34" s="708">
        <f t="shared" si="23"/>
        <v>0</v>
      </c>
      <c r="Y34" s="708">
        <f t="shared" si="24"/>
        <v>0</v>
      </c>
      <c r="Z34" s="708">
        <f t="shared" si="25"/>
        <v>0</v>
      </c>
      <c r="AA34" s="708">
        <f t="shared" si="26"/>
        <v>0</v>
      </c>
      <c r="AB34" s="547">
        <f t="shared" si="27"/>
        <v>0</v>
      </c>
      <c r="AC34" s="483"/>
      <c r="AE34" s="554"/>
      <c r="AF34" s="720" t="s">
        <v>14</v>
      </c>
      <c r="AG34" s="585">
        <f>INDEX(calcCh1ValDrivEmp1ReqTot,,xxIndexTeam)</f>
        <v>5</v>
      </c>
      <c r="AH34" s="584" t="s">
        <v>6557</v>
      </c>
    </row>
    <row r="35" spans="4:40" ht="15">
      <c r="D35" s="554"/>
      <c r="E35" s="548">
        <f t="shared" si="6"/>
        <v>3.5927674939362344</v>
      </c>
      <c r="F35" s="720" t="s">
        <v>4762</v>
      </c>
      <c r="G35" s="720"/>
      <c r="H35" s="720"/>
      <c r="I35" s="720"/>
      <c r="J35" s="720"/>
      <c r="K35" s="608" t="s">
        <v>1397</v>
      </c>
      <c r="L35" s="708">
        <f t="shared" si="11"/>
        <v>4.4199924938926856</v>
      </c>
      <c r="M35" s="708">
        <f t="shared" si="12"/>
        <v>4.5180868332213118</v>
      </c>
      <c r="N35" s="708">
        <f t="shared" si="13"/>
        <v>5.2300950793134371</v>
      </c>
      <c r="O35" s="708">
        <f t="shared" si="14"/>
        <v>3.9355346318732094</v>
      </c>
      <c r="P35" s="708">
        <f t="shared" si="15"/>
        <v>0</v>
      </c>
      <c r="Q35" s="708">
        <f t="shared" si="16"/>
        <v>4.6667678161806716</v>
      </c>
      <c r="R35" s="708">
        <f t="shared" si="17"/>
        <v>4.8369656880133176</v>
      </c>
      <c r="S35" s="708">
        <f t="shared" si="18"/>
        <v>4.5533025682922412</v>
      </c>
      <c r="T35" s="708">
        <f t="shared" si="19"/>
        <v>0</v>
      </c>
      <c r="U35" s="708">
        <f t="shared" si="20"/>
        <v>3.5927674939362344</v>
      </c>
      <c r="V35" s="708">
        <f t="shared" si="21"/>
        <v>3.5927674939362344</v>
      </c>
      <c r="W35" s="708">
        <f t="shared" si="22"/>
        <v>0</v>
      </c>
      <c r="X35" s="708">
        <f t="shared" si="23"/>
        <v>0</v>
      </c>
      <c r="Y35" s="708">
        <f t="shared" si="24"/>
        <v>0</v>
      </c>
      <c r="Z35" s="708">
        <f t="shared" si="25"/>
        <v>0</v>
      </c>
      <c r="AA35" s="708">
        <f t="shared" si="26"/>
        <v>0</v>
      </c>
      <c r="AB35" s="547">
        <f t="shared" si="27"/>
        <v>0</v>
      </c>
      <c r="AC35" s="483"/>
      <c r="AE35" s="554"/>
      <c r="AF35" s="720"/>
      <c r="AG35" s="585">
        <f>INDEX(calcCh1ValDrivExpTot,,xxIndexTeam)</f>
        <v>1500000</v>
      </c>
      <c r="AH35" s="584" t="s">
        <v>5642</v>
      </c>
    </row>
    <row r="36" spans="4:40" ht="15">
      <c r="D36" s="554"/>
      <c r="E36" s="548">
        <f t="shared" si="6"/>
        <v>1.5209964000000005</v>
      </c>
      <c r="F36" s="720" t="s">
        <v>4763</v>
      </c>
      <c r="G36" s="720"/>
      <c r="H36" s="720"/>
      <c r="I36" s="720"/>
      <c r="J36" s="720"/>
      <c r="K36" s="608" t="s">
        <v>1398</v>
      </c>
      <c r="L36" s="708">
        <f t="shared" si="11"/>
        <v>1.5696290300278879</v>
      </c>
      <c r="M36" s="708">
        <f t="shared" si="12"/>
        <v>1.5651543600000004</v>
      </c>
      <c r="N36" s="708">
        <f t="shared" si="13"/>
        <v>1.6191252000000003</v>
      </c>
      <c r="O36" s="708">
        <f t="shared" si="14"/>
        <v>1.5209964000000005</v>
      </c>
      <c r="P36" s="708">
        <f t="shared" si="15"/>
        <v>0</v>
      </c>
      <c r="Q36" s="708">
        <f t="shared" si="16"/>
        <v>1.5994994400000002</v>
      </c>
      <c r="R36" s="708">
        <f t="shared" si="17"/>
        <v>1.7172539999999998</v>
      </c>
      <c r="S36" s="708">
        <f t="shared" si="18"/>
        <v>1.5209964000000005</v>
      </c>
      <c r="T36" s="708">
        <f t="shared" si="19"/>
        <v>0</v>
      </c>
      <c r="U36" s="708">
        <f t="shared" si="20"/>
        <v>1.5209964000000005</v>
      </c>
      <c r="V36" s="708">
        <f t="shared" si="21"/>
        <v>1.5209964000000005</v>
      </c>
      <c r="W36" s="708">
        <f t="shared" si="22"/>
        <v>0</v>
      </c>
      <c r="X36" s="708">
        <f t="shared" si="23"/>
        <v>0</v>
      </c>
      <c r="Y36" s="708">
        <f t="shared" si="24"/>
        <v>0</v>
      </c>
      <c r="Z36" s="708">
        <f t="shared" si="25"/>
        <v>0</v>
      </c>
      <c r="AA36" s="708">
        <f t="shared" si="26"/>
        <v>0</v>
      </c>
      <c r="AB36" s="547">
        <f t="shared" si="27"/>
        <v>0</v>
      </c>
      <c r="AC36" s="483"/>
      <c r="AE36" s="554"/>
      <c r="AF36" s="720" t="s">
        <v>1410</v>
      </c>
      <c r="AG36" s="553">
        <f>INDEX(calcCh1ValDrivCondEmp1Req,xxIndexTeam)</f>
        <v>0</v>
      </c>
      <c r="AH36" s="584" t="s">
        <v>6558</v>
      </c>
    </row>
    <row r="37" spans="4:40" ht="15.75" thickBot="1">
      <c r="D37" s="554"/>
      <c r="E37" s="548">
        <f t="shared" ref="E37:E60" si="28">INDEX(L37:AB37,,calcCh1VtCode)</f>
        <v>0.22367594117647063</v>
      </c>
      <c r="F37" s="720" t="s">
        <v>4764</v>
      </c>
      <c r="G37" s="720"/>
      <c r="H37" s="720"/>
      <c r="I37" s="720"/>
      <c r="J37" s="720"/>
      <c r="K37" s="608" t="s">
        <v>575</v>
      </c>
      <c r="L37" s="708">
        <f t="shared" si="11"/>
        <v>0.23082779853351293</v>
      </c>
      <c r="M37" s="708">
        <f t="shared" si="12"/>
        <v>0.23016975882352947</v>
      </c>
      <c r="N37" s="708">
        <f t="shared" si="13"/>
        <v>0.23810664705882359</v>
      </c>
      <c r="O37" s="708">
        <f t="shared" si="14"/>
        <v>0.22367594117647063</v>
      </c>
      <c r="P37" s="708">
        <f t="shared" si="15"/>
        <v>0</v>
      </c>
      <c r="Q37" s="708">
        <f t="shared" si="16"/>
        <v>0.23522050588235296</v>
      </c>
      <c r="R37" s="708">
        <f t="shared" si="17"/>
        <v>0.25253735294117646</v>
      </c>
      <c r="S37" s="708">
        <f t="shared" si="18"/>
        <v>0.22367594117647063</v>
      </c>
      <c r="T37" s="708">
        <f t="shared" si="19"/>
        <v>0</v>
      </c>
      <c r="U37" s="708">
        <f t="shared" si="20"/>
        <v>0.22367594117647063</v>
      </c>
      <c r="V37" s="708">
        <f t="shared" si="21"/>
        <v>0.22367594117647063</v>
      </c>
      <c r="W37" s="708">
        <f t="shared" si="22"/>
        <v>0</v>
      </c>
      <c r="X37" s="708">
        <f t="shared" si="23"/>
        <v>0</v>
      </c>
      <c r="Y37" s="708">
        <f t="shared" si="24"/>
        <v>0</v>
      </c>
      <c r="Z37" s="708">
        <f t="shared" si="25"/>
        <v>0</v>
      </c>
      <c r="AA37" s="708">
        <f t="shared" si="26"/>
        <v>0</v>
      </c>
      <c r="AB37" s="547">
        <f t="shared" si="27"/>
        <v>0</v>
      </c>
      <c r="AC37" s="483"/>
      <c r="AE37" s="546"/>
      <c r="AF37" s="544"/>
      <c r="AG37" s="574">
        <f>INDEX(calcCh1ValDrivCondExp,xxIndexTeam)</f>
        <v>150000</v>
      </c>
      <c r="AH37" s="733" t="s">
        <v>4461</v>
      </c>
    </row>
    <row r="38" spans="4:40" ht="15">
      <c r="D38" s="554"/>
      <c r="E38" s="548">
        <f t="shared" si="28"/>
        <v>0.33112800000000003</v>
      </c>
      <c r="F38" s="720" t="s">
        <v>4765</v>
      </c>
      <c r="G38" s="720"/>
      <c r="H38" s="720"/>
      <c r="I38" s="720"/>
      <c r="J38" s="720"/>
      <c r="K38" s="608" t="s">
        <v>1399</v>
      </c>
      <c r="L38" s="708">
        <f t="shared" si="11"/>
        <v>0.26338193733024662</v>
      </c>
      <c r="M38" s="708">
        <f t="shared" si="12"/>
        <v>0.24993360000000003</v>
      </c>
      <c r="N38" s="708">
        <f t="shared" si="13"/>
        <v>0.195048</v>
      </c>
      <c r="O38" s="708">
        <f t="shared" si="14"/>
        <v>0.29484000000000005</v>
      </c>
      <c r="P38" s="708">
        <f t="shared" si="15"/>
        <v>0</v>
      </c>
      <c r="Q38" s="708">
        <f t="shared" si="16"/>
        <v>0.25129440000000003</v>
      </c>
      <c r="R38" s="708">
        <f t="shared" si="17"/>
        <v>0.18597600000000006</v>
      </c>
      <c r="S38" s="708">
        <f t="shared" si="18"/>
        <v>0.29484000000000005</v>
      </c>
      <c r="T38" s="708">
        <f t="shared" si="19"/>
        <v>0</v>
      </c>
      <c r="U38" s="708">
        <f t="shared" si="20"/>
        <v>0.33112800000000003</v>
      </c>
      <c r="V38" s="708">
        <f t="shared" si="21"/>
        <v>0.33112800000000003</v>
      </c>
      <c r="W38" s="708">
        <f t="shared" si="22"/>
        <v>0</v>
      </c>
      <c r="X38" s="708">
        <f t="shared" si="23"/>
        <v>0</v>
      </c>
      <c r="Y38" s="708">
        <f t="shared" si="24"/>
        <v>0</v>
      </c>
      <c r="Z38" s="708">
        <f t="shared" si="25"/>
        <v>0</v>
      </c>
      <c r="AA38" s="708">
        <f t="shared" si="26"/>
        <v>0</v>
      </c>
      <c r="AB38" s="547">
        <f t="shared" si="27"/>
        <v>0</v>
      </c>
      <c r="AC38" s="483"/>
    </row>
    <row r="39" spans="4:40" ht="15.75" thickBot="1">
      <c r="D39" s="554"/>
      <c r="E39" s="548">
        <f t="shared" si="28"/>
        <v>0.14737201449788842</v>
      </c>
      <c r="F39" s="720" t="s">
        <v>4766</v>
      </c>
      <c r="G39" s="720"/>
      <c r="H39" s="720"/>
      <c r="I39" s="720"/>
      <c r="J39" s="720"/>
      <c r="K39" s="608" t="s">
        <v>398</v>
      </c>
      <c r="L39" s="708">
        <f t="shared" si="11"/>
        <v>0.11722091362468604</v>
      </c>
      <c r="M39" s="708">
        <f t="shared" si="12"/>
        <v>0.11123558902511853</v>
      </c>
      <c r="N39" s="708">
        <f t="shared" si="13"/>
        <v>8.6808172923413709E-2</v>
      </c>
      <c r="O39" s="708">
        <f t="shared" si="14"/>
        <v>0.13122165674469516</v>
      </c>
      <c r="P39" s="708">
        <f t="shared" si="15"/>
        <v>0</v>
      </c>
      <c r="Q39" s="708">
        <f t="shared" si="16"/>
        <v>0.11184122744086325</v>
      </c>
      <c r="R39" s="708">
        <f t="shared" si="17"/>
        <v>8.2770583485115429E-2</v>
      </c>
      <c r="S39" s="708">
        <f t="shared" si="18"/>
        <v>0.13122165674469516</v>
      </c>
      <c r="T39" s="708">
        <f t="shared" si="19"/>
        <v>0</v>
      </c>
      <c r="U39" s="708">
        <f t="shared" si="20"/>
        <v>0.14737201449788842</v>
      </c>
      <c r="V39" s="708">
        <f t="shared" si="21"/>
        <v>0.14737201449788842</v>
      </c>
      <c r="W39" s="708">
        <f t="shared" si="22"/>
        <v>0</v>
      </c>
      <c r="X39" s="708">
        <f t="shared" si="23"/>
        <v>0</v>
      </c>
      <c r="Y39" s="708">
        <f t="shared" si="24"/>
        <v>0</v>
      </c>
      <c r="Z39" s="708">
        <f t="shared" si="25"/>
        <v>0</v>
      </c>
      <c r="AA39" s="708">
        <f t="shared" si="26"/>
        <v>0</v>
      </c>
      <c r="AB39" s="547">
        <f t="shared" si="27"/>
        <v>0</v>
      </c>
      <c r="AC39" s="483"/>
      <c r="AD39" s="628" t="s">
        <v>6548</v>
      </c>
      <c r="AE39" s="612" t="s">
        <v>786</v>
      </c>
    </row>
    <row r="40" spans="4:40" ht="15">
      <c r="D40" s="554"/>
      <c r="E40" s="548">
        <f t="shared" si="28"/>
        <v>2.2231723556743592</v>
      </c>
      <c r="F40" s="720" t="s">
        <v>4767</v>
      </c>
      <c r="G40" s="720"/>
      <c r="H40" s="720"/>
      <c r="I40" s="720"/>
      <c r="J40" s="720"/>
      <c r="K40" s="608" t="s">
        <v>157</v>
      </c>
      <c r="L40" s="708">
        <f t="shared" si="11"/>
        <v>2.1810596795163337</v>
      </c>
      <c r="M40" s="708">
        <f t="shared" si="12"/>
        <v>2.1564933078486486</v>
      </c>
      <c r="N40" s="708">
        <f t="shared" si="13"/>
        <v>2.1390880199822377</v>
      </c>
      <c r="O40" s="708">
        <f t="shared" si="14"/>
        <v>2.1707339979211664</v>
      </c>
      <c r="P40" s="708">
        <f t="shared" si="15"/>
        <v>0</v>
      </c>
      <c r="Q40" s="708">
        <f t="shared" si="16"/>
        <v>2.1978555733232166</v>
      </c>
      <c r="R40" s="708">
        <f t="shared" si="17"/>
        <v>2.2385379364262916</v>
      </c>
      <c r="S40" s="708">
        <f t="shared" si="18"/>
        <v>2.1707339979211664</v>
      </c>
      <c r="T40" s="708">
        <f t="shared" si="19"/>
        <v>0</v>
      </c>
      <c r="U40" s="708">
        <f t="shared" si="20"/>
        <v>2.2231723556743592</v>
      </c>
      <c r="V40" s="708">
        <f t="shared" si="21"/>
        <v>2.2231723556743592</v>
      </c>
      <c r="W40" s="708">
        <f t="shared" si="22"/>
        <v>0</v>
      </c>
      <c r="X40" s="708">
        <f t="shared" si="23"/>
        <v>0</v>
      </c>
      <c r="Y40" s="708">
        <f t="shared" si="24"/>
        <v>0</v>
      </c>
      <c r="Z40" s="708">
        <f t="shared" si="25"/>
        <v>0</v>
      </c>
      <c r="AA40" s="708">
        <f t="shared" si="26"/>
        <v>0</v>
      </c>
      <c r="AB40" s="547">
        <f t="shared" si="27"/>
        <v>0</v>
      </c>
      <c r="AC40" s="483"/>
      <c r="AE40" s="555"/>
      <c r="AF40" s="600" t="s">
        <v>749</v>
      </c>
      <c r="AG40" s="734">
        <f>INDEX(calcCh1MarkPlanEmp1Req,xxIndexTeam)</f>
        <v>0</v>
      </c>
      <c r="AH40" s="561" t="s">
        <v>6559</v>
      </c>
    </row>
    <row r="41" spans="4:40" ht="15.75" thickBot="1">
      <c r="D41" s="554"/>
      <c r="E41" s="548">
        <f t="shared" si="28"/>
        <v>1.369595138261875</v>
      </c>
      <c r="F41" s="720" t="s">
        <v>4768</v>
      </c>
      <c r="G41" s="720"/>
      <c r="H41" s="720"/>
      <c r="I41" s="720"/>
      <c r="J41" s="720"/>
      <c r="K41" s="608" t="s">
        <v>160</v>
      </c>
      <c r="L41" s="708">
        <f t="shared" si="11"/>
        <v>2.2389328143763518</v>
      </c>
      <c r="M41" s="708">
        <f t="shared" si="12"/>
        <v>2.3615935253726636</v>
      </c>
      <c r="N41" s="708">
        <f t="shared" si="13"/>
        <v>3.0910070593311993</v>
      </c>
      <c r="O41" s="708">
        <f t="shared" si="14"/>
        <v>1.7648006339520432</v>
      </c>
      <c r="P41" s="708">
        <f t="shared" si="15"/>
        <v>0</v>
      </c>
      <c r="Q41" s="708">
        <f t="shared" si="16"/>
        <v>2.468912242857455</v>
      </c>
      <c r="R41" s="708">
        <f t="shared" si="17"/>
        <v>2.598427751587026</v>
      </c>
      <c r="S41" s="708">
        <f t="shared" si="18"/>
        <v>2.3825685703710748</v>
      </c>
      <c r="T41" s="708">
        <f t="shared" si="19"/>
        <v>0</v>
      </c>
      <c r="U41" s="708">
        <f t="shared" si="20"/>
        <v>1.369595138261875</v>
      </c>
      <c r="V41" s="708">
        <f t="shared" si="21"/>
        <v>1.369595138261875</v>
      </c>
      <c r="W41" s="708">
        <f t="shared" si="22"/>
        <v>0</v>
      </c>
      <c r="X41" s="708">
        <f t="shared" si="23"/>
        <v>0</v>
      </c>
      <c r="Y41" s="708">
        <f t="shared" si="24"/>
        <v>0</v>
      </c>
      <c r="Z41" s="708">
        <f t="shared" si="25"/>
        <v>0</v>
      </c>
      <c r="AA41" s="708">
        <f t="shared" si="26"/>
        <v>0</v>
      </c>
      <c r="AB41" s="547">
        <f t="shared" si="27"/>
        <v>0</v>
      </c>
      <c r="AC41" s="483"/>
      <c r="AE41" s="546"/>
      <c r="AF41" s="544" t="s">
        <v>748</v>
      </c>
      <c r="AG41" s="574">
        <f>INDEX(calcCh1MarkPlanExp,xxIndexTeam)</f>
        <v>0</v>
      </c>
      <c r="AH41" s="733" t="s">
        <v>6560</v>
      </c>
    </row>
    <row r="42" spans="4:40" ht="15">
      <c r="D42" s="554"/>
      <c r="E42" s="548">
        <f t="shared" si="28"/>
        <v>0.25844210526315792</v>
      </c>
      <c r="F42" s="720" t="s">
        <v>4769</v>
      </c>
      <c r="G42" s="720"/>
      <c r="H42" s="720"/>
      <c r="I42" s="720"/>
      <c r="J42" s="720"/>
      <c r="K42" s="608" t="s">
        <v>519</v>
      </c>
      <c r="L42" s="708">
        <f t="shared" si="11"/>
        <v>0.26670558260530786</v>
      </c>
      <c r="M42" s="708">
        <f t="shared" si="12"/>
        <v>0.2659452631578948</v>
      </c>
      <c r="N42" s="708">
        <f t="shared" si="13"/>
        <v>0.27511578947368426</v>
      </c>
      <c r="O42" s="708">
        <f t="shared" si="14"/>
        <v>0.25844210526315792</v>
      </c>
      <c r="P42" s="708">
        <f t="shared" si="15"/>
        <v>0</v>
      </c>
      <c r="Q42" s="708">
        <f t="shared" si="16"/>
        <v>0.27178105263157892</v>
      </c>
      <c r="R42" s="708">
        <f t="shared" si="17"/>
        <v>0.29178947368421054</v>
      </c>
      <c r="S42" s="708">
        <f t="shared" si="18"/>
        <v>0.25844210526315792</v>
      </c>
      <c r="T42" s="708">
        <f t="shared" si="19"/>
        <v>0</v>
      </c>
      <c r="U42" s="708">
        <f t="shared" si="20"/>
        <v>0.25844210526315792</v>
      </c>
      <c r="V42" s="708">
        <f t="shared" si="21"/>
        <v>0.25844210526315792</v>
      </c>
      <c r="W42" s="708">
        <f t="shared" si="22"/>
        <v>0</v>
      </c>
      <c r="X42" s="708">
        <f t="shared" si="23"/>
        <v>0</v>
      </c>
      <c r="Y42" s="708">
        <f t="shared" si="24"/>
        <v>0</v>
      </c>
      <c r="Z42" s="708">
        <f t="shared" si="25"/>
        <v>0</v>
      </c>
      <c r="AA42" s="708">
        <f t="shared" si="26"/>
        <v>0</v>
      </c>
      <c r="AB42" s="547">
        <f t="shared" si="27"/>
        <v>0</v>
      </c>
      <c r="AC42" s="483"/>
    </row>
    <row r="43" spans="4:40" ht="15.75" thickBot="1">
      <c r="D43" s="554"/>
      <c r="E43" s="548">
        <f t="shared" si="28"/>
        <v>1.1111530329987169</v>
      </c>
      <c r="F43" s="720" t="s">
        <v>4770</v>
      </c>
      <c r="G43" s="720"/>
      <c r="H43" s="720"/>
      <c r="I43" s="720"/>
      <c r="J43" s="720"/>
      <c r="K43" s="608" t="s">
        <v>521</v>
      </c>
      <c r="L43" s="708">
        <f t="shared" si="11"/>
        <v>1.9722272317710441</v>
      </c>
      <c r="M43" s="708">
        <f t="shared" si="12"/>
        <v>2.0956482622147687</v>
      </c>
      <c r="N43" s="708">
        <f t="shared" si="13"/>
        <v>2.8158912698575151</v>
      </c>
      <c r="O43" s="708">
        <f t="shared" si="14"/>
        <v>1.5063585286888852</v>
      </c>
      <c r="P43" s="708">
        <f t="shared" si="15"/>
        <v>0</v>
      </c>
      <c r="Q43" s="708">
        <f t="shared" si="16"/>
        <v>2.1971311902258761</v>
      </c>
      <c r="R43" s="708">
        <f t="shared" si="17"/>
        <v>2.3066382779028149</v>
      </c>
      <c r="S43" s="708">
        <f t="shared" si="18"/>
        <v>2.1241264651079166</v>
      </c>
      <c r="T43" s="708">
        <f t="shared" si="19"/>
        <v>0</v>
      </c>
      <c r="U43" s="708">
        <f t="shared" si="20"/>
        <v>1.1111530329987169</v>
      </c>
      <c r="V43" s="708">
        <f t="shared" si="21"/>
        <v>1.1111530329987169</v>
      </c>
      <c r="W43" s="708">
        <f t="shared" si="22"/>
        <v>0</v>
      </c>
      <c r="X43" s="708">
        <f t="shared" si="23"/>
        <v>0</v>
      </c>
      <c r="Y43" s="708">
        <f t="shared" si="24"/>
        <v>0</v>
      </c>
      <c r="Z43" s="708">
        <f t="shared" si="25"/>
        <v>0</v>
      </c>
      <c r="AA43" s="708">
        <f t="shared" si="26"/>
        <v>0</v>
      </c>
      <c r="AB43" s="547">
        <f t="shared" si="27"/>
        <v>0</v>
      </c>
      <c r="AC43" s="483"/>
      <c r="AD43" s="628" t="s">
        <v>6547</v>
      </c>
      <c r="AE43" s="612" t="s">
        <v>6585</v>
      </c>
      <c r="AI43" s="801" t="s">
        <v>10266</v>
      </c>
      <c r="AJ43" s="802"/>
      <c r="AK43" s="802"/>
      <c r="AL43" s="802"/>
      <c r="AN43" s="702" t="s">
        <v>13373</v>
      </c>
    </row>
    <row r="44" spans="4:40" ht="15">
      <c r="D44" s="554"/>
      <c r="E44" s="553" t="str">
        <f t="shared" si="28"/>
        <v/>
      </c>
      <c r="F44" s="720" t="s">
        <v>4771</v>
      </c>
      <c r="G44" s="720"/>
      <c r="H44" s="720"/>
      <c r="I44" s="720"/>
      <c r="J44" s="551" t="s">
        <v>3762</v>
      </c>
      <c r="K44" s="608" t="s">
        <v>1394</v>
      </c>
      <c r="L44" s="703" t="str">
        <f>""</f>
        <v/>
      </c>
      <c r="M44" s="703" t="str">
        <f>""</f>
        <v/>
      </c>
      <c r="N44" s="703" t="str">
        <f>""</f>
        <v/>
      </c>
      <c r="O44" s="703" t="str">
        <f>""</f>
        <v/>
      </c>
      <c r="P44" s="703" t="str">
        <f>""</f>
        <v/>
      </c>
      <c r="Q44" s="703" t="str">
        <f>""</f>
        <v/>
      </c>
      <c r="R44" s="703" t="str">
        <f>""</f>
        <v/>
      </c>
      <c r="S44" s="703" t="str">
        <f>""</f>
        <v/>
      </c>
      <c r="T44" s="703" t="str">
        <f>""</f>
        <v/>
      </c>
      <c r="U44" s="703" t="str">
        <f>""</f>
        <v/>
      </c>
      <c r="V44" s="703" t="str">
        <f>""</f>
        <v/>
      </c>
      <c r="W44" s="703" t="str">
        <f>""</f>
        <v/>
      </c>
      <c r="X44" s="703" t="str">
        <f>""</f>
        <v/>
      </c>
      <c r="Y44" s="703" t="str">
        <f>""</f>
        <v/>
      </c>
      <c r="Z44" s="703" t="str">
        <f>""</f>
        <v/>
      </c>
      <c r="AA44" s="703" t="str">
        <f>""</f>
        <v/>
      </c>
      <c r="AB44" s="550" t="str">
        <f>""</f>
        <v/>
      </c>
      <c r="AC44" s="483"/>
      <c r="AE44" s="555"/>
      <c r="AF44" s="600"/>
      <c r="AG44" s="734">
        <f>INDEX(calcCh1Prod1SlotsNextEmp1Req,,xxIndexTeam)</f>
        <v>5</v>
      </c>
      <c r="AH44" s="561" t="s">
        <v>6561</v>
      </c>
      <c r="AI44" s="555"/>
      <c r="AJ44" s="600"/>
      <c r="AK44" s="734">
        <f>IF(AND(SUM(INDEX(calcCh1Prod1Slot1Active,,xxIndexTeam)+INDEX(calcCh1Prod1Slot2Active,,xxIndexTeam)+INDEX(calcCh1Prod1Slot3Active,,xxIndexTeam))&lt;tlOutputCh1NewSlotAvailGaugeMax,tlOutputCh1NewSlotAvailGaugeValue&gt;0),1,0)</f>
        <v>1</v>
      </c>
      <c r="AL44" s="561" t="s">
        <v>10267</v>
      </c>
      <c r="AN44" s="984">
        <f>IF(AND(SUM(INDEX(calcCh1Prod1Slot1Active,,xxIndexTeam)+INDEX(calcCh1Prod1Slot2Active,,xxIndexTeam)+INDEX(calcCh1Prod1Slot3Active,,xxIndexTeam))&lt;tlOutputCh1NewSlotAvailGaugeMax,tlOutputCh1NewSlotAvailGaugeValue&gt;0),1,0)</f>
        <v>1</v>
      </c>
    </row>
    <row r="45" spans="4:40" ht="15">
      <c r="D45" s="554"/>
      <c r="E45" s="553" t="str">
        <f t="shared" si="28"/>
        <v/>
      </c>
      <c r="F45" s="720" t="s">
        <v>4772</v>
      </c>
      <c r="G45" s="720"/>
      <c r="H45" s="720"/>
      <c r="I45" s="720"/>
      <c r="J45" s="551" t="s">
        <v>3764</v>
      </c>
      <c r="K45" s="608" t="s">
        <v>1395</v>
      </c>
      <c r="L45" s="703" t="str">
        <f>""</f>
        <v/>
      </c>
      <c r="M45" s="703" t="str">
        <f>""</f>
        <v/>
      </c>
      <c r="N45" s="703" t="str">
        <f>""</f>
        <v/>
      </c>
      <c r="O45" s="703" t="str">
        <f>""</f>
        <v/>
      </c>
      <c r="P45" s="703" t="str">
        <f>""</f>
        <v/>
      </c>
      <c r="Q45" s="703" t="str">
        <f>""</f>
        <v/>
      </c>
      <c r="R45" s="703" t="str">
        <f>""</f>
        <v/>
      </c>
      <c r="S45" s="703" t="str">
        <f>""</f>
        <v/>
      </c>
      <c r="T45" s="703" t="str">
        <f>""</f>
        <v/>
      </c>
      <c r="U45" s="703" t="str">
        <f>""</f>
        <v/>
      </c>
      <c r="V45" s="703" t="str">
        <f>""</f>
        <v/>
      </c>
      <c r="W45" s="703" t="str">
        <f>""</f>
        <v/>
      </c>
      <c r="X45" s="703" t="str">
        <f>""</f>
        <v/>
      </c>
      <c r="Y45" s="703" t="str">
        <f>""</f>
        <v/>
      </c>
      <c r="Z45" s="703" t="str">
        <f>""</f>
        <v/>
      </c>
      <c r="AA45" s="703" t="str">
        <f>""</f>
        <v/>
      </c>
      <c r="AB45" s="550" t="str">
        <f>""</f>
        <v/>
      </c>
      <c r="AC45" s="483"/>
      <c r="AE45" s="554"/>
      <c r="AF45" s="720"/>
      <c r="AG45" s="553">
        <f>INDEX(calcCh1Prod2SlotsNextEmp1Req,,xxIndexTeam)</f>
        <v>5</v>
      </c>
      <c r="AH45" s="584" t="s">
        <v>6562</v>
      </c>
      <c r="AI45" s="554"/>
      <c r="AJ45" s="720"/>
      <c r="AK45" s="553">
        <f>IF((SUM(INDEX(calcCh1Prod1Slot1Active,,xxIndexTeam)+INDEX(calcCh1Prod1Slot2Active,,xxIndexTeam)+INDEX(calcCh1Prod1Slot3Active,,xxIndexTeam)))&gt;(SUM(INDEX(obalCh1Prod1Slot1Active,,xxIndexTeam)+INDEX(obalCh1Prod1Slot2Active,,xxIndexTeam)+INDEX(obalCh1Prod1Slot3Active,,xxIndexTeam))),1,0)</f>
        <v>0</v>
      </c>
      <c r="AL45" s="584" t="s">
        <v>10268</v>
      </c>
      <c r="AN45" s="985">
        <f>IF((SUM(INDEX(calcCh1Prod1Slot1Active,,xxIndexTeam)+INDEX(calcCh1Prod1Slot2Active,,xxIndexTeam)+INDEX(calcCh1Prod1Slot3Active,,xxIndexTeam)))&gt;(SUM(INDEX(obalCh1Prod1Slot1Active,,xxIndexTeam)+INDEX(obalCh1Prod1Slot2Active,,xxIndexTeam)+INDEX(obalCh1Prod1Slot3Active,,xxIndexTeam))),1,0)</f>
        <v>0</v>
      </c>
    </row>
    <row r="46" spans="4:40" ht="15">
      <c r="D46" s="554"/>
      <c r="E46" s="553" t="str">
        <f t="shared" si="28"/>
        <v/>
      </c>
      <c r="F46" s="720" t="s">
        <v>4773</v>
      </c>
      <c r="G46" s="720"/>
      <c r="H46" s="720"/>
      <c r="I46" s="720"/>
      <c r="J46" s="720"/>
      <c r="K46" s="608" t="s">
        <v>694</v>
      </c>
      <c r="L46" s="703" t="str">
        <f>""</f>
        <v/>
      </c>
      <c r="M46" s="703" t="str">
        <f>""</f>
        <v/>
      </c>
      <c r="N46" s="703" t="str">
        <f>""</f>
        <v/>
      </c>
      <c r="O46" s="703" t="str">
        <f>""</f>
        <v/>
      </c>
      <c r="P46" s="703" t="str">
        <f>""</f>
        <v/>
      </c>
      <c r="Q46" s="703" t="str">
        <f>""</f>
        <v/>
      </c>
      <c r="R46" s="703" t="str">
        <f>""</f>
        <v/>
      </c>
      <c r="S46" s="703" t="str">
        <f>""</f>
        <v/>
      </c>
      <c r="T46" s="703" t="str">
        <f>""</f>
        <v/>
      </c>
      <c r="U46" s="703" t="str">
        <f>""</f>
        <v/>
      </c>
      <c r="V46" s="703" t="str">
        <f>""</f>
        <v/>
      </c>
      <c r="W46" s="703" t="str">
        <f>""</f>
        <v/>
      </c>
      <c r="X46" s="703" t="str">
        <f>""</f>
        <v/>
      </c>
      <c r="Y46" s="703" t="str">
        <f>""</f>
        <v/>
      </c>
      <c r="Z46" s="703" t="str">
        <f>""</f>
        <v/>
      </c>
      <c r="AA46" s="703" t="str">
        <f>""</f>
        <v/>
      </c>
      <c r="AB46" s="550" t="str">
        <f>""</f>
        <v/>
      </c>
      <c r="AC46" s="483"/>
      <c r="AE46" s="554"/>
      <c r="AF46" s="720"/>
      <c r="AG46" s="553">
        <f>INDEX(calcCh1Prod3SlotsNextEmp1Req,,xxIndexTeam)</f>
        <v>5</v>
      </c>
      <c r="AH46" s="584" t="s">
        <v>6563</v>
      </c>
      <c r="AI46" s="554"/>
      <c r="AJ46" s="720"/>
      <c r="AK46" s="553">
        <f>IF(AND(SUM(INDEX(calcCh1Prod2Slot1Active,,xxIndexTeam)+INDEX(calcCh1Prod2Slot2Active,,xxIndexTeam)+INDEX(calcCh1Prod2Slot3Active,,xxIndexTeam))&lt;tlOutputCh1NewSlotAvailGaugeMax,tlOutputCh1NewSlotAvailGaugeValue&gt;0),1,0)</f>
        <v>1</v>
      </c>
      <c r="AL46" s="584" t="s">
        <v>10274</v>
      </c>
      <c r="AN46" s="985">
        <f>IF(AND(SUM(INDEX(calcCh1Prod2Slot1Active,,xxIndexTeam)+INDEX(calcCh1Prod2Slot2Active,,xxIndexTeam)+INDEX(calcCh1Prod2Slot3Active,,xxIndexTeam))&lt;tlOutputCh1NewSlotAvailGaugeMax,tlOutputCh1NewSlotAvailGaugeValue&gt;0),1,0)</f>
        <v>1</v>
      </c>
    </row>
    <row r="47" spans="4:40" ht="15">
      <c r="D47" s="554"/>
      <c r="E47" s="553" t="str">
        <f t="shared" si="28"/>
        <v/>
      </c>
      <c r="F47" s="720" t="s">
        <v>4774</v>
      </c>
      <c r="G47" s="720"/>
      <c r="H47" s="720"/>
      <c r="I47" s="720"/>
      <c r="J47" s="720"/>
      <c r="K47" s="608" t="s">
        <v>1396</v>
      </c>
      <c r="L47" s="703" t="str">
        <f>""</f>
        <v/>
      </c>
      <c r="M47" s="703" t="str">
        <f>""</f>
        <v/>
      </c>
      <c r="N47" s="703" t="str">
        <f>""</f>
        <v/>
      </c>
      <c r="O47" s="703" t="str">
        <f>""</f>
        <v/>
      </c>
      <c r="P47" s="703" t="str">
        <f>""</f>
        <v/>
      </c>
      <c r="Q47" s="703" t="str">
        <f>""</f>
        <v/>
      </c>
      <c r="R47" s="703" t="str">
        <f>""</f>
        <v/>
      </c>
      <c r="S47" s="703" t="str">
        <f>""</f>
        <v/>
      </c>
      <c r="T47" s="703" t="str">
        <f>""</f>
        <v/>
      </c>
      <c r="U47" s="703" t="str">
        <f>""</f>
        <v/>
      </c>
      <c r="V47" s="703" t="str">
        <f>""</f>
        <v/>
      </c>
      <c r="W47" s="703" t="str">
        <f>""</f>
        <v/>
      </c>
      <c r="X47" s="703" t="str">
        <f>""</f>
        <v/>
      </c>
      <c r="Y47" s="703" t="str">
        <f>""</f>
        <v/>
      </c>
      <c r="Z47" s="703" t="str">
        <f>""</f>
        <v/>
      </c>
      <c r="AA47" s="703" t="str">
        <f>""</f>
        <v/>
      </c>
      <c r="AB47" s="550" t="str">
        <f>""</f>
        <v/>
      </c>
      <c r="AC47" s="483"/>
      <c r="AE47" s="554"/>
      <c r="AF47" s="720"/>
      <c r="AG47" s="553">
        <f>INDEX(calcCh1Prod4SlotsNextEmp1Req,,xxIndexTeam)</f>
        <v>6</v>
      </c>
      <c r="AH47" s="584" t="s">
        <v>6564</v>
      </c>
      <c r="AI47" s="554"/>
      <c r="AJ47" s="720"/>
      <c r="AK47" s="553">
        <f>IF((SUM(INDEX(calcCh1Prod2Slot1Active,,xxIndexTeam)+INDEX(calcCh1Prod2Slot2Active,,xxIndexTeam)+INDEX(calcCh1Prod2Slot3Active,,xxIndexTeam)))&gt;(SUM(INDEX(obalCh1Prod2Slot1Active,,xxIndexTeam)+INDEX(obalCh1Prod2Slot2Active,,xxIndexTeam)+INDEX(obalCh1Prod2Slot3Active,,xxIndexTeam))),1,0)</f>
        <v>0</v>
      </c>
      <c r="AL47" s="584" t="s">
        <v>10273</v>
      </c>
      <c r="AN47" s="985">
        <f>IF((SUM(INDEX(calcCh1Prod2Slot1Active,,xxIndexTeam)+INDEX(calcCh1Prod2Slot2Active,,xxIndexTeam)+INDEX(calcCh1Prod2Slot3Active,,xxIndexTeam)))&gt;(SUM(INDEX(obalCh1Prod2Slot1Active,,xxIndexTeam)+INDEX(obalCh1Prod2Slot2Active,,xxIndexTeam)+INDEX(obalCh1Prod2Slot3Active,,xxIndexTeam))),1,0)</f>
        <v>0</v>
      </c>
    </row>
    <row r="48" spans="4:40" ht="15">
      <c r="D48" s="554"/>
      <c r="E48" s="604">
        <f t="shared" si="28"/>
        <v>1</v>
      </c>
      <c r="F48" s="720" t="s">
        <v>4775</v>
      </c>
      <c r="G48" s="720"/>
      <c r="H48" s="720"/>
      <c r="I48" s="720"/>
      <c r="J48" s="720"/>
      <c r="K48" s="608" t="s">
        <v>1397</v>
      </c>
      <c r="L48" s="705">
        <f t="shared" ref="L48:X48" si="29">IF(L$35=0,0%,L35/L$35)</f>
        <v>1</v>
      </c>
      <c r="M48" s="705">
        <f t="shared" si="29"/>
        <v>1</v>
      </c>
      <c r="N48" s="705">
        <f t="shared" si="29"/>
        <v>1</v>
      </c>
      <c r="O48" s="705">
        <f t="shared" si="29"/>
        <v>1</v>
      </c>
      <c r="P48" s="705">
        <f t="shared" si="29"/>
        <v>0</v>
      </c>
      <c r="Q48" s="705">
        <f t="shared" si="29"/>
        <v>1</v>
      </c>
      <c r="R48" s="705">
        <f t="shared" si="29"/>
        <v>1</v>
      </c>
      <c r="S48" s="705">
        <f t="shared" si="29"/>
        <v>1</v>
      </c>
      <c r="T48" s="705">
        <f t="shared" si="29"/>
        <v>0</v>
      </c>
      <c r="U48" s="705">
        <f t="shared" si="29"/>
        <v>1</v>
      </c>
      <c r="V48" s="705">
        <f t="shared" si="29"/>
        <v>1</v>
      </c>
      <c r="W48" s="705">
        <f t="shared" si="29"/>
        <v>0</v>
      </c>
      <c r="X48" s="705">
        <f t="shared" si="29"/>
        <v>0</v>
      </c>
      <c r="Y48" s="705">
        <f t="shared" ref="Y48:AB48" si="30">IF(Y$35=0,0%,Y35/Y$35)</f>
        <v>0</v>
      </c>
      <c r="Z48" s="705">
        <f t="shared" si="30"/>
        <v>0</v>
      </c>
      <c r="AA48" s="705">
        <f t="shared" si="30"/>
        <v>0</v>
      </c>
      <c r="AB48" s="549">
        <f t="shared" si="30"/>
        <v>0</v>
      </c>
      <c r="AC48" s="483"/>
      <c r="AE48" s="554"/>
      <c r="AF48" s="720"/>
      <c r="AG48" s="585">
        <f>INDEX(calcCh1Prod1SlotsNextExp,,xxIndexTeam)</f>
        <v>5000000</v>
      </c>
      <c r="AH48" s="584" t="s">
        <v>4445</v>
      </c>
      <c r="AI48" s="554"/>
      <c r="AJ48" s="720"/>
      <c r="AK48" s="585">
        <f>IF(AND(SUM(INDEX(calcCh1Prod3Slot1Active,,xxIndexTeam)+INDEX(calcCh1Prod3Slot2Active,,xxIndexTeam)+INDEX(calcCh1Prod3Slot3Active,,xxIndexTeam))&lt;tlOutputCh1NewSlotAvailGaugeMax,tlOutputCh1NewSlotAvailGaugeValue&gt;0),1,0)</f>
        <v>1</v>
      </c>
      <c r="AL48" s="584" t="s">
        <v>10272</v>
      </c>
      <c r="AN48" s="603">
        <f>IF(AND(SUM(INDEX(calcCh1Prod3Slot1Active,,xxIndexTeam)+INDEX(calcCh1Prod3Slot2Active,,xxIndexTeam)+INDEX(calcCh1Prod3Slot3Active,,xxIndexTeam))&lt;tlOutputCh1NewSlotAvailGaugeMax,tlOutputCh1NewSlotAvailGaugeValue&gt;0),1,0)</f>
        <v>1</v>
      </c>
    </row>
    <row r="49" spans="4:46" ht="15">
      <c r="D49" s="554"/>
      <c r="E49" s="604">
        <f t="shared" si="28"/>
        <v>0.42334952166180884</v>
      </c>
      <c r="F49" s="720" t="s">
        <v>4776</v>
      </c>
      <c r="G49" s="720"/>
      <c r="H49" s="720"/>
      <c r="I49" s="720"/>
      <c r="J49" s="720"/>
      <c r="K49" s="608" t="s">
        <v>1398</v>
      </c>
      <c r="L49" s="705">
        <f t="shared" ref="L49:L56" si="31">IF(L$35=0,0%,L36/L$35)</f>
        <v>0.35512029312192706</v>
      </c>
      <c r="M49" s="705">
        <f t="shared" ref="M49:X49" si="32">IF(M$35=0,0%,M36/M$35)</f>
        <v>0.34641971652503067</v>
      </c>
      <c r="N49" s="705">
        <f t="shared" si="32"/>
        <v>0.30957854024568621</v>
      </c>
      <c r="O49" s="705">
        <f t="shared" si="32"/>
        <v>0.38647770691222372</v>
      </c>
      <c r="P49" s="705">
        <f t="shared" si="32"/>
        <v>0</v>
      </c>
      <c r="Q49" s="705">
        <f t="shared" si="32"/>
        <v>0.34274245109306645</v>
      </c>
      <c r="R49" s="705">
        <f t="shared" si="32"/>
        <v>0.35502712046430207</v>
      </c>
      <c r="S49" s="705">
        <f t="shared" si="32"/>
        <v>0.33404246196853649</v>
      </c>
      <c r="T49" s="705">
        <f t="shared" si="32"/>
        <v>0</v>
      </c>
      <c r="U49" s="705">
        <f t="shared" si="32"/>
        <v>0.42334952166180884</v>
      </c>
      <c r="V49" s="705">
        <f t="shared" si="32"/>
        <v>0.42334952166180884</v>
      </c>
      <c r="W49" s="705">
        <f t="shared" si="32"/>
        <v>0</v>
      </c>
      <c r="X49" s="705">
        <f t="shared" si="32"/>
        <v>0</v>
      </c>
      <c r="Y49" s="705">
        <f t="shared" ref="Y49:AB49" si="33">IF(Y$35=0,0%,Y36/Y$35)</f>
        <v>0</v>
      </c>
      <c r="Z49" s="705">
        <f t="shared" si="33"/>
        <v>0</v>
      </c>
      <c r="AA49" s="705">
        <f t="shared" si="33"/>
        <v>0</v>
      </c>
      <c r="AB49" s="549">
        <f t="shared" si="33"/>
        <v>0</v>
      </c>
      <c r="AC49" s="483"/>
      <c r="AE49" s="554"/>
      <c r="AF49" s="720"/>
      <c r="AG49" s="585">
        <f>INDEX(calcCh1Prod2SlotsNextExp,,xxIndexTeam)</f>
        <v>5000000</v>
      </c>
      <c r="AH49" s="584" t="s">
        <v>4446</v>
      </c>
      <c r="AI49" s="554"/>
      <c r="AJ49" s="720"/>
      <c r="AK49" s="553">
        <f>IF((SUM(INDEX(calcCh1Prod3Slot1Active,,xxIndexTeam)+INDEX(calcCh1Prod3Slot2Active,,xxIndexTeam)+INDEX(calcCh1Prod3Slot3Active,,xxIndexTeam)))&gt;(SUM(INDEX(obalCh1Prod3Slot1Active,,xxIndexTeam)+INDEX(obalCh1Prod3Slot2Active,,xxIndexTeam)+INDEX(obalCh1Prod3Slot3Active,,xxIndexTeam))),1,0)</f>
        <v>0</v>
      </c>
      <c r="AL49" s="584" t="s">
        <v>10271</v>
      </c>
      <c r="AN49" s="603">
        <f>IF((SUM(INDEX(calcCh1Prod3Slot1Active,,xxIndexTeam)+INDEX(calcCh1Prod3Slot2Active,,xxIndexTeam)+INDEX(calcCh1Prod3Slot3Active,,xxIndexTeam)))&gt;(SUM(INDEX(obalCh1Prod3Slot1Active,,xxIndexTeam)+INDEX(obalCh1Prod3Slot2Active,,xxIndexTeam)+INDEX(obalCh1Prod3Slot3Active,,xxIndexTeam))),1,0)</f>
        <v>0</v>
      </c>
    </row>
    <row r="50" spans="4:46" ht="15">
      <c r="D50" s="554"/>
      <c r="E50" s="604">
        <f t="shared" si="28"/>
        <v>6.2257282597324819E-2</v>
      </c>
      <c r="F50" s="720" t="s">
        <v>4777</v>
      </c>
      <c r="G50" s="720"/>
      <c r="H50" s="720"/>
      <c r="I50" s="720"/>
      <c r="J50" s="720"/>
      <c r="K50" s="608" t="s">
        <v>575</v>
      </c>
      <c r="L50" s="705">
        <f t="shared" si="31"/>
        <v>5.2223572517930451E-2</v>
      </c>
      <c r="M50" s="705">
        <f t="shared" ref="M50:X50" si="34">IF(M$35=0,0%,M37/M$35)</f>
        <v>5.0944075959563337E-2</v>
      </c>
      <c r="N50" s="705">
        <f t="shared" si="34"/>
        <v>4.552625591848327E-2</v>
      </c>
      <c r="O50" s="705">
        <f t="shared" si="34"/>
        <v>5.6834956898856426E-2</v>
      </c>
      <c r="P50" s="705">
        <f t="shared" si="34"/>
        <v>0</v>
      </c>
      <c r="Q50" s="705">
        <f t="shared" si="34"/>
        <v>5.0403301631333296E-2</v>
      </c>
      <c r="R50" s="705">
        <f t="shared" si="34"/>
        <v>5.2209870656515014E-2</v>
      </c>
      <c r="S50" s="705">
        <f t="shared" si="34"/>
        <v>4.9123891465961245E-2</v>
      </c>
      <c r="T50" s="705">
        <f t="shared" si="34"/>
        <v>0</v>
      </c>
      <c r="U50" s="705">
        <f t="shared" si="34"/>
        <v>6.2257282597324819E-2</v>
      </c>
      <c r="V50" s="705">
        <f t="shared" si="34"/>
        <v>6.2257282597324819E-2</v>
      </c>
      <c r="W50" s="705">
        <f t="shared" si="34"/>
        <v>0</v>
      </c>
      <c r="X50" s="705">
        <f t="shared" si="34"/>
        <v>0</v>
      </c>
      <c r="Y50" s="705">
        <f t="shared" ref="Y50:AB50" si="35">IF(Y$35=0,0%,Y37/Y$35)</f>
        <v>0</v>
      </c>
      <c r="Z50" s="705">
        <f t="shared" si="35"/>
        <v>0</v>
      </c>
      <c r="AA50" s="705">
        <f t="shared" si="35"/>
        <v>0</v>
      </c>
      <c r="AB50" s="549">
        <f t="shared" si="35"/>
        <v>0</v>
      </c>
      <c r="AC50" s="483"/>
      <c r="AE50" s="554"/>
      <c r="AF50" s="720"/>
      <c r="AG50" s="585">
        <f>INDEX(calcCh1Prod3SlotsNextExp,,xxIndexTeam)</f>
        <v>5000000</v>
      </c>
      <c r="AH50" s="584" t="s">
        <v>4447</v>
      </c>
      <c r="AI50" s="554"/>
      <c r="AJ50" s="720"/>
      <c r="AK50" s="585">
        <f>IF(AND(SUM(INDEX(calcCh1Prod4Slot1Active,,xxIndexTeam)+INDEX(calcCh1Prod4Slot2Active,,xxIndexTeam)+INDEX(calcCh1Prod4Slot3Active,,xxIndexTeam))&lt;tlOutputCh1NewSlotAvailGaugeMax,tlOutputCh1NewSlotAvailGaugeValue&gt;0),1,0)</f>
        <v>1</v>
      </c>
      <c r="AL50" s="584" t="s">
        <v>10270</v>
      </c>
      <c r="AN50" s="603">
        <f>IF(AND(SUM(INDEX(calcCh1Prod4Slot1Active,,xxIndexTeam)+INDEX(calcCh1Prod4Slot2Active,,xxIndexTeam)+INDEX(calcCh1Prod4Slot3Active,,xxIndexTeam))&lt;tlOutputCh1NewSlotAvailGaugeMax,tlOutputCh1NewSlotAvailGaugeValue&gt;0),1,0)</f>
        <v>1</v>
      </c>
    </row>
    <row r="51" spans="4:46" ht="15.75" thickBot="1">
      <c r="D51" s="554"/>
      <c r="E51" s="604">
        <f t="shared" si="28"/>
        <v>9.2165162526901045E-2</v>
      </c>
      <c r="F51" s="720" t="s">
        <v>4778</v>
      </c>
      <c r="G51" s="720"/>
      <c r="H51" s="720"/>
      <c r="I51" s="720"/>
      <c r="J51" s="720"/>
      <c r="K51" s="608" t="s">
        <v>1399</v>
      </c>
      <c r="L51" s="705">
        <f t="shared" si="31"/>
        <v>5.9588774798639138E-2</v>
      </c>
      <c r="M51" s="705">
        <f t="shared" ref="M51:X51" si="36">IF(M$35=0,0%,M38/M$35)</f>
        <v>5.5318458725106448E-2</v>
      </c>
      <c r="N51" s="705">
        <f t="shared" si="36"/>
        <v>3.7293394678707112E-2</v>
      </c>
      <c r="O51" s="705">
        <f t="shared" si="36"/>
        <v>7.4917394351492236E-2</v>
      </c>
      <c r="P51" s="705">
        <f t="shared" si="36"/>
        <v>0</v>
      </c>
      <c r="Q51" s="705">
        <f t="shared" si="36"/>
        <v>5.3847632858165594E-2</v>
      </c>
      <c r="R51" s="705">
        <f t="shared" si="36"/>
        <v>3.8448897923934994E-2</v>
      </c>
      <c r="S51" s="705">
        <f t="shared" si="36"/>
        <v>6.4752999735438743E-2</v>
      </c>
      <c r="T51" s="705">
        <f t="shared" si="36"/>
        <v>0</v>
      </c>
      <c r="U51" s="705">
        <f t="shared" si="36"/>
        <v>9.2165162526901045E-2</v>
      </c>
      <c r="V51" s="705">
        <f t="shared" si="36"/>
        <v>9.2165162526901045E-2</v>
      </c>
      <c r="W51" s="705">
        <f t="shared" si="36"/>
        <v>0</v>
      </c>
      <c r="X51" s="705">
        <f t="shared" si="36"/>
        <v>0</v>
      </c>
      <c r="Y51" s="705">
        <f t="shared" ref="Y51:AB51" si="37">IF(Y$35=0,0%,Y38/Y$35)</f>
        <v>0</v>
      </c>
      <c r="Z51" s="705">
        <f t="shared" si="37"/>
        <v>0</v>
      </c>
      <c r="AA51" s="705">
        <f t="shared" si="37"/>
        <v>0</v>
      </c>
      <c r="AB51" s="549">
        <f t="shared" si="37"/>
        <v>0</v>
      </c>
      <c r="AC51" s="483"/>
      <c r="AE51" s="546"/>
      <c r="AF51" s="544"/>
      <c r="AG51" s="574">
        <f>INDEX(calcCh1Prod4SlotsNextExp,,xxIndexTeam)</f>
        <v>15000000</v>
      </c>
      <c r="AH51" s="733" t="s">
        <v>4448</v>
      </c>
      <c r="AI51" s="546"/>
      <c r="AJ51" s="544"/>
      <c r="AK51" s="574">
        <f>IF((SUM(INDEX(calcCh1Prod4Slot1Active,,xxIndexTeam)+INDEX(calcCh1Prod4Slot2Active,,xxIndexTeam)+INDEX(calcCh1Prod4Slot3Active,,xxIndexTeam)))&gt;(SUM(INDEX(obalCh1Prod4Slot1Active,,xxIndexTeam)+INDEX(obalCh1Prod4Slot2Active,,xxIndexTeam)+INDEX(obalCh1Prod4Slot3Active,,xxIndexTeam))),1,0)</f>
        <v>0</v>
      </c>
      <c r="AL51" s="733" t="s">
        <v>10269</v>
      </c>
      <c r="AM51" s="613"/>
      <c r="AN51" s="602">
        <f>IF((SUM(INDEX(calcCh1Prod4Slot1Active,,xxIndexTeam)+INDEX(calcCh1Prod4Slot2Active,,xxIndexTeam)+INDEX(calcCh1Prod4Slot3Active,,xxIndexTeam)))&gt;(SUM(INDEX(obalCh1Prod4Slot1Active,,xxIndexTeam)+INDEX(obalCh1Prod4Slot2Active,,xxIndexTeam)+INDEX(obalCh1Prod4Slot3Active,,xxIndexTeam))),1,0)</f>
        <v>0</v>
      </c>
      <c r="AO51" s="613"/>
      <c r="AP51" s="613"/>
      <c r="AQ51" s="613"/>
      <c r="AR51" s="613"/>
      <c r="AS51" s="613"/>
      <c r="AT51" s="613"/>
    </row>
    <row r="52" spans="4:46" ht="15">
      <c r="D52" s="554"/>
      <c r="E52" s="604">
        <f t="shared" si="28"/>
        <v>4.1019079232546635E-2</v>
      </c>
      <c r="F52" s="720" t="s">
        <v>4779</v>
      </c>
      <c r="G52" s="720"/>
      <c r="H52" s="720"/>
      <c r="I52" s="720"/>
      <c r="J52" s="720"/>
      <c r="K52" s="608" t="s">
        <v>398</v>
      </c>
      <c r="L52" s="705">
        <f t="shared" si="31"/>
        <v>2.6520613731054014E-2</v>
      </c>
      <c r="M52" s="705">
        <f t="shared" ref="M52:X52" si="38">IF(M$35=0,0%,M39/M$35)</f>
        <v>2.4620064450113638E-2</v>
      </c>
      <c r="N52" s="705">
        <f t="shared" si="38"/>
        <v>1.6597819276128564E-2</v>
      </c>
      <c r="O52" s="705">
        <f t="shared" si="38"/>
        <v>3.3342777797444295E-2</v>
      </c>
      <c r="P52" s="705">
        <f t="shared" si="38"/>
        <v>0</v>
      </c>
      <c r="Q52" s="705">
        <f t="shared" si="38"/>
        <v>2.3965457859953101E-2</v>
      </c>
      <c r="R52" s="705">
        <f t="shared" si="38"/>
        <v>1.711208820236881E-2</v>
      </c>
      <c r="S52" s="705">
        <f t="shared" si="38"/>
        <v>2.8819006595011118E-2</v>
      </c>
      <c r="T52" s="705">
        <f t="shared" si="38"/>
        <v>0</v>
      </c>
      <c r="U52" s="705">
        <f t="shared" si="38"/>
        <v>4.1019079232546635E-2</v>
      </c>
      <c r="V52" s="705">
        <f t="shared" si="38"/>
        <v>4.1019079232546635E-2</v>
      </c>
      <c r="W52" s="705">
        <f t="shared" si="38"/>
        <v>0</v>
      </c>
      <c r="X52" s="705">
        <f t="shared" si="38"/>
        <v>0</v>
      </c>
      <c r="Y52" s="705">
        <f t="shared" ref="Y52:AB52" si="39">IF(Y$35=0,0%,Y39/Y$35)</f>
        <v>0</v>
      </c>
      <c r="Z52" s="705">
        <f t="shared" si="39"/>
        <v>0</v>
      </c>
      <c r="AA52" s="705">
        <f t="shared" si="39"/>
        <v>0</v>
      </c>
      <c r="AB52" s="549">
        <f t="shared" si="39"/>
        <v>0</v>
      </c>
      <c r="AC52" s="483"/>
      <c r="AD52" s="613"/>
      <c r="AE52" s="613"/>
      <c r="AF52" s="613"/>
      <c r="AG52" s="613"/>
      <c r="AH52" s="613"/>
      <c r="AI52" s="613"/>
      <c r="AJ52" s="613"/>
      <c r="AK52" s="613"/>
      <c r="AL52" s="613"/>
      <c r="AM52" s="613"/>
      <c r="AN52" s="613"/>
      <c r="AO52" s="613"/>
      <c r="AP52" s="613"/>
      <c r="AQ52" s="613"/>
      <c r="AR52" s="613"/>
      <c r="AS52" s="613"/>
      <c r="AT52" s="613"/>
    </row>
    <row r="53" spans="4:46" ht="15.75" thickBot="1">
      <c r="D53" s="554"/>
      <c r="E53" s="604">
        <f t="shared" si="28"/>
        <v>0.61879104601858126</v>
      </c>
      <c r="F53" s="720" t="s">
        <v>4780</v>
      </c>
      <c r="G53" s="720"/>
      <c r="H53" s="720"/>
      <c r="I53" s="720"/>
      <c r="J53" s="720"/>
      <c r="K53" s="608" t="s">
        <v>157</v>
      </c>
      <c r="L53" s="705">
        <f t="shared" si="31"/>
        <v>0.49345325416955071</v>
      </c>
      <c r="M53" s="705">
        <f t="shared" ref="M53:X53" si="40">IF(M$35=0,0%,M40/M$35)</f>
        <v>0.47730231565981412</v>
      </c>
      <c r="N53" s="705">
        <f t="shared" si="40"/>
        <v>0.40899601011900516</v>
      </c>
      <c r="O53" s="705">
        <f t="shared" si="40"/>
        <v>0.55157283596001672</v>
      </c>
      <c r="P53" s="705">
        <f t="shared" si="40"/>
        <v>0</v>
      </c>
      <c r="Q53" s="705">
        <f t="shared" si="40"/>
        <v>0.47095884344251843</v>
      </c>
      <c r="R53" s="705">
        <f t="shared" si="40"/>
        <v>0.46279797724712085</v>
      </c>
      <c r="S53" s="705">
        <f t="shared" si="40"/>
        <v>0.47673835976494761</v>
      </c>
      <c r="T53" s="705">
        <f t="shared" si="40"/>
        <v>0</v>
      </c>
      <c r="U53" s="705">
        <f t="shared" si="40"/>
        <v>0.61879104601858126</v>
      </c>
      <c r="V53" s="705">
        <f t="shared" si="40"/>
        <v>0.61879104601858126</v>
      </c>
      <c r="W53" s="705">
        <f t="shared" si="40"/>
        <v>0</v>
      </c>
      <c r="X53" s="705">
        <f t="shared" si="40"/>
        <v>0</v>
      </c>
      <c r="Y53" s="705">
        <f t="shared" ref="Y53:AB53" si="41">IF(Y$35=0,0%,Y40/Y$35)</f>
        <v>0</v>
      </c>
      <c r="Z53" s="705">
        <f t="shared" si="41"/>
        <v>0</v>
      </c>
      <c r="AA53" s="705">
        <f t="shared" si="41"/>
        <v>0</v>
      </c>
      <c r="AB53" s="549">
        <f t="shared" si="41"/>
        <v>0</v>
      </c>
      <c r="AC53" s="483"/>
      <c r="AD53" s="628" t="s">
        <v>6547</v>
      </c>
      <c r="AE53" s="612" t="s">
        <v>6600</v>
      </c>
      <c r="AF53" s="613"/>
      <c r="AG53" s="613"/>
      <c r="AH53" s="613"/>
      <c r="AI53" s="613"/>
      <c r="AJ53" s="613"/>
      <c r="AK53" s="613"/>
      <c r="AL53" s="613"/>
      <c r="AM53" s="613"/>
      <c r="AN53" s="613"/>
      <c r="AO53" s="613"/>
      <c r="AP53" s="613"/>
      <c r="AQ53" s="613"/>
      <c r="AR53" s="613"/>
      <c r="AS53" s="613"/>
      <c r="AT53" s="613"/>
    </row>
    <row r="54" spans="4:46" ht="15">
      <c r="D54" s="554"/>
      <c r="E54" s="604">
        <f t="shared" si="28"/>
        <v>0.38120895398141869</v>
      </c>
      <c r="F54" s="720" t="s">
        <v>4781</v>
      </c>
      <c r="G54" s="720"/>
      <c r="H54" s="720"/>
      <c r="I54" s="720"/>
      <c r="J54" s="720"/>
      <c r="K54" s="608" t="s">
        <v>160</v>
      </c>
      <c r="L54" s="705">
        <f t="shared" si="31"/>
        <v>0.50654674583044923</v>
      </c>
      <c r="M54" s="705">
        <f t="shared" ref="M54:X54" si="42">IF(M$35=0,0%,M41/M$35)</f>
        <v>0.52269768434018593</v>
      </c>
      <c r="N54" s="705">
        <f t="shared" si="42"/>
        <v>0.59100398988099478</v>
      </c>
      <c r="O54" s="705">
        <f t="shared" si="42"/>
        <v>0.44842716403998339</v>
      </c>
      <c r="P54" s="705">
        <f t="shared" si="42"/>
        <v>0</v>
      </c>
      <c r="Q54" s="705">
        <f t="shared" si="42"/>
        <v>0.52904115655748152</v>
      </c>
      <c r="R54" s="705">
        <f t="shared" si="42"/>
        <v>0.53720202275287909</v>
      </c>
      <c r="S54" s="705">
        <f t="shared" si="42"/>
        <v>0.52326164023505239</v>
      </c>
      <c r="T54" s="705">
        <f t="shared" si="42"/>
        <v>0</v>
      </c>
      <c r="U54" s="705">
        <f t="shared" si="42"/>
        <v>0.38120895398141869</v>
      </c>
      <c r="V54" s="705">
        <f t="shared" si="42"/>
        <v>0.38120895398141869</v>
      </c>
      <c r="W54" s="705">
        <f t="shared" si="42"/>
        <v>0</v>
      </c>
      <c r="X54" s="705">
        <f t="shared" si="42"/>
        <v>0</v>
      </c>
      <c r="Y54" s="705">
        <f t="shared" ref="Y54:AB54" si="43">IF(Y$35=0,0%,Y41/Y$35)</f>
        <v>0</v>
      </c>
      <c r="Z54" s="705">
        <f t="shared" si="43"/>
        <v>0</v>
      </c>
      <c r="AA54" s="705">
        <f t="shared" si="43"/>
        <v>0</v>
      </c>
      <c r="AB54" s="549">
        <f t="shared" si="43"/>
        <v>0</v>
      </c>
      <c r="AC54" s="483"/>
      <c r="AD54" s="613"/>
      <c r="AE54" s="555"/>
      <c r="AF54" s="600" t="s">
        <v>749</v>
      </c>
      <c r="AG54" s="734">
        <f>INDEX(paramCh1ReportsEmp1Req,,xxIndexTeam)</f>
        <v>1</v>
      </c>
      <c r="AH54" s="561" t="s">
        <v>6601</v>
      </c>
      <c r="AI54" s="613"/>
      <c r="AJ54" s="613"/>
      <c r="AK54" s="613"/>
      <c r="AL54" s="613"/>
      <c r="AM54" s="613"/>
      <c r="AN54" s="613"/>
      <c r="AO54" s="613"/>
      <c r="AP54" s="613"/>
      <c r="AQ54" s="613"/>
      <c r="AR54" s="613"/>
      <c r="AS54" s="613"/>
      <c r="AT54" s="613"/>
    </row>
    <row r="55" spans="4:46" ht="15.75" thickBot="1">
      <c r="D55" s="554"/>
      <c r="E55" s="604">
        <f t="shared" si="28"/>
        <v>7.1933991191845501E-2</v>
      </c>
      <c r="F55" s="720" t="s">
        <v>4782</v>
      </c>
      <c r="G55" s="720"/>
      <c r="H55" s="720"/>
      <c r="I55" s="720"/>
      <c r="J55" s="720"/>
      <c r="K55" s="608" t="s">
        <v>519</v>
      </c>
      <c r="L55" s="705">
        <f t="shared" si="31"/>
        <v>6.0340732020207656E-2</v>
      </c>
      <c r="M55" s="705">
        <f t="shared" ref="M55:X55" si="44">IF(M$35=0,0%,M42/M$35)</f>
        <v>5.8862362095922972E-2</v>
      </c>
      <c r="N55" s="705">
        <f t="shared" si="44"/>
        <v>5.2602445137536417E-2</v>
      </c>
      <c r="O55" s="705">
        <f t="shared" si="44"/>
        <v>6.566886825746121E-2</v>
      </c>
      <c r="P55" s="705">
        <f t="shared" si="44"/>
        <v>0</v>
      </c>
      <c r="Q55" s="705">
        <f t="shared" si="44"/>
        <v>5.8237534699981539E-2</v>
      </c>
      <c r="R55" s="705">
        <f t="shared" si="44"/>
        <v>6.0324900465452122E-2</v>
      </c>
      <c r="S55" s="705">
        <f t="shared" si="44"/>
        <v>5.675926459683725E-2</v>
      </c>
      <c r="T55" s="705">
        <f t="shared" si="44"/>
        <v>0</v>
      </c>
      <c r="U55" s="705">
        <f t="shared" si="44"/>
        <v>7.1933991191845501E-2</v>
      </c>
      <c r="V55" s="705">
        <f t="shared" si="44"/>
        <v>7.1933991191845501E-2</v>
      </c>
      <c r="W55" s="705">
        <f t="shared" si="44"/>
        <v>0</v>
      </c>
      <c r="X55" s="705">
        <f t="shared" si="44"/>
        <v>0</v>
      </c>
      <c r="Y55" s="705">
        <f t="shared" ref="Y55:AB55" si="45">IF(Y$35=0,0%,Y42/Y$35)</f>
        <v>0</v>
      </c>
      <c r="Z55" s="705">
        <f t="shared" si="45"/>
        <v>0</v>
      </c>
      <c r="AA55" s="705">
        <f t="shared" si="45"/>
        <v>0</v>
      </c>
      <c r="AB55" s="549">
        <f t="shared" si="45"/>
        <v>0</v>
      </c>
      <c r="AC55" s="483"/>
      <c r="AD55" s="613"/>
      <c r="AE55" s="546"/>
      <c r="AF55" s="544" t="s">
        <v>748</v>
      </c>
      <c r="AG55" s="574">
        <f>INDEX(paramCh1ReportsExp,,xxIndexTeam)</f>
        <v>1000000</v>
      </c>
      <c r="AH55" s="733" t="s">
        <v>6602</v>
      </c>
      <c r="AI55" s="613"/>
    </row>
    <row r="56" spans="4:46" ht="15.75" thickBot="1">
      <c r="D56" s="554"/>
      <c r="E56" s="604">
        <f t="shared" si="28"/>
        <v>0.30927496278957317</v>
      </c>
      <c r="F56" s="720" t="s">
        <v>4783</v>
      </c>
      <c r="G56" s="720"/>
      <c r="H56" s="720"/>
      <c r="I56" s="720"/>
      <c r="J56" s="720"/>
      <c r="K56" s="608" t="s">
        <v>521</v>
      </c>
      <c r="L56" s="705">
        <f t="shared" si="31"/>
        <v>0.44620601381024166</v>
      </c>
      <c r="M56" s="705">
        <f t="shared" ref="M56:X56" si="46">IF(M$35=0,0%,M43/M$35)</f>
        <v>0.46383532224426299</v>
      </c>
      <c r="N56" s="705">
        <f t="shared" si="46"/>
        <v>0.53840154474345836</v>
      </c>
      <c r="O56" s="705">
        <f t="shared" si="46"/>
        <v>0.38275829578252213</v>
      </c>
      <c r="P56" s="705">
        <f t="shared" si="46"/>
        <v>0</v>
      </c>
      <c r="Q56" s="705">
        <f t="shared" si="46"/>
        <v>0.47080362185750002</v>
      </c>
      <c r="R56" s="705">
        <f t="shared" si="46"/>
        <v>0.4768771222874269</v>
      </c>
      <c r="S56" s="705">
        <f t="shared" si="46"/>
        <v>0.46650237563821506</v>
      </c>
      <c r="T56" s="705">
        <f t="shared" si="46"/>
        <v>0</v>
      </c>
      <c r="U56" s="705">
        <f t="shared" si="46"/>
        <v>0.30927496278957317</v>
      </c>
      <c r="V56" s="705">
        <f t="shared" si="46"/>
        <v>0.30927496278957317</v>
      </c>
      <c r="W56" s="705">
        <f t="shared" si="46"/>
        <v>0</v>
      </c>
      <c r="X56" s="705">
        <f t="shared" si="46"/>
        <v>0</v>
      </c>
      <c r="Y56" s="705">
        <f t="shared" ref="Y56:AB56" si="47">IF(Y$35=0,0%,Y43/Y$35)</f>
        <v>0</v>
      </c>
      <c r="Z56" s="705">
        <f t="shared" si="47"/>
        <v>0</v>
      </c>
      <c r="AA56" s="705">
        <f t="shared" si="47"/>
        <v>0</v>
      </c>
      <c r="AB56" s="549">
        <f t="shared" si="47"/>
        <v>0</v>
      </c>
      <c r="AC56" s="483"/>
      <c r="AD56" s="613"/>
      <c r="AE56" s="613"/>
      <c r="AF56" s="613"/>
      <c r="AG56" s="613"/>
      <c r="AH56" s="613"/>
      <c r="AI56" s="613"/>
    </row>
    <row r="57" spans="4:46" s="613" customFormat="1" ht="15">
      <c r="D57" s="555"/>
      <c r="E57" s="562">
        <f>INDEX(L57:AB57,,calcCh1VtCode)/1000</f>
        <v>57998.264240000004</v>
      </c>
      <c r="F57" s="600" t="s">
        <v>6587</v>
      </c>
      <c r="G57" s="600"/>
      <c r="H57" s="600"/>
      <c r="I57" s="600"/>
      <c r="J57" s="600"/>
      <c r="K57" s="749" t="s">
        <v>4394</v>
      </c>
      <c r="L57" s="750">
        <f>U57+M57+Q57+Y57</f>
        <v>362489024.24000001</v>
      </c>
      <c r="M57" s="750">
        <f>N57+O57+P57</f>
        <v>182694456</v>
      </c>
      <c r="N57" s="750">
        <f>INDEX(calcCh1Prod2Slot1VolForecastSlot,,xxIndexTeam)</f>
        <v>82212505.199999988</v>
      </c>
      <c r="O57" s="750">
        <f>INDEX(calcCh1Prod2Slot2VolForecastSlot,,xxIndexTeam)</f>
        <v>100481950.80000001</v>
      </c>
      <c r="P57" s="750">
        <f>INDEX(calcCh1Prod2Slot3VolForecastSlot,,xxIndexTeam)</f>
        <v>0</v>
      </c>
      <c r="Q57" s="750">
        <f>R57+S57+T57</f>
        <v>121796304</v>
      </c>
      <c r="R57" s="750">
        <f>INDEX(calcCh1Prod3Slot1VolForecastSlot,,xxIndexTeam)</f>
        <v>48718521.600000001</v>
      </c>
      <c r="S57" s="750">
        <f>INDEX(calcCh1Prod3Slot2VolForecastSlot,,xxIndexTeam)</f>
        <v>73077782.399999991</v>
      </c>
      <c r="T57" s="750">
        <f>INDEX(calcCh1Prod3Slot3VolForecastSlot,,xxIndexTeam)</f>
        <v>0</v>
      </c>
      <c r="U57" s="750">
        <f>V57+W57+X57</f>
        <v>57998264.240000002</v>
      </c>
      <c r="V57" s="750">
        <f>INDEX(calcCh1Prod1Slot1VolForecastSlot,,xxIndexTeam)</f>
        <v>57998264.240000002</v>
      </c>
      <c r="W57" s="750">
        <f>INDEX(calcCh1Prod1Slot2VolForecastSlot,,xxIndexTeam)</f>
        <v>0</v>
      </c>
      <c r="X57" s="750">
        <f>INDEX(calcCh1Prod1Slot3VolForecastSlot,,xxIndexTeam)</f>
        <v>0</v>
      </c>
      <c r="Y57" s="750">
        <f>Z57+AA57+AB57</f>
        <v>0</v>
      </c>
      <c r="Z57" s="750">
        <f>INDEX(calcCh1Prod4Slot1VolForecastSlot,,xxIndexTeam)</f>
        <v>0</v>
      </c>
      <c r="AA57" s="750">
        <f>INDEX(calcCh1Prod4Slot2VolForecastSlot,,xxIndexTeam)</f>
        <v>0</v>
      </c>
      <c r="AB57" s="751">
        <f>INDEX(calcCh1Prod4Slot3VolForecastSlot,,xxIndexTeam)</f>
        <v>0</v>
      </c>
      <c r="AC57" s="701"/>
    </row>
    <row r="58" spans="4:46" s="613" customFormat="1" ht="15">
      <c r="D58" s="554"/>
      <c r="E58" s="585">
        <f>INDEX(L58:AB58,,calcCh1VtCode)/1000</f>
        <v>7323.0131616161625</v>
      </c>
      <c r="F58" s="720" t="s">
        <v>6590</v>
      </c>
      <c r="G58" s="720"/>
      <c r="H58" s="720"/>
      <c r="I58" s="720"/>
      <c r="J58" s="720"/>
      <c r="K58" s="608" t="s">
        <v>811</v>
      </c>
      <c r="L58" s="706">
        <f t="shared" ref="L58:L59" si="48">U58+M58+Q58+Y58</f>
        <v>538982334.10707068</v>
      </c>
      <c r="M58" s="706">
        <f>N58+O58+P58</f>
        <v>299877263.63636363</v>
      </c>
      <c r="N58" s="706">
        <f>INDEX(finCalcCh1Prod2Slot1UnitSold,,xxIndexTeam)</f>
        <v>249128803.6363636</v>
      </c>
      <c r="O58" s="706">
        <f>INDEX(finCalcCh1Prod2Slot2UnitSold,,xxIndexTeam)</f>
        <v>50748460.000000007</v>
      </c>
      <c r="P58" s="706">
        <f>INDEX(finCalcCh1Prod2Slot3UnitSold,,xxIndexTeam)</f>
        <v>0</v>
      </c>
      <c r="Q58" s="706">
        <f t="shared" ref="Q58:Q59" si="49">R58+S58+T58</f>
        <v>231782057.30909091</v>
      </c>
      <c r="R58" s="706">
        <f>INDEX(finCalcCh1Prod3Slot1UnitSold,,xxIndexTeam)</f>
        <v>194874086.40000001</v>
      </c>
      <c r="S58" s="706">
        <f>INDEX(finCalcCh1Prod3Slot2UnitSold,,xxIndexTeam)</f>
        <v>36907970.909090906</v>
      </c>
      <c r="T58" s="706">
        <f>INDEX(finCalcCh1Prod3Slot3UnitSold,,xxIndexTeam)</f>
        <v>0</v>
      </c>
      <c r="U58" s="706">
        <f t="shared" ref="U58:U59" si="50">V58+W58+X58</f>
        <v>7323013.1616161624</v>
      </c>
      <c r="V58" s="706">
        <f>INDEX(finCalcCh1Prod1Slot1UnitSold,,xxIndexTeam)</f>
        <v>7323013.1616161624</v>
      </c>
      <c r="W58" s="706">
        <f>INDEX(finCalcCh1Prod1Slot2UnitSold,,xxIndexTeam)</f>
        <v>0</v>
      </c>
      <c r="X58" s="706">
        <f>INDEX(finCalcCh1Prod1Slot3UnitSold,,xxIndexTeam)</f>
        <v>0</v>
      </c>
      <c r="Y58" s="706">
        <f t="shared" ref="Y58" si="51">Z58+AA58+AB58</f>
        <v>0</v>
      </c>
      <c r="Z58" s="706">
        <f>INDEX(finCalcCh1Prod4Slot1UnitSold,,xxIndexTeam)</f>
        <v>0</v>
      </c>
      <c r="AA58" s="706">
        <f>INDEX(finCalcCh1Prod4Slot2UnitSold,,xxIndexTeam)</f>
        <v>0</v>
      </c>
      <c r="AB58" s="596">
        <f>INDEX(finCalcCh1Prod4Slot3UnitSold,,xxIndexTeam)</f>
        <v>0</v>
      </c>
      <c r="AC58" s="701"/>
    </row>
    <row r="59" spans="4:46" s="613" customFormat="1" ht="15">
      <c r="D59" s="554"/>
      <c r="E59" s="585">
        <f t="shared" si="28"/>
        <v>11277440.268888891</v>
      </c>
      <c r="F59" s="720" t="s">
        <v>6588</v>
      </c>
      <c r="G59" s="720"/>
      <c r="H59" s="720"/>
      <c r="I59" s="720"/>
      <c r="J59" s="720"/>
      <c r="K59" s="608" t="s">
        <v>517</v>
      </c>
      <c r="L59" s="706">
        <f t="shared" si="48"/>
        <v>905010230.18757963</v>
      </c>
      <c r="M59" s="706">
        <f t="shared" ref="M59" si="52">N59+O59+P59</f>
        <v>470253684.34545445</v>
      </c>
      <c r="N59" s="706">
        <f>tloutputCh1Prod2Slot1CM*N58</f>
        <v>393623509.74545449</v>
      </c>
      <c r="O59" s="706">
        <f>tloutputCh1Prod2Slot2CM*O58</f>
        <v>76630174.599999949</v>
      </c>
      <c r="P59" s="706">
        <f>tloutputCh1Prod2Slot3CM*P58</f>
        <v>0</v>
      </c>
      <c r="Q59" s="706">
        <f t="shared" si="49"/>
        <v>423479105.57323635</v>
      </c>
      <c r="R59" s="706">
        <f>tloutputCh1Prod3Slot1CM*R58</f>
        <v>355450333.59359998</v>
      </c>
      <c r="S59" s="706">
        <f>tloutputCh1Prod3Slot2CM*S58</f>
        <v>68028771.979636341</v>
      </c>
      <c r="T59" s="706">
        <f>tloutputCh1Prod3Slot3CM*T58</f>
        <v>0</v>
      </c>
      <c r="U59" s="706">
        <f t="shared" si="50"/>
        <v>11277440.268888891</v>
      </c>
      <c r="V59" s="706">
        <f>tloutputCh1Prod1Slot1CM*V58</f>
        <v>11277440.268888891</v>
      </c>
      <c r="W59" s="706">
        <f>tloutputCh1Prod1Slot2CM*W58</f>
        <v>0</v>
      </c>
      <c r="X59" s="706">
        <f>tloutputCh1Prod1Slot3CM*X58</f>
        <v>0</v>
      </c>
      <c r="Y59" s="706">
        <f>Z59+AA59+AB59</f>
        <v>0</v>
      </c>
      <c r="Z59" s="706">
        <f>tloutputCh1Prod4Slot1CM*Z58</f>
        <v>0</v>
      </c>
      <c r="AA59" s="706">
        <f>tloutputCh1Prod4Slot2CM*AA58</f>
        <v>0</v>
      </c>
      <c r="AB59" s="596">
        <f>tloutputCh1Prod4Slot3CM*AB58</f>
        <v>0</v>
      </c>
      <c r="AC59" s="701"/>
    </row>
    <row r="60" spans="4:46" s="613" customFormat="1" ht="15.75" thickBot="1">
      <c r="D60" s="546"/>
      <c r="E60" s="545">
        <f t="shared" si="28"/>
        <v>0.75357142857142845</v>
      </c>
      <c r="F60" s="544" t="s">
        <v>6589</v>
      </c>
      <c r="G60" s="544"/>
      <c r="H60" s="544"/>
      <c r="I60" s="544"/>
      <c r="J60" s="544"/>
      <c r="K60" s="543" t="s">
        <v>3674</v>
      </c>
      <c r="L60" s="542" t="str">
        <f>""</f>
        <v/>
      </c>
      <c r="M60" s="542" t="str">
        <f>""</f>
        <v/>
      </c>
      <c r="N60" s="752">
        <f>INDEX(calcCh1Prod2Slot1WD,,xxIndexTeam)</f>
        <v>0.75357142857142845</v>
      </c>
      <c r="O60" s="752">
        <f>INDEX(calcCh1Prod2Slot2WD,,xxIndexTeam)</f>
        <v>0.85357142857142854</v>
      </c>
      <c r="P60" s="752">
        <f>INDEX(calcCh1Prod2Slot3WD,,xxIndexTeam)</f>
        <v>2.5000000000000001E-2</v>
      </c>
      <c r="Q60" s="542" t="str">
        <f>""</f>
        <v/>
      </c>
      <c r="R60" s="752">
        <f>INDEX(calcCh1Prod3Slot1WD,,xxIndexTeam)</f>
        <v>0.65357142857142858</v>
      </c>
      <c r="S60" s="752">
        <f>INDEX(calcCh1Prod3Slot2WD,,xxIndexTeam)</f>
        <v>0.85357142857142854</v>
      </c>
      <c r="T60" s="752">
        <f>INDEX(calcCh1Prod3Slot3WD,,xxIndexTeam)</f>
        <v>2.5000000000000001E-2</v>
      </c>
      <c r="U60" s="542" t="str">
        <f>""</f>
        <v/>
      </c>
      <c r="V60" s="752">
        <f>INDEX(calcCh1Prod1Slot1WD,,xxIndexTeam)</f>
        <v>0.75357142857142845</v>
      </c>
      <c r="W60" s="752">
        <f>INDEX(calcCh1Prod1Slot2WD,,xxIndexTeam)</f>
        <v>2.5000000000000001E-2</v>
      </c>
      <c r="X60" s="752">
        <f>INDEX(calcCh1Prod1Slot3WD,,xxIndexTeam)</f>
        <v>2.5000000000000001E-2</v>
      </c>
      <c r="Y60" s="542" t="str">
        <f>""</f>
        <v/>
      </c>
      <c r="Z60" s="752">
        <f>INDEX(calcCh1Prod4Slot1WD,,xxIndexTeam)</f>
        <v>2.5000000000000001E-2</v>
      </c>
      <c r="AA60" s="752">
        <f>INDEX(calcCh1Prod4Slot2WD,,xxIndexTeam)</f>
        <v>2.5000000000000001E-2</v>
      </c>
      <c r="AB60" s="753">
        <f>INDEX(calcCh1Prod4Slot3WD,,xxIndexTeam)</f>
        <v>2.5000000000000001E-2</v>
      </c>
      <c r="AC60" s="701"/>
    </row>
    <row r="61" spans="4:46" ht="15">
      <c r="E61" s="485"/>
      <c r="L61" s="21" t="str">
        <f>nmCh1</f>
        <v>Hypermarkets</v>
      </c>
      <c r="M61" s="21" t="str">
        <f>nmProd2</f>
        <v>Harken</v>
      </c>
      <c r="N61" s="21" t="str">
        <f>nmProd2&amp;" Slot 1"</f>
        <v>Harken Slot 1</v>
      </c>
      <c r="O61" s="21" t="str">
        <f>nmProd2&amp;" Slot 2"</f>
        <v>Harken Slot 2</v>
      </c>
      <c r="P61" s="21" t="str">
        <f>nmProd2&amp;" Slot 3"</f>
        <v>Harken Slot 3</v>
      </c>
      <c r="Q61" s="21" t="str">
        <f>nmProd3</f>
        <v>Kara</v>
      </c>
      <c r="R61" s="21" t="str">
        <f>nmProd3&amp;" Slot 1"</f>
        <v>Kara Slot 1</v>
      </c>
      <c r="S61" s="21" t="str">
        <f>nmProd3&amp;" Slot 2"</f>
        <v>Kara Slot 2</v>
      </c>
      <c r="T61" s="21" t="str">
        <f>nmProd3&amp;" Slot 3"</f>
        <v>Kara Slot 3</v>
      </c>
      <c r="U61" s="21" t="str">
        <f>nmProd1</f>
        <v>Greenborg</v>
      </c>
      <c r="V61" s="21" t="str">
        <f>nmProd1&amp;" Slot 1"</f>
        <v>Greenborg Slot 1</v>
      </c>
      <c r="W61" s="802" t="str">
        <f>nmProd1&amp;" Slot 2"</f>
        <v>Greenborg Slot 2</v>
      </c>
      <c r="X61" s="21" t="str">
        <f>nmProd1&amp;" Slot 3"</f>
        <v>Greenborg Slot 3</v>
      </c>
      <c r="Y61" s="21" t="str">
        <f>nmProd4</f>
        <v>Brew Master</v>
      </c>
      <c r="Z61" s="613" t="str">
        <f>nmProd4&amp;" Slot 1"</f>
        <v>Brew Master Slot 1</v>
      </c>
      <c r="AA61" s="21" t="str">
        <f>nmProd4&amp;" Slot 2"</f>
        <v>Brew Master Slot 2</v>
      </c>
      <c r="AB61" s="21" t="str">
        <f>nmProd4&amp;" Slot 3"</f>
        <v>Brew Master Slot 3</v>
      </c>
    </row>
    <row r="62" spans="4:46" s="613" customFormat="1" ht="15.75" thickBot="1">
      <c r="D62" s="702" t="s">
        <v>6546</v>
      </c>
      <c r="E62" s="707"/>
      <c r="W62" s="802"/>
    </row>
    <row r="63" spans="4:46" ht="15">
      <c r="D63" s="555"/>
      <c r="E63" s="541"/>
      <c r="F63" s="600"/>
      <c r="G63" s="600"/>
      <c r="H63" s="600"/>
      <c r="I63" s="600"/>
      <c r="J63" s="600"/>
      <c r="K63" s="600"/>
      <c r="L63" s="607" t="str">
        <f>nmCh1</f>
        <v>Hypermarkets</v>
      </c>
      <c r="M63" s="595" t="str">
        <f>nmProd2</f>
        <v>Harken</v>
      </c>
      <c r="N63" s="595" t="str">
        <f>nmProd2&amp;" Slot 1"</f>
        <v>Harken Slot 1</v>
      </c>
      <c r="O63" s="595" t="str">
        <f>nmProd2&amp;" Slot 2"</f>
        <v>Harken Slot 2</v>
      </c>
      <c r="P63" s="595" t="str">
        <f>nmProd2&amp;" Slot 3"</f>
        <v>Harken Slot 3</v>
      </c>
      <c r="Q63" s="595" t="str">
        <f>nmProd3</f>
        <v>Kara</v>
      </c>
      <c r="R63" s="595" t="str">
        <f>nmProd3&amp;" Slot 1"</f>
        <v>Kara Slot 1</v>
      </c>
      <c r="S63" s="595" t="str">
        <f>nmProd3&amp;" Slot 2"</f>
        <v>Kara Slot 2</v>
      </c>
      <c r="T63" s="595" t="str">
        <f>nmProd3&amp;" Slot 3"</f>
        <v>Kara Slot 3</v>
      </c>
      <c r="U63" s="595" t="str">
        <f>nmProd1</f>
        <v>Greenborg</v>
      </c>
      <c r="V63" s="595" t="str">
        <f>nmProd1&amp;" Slot 1"</f>
        <v>Greenborg Slot 1</v>
      </c>
      <c r="W63" s="595" t="str">
        <f>nmProd1&amp;" Slot 2"</f>
        <v>Greenborg Slot 2</v>
      </c>
      <c r="X63" s="595" t="str">
        <f>nmProd1&amp;" Slot 3"</f>
        <v>Greenborg Slot 3</v>
      </c>
      <c r="Y63" s="595" t="str">
        <f>nmProd4</f>
        <v>Brew Master</v>
      </c>
      <c r="Z63" s="595" t="str">
        <f>nmProd4&amp;" Slot 1"</f>
        <v>Brew Master Slot 1</v>
      </c>
      <c r="AA63" s="595" t="str">
        <f>nmProd4&amp;" Slot 2"</f>
        <v>Brew Master Slot 2</v>
      </c>
      <c r="AB63" s="594" t="str">
        <f>nmProd4&amp;" Slot 3"</f>
        <v>Brew Master Slot 3</v>
      </c>
      <c r="AC63" s="483"/>
    </row>
    <row r="64" spans="4:46" ht="18" customHeight="1">
      <c r="D64" s="554"/>
      <c r="E64" s="604"/>
      <c r="F64" s="720"/>
      <c r="G64" s="720"/>
      <c r="H64" s="720"/>
      <c r="I64" s="720"/>
      <c r="J64" s="720"/>
      <c r="K64" s="608" t="s">
        <v>4405</v>
      </c>
      <c r="L64" s="887">
        <f>M64+Q64+U64+Y64</f>
        <v>362489024.24000001</v>
      </c>
      <c r="M64" s="887">
        <f>SUM(N64:P64)</f>
        <v>182694456</v>
      </c>
      <c r="N64" s="888">
        <f>INDEX(finCalcCh1Prod2Slot1VolSold,,xxIndexTeam)</f>
        <v>82212505.199999988</v>
      </c>
      <c r="O64" s="888">
        <f>INDEX(finCalcCh1Prod2Slot2VolSold,,xxIndexTeam)</f>
        <v>100481950.80000001</v>
      </c>
      <c r="P64" s="888">
        <f>INDEX(finCalcCh1Prod2Slot3VolSold,,xxIndexTeam)</f>
        <v>0</v>
      </c>
      <c r="Q64" s="887">
        <f>SUM(R64:T64)</f>
        <v>121796304</v>
      </c>
      <c r="R64" s="888">
        <f>INDEX(finCalcCh1Prod3Slot1VolSold,,xxIndexTeam)</f>
        <v>48718521.600000001</v>
      </c>
      <c r="S64" s="888">
        <f>INDEX(finCalcCh1Prod3Slot2VolSold,,xxIndexTeam)</f>
        <v>73077782.399999991</v>
      </c>
      <c r="T64" s="888">
        <f>INDEX(finCalcCh1Prod3Slot3VolSold,,xxIndexTeam)</f>
        <v>0</v>
      </c>
      <c r="U64" s="887">
        <f>SUM(V64:X64)</f>
        <v>57998264.240000002</v>
      </c>
      <c r="V64" s="888">
        <f>INDEX(finCalcCh1Prod1Slot1VolSold,,xxIndexTeam)</f>
        <v>57998264.240000002</v>
      </c>
      <c r="W64" s="888">
        <f>INDEX(finCalcCh1Prod1Slot2VolSold,,xxIndexTeam)</f>
        <v>0</v>
      </c>
      <c r="X64" s="888">
        <f>INDEX(finCalcCh1Prod1Slot3VolSold,,xxIndexTeam)</f>
        <v>0</v>
      </c>
      <c r="Y64" s="887">
        <f>SUM(Z64:AB64)</f>
        <v>0</v>
      </c>
      <c r="Z64" s="888">
        <f>INDEX(finCalcCh1Prod4Slot1VolSold,,xxIndexTeam)</f>
        <v>0</v>
      </c>
      <c r="AA64" s="888">
        <f>INDEX(finCalcCh1Prod4Slot2VolSold,,xxIndexTeam)</f>
        <v>0</v>
      </c>
      <c r="AB64" s="888">
        <f>INDEX(finCalcCh1Prod4Slot3VolSold,,xxIndexTeam)</f>
        <v>0</v>
      </c>
      <c r="AC64" s="483"/>
      <c r="AD64" s="628" t="s">
        <v>6547</v>
      </c>
      <c r="AE64" s="612" t="s">
        <v>6591</v>
      </c>
      <c r="AM64" s="613"/>
    </row>
    <row r="65" spans="4:54" s="802" customFormat="1" ht="18" customHeight="1">
      <c r="D65" s="554"/>
      <c r="E65" s="540"/>
      <c r="F65" s="876" t="s">
        <v>9057</v>
      </c>
      <c r="G65" s="876" t="s">
        <v>9062</v>
      </c>
      <c r="H65" s="720"/>
      <c r="I65" s="720"/>
      <c r="J65" s="720"/>
      <c r="K65" s="608" t="s">
        <v>9059</v>
      </c>
      <c r="L65" s="887">
        <f>M65+Q65+U65+Y65</f>
        <v>773113709.28096771</v>
      </c>
      <c r="M65" s="887">
        <f>INDEX(obalCh1Prod2Slot1GPaL,,xxIndexTeam)+INDEX(obalCh1Prod2Slot2GPaL,,xxIndexTeam)+INDEX(obalCh1Prod2Slot3GPaL,,xxIndexTeam)</f>
        <v>389465274.85087705</v>
      </c>
      <c r="N65" s="888">
        <f>IF(INDEX(obalCh1Prod2Slot1Pack,,xxIndexTeam)=INDEX(cbalCh1Prod2Slot1Pack,,xxIndexTeam),INDEX(obalCh1Prod2Slot1GPaL,,xxIndexTeam),0)</f>
        <v>206332285.5901666</v>
      </c>
      <c r="O65" s="888">
        <f>IF(INDEX(obalCh1Prod2Slot2Pack,,xxIndexTeam)=INDEX(cbalCh1Prod2Slot2Pack,,xxIndexTeam),INDEX(obalCh1Prod2Slot2GPaL,,xxIndexTeam),0)</f>
        <v>183132989.26071045</v>
      </c>
      <c r="P65" s="888">
        <f>IF(INDEX(obalCh1Prod2Slot3Pack,,xxIndexTeam)=INDEX(cbalCh1Prod2Slot3Pack,,xxIndexTeam),INDEX(obalCh1Prod2Slot3GPaL,,xxIndexTeam),0)</f>
        <v>0</v>
      </c>
      <c r="Q65" s="887">
        <f>INDEX(obalCh1Prod3Slot1GPaL,,xxIndexTeam)+INDEX(obalCh1Prod3Slot2GPaL,,xxIndexTeam)+INDEX(obalCh1Prod3Slot3GPaL,,xxIndexTeam)</f>
        <v>291731366.98753679</v>
      </c>
      <c r="R65" s="888">
        <f>IF(INDEX(obalCh1Prod3Slot1Pack,,xxIndexTeam)=INDEX(cbalCh1Prod3Slot1Pack,,xxIndexTeam),INDEX(obalCh1Prod3Slot1GPaL,,xxIndexTeam),0)</f>
        <v>96467889.533433795</v>
      </c>
      <c r="S65" s="888">
        <f>IF(INDEX(obalCh1Prod3Slot2Pack,,xxIndexTeam)=INDEX(cbalCh1Prod3Slot2Pack,,xxIndexTeam),INDEX(obalCh1Prod3Slot2GPaL,,xxIndexTeam),0)</f>
        <v>195263477.45410296</v>
      </c>
      <c r="T65" s="888">
        <f>IF(INDEX(obalCh1Prod3Slot3Pack,,xxIndexTeam)=INDEX(cbalCh1Prod3Slot3Pack,,xxIndexTeam),INDEX(obalCh1Prod3Slot3GPaL,,xxIndexTeam),0)</f>
        <v>0</v>
      </c>
      <c r="U65" s="887">
        <f>INDEX(obalCh1Prod1Slot1GPaL,,xxIndexTeam)+INDEX(obalCh1Prod1Slot2GPaL,,xxIndexTeam)+INDEX(obalCh1Prod1Slot3GPaL,,xxIndexTeam)</f>
        <v>91917067.442553863</v>
      </c>
      <c r="V65" s="888">
        <f>IF(INDEX(obalCh1Prod1Slot1Pack,,xxIndexTeam)=INDEX(cbalCh1Prod1Slot1Pack,,xxIndexTeam),INDEX(obalCh1Prod1Slot1GPaL,,xxIndexTeam),0)</f>
        <v>91917067.442553863</v>
      </c>
      <c r="W65" s="888">
        <f>IF(INDEX(obalCh1Prod1Slot2Pack,,xxIndexTeam)=INDEX(cbalCh1Prod1Slot2Pack,,xxIndexTeam),INDEX(obalCh1Prod1Slot2GPaL,,xxIndexTeam),0)</f>
        <v>0</v>
      </c>
      <c r="X65" s="888">
        <f>IF(INDEX(obalCh1Prod1Slot3Pack,,xxIndexTeam)=INDEX(cbalCh1Prod1Slot3Pack,,xxIndexTeam),INDEX(obalCh1Prod1Slot3GPaL,,xxIndexTeam),0)</f>
        <v>0</v>
      </c>
      <c r="Y65" s="887">
        <f>INDEX(obalCh1Prod4Slot1GPaL,,xxIndexTeam)+INDEX(obalCh1Prod4Slot2GPaL,,xxIndexTeam)+INDEX(obalCh1Prod4Slot3GPaL,,xxIndexTeam)</f>
        <v>0</v>
      </c>
      <c r="Z65" s="888">
        <f>IF(INDEX(obalCh1Prod4Slot1Pack,,xxIndexTeam)=INDEX(cbalCh1Prod4Slot1Pack,,xxIndexTeam),INDEX(obalCh1Prod4Slot1GPaL,,xxIndexTeam),0)</f>
        <v>0</v>
      </c>
      <c r="AA65" s="888">
        <f>IF(INDEX(obalCh1Prod4Slot2Pack,,xxIndexTeam)=INDEX(cbalCh1Prod4Slot2Pack,,xxIndexTeam),INDEX(obalCh1Prod4Slot2GPaL,,xxIndexTeam),0)</f>
        <v>0</v>
      </c>
      <c r="AB65" s="888">
        <f>IF(INDEX(obalCh1Prod4Slot3Pack,,xxIndexTeam)=INDEX(cbalCh1Prod4Slot3Pack,,xxIndexTeam),INDEX(obalCh1Prod4Slot3GPaL,,xxIndexTeam),0)</f>
        <v>0</v>
      </c>
      <c r="AC65" s="701"/>
      <c r="AD65" s="804"/>
      <c r="AE65" s="801"/>
    </row>
    <row r="66" spans="4:54" ht="15.75" thickBot="1">
      <c r="D66" s="554"/>
      <c r="E66" s="540"/>
      <c r="F66" s="876" t="s">
        <v>5213</v>
      </c>
      <c r="G66" s="876" t="s">
        <v>9062</v>
      </c>
      <c r="H66" s="720"/>
      <c r="I66" s="720"/>
      <c r="J66" s="720"/>
      <c r="K66" s="608" t="s">
        <v>295</v>
      </c>
      <c r="L66" s="887">
        <f t="shared" ref="L66:L70" si="53">M66+Q66+U66+Y66</f>
        <v>5429921.9872284122</v>
      </c>
      <c r="M66" s="887">
        <f>SUM(N66:P66)</f>
        <v>10262090.346961055</v>
      </c>
      <c r="N66" s="889">
        <f>IFERROR(IF(INDEX(obalCh1Prod2Slot1Pack,,xxIndexTeam)=INDEX(cbalCh1Prod2Slot1Pack,,xxIndexTeam),N77,0),0)</f>
        <v>9705561.9649125934</v>
      </c>
      <c r="O66" s="889">
        <f>IFERROR(IF(INDEX(obalCh1Prod2Slot2Pack,,xxIndexTeam)=INDEX(cbalCh1Prod2Slot2Pack,,xxIndexTeam),O77,0),0)</f>
        <v>556528.38204846217</v>
      </c>
      <c r="P66" s="889">
        <f>IFERROR(IF(INDEX(obalCh1Prod2Slot3Pack,,xxIndexTeam)=INDEX(cbalCh1Prod2Slot3Pack,,xxIndexTeam),P77,0),0)</f>
        <v>0</v>
      </c>
      <c r="Q66" s="887">
        <f>SUM(R66:T66)</f>
        <v>-5006525.0675655883</v>
      </c>
      <c r="R66" s="889">
        <f>IFERROR(IF(INDEX(obalCh1Prod3Slot1Pack,,xxIndexTeam)=INDEX(cbalCh1Prod3Slot1Pack,,xxIndexTeam),R77,0),0)</f>
        <v>7182417.3917814102</v>
      </c>
      <c r="S66" s="889">
        <f>IFERROR(IF(INDEX(obalCh1Prod3Slot2Pack,,xxIndexTeam)=INDEX(cbalCh1Prod3Slot2Pack,,xxIndexTeam),S77,0),0)</f>
        <v>-12188942.459346998</v>
      </c>
      <c r="T66" s="889">
        <f>IFERROR(IF(INDEX(obalCh1Prod3Slot3Pack,,xxIndexTeam)=INDEX(cbalCh1Prod3Slot3Pack,,xxIndexTeam),T77,0),0)</f>
        <v>0</v>
      </c>
      <c r="U66" s="887">
        <f>SUM(V66:X66)</f>
        <v>174356.70783294592</v>
      </c>
      <c r="V66" s="889">
        <f>IFERROR(IF(INDEX(obalCh1Prod1Slot1Pack,,xxIndexTeam)=INDEX(cbalCh1Prod1Slot1Pack,,xxIndexTeam),V77,0),0)</f>
        <v>174356.70783294592</v>
      </c>
      <c r="W66" s="889">
        <f>IFERROR(IF(INDEX(obalCh1Prod1Slot2Pack,,xxIndexTeam)=INDEX(cbalCh1Prod1Slot2Pack,,xxIndexTeam),W77,0),0)</f>
        <v>0</v>
      </c>
      <c r="X66" s="889">
        <f>IFERROR(IF(INDEX(obalCh1Prod1Slot3Pack,,xxIndexTeam)=INDEX(cbalCh1Prod1Slot3Pack,,xxIndexTeam),X77,0),0)</f>
        <v>0</v>
      </c>
      <c r="Y66" s="887">
        <f>SUM(Z66:AB66)</f>
        <v>0</v>
      </c>
      <c r="Z66" s="889">
        <f>IFERROR(IF(INDEX(obalCh1Prod4Slot1Pack,,xxIndexTeam)=INDEX(cbalCh1Prod4Slot1Pack,,xxIndexTeam),Z77,0),0)</f>
        <v>0</v>
      </c>
      <c r="AA66" s="889">
        <f>IFERROR(IF(INDEX(obalCh1Prod4Slot2Pack,,xxIndexTeam)=INDEX(cbalCh1Prod4Slot2Pack,,xxIndexTeam),AA77,0),0)</f>
        <v>0</v>
      </c>
      <c r="AB66" s="889">
        <f>IFERROR(IF(INDEX(obalCh1Prod4Slot3Pack,,xxIndexTeam)=INDEX(cbalCh1Prod4Slot3Pack,,xxIndexTeam),AB77,0),0)</f>
        <v>0</v>
      </c>
      <c r="AC66" s="483"/>
      <c r="AE66" s="702" t="s">
        <v>6592</v>
      </c>
    </row>
    <row r="67" spans="4:54" ht="15">
      <c r="D67" s="554"/>
      <c r="E67" s="540"/>
      <c r="F67" s="876" t="s">
        <v>5214</v>
      </c>
      <c r="G67" s="876" t="s">
        <v>9062</v>
      </c>
      <c r="H67" s="720"/>
      <c r="I67" s="720"/>
      <c r="J67" s="720"/>
      <c r="K67" s="608" t="s">
        <v>151</v>
      </c>
      <c r="L67" s="887">
        <f t="shared" si="53"/>
        <v>-55095604.141361438</v>
      </c>
      <c r="M67" s="887">
        <f>SUM(N67:P67)</f>
        <v>-11709812.673075637</v>
      </c>
      <c r="N67" s="889">
        <f>IFERROR(IF(INDEX(obalCh1Prod2Slot1Pack,,xxIndexTeam)=INDEX(cbalCh1Prod2Slot1Pack,,xxIndexTeam),N78,0),0)-N69</f>
        <v>16723265.131256284</v>
      </c>
      <c r="O67" s="889">
        <f>IFERROR(IF(INDEX(obalCh1Prod2Slot2Pack,,xxIndexTeam)=INDEX(cbalCh1Prod2Slot2Pack,,xxIndexTeam),O78,0),0)-O69</f>
        <v>-28433077.804331921</v>
      </c>
      <c r="P67" s="889">
        <f>IFERROR(IF(INDEX(obalCh1Prod2Slot3Pack,,xxIndexTeam)=INDEX(cbalCh1Prod2Slot3Pack,,xxIndexTeam),P78,0),0)-P69</f>
        <v>0</v>
      </c>
      <c r="Q67" s="887">
        <f>SUM(R67:T67)</f>
        <v>-18241908.123333402</v>
      </c>
      <c r="R67" s="889">
        <f>IFERROR(IF(INDEX(obalCh1Prod3Slot1Pack,,xxIndexTeam)=INDEX(cbalCh1Prod3Slot1Pack,,xxIndexTeam),R78,0),0)-R69</f>
        <v>9563517.4593423493</v>
      </c>
      <c r="S67" s="889">
        <f>IFERROR(IF(INDEX(obalCh1Prod3Slot2Pack,,xxIndexTeam)=INDEX(cbalCh1Prod3Slot2Pack,,xxIndexTeam),S78,0),0)-S69</f>
        <v>-27805425.582675751</v>
      </c>
      <c r="T67" s="889">
        <f>IFERROR(IF(INDEX(obalCh1Prod3Slot3Pack,,xxIndexTeam)=INDEX(cbalCh1Prod3Slot3Pack,,xxIndexTeam),T78,0),0)-T69</f>
        <v>0</v>
      </c>
      <c r="U67" s="887">
        <f>SUM(V67:X67)</f>
        <v>-25143883.344952397</v>
      </c>
      <c r="V67" s="889">
        <f>IFERROR(IF(INDEX(obalCh1Prod1Slot1Pack,,xxIndexTeam)=INDEX(cbalCh1Prod1Slot1Pack,,xxIndexTeam),V78,0),0)-V69</f>
        <v>-25143883.344952397</v>
      </c>
      <c r="W67" s="889">
        <f>IFERROR(IF(INDEX(obalCh1Prod1Slot2Pack,,xxIndexTeam)=INDEX(cbalCh1Prod1Slot2Pack,,xxIndexTeam),W78,0),0)-W69</f>
        <v>0</v>
      </c>
      <c r="X67" s="889">
        <f>IFERROR(IF(INDEX(obalCh1Prod1Slot3Pack,,xxIndexTeam)=INDEX(cbalCh1Prod1Slot3Pack,,xxIndexTeam),X78,0),0)-X69</f>
        <v>0</v>
      </c>
      <c r="Y67" s="887">
        <f>SUM(Z67:AB67)</f>
        <v>0</v>
      </c>
      <c r="Z67" s="889">
        <f>IFERROR(IF(INDEX(obalCh1Prod4Slot1Pack,,xxIndexTeam)=INDEX(cbalCh1Prod4Slot1Pack,,xxIndexTeam),Z78,0),0)-Z69</f>
        <v>0</v>
      </c>
      <c r="AA67" s="889">
        <f>IFERROR(IF(INDEX(obalCh1Prod4Slot2Pack,,xxIndexTeam)=INDEX(cbalCh1Prod4Slot2Pack,,xxIndexTeam),AA78,0),0)-AA69</f>
        <v>0</v>
      </c>
      <c r="AB67" s="889">
        <f>IFERROR(IF(INDEX(obalCh1Prod4Slot3Pack,,xxIndexTeam)=INDEX(cbalCh1Prod4Slot3Pack,,xxIndexTeam),AB78,0),0)-AB69</f>
        <v>0</v>
      </c>
      <c r="AC67" s="483"/>
      <c r="AE67" s="555" t="str">
        <f>nmProd1</f>
        <v>Greenborg</v>
      </c>
      <c r="AF67" s="600"/>
      <c r="AG67" s="600"/>
      <c r="AH67" s="561"/>
      <c r="AI67" s="555"/>
      <c r="AJ67" s="600"/>
      <c r="AK67" s="600"/>
      <c r="AL67" s="561"/>
      <c r="AM67" s="555"/>
      <c r="AN67" s="600"/>
      <c r="AO67" s="600"/>
      <c r="AP67" s="561"/>
      <c r="AQ67" s="555"/>
      <c r="AR67" s="600"/>
      <c r="AS67" s="600"/>
      <c r="AT67" s="561"/>
      <c r="AU67" s="555"/>
      <c r="AV67" s="600"/>
      <c r="AW67" s="600"/>
      <c r="AX67" s="561"/>
      <c r="AY67" s="555"/>
      <c r="AZ67" s="600"/>
      <c r="BA67" s="600"/>
      <c r="BB67" s="561"/>
    </row>
    <row r="68" spans="4:54" ht="15">
      <c r="D68" s="554"/>
      <c r="E68" s="540"/>
      <c r="F68" s="876" t="s">
        <v>5215</v>
      </c>
      <c r="G68" s="876" t="s">
        <v>9062</v>
      </c>
      <c r="H68" s="720"/>
      <c r="I68" s="720"/>
      <c r="J68" s="720"/>
      <c r="K68" s="608" t="s">
        <v>9060</v>
      </c>
      <c r="L68" s="887">
        <f t="shared" si="53"/>
        <v>-8.1956386566162109E-8</v>
      </c>
      <c r="M68" s="887">
        <f>(M65+M66+M67+M69-M70)*-1</f>
        <v>-5.9604644775390625E-8</v>
      </c>
      <c r="N68" s="887">
        <v>0</v>
      </c>
      <c r="O68" s="887">
        <v>0</v>
      </c>
      <c r="P68" s="887">
        <v>0</v>
      </c>
      <c r="Q68" s="887">
        <f>(Q65+Q66+Q67+Q69-Q70)*-1</f>
        <v>-2.9802322387695313E-8</v>
      </c>
      <c r="R68" s="887">
        <v>0</v>
      </c>
      <c r="S68" s="887">
        <v>0</v>
      </c>
      <c r="T68" s="887">
        <v>0</v>
      </c>
      <c r="U68" s="887">
        <f>(U65+U66+U67+U69-U70)*-1</f>
        <v>7.4505805969238281E-9</v>
      </c>
      <c r="V68" s="887">
        <v>0</v>
      </c>
      <c r="W68" s="887">
        <v>0</v>
      </c>
      <c r="X68" s="887">
        <v>0</v>
      </c>
      <c r="Y68" s="887">
        <f>(Y65+Y66+Y67+Y69-Y70)*-1</f>
        <v>0</v>
      </c>
      <c r="Z68" s="887">
        <v>0</v>
      </c>
      <c r="AA68" s="887">
        <v>0</v>
      </c>
      <c r="AB68" s="887">
        <v>0</v>
      </c>
      <c r="AC68" s="483"/>
      <c r="AE68" s="554"/>
      <c r="AF68" s="720"/>
      <c r="AG68" s="548">
        <f>tlinputCh1Prod1Slot1CustPrice*(1+VLOOKUP(tlOutputProd1,dataCustomerMargin,2,FALSE))</f>
        <v>9.24</v>
      </c>
      <c r="AH68" s="584" t="s">
        <v>5201</v>
      </c>
      <c r="AI68" s="554"/>
      <c r="AJ68" s="720"/>
      <c r="AK68" s="548">
        <f>tlOutputCh1Prod1Slot1SP-tlinputCh1Prod1Slot1CustPrice</f>
        <v>1.54</v>
      </c>
      <c r="AL68" s="584" t="s">
        <v>4467</v>
      </c>
      <c r="AM68" s="554"/>
      <c r="AN68" s="720"/>
      <c r="AO68" s="548">
        <f>tlinputCh1Prod1Slot1CustPrice*(1-tloutputCh1Prod1Slot1AvgPromoDis)</f>
        <v>5.1589999999999998</v>
      </c>
      <c r="AP68" s="584" t="s">
        <v>4491</v>
      </c>
      <c r="AQ68" s="554"/>
      <c r="AR68" s="720"/>
      <c r="AS68" s="548">
        <f>INDEX(calcCh1Prod1Slot1AvgSalePrice,,xxIndexTeam)</f>
        <v>6.0676000000000005</v>
      </c>
      <c r="AT68" s="584" t="s">
        <v>4503</v>
      </c>
      <c r="AU68" s="554"/>
      <c r="AV68" s="720"/>
      <c r="AW68" s="548">
        <f>ROUND(VLOOKUP(tlinputCh1Prod1Slot1Pack,dataPackPrice,2,FALSE)*0.8,2)</f>
        <v>6.08</v>
      </c>
      <c r="AX68" s="584" t="s">
        <v>8510</v>
      </c>
      <c r="AY68" s="554"/>
      <c r="AZ68" s="720"/>
      <c r="BA68" s="548">
        <f>ROUND(VLOOKUP(tlinputCh1Prod1Slot1Pack,dataPackPrice,2,FALSE)*1.2,2)</f>
        <v>9.1199999999999992</v>
      </c>
      <c r="BB68" s="584" t="s">
        <v>8522</v>
      </c>
    </row>
    <row r="69" spans="4:54" ht="15">
      <c r="D69" s="554"/>
      <c r="E69" s="540"/>
      <c r="F69" s="876" t="s">
        <v>5216</v>
      </c>
      <c r="G69" s="876" t="s">
        <v>9062</v>
      </c>
      <c r="H69" s="720"/>
      <c r="I69" s="720"/>
      <c r="J69" s="720"/>
      <c r="K69" s="608" t="s">
        <v>157</v>
      </c>
      <c r="L69" s="887">
        <f>M69+Q69+U69+Y69</f>
        <v>-8537302.3025924992</v>
      </c>
      <c r="M69" s="887">
        <f>SUM(N69:P69)</f>
        <v>-5154233.2920899428</v>
      </c>
      <c r="N69" s="889">
        <f>IFERROR(IF(INDEX(obalCh1Prod2Slot1Pack,,xxIndexTeam)=INDEX(cbalCh1Prod2Slot1Pack,,xxIndexTeam),N79,0),0)</f>
        <v>-1259637.0205399306</v>
      </c>
      <c r="O69" s="889">
        <f>IFERROR(IF(INDEX(obalCh1Prod2Slot2Pack,,xxIndexTeam)=INDEX(cbalCh1Prod2Slot2Pack,,xxIndexTeam),O79,0),0)</f>
        <v>-3894596.2715500123</v>
      </c>
      <c r="P69" s="889">
        <f>IFERROR(IF(INDEX(obalCh1Prod2Slot3Pack,,xxIndexTeam)=INDEX(cbalCh1Prod2Slot3Pack,,xxIndexTeam),P79,0),0)</f>
        <v>0</v>
      </c>
      <c r="Q69" s="887">
        <f>SUM(R69:T69)</f>
        <v>-880475.42400517093</v>
      </c>
      <c r="R69" s="889">
        <f>IFERROR(IF(INDEX(obalCh1Prod3Slot1Pack,,xxIndexTeam)=INDEX(cbalCh1Prod3Slot1Pack,,xxIndexTeam),R79,0),0)</f>
        <v>-837817.61916246847</v>
      </c>
      <c r="S69" s="889">
        <f>IFERROR(IF(INDEX(obalCh1Prod3Slot2Pack,,xxIndexTeam)=INDEX(cbalCh1Prod3Slot2Pack,,xxIndexTeam),S79,0),0)</f>
        <v>-42657.804842702513</v>
      </c>
      <c r="T69" s="889">
        <f>IFERROR(IF(INDEX(obalCh1Prod3Slot3Pack,,xxIndexTeam)=INDEX(cbalCh1Prod3Slot3Pack,,xxIndexTeam),T79,0),0)</f>
        <v>0</v>
      </c>
      <c r="U69" s="887">
        <f>SUM(V69:X69)</f>
        <v>-2502593.5864973851</v>
      </c>
      <c r="V69" s="889">
        <f>IFERROR(IF(INDEX(obalCh1Prod1Slot1Pack,,xxIndexTeam)=INDEX(cbalCh1Prod1Slot1Pack,,xxIndexTeam),V79,0),0)</f>
        <v>-2502593.5864973851</v>
      </c>
      <c r="W69" s="889">
        <f>IFERROR(IF(INDEX(obalCh1Prod1Slot2Pack,,xxIndexTeam)=INDEX(cbalCh1Prod1Slot2Pack,,xxIndexTeam),W79,0),0)</f>
        <v>0</v>
      </c>
      <c r="X69" s="889">
        <f>IFERROR(IF(INDEX(obalCh1Prod1Slot3Pack,,xxIndexTeam)=INDEX(cbalCh1Prod1Slot3Pack,,xxIndexTeam),X79,0),0)</f>
        <v>0</v>
      </c>
      <c r="Y69" s="887">
        <f>SUM(Z69:AB69)</f>
        <v>0</v>
      </c>
      <c r="Z69" s="889">
        <f>IFERROR(IF(INDEX(obalCh1Prod4Slot1Pack,,xxIndexTeam)=INDEX(cbalCh1Prod4Slot1Pack,,xxIndexTeam),Z79,0),0)</f>
        <v>0</v>
      </c>
      <c r="AA69" s="889">
        <f>IFERROR(IF(INDEX(obalCh1Prod4Slot2Pack,,xxIndexTeam)=INDEX(cbalCh1Prod4Slot2Pack,,xxIndexTeam),AA79,0),0)</f>
        <v>0</v>
      </c>
      <c r="AB69" s="889">
        <f>IFERROR(IF(INDEX(obalCh1Prod4Slot3Pack,,xxIndexTeam)=INDEX(cbalCh1Prod4Slot3Pack,,xxIndexTeam),AB79,0),0)</f>
        <v>0</v>
      </c>
      <c r="AC69" s="483"/>
      <c r="AE69" s="554"/>
      <c r="AF69" s="720"/>
      <c r="AG69" s="548">
        <f>tlinputCh1Prod1Slot2CustPrice*(1+VLOOKUP(tlOutputProd1,dataCustomerMargin,2,FALSE))</f>
        <v>0</v>
      </c>
      <c r="AH69" s="584" t="s">
        <v>5202</v>
      </c>
      <c r="AI69" s="554"/>
      <c r="AJ69" s="720"/>
      <c r="AK69" s="548">
        <f>tlOutputCh1Prod1Slot2SP-tlinputCh1Prod1Slot2CustPrice</f>
        <v>0</v>
      </c>
      <c r="AL69" s="584" t="s">
        <v>4468</v>
      </c>
      <c r="AM69" s="554"/>
      <c r="AN69" s="720"/>
      <c r="AO69" s="548">
        <f>tlinputCh1Prod1Slot2CustPrice*(1-tloutputCh1Prod1Slot1AvgPromoDis)</f>
        <v>0</v>
      </c>
      <c r="AP69" s="584" t="s">
        <v>4492</v>
      </c>
      <c r="AQ69" s="554"/>
      <c r="AR69" s="720"/>
      <c r="AS69" s="548">
        <f>INDEX(calcCh1Prod1Slot2AvgSalePrice,,xxIndexTeam)</f>
        <v>0</v>
      </c>
      <c r="AT69" s="584" t="s">
        <v>4504</v>
      </c>
      <c r="AU69" s="554"/>
      <c r="AV69" s="720"/>
      <c r="AW69" s="548">
        <f>ROUND(VLOOKUP(tlinputCh1Prod1Slot2Pack,dataPackPrice,2,FALSE)*0.8,2)</f>
        <v>0</v>
      </c>
      <c r="AX69" s="584" t="s">
        <v>8511</v>
      </c>
      <c r="AY69" s="554"/>
      <c r="AZ69" s="720"/>
      <c r="BA69" s="548">
        <f>ROUND(VLOOKUP(tlinputCh1Prod1Slot2Pack,dataPackPrice,2,FALSE)*1.2,2)</f>
        <v>0</v>
      </c>
      <c r="BB69" s="584" t="s">
        <v>8523</v>
      </c>
    </row>
    <row r="70" spans="4:54" s="802" customFormat="1" ht="15.75" thickBot="1">
      <c r="D70" s="546"/>
      <c r="E70" s="539"/>
      <c r="F70" s="877" t="s">
        <v>9056</v>
      </c>
      <c r="G70" s="877" t="s">
        <v>9062</v>
      </c>
      <c r="H70" s="544"/>
      <c r="I70" s="544"/>
      <c r="J70" s="544"/>
      <c r="K70" s="543" t="s">
        <v>9058</v>
      </c>
      <c r="L70" s="891">
        <f t="shared" si="53"/>
        <v>714910724.82424223</v>
      </c>
      <c r="M70" s="891">
        <f>INDEX(cbalCh1Prod2Slot1GPaL,,xxIndexTeam)+INDEX(cbalCh1Prod2Slot2GPaL,,xxIndexTeam)+INDEX(cbalCh1Prod2Slot3GPaL,,xxIndexTeam)</f>
        <v>382863319.23267251</v>
      </c>
      <c r="N70" s="892">
        <f>IF(AND(INDEX(obalCh1Prod2Slot1Pack,,xxIndexTeam)=INDEX(cbalCh1Prod2Slot1Pack,,xxIndexTeam),INDEX(cbalCh1Prod2Slot1Active,,xxIndexTeam)=1),INDEX(cbalCh1Prod2Slot1GPaL,,xxIndexTeam),0)</f>
        <v>231501475.66579553</v>
      </c>
      <c r="O70" s="892">
        <f>IF(AND(INDEX(obalCh1Prod2Slot2Pack,,xxIndexTeam)=INDEX(cbalCh1Prod2Slot2Pack,,xxIndexTeam),INDEX(cbalCh1Prod2Slot2Active,,xxIndexTeam)=1),INDEX(cbalCh1Prod2Slot2GPaL,,xxIndexTeam),0)</f>
        <v>151361843.56687698</v>
      </c>
      <c r="P70" s="892">
        <f>IF(AND(INDEX(obalCh1Prod2Slot3Pack,,xxIndexTeam)=INDEX(cbalCh1Prod2Slot3Pack,,xxIndexTeam),INDEX(cbalCh1Prod2Slot3Active,,xxIndexTeam)=1),INDEX(cbalCh1Prod2Slot3GPaL,,xxIndexTeam),0)</f>
        <v>0</v>
      </c>
      <c r="Q70" s="891">
        <f>INDEX(cbalCh1Prod3Slot1GPaL,,xxIndexTeam)+INDEX(cbalCh1Prod3Slot2GPaL,,xxIndexTeam)+INDEX(cbalCh1Prod3Slot3GPaL,,xxIndexTeam)</f>
        <v>267602458.37263262</v>
      </c>
      <c r="R70" s="892">
        <f>IF(AND(INDEX(obalCh1Prod3Slot1Pack,,xxIndexTeam)=INDEX(cbalCh1Prod3Slot1Pack,,xxIndexTeam),INDEX(cbalCh1Prod3Slot1Active,,xxIndexTeam)=1),INDEX(cbalCh1Prod3Slot1GPaL,,xxIndexTeam),0)</f>
        <v>112376006.7653951</v>
      </c>
      <c r="S70" s="892">
        <f>IF(AND(INDEX(obalCh1Prod3Slot2Pack,,xxIndexTeam)=INDEX(cbalCh1Prod3Slot2Pack,,xxIndexTeam),INDEX(cbalCh1Prod3Slot2Active,,xxIndexTeam)=1),INDEX(cbalCh1Prod3Slot2GPaL,,xxIndexTeam),0)</f>
        <v>155226451.60723752</v>
      </c>
      <c r="T70" s="892">
        <f>IF(AND(INDEX(obalCh1Prod3Slot3Pack,,xxIndexTeam)=INDEX(cbalCh1Prod3Slot3Pack,,xxIndexTeam),INDEX(cbalCh1Prod3Slot3Active,,xxIndexTeam)=1),INDEX(cbalCh1Prod3Slot3GPaL,,xxIndexTeam),0)</f>
        <v>0</v>
      </c>
      <c r="U70" s="891">
        <f>INDEX(cbalCh1Prod1Slot1GPaL,,xxIndexTeam)+INDEX(cbalCh1Prod1Slot2GPaL,,xxIndexTeam)+INDEX(cbalCh1Prod1Slot3GPaL,,xxIndexTeam)</f>
        <v>64444947.218937032</v>
      </c>
      <c r="V70" s="892">
        <f>IF(AND(INDEX(obalCh1Prod1Slot1Pack,,xxIndexTeam)=INDEX(cbalCh1Prod1Slot1Pack,,xxIndexTeam),INDEX(cbalCh1Prod1Slot1Active,,xxIndexTeam)=1),INDEX(cbalCh1Prod1Slot1GPaL,,xxIndexTeam),0)</f>
        <v>64444947.218937032</v>
      </c>
      <c r="W70" s="892">
        <f>IF(AND(INDEX(obalCh1Prod1Slot2Pack,,xxIndexTeam)=INDEX(cbalCh1Prod1Slot2Pack,,xxIndexTeam),INDEX(cbalCh1Prod1Slot2Active,,xxIndexTeam)=1),INDEX(cbalCh1Prod1Slot2GPaL,,xxIndexTeam),0)</f>
        <v>0</v>
      </c>
      <c r="X70" s="892">
        <f>IF(AND(INDEX(obalCh1Prod1Slot3Pack,,xxIndexTeam)=INDEX(cbalCh1Prod1Slot3Pack,,xxIndexTeam),INDEX(cbalCh1Prod1Slot3Active,,xxIndexTeam)=1),INDEX(cbalCh1Prod1Slot3GPaL,,xxIndexTeam),0)</f>
        <v>0</v>
      </c>
      <c r="Y70" s="891">
        <f>INDEX(cbalCh1Prod4Slot1GPaL,,xxIndexTeam)+INDEX(cbalCh1Prod4Slot2GPaL,,xxIndexTeam)+INDEX(cbalCh1Prod4Slot3GPaL,,xxIndexTeam)</f>
        <v>0</v>
      </c>
      <c r="Z70" s="892">
        <f>IF(AND(INDEX(obalCh1Prod4Slot1Pack,,xxIndexTeam)=INDEX(cbalCh1Prod4Slot1Pack,,xxIndexTeam),INDEX(cbalCh1Prod4Slot1Active,,xxIndexTeam)=1),INDEX(cbalCh1Prod4Slot1GPaL,,xxIndexTeam),0)</f>
        <v>0</v>
      </c>
      <c r="AA70" s="892">
        <f>IF(AND(INDEX(obalCh1Prod4Slot2Pack,,xxIndexTeam)=INDEX(cbalCh1Prod4Slot2Pack,,xxIndexTeam),INDEX(cbalCh1Prod4Slot2Active,,xxIndexTeam)=1),INDEX(cbalCh1Prod4Slot2GPaL,,xxIndexTeam),0)</f>
        <v>0</v>
      </c>
      <c r="AB70" s="892">
        <f>IF(AND(INDEX(obalCh1Prod4Slot3Pack,,xxIndexTeam)=INDEX(cbalCh1Prod4Slot3Pack,,xxIndexTeam),INDEX(cbalCh1Prod4Slot3Active,,xxIndexTeam)=1),INDEX(cbalCh1Prod4Slot3GPaL,,xxIndexTeam),0)</f>
        <v>0</v>
      </c>
      <c r="AC70" s="701"/>
      <c r="AE70" s="554"/>
      <c r="AF70" s="720"/>
      <c r="AG70" s="548">
        <f>tlinputCh1Prod1Slot3CustPrice*(1+VLOOKUP(tlOutputProd1,dataCustomerMargin,2,FALSE))</f>
        <v>0</v>
      </c>
      <c r="AH70" s="584" t="s">
        <v>5203</v>
      </c>
      <c r="AI70" s="554"/>
      <c r="AJ70" s="720"/>
      <c r="AK70" s="548">
        <f>tlOutputCh1Prod1Slot3SP-tlinputCh1Prod1Slot3CustPrice</f>
        <v>0</v>
      </c>
      <c r="AL70" s="584" t="s">
        <v>4469</v>
      </c>
      <c r="AM70" s="554"/>
      <c r="AN70" s="720"/>
      <c r="AO70" s="548">
        <f>tlinputCh1Prod1Slot3CustPrice*(1-tloutputCh1Prod1Slot1AvgPromoDis)</f>
        <v>0</v>
      </c>
      <c r="AP70" s="584" t="s">
        <v>4493</v>
      </c>
      <c r="AQ70" s="554"/>
      <c r="AR70" s="720"/>
      <c r="AS70" s="548">
        <f>INDEX(calcCh1Prod1Slot3AvgSalePrice,,xxIndexTeam)</f>
        <v>0</v>
      </c>
      <c r="AT70" s="584" t="s">
        <v>4505</v>
      </c>
      <c r="AU70" s="554"/>
      <c r="AV70" s="720"/>
      <c r="AW70" s="548">
        <f>ROUND(VLOOKUP(tlinputCh1Prod1Slot3Pack,dataPackPrice,2,FALSE)*0.8,2)</f>
        <v>0</v>
      </c>
      <c r="AX70" s="584" t="s">
        <v>8512</v>
      </c>
      <c r="AY70" s="554"/>
      <c r="AZ70" s="720"/>
      <c r="BA70" s="548">
        <f>ROUND(VLOOKUP(tlinputCh1Prod1Slot3Pack,dataPackPrice,2,FALSE)*1.2,2)</f>
        <v>0</v>
      </c>
      <c r="BB70" s="584" t="s">
        <v>8524</v>
      </c>
    </row>
    <row r="71" spans="4:54" s="613" customFormat="1" ht="15">
      <c r="E71" s="722"/>
      <c r="M71" s="890"/>
      <c r="N71" s="890"/>
      <c r="W71" s="802"/>
      <c r="AC71" s="701"/>
      <c r="AE71" s="554" t="str">
        <f>nmProd2</f>
        <v>Harken</v>
      </c>
      <c r="AF71" s="720"/>
      <c r="AG71" s="720"/>
      <c r="AH71" s="584"/>
      <c r="AI71" s="554"/>
      <c r="AJ71" s="720"/>
      <c r="AK71" s="720"/>
      <c r="AL71" s="584"/>
      <c r="AM71" s="554"/>
      <c r="AN71" s="720"/>
      <c r="AO71" s="720"/>
      <c r="AP71" s="584"/>
      <c r="AQ71" s="554"/>
      <c r="AR71" s="720"/>
      <c r="AS71" s="720"/>
      <c r="AT71" s="584"/>
      <c r="AU71" s="554"/>
      <c r="AV71" s="720"/>
      <c r="AW71" s="548">
        <f>ROUND(VLOOKUP(tlinputCh1Prod2Slot1Pack,dataPackPrice,2,FALSE)*0.8,2)</f>
        <v>6.48</v>
      </c>
      <c r="AX71" s="584" t="s">
        <v>8513</v>
      </c>
      <c r="AY71" s="554"/>
      <c r="AZ71" s="720"/>
      <c r="BA71" s="548">
        <f>ROUND(VLOOKUP(tlinputCh1Prod2Slot1Pack,dataPackPrice,2,FALSE)*1.2,2)</f>
        <v>9.7200000000000006</v>
      </c>
      <c r="BB71" s="584" t="s">
        <v>8525</v>
      </c>
    </row>
    <row r="72" spans="4:54" s="613" customFormat="1" ht="15">
      <c r="L72" s="886">
        <f>L73-L70</f>
        <v>0</v>
      </c>
      <c r="M72" s="886">
        <f>M73-M70</f>
        <v>0</v>
      </c>
      <c r="N72" s="886">
        <f>N73-N70</f>
        <v>0</v>
      </c>
      <c r="O72" s="886">
        <f>O73-O70</f>
        <v>0</v>
      </c>
      <c r="P72" s="886">
        <f>P73-P70</f>
        <v>0</v>
      </c>
      <c r="Q72" s="886">
        <f t="shared" ref="Q72:AB72" si="54">Q73-Q70</f>
        <v>0</v>
      </c>
      <c r="R72" s="930">
        <f t="shared" si="54"/>
        <v>0</v>
      </c>
      <c r="S72" s="930">
        <f t="shared" si="54"/>
        <v>0</v>
      </c>
      <c r="T72" s="886">
        <f t="shared" si="54"/>
        <v>0</v>
      </c>
      <c r="U72" s="886">
        <f t="shared" si="54"/>
        <v>0</v>
      </c>
      <c r="V72" s="886">
        <f t="shared" si="54"/>
        <v>0</v>
      </c>
      <c r="W72" s="886">
        <f t="shared" si="54"/>
        <v>0</v>
      </c>
      <c r="X72" s="886">
        <f t="shared" si="54"/>
        <v>0</v>
      </c>
      <c r="Y72" s="886">
        <f t="shared" si="54"/>
        <v>0</v>
      </c>
      <c r="Z72" s="886">
        <f t="shared" si="54"/>
        <v>0</v>
      </c>
      <c r="AA72" s="886">
        <f t="shared" si="54"/>
        <v>0</v>
      </c>
      <c r="AB72" s="886">
        <f t="shared" si="54"/>
        <v>0</v>
      </c>
      <c r="AC72" s="701"/>
      <c r="AE72" s="554"/>
      <c r="AF72" s="720"/>
      <c r="AG72" s="548">
        <f>tlinputCh1Prod2Slot1CustPrice*(1+VLOOKUP(tlOutputProd2,dataCustomerMargin,2,FALSE))</f>
        <v>9.48</v>
      </c>
      <c r="AH72" s="584" t="s">
        <v>5204</v>
      </c>
      <c r="AI72" s="554"/>
      <c r="AJ72" s="720"/>
      <c r="AK72" s="548">
        <f>tlOutputCh1Prod2Slot1SP-tlinputCh1Prod2Slot1CustPrice</f>
        <v>1.58</v>
      </c>
      <c r="AL72" s="584" t="s">
        <v>4470</v>
      </c>
      <c r="AM72" s="554"/>
      <c r="AN72" s="720"/>
      <c r="AO72" s="548">
        <f>tlinputCh1Prod2Slot1CustPrice*(1-tloutputCh1Prod2Slot1AvgPromoDis)</f>
        <v>5.2929999999999993</v>
      </c>
      <c r="AP72" s="584" t="s">
        <v>4494</v>
      </c>
      <c r="AQ72" s="554"/>
      <c r="AR72" s="720"/>
      <c r="AS72" s="548">
        <f>INDEX(calcCh1Prod2Slot1AvgSalePrice,,xxIndexTeam)</f>
        <v>7.6393000000000004</v>
      </c>
      <c r="AT72" s="584" t="s">
        <v>4506</v>
      </c>
      <c r="AU72" s="554"/>
      <c r="AV72" s="720"/>
      <c r="AW72" s="548">
        <f>ROUND(VLOOKUP(tlinputCh1Prod2Slot2Pack,dataPackPrice,2,FALSE)*0.8,2)</f>
        <v>6.24</v>
      </c>
      <c r="AX72" s="584" t="s">
        <v>8514</v>
      </c>
      <c r="AY72" s="554"/>
      <c r="AZ72" s="720"/>
      <c r="BA72" s="548">
        <f>ROUND(VLOOKUP(tlinputCh1Prod2Slot2Pack,dataPackPrice,2,FALSE)*1.2,2)</f>
        <v>9.36</v>
      </c>
      <c r="BB72" s="584" t="s">
        <v>8526</v>
      </c>
    </row>
    <row r="73" spans="4:54" s="613" customFormat="1" ht="15">
      <c r="L73" s="890">
        <f>L65+L66+L67+L68+L69</f>
        <v>714910724.824242</v>
      </c>
      <c r="M73" s="890">
        <f>M65+M66+M67+M68+M69</f>
        <v>382863319.23267251</v>
      </c>
      <c r="N73" s="890">
        <f t="shared" ref="N73:AB73" si="55">N65+N66+N67+N68+N69</f>
        <v>231501475.66579553</v>
      </c>
      <c r="O73" s="890">
        <f t="shared" si="55"/>
        <v>151361843.56687698</v>
      </c>
      <c r="P73" s="890">
        <f>P65+P66+P67+P68+P69</f>
        <v>0</v>
      </c>
      <c r="Q73" s="890">
        <f t="shared" si="55"/>
        <v>267602458.37263259</v>
      </c>
      <c r="R73" s="890">
        <f t="shared" si="55"/>
        <v>112376006.76539508</v>
      </c>
      <c r="S73" s="890">
        <f t="shared" si="55"/>
        <v>155226451.60723749</v>
      </c>
      <c r="T73" s="890">
        <f>T65+T66+T67+T68+T69</f>
        <v>0</v>
      </c>
      <c r="U73" s="890">
        <f t="shared" si="55"/>
        <v>64444947.218937039</v>
      </c>
      <c r="V73" s="890">
        <f t="shared" si="55"/>
        <v>64444947.218937024</v>
      </c>
      <c r="W73" s="890">
        <f t="shared" si="55"/>
        <v>0</v>
      </c>
      <c r="X73" s="890">
        <f t="shared" si="55"/>
        <v>0</v>
      </c>
      <c r="Y73" s="890">
        <f t="shared" si="55"/>
        <v>0</v>
      </c>
      <c r="Z73" s="890">
        <f t="shared" si="55"/>
        <v>0</v>
      </c>
      <c r="AA73" s="890">
        <f t="shared" si="55"/>
        <v>0</v>
      </c>
      <c r="AB73" s="890">
        <f t="shared" si="55"/>
        <v>0</v>
      </c>
      <c r="AE73" s="554"/>
      <c r="AF73" s="720"/>
      <c r="AG73" s="548">
        <f>tlinputCh1Prod2Slot2CustPrice*(1+VLOOKUP(tlOutputProd2,dataCustomerMargin,2,FALSE))</f>
        <v>9.0599999999999987</v>
      </c>
      <c r="AH73" s="584" t="s">
        <v>5205</v>
      </c>
      <c r="AI73" s="554"/>
      <c r="AJ73" s="720"/>
      <c r="AK73" s="548">
        <f>tlOutputCh1Prod2Slot2SP-tlinputCh1Prod2Slot2CustPrice</f>
        <v>1.5099999999999989</v>
      </c>
      <c r="AL73" s="584" t="s">
        <v>4471</v>
      </c>
      <c r="AM73" s="554"/>
      <c r="AN73" s="720"/>
      <c r="AO73" s="548">
        <f>tlinputCh1Prod2Slot2CustPrice*(1-tloutputCh1Prod2Slot1AvgPromoDis)</f>
        <v>5.0584999999999996</v>
      </c>
      <c r="AP73" s="584" t="s">
        <v>4495</v>
      </c>
      <c r="AQ73" s="554"/>
      <c r="AR73" s="720"/>
      <c r="AS73" s="548">
        <f>INDEX(calcCh1Prod2Slot2AvgSalePrice,,xxIndexTeam)</f>
        <v>6.3495499999999989</v>
      </c>
      <c r="AT73" s="584" t="s">
        <v>4507</v>
      </c>
      <c r="AU73" s="554"/>
      <c r="AV73" s="720"/>
      <c r="AW73" s="548">
        <f>ROUND(VLOOKUP(tlinputCh1Prod2Slot3Pack,dataPackPrice,2,FALSE)*0.8,2)</f>
        <v>0</v>
      </c>
      <c r="AX73" s="584" t="s">
        <v>8515</v>
      </c>
      <c r="AY73" s="554"/>
      <c r="AZ73" s="720"/>
      <c r="BA73" s="548">
        <f>ROUND(VLOOKUP(tlinputCh1Prod2Slot3Pack,dataPackPrice,2,FALSE)*1.2,2)</f>
        <v>0</v>
      </c>
      <c r="BB73" s="584" t="s">
        <v>8527</v>
      </c>
    </row>
    <row r="74" spans="4:54" ht="15">
      <c r="K74" s="702" t="s">
        <v>10571</v>
      </c>
      <c r="L74" s="21" t="b">
        <f>L73=L70</f>
        <v>1</v>
      </c>
      <c r="M74" s="802" t="b">
        <f>M73=M70</f>
        <v>1</v>
      </c>
      <c r="N74" s="802" t="b">
        <f t="shared" ref="N74:AB74" si="56">N73=N70</f>
        <v>1</v>
      </c>
      <c r="O74" s="802" t="b">
        <f>O73=O70</f>
        <v>1</v>
      </c>
      <c r="P74" s="802" t="b">
        <f>P73=P70</f>
        <v>1</v>
      </c>
      <c r="Q74" s="802" t="b">
        <f t="shared" si="56"/>
        <v>1</v>
      </c>
      <c r="R74" s="802" t="b">
        <f t="shared" si="56"/>
        <v>1</v>
      </c>
      <c r="S74" s="802" t="b">
        <f t="shared" si="56"/>
        <v>0</v>
      </c>
      <c r="T74" s="802" t="b">
        <f t="shared" si="56"/>
        <v>1</v>
      </c>
      <c r="U74" s="802" t="b">
        <f t="shared" si="56"/>
        <v>1</v>
      </c>
      <c r="V74" s="802" t="b">
        <f t="shared" si="56"/>
        <v>1</v>
      </c>
      <c r="W74" s="802" t="b">
        <f t="shared" si="56"/>
        <v>1</v>
      </c>
      <c r="X74" s="802" t="b">
        <f t="shared" si="56"/>
        <v>1</v>
      </c>
      <c r="Y74" s="802" t="b">
        <f t="shared" si="56"/>
        <v>1</v>
      </c>
      <c r="Z74" s="802" t="b">
        <f t="shared" si="56"/>
        <v>1</v>
      </c>
      <c r="AA74" s="802" t="b">
        <f t="shared" si="56"/>
        <v>1</v>
      </c>
      <c r="AB74" s="802" t="b">
        <f t="shared" si="56"/>
        <v>1</v>
      </c>
      <c r="AE74" s="554"/>
      <c r="AF74" s="720"/>
      <c r="AG74" s="548">
        <f>tlinputCh1Prod2Slot3CustPrice*(1+VLOOKUP(tlOutputProd2,dataCustomerMargin,2,FALSE))</f>
        <v>0</v>
      </c>
      <c r="AH74" s="584" t="s">
        <v>5206</v>
      </c>
      <c r="AI74" s="554"/>
      <c r="AJ74" s="720"/>
      <c r="AK74" s="548">
        <f>tlOutputCh1Prod2Slot3SP-tlinputCh1Prod2Slot3CustPrice</f>
        <v>0</v>
      </c>
      <c r="AL74" s="584" t="s">
        <v>4472</v>
      </c>
      <c r="AM74" s="554"/>
      <c r="AN74" s="720"/>
      <c r="AO74" s="548">
        <f>tlinputCh1Prod2Slot3CustPrice*(1-tloutputCh1Prod2Slot1AvgPromoDis)</f>
        <v>0</v>
      </c>
      <c r="AP74" s="584" t="s">
        <v>4496</v>
      </c>
      <c r="AQ74" s="554"/>
      <c r="AR74" s="720"/>
      <c r="AS74" s="548">
        <f>INDEX(calcCh1Prod2Slot3AvgSalePrice,,xxIndexTeam)</f>
        <v>0</v>
      </c>
      <c r="AT74" s="584" t="s">
        <v>4508</v>
      </c>
      <c r="AU74" s="554"/>
      <c r="AV74" s="720"/>
      <c r="AW74" s="548">
        <f>ROUND(VLOOKUP(tlinputCh1Prod3Slot1Pack,dataPackPrice,2,FALSE)*0.8,2)</f>
        <v>6.72</v>
      </c>
      <c r="AX74" s="584" t="s">
        <v>8516</v>
      </c>
      <c r="AY74" s="554"/>
      <c r="AZ74" s="720"/>
      <c r="BA74" s="548">
        <f>ROUND(VLOOKUP(tlinputCh1Prod3Slot1Pack,dataPackPrice,2,FALSE)*1.2,2)</f>
        <v>10.08</v>
      </c>
      <c r="BB74" s="584" t="s">
        <v>8528</v>
      </c>
    </row>
    <row r="75" spans="4:54" ht="15">
      <c r="AE75" s="554" t="str">
        <f>nmProd3</f>
        <v>Kara</v>
      </c>
      <c r="AF75" s="720"/>
      <c r="AG75" s="720"/>
      <c r="AH75" s="584"/>
      <c r="AI75" s="554"/>
      <c r="AJ75" s="720"/>
      <c r="AK75" s="720"/>
      <c r="AL75" s="584"/>
      <c r="AM75" s="554"/>
      <c r="AN75" s="720"/>
      <c r="AO75" s="720"/>
      <c r="AP75" s="584"/>
      <c r="AQ75" s="554"/>
      <c r="AR75" s="720"/>
      <c r="AS75" s="720"/>
      <c r="AT75" s="584"/>
      <c r="AU75" s="554"/>
      <c r="AV75" s="720"/>
      <c r="AW75" s="548">
        <f>ROUND(VLOOKUP(tlinputCh1Prod3Slot2Pack,dataPackPrice,2,FALSE)*0.8,2)</f>
        <v>6.24</v>
      </c>
      <c r="AX75" s="584" t="s">
        <v>8517</v>
      </c>
      <c r="AY75" s="554"/>
      <c r="AZ75" s="720"/>
      <c r="BA75" s="548">
        <f>ROUND(VLOOKUP(tlinputCh1Prod3Slot2Pack,dataPackPrice,2,FALSE)*1.2,2)</f>
        <v>9.36</v>
      </c>
      <c r="BB75" s="584" t="s">
        <v>8529</v>
      </c>
    </row>
    <row r="76" spans="4:54" ht="15">
      <c r="K76" s="702" t="s">
        <v>10567</v>
      </c>
      <c r="O76" s="931"/>
      <c r="AE76" s="554"/>
      <c r="AF76" s="720"/>
      <c r="AG76" s="548">
        <f>tlinputCh1Prod3Slot1CustPrice*(1+VLOOKUP(tlOutputProd3,dataCustomerMargin,2,FALSE))</f>
        <v>9.4239999999999995</v>
      </c>
      <c r="AH76" s="584" t="s">
        <v>5207</v>
      </c>
      <c r="AI76" s="554"/>
      <c r="AJ76" s="720"/>
      <c r="AK76" s="548">
        <f>tlOutputCh1Prod3Slot1SP-tlinputCh1Prod3Slot1CustPrice</f>
        <v>1.8239999999999998</v>
      </c>
      <c r="AL76" s="584" t="s">
        <v>4473</v>
      </c>
      <c r="AM76" s="554"/>
      <c r="AN76" s="720"/>
      <c r="AO76" s="548">
        <f>tlinputCh1Prod3Slot1CustPrice*(1-tloutputCh1Prod3Slot1AvgPromoDis)</f>
        <v>5.0919999999999996</v>
      </c>
      <c r="AP76" s="584" t="s">
        <v>4497</v>
      </c>
      <c r="AQ76" s="554"/>
      <c r="AR76" s="720"/>
      <c r="AS76" s="548">
        <f>INDEX(calcCh1Prod3Slot1AvgSalePrice,,xxIndexTeam)</f>
        <v>7.3491999999999997</v>
      </c>
      <c r="AT76" s="584" t="s">
        <v>4509</v>
      </c>
      <c r="AU76" s="554"/>
      <c r="AV76" s="720"/>
      <c r="AW76" s="548">
        <f>ROUND(VLOOKUP(tlinputCh1Prod3Slot3Pack,dataPackPrice,2,FALSE)*0.8,2)</f>
        <v>0</v>
      </c>
      <c r="AX76" s="584" t="s">
        <v>8518</v>
      </c>
      <c r="AY76" s="554"/>
      <c r="AZ76" s="720"/>
      <c r="BA76" s="548">
        <f>ROUND(VLOOKUP(tlinputCh1Prod3Slot3Pack,dataPackPrice,2,FALSE)*1.2,2)</f>
        <v>0</v>
      </c>
      <c r="BB76" s="584" t="s">
        <v>8530</v>
      </c>
    </row>
    <row r="77" spans="4:54" ht="15">
      <c r="K77" s="21" t="s">
        <v>295</v>
      </c>
      <c r="N77" s="21">
        <f>(INDEX(cbalCh1Prod2Slot1SoldVol,,xxIndexTeam)-INDEX(obalCh1Prod2Slot1SoldVol,,xxIndexTeam))*INDEX(obalCh1Prod2Slot1GPaLPerLitre,,xxIndexTeam)</f>
        <v>9705561.9649125934</v>
      </c>
      <c r="O77" s="802">
        <f>(INDEX(cbalCh1Prod2Slot2SoldVol,,xxIndexTeam)-INDEX(obalCh1Prod2Slot2SoldVol,,xxIndexTeam))*INDEX(obalCh1Prod2Slot2GPaLPerLitre,,xxIndexTeam)</f>
        <v>556528.38204846217</v>
      </c>
      <c r="P77" s="802" t="e">
        <f>(INDEX(cbalCh1Prod2Slot3SoldVol,,xxIndexTeam)-INDEX(obalCh1Prod2Slot3SoldVol,,xxIndexTeam))*INDEX(obalCh1Prod2Slot3GPaLPerLitre,,xxIndexTeam)</f>
        <v>#VALUE!</v>
      </c>
      <c r="R77" s="802">
        <f>(INDEX(cbalCh1Prod3Slot1SoldVol,,xxIndexTeam)-INDEX(obalCh1Prod3Slot1SoldVol,,xxIndexTeam))*INDEX(obalCh1Prod3Slot1GPaLPerLitre,,xxIndexTeam)</f>
        <v>7182417.3917814102</v>
      </c>
      <c r="S77" s="802">
        <f>(INDEX(cbalCh1Prod3Slot2SoldVol,,xxIndexTeam)-INDEX(obalCh1Prod3Slot2SoldVol,,xxIndexTeam))*INDEX(obalCh1Prod3Slot2GPaLPerLitre,,xxIndexTeam)</f>
        <v>-12188942.459346998</v>
      </c>
      <c r="T77" s="802" t="e">
        <f>(INDEX(cbalCh1Prod3Slot3SoldVol,,xxIndexTeam)-INDEX(obalCh1Prod3Slot3SoldVol,,xxIndexTeam))*INDEX(obalCh1Prod3Slot3GPaLPerLitre,,xxIndexTeam)</f>
        <v>#VALUE!</v>
      </c>
      <c r="V77" s="802">
        <f>(INDEX(cbalCh1Prod1Slot1SoldVol,,xxIndexTeam)-INDEX(obalCh1Prod1Slot1SoldVol,,xxIndexTeam))*INDEX(obalCh1Prod1Slot1GPaLPerLitre,,xxIndexTeam)</f>
        <v>174356.70783294592</v>
      </c>
      <c r="W77" s="802" t="e">
        <f>(INDEX(cbalCh1Prod1Slot2SoldVol,,xxIndexTeam)-INDEX(obalCh1Prod1Slot2SoldVol,,xxIndexTeam))*INDEX(obalCh1Prod1Slot2GPaLPerLitre,,xxIndexTeam)</f>
        <v>#VALUE!</v>
      </c>
      <c r="X77" s="802" t="e">
        <f>(INDEX(cbalCh1Prod1Slot3SoldVol,,xxIndexTeam)-INDEX(obalCh1Prod1Slot3SoldVol,,xxIndexTeam))*INDEX(obalCh1Prod1Slot3GPaLPerLitre,,xxIndexTeam)</f>
        <v>#VALUE!</v>
      </c>
      <c r="Z77" s="802" t="e">
        <f>(INDEX(cbalCh1Prod4Slot1SoldVol,,xxIndexTeam)-INDEX(obalCh1Prod4Slot1SoldVol,,xxIndexTeam))*INDEX(obalCh1Prod4Slot1GPaLPerLitre,,xxIndexTeam)</f>
        <v>#VALUE!</v>
      </c>
      <c r="AA77" s="802" t="e">
        <f>(INDEX(cbalCh1Prod4Slot2SoldVol,,xxIndexTeam)-INDEX(obalCh1Prod4Slot2SoldVol,,xxIndexTeam))*INDEX(obalCh1Prod4Slot2GPaLPerLitre,,xxIndexTeam)</f>
        <v>#VALUE!</v>
      </c>
      <c r="AB77" s="802" t="e">
        <f>(INDEX(cbalCh1Prod4Slot3SoldVol,,xxIndexTeam)-INDEX(obalCh1Prod4Slot3SoldVol,,xxIndexTeam))*INDEX(obalCh1Prod4Slot3GPaLPerLitre,,xxIndexTeam)</f>
        <v>#VALUE!</v>
      </c>
      <c r="AE77" s="554"/>
      <c r="AF77" s="720"/>
      <c r="AG77" s="548">
        <f>tlinputCh1Prod3Slot2CustPrice*(1+VLOOKUP(tlOutputProd3,dataCustomerMargin,2,FALSE))</f>
        <v>9.5231999999999992</v>
      </c>
      <c r="AH77" s="584" t="s">
        <v>5208</v>
      </c>
      <c r="AI77" s="554"/>
      <c r="AJ77" s="720"/>
      <c r="AK77" s="548">
        <f>tlOutputCh1Prod3Slot2SP-tlinputCh1Prod3Slot2CustPrice</f>
        <v>1.8431999999999995</v>
      </c>
      <c r="AL77" s="584" t="s">
        <v>4474</v>
      </c>
      <c r="AM77" s="554"/>
      <c r="AN77" s="720"/>
      <c r="AO77" s="548">
        <f>tlinputCh1Prod3Slot2CustPrice*(1-tloutputCh1Prod3Slot1AvgPromoDis)</f>
        <v>5.1455999999999991</v>
      </c>
      <c r="AP77" s="584" t="s">
        <v>4498</v>
      </c>
      <c r="AQ77" s="554"/>
      <c r="AR77" s="720"/>
      <c r="AS77" s="548">
        <f>INDEX(calcCh1Prod3Slot2AvgSalePrice,,xxIndexTeam)</f>
        <v>7.0655999999999999</v>
      </c>
      <c r="AT77" s="584" t="s">
        <v>4510</v>
      </c>
      <c r="AU77" s="554"/>
      <c r="AV77" s="720"/>
      <c r="AW77" s="548">
        <f>ROUND(VLOOKUP(tlinputCh1Prod4Slot1Pack,dataPackPrice,2,FALSE)*0.8,2)</f>
        <v>0</v>
      </c>
      <c r="AX77" s="584" t="s">
        <v>8519</v>
      </c>
      <c r="AY77" s="554"/>
      <c r="AZ77" s="720"/>
      <c r="BA77" s="548">
        <f>ROUND(VLOOKUP(tlinputCh1Prod4Slot1Pack,dataPackPrice,2,FALSE)*1.2,2)</f>
        <v>0</v>
      </c>
      <c r="BB77" s="584" t="s">
        <v>8531</v>
      </c>
    </row>
    <row r="78" spans="4:54" ht="15">
      <c r="K78" s="21" t="s">
        <v>151</v>
      </c>
      <c r="N78" s="21">
        <f>(INDEX(cbalCh1Prod2Slot1GPaLPerLitre,,xxIndexTeam)-INDEX(obalCh1Prod2Slot1GPaLPerLitre,xxIndexTeam))*INDEX(cbalCh1Prod2Slot1SoldVol,,xxIndexTeam)</f>
        <v>15463628.110716354</v>
      </c>
      <c r="O78" s="802">
        <f>(INDEX(cbalCh1Prod2Slot2GPaLPerLitre,,xxIndexTeam)-INDEX(obalCh1Prod2Slot2GPaLPerLitre,xxIndexTeam))*INDEX(cbalCh1Prod2Slot2SoldVol,,xxIndexTeam)</f>
        <v>-32327674.075881932</v>
      </c>
      <c r="P78" s="802" t="e">
        <f>(INDEX(cbalCh1Prod2Slot3GPaLPerLitre,,xxIndexTeam)-INDEX(obalCh1Prod2Slot3GPaLPerLitre,xxIndexTeam))*INDEX(cbalCh1Prod2Slot3SoldVol,,xxIndexTeam)</f>
        <v>#VALUE!</v>
      </c>
      <c r="R78" s="802">
        <f>(INDEX(cbalCh1Prod3Slot1GPaLPerLitre,,xxIndexTeam)-INDEX(obalCh1Prod3Slot1GPaLPerLitre,xxIndexTeam))*INDEX(cbalCh1Prod3Slot1SoldVol,,xxIndexTeam)</f>
        <v>8725699.8401798811</v>
      </c>
      <c r="S78" s="802">
        <f>(INDEX(cbalCh1Prod3Slot2GPaLPerLitre,,xxIndexTeam)-INDEX(obalCh1Prod3Slot2GPaLPerLitre,xxIndexTeam))*INDEX(cbalCh1Prod3Slot2SoldVol,,xxIndexTeam)</f>
        <v>-27848083.387518454</v>
      </c>
      <c r="T78" s="802" t="e">
        <f>(INDEX(cbalCh1Prod3Slot3GPaLPerLitre,,xxIndexTeam)-INDEX(obalCh1Prod3Slot3GPaLPerLitre,xxIndexTeam))*INDEX(cbalCh1Prod3Slot3SoldVol,,xxIndexTeam)</f>
        <v>#VALUE!</v>
      </c>
      <c r="V78" s="802">
        <f>(INDEX(cbalCh1Prod1Slot1GPaLPerLitre,,xxIndexTeam)-INDEX(obalCh1Prod1Slot1GPaLPerLitre,xxIndexTeam))*INDEX(cbalCh1Prod1Slot1SoldVol,,xxIndexTeam)</f>
        <v>-27646476.931449782</v>
      </c>
      <c r="W78" s="802" t="e">
        <f>(INDEX(cbalCh1Prod1Slot2GPaLPerLitre,,xxIndexTeam)-INDEX(obalCh1Prod1Slot2GPaLPerLitre,xxIndexTeam))*INDEX(cbalCh1Prod1Slot2SoldVol,,xxIndexTeam)</f>
        <v>#VALUE!</v>
      </c>
      <c r="X78" s="802" t="e">
        <f>(INDEX(cbalCh1Prod1Slot3GPaLPerLitre,,xxIndexTeam)-INDEX(obalCh1Prod1Slot3GPaLPerLitre,xxIndexTeam))*INDEX(cbalCh1Prod1Slot3SoldVol,,xxIndexTeam)</f>
        <v>#VALUE!</v>
      </c>
      <c r="Z78" s="802" t="e">
        <f>(INDEX(cbalCh1Prod4Slot1GPaLPerLitre,,xxIndexTeam)-INDEX(obalCh1Prod4Slot1GPaLPerLitre,xxIndexTeam))*INDEX(cbalCh1Prod4Slot1SoldVol,,xxIndexTeam)</f>
        <v>#VALUE!</v>
      </c>
      <c r="AA78" s="802" t="e">
        <f>(INDEX(cbalCh1Prod4Slot2GPaLPerLitre,,xxIndexTeam)-INDEX(obalCh1Prod4Slot2GPaLPerLitre,xxIndexTeam))*INDEX(cbalCh1Prod4Slot2SoldVol,,xxIndexTeam)</f>
        <v>#VALUE!</v>
      </c>
      <c r="AB78" s="802" t="e">
        <f>(INDEX(cbalCh1Prod4Slot3GPaLPerLitre,,xxIndexTeam)-INDEX(obalCh1Prod4Slot3GPaLPerLitre,xxIndexTeam))*INDEX(cbalCh1Prod4Slot3SoldVol,,xxIndexTeam)</f>
        <v>#VALUE!</v>
      </c>
      <c r="AE78" s="554"/>
      <c r="AF78" s="720"/>
      <c r="AG78" s="548">
        <f>tlinputCh1Prod3Slot3CustPrice*(1+VLOOKUP(tlOutputProd3,dataCustomerMargin,2,FALSE))</f>
        <v>0</v>
      </c>
      <c r="AH78" s="584" t="s">
        <v>5209</v>
      </c>
      <c r="AI78" s="554"/>
      <c r="AJ78" s="720"/>
      <c r="AK78" s="548">
        <f>tlOutputCh1Prod3Slot3SP-tlinputCh1Prod3Slot3CustPrice</f>
        <v>0</v>
      </c>
      <c r="AL78" s="584" t="s">
        <v>4475</v>
      </c>
      <c r="AM78" s="554"/>
      <c r="AN78" s="720"/>
      <c r="AO78" s="548">
        <f>tlinputCh1Prod3Slot3CustPrice*(1-tloutputCh1Prod3Slot1AvgPromoDis)</f>
        <v>0</v>
      </c>
      <c r="AP78" s="584" t="s">
        <v>4499</v>
      </c>
      <c r="AQ78" s="554"/>
      <c r="AR78" s="720"/>
      <c r="AS78" s="548">
        <f>INDEX(calcCh1Prod3Slot3AvgSalePrice,,xxIndexTeam)</f>
        <v>0</v>
      </c>
      <c r="AT78" s="584" t="s">
        <v>4511</v>
      </c>
      <c r="AU78" s="554"/>
      <c r="AV78" s="720"/>
      <c r="AW78" s="548">
        <f>ROUND(VLOOKUP(tlinputCh1Prod4Slot2Pack,dataPackPrice,2,FALSE)*0.8,2)</f>
        <v>0</v>
      </c>
      <c r="AX78" s="584" t="s">
        <v>8520</v>
      </c>
      <c r="AY78" s="554"/>
      <c r="AZ78" s="720"/>
      <c r="BA78" s="548">
        <f>ROUND(VLOOKUP(tlinputCh1Prod4Slot2Pack,dataPackPrice,2,FALSE)*1.2,2)</f>
        <v>0</v>
      </c>
      <c r="BB78" s="584" t="s">
        <v>8532</v>
      </c>
    </row>
    <row r="79" spans="4:54" ht="15">
      <c r="K79" s="802" t="s">
        <v>157</v>
      </c>
      <c r="N79" s="21">
        <f>(INDEX(obalCh1Prod2Slot1COGSpL,,xxIndexTeam)-INDEX(cbalCh1Prod2Slot1COGSpL,xxIndexTeam))*INDEX(cbalCh1Prod2Slot1SoldVol,,xxIndexTeam)</f>
        <v>-1259637.0205399306</v>
      </c>
      <c r="O79" s="802">
        <f>(INDEX(obalCh1Prod2Slot2COGSpL,,xxIndexTeam)-INDEX(cbalCh1Prod2Slot2COGSpL,xxIndexTeam))*INDEX(cbalCh1Prod2Slot2SoldVol,,xxIndexTeam)</f>
        <v>-3894596.2715500123</v>
      </c>
      <c r="P79" s="802" t="e">
        <f>(INDEX(obalCh1Prod2Slot3COGSpL,,xxIndexTeam)-INDEX(cbalCh1Prod2Slot3COGSpL,xxIndexTeam))*INDEX(cbalCh1Prod2Slot3SoldVol,,xxIndexTeam)</f>
        <v>#VALUE!</v>
      </c>
      <c r="R79" s="802">
        <f>(INDEX(obalCh1Prod3Slot1COGSpL,,xxIndexTeam)-INDEX(cbalCh1Prod3Slot1COGSpL,xxIndexTeam))*INDEX(cbalCh1Prod3Slot1SoldVol,,xxIndexTeam)</f>
        <v>-837817.61916246847</v>
      </c>
      <c r="S79" s="802">
        <f>(INDEX(obalCh1Prod3Slot2COGSpL,,xxIndexTeam)-INDEX(cbalCh1Prod3Slot2COGSpL,xxIndexTeam))*INDEX(cbalCh1Prod3Slot2SoldVol,,xxIndexTeam)</f>
        <v>-42657.804842702513</v>
      </c>
      <c r="T79" s="802" t="e">
        <f>(INDEX(obalCh1Prod3Slot3COGSpL,,xxIndexTeam)-INDEX(cbalCh1Prod3Slot3COGSpL,xxIndexTeam))*INDEX(cbalCh1Prod3Slot3SoldVol,,xxIndexTeam)</f>
        <v>#VALUE!</v>
      </c>
      <c r="V79" s="802">
        <f>(INDEX(obalCh1Prod1Slot1COGSpL,,xxIndexTeam)-INDEX(cbalCh1Prod1Slot1COGSpL,xxIndexTeam))*INDEX(cbalCh1Prod1Slot1SoldVol,,xxIndexTeam)</f>
        <v>-2502593.5864973851</v>
      </c>
      <c r="W79" s="802" t="e">
        <f>(INDEX(obalCh1Prod1Slot2COGSpL,,xxIndexTeam)-INDEX(cbalCh1Prod1Slot2COGSpL,xxIndexTeam))*INDEX(cbalCh1Prod1Slot2SoldVol,,xxIndexTeam)</f>
        <v>#VALUE!</v>
      </c>
      <c r="X79" s="802" t="e">
        <f>(INDEX(obalCh1Prod1Slot3COGSpL,,xxIndexTeam)-INDEX(cbalCh1Prod1Slot3COGSpL,xxIndexTeam))*INDEX(cbalCh1Prod1Slot3SoldVol,,xxIndexTeam)</f>
        <v>#VALUE!</v>
      </c>
      <c r="Z79" s="802" t="e">
        <f>(INDEX(obalCh1Prod4Slot1COGSpL,,xxIndexTeam)-INDEX(cbalCh1Prod4Slot1COGSpL,xxIndexTeam))*INDEX(cbalCh1Prod4Slot1SoldVol,,xxIndexTeam)</f>
        <v>#VALUE!</v>
      </c>
      <c r="AA79" s="802" t="e">
        <f>(INDEX(obalCh1Prod4Slot2COGSpL,,xxIndexTeam)-INDEX(cbalCh1Prod4Slot2COGSpL,xxIndexTeam))*INDEX(cbalCh1Prod4Slot2SoldVol,,xxIndexTeam)</f>
        <v>#VALUE!</v>
      </c>
      <c r="AB79" s="802" t="e">
        <f>(INDEX(obalCh1Prod4Slot3COGSpL,,xxIndexTeam)-INDEX(cbalCh1Prod4Slot3COGSpL,xxIndexTeam))*INDEX(cbalCh1Prod4Slot3SoldVol,,xxIndexTeam)</f>
        <v>#VALUE!</v>
      </c>
      <c r="AE79" s="554" t="str">
        <f>nmProd4</f>
        <v>Brew Master</v>
      </c>
      <c r="AF79" s="720"/>
      <c r="AG79" s="720"/>
      <c r="AH79" s="584"/>
      <c r="AI79" s="554"/>
      <c r="AJ79" s="720"/>
      <c r="AK79" s="720"/>
      <c r="AL79" s="584"/>
      <c r="AM79" s="554"/>
      <c r="AN79" s="720"/>
      <c r="AO79" s="720"/>
      <c r="AP79" s="584"/>
      <c r="AQ79" s="554"/>
      <c r="AR79" s="720"/>
      <c r="AS79" s="720"/>
      <c r="AT79" s="584"/>
      <c r="AU79" s="554"/>
      <c r="AV79" s="720"/>
      <c r="AW79" s="548">
        <f>ROUND(VLOOKUP(tlinputCh1Prod4Slot3Pack,dataPackPrice,2,FALSE)*0.8,2)</f>
        <v>0</v>
      </c>
      <c r="AX79" s="584" t="s">
        <v>8521</v>
      </c>
      <c r="AY79" s="554"/>
      <c r="AZ79" s="720"/>
      <c r="BA79" s="548">
        <f>ROUND(VLOOKUP(tlinputCh1Prod4Slot3Pack,dataPackPrice,2,FALSE)*1.2,2)</f>
        <v>0</v>
      </c>
      <c r="BB79" s="584" t="s">
        <v>8533</v>
      </c>
    </row>
    <row r="80" spans="4:54" ht="15">
      <c r="O80" s="932"/>
      <c r="AE80" s="554"/>
      <c r="AF80" s="720"/>
      <c r="AG80" s="548">
        <f>tlinputCh1Prod4Slot1CustPrice*(1+VLOOKUP(tlOutputProd4,dataCustomerMargin,2,FALSE))</f>
        <v>0</v>
      </c>
      <c r="AH80" s="584" t="s">
        <v>5210</v>
      </c>
      <c r="AI80" s="554"/>
      <c r="AJ80" s="720"/>
      <c r="AK80" s="548">
        <f>tlOutputCh1Prod4Slot1SP-tlinputCh1Prod4Slot1CustPrice</f>
        <v>0</v>
      </c>
      <c r="AL80" s="584" t="s">
        <v>4476</v>
      </c>
      <c r="AM80" s="554"/>
      <c r="AN80" s="720"/>
      <c r="AO80" s="548">
        <f>tlinputCh1Prod4Slot1CustPrice*(1-tloutputCh1Prod4Slot1AvgPromoDis)</f>
        <v>0</v>
      </c>
      <c r="AP80" s="584" t="s">
        <v>4500</v>
      </c>
      <c r="AQ80" s="554"/>
      <c r="AR80" s="720"/>
      <c r="AS80" s="548">
        <f>INDEX(calcCh1Prod4Slot1AvgSalePrice,,xxIndexTeam)</f>
        <v>0</v>
      </c>
      <c r="AT80" s="584" t="s">
        <v>4512</v>
      </c>
      <c r="AU80" s="554"/>
      <c r="AV80" s="720"/>
      <c r="AW80" s="548"/>
      <c r="AX80" s="584"/>
      <c r="AY80" s="554"/>
      <c r="AZ80" s="720"/>
      <c r="BA80" s="548"/>
      <c r="BB80" s="584"/>
    </row>
    <row r="81" spans="3:54" ht="15">
      <c r="AE81" s="554"/>
      <c r="AF81" s="720"/>
      <c r="AG81" s="548">
        <f>tlinputCh1Prod4Slot2CustPrice*(1+VLOOKUP(tlOutputProd4,dataCustomerMargin,2,FALSE))</f>
        <v>0</v>
      </c>
      <c r="AH81" s="584" t="s">
        <v>5211</v>
      </c>
      <c r="AI81" s="554"/>
      <c r="AJ81" s="720"/>
      <c r="AK81" s="548">
        <f>tlOutputCh1Prod4Slot2SP-tlinputCh1Prod4Slot2CustPrice</f>
        <v>0</v>
      </c>
      <c r="AL81" s="584" t="s">
        <v>4477</v>
      </c>
      <c r="AM81" s="554"/>
      <c r="AN81" s="720"/>
      <c r="AO81" s="548">
        <f>tlinputCh1Prod4Slot2CustPrice*(1-tloutputCh1Prod4Slot1AvgPromoDis)</f>
        <v>0</v>
      </c>
      <c r="AP81" s="584" t="s">
        <v>4501</v>
      </c>
      <c r="AQ81" s="554"/>
      <c r="AR81" s="720"/>
      <c r="AS81" s="548">
        <f>INDEX(calcCh1Prod4Slot2AvgSalePrice,,xxIndexTeam)</f>
        <v>0</v>
      </c>
      <c r="AT81" s="584" t="s">
        <v>4513</v>
      </c>
      <c r="AU81" s="554"/>
      <c r="AV81" s="720"/>
      <c r="AW81" s="548"/>
      <c r="AX81" s="584"/>
      <c r="AY81" s="554"/>
      <c r="AZ81" s="720"/>
      <c r="BA81" s="548"/>
      <c r="BB81" s="584"/>
    </row>
    <row r="82" spans="3:54" ht="15.75" thickBot="1">
      <c r="AE82" s="546"/>
      <c r="AF82" s="544"/>
      <c r="AG82" s="755">
        <f>tlinputCh1Prod4Slot3CustPrice*(1+VLOOKUP(tlOutputProd4,dataCustomerMargin,2,FALSE))</f>
        <v>0</v>
      </c>
      <c r="AH82" s="733" t="s">
        <v>5212</v>
      </c>
      <c r="AI82" s="546"/>
      <c r="AJ82" s="544"/>
      <c r="AK82" s="755">
        <f>tlOutputCh1Prod4Slot3SP-tlinputCh1Prod4Slot3CustPrice</f>
        <v>0</v>
      </c>
      <c r="AL82" s="733" t="s">
        <v>4478</v>
      </c>
      <c r="AM82" s="546"/>
      <c r="AN82" s="544"/>
      <c r="AO82" s="755">
        <f>tlinputCh1Prod4Slot3CustPrice*(1-tloutputCh1Prod4Slot1AvgPromoDis)</f>
        <v>0</v>
      </c>
      <c r="AP82" s="733" t="s">
        <v>4502</v>
      </c>
      <c r="AQ82" s="546"/>
      <c r="AR82" s="544"/>
      <c r="AS82" s="755">
        <f>INDEX(calcCh1Prod4Slot3AvgSalePrice,,xxIndexTeam)</f>
        <v>0</v>
      </c>
      <c r="AT82" s="733" t="s">
        <v>4514</v>
      </c>
      <c r="AU82" s="546"/>
      <c r="AV82" s="544"/>
      <c r="AW82" s="755"/>
      <c r="AX82" s="733"/>
      <c r="AY82" s="546"/>
      <c r="AZ82" s="544"/>
      <c r="BA82" s="755"/>
      <c r="BB82" s="733"/>
    </row>
    <row r="83" spans="3:54">
      <c r="L83" s="890">
        <f>L17</f>
        <v>714910724.82424212</v>
      </c>
      <c r="M83" s="890">
        <f>M17</f>
        <v>382863319.23267251</v>
      </c>
    </row>
    <row r="84" spans="3:54" ht="15" thickBot="1">
      <c r="D84" s="702" t="s">
        <v>6586</v>
      </c>
      <c r="E84" s="613"/>
      <c r="F84" s="613"/>
      <c r="G84" s="613"/>
    </row>
    <row r="85" spans="3:54" ht="15" thickBot="1">
      <c r="D85" s="555"/>
      <c r="E85" s="858"/>
      <c r="F85" s="600"/>
      <c r="G85" s="561"/>
      <c r="AD85" s="628" t="s">
        <v>6547</v>
      </c>
      <c r="AE85" s="612" t="s">
        <v>6695</v>
      </c>
    </row>
    <row r="86" spans="3:54" ht="15">
      <c r="D86" s="554"/>
      <c r="E86" s="735">
        <f>VLOOKUP(INDEX(decCh1Prod1Slot1Promo1,,xxIndexTeam),dataPromoPlanDisc,2,FALSE)</f>
        <v>0.33</v>
      </c>
      <c r="F86" s="720" t="s">
        <v>4479</v>
      </c>
      <c r="G86" s="584"/>
      <c r="AE86" s="555"/>
      <c r="AF86" s="600"/>
      <c r="AG86" s="734">
        <f>INDEX(calcCh1Prod1Slot1Promo1PlanEmp1Req,,xxIndexTeam)+INDEX(calcCh1Prod1Slot2Promo1PlanEmp1Req,,xxIndexTeam)+INDEX(calcCh1Prod1Slot3Promo1PlanEmp1Req,,xxIndexTeam)+INDEX(calcCh1Prod1Slot1Promo2PlanEmp1Req,,xxIndexTeam)+INDEX(calcCh1Prod1Slot2Promo2PlanEmp1Req,,xxIndexTeam)+INDEX(calcCh1Prod1Slot3Promo2PlanEmp1Req,,xxIndexTeam)</f>
        <v>3</v>
      </c>
      <c r="AH86" s="561" t="s">
        <v>6696</v>
      </c>
    </row>
    <row r="87" spans="3:54" ht="15">
      <c r="C87" s="802"/>
      <c r="D87" s="554"/>
      <c r="E87" s="735">
        <f>VLOOKUP(INDEX(decCh1Prod1Slot2Promo1,,xxIndexTeam),dataPromoPlanDisc,2,FALSE)</f>
        <v>0</v>
      </c>
      <c r="F87" s="720" t="s">
        <v>4480</v>
      </c>
      <c r="G87" s="584"/>
      <c r="H87" s="802"/>
      <c r="I87" s="802"/>
      <c r="J87" s="802"/>
      <c r="AE87" s="554"/>
      <c r="AF87" s="720"/>
      <c r="AG87" s="553">
        <f>INDEX(calcCh1Prod2Slot1Promo1PlanEmp1Req,,xxIndexTeam)+INDEX(calcCh1Prod2Slot2Promo1PlanEmp1Req,,xxIndexTeam)+INDEX(calcCh1Prod2Slot3Promo1PlanEmp1Req,,xxIndexTeam)+INDEX(calcCh1Prod2Slot1Promo2PlanEmp1Req,,xxIndexTeam)+INDEX(calcCh1Prod2Slot2Promo2PlanEmp1Req,,xxIndexTeam)+INDEX(calcCh1Prod2Slot3Promo2PlanEmp1Req,,xxIndexTeam)</f>
        <v>3</v>
      </c>
      <c r="AH87" s="584" t="s">
        <v>6697</v>
      </c>
    </row>
    <row r="88" spans="3:54" ht="15">
      <c r="C88" s="802"/>
      <c r="D88" s="554"/>
      <c r="E88" s="735">
        <f>VLOOKUP(INDEX(decCh1Prod1Slot3Promo1,,xxIndexTeam),dataPromoPlanDisc,2,FALSE)</f>
        <v>0</v>
      </c>
      <c r="F88" s="720" t="s">
        <v>4481</v>
      </c>
      <c r="G88" s="584"/>
      <c r="H88" s="802"/>
      <c r="I88" s="802"/>
      <c r="J88" s="802"/>
      <c r="AE88" s="554"/>
      <c r="AF88" s="720"/>
      <c r="AG88" s="553">
        <f>INDEX(calcCh1Prod3Slot1Promo1PlanEmp1Req,,xxIndexTeam)+INDEX(calcCh1Prod3Slot2Promo1PlanEmp1Req,,xxIndexTeam)+INDEX(calcCh1Prod3Slot3Promo1PlanEmp1Req,,xxIndexTeam)+INDEX(calcCh1Prod3Slot1Promo2PlanEmp1Req,,xxIndexTeam)+INDEX(calcCh1Prod3Slot2Promo2PlanEmp1Req,,xxIndexTeam)+INDEX(calcCh1Prod3Slot3Promo2PlanEmp1Req,,xxIndexTeam)</f>
        <v>2</v>
      </c>
      <c r="AH88" s="584" t="s">
        <v>6698</v>
      </c>
    </row>
    <row r="89" spans="3:54" ht="15">
      <c r="C89" s="802"/>
      <c r="D89" s="554"/>
      <c r="E89" s="735">
        <f>VLOOKUP(INDEX(decCh1Prod2Slot1Promo1,,xxIndexTeam),dataPromoPlanDisc,2,FALSE)</f>
        <v>0.33</v>
      </c>
      <c r="F89" s="720" t="s">
        <v>4482</v>
      </c>
      <c r="G89" s="584"/>
      <c r="H89" s="802"/>
      <c r="I89" s="802"/>
      <c r="J89" s="802"/>
      <c r="AE89" s="554"/>
      <c r="AF89" s="720"/>
      <c r="AG89" s="553">
        <f>INDEX(calcCh1Prod4Slot1Promo1PlanEmp1Req,,xxIndexTeam)+INDEX(calcCh1Prod4Slot2Promo1PlanEmp1Req,,xxIndexTeam)+INDEX(calcCh1Prod4Slot3Promo1PlanEmp1Req,,xxIndexTeam)+INDEX(calcCh1Prod4Slot1Promo2PlanEmp1Req,,xxIndexTeam)+INDEX(calcCh1Prod4Slot2Promo2PlanEmp1Req,,xxIndexTeam)+INDEX(calcCh1Prod4Slot3Promo2PlanEmp1Req,,xxIndexTeam)</f>
        <v>0</v>
      </c>
      <c r="AH89" s="584" t="s">
        <v>6699</v>
      </c>
    </row>
    <row r="90" spans="3:54" ht="15">
      <c r="C90" s="802"/>
      <c r="D90" s="554"/>
      <c r="E90" s="735">
        <f>VLOOKUP(INDEX(decCh1Prod2Slot2Promo1,,xxIndexTeam),dataPromoPlanDisc,2,FALSE)</f>
        <v>0.2</v>
      </c>
      <c r="F90" s="720" t="s">
        <v>4483</v>
      </c>
      <c r="G90" s="584"/>
      <c r="H90" s="802"/>
      <c r="I90" s="802"/>
      <c r="J90" s="802"/>
      <c r="AE90" s="554"/>
      <c r="AF90" s="720"/>
      <c r="AG90" s="585">
        <f>INDEX(calcCh1Prod1Slot1Promo1PlanExp,,xxIndexTeam)+INDEX(calcCh1Prod1Slot2Promo1PlanExp,,xxIndexTeam)+INDEX(calcCh1Prod1Slot3Promo1PlanExp,,xxIndexTeam)+INDEX(calcCh1Prod1Slot1Promo2PlanExp,,xxIndexTeam)+INDEX(calcCh1Prod1Slot2Promo2PlanExp,,xxIndexTeam)+INDEX(calcCh1Prod1Slot3Promo2PlanExp,,xxIndexTeam)</f>
        <v>1200000</v>
      </c>
      <c r="AH90" s="584" t="s">
        <v>6700</v>
      </c>
    </row>
    <row r="91" spans="3:54" ht="15">
      <c r="C91" s="802"/>
      <c r="D91" s="554"/>
      <c r="E91" s="735">
        <f>VLOOKUP(INDEX(decCh1Prod2Slot3Promo1,,xxIndexTeam),dataPromoPlanDisc,2,FALSE)</f>
        <v>0</v>
      </c>
      <c r="F91" s="720" t="s">
        <v>4484</v>
      </c>
      <c r="G91" s="584"/>
      <c r="H91" s="802"/>
      <c r="I91" s="802"/>
      <c r="J91" s="802"/>
      <c r="AE91" s="554"/>
      <c r="AF91" s="720"/>
      <c r="AG91" s="585">
        <f>INDEX(calcCh1Prod2Slot1Promo1PlanExp,,xxIndexTeam)+INDEX(calcCh1Prod2Slot2Promo1PlanExp,,xxIndexTeam)+INDEX(calcCh1Prod2Slot3Promo1PlanExp,,xxIndexTeam)+INDEX(calcCh1Prod2Slot1Promo2PlanExp,,xxIndexTeam)+INDEX(calcCh1Prod2Slot2Promo2PlanExp,,xxIndexTeam)+INDEX(calcCh1Prod2Slot3Promo2PlanExp,,xxIndexTeam)</f>
        <v>1400000</v>
      </c>
      <c r="AH91" s="584" t="s">
        <v>6701</v>
      </c>
    </row>
    <row r="92" spans="3:54" ht="15">
      <c r="C92" s="802"/>
      <c r="D92" s="554"/>
      <c r="E92" s="735">
        <f>VLOOKUP(INDEX(decCh1Prod3Slot1Promo1,,xxIndexTeam),dataPromoPlanDisc,2,FALSE)</f>
        <v>0.33</v>
      </c>
      <c r="F92" s="720" t="s">
        <v>4485</v>
      </c>
      <c r="G92" s="584"/>
      <c r="H92" s="802"/>
      <c r="I92" s="802"/>
      <c r="J92" s="802"/>
      <c r="AE92" s="554"/>
      <c r="AF92" s="720"/>
      <c r="AG92" s="585">
        <f>INDEX(calcCh1Prod3Slot1Promo1PlanExp,,xxIndexTeam)+INDEX(calcCh1Prod3Slot2Promo1PlanExp,,xxIndexTeam)+INDEX(calcCh1Prod3Slot3Promo1PlanExp,,xxIndexTeam)+INDEX(calcCh1Prod3Slot1Promo2PlanExp,,xxIndexTeam)+INDEX(calcCh1Prod3Slot2Promo2PlanExp,,xxIndexTeam)+INDEX(calcCh1Prod3Slot3Promo2PlanExp,,xxIndexTeam)</f>
        <v>1000000</v>
      </c>
      <c r="AH92" s="584" t="s">
        <v>6702</v>
      </c>
    </row>
    <row r="93" spans="3:54" ht="15.75" thickBot="1">
      <c r="C93" s="802"/>
      <c r="D93" s="554"/>
      <c r="E93" s="735">
        <f>VLOOKUP(INDEX(decCh1Prod3Slot2Promo1,,xxIndexTeam),dataPromoPlanDisc,2,FALSE)</f>
        <v>0.2</v>
      </c>
      <c r="F93" s="720" t="s">
        <v>4486</v>
      </c>
      <c r="G93" s="584"/>
      <c r="H93" s="802"/>
      <c r="I93" s="802"/>
      <c r="J93" s="802"/>
      <c r="AE93" s="546"/>
      <c r="AF93" s="544"/>
      <c r="AG93" s="574">
        <f>INDEX(calcCh1Prod4Slot1Promo1PlanExp,,xxIndexTeam)+INDEX(calcCh1Prod4Slot2Promo1PlanExp,,xxIndexTeam)+INDEX(calcCh1Prod4Slot3Promo1PlanExp,,xxIndexTeam)+INDEX(calcCh1Prod4Slot1Promo2PlanExp,,xxIndexTeam)+INDEX(calcCh1Prod4Slot2Promo2PlanExp,,xxIndexTeam)+INDEX(calcCh1Prod4Slot3Promo2PlanExp,,xxIndexTeam)</f>
        <v>0</v>
      </c>
      <c r="AH93" s="733" t="s">
        <v>6703</v>
      </c>
    </row>
    <row r="94" spans="3:54" ht="15">
      <c r="C94" s="802"/>
      <c r="D94" s="554"/>
      <c r="E94" s="735">
        <f>VLOOKUP(INDEX(decCh1Prod3Slot3Promo1,,xxIndexTeam),dataPromoPlanDisc,2,FALSE)</f>
        <v>0</v>
      </c>
      <c r="F94" s="720" t="s">
        <v>4487</v>
      </c>
      <c r="G94" s="584"/>
      <c r="H94" s="802"/>
      <c r="I94" s="802"/>
      <c r="J94" s="802"/>
    </row>
    <row r="95" spans="3:54" ht="15">
      <c r="C95" s="802"/>
      <c r="D95" s="554"/>
      <c r="E95" s="735">
        <f>VLOOKUP(INDEX(decCh1Prod4Slot1Promo1,,xxIndexTeam),dataPromoPlanDisc,2,FALSE)</f>
        <v>0</v>
      </c>
      <c r="F95" s="720" t="s">
        <v>4488</v>
      </c>
      <c r="G95" s="584"/>
      <c r="H95" s="802"/>
      <c r="I95" s="802"/>
      <c r="J95" s="802"/>
    </row>
    <row r="96" spans="3:54" ht="15">
      <c r="C96" s="802"/>
      <c r="D96" s="554"/>
      <c r="E96" s="735">
        <f>VLOOKUP(INDEX(decCh1Prod4Slot2Promo1,,xxIndexTeam),dataPromoPlanDisc,2,FALSE)</f>
        <v>0</v>
      </c>
      <c r="F96" s="720" t="s">
        <v>4489</v>
      </c>
      <c r="G96" s="584"/>
      <c r="H96" s="802"/>
      <c r="I96" s="802"/>
      <c r="J96" s="802"/>
      <c r="AD96" s="628" t="s">
        <v>6547</v>
      </c>
      <c r="AE96" s="702" t="s">
        <v>6704</v>
      </c>
      <c r="AI96" s="628" t="s">
        <v>6548</v>
      </c>
      <c r="AJ96" s="773" t="s">
        <v>6728</v>
      </c>
      <c r="AM96" s="628" t="s">
        <v>6548</v>
      </c>
      <c r="AN96" s="773" t="s">
        <v>6732</v>
      </c>
    </row>
    <row r="97" spans="3:49" ht="15.75" thickBot="1">
      <c r="C97" s="802"/>
      <c r="D97" s="546"/>
      <c r="E97" s="736">
        <f>VLOOKUP(INDEX(decCh1Prod4Slot3Promo1,,xxIndexTeam),dataPromoPlanDisc,2,FALSE)</f>
        <v>0</v>
      </c>
      <c r="F97" s="544" t="s">
        <v>4490</v>
      </c>
      <c r="G97" s="733"/>
      <c r="H97" s="802"/>
      <c r="I97" s="802"/>
      <c r="J97" s="802"/>
    </row>
    <row r="98" spans="3:49" ht="15" thickBot="1">
      <c r="C98" s="802"/>
      <c r="D98" s="802"/>
      <c r="E98" s="802"/>
      <c r="F98" s="802"/>
      <c r="G98" s="802"/>
      <c r="H98" s="802"/>
      <c r="I98" s="802"/>
      <c r="J98" s="802"/>
      <c r="AE98" s="773" t="str">
        <f>nmCh1&amp;" - Variance Tracker (Excel Only)"</f>
        <v>Hypermarkets - Variance Tracker (Excel Only)</v>
      </c>
      <c r="AF98" s="720"/>
      <c r="AG98" s="720"/>
      <c r="AH98" s="720"/>
      <c r="AI98" s="720"/>
      <c r="AN98" s="720"/>
      <c r="AO98" s="720"/>
      <c r="AP98" s="720"/>
      <c r="AQ98" s="720"/>
      <c r="AR98" s="720"/>
      <c r="AS98" s="720"/>
    </row>
    <row r="99" spans="3:49">
      <c r="C99" s="802"/>
      <c r="D99" s="802"/>
      <c r="E99" s="802"/>
      <c r="F99" s="802"/>
      <c r="G99" s="802"/>
      <c r="H99" s="802"/>
      <c r="I99" s="802"/>
      <c r="J99" s="802"/>
      <c r="AE99" s="728" t="s">
        <v>6705</v>
      </c>
      <c r="AF99" s="600"/>
      <c r="AG99" s="600"/>
      <c r="AH99" s="561"/>
      <c r="AJ99" s="778" t="s">
        <v>6729</v>
      </c>
      <c r="AK99" s="600" t="str">
        <f>nmCh1&amp;" - Trade Terms Conditionality"</f>
        <v>Hypermarkets - Trade Terms Conditionality</v>
      </c>
      <c r="AL99" s="561" t="s">
        <v>6730</v>
      </c>
      <c r="AN99" s="778"/>
      <c r="AO99" s="779" t="s">
        <v>4432</v>
      </c>
      <c r="AP99" s="780" t="s">
        <v>6731</v>
      </c>
      <c r="AQ99" s="780"/>
      <c r="AR99" s="780"/>
      <c r="AS99" s="781"/>
    </row>
    <row r="100" spans="3:49">
      <c r="AE100" s="554"/>
      <c r="AF100" s="720" t="s">
        <v>6708</v>
      </c>
      <c r="AG100" s="775" t="s">
        <v>521</v>
      </c>
      <c r="AH100" s="584" t="s">
        <v>8296</v>
      </c>
      <c r="AJ100" s="554" t="s">
        <v>1402</v>
      </c>
      <c r="AK100" s="720">
        <f>INDEX(calcCh1CondShare,,xxIndexTeam)*INDEX(calcCh1ValDrivExpTot,,xxIndexTeam)</f>
        <v>480000</v>
      </c>
      <c r="AL100" s="584" t="s">
        <v>5643</v>
      </c>
      <c r="AN100" s="782"/>
      <c r="AO100" s="783"/>
      <c r="AP100" s="783"/>
      <c r="AQ100" s="783"/>
      <c r="AR100" s="783"/>
      <c r="AS100" s="784"/>
    </row>
    <row r="101" spans="3:49" s="613" customFormat="1">
      <c r="E101" s="713"/>
      <c r="W101" s="802"/>
      <c r="AE101" s="554"/>
      <c r="AF101" s="720" t="s">
        <v>6709</v>
      </c>
      <c r="AG101" s="775" t="s">
        <v>295</v>
      </c>
      <c r="AH101" s="584" t="s">
        <v>8297</v>
      </c>
      <c r="AJ101" s="554" t="s">
        <v>1403</v>
      </c>
      <c r="AK101" s="720">
        <f>(1-INDEX(calcCh1CondShare,,xxIndexTeam))*INDEX(calcCh1ValDrivExpTot,,xxIndexTeam)</f>
        <v>1019999.9999999999</v>
      </c>
      <c r="AL101" s="584" t="s">
        <v>5644</v>
      </c>
      <c r="AN101" s="782"/>
      <c r="AO101" s="785" t="str">
        <f>tlOutputProd2</f>
        <v>Harken</v>
      </c>
      <c r="AP101" s="785" t="str">
        <f>tlOutputProd3</f>
        <v>Kara</v>
      </c>
      <c r="AQ101" s="785" t="str">
        <f>tlOutputProd1</f>
        <v>Greenborg</v>
      </c>
      <c r="AR101" s="785" t="str">
        <f>tlOutputProd4</f>
        <v>Brew Master</v>
      </c>
      <c r="AS101" s="784"/>
    </row>
    <row r="102" spans="3:49" s="613" customFormat="1">
      <c r="E102" s="713"/>
      <c r="W102" s="802"/>
      <c r="AE102" s="554"/>
      <c r="AF102" s="720" t="s">
        <v>6710</v>
      </c>
      <c r="AG102" s="608" t="s">
        <v>151</v>
      </c>
      <c r="AH102" s="584" t="s">
        <v>8298</v>
      </c>
      <c r="AJ102" s="554"/>
      <c r="AK102" s="720"/>
      <c r="AL102" s="584"/>
      <c r="AM102" s="720"/>
      <c r="AN102" s="786"/>
      <c r="AO102" s="785" t="s">
        <v>6581</v>
      </c>
      <c r="AP102" s="785" t="s">
        <v>6582</v>
      </c>
      <c r="AQ102" s="785" t="s">
        <v>6583</v>
      </c>
      <c r="AR102" s="785" t="s">
        <v>6584</v>
      </c>
      <c r="AS102" s="784"/>
    </row>
    <row r="103" spans="3:49" s="613" customFormat="1">
      <c r="E103" s="713"/>
      <c r="W103" s="802"/>
      <c r="AE103" s="554"/>
      <c r="AF103" s="720" t="s">
        <v>6711</v>
      </c>
      <c r="AG103" s="608" t="s">
        <v>9060</v>
      </c>
      <c r="AH103" s="584" t="s">
        <v>8299</v>
      </c>
      <c r="AJ103" s="554"/>
      <c r="AK103" s="720"/>
      <c r="AL103" s="584"/>
      <c r="AM103" s="720"/>
      <c r="AN103" s="786" t="s">
        <v>157</v>
      </c>
      <c r="AO103" s="787">
        <f>INDEX(finPNLCh1Prod2Slot1TotalCOGs,,xxIndexTeam)+INDEX(finPNLCh1Prod2Slot2TotalCOGs,,xxIndexTeam)+INDEX(finPNLCh1Prod2Slot3TotalCOGs,,xxIndexTeam)</f>
        <v>393979371.74504936</v>
      </c>
      <c r="AP103" s="787">
        <f>INDEX(finPNLCh1Prod3Slot1TotalCOGs,,xxIndexTeam)+INDEX(finPNLCh1Prod3Slot2TotalCOGs,,xxIndexTeam)+INDEX(finPNLCh1Prod3Slot3TotalCOGs,,xxIndexTeam)</f>
        <v>267690685.55656877</v>
      </c>
      <c r="AQ103" s="787">
        <f>INDEX(finPNLCh1Prod1Slot1TotalCOGs,,xxIndexTeam)+INDEX(finPNLCh1Prod1Slot2TotalCOGs,,xxIndexTeam)+INDEX(finPNLCh1Prod1Slot3TotalCOGs,,xxIndexTeam)</f>
        <v>128940137.73546477</v>
      </c>
      <c r="AR103" s="787">
        <f>INDEX(finPNLCh1Prod4Slot1TotalCOGs,,xxIndexTeam)+INDEX(finPNLCh1Prod4Slot2TotalCOGs,,xxIndexTeam)+INDEX(finPNLCh1Prod4Slot3TotalCOGs,,xxIndexTeam)</f>
        <v>0</v>
      </c>
      <c r="AS103" s="784"/>
    </row>
    <row r="104" spans="3:49" s="613" customFormat="1">
      <c r="E104" s="713"/>
      <c r="W104" s="802"/>
      <c r="AE104" s="554"/>
      <c r="AF104" s="720" t="s">
        <v>6712</v>
      </c>
      <c r="AG104" s="608" t="s">
        <v>9061</v>
      </c>
      <c r="AH104" s="584" t="s">
        <v>8300</v>
      </c>
      <c r="AJ104" s="554"/>
      <c r="AK104" s="720"/>
      <c r="AL104" s="584"/>
      <c r="AM104" s="720"/>
      <c r="AN104" s="782"/>
      <c r="AO104" s="783" t="s">
        <v>5645</v>
      </c>
      <c r="AP104" s="783" t="s">
        <v>5646</v>
      </c>
      <c r="AQ104" s="783" t="s">
        <v>5647</v>
      </c>
      <c r="AR104" s="783" t="s">
        <v>5648</v>
      </c>
      <c r="AS104" s="784"/>
    </row>
    <row r="105" spans="3:49" s="613" customFormat="1">
      <c r="E105" s="713"/>
      <c r="W105" s="802"/>
      <c r="AE105" s="554"/>
      <c r="AF105" s="720" t="s">
        <v>6713</v>
      </c>
      <c r="AG105" s="608" t="s">
        <v>521</v>
      </c>
      <c r="AH105" s="584" t="s">
        <v>8301</v>
      </c>
      <c r="AJ105" s="554"/>
      <c r="AK105" s="720"/>
      <c r="AL105" s="584"/>
      <c r="AM105" s="720"/>
      <c r="AN105" s="786" t="s">
        <v>519</v>
      </c>
      <c r="AO105" s="787">
        <f>INDEX(finPNLCh1Prod2Slot1LogExp,,xxIndexTeam)+INDEX(finPNLCh1Prod2Slot2LogExp,,xxIndexTeam)+INDEX(finPNLCh1Prod2Slot3LogExp,,xxIndexTeam)</f>
        <v>48586725.178408429</v>
      </c>
      <c r="AP105" s="787">
        <f>INDEX(finPNLCh1Prod3Slot1LogExp,,xxIndexTeam)+INDEX(finPNLCh1Prod3Slot2LogExp,,xxIndexTeam)+INDEX(finPNLCh1Prod3Slot3LogExp,,xxIndexTeam)</f>
        <v>33101927.707755789</v>
      </c>
      <c r="AQ105" s="787">
        <f>INDEX(finPNLCh1Prod1Slot1LogExp,,xxIndexTeam)+INDEX(finPNLCh1Prod1Slot2LogExp,,xxIndexTeam)+INDEX(finPNLCh1Prod1Slot3LogExp,,xxIndexTeam)</f>
        <v>14989193.511794528</v>
      </c>
      <c r="AR105" s="787">
        <f>INDEX(finPNLCh1Prod4Slot1LogExp,,xxIndexTeam)+INDEX(finPNLCh1Prod4Slot2LogExp,,xxIndexTeam)+INDEX(finPNLCh1Prod4Slot3LogExp,,xxIndexTeam)</f>
        <v>0</v>
      </c>
      <c r="AS105" s="784"/>
    </row>
    <row r="106" spans="3:49">
      <c r="E106" s="530"/>
      <c r="F106" s="720"/>
      <c r="G106" s="720"/>
      <c r="H106" s="720"/>
      <c r="I106" s="720"/>
      <c r="J106" s="720"/>
      <c r="K106" s="720"/>
      <c r="L106" s="720"/>
      <c r="M106" s="720"/>
      <c r="N106" s="720"/>
      <c r="O106" s="720"/>
      <c r="P106" s="720"/>
      <c r="Q106" s="720"/>
      <c r="R106" s="720"/>
      <c r="S106" s="720"/>
      <c r="T106" s="720"/>
      <c r="U106" s="720"/>
      <c r="V106" s="720"/>
      <c r="W106" s="720"/>
      <c r="X106" s="720"/>
      <c r="Y106" s="720"/>
      <c r="Z106" s="720"/>
      <c r="AA106" s="720"/>
      <c r="AB106" s="802"/>
      <c r="AC106" s="802"/>
      <c r="AD106" s="720"/>
      <c r="AE106" s="731" t="s">
        <v>6706</v>
      </c>
      <c r="AF106" s="720"/>
      <c r="AG106" s="720"/>
      <c r="AH106" s="584"/>
      <c r="AJ106" s="554"/>
      <c r="AK106" s="720"/>
      <c r="AL106" s="584"/>
      <c r="AM106" s="720"/>
      <c r="AN106" s="782"/>
      <c r="AO106" s="783" t="s">
        <v>5649</v>
      </c>
      <c r="AP106" s="783" t="s">
        <v>5650</v>
      </c>
      <c r="AQ106" s="783" t="s">
        <v>5651</v>
      </c>
      <c r="AR106" s="783" t="s">
        <v>5652</v>
      </c>
      <c r="AS106" s="784"/>
      <c r="AT106" s="720"/>
      <c r="AU106" s="720"/>
      <c r="AV106" s="720"/>
      <c r="AW106" s="720"/>
    </row>
    <row r="107" spans="3:49">
      <c r="E107" s="530"/>
      <c r="K107" s="720"/>
      <c r="L107" s="720"/>
      <c r="M107" s="720"/>
      <c r="N107" s="720"/>
      <c r="O107" s="720"/>
      <c r="P107" s="720"/>
      <c r="Q107" s="720"/>
      <c r="AB107" s="802"/>
      <c r="AC107" s="802"/>
      <c r="AD107" s="720"/>
      <c r="AE107" s="554"/>
      <c r="AF107" s="720" t="s">
        <v>6725</v>
      </c>
      <c r="AG107" s="774" t="s">
        <v>157</v>
      </c>
      <c r="AH107" s="584"/>
      <c r="AJ107" s="554"/>
      <c r="AK107" s="720"/>
      <c r="AL107" s="584"/>
      <c r="AM107" s="720"/>
      <c r="AN107" s="786" t="s">
        <v>4411</v>
      </c>
      <c r="AO107" s="787">
        <f>INDEX(finPNLCh1Prod2Slot1GPaL,,xxIndexTeam)+INDEX(finPNLCh1Prod2Slot2GPaL,,xxIndexTeam)+INDEX(finPNLCh1Prod2Slot3GPaL,,xxIndexTeam)</f>
        <v>382863319.23267251</v>
      </c>
      <c r="AP107" s="787">
        <f>INDEX(finPNLCh1Prod3Slot1GPaL,,xxIndexTeam)+INDEX(finPNLCh1Prod3Slot2GPaL,,xxIndexTeam)+INDEX(finPNLCh1Prod3Slot3GPaL,,xxIndexTeam)</f>
        <v>267602458.37263262</v>
      </c>
      <c r="AQ107" s="787">
        <f>INDEX(finPNLCh1Prod1Slot1GPaL,,xxIndexTeam)+INDEX(finPNLCh1Prod1Slot2GPaL,,xxIndexTeam)+INDEX(finPNLCh1Prod1Slot3GPaL,,xxIndexTeam)</f>
        <v>64444947.218937032</v>
      </c>
      <c r="AR107" s="787">
        <f>INDEX(finPNLCh1Prod4Slot1GPaL,,xxIndexTeam)+INDEX(finPNLCh1Prod4Slot2GPaL,,xxIndexTeam)+INDEX(finPNLCh1Prod4Slot3GPaL,,xxIndexTeam)</f>
        <v>0</v>
      </c>
      <c r="AS107" s="784"/>
      <c r="AT107" s="720"/>
      <c r="AU107" s="720"/>
      <c r="AV107" s="720"/>
      <c r="AW107" s="720"/>
    </row>
    <row r="108" spans="3:49">
      <c r="E108" s="530"/>
      <c r="K108" s="720"/>
      <c r="Q108" s="720"/>
      <c r="AB108" s="802"/>
      <c r="AC108" s="802"/>
      <c r="AD108" s="720"/>
      <c r="AE108" s="554"/>
      <c r="AF108" s="720" t="s">
        <v>6714</v>
      </c>
      <c r="AG108" s="895">
        <f>tlOutputCh1VtTotalCOGs+tlOutputCh1VtLogExp</f>
        <v>143929.33124725931</v>
      </c>
      <c r="AH108" s="584" t="s">
        <v>8302</v>
      </c>
      <c r="AJ108" s="554"/>
      <c r="AK108" s="720"/>
      <c r="AL108" s="584"/>
      <c r="AM108" s="720"/>
      <c r="AN108" s="782"/>
      <c r="AO108" s="783" t="s">
        <v>5653</v>
      </c>
      <c r="AP108" s="783" t="s">
        <v>5654</v>
      </c>
      <c r="AQ108" s="783" t="s">
        <v>5655</v>
      </c>
      <c r="AR108" s="783" t="s">
        <v>5656</v>
      </c>
      <c r="AS108" s="784"/>
      <c r="AT108" s="720"/>
      <c r="AU108" s="720"/>
      <c r="AV108" s="720"/>
      <c r="AW108" s="720"/>
    </row>
    <row r="109" spans="3:49">
      <c r="E109" s="530"/>
      <c r="K109" s="720"/>
      <c r="Q109" s="720"/>
      <c r="AB109" s="802"/>
      <c r="AC109" s="802"/>
      <c r="AD109" s="720"/>
      <c r="AE109" s="554"/>
      <c r="AF109" s="720" t="s">
        <v>6720</v>
      </c>
      <c r="AG109" s="895">
        <f>IF(tlOutputCh1WaterfallDelta1&lt;0,tlOutputCh1WaterfallInvisible1+tlOutputCh1WaterfallVisible1+tlOutputCh1WaterfallDelta1,tlOutputCh1WaterfallInvisible1+tlOutputCh1WaterfallVisible1)</f>
        <v>92060996.773801118</v>
      </c>
      <c r="AH109" s="584" t="s">
        <v>8303</v>
      </c>
      <c r="AJ109" s="554"/>
      <c r="AK109" s="720"/>
      <c r="AL109" s="584"/>
      <c r="AM109" s="720"/>
      <c r="AN109" s="786" t="s">
        <v>4431</v>
      </c>
      <c r="AO109" s="788">
        <f>(INDEX(finPNLCh1Prod2Slot1GPaL,,xxIndexTeam)+INDEX(finPNLCh1Prod2Slot2GPaL,,xxIndexTeam)+INDEX(finPNLCh1Prod2Slot3GPaL,,xxIndexTeam))/(INDEX(finPNLCh1Prod2Slot1TotalRev,,xxIndexTeam)+INDEX(finPNLCh1Prod2Slot2TotalRev,,xxIndexTeam)+INDEX(finPNLCh1Prod2Slot3TotalRev,,xxIndexTeam))</f>
        <v>0.46383532224426294</v>
      </c>
      <c r="AP109" s="788">
        <f>(INDEX(finPNLCh1Prod3Slot1GPaL,,xxIndexTeam)+INDEX(finPNLCh1Prod3Slot2GPaL,,xxIndexTeam)+INDEX(finPNLCh1Prod3Slot3GPaL,,xxIndexTeam))/(INDEX(finPNLCh1Prod3Slot1TotalRev,,xxIndexTeam)+INDEX(finPNLCh1Prod3Slot2TotalRev,,xxIndexTeam)+INDEX(finPNLCh1Prod3Slot3TotalRev,,xxIndexTeam))</f>
        <v>0.47080362185750002</v>
      </c>
      <c r="AQ109" s="788">
        <f>(INDEX(finPNLCh1Prod1Slot1GPaL,,xxIndexTeam)+INDEX(finPNLCh1Prod1Slot2GPaL,,xxIndexTeam)+INDEX(finPNLCh1Prod1Slot3GPaL,,xxIndexTeam))/(INDEX(finPNLCh1Prod1Slot1TotalRev,,xxIndexTeam)+INDEX(finPNLCh1Prod1Slot2TotalRev,,xxIndexTeam)+INDEX(finPNLCh1Prod1Slot3TotalRev,,xxIndexTeam))</f>
        <v>0.30927496278957317</v>
      </c>
      <c r="AR109" s="788">
        <f>IF(AND(INDEX(calcCh1Prod4Slot1Active,,xxIndexTeam)=1,INDEX(calcCh1Prod4Slot1VolForecastSlot,,xxIndexTeam)&lt;&gt;0),(INDEX(finPNLCh1Prod4Slot1GPaL,,xxIndexTeam)+INDEX(finPNLCh1Prod4Slot2GPaL,,xxIndexTeam)+INDEX(finPNLCh1Prod4Slot3GPaL,,xxIndexTeam))/(INDEX(finPNLCh1Prod4Slot1TotalRev,,xxIndexTeam)+INDEX(finPNLCh1Prod4Slot2TotalRev,,xxIndexTeam)+INDEX(finPNLCh1Prod4Slot3TotalRev,,xxIndexTeam)),0)</f>
        <v>0</v>
      </c>
      <c r="AS109" s="784"/>
      <c r="AT109" s="720"/>
      <c r="AU109" s="720"/>
      <c r="AV109" s="720"/>
      <c r="AW109" s="720"/>
    </row>
    <row r="110" spans="3:49">
      <c r="E110" s="530"/>
      <c r="K110" s="720"/>
      <c r="Q110" s="720"/>
      <c r="AB110" s="802"/>
      <c r="AC110" s="802"/>
      <c r="AD110" s="720"/>
      <c r="AE110" s="554"/>
      <c r="AF110" s="720" t="s">
        <v>6721</v>
      </c>
      <c r="AG110" s="895">
        <f>IF(tlOutputCh1WaterfallDelta2&lt;0,tlOutputCh1WaterfallInvisible2+tlOutputCh1WaterfallDelta2,tlOutputCh1WaterfallInvisible2+tlOutputCh1WaterfallVisible2)</f>
        <v>66917113.428848721</v>
      </c>
      <c r="AH110" s="584" t="s">
        <v>8304</v>
      </c>
      <c r="AJ110" s="554"/>
      <c r="AK110" s="720"/>
      <c r="AL110" s="584"/>
      <c r="AM110" s="720"/>
      <c r="AN110" s="782"/>
      <c r="AO110" s="783" t="s">
        <v>5657</v>
      </c>
      <c r="AP110" s="783" t="s">
        <v>5658</v>
      </c>
      <c r="AQ110" s="783" t="s">
        <v>5659</v>
      </c>
      <c r="AR110" s="783" t="s">
        <v>5660</v>
      </c>
      <c r="AS110" s="784"/>
      <c r="AT110" s="720"/>
      <c r="AU110" s="720"/>
      <c r="AV110" s="720"/>
      <c r="AW110" s="720"/>
    </row>
    <row r="111" spans="3:49">
      <c r="E111" s="530"/>
      <c r="K111" s="720"/>
      <c r="Q111" s="720"/>
      <c r="AB111" s="802"/>
      <c r="AC111" s="802"/>
      <c r="AD111" s="720"/>
      <c r="AE111" s="554"/>
      <c r="AF111" s="720" t="s">
        <v>6722</v>
      </c>
      <c r="AG111" s="895">
        <f>IF(tlOutputCh1WaterfallDelta3&lt;0,tlOutputCh1WaterfallInvisible3+tlOutputCh1WaterfallDelta3,tlOutputCh1WaterfallInvisible3+tlOutputCh1WaterfallVisible3)</f>
        <v>92060996.773801118</v>
      </c>
      <c r="AH111" s="584" t="s">
        <v>8305</v>
      </c>
      <c r="AJ111" s="554"/>
      <c r="AK111" s="720"/>
      <c r="AL111" s="584"/>
      <c r="AM111" s="720"/>
      <c r="AN111" s="782"/>
      <c r="AO111" s="783"/>
      <c r="AP111" s="783"/>
      <c r="AQ111" s="783"/>
      <c r="AR111" s="783"/>
      <c r="AS111" s="784"/>
      <c r="AT111" s="720"/>
      <c r="AU111" s="720"/>
      <c r="AV111" s="720"/>
      <c r="AW111" s="720"/>
    </row>
    <row r="112" spans="3:49">
      <c r="E112" s="530"/>
      <c r="K112" s="720"/>
      <c r="Q112" s="720"/>
      <c r="AB112" s="802"/>
      <c r="AC112" s="802"/>
      <c r="AD112" s="720"/>
      <c r="AE112" s="554"/>
      <c r="AF112" s="720" t="s">
        <v>6723</v>
      </c>
      <c r="AG112" s="895">
        <f>IF(tlOutputCh1WaterfallDelta4&lt;0,tlOutputCh1WaterfallInvisible4+tlOutputCh1WaterfallDelta4,tlOutputCh1WaterfallInvisible4+tlOutputCh1WaterfallVisible4)</f>
        <v>89558403.187303737</v>
      </c>
      <c r="AH112" s="584" t="s">
        <v>8306</v>
      </c>
      <c r="AJ112" s="554"/>
      <c r="AK112" s="720"/>
      <c r="AL112" s="584"/>
      <c r="AM112" s="720"/>
      <c r="AN112" s="782"/>
      <c r="AO112" s="783"/>
      <c r="AP112" s="783"/>
      <c r="AQ112" s="783"/>
      <c r="AR112" s="783"/>
      <c r="AS112" s="784"/>
      <c r="AT112" s="720"/>
      <c r="AU112" s="720"/>
      <c r="AV112" s="720"/>
      <c r="AW112" s="720"/>
    </row>
    <row r="113" spans="5:49" s="802" customFormat="1">
      <c r="E113" s="530"/>
      <c r="K113" s="720"/>
      <c r="Q113" s="720"/>
      <c r="AD113" s="720"/>
      <c r="AE113" s="554"/>
      <c r="AF113" s="720" t="s">
        <v>6719</v>
      </c>
      <c r="AG113" s="895"/>
      <c r="AH113" s="584" t="s">
        <v>8307</v>
      </c>
      <c r="AJ113" s="554"/>
      <c r="AK113" s="720"/>
      <c r="AL113" s="584"/>
      <c r="AM113" s="720"/>
      <c r="AN113" s="782"/>
      <c r="AO113" s="783"/>
      <c r="AP113" s="783"/>
      <c r="AQ113" s="783"/>
      <c r="AR113" s="783"/>
      <c r="AS113" s="784"/>
      <c r="AT113" s="720"/>
      <c r="AU113" s="720"/>
      <c r="AV113" s="720"/>
      <c r="AW113" s="720"/>
    </row>
    <row r="114" spans="5:49" ht="15" thickBot="1">
      <c r="E114" s="530"/>
      <c r="K114" s="720"/>
      <c r="Q114" s="720"/>
      <c r="AB114" s="802"/>
      <c r="AC114" s="802"/>
      <c r="AD114" s="720"/>
      <c r="AE114" s="554"/>
      <c r="AF114" s="720" t="s">
        <v>10368</v>
      </c>
      <c r="AG114" s="895">
        <f>tlOutputCh1VtTotalCOGs+tlOutputCh1VtLogExp</f>
        <v>143929.33124725931</v>
      </c>
      <c r="AH114" s="584" t="s">
        <v>10367</v>
      </c>
      <c r="AJ114" s="546"/>
      <c r="AK114" s="544"/>
      <c r="AL114" s="733"/>
      <c r="AM114" s="720"/>
      <c r="AN114" s="782"/>
      <c r="AO114" s="783"/>
      <c r="AP114" s="783"/>
      <c r="AQ114" s="783"/>
      <c r="AR114" s="783"/>
      <c r="AS114" s="784"/>
      <c r="AT114" s="720"/>
      <c r="AU114" s="720"/>
      <c r="AV114" s="720"/>
      <c r="AW114" s="720"/>
    </row>
    <row r="115" spans="5:49">
      <c r="E115" s="530"/>
      <c r="K115" s="720"/>
      <c r="Q115" s="720"/>
      <c r="AB115" s="802"/>
      <c r="AC115" s="802"/>
      <c r="AD115" s="720"/>
      <c r="AE115" s="731" t="s">
        <v>6707</v>
      </c>
      <c r="AF115" s="720"/>
      <c r="AG115" s="720"/>
      <c r="AH115" s="584"/>
      <c r="AK115" s="720"/>
      <c r="AL115" s="720"/>
      <c r="AM115" s="720"/>
      <c r="AN115" s="554"/>
      <c r="AO115" s="720"/>
      <c r="AP115" s="720"/>
      <c r="AQ115" s="720"/>
      <c r="AR115" s="720"/>
      <c r="AS115" s="584"/>
      <c r="AT115" s="720"/>
      <c r="AU115" s="720"/>
      <c r="AV115" s="720"/>
      <c r="AW115" s="720"/>
    </row>
    <row r="116" spans="5:49" ht="15" thickBot="1">
      <c r="E116" s="530"/>
      <c r="F116" s="530"/>
      <c r="G116" s="530"/>
      <c r="H116" s="530"/>
      <c r="I116" s="530"/>
      <c r="J116" s="530"/>
      <c r="K116" s="720"/>
      <c r="Q116" s="720"/>
      <c r="AB116" s="802"/>
      <c r="AC116" s="802"/>
      <c r="AD116" s="720"/>
      <c r="AE116" s="554"/>
      <c r="AF116" s="720" t="s">
        <v>6724</v>
      </c>
      <c r="AG116" s="774" t="s">
        <v>521</v>
      </c>
      <c r="AH116" s="584"/>
      <c r="AJ116" s="702" t="s">
        <v>8491</v>
      </c>
      <c r="AK116" s="720"/>
      <c r="AL116" s="720"/>
      <c r="AM116" s="720"/>
      <c r="AN116" s="554"/>
      <c r="AO116" s="720"/>
      <c r="AP116" s="720"/>
      <c r="AQ116" s="720"/>
      <c r="AR116" s="720"/>
      <c r="AS116" s="584"/>
      <c r="AT116" s="720"/>
      <c r="AU116" s="720"/>
      <c r="AV116" s="720"/>
      <c r="AW116" s="720"/>
    </row>
    <row r="117" spans="5:49">
      <c r="E117" s="530"/>
      <c r="F117" s="530"/>
      <c r="G117" s="530"/>
      <c r="H117" s="530"/>
      <c r="I117" s="530"/>
      <c r="J117" s="530"/>
      <c r="K117" s="720"/>
      <c r="Q117" s="720"/>
      <c r="AB117" s="802"/>
      <c r="AC117" s="802"/>
      <c r="AD117" s="720"/>
      <c r="AE117" s="554"/>
      <c r="AF117" s="720" t="s">
        <v>6714</v>
      </c>
      <c r="AG117" s="895">
        <f>tlOutputCh1WaterfallStart</f>
        <v>91917067.442553863</v>
      </c>
      <c r="AH117" s="584" t="s">
        <v>8308</v>
      </c>
      <c r="AJ117" s="555" t="s">
        <v>8479</v>
      </c>
      <c r="AK117" s="893">
        <f t="shared" ref="AK117:AK122" si="57">INDEX(L65:AB65,,INDEX(calcCh1VtCode,,xxIndexTeam))</f>
        <v>91917067.442553863</v>
      </c>
      <c r="AL117" s="561" t="s">
        <v>8485</v>
      </c>
      <c r="AM117" s="720"/>
      <c r="AN117" s="554"/>
      <c r="AO117" s="720"/>
      <c r="AP117" s="720"/>
      <c r="AQ117" s="720"/>
      <c r="AR117" s="720"/>
      <c r="AS117" s="584"/>
      <c r="AT117" s="720"/>
      <c r="AU117" s="720"/>
      <c r="AV117" s="720"/>
      <c r="AW117" s="720"/>
    </row>
    <row r="118" spans="5:49">
      <c r="E118" s="530"/>
      <c r="F118" s="530"/>
      <c r="G118" s="530"/>
      <c r="H118" s="530"/>
      <c r="I118" s="530"/>
      <c r="J118" s="530"/>
      <c r="K118" s="720"/>
      <c r="Q118" s="720"/>
      <c r="AB118" s="802"/>
      <c r="AC118" s="802"/>
      <c r="AD118" s="720"/>
      <c r="AE118" s="554"/>
      <c r="AF118" s="720" t="s">
        <v>6715</v>
      </c>
      <c r="AG118" s="895">
        <f>IF(tlOutputCh1WaterfallDelta1&lt;0,ABS(tlOutputCh1WaterfallDelta1),tlOutputCh1WaterfallDelta1)</f>
        <v>174356.70783294592</v>
      </c>
      <c r="AH118" s="584" t="s">
        <v>8309</v>
      </c>
      <c r="AJ118" s="554" t="s">
        <v>8480</v>
      </c>
      <c r="AK118" s="894">
        <f t="shared" si="57"/>
        <v>174356.70783294592</v>
      </c>
      <c r="AL118" s="584" t="s">
        <v>8486</v>
      </c>
      <c r="AM118" s="720"/>
      <c r="AN118" s="554"/>
      <c r="AO118" s="720"/>
      <c r="AP118" s="720"/>
      <c r="AQ118" s="720"/>
      <c r="AR118" s="720"/>
      <c r="AS118" s="584"/>
      <c r="AT118" s="720"/>
      <c r="AU118" s="720"/>
      <c r="AV118" s="720"/>
      <c r="AW118" s="720"/>
    </row>
    <row r="119" spans="5:49">
      <c r="E119" s="530"/>
      <c r="F119" s="530"/>
      <c r="G119" s="530"/>
      <c r="H119" s="530"/>
      <c r="I119" s="530"/>
      <c r="J119" s="530"/>
      <c r="K119" s="720"/>
      <c r="Q119" s="720"/>
      <c r="AB119" s="802"/>
      <c r="AC119" s="802"/>
      <c r="AD119" s="720"/>
      <c r="AE119" s="554"/>
      <c r="AF119" s="720" t="s">
        <v>6716</v>
      </c>
      <c r="AG119" s="895">
        <f>IF(tlOutputCh1WaterfallDelta2&lt;0,ABS(tlOutputCh1WaterfallDelta2),tlOutputCh1WaterfallDelta2)</f>
        <v>25143883.344952397</v>
      </c>
      <c r="AH119" s="584" t="s">
        <v>8310</v>
      </c>
      <c r="AJ119" s="554" t="s">
        <v>8481</v>
      </c>
      <c r="AK119" s="894">
        <f t="shared" si="57"/>
        <v>-25143883.344952397</v>
      </c>
      <c r="AL119" s="584" t="s">
        <v>8487</v>
      </c>
      <c r="AM119" s="720"/>
      <c r="AN119" s="554"/>
      <c r="AO119" s="720"/>
      <c r="AP119" s="720"/>
      <c r="AQ119" s="720"/>
      <c r="AR119" s="720"/>
      <c r="AS119" s="584"/>
      <c r="AT119" s="720"/>
      <c r="AU119" s="720"/>
      <c r="AV119" s="720"/>
      <c r="AW119" s="720"/>
    </row>
    <row r="120" spans="5:49">
      <c r="E120" s="530"/>
      <c r="F120" s="530"/>
      <c r="G120" s="530"/>
      <c r="H120" s="530"/>
      <c r="I120" s="530"/>
      <c r="J120" s="530"/>
      <c r="K120" s="720"/>
      <c r="Q120" s="720"/>
      <c r="AB120" s="802"/>
      <c r="AC120" s="802"/>
      <c r="AD120" s="720"/>
      <c r="AE120" s="554"/>
      <c r="AF120" s="720" t="s">
        <v>6717</v>
      </c>
      <c r="AG120" s="895">
        <f>IF(tlOutputCh1WaterfallDelta3&lt;0,ABS(tlOutputCh1WaterfallDelta3),tlOutputCh1WaterfallDelta3)</f>
        <v>0</v>
      </c>
      <c r="AH120" s="584" t="s">
        <v>8311</v>
      </c>
      <c r="AJ120" s="554" t="s">
        <v>8482</v>
      </c>
      <c r="AK120" s="894">
        <f t="shared" si="57"/>
        <v>0</v>
      </c>
      <c r="AL120" s="584" t="s">
        <v>8488</v>
      </c>
      <c r="AM120" s="720"/>
      <c r="AN120" s="554"/>
      <c r="AO120" s="720"/>
      <c r="AP120" s="720"/>
      <c r="AQ120" s="720"/>
      <c r="AR120" s="720"/>
      <c r="AS120" s="584"/>
      <c r="AT120" s="720"/>
      <c r="AU120" s="720"/>
      <c r="AV120" s="720"/>
      <c r="AW120" s="720"/>
    </row>
    <row r="121" spans="5:49">
      <c r="E121" s="530"/>
      <c r="F121" s="530"/>
      <c r="G121" s="530"/>
      <c r="H121" s="530"/>
      <c r="I121" s="530"/>
      <c r="J121" s="530"/>
      <c r="K121" s="720"/>
      <c r="Q121" s="720"/>
      <c r="AB121" s="802"/>
      <c r="AC121" s="802"/>
      <c r="AD121" s="720"/>
      <c r="AE121" s="554"/>
      <c r="AF121" s="720" t="s">
        <v>6718</v>
      </c>
      <c r="AG121" s="895">
        <f>IF(tlOutputCh1WaterfallDelta4&lt;0,ABS(tlOutputCh1WaterfallDelta4),tlOutputCh1WaterfallDelta4)</f>
        <v>2502593.5864973851</v>
      </c>
      <c r="AH121" s="584" t="s">
        <v>8312</v>
      </c>
      <c r="AJ121" s="554" t="s">
        <v>8483</v>
      </c>
      <c r="AK121" s="894">
        <f t="shared" si="57"/>
        <v>-2502593.5864973851</v>
      </c>
      <c r="AL121" s="584" t="s">
        <v>8489</v>
      </c>
      <c r="AM121" s="720"/>
      <c r="AN121" s="554"/>
      <c r="AO121" s="720"/>
      <c r="AP121" s="720"/>
      <c r="AQ121" s="720"/>
      <c r="AR121" s="720"/>
      <c r="AS121" s="584"/>
      <c r="AT121" s="720"/>
      <c r="AU121" s="720"/>
      <c r="AV121" s="720"/>
      <c r="AW121" s="720"/>
    </row>
    <row r="122" spans="5:49" s="802" customFormat="1">
      <c r="E122" s="530"/>
      <c r="F122" s="530"/>
      <c r="G122" s="530"/>
      <c r="H122" s="530"/>
      <c r="I122" s="530"/>
      <c r="J122" s="530"/>
      <c r="K122" s="720"/>
      <c r="Q122" s="720"/>
      <c r="AD122" s="720"/>
      <c r="AE122" s="554"/>
      <c r="AF122" s="720" t="s">
        <v>6719</v>
      </c>
      <c r="AG122" s="895"/>
      <c r="AH122" s="584" t="s">
        <v>8313</v>
      </c>
      <c r="AJ122" s="554" t="s">
        <v>8484</v>
      </c>
      <c r="AK122" s="894">
        <f t="shared" si="57"/>
        <v>64444947.218937032</v>
      </c>
      <c r="AL122" s="584" t="s">
        <v>8490</v>
      </c>
      <c r="AM122" s="720"/>
      <c r="AN122" s="554"/>
      <c r="AO122" s="720"/>
      <c r="AP122" s="720"/>
      <c r="AQ122" s="720"/>
      <c r="AR122" s="720"/>
      <c r="AS122" s="584"/>
      <c r="AT122" s="720"/>
      <c r="AU122" s="720"/>
      <c r="AV122" s="720"/>
      <c r="AW122" s="720"/>
    </row>
    <row r="123" spans="5:49">
      <c r="E123" s="530"/>
      <c r="F123" s="530"/>
      <c r="G123" s="530"/>
      <c r="H123" s="530"/>
      <c r="I123" s="530"/>
      <c r="J123" s="530"/>
      <c r="K123" s="720"/>
      <c r="Q123" s="720"/>
      <c r="AB123" s="802"/>
      <c r="AC123" s="802"/>
      <c r="AD123" s="720"/>
      <c r="AE123" s="554"/>
      <c r="AF123" s="720" t="s">
        <v>10368</v>
      </c>
      <c r="AG123" s="895">
        <f>tlOutputCh1WaterfallEnd</f>
        <v>64444947.218937032</v>
      </c>
      <c r="AH123" s="584" t="s">
        <v>10369</v>
      </c>
      <c r="AJ123" s="554"/>
      <c r="AK123" s="720"/>
      <c r="AL123" s="584"/>
      <c r="AN123" s="554"/>
      <c r="AO123" s="720"/>
      <c r="AP123" s="720"/>
      <c r="AQ123" s="720"/>
      <c r="AR123" s="720"/>
      <c r="AS123" s="584"/>
      <c r="AT123" s="720"/>
      <c r="AU123" s="720"/>
      <c r="AV123" s="720"/>
      <c r="AW123" s="720"/>
    </row>
    <row r="124" spans="5:49">
      <c r="E124" s="530"/>
      <c r="F124" s="530"/>
      <c r="G124" s="530"/>
      <c r="H124" s="530"/>
      <c r="I124" s="530"/>
      <c r="J124" s="530"/>
      <c r="K124" s="720"/>
      <c r="Q124" s="720"/>
      <c r="AB124" s="720"/>
      <c r="AC124" s="720"/>
      <c r="AD124" s="720"/>
      <c r="AE124" s="554"/>
      <c r="AF124" s="720"/>
      <c r="AG124" s="720"/>
      <c r="AH124" s="584"/>
      <c r="AJ124" s="554"/>
      <c r="AK124" s="894"/>
      <c r="AL124" s="584"/>
      <c r="AN124" s="554"/>
      <c r="AO124" s="720"/>
      <c r="AP124" s="720"/>
      <c r="AQ124" s="720"/>
      <c r="AR124" s="720"/>
      <c r="AS124" s="584"/>
      <c r="AT124" s="720"/>
      <c r="AU124" s="720"/>
      <c r="AV124" s="720"/>
      <c r="AW124" s="720"/>
    </row>
    <row r="125" spans="5:49" ht="15" thickBot="1">
      <c r="E125" s="530"/>
      <c r="F125" s="530"/>
      <c r="G125" s="530"/>
      <c r="H125" s="530"/>
      <c r="I125" s="530"/>
      <c r="J125" s="530"/>
      <c r="K125" s="720"/>
      <c r="Q125" s="720"/>
      <c r="AB125" s="720"/>
      <c r="AC125" s="720"/>
      <c r="AD125" s="720"/>
      <c r="AE125" s="554"/>
      <c r="AF125" s="720"/>
      <c r="AG125" s="720"/>
      <c r="AH125" s="584"/>
      <c r="AJ125" s="546"/>
      <c r="AK125" s="544"/>
      <c r="AL125" s="733"/>
      <c r="AN125" s="554"/>
      <c r="AO125" s="720"/>
      <c r="AP125" s="720"/>
      <c r="AQ125" s="720"/>
      <c r="AR125" s="720"/>
      <c r="AS125" s="584"/>
      <c r="AT125" s="720"/>
      <c r="AU125" s="720"/>
      <c r="AV125" s="720"/>
      <c r="AW125" s="720"/>
    </row>
    <row r="126" spans="5:49">
      <c r="E126" s="530"/>
      <c r="F126" s="530"/>
      <c r="G126" s="530"/>
      <c r="H126" s="530"/>
      <c r="I126" s="530"/>
      <c r="J126" s="530"/>
      <c r="K126" s="720"/>
      <c r="Q126" s="720"/>
      <c r="AB126" s="720"/>
      <c r="AC126" s="720"/>
      <c r="AD126" s="720"/>
      <c r="AE126" s="554"/>
      <c r="AF126" s="720"/>
      <c r="AG126" s="720"/>
      <c r="AH126" s="584"/>
      <c r="AN126" s="554"/>
      <c r="AO126" s="720"/>
      <c r="AP126" s="720"/>
      <c r="AQ126" s="720"/>
      <c r="AR126" s="720"/>
      <c r="AS126" s="584"/>
      <c r="AT126" s="720"/>
      <c r="AU126" s="720"/>
      <c r="AV126" s="720"/>
      <c r="AW126" s="720"/>
    </row>
    <row r="127" spans="5:49">
      <c r="E127" s="530"/>
      <c r="F127" s="530"/>
      <c r="G127" s="530"/>
      <c r="H127" s="530"/>
      <c r="I127" s="530"/>
      <c r="J127" s="530"/>
      <c r="K127" s="720"/>
      <c r="Q127" s="720"/>
      <c r="AB127" s="720"/>
      <c r="AC127" s="720"/>
      <c r="AD127" s="720"/>
      <c r="AE127" s="554"/>
      <c r="AF127" s="720"/>
      <c r="AG127" s="720"/>
      <c r="AH127" s="584"/>
      <c r="AJ127" s="802"/>
      <c r="AK127" s="720"/>
      <c r="AN127" s="554"/>
      <c r="AO127" s="720"/>
      <c r="AP127" s="720"/>
      <c r="AQ127" s="720"/>
      <c r="AR127" s="720"/>
      <c r="AS127" s="584"/>
      <c r="AT127" s="720"/>
      <c r="AU127" s="720"/>
      <c r="AV127" s="720"/>
      <c r="AW127" s="720"/>
    </row>
    <row r="128" spans="5:49">
      <c r="E128" s="530"/>
      <c r="F128" s="530"/>
      <c r="G128" s="530"/>
      <c r="H128" s="530"/>
      <c r="I128" s="530"/>
      <c r="J128" s="530"/>
      <c r="K128" s="720"/>
      <c r="Q128" s="720"/>
      <c r="AB128" s="720"/>
      <c r="AC128" s="720"/>
      <c r="AD128" s="720"/>
      <c r="AE128" s="554"/>
      <c r="AF128" s="720"/>
      <c r="AG128" s="720"/>
      <c r="AH128" s="584"/>
      <c r="AJ128" s="802"/>
      <c r="AK128" s="720"/>
      <c r="AN128" s="554"/>
      <c r="AO128" s="720"/>
      <c r="AP128" s="720"/>
      <c r="AQ128" s="720"/>
      <c r="AR128" s="720"/>
      <c r="AS128" s="584"/>
      <c r="AT128" s="720"/>
      <c r="AU128" s="720"/>
      <c r="AV128" s="720"/>
      <c r="AW128" s="720"/>
    </row>
    <row r="129" spans="5:49">
      <c r="E129" s="530"/>
      <c r="F129" s="530"/>
      <c r="G129" s="530"/>
      <c r="H129" s="530"/>
      <c r="I129" s="530"/>
      <c r="J129" s="530"/>
      <c r="K129" s="720"/>
      <c r="Q129" s="720"/>
      <c r="AB129" s="720"/>
      <c r="AC129" s="720"/>
      <c r="AD129" s="720"/>
      <c r="AE129" s="554"/>
      <c r="AF129" s="720"/>
      <c r="AG129" s="720"/>
      <c r="AH129" s="584"/>
      <c r="AJ129" s="802"/>
      <c r="AK129" s="720"/>
      <c r="AN129" s="554"/>
      <c r="AO129" s="720"/>
      <c r="AP129" s="720"/>
      <c r="AQ129" s="720"/>
      <c r="AR129" s="720"/>
      <c r="AS129" s="584"/>
      <c r="AT129" s="720"/>
      <c r="AU129" s="720"/>
      <c r="AV129" s="720"/>
      <c r="AW129" s="720"/>
    </row>
    <row r="130" spans="5:49">
      <c r="E130" s="530"/>
      <c r="F130" s="530"/>
      <c r="G130" s="530"/>
      <c r="H130" s="530"/>
      <c r="I130" s="530"/>
      <c r="J130" s="530"/>
      <c r="K130" s="720"/>
      <c r="Q130" s="720"/>
      <c r="AB130" s="720"/>
      <c r="AC130" s="720"/>
      <c r="AD130" s="720"/>
      <c r="AE130" s="554"/>
      <c r="AF130" s="720"/>
      <c r="AG130" s="720"/>
      <c r="AH130" s="584"/>
      <c r="AJ130" s="802"/>
      <c r="AK130" s="720"/>
      <c r="AN130" s="554"/>
      <c r="AO130" s="720"/>
      <c r="AP130" s="720"/>
      <c r="AQ130" s="720"/>
      <c r="AR130" s="720"/>
      <c r="AS130" s="584"/>
      <c r="AT130" s="720"/>
      <c r="AU130" s="720"/>
      <c r="AV130" s="720"/>
      <c r="AW130" s="720"/>
    </row>
    <row r="131" spans="5:49">
      <c r="E131" s="530"/>
      <c r="F131" s="530"/>
      <c r="G131" s="530"/>
      <c r="H131" s="530"/>
      <c r="I131" s="530"/>
      <c r="J131" s="530"/>
      <c r="K131" s="720"/>
      <c r="Q131" s="720"/>
      <c r="AB131" s="720"/>
      <c r="AC131" s="720"/>
      <c r="AD131" s="720"/>
      <c r="AE131" s="554"/>
      <c r="AF131" s="720"/>
      <c r="AG131" s="720"/>
      <c r="AH131" s="584"/>
      <c r="AJ131" s="802"/>
      <c r="AK131" s="720"/>
      <c r="AN131" s="554"/>
      <c r="AO131" s="720"/>
      <c r="AP131" s="720"/>
      <c r="AQ131" s="720"/>
      <c r="AR131" s="720"/>
      <c r="AS131" s="584"/>
      <c r="AT131" s="720"/>
      <c r="AU131" s="720"/>
      <c r="AV131" s="720"/>
      <c r="AW131" s="720"/>
    </row>
    <row r="132" spans="5:49">
      <c r="E132" s="530"/>
      <c r="F132" s="530"/>
      <c r="G132" s="530"/>
      <c r="H132" s="530"/>
      <c r="I132" s="530"/>
      <c r="J132" s="530"/>
      <c r="K132" s="720"/>
      <c r="L132" s="720"/>
      <c r="M132" s="720"/>
      <c r="N132" s="720"/>
      <c r="O132" s="720"/>
      <c r="P132" s="720"/>
      <c r="Q132" s="720"/>
      <c r="AB132" s="720"/>
      <c r="AC132" s="720"/>
      <c r="AD132" s="720"/>
      <c r="AE132" s="554"/>
      <c r="AF132" s="720"/>
      <c r="AG132" s="720"/>
      <c r="AH132" s="584"/>
      <c r="AN132" s="554"/>
      <c r="AO132" s="720"/>
      <c r="AP132" s="720"/>
      <c r="AQ132" s="720"/>
      <c r="AR132" s="720"/>
      <c r="AS132" s="584"/>
      <c r="AT132" s="720"/>
      <c r="AU132" s="720"/>
      <c r="AV132" s="720"/>
      <c r="AW132" s="720"/>
    </row>
    <row r="133" spans="5:49">
      <c r="E133" s="530"/>
      <c r="F133" s="720"/>
      <c r="G133" s="720"/>
      <c r="H133" s="720"/>
      <c r="I133" s="720"/>
      <c r="J133" s="720"/>
      <c r="K133" s="720"/>
      <c r="L133" s="720"/>
      <c r="M133" s="720"/>
      <c r="N133" s="720"/>
      <c r="O133" s="720"/>
      <c r="P133" s="720"/>
      <c r="Q133" s="720"/>
      <c r="AB133" s="720"/>
      <c r="AC133" s="720"/>
      <c r="AD133" s="720"/>
      <c r="AE133" s="554"/>
      <c r="AF133" s="720"/>
      <c r="AG133" s="720"/>
      <c r="AH133" s="584"/>
      <c r="AN133" s="554"/>
      <c r="AO133" s="720"/>
      <c r="AP133" s="720"/>
      <c r="AQ133" s="720"/>
      <c r="AR133" s="720"/>
      <c r="AS133" s="584"/>
    </row>
    <row r="134" spans="5:49">
      <c r="E134" s="530"/>
      <c r="F134" s="720"/>
      <c r="G134" s="720"/>
      <c r="H134" s="720"/>
      <c r="I134" s="720"/>
      <c r="J134" s="720"/>
      <c r="K134" s="720"/>
      <c r="L134" s="720"/>
      <c r="M134" s="720"/>
      <c r="N134" s="720"/>
      <c r="O134" s="720"/>
      <c r="P134" s="720"/>
      <c r="Q134" s="720"/>
      <c r="AB134" s="720"/>
      <c r="AC134" s="720"/>
      <c r="AD134" s="720"/>
      <c r="AE134" s="554"/>
      <c r="AF134" s="720"/>
      <c r="AG134" s="720"/>
      <c r="AH134" s="584"/>
      <c r="AN134" s="554"/>
      <c r="AO134" s="720"/>
      <c r="AP134" s="720"/>
      <c r="AQ134" s="720"/>
      <c r="AR134" s="720"/>
      <c r="AS134" s="584"/>
    </row>
    <row r="135" spans="5:49">
      <c r="E135" s="530"/>
      <c r="F135" s="720"/>
      <c r="G135" s="720"/>
      <c r="H135" s="720"/>
      <c r="I135" s="720"/>
      <c r="J135" s="720"/>
      <c r="K135" s="720"/>
      <c r="L135" s="720"/>
      <c r="M135" s="720"/>
      <c r="N135" s="720"/>
      <c r="O135" s="720"/>
      <c r="P135" s="720"/>
      <c r="Q135" s="720"/>
      <c r="AB135" s="720"/>
      <c r="AC135" s="720"/>
      <c r="AD135" s="720"/>
      <c r="AE135" s="554"/>
      <c r="AF135" s="720"/>
      <c r="AG135" s="720"/>
      <c r="AH135" s="584"/>
      <c r="AN135" s="554"/>
      <c r="AO135" s="720"/>
      <c r="AP135" s="720"/>
      <c r="AQ135" s="720"/>
      <c r="AR135" s="720"/>
      <c r="AS135" s="584"/>
    </row>
    <row r="136" spans="5:49">
      <c r="E136" s="530"/>
      <c r="F136" s="720"/>
      <c r="G136" s="720"/>
      <c r="H136" s="720"/>
      <c r="I136" s="720"/>
      <c r="J136" s="720"/>
      <c r="K136" s="720"/>
      <c r="L136" s="720"/>
      <c r="M136" s="720"/>
      <c r="N136" s="720"/>
      <c r="O136" s="720"/>
      <c r="P136" s="720"/>
      <c r="Q136" s="720"/>
      <c r="AB136" s="720"/>
      <c r="AC136" s="720"/>
      <c r="AD136" s="720"/>
      <c r="AE136" s="554"/>
      <c r="AF136" s="720"/>
      <c r="AG136" s="720"/>
      <c r="AH136" s="584"/>
      <c r="AN136" s="554"/>
      <c r="AO136" s="720"/>
      <c r="AP136" s="720"/>
      <c r="AQ136" s="720"/>
      <c r="AR136" s="720"/>
      <c r="AS136" s="584"/>
    </row>
    <row r="137" spans="5:49">
      <c r="E137" s="530"/>
      <c r="F137" s="720"/>
      <c r="G137" s="720"/>
      <c r="H137" s="720"/>
      <c r="I137" s="720"/>
      <c r="J137" s="720"/>
      <c r="K137" s="720"/>
      <c r="L137" s="720"/>
      <c r="M137" s="720"/>
      <c r="N137" s="720"/>
      <c r="O137" s="720"/>
      <c r="P137" s="720"/>
      <c r="Q137" s="720"/>
      <c r="AB137" s="720"/>
      <c r="AC137" s="720"/>
      <c r="AD137" s="720"/>
      <c r="AE137" s="554"/>
      <c r="AF137" s="720"/>
      <c r="AG137" s="720"/>
      <c r="AH137" s="584"/>
      <c r="AN137" s="554"/>
      <c r="AO137" s="720"/>
      <c r="AP137" s="720"/>
      <c r="AQ137" s="720"/>
      <c r="AR137" s="720"/>
      <c r="AS137" s="584"/>
    </row>
    <row r="138" spans="5:49" ht="15" thickBot="1">
      <c r="E138" s="530"/>
      <c r="F138" s="720"/>
      <c r="G138" s="720"/>
      <c r="H138" s="720"/>
      <c r="I138" s="720"/>
      <c r="J138" s="720"/>
      <c r="K138" s="720"/>
      <c r="L138" s="720"/>
      <c r="M138" s="720"/>
      <c r="N138" s="720"/>
      <c r="O138" s="720"/>
      <c r="P138" s="720"/>
      <c r="Q138" s="720"/>
      <c r="AB138" s="720"/>
      <c r="AC138" s="720"/>
      <c r="AD138" s="720"/>
      <c r="AE138" s="554"/>
      <c r="AF138" s="720"/>
      <c r="AG138" s="720"/>
      <c r="AH138" s="584"/>
      <c r="AN138" s="546"/>
      <c r="AO138" s="544"/>
      <c r="AP138" s="544"/>
      <c r="AQ138" s="544"/>
      <c r="AR138" s="544"/>
      <c r="AS138" s="733"/>
    </row>
    <row r="139" spans="5:49">
      <c r="E139" s="530"/>
      <c r="F139" s="720"/>
      <c r="G139" s="720"/>
      <c r="H139" s="720"/>
      <c r="I139" s="720"/>
      <c r="J139" s="720"/>
      <c r="K139" s="720"/>
      <c r="L139" s="720"/>
      <c r="M139" s="720"/>
      <c r="N139" s="720"/>
      <c r="O139" s="720"/>
      <c r="P139" s="720"/>
      <c r="Q139" s="720"/>
      <c r="AB139" s="720"/>
      <c r="AC139" s="720"/>
      <c r="AD139" s="720"/>
      <c r="AE139" s="554"/>
      <c r="AF139" s="720"/>
      <c r="AG139" s="720"/>
      <c r="AH139" s="584"/>
    </row>
    <row r="140" spans="5:49">
      <c r="E140" s="530"/>
      <c r="F140" s="720"/>
      <c r="G140" s="720"/>
      <c r="H140" s="720"/>
      <c r="I140" s="720"/>
      <c r="J140" s="720"/>
      <c r="K140" s="720"/>
      <c r="L140" s="720"/>
      <c r="M140" s="720"/>
      <c r="N140" s="720"/>
      <c r="O140" s="720"/>
      <c r="P140" s="720"/>
      <c r="Q140" s="720"/>
      <c r="AB140" s="720"/>
      <c r="AC140" s="720"/>
      <c r="AD140" s="720"/>
      <c r="AE140" s="554"/>
      <c r="AF140" s="720"/>
      <c r="AG140" s="720"/>
      <c r="AH140" s="584"/>
    </row>
    <row r="141" spans="5:49">
      <c r="E141" s="530"/>
      <c r="F141" s="720"/>
      <c r="G141" s="720"/>
      <c r="H141" s="720"/>
      <c r="I141" s="720"/>
      <c r="J141" s="720"/>
      <c r="K141" s="720"/>
      <c r="L141" s="720"/>
      <c r="M141" s="720"/>
      <c r="N141" s="720"/>
      <c r="O141" s="720"/>
      <c r="P141" s="720"/>
      <c r="Q141" s="720"/>
      <c r="R141" s="720"/>
      <c r="S141" s="720"/>
      <c r="T141" s="720"/>
      <c r="U141" s="720"/>
      <c r="V141" s="720"/>
      <c r="W141" s="720"/>
      <c r="X141" s="720"/>
      <c r="Y141" s="720"/>
      <c r="Z141" s="720"/>
      <c r="AA141" s="720"/>
      <c r="AB141" s="720"/>
      <c r="AC141" s="720"/>
      <c r="AD141" s="720"/>
      <c r="AE141" s="554"/>
      <c r="AF141" s="720"/>
      <c r="AG141" s="720"/>
      <c r="AH141" s="584"/>
    </row>
    <row r="142" spans="5:49">
      <c r="E142" s="530"/>
      <c r="F142" s="720"/>
      <c r="G142" s="720"/>
      <c r="H142" s="720"/>
      <c r="I142" s="720"/>
      <c r="J142" s="720"/>
      <c r="K142" s="720"/>
      <c r="L142" s="720"/>
      <c r="M142" s="720"/>
      <c r="N142" s="720"/>
      <c r="O142" s="720"/>
      <c r="P142" s="720"/>
      <c r="Q142" s="720"/>
      <c r="R142" s="720"/>
      <c r="S142" s="720"/>
      <c r="T142" s="720"/>
      <c r="U142" s="720"/>
      <c r="V142" s="720"/>
      <c r="W142" s="720"/>
      <c r="X142" s="720"/>
      <c r="Y142" s="720"/>
      <c r="Z142" s="720"/>
      <c r="AA142" s="720"/>
      <c r="AB142" s="720"/>
      <c r="AC142" s="720"/>
      <c r="AD142" s="720"/>
      <c r="AE142" s="554"/>
      <c r="AF142" s="720"/>
      <c r="AG142" s="720"/>
      <c r="AH142" s="584"/>
    </row>
    <row r="143" spans="5:49">
      <c r="E143" s="530"/>
      <c r="F143" s="720"/>
      <c r="G143" s="720"/>
      <c r="H143" s="720"/>
      <c r="I143" s="720"/>
      <c r="J143" s="720"/>
      <c r="K143" s="720"/>
      <c r="L143" s="720"/>
      <c r="M143" s="720"/>
      <c r="N143" s="720"/>
      <c r="O143" s="720"/>
      <c r="P143" s="720"/>
      <c r="Q143" s="720"/>
      <c r="R143" s="720"/>
      <c r="S143" s="720"/>
      <c r="T143" s="720"/>
      <c r="U143" s="720"/>
      <c r="V143" s="720"/>
      <c r="W143" s="720"/>
      <c r="X143" s="720"/>
      <c r="Y143" s="720"/>
      <c r="Z143" s="720"/>
      <c r="AA143" s="720"/>
      <c r="AB143" s="720"/>
      <c r="AC143" s="720"/>
      <c r="AD143" s="720"/>
      <c r="AE143" s="554"/>
      <c r="AF143" s="720"/>
      <c r="AG143" s="720"/>
      <c r="AH143" s="584"/>
    </row>
    <row r="144" spans="5:49" ht="15" thickBot="1">
      <c r="E144" s="530"/>
      <c r="F144" s="720"/>
      <c r="G144" s="720"/>
      <c r="H144" s="720"/>
      <c r="I144" s="720"/>
      <c r="J144" s="720"/>
      <c r="K144" s="720"/>
      <c r="L144" s="720"/>
      <c r="M144" s="720"/>
      <c r="N144" s="720"/>
      <c r="O144" s="720"/>
      <c r="P144" s="720"/>
      <c r="Q144" s="720"/>
      <c r="R144" s="720"/>
      <c r="S144" s="720"/>
      <c r="T144" s="720"/>
      <c r="U144" s="720"/>
      <c r="V144" s="720"/>
      <c r="W144" s="720"/>
      <c r="X144" s="720"/>
      <c r="Y144" s="720"/>
      <c r="Z144" s="720"/>
      <c r="AA144" s="720"/>
      <c r="AB144" s="720"/>
      <c r="AC144" s="720"/>
      <c r="AD144" s="720"/>
      <c r="AE144" s="546"/>
      <c r="AF144" s="544"/>
      <c r="AG144" s="544"/>
      <c r="AH144" s="733"/>
    </row>
    <row r="147" spans="30:48">
      <c r="AQ147" s="802"/>
      <c r="AR147" s="802"/>
      <c r="AS147" s="802"/>
      <c r="AT147" s="802"/>
      <c r="AU147" s="802"/>
      <c r="AV147" s="802"/>
    </row>
    <row r="148" spans="30:48">
      <c r="AQ148" s="802"/>
      <c r="AR148" s="802"/>
      <c r="AS148" s="802"/>
      <c r="AT148" s="802"/>
      <c r="AU148" s="802"/>
      <c r="AV148" s="802"/>
    </row>
    <row r="149" spans="30:48" ht="15" thickBot="1">
      <c r="AD149" s="804" t="s">
        <v>6998</v>
      </c>
      <c r="AE149" s="801" t="s">
        <v>6988</v>
      </c>
      <c r="AF149"/>
      <c r="AG149"/>
      <c r="AH149" s="800"/>
      <c r="AI149" s="801" t="s">
        <v>6991</v>
      </c>
      <c r="AJ149" s="800"/>
      <c r="AK149" s="800"/>
      <c r="AL149" s="800"/>
      <c r="AM149" s="801" t="s">
        <v>6987</v>
      </c>
      <c r="AQ149" s="801" t="s">
        <v>6996</v>
      </c>
      <c r="AU149" s="802"/>
      <c r="AV149" s="802"/>
    </row>
    <row r="150" spans="30:48">
      <c r="AD150"/>
      <c r="AE150" s="807"/>
      <c r="AF150" s="813"/>
      <c r="AG150" s="796" t="s">
        <v>6986</v>
      </c>
      <c r="AH150" s="812" t="s">
        <v>6999</v>
      </c>
      <c r="AI150" s="807"/>
      <c r="AJ150" s="813"/>
      <c r="AK150" s="796" t="s">
        <v>6991</v>
      </c>
      <c r="AL150" s="812" t="s">
        <v>7000</v>
      </c>
      <c r="AM150" s="807"/>
      <c r="AN150" s="813"/>
      <c r="AO150" s="796" t="s">
        <v>6994</v>
      </c>
      <c r="AP150" s="812" t="s">
        <v>7110</v>
      </c>
      <c r="AQ150" s="555"/>
      <c r="AR150" s="600"/>
      <c r="AS150" s="600"/>
      <c r="AT150" s="561"/>
      <c r="AU150" s="802"/>
      <c r="AV150" s="802"/>
    </row>
    <row r="151" spans="30:48">
      <c r="AD151" s="800"/>
      <c r="AE151" s="797" t="s">
        <v>6990</v>
      </c>
      <c r="AF151" s="814"/>
      <c r="AG151" s="814"/>
      <c r="AH151" s="811"/>
      <c r="AI151" s="797" t="s">
        <v>6990</v>
      </c>
      <c r="AJ151" s="814"/>
      <c r="AK151" s="814"/>
      <c r="AL151" s="811"/>
      <c r="AM151" s="797"/>
      <c r="AN151" s="814"/>
      <c r="AO151" s="814"/>
      <c r="AP151" s="811"/>
      <c r="AQ151" s="832" t="str">
        <f>nmSeg1</f>
        <v>Making a Statement</v>
      </c>
      <c r="AR151" s="720"/>
      <c r="AS151" s="720"/>
      <c r="AT151" s="833"/>
      <c r="AU151" s="802"/>
      <c r="AV151" s="802"/>
    </row>
    <row r="152" spans="30:48" ht="15" thickBot="1">
      <c r="AD152" s="800"/>
      <c r="AE152" s="810"/>
      <c r="AF152" s="814" t="str">
        <f>nmProd2</f>
        <v>Harken</v>
      </c>
      <c r="AG152" s="793" t="str">
        <f>nmProd2</f>
        <v>Harken</v>
      </c>
      <c r="AH152" s="811" t="s">
        <v>7001</v>
      </c>
      <c r="AI152" s="810"/>
      <c r="AJ152" s="814" t="str">
        <f>nmProd2</f>
        <v>Harken</v>
      </c>
      <c r="AK152" s="793" t="str">
        <f>nmProd2</f>
        <v>Harken</v>
      </c>
      <c r="AL152" s="811" t="s">
        <v>7002</v>
      </c>
      <c r="AM152" s="810"/>
      <c r="AN152" s="814" t="str">
        <f>nmProd2&amp;" Slot1"</f>
        <v>Harken Slot1</v>
      </c>
      <c r="AO152" s="793" t="str">
        <f>IF(INDEX(obalCh1Prod2Slot1Active,,xxIndexTeam)=1,nmProd2&amp;" - "&amp;INDEX(obalCh1Prod2Slot1Pack,,xxIndexTeam),"")</f>
        <v>Harken - 33cl Can</v>
      </c>
      <c r="AP152" s="811" t="s">
        <v>7114</v>
      </c>
      <c r="AQ152" s="554"/>
      <c r="AR152" s="720"/>
      <c r="AS152" s="530" t="s">
        <v>295</v>
      </c>
      <c r="AT152" s="584"/>
      <c r="AU152" s="802"/>
      <c r="AV152" s="802"/>
    </row>
    <row r="153" spans="30:48">
      <c r="AD153" s="800"/>
      <c r="AE153" s="810"/>
      <c r="AF153" s="814" t="str">
        <f>nmProd3</f>
        <v>Kara</v>
      </c>
      <c r="AG153" s="793" t="str">
        <f>nmProd3</f>
        <v>Kara</v>
      </c>
      <c r="AH153" s="811" t="s">
        <v>7003</v>
      </c>
      <c r="AI153" s="810"/>
      <c r="AJ153" s="814" t="str">
        <f>nmProd3</f>
        <v>Kara</v>
      </c>
      <c r="AK153" s="793" t="str">
        <f>nmProd3</f>
        <v>Kara</v>
      </c>
      <c r="AL153" s="811" t="s">
        <v>7004</v>
      </c>
      <c r="AM153" s="810"/>
      <c r="AN153" s="720"/>
      <c r="AO153" s="817">
        <f>IF(INDEX(obalCh1Prod2Slot1Active,,xxIndexTeam)=1,INDEX(obalCh1Prod2Slot1CustPrice,,xxIndexTeam),"")</f>
        <v>7.9</v>
      </c>
      <c r="AP153" s="584" t="s">
        <v>7118</v>
      </c>
      <c r="AQ153" s="554" t="str">
        <f>nmProd1</f>
        <v>Greenborg</v>
      </c>
      <c r="AR153" s="720" t="s">
        <v>4409</v>
      </c>
      <c r="AS153" s="822">
        <v>97000000</v>
      </c>
      <c r="AT153" s="584" t="s">
        <v>7308</v>
      </c>
      <c r="AU153" s="802"/>
      <c r="AV153" s="802"/>
    </row>
    <row r="154" spans="30:48">
      <c r="AD154" s="800"/>
      <c r="AE154" s="810"/>
      <c r="AF154" s="814" t="str">
        <f>nmProd1</f>
        <v>Greenborg</v>
      </c>
      <c r="AG154" s="793" t="str">
        <f>nmProd1</f>
        <v>Greenborg</v>
      </c>
      <c r="AH154" s="811" t="s">
        <v>7005</v>
      </c>
      <c r="AI154" s="810"/>
      <c r="AJ154" s="814" t="str">
        <f>nmProd1</f>
        <v>Greenborg</v>
      </c>
      <c r="AK154" s="793" t="str">
        <f>nmProd1</f>
        <v>Greenborg</v>
      </c>
      <c r="AL154" s="811" t="s">
        <v>7006</v>
      </c>
      <c r="AM154" s="810"/>
      <c r="AN154" s="720"/>
      <c r="AO154" s="817">
        <f>IF(INDEX(obalCh1Prod2Slot1Active,,xxIndexTeam)=1,INDEX(obalCh1Prod2Slot1AvgPrice,,xxIndexTeam),"")</f>
        <v>7.4388982062523699</v>
      </c>
      <c r="AP154" s="584" t="s">
        <v>7122</v>
      </c>
      <c r="AQ154" s="554"/>
      <c r="AR154" s="720" t="s">
        <v>4408</v>
      </c>
      <c r="AS154" s="826">
        <f>AS153*0.2</f>
        <v>19400000</v>
      </c>
      <c r="AT154" s="584" t="s">
        <v>7309</v>
      </c>
      <c r="AU154" s="802"/>
      <c r="AV154" s="802"/>
    </row>
    <row r="155" spans="30:48">
      <c r="AD155" s="800"/>
      <c r="AE155" s="810"/>
      <c r="AF155" s="814" t="str">
        <f>nmProd4</f>
        <v>Brew Master</v>
      </c>
      <c r="AG155" s="793" t="str">
        <f>nmProd4</f>
        <v>Brew Master</v>
      </c>
      <c r="AH155" s="811" t="s">
        <v>7007</v>
      </c>
      <c r="AI155" s="810"/>
      <c r="AJ155" s="814" t="str">
        <f>nmProd4</f>
        <v>Brew Master</v>
      </c>
      <c r="AK155" s="793" t="str">
        <f>nmProd4</f>
        <v>Brew Master</v>
      </c>
      <c r="AL155" s="811" t="s">
        <v>7008</v>
      </c>
      <c r="AM155" s="810"/>
      <c r="AN155" s="720"/>
      <c r="AO155" s="817">
        <f>IF(INDEX(obalCh1Prod2Slot1Active,,xxIndexTeam)=1,INDEX(obalCh1Prod2Slot1AvgPromoPrice,,xxIndexTeam),"")</f>
        <v>5.2929999999999993</v>
      </c>
      <c r="AP155" s="584" t="s">
        <v>7125</v>
      </c>
      <c r="AQ155" s="554" t="str">
        <f>nmProd2</f>
        <v>Harken</v>
      </c>
      <c r="AR155" s="720" t="s">
        <v>4409</v>
      </c>
      <c r="AS155" s="826">
        <v>145500000</v>
      </c>
      <c r="AT155" s="584" t="s">
        <v>7310</v>
      </c>
      <c r="AU155" s="802"/>
      <c r="AV155" s="802"/>
    </row>
    <row r="156" spans="30:48">
      <c r="AD156"/>
      <c r="AE156" s="797" t="s">
        <v>6989</v>
      </c>
      <c r="AF156" s="814"/>
      <c r="AG156" s="814"/>
      <c r="AH156" s="811"/>
      <c r="AI156" s="797" t="s">
        <v>6989</v>
      </c>
      <c r="AJ156" s="814"/>
      <c r="AK156" s="814"/>
      <c r="AL156" s="811"/>
      <c r="AM156" s="810"/>
      <c r="AN156" s="814" t="str">
        <f>nmProd2&amp;" Slot2"</f>
        <v>Harken Slot2</v>
      </c>
      <c r="AO156" s="818" t="str">
        <f>IF(INDEX(obalCh1Prod2Slot2Active,,xxIndexTeam)=1,nmProd2&amp;" - "&amp;INDEX(obalCh1Prod2Slot2Pack,,xxIndexTeam),"")</f>
        <v>Harken - 6 x 33cl Can</v>
      </c>
      <c r="AP156" s="811" t="s">
        <v>7129</v>
      </c>
      <c r="AQ156" s="554"/>
      <c r="AR156" s="720" t="s">
        <v>4408</v>
      </c>
      <c r="AS156" s="826">
        <f>AS155*0.2</f>
        <v>29100000</v>
      </c>
      <c r="AT156" s="584" t="s">
        <v>7311</v>
      </c>
      <c r="AU156" s="802"/>
      <c r="AV156" s="802"/>
    </row>
    <row r="157" spans="30:48">
      <c r="AD157"/>
      <c r="AE157" s="810"/>
      <c r="AF157" s="814" t="str">
        <f>nmProd2</f>
        <v>Harken</v>
      </c>
      <c r="AG157" s="793" t="str">
        <f>IF(INDEX(obalCh1Prod2Slot1Active,,xxIndexTeam)=1,INDEX(obalCh1Prod2Slot1Pack,,xxIndexTeam),"")</f>
        <v>33cl Can</v>
      </c>
      <c r="AH157" s="811" t="s">
        <v>7009</v>
      </c>
      <c r="AI157" s="810"/>
      <c r="AJ157" s="814" t="str">
        <f>nmProd2</f>
        <v>Harken</v>
      </c>
      <c r="AK157" s="793" t="str">
        <f>IF(INDEX(obalCh1Prod2Slot1Active,,xxIndexTeam)=1,INDEX(obalCh1Prod2Slot1Pack,,xxIndexTeam),"")</f>
        <v>33cl Can</v>
      </c>
      <c r="AL157" s="811" t="s">
        <v>7010</v>
      </c>
      <c r="AM157" s="810"/>
      <c r="AN157" s="720"/>
      <c r="AO157" s="817">
        <f>IF(INDEX(obalCh1Prod2Slot2Active,,xxIndexTeam)=1,INDEX(obalCh1Prod2Slot2CustPrice,,xxIndexTeam),"")</f>
        <v>7.55</v>
      </c>
      <c r="AP157" s="584" t="s">
        <v>7131</v>
      </c>
      <c r="AQ157" s="554" t="str">
        <f>nmProd3</f>
        <v>Kara</v>
      </c>
      <c r="AR157" s="720" t="s">
        <v>4409</v>
      </c>
      <c r="AS157" s="826">
        <v>97000000</v>
      </c>
      <c r="AT157" s="584" t="s">
        <v>7312</v>
      </c>
      <c r="AU157" s="802"/>
      <c r="AV157" s="802"/>
    </row>
    <row r="158" spans="30:48">
      <c r="AD158"/>
      <c r="AE158" s="810"/>
      <c r="AF158" s="814" t="str">
        <f>nmProd2</f>
        <v>Harken</v>
      </c>
      <c r="AG158" s="793" t="str">
        <f>IF(INDEX(obalCh1Prod2Slot2Active,,xxIndexTeam)=1,INDEX(obalCh1Prod2Slot2Pack,,xxIndexTeam),"")</f>
        <v>6 x 33cl Can</v>
      </c>
      <c r="AH158" s="811" t="s">
        <v>7011</v>
      </c>
      <c r="AI158" s="810"/>
      <c r="AJ158" s="814" t="str">
        <f>nmProd2</f>
        <v>Harken</v>
      </c>
      <c r="AK158" s="793" t="str">
        <f>IF(INDEX(obalCh1Prod2Slot2Active,,xxIndexTeam)=1,INDEX(obalCh1Prod2Slot2Pack,,xxIndexTeam),"")</f>
        <v>6 x 33cl Can</v>
      </c>
      <c r="AL158" s="811" t="s">
        <v>7012</v>
      </c>
      <c r="AM158" s="810"/>
      <c r="AN158" s="720"/>
      <c r="AO158" s="817">
        <f>IF(INDEX(obalCh1Prod2Slot2Active,,xxIndexTeam)=1,INDEX(obalCh1Prod2Slot2AvgPrice,,xxIndexTeam),"")</f>
        <v>6.6325784288533072</v>
      </c>
      <c r="AP158" s="584" t="s">
        <v>7135</v>
      </c>
      <c r="AQ158" s="554"/>
      <c r="AR158" s="720" t="s">
        <v>4408</v>
      </c>
      <c r="AS158" s="826">
        <f>AS157*0.2</f>
        <v>19400000</v>
      </c>
      <c r="AT158" s="584" t="s">
        <v>7313</v>
      </c>
      <c r="AU158" s="802"/>
      <c r="AV158" s="802"/>
    </row>
    <row r="159" spans="30:48">
      <c r="AD159"/>
      <c r="AE159" s="810"/>
      <c r="AF159" s="814" t="str">
        <f>nmProd2</f>
        <v>Harken</v>
      </c>
      <c r="AG159" s="793" t="str">
        <f>IF(INDEX(obalCh1Prod2Slot3Active,,xxIndexTeam)=1,INDEX(obalCh1Prod2Slot3Pack,,xxIndexTeam),"")</f>
        <v/>
      </c>
      <c r="AH159" s="811" t="s">
        <v>7013</v>
      </c>
      <c r="AI159" s="810"/>
      <c r="AJ159" s="814" t="str">
        <f>nmProd2</f>
        <v>Harken</v>
      </c>
      <c r="AK159" s="793" t="str">
        <f>IF(INDEX(obalCh1Prod2Slot3Active,,xxIndexTeam)=1,INDEX(obalCh1Prod2Slot3Pack,,xxIndexTeam),"")</f>
        <v/>
      </c>
      <c r="AL159" s="811" t="s">
        <v>7014</v>
      </c>
      <c r="AM159" s="810"/>
      <c r="AN159" s="720"/>
      <c r="AO159" s="817">
        <f>IF(INDEX(obalCh1Prod2Slot2Active,,xxIndexTeam)=1,INDEX(obalCh1Prod2Slot2AvgPromoPrice,,xxIndexTeam),"")</f>
        <v>5.4047110080336198</v>
      </c>
      <c r="AP159" s="584" t="s">
        <v>7139</v>
      </c>
      <c r="AQ159" s="554" t="str">
        <f>nmProd4</f>
        <v>Brew Master</v>
      </c>
      <c r="AR159" s="720" t="s">
        <v>4409</v>
      </c>
      <c r="AS159" s="826">
        <v>194000000</v>
      </c>
      <c r="AT159" s="584" t="s">
        <v>7314</v>
      </c>
      <c r="AU159" s="802"/>
      <c r="AV159" s="802"/>
    </row>
    <row r="160" spans="30:48" ht="15" thickBot="1">
      <c r="AD160"/>
      <c r="AE160" s="810"/>
      <c r="AF160" s="814" t="str">
        <f>nmProd3</f>
        <v>Kara</v>
      </c>
      <c r="AG160" s="793" t="str">
        <f>IF(INDEX(obalCh1Prod3Slot1Active,,xxIndexTeam)=1,INDEX(obalCh1Prod3Slot1Pack,,xxIndexTeam),"")</f>
        <v>25cl Can</v>
      </c>
      <c r="AH160" s="811" t="s">
        <v>7015</v>
      </c>
      <c r="AI160" s="810"/>
      <c r="AJ160" s="814" t="str">
        <f>nmProd3</f>
        <v>Kara</v>
      </c>
      <c r="AK160" s="793" t="str">
        <f>IF(INDEX(obalCh1Prod3Slot1Active,,xxIndexTeam)=1,INDEX(obalCh1Prod3Slot1Pack,,xxIndexTeam),"")</f>
        <v>25cl Can</v>
      </c>
      <c r="AL160" s="811" t="s">
        <v>7016</v>
      </c>
      <c r="AM160" s="810"/>
      <c r="AN160" s="814" t="str">
        <f>nmProd2&amp;" Slot3"</f>
        <v>Harken Slot3</v>
      </c>
      <c r="AO160" s="818" t="str">
        <f>IF(INDEX(calcCh1Prod2Slot3Active,,xxIndexTeam)=1,nmProd2&amp;" - "&amp;INDEX(obalCh1Prod2Slot3Pack,,xxIndexTeam),"")</f>
        <v/>
      </c>
      <c r="AP160" s="811" t="s">
        <v>7143</v>
      </c>
      <c r="AQ160" s="554"/>
      <c r="AR160" s="720" t="s">
        <v>4408</v>
      </c>
      <c r="AS160" s="829">
        <f>AS159*0.2</f>
        <v>38800000</v>
      </c>
      <c r="AT160" s="584" t="s">
        <v>7315</v>
      </c>
      <c r="AU160" s="802"/>
      <c r="AV160" s="802"/>
    </row>
    <row r="161" spans="5:48">
      <c r="AD161"/>
      <c r="AE161" s="810"/>
      <c r="AF161" s="814" t="str">
        <f>nmProd3</f>
        <v>Kara</v>
      </c>
      <c r="AG161" s="793" t="str">
        <f>IF(INDEX(obalCh1Prod3Slot2Active,,xxIndexTeam)=1,INDEX(obalCh1Prod3Slot2Pack,,xxIndexTeam),"")</f>
        <v>6 x 33cl Can</v>
      </c>
      <c r="AH161" s="811" t="s">
        <v>7017</v>
      </c>
      <c r="AI161" s="810"/>
      <c r="AJ161" s="814" t="str">
        <f>nmProd3</f>
        <v>Kara</v>
      </c>
      <c r="AK161" s="793" t="str">
        <f>IF(INDEX(obalCh1Prod3Slot2Active,,xxIndexTeam)=1,INDEX(obalCh1Prod3Slot2Pack,,xxIndexTeam),"")</f>
        <v>6 x 33cl Can</v>
      </c>
      <c r="AL161" s="811" t="s">
        <v>7018</v>
      </c>
      <c r="AM161" s="810"/>
      <c r="AN161" s="720"/>
      <c r="AO161" s="817" t="str">
        <f>IF(INDEX(obalCh1Prod2Slot3Active,,xxIndexTeam)=1,INDEX(obalCh1Prod2Slot3CustPrice,,xxIndexTeam),"")</f>
        <v/>
      </c>
      <c r="AP161" s="584" t="s">
        <v>7147</v>
      </c>
      <c r="AQ161" s="554"/>
      <c r="AR161" s="720"/>
      <c r="AS161" s="720"/>
      <c r="AT161" s="584"/>
      <c r="AU161" s="802"/>
      <c r="AV161" s="802"/>
    </row>
    <row r="162" spans="5:48" ht="15" thickBot="1">
      <c r="AD162"/>
      <c r="AE162" s="810"/>
      <c r="AF162" s="814" t="str">
        <f>nmProd3</f>
        <v>Kara</v>
      </c>
      <c r="AG162" s="793" t="str">
        <f>IF(INDEX(obalCh1Prod3Slot3Active,,xxIndexTeam)=1,INDEX(obalCh1Prod3Slot3Pack,,xxIndexTeam),"")</f>
        <v/>
      </c>
      <c r="AH162" s="811" t="s">
        <v>7019</v>
      </c>
      <c r="AI162" s="810"/>
      <c r="AJ162" s="814" t="str">
        <f>nmProd3</f>
        <v>Kara</v>
      </c>
      <c r="AK162" s="793" t="str">
        <f>IF(INDEX(obalCh1Prod3Slot3Active,,xxIndexTeam)=1,INDEX(obalCh1Prod3Slot3Pack,,xxIndexTeam),"")</f>
        <v/>
      </c>
      <c r="AL162" s="811" t="s">
        <v>7020</v>
      </c>
      <c r="AM162" s="810"/>
      <c r="AN162" s="720"/>
      <c r="AO162" s="817" t="str">
        <f>IF(INDEX(obalCh1Prod2Slot3Active,,xxIndexTeam)=1,INDEX(obalCh1Prod2Slot3AvgSalePrice,,xxIndexTeam),"")</f>
        <v/>
      </c>
      <c r="AP162" s="584" t="s">
        <v>7151</v>
      </c>
      <c r="AQ162" s="554"/>
      <c r="AR162" s="720"/>
      <c r="AS162" s="530" t="s">
        <v>6997</v>
      </c>
      <c r="AT162" s="584"/>
      <c r="AU162" s="802"/>
      <c r="AV162" s="802"/>
    </row>
    <row r="163" spans="5:48">
      <c r="AD163"/>
      <c r="AE163" s="810"/>
      <c r="AF163" s="814" t="str">
        <f>nmProd1</f>
        <v>Greenborg</v>
      </c>
      <c r="AG163" s="793" t="str">
        <f>IF(INDEX(obalCh1Prod1Slot1Active,,xxIndexTeam)=1,INDEX(obalCh1Prod1Slot1Pack,,xxIndexTeam),"")</f>
        <v>24 x 33cl Can</v>
      </c>
      <c r="AH163" s="811" t="s">
        <v>7021</v>
      </c>
      <c r="AI163" s="810"/>
      <c r="AJ163" s="814" t="str">
        <f>nmProd1</f>
        <v>Greenborg</v>
      </c>
      <c r="AK163" s="793" t="str">
        <f>IF(INDEX(obalCh1Prod1Slot1Active,,xxIndexTeam)=1,INDEX(obalCh1Prod1Slot1Pack,,xxIndexTeam),"")</f>
        <v>24 x 33cl Can</v>
      </c>
      <c r="AL163" s="811" t="s">
        <v>7022</v>
      </c>
      <c r="AM163" s="810"/>
      <c r="AN163" s="720"/>
      <c r="AO163" s="817" t="str">
        <f>IF(INDEX(obalCh1Prod2Slot3Active,,xxIndexTeam)=1,INDEX(obalCh1Prod2Slot3AvgPromoPrice,,xxIndexTeam),"")</f>
        <v/>
      </c>
      <c r="AP163" s="584" t="s">
        <v>7155</v>
      </c>
      <c r="AQ163" s="554" t="str">
        <f>nmProd1</f>
        <v>Greenborg</v>
      </c>
      <c r="AR163" s="720" t="s">
        <v>4409</v>
      </c>
      <c r="AS163" s="823">
        <v>0.02</v>
      </c>
      <c r="AT163" s="584" t="s">
        <v>7364</v>
      </c>
      <c r="AU163" s="802"/>
      <c r="AV163" s="802"/>
    </row>
    <row r="164" spans="5:48">
      <c r="AD164"/>
      <c r="AE164" s="810"/>
      <c r="AF164" s="814" t="str">
        <f>nmProd1</f>
        <v>Greenborg</v>
      </c>
      <c r="AG164" s="793" t="str">
        <f>IF(INDEX(obalCh1Prod1Slot2Active,,xxIndexTeam)=1,INDEX(obalCh1Prod1Slot2Pack,,xxIndexTeam),"")</f>
        <v/>
      </c>
      <c r="AH164" s="811" t="s">
        <v>7023</v>
      </c>
      <c r="AI164" s="810"/>
      <c r="AJ164" s="814" t="str">
        <f>nmProd1</f>
        <v>Greenborg</v>
      </c>
      <c r="AK164" s="793" t="str">
        <f>IF(INDEX(obalCh1Prod1Slot2Active,,xxIndexTeam)=1,INDEX(obalCh1Prod1Slot2Pack,,xxIndexTeam),"")</f>
        <v/>
      </c>
      <c r="AL164" s="811" t="s">
        <v>7024</v>
      </c>
      <c r="AM164" s="554"/>
      <c r="AN164" s="814" t="str">
        <f>nmProd3&amp;" Slot1"</f>
        <v>Kara Slot1</v>
      </c>
      <c r="AO164" s="818" t="str">
        <f>IF(INDEX(obalCh1Prod3Slot1Active,,xxIndexTeam)=1,nmProd3&amp;" - "&amp;INDEX(obalCh1Prod3Slot1Pack,,xxIndexTeam),"")</f>
        <v>Kara - 25cl Can</v>
      </c>
      <c r="AP164" s="811" t="s">
        <v>7159</v>
      </c>
      <c r="AQ164" s="554"/>
      <c r="AR164" s="720" t="s">
        <v>4408</v>
      </c>
      <c r="AS164" s="827">
        <v>0.02</v>
      </c>
      <c r="AT164" s="584" t="s">
        <v>7365</v>
      </c>
      <c r="AU164" s="802"/>
      <c r="AV164" s="802"/>
    </row>
    <row r="165" spans="5:48">
      <c r="AD165"/>
      <c r="AE165" s="810"/>
      <c r="AF165" s="814" t="str">
        <f>nmProd1</f>
        <v>Greenborg</v>
      </c>
      <c r="AG165" s="793" t="str">
        <f>IF(INDEX(obalCh1Prod1Slot3Active,,xxIndexTeam)=1,INDEX(obalCh1Prod1Slot3Pack,,xxIndexTeam),"")</f>
        <v/>
      </c>
      <c r="AH165" s="811" t="s">
        <v>7025</v>
      </c>
      <c r="AI165" s="810"/>
      <c r="AJ165" s="814" t="str">
        <f>nmProd1</f>
        <v>Greenborg</v>
      </c>
      <c r="AK165" s="793" t="str">
        <f>IF(INDEX(obalCh1Prod1Slot3Active,,xxIndexTeam)=1,INDEX(obalCh1Prod1Slot3Pack,,xxIndexTeam),"")</f>
        <v/>
      </c>
      <c r="AL165" s="811" t="s">
        <v>7026</v>
      </c>
      <c r="AM165" s="554"/>
      <c r="AN165" s="720"/>
      <c r="AO165" s="817">
        <f>IF(INDEX(obalCh1Prod3Slot1Active,,xxIndexTeam)=1,INDEX(obalCh1Prod3Slot1CustPrice,,xxIndexTeam),"")</f>
        <v>7.6</v>
      </c>
      <c r="AP165" s="584" t="s">
        <v>7163</v>
      </c>
      <c r="AQ165" s="554" t="str">
        <f>nmProd2</f>
        <v>Harken</v>
      </c>
      <c r="AR165" s="720" t="s">
        <v>4409</v>
      </c>
      <c r="AS165" s="827">
        <v>0.03</v>
      </c>
      <c r="AT165" s="584" t="s">
        <v>7366</v>
      </c>
      <c r="AU165" s="802"/>
      <c r="AV165" s="802"/>
    </row>
    <row r="166" spans="5:48">
      <c r="AD166"/>
      <c r="AE166" s="810"/>
      <c r="AF166" s="814" t="str">
        <f>nmProd4</f>
        <v>Brew Master</v>
      </c>
      <c r="AG166" s="793" t="str">
        <f>IF(INDEX(obalCh1Prod4Slot1Active,,xxIndexTeam)=1,INDEX(obalCh1Prod4Slot1Pack,,xxIndexTeam),"")</f>
        <v/>
      </c>
      <c r="AH166" s="811" t="s">
        <v>7027</v>
      </c>
      <c r="AI166" s="810"/>
      <c r="AJ166" s="814" t="str">
        <f>nmProd4</f>
        <v>Brew Master</v>
      </c>
      <c r="AK166" s="793" t="str">
        <f>IF(INDEX(obalCh1Prod4Slot1Active,,xxIndexTeam)=1,INDEX(obalCh1Prod4Slot1Pack,,xxIndexTeam),"")</f>
        <v/>
      </c>
      <c r="AL166" s="811" t="s">
        <v>7028</v>
      </c>
      <c r="AM166" s="554"/>
      <c r="AN166" s="720"/>
      <c r="AO166" s="817">
        <f>IF(INDEX(obalCh1Prod3Slot1Active,,xxIndexTeam)=1,INDEX(obalCh1Prod3Slot1AvgPrice,,xxIndexTeam),"")</f>
        <v>7.1564585891958119</v>
      </c>
      <c r="AP166" s="584" t="s">
        <v>7167</v>
      </c>
      <c r="AQ166" s="554"/>
      <c r="AR166" s="720" t="s">
        <v>4408</v>
      </c>
      <c r="AS166" s="827">
        <v>0.03</v>
      </c>
      <c r="AT166" s="584" t="s">
        <v>7367</v>
      </c>
      <c r="AU166" s="802"/>
      <c r="AV166" s="802"/>
    </row>
    <row r="167" spans="5:48">
      <c r="AD167"/>
      <c r="AE167" s="810"/>
      <c r="AF167" s="814" t="str">
        <f>nmProd4</f>
        <v>Brew Master</v>
      </c>
      <c r="AG167" s="793" t="str">
        <f>IF(INDEX(obalCh1Prod4Slot2Active,,xxIndexTeam)=1,INDEX(obalCh1Prod4Slot2Pack,,xxIndexTeam),"")</f>
        <v/>
      </c>
      <c r="AH167" s="811" t="s">
        <v>7029</v>
      </c>
      <c r="AI167" s="810"/>
      <c r="AJ167" s="814" t="str">
        <f>nmProd4</f>
        <v>Brew Master</v>
      </c>
      <c r="AK167" s="793" t="str">
        <f>IF(INDEX(obalCh1Prod4Slot2Active,,xxIndexTeam)=1,INDEX(obalCh1Prod4Slot2Pack,,xxIndexTeam),"")</f>
        <v/>
      </c>
      <c r="AL167" s="811" t="s">
        <v>7030</v>
      </c>
      <c r="AM167" s="554"/>
      <c r="AN167" s="720"/>
      <c r="AO167" s="817">
        <f>IF(INDEX(obalCh1Prod3Slot1Active,,xxIndexTeam)=1,INDEX(obalCh1Prod3Slot1AvgPromoPrice,,xxIndexTeam),"")</f>
        <v>5.0919999999999996</v>
      </c>
      <c r="AP167" s="584" t="s">
        <v>7171</v>
      </c>
      <c r="AQ167" s="554" t="str">
        <f>nmProd3</f>
        <v>Kara</v>
      </c>
      <c r="AR167" s="720" t="s">
        <v>4409</v>
      </c>
      <c r="AS167" s="827">
        <v>0.02</v>
      </c>
      <c r="AT167" s="584" t="s">
        <v>7368</v>
      </c>
      <c r="AU167" s="802"/>
      <c r="AV167" s="802"/>
    </row>
    <row r="168" spans="5:48">
      <c r="AD168"/>
      <c r="AE168" s="810"/>
      <c r="AF168" s="814" t="str">
        <f>nmProd4</f>
        <v>Brew Master</v>
      </c>
      <c r="AG168" s="793" t="str">
        <f>IF(INDEX(obalCh1Prod4Slot3Active,,xxIndexTeam)=1,INDEX(obalCh1Prod4Slot3Pack,,xxIndexTeam),"")</f>
        <v/>
      </c>
      <c r="AH168" s="811" t="s">
        <v>7031</v>
      </c>
      <c r="AI168" s="810"/>
      <c r="AJ168" s="814" t="str">
        <f>nmProd4</f>
        <v>Brew Master</v>
      </c>
      <c r="AK168" s="793" t="str">
        <f>IF(INDEX(obalCh1Prod4Slot3Active,,xxIndexTeam)=1,INDEX(obalCh1Prod4Slot3Pack,,xxIndexTeam),"")</f>
        <v/>
      </c>
      <c r="AL168" s="811" t="s">
        <v>7032</v>
      </c>
      <c r="AM168" s="554"/>
      <c r="AN168" s="814" t="str">
        <f>nmProd3&amp;" Slot2"</f>
        <v>Kara Slot2</v>
      </c>
      <c r="AO168" s="818" t="str">
        <f>IF(INDEX(obalCh1Prod3Slot2Active,,xxIndexTeam)=1,nmProd3&amp;" - "&amp;INDEX(obalCh1Prod3Slot2Pack,,xxIndexTeam),"")</f>
        <v>Kara - 6 x 33cl Can</v>
      </c>
      <c r="AP168" s="811" t="s">
        <v>7174</v>
      </c>
      <c r="AQ168" s="554"/>
      <c r="AR168" s="720" t="s">
        <v>4408</v>
      </c>
      <c r="AS168" s="827">
        <v>0.02</v>
      </c>
      <c r="AT168" s="584" t="s">
        <v>7369</v>
      </c>
      <c r="AU168" s="802"/>
      <c r="AV168" s="802"/>
    </row>
    <row r="169" spans="5:48" s="802" customFormat="1">
      <c r="E169" s="805"/>
      <c r="AD169" s="800"/>
      <c r="AE169" s="810"/>
      <c r="AF169" s="814"/>
      <c r="AG169" s="793"/>
      <c r="AH169" s="811"/>
      <c r="AI169" s="810"/>
      <c r="AJ169" s="814"/>
      <c r="AK169" s="793"/>
      <c r="AL169" s="811"/>
      <c r="AM169" s="554"/>
      <c r="AN169" s="720"/>
      <c r="AO169" s="817">
        <f>IF(INDEX(obalCh1Prod3Slot2Active,,xxIndexTeam)=1,INDEX(obalCh1Prod3Slot2CustPrice,,xxIndexTeam),"")</f>
        <v>7.68</v>
      </c>
      <c r="AP169" s="584" t="s">
        <v>7178</v>
      </c>
      <c r="AQ169" s="554" t="str">
        <f>nmProd4</f>
        <v>Brew Master</v>
      </c>
      <c r="AR169" s="720" t="s">
        <v>4409</v>
      </c>
      <c r="AS169" s="827">
        <v>0.04</v>
      </c>
      <c r="AT169" s="584" t="s">
        <v>7370</v>
      </c>
    </row>
    <row r="170" spans="5:48" ht="15" thickBot="1">
      <c r="AD170"/>
      <c r="AE170" s="797" t="s">
        <v>3674</v>
      </c>
      <c r="AF170" s="814"/>
      <c r="AG170" s="814"/>
      <c r="AH170" s="811"/>
      <c r="AI170" s="797" t="s">
        <v>295</v>
      </c>
      <c r="AJ170" s="814"/>
      <c r="AK170" s="814"/>
      <c r="AL170" s="811"/>
      <c r="AM170" s="554"/>
      <c r="AN170" s="720"/>
      <c r="AO170" s="817">
        <f>IF(INDEX(obalCh1Prod3Slot2Active,,xxIndexTeam)=1,INDEX(obalCh1Prod3Slot2AvgPrice,,xxIndexTeam),"")</f>
        <v>7.4481940747854525</v>
      </c>
      <c r="AP170" s="584" t="s">
        <v>7180</v>
      </c>
      <c r="AQ170" s="554"/>
      <c r="AR170" s="720" t="s">
        <v>4408</v>
      </c>
      <c r="AS170" s="830">
        <v>0.04</v>
      </c>
      <c r="AT170" s="584" t="s">
        <v>7371</v>
      </c>
      <c r="AU170" s="802"/>
      <c r="AV170" s="802"/>
    </row>
    <row r="171" spans="5:48">
      <c r="AD171"/>
      <c r="AE171" s="810"/>
      <c r="AG171" s="793" t="s">
        <v>1406</v>
      </c>
      <c r="AH171" s="811" t="s">
        <v>7033</v>
      </c>
      <c r="AI171" s="810"/>
      <c r="AJ171" s="802"/>
      <c r="AK171" s="793" t="s">
        <v>295</v>
      </c>
      <c r="AL171" s="811" t="s">
        <v>7034</v>
      </c>
      <c r="AM171" s="554"/>
      <c r="AN171" s="720"/>
      <c r="AO171" s="817">
        <f>IF(INDEX(obalCh1Prod3Slot2Active,,xxIndexTeam)=1,INDEX(obalCh1Prod3Slot2AvgPromoPrice,,xxIndexTeam),"")</f>
        <v>6.1440000000000001</v>
      </c>
      <c r="AP171" s="584" t="s">
        <v>7182</v>
      </c>
      <c r="AQ171" s="832" t="str">
        <f>nmSeg2</f>
        <v>Celebrating &amp; Fun</v>
      </c>
      <c r="AR171" s="720"/>
      <c r="AS171" s="720"/>
      <c r="AT171" s="584"/>
      <c r="AU171" s="802"/>
      <c r="AV171" s="802"/>
    </row>
    <row r="172" spans="5:48" ht="15" thickBot="1">
      <c r="AD172"/>
      <c r="AE172" s="810"/>
      <c r="AF172" s="814" t="str">
        <f>nmProd2</f>
        <v>Harken</v>
      </c>
      <c r="AG172" s="794">
        <f>IF(INDEX(obalCh1Prod2Slot1Active,,xxIndexTeam)=1,INDEX(obalCh1Prod2Slot1WD,,xxIndexTeam),"")</f>
        <v>0.73857142857142843</v>
      </c>
      <c r="AH172" s="811" t="s">
        <v>7035</v>
      </c>
      <c r="AI172" s="810"/>
      <c r="AJ172" s="814" t="str">
        <f>nmProd2</f>
        <v>Harken</v>
      </c>
      <c r="AK172" s="799">
        <f>IF(INDEX(obalCh1Prod2Slot1Active,,xxIndexTeam)=1,INDEX(obalCh1Prod2Slot1SoldVol,,xxIndexTeam),"")</f>
        <v>78519084.938043952</v>
      </c>
      <c r="AL172" s="811" t="s">
        <v>7036</v>
      </c>
      <c r="AM172" s="554"/>
      <c r="AN172" s="814" t="str">
        <f>nmProd3&amp;" Slot3"</f>
        <v>Kara Slot3</v>
      </c>
      <c r="AO172" s="818" t="str">
        <f>IF(INDEX(obalCh1Prod3Slot3Active,,xxIndexTeam)=1,nmProd3&amp;" - "&amp;INDEX(obalCh1Prod3Slot3Pack,,xxIndexTeam),"")</f>
        <v/>
      </c>
      <c r="AP172" s="811" t="s">
        <v>7186</v>
      </c>
      <c r="AQ172" s="554"/>
      <c r="AR172" s="720"/>
      <c r="AS172" s="530" t="s">
        <v>295</v>
      </c>
      <c r="AT172" s="584"/>
      <c r="AU172" s="802"/>
      <c r="AV172" s="802"/>
    </row>
    <row r="173" spans="5:48">
      <c r="AD173"/>
      <c r="AE173" s="810"/>
      <c r="AF173" s="814" t="str">
        <f>nmProd2</f>
        <v>Harken</v>
      </c>
      <c r="AG173" s="794">
        <f>IF(INDEX(obalCh1Prod2Slot2Active,,xxIndexTeam)=1,INDEX(obalCh1Prod2Slot2WD,,xxIndexTeam),"")</f>
        <v>0.83857142857142852</v>
      </c>
      <c r="AH173" s="811" t="s">
        <v>7037</v>
      </c>
      <c r="AI173" s="810"/>
      <c r="AJ173" s="814" t="str">
        <f>nmProd2</f>
        <v>Harken</v>
      </c>
      <c r="AK173" s="799">
        <f>IF(INDEX(obalCh1Prod2Slot2Active,,xxIndexTeam)=1,INDEX(obalCh1Prod2Slot2SoldVol,,xxIndexTeam),"")</f>
        <v>100177518.30857961</v>
      </c>
      <c r="AL173" s="811" t="s">
        <v>7038</v>
      </c>
      <c r="AM173" s="554"/>
      <c r="AN173" s="720"/>
      <c r="AO173" s="817" t="str">
        <f>IF(INDEX(obalCh1Prod3Slot3Active,,xxIndexTeam)=1,INDEX(obalCh1Prod3Slot3CustPrice,,xxIndexTeam),"")</f>
        <v/>
      </c>
      <c r="AP173" s="584" t="s">
        <v>7190</v>
      </c>
      <c r="AQ173" s="554" t="str">
        <f>nmProd1</f>
        <v>Greenborg</v>
      </c>
      <c r="AR173" s="720" t="s">
        <v>4409</v>
      </c>
      <c r="AS173" s="824">
        <v>291000000</v>
      </c>
      <c r="AT173" s="584" t="s">
        <v>7356</v>
      </c>
      <c r="AU173" s="802"/>
      <c r="AV173" s="802"/>
    </row>
    <row r="174" spans="5:48">
      <c r="AD174"/>
      <c r="AE174" s="810"/>
      <c r="AF174" s="814" t="str">
        <f>nmProd2</f>
        <v>Harken</v>
      </c>
      <c r="AG174" s="794" t="str">
        <f>IF(INDEX(obalCh1Prod2Slot3Active,,xxIndexTeam)=1,INDEX(obalCh1Prod2Slot3WD,,xxIndexTeam),"")</f>
        <v/>
      </c>
      <c r="AH174" s="811" t="s">
        <v>7039</v>
      </c>
      <c r="AI174" s="810"/>
      <c r="AJ174" s="814" t="str">
        <f>nmProd2</f>
        <v>Harken</v>
      </c>
      <c r="AK174" s="799" t="str">
        <f>IF(INDEX(obalCh1Prod2Slot3Active,,xxIndexTeam)=1,INDEX(obalCh1Prod2Slot3SoldVol,,xxIndexTeam),"")</f>
        <v/>
      </c>
      <c r="AL174" s="811" t="s">
        <v>7040</v>
      </c>
      <c r="AM174" s="554"/>
      <c r="AN174" s="720"/>
      <c r="AO174" s="817" t="str">
        <f>IF(INDEX(obalCh1Prod3Slot3Active,,xxIndexTeam)=1,INDEX(obalCh1Prod3Slot3AvgPrice,,xxIndexTeam),"")</f>
        <v/>
      </c>
      <c r="AP174" s="584" t="s">
        <v>7194</v>
      </c>
      <c r="AQ174" s="554"/>
      <c r="AR174" s="720" t="s">
        <v>4408</v>
      </c>
      <c r="AS174" s="815">
        <f>AS173*0.2</f>
        <v>58200000</v>
      </c>
      <c r="AT174" s="584" t="s">
        <v>7357</v>
      </c>
      <c r="AU174" s="802"/>
      <c r="AV174" s="802"/>
    </row>
    <row r="175" spans="5:48">
      <c r="AD175"/>
      <c r="AE175" s="810"/>
      <c r="AF175" s="814" t="str">
        <f>nmProd3</f>
        <v>Kara</v>
      </c>
      <c r="AG175" s="794">
        <f>IF(INDEX(obalCh1Prod3Slot1Active,,xxIndexTeam)=1,INDEX(obalCh1Prod3Slot1WD,,xxIndexTeam),"")</f>
        <v>0.63857142857142857</v>
      </c>
      <c r="AH175" s="811" t="s">
        <v>7041</v>
      </c>
      <c r="AI175" s="810"/>
      <c r="AJ175" s="814" t="str">
        <f>nmProd3</f>
        <v>Kara</v>
      </c>
      <c r="AK175" s="799">
        <f>IF(INDEX(obalCh1Prod3Slot1Active,,xxIndexTeam)=1,INDEX(obalCh1Prod3Slot1SoldVol,,xxIndexTeam),"")</f>
        <v>45342586.041080847</v>
      </c>
      <c r="AL175" s="811" t="s">
        <v>7042</v>
      </c>
      <c r="AM175" s="554"/>
      <c r="AN175" s="720"/>
      <c r="AO175" s="817" t="str">
        <f>IF(INDEX(obalCh1Prod3Slot3Active,,xxIndexTeam)=1,INDEX(obalCh1Prod3Slot3AvgPromoPrice,,xxIndexTeam),"")</f>
        <v/>
      </c>
      <c r="AP175" s="584" t="s">
        <v>7198</v>
      </c>
      <c r="AQ175" s="554" t="str">
        <f>nmProd2</f>
        <v>Harken</v>
      </c>
      <c r="AR175" s="720" t="s">
        <v>4409</v>
      </c>
      <c r="AS175" s="815">
        <v>145500000</v>
      </c>
      <c r="AT175" s="584" t="s">
        <v>7358</v>
      </c>
      <c r="AU175" s="802"/>
      <c r="AV175" s="802"/>
    </row>
    <row r="176" spans="5:48">
      <c r="AD176"/>
      <c r="AE176" s="810"/>
      <c r="AF176" s="814" t="str">
        <f>nmProd3</f>
        <v>Kara</v>
      </c>
      <c r="AG176" s="794">
        <f>IF(INDEX(obalCh1Prod3Slot2Active,,xxIndexTeam)=1,INDEX(obalCh1Prod3Slot2WD,,xxIndexTeam),"")</f>
        <v>0.83857142857142852</v>
      </c>
      <c r="AH176" s="811" t="s">
        <v>7043</v>
      </c>
      <c r="AI176" s="810"/>
      <c r="AJ176" s="814" t="str">
        <f>nmProd3</f>
        <v>Kara</v>
      </c>
      <c r="AK176" s="799">
        <f>IF(INDEX(obalCh1Prod3Slot2Active,,xxIndexTeam)=1,INDEX(obalCh1Prod3Slot1SoldVol,,xxIndexTeam),"")</f>
        <v>45342586.041080847</v>
      </c>
      <c r="AL176" s="811" t="s">
        <v>7044</v>
      </c>
      <c r="AM176" s="554"/>
      <c r="AN176" s="814" t="str">
        <f>nmProd1&amp;" Slot1"</f>
        <v>Greenborg Slot1</v>
      </c>
      <c r="AO176" s="818" t="str">
        <f>IF(INDEX(obalCh1Prod1Slot1Active,,xxIndexTeam)=1,nmProd1&amp;" - "&amp;INDEX(obalCh1Prod1Slot1Pack,,xxIndexTeam),0)</f>
        <v>Greenborg - 24 x 33cl Can</v>
      </c>
      <c r="AP176" s="811" t="s">
        <v>7202</v>
      </c>
      <c r="AQ176" s="554"/>
      <c r="AR176" s="720" t="s">
        <v>4408</v>
      </c>
      <c r="AS176" s="815">
        <f>AS175*0.2</f>
        <v>29100000</v>
      </c>
      <c r="AT176" s="584" t="s">
        <v>7359</v>
      </c>
      <c r="AU176" s="802"/>
      <c r="AV176" s="802"/>
    </row>
    <row r="177" spans="5:48">
      <c r="AB177" s="802"/>
      <c r="AD177"/>
      <c r="AE177" s="810"/>
      <c r="AF177" s="814" t="str">
        <f>nmProd3</f>
        <v>Kara</v>
      </c>
      <c r="AG177" s="794" t="str">
        <f>IF(INDEX(obalCh1Prod3Slot3Active,,xxIndexTeam)=1,INDEX(obalCh1Prod3Slot3WD,,xxIndexTeam),"")</f>
        <v/>
      </c>
      <c r="AH177" s="811" t="s">
        <v>7045</v>
      </c>
      <c r="AI177" s="810"/>
      <c r="AJ177" s="814" t="str">
        <f>nmProd3</f>
        <v>Kara</v>
      </c>
      <c r="AK177" s="799" t="str">
        <f>IF(INDEX(obalCh1Prod3Slot3Active,,xxIndexTeam)=1,INDEX(obalCh1Prod3Slot3SoldVol,,xxIndexTeam),"")</f>
        <v/>
      </c>
      <c r="AL177" s="811" t="s">
        <v>7046</v>
      </c>
      <c r="AM177" s="554"/>
      <c r="AN177" s="720"/>
      <c r="AO177" s="817">
        <f>IF(INDEX(obalCh1Prod1Slot1Active,,xxIndexTeam)=1,INDEX(obalCh1Prod1Slot1CustPrice,,xxIndexTeam),"")</f>
        <v>7.7</v>
      </c>
      <c r="AP177" s="584" t="s">
        <v>7206</v>
      </c>
      <c r="AQ177" s="554" t="str">
        <f>nmProd3</f>
        <v>Kara</v>
      </c>
      <c r="AR177" s="720" t="s">
        <v>4409</v>
      </c>
      <c r="AS177" s="815">
        <v>242500000</v>
      </c>
      <c r="AT177" s="584" t="s">
        <v>7360</v>
      </c>
      <c r="AU177" s="802"/>
      <c r="AV177" s="802"/>
    </row>
    <row r="178" spans="5:48">
      <c r="AD178" s="800"/>
      <c r="AE178" s="810"/>
      <c r="AF178" s="814" t="str">
        <f>nmProd1</f>
        <v>Greenborg</v>
      </c>
      <c r="AG178" s="794">
        <f>IF(INDEX(obalCh1Prod1Slot1Active,,xxIndexTeam)=1,INDEX(obalCh1Prod1Slot1WD,,xxIndexTeam),"")</f>
        <v>0.73857142857142843</v>
      </c>
      <c r="AH178" s="811" t="s">
        <v>7047</v>
      </c>
      <c r="AI178" s="810"/>
      <c r="AJ178" s="814" t="str">
        <f>nmProd1</f>
        <v>Greenborg</v>
      </c>
      <c r="AK178" s="799">
        <f>IF(INDEX(obalCh1Prod1Slot1Active,,xxIndexTeam)=1,INDEX(obalCh1Prod1Slot1SoldVol,,xxIndexTeam),"")</f>
        <v>57888456.11718937</v>
      </c>
      <c r="AL178" s="811" t="s">
        <v>7048</v>
      </c>
      <c r="AM178" s="554"/>
      <c r="AN178" s="720"/>
      <c r="AO178" s="817">
        <f>IF(INDEX(obalCh1Prod1Slot1Active,,xxIndexTeam)=1,INDEX(obalCh1Prod1Slot1AvgPrice,,xxIndexTeam),"")</f>
        <v>6.5011992257350766</v>
      </c>
      <c r="AP178" s="584" t="s">
        <v>7210</v>
      </c>
      <c r="AQ178" s="554"/>
      <c r="AR178" s="720" t="s">
        <v>4408</v>
      </c>
      <c r="AS178" s="815">
        <f>AS177*0.2</f>
        <v>48500000</v>
      </c>
      <c r="AT178" s="584" t="s">
        <v>7361</v>
      </c>
      <c r="AU178" s="802"/>
      <c r="AV178" s="802"/>
    </row>
    <row r="179" spans="5:48">
      <c r="AD179" s="800"/>
      <c r="AE179" s="810"/>
      <c r="AF179" s="814" t="str">
        <f>nmProd1</f>
        <v>Greenborg</v>
      </c>
      <c r="AG179" s="794" t="str">
        <f>IF(INDEX(obalCh1Prod1Slot2Active,,xxIndexTeam)=1,INDEX(obalCh1Prod1Slot2WD,,xxIndexTeam),"")</f>
        <v/>
      </c>
      <c r="AH179" s="811" t="s">
        <v>7049</v>
      </c>
      <c r="AI179" s="810"/>
      <c r="AJ179" s="814" t="str">
        <f>nmProd1</f>
        <v>Greenborg</v>
      </c>
      <c r="AK179" s="799" t="str">
        <f>IF(INDEX(obalCh1Prod1Slot2Active,,xxIndexTeam)=1,INDEX(obalCh1Prod1Slot2SoldVol,,xxIndexTeam),"")</f>
        <v/>
      </c>
      <c r="AL179" s="811" t="s">
        <v>7050</v>
      </c>
      <c r="AM179" s="554"/>
      <c r="AN179" s="720"/>
      <c r="AO179" s="817">
        <f>IF(INDEX(obalCh1Prod1Slot1Active,,xxIndexTeam)=1,INDEX(obalCh1Prod1Slot1AvgPromoPrice,,xxIndexTeam),"")</f>
        <v>5.4107798770760969</v>
      </c>
      <c r="AP179" s="584" t="s">
        <v>7214</v>
      </c>
      <c r="AQ179" s="554" t="str">
        <f>nmProd4</f>
        <v>Brew Master</v>
      </c>
      <c r="AR179" s="720" t="s">
        <v>4409</v>
      </c>
      <c r="AS179" s="815">
        <v>291000000</v>
      </c>
      <c r="AT179" s="584" t="s">
        <v>7362</v>
      </c>
      <c r="AU179" s="802"/>
      <c r="AV179" s="802"/>
    </row>
    <row r="180" spans="5:48" ht="15" thickBot="1">
      <c r="AD180" s="800"/>
      <c r="AE180" s="810"/>
      <c r="AF180" s="814" t="str">
        <f>nmProd1</f>
        <v>Greenborg</v>
      </c>
      <c r="AG180" s="794" t="str">
        <f>IF(INDEX(obalCh1Prod1Slot3Active,,xxIndexTeam)=1,INDEX(obalCh1Prod1Slot3WD,,xxIndexTeam),"")</f>
        <v/>
      </c>
      <c r="AH180" s="811" t="s">
        <v>7051</v>
      </c>
      <c r="AI180" s="810"/>
      <c r="AJ180" s="814" t="str">
        <f>nmProd1</f>
        <v>Greenborg</v>
      </c>
      <c r="AK180" s="799" t="str">
        <f>IF(INDEX(obalCh1Prod1Slot3Active,,xxIndexTeam)=1,INDEX(obalCh1Prod1Slot3SoldVol,,xxIndexTeam),"")</f>
        <v/>
      </c>
      <c r="AL180" s="811" t="s">
        <v>7052</v>
      </c>
      <c r="AM180" s="554"/>
      <c r="AN180" s="814" t="str">
        <f>nmProd1&amp;" Slot2"</f>
        <v>Greenborg Slot2</v>
      </c>
      <c r="AO180" s="818" t="str">
        <f>IF(INDEX(obalCh1Prod1Slot2Active,,xxIndexTeam)=1,nmProd1&amp;" - "&amp;INDEX(obalCh1Prod1Slot2Pack,,xxIndexTeam),"")</f>
        <v/>
      </c>
      <c r="AP180" s="811" t="s">
        <v>7218</v>
      </c>
      <c r="AQ180" s="554"/>
      <c r="AR180" s="720" t="s">
        <v>4408</v>
      </c>
      <c r="AS180" s="816">
        <f>AS179*0.2</f>
        <v>58200000</v>
      </c>
      <c r="AT180" s="584" t="s">
        <v>7363</v>
      </c>
      <c r="AU180" s="802"/>
      <c r="AV180" s="802"/>
    </row>
    <row r="181" spans="5:48">
      <c r="AD181" s="800"/>
      <c r="AE181" s="810"/>
      <c r="AF181" s="814" t="str">
        <f>nmProd4</f>
        <v>Brew Master</v>
      </c>
      <c r="AG181" s="794" t="str">
        <f>IF(INDEX(obalCh1Prod4Slot1Active,,xxIndexTeam)=1,INDEX(obalCh1Prod4Slot1WD,,xxIndexTeam),"")</f>
        <v/>
      </c>
      <c r="AH181" s="811" t="s">
        <v>7053</v>
      </c>
      <c r="AI181" s="810"/>
      <c r="AJ181" s="814" t="str">
        <f>nmProd4</f>
        <v>Brew Master</v>
      </c>
      <c r="AK181" s="799" t="str">
        <f>IF(INDEX(obalCh1Prod4Slot1Active,,xxIndexTeam)=1,INDEX(obalCh1Prod4Slot1SoldVol,,xxIndexTeam),"")</f>
        <v/>
      </c>
      <c r="AL181" s="811" t="s">
        <v>7054</v>
      </c>
      <c r="AM181" s="554"/>
      <c r="AN181" s="720"/>
      <c r="AO181" s="817" t="str">
        <f>IF(INDEX(obalCh1Prod1Slot2Active,,xxIndexTeam)=1,INDEX(obalCh1Prod1Slot2CustPrice,,xxIndexTeam),"")</f>
        <v/>
      </c>
      <c r="AP181" s="584" t="s">
        <v>7221</v>
      </c>
      <c r="AQ181" s="554"/>
      <c r="AR181" s="720"/>
      <c r="AS181" s="720"/>
      <c r="AT181" s="584"/>
      <c r="AU181" s="802"/>
      <c r="AV181" s="802"/>
    </row>
    <row r="182" spans="5:48" ht="15" thickBot="1">
      <c r="AD182" s="800"/>
      <c r="AE182" s="810"/>
      <c r="AF182" s="814" t="str">
        <f>nmProd4</f>
        <v>Brew Master</v>
      </c>
      <c r="AG182" s="794" t="str">
        <f>IF(INDEX(obalCh1Prod4Slot2Active,,xxIndexTeam)=1,INDEX(obalCh1Prod4Slot2WD,,xxIndexTeam),"")</f>
        <v/>
      </c>
      <c r="AH182" s="811" t="s">
        <v>7055</v>
      </c>
      <c r="AI182" s="810"/>
      <c r="AJ182" s="814" t="str">
        <f>nmProd4</f>
        <v>Brew Master</v>
      </c>
      <c r="AK182" s="799" t="str">
        <f>IF(INDEX(obalCh1Prod4Slot2Active,,xxIndexTeam)=1,INDEX(obalCh1Prod4Slot2SoldVol,,xxIndexTeam),"")</f>
        <v/>
      </c>
      <c r="AL182" s="811" t="s">
        <v>7056</v>
      </c>
      <c r="AM182" s="554"/>
      <c r="AN182" s="720"/>
      <c r="AO182" s="817" t="str">
        <f>IF(INDEX(obalCh1Prod1Slot2Active,,xxIndexTeam)=1,INDEX(obalCh1Prod1Slot2AvgPrice,,xxIndexTeam),"")</f>
        <v/>
      </c>
      <c r="AP182" s="584" t="s">
        <v>7225</v>
      </c>
      <c r="AQ182" s="554"/>
      <c r="AR182" s="720"/>
      <c r="AS182" s="530" t="s">
        <v>6997</v>
      </c>
      <c r="AT182" s="584"/>
      <c r="AU182" s="802"/>
      <c r="AV182" s="802"/>
    </row>
    <row r="183" spans="5:48">
      <c r="AD183" s="800"/>
      <c r="AE183" s="810"/>
      <c r="AF183" s="814" t="str">
        <f>nmProd4</f>
        <v>Brew Master</v>
      </c>
      <c r="AG183" s="794" t="str">
        <f>IF(INDEX(obalCh1Prod4Slot3Active,,xxIndexTeam)=1,INDEX(obalCh1Prod4Slot3WD,,xxIndexTeam),"")</f>
        <v/>
      </c>
      <c r="AH183" s="811" t="s">
        <v>7057</v>
      </c>
      <c r="AI183" s="810"/>
      <c r="AJ183" s="814" t="str">
        <f>nmProd4</f>
        <v>Brew Master</v>
      </c>
      <c r="AK183" s="799" t="str">
        <f>IF(INDEX(obalCh1Prod4Slot3Active,,xxIndexTeam)=1,INDEX(obalCh1Prod4Slot3SoldVol,,xxIndexTeam),"")</f>
        <v/>
      </c>
      <c r="AL183" s="811" t="s">
        <v>7058</v>
      </c>
      <c r="AM183" s="554"/>
      <c r="AN183" s="720"/>
      <c r="AO183" s="817" t="str">
        <f>IF(INDEX(obalCh1Prod1Slot2Active,,xxIndexTeam)=1,INDEX(obalCh1Prod1Slot2AvgPromoPrice,,xxIndexTeam),"")</f>
        <v/>
      </c>
      <c r="AP183" s="584" t="s">
        <v>7229</v>
      </c>
      <c r="AQ183" s="554" t="str">
        <f>nmProd1</f>
        <v>Greenborg</v>
      </c>
      <c r="AR183" s="720" t="s">
        <v>4409</v>
      </c>
      <c r="AS183" s="823">
        <v>0.06</v>
      </c>
      <c r="AT183" s="584" t="s">
        <v>7348</v>
      </c>
      <c r="AU183" s="802"/>
      <c r="AV183" s="802"/>
    </row>
    <row r="184" spans="5:48" s="802" customFormat="1">
      <c r="E184" s="805"/>
      <c r="AD184" s="800"/>
      <c r="AE184" s="810"/>
      <c r="AF184" s="814"/>
      <c r="AG184" s="794"/>
      <c r="AH184" s="811"/>
      <c r="AI184" s="810"/>
      <c r="AJ184" s="814"/>
      <c r="AK184" s="794"/>
      <c r="AL184" s="811"/>
      <c r="AM184" s="554"/>
      <c r="AN184" s="814" t="str">
        <f>nmProd1&amp;" Slot3"</f>
        <v>Greenborg Slot3</v>
      </c>
      <c r="AO184" s="818" t="str">
        <f>IF(INDEX(obalCh1Prod1Slot3Active,,xxIndexTeam)=1,nmProd1&amp;" - "&amp;INDEX(obalCh1Prod1Slot3Pack,,xxIndexTeam),"")</f>
        <v/>
      </c>
      <c r="AP184" s="811" t="s">
        <v>7233</v>
      </c>
      <c r="AQ184" s="554"/>
      <c r="AR184" s="720" t="s">
        <v>4408</v>
      </c>
      <c r="AS184" s="827">
        <v>0.06</v>
      </c>
      <c r="AT184" s="584" t="s">
        <v>7349</v>
      </c>
    </row>
    <row r="185" spans="5:48">
      <c r="AD185" s="800"/>
      <c r="AE185" s="797" t="s">
        <v>4407</v>
      </c>
      <c r="AF185" s="814"/>
      <c r="AG185" s="795"/>
      <c r="AH185" s="811"/>
      <c r="AI185" s="797" t="s">
        <v>151</v>
      </c>
      <c r="AJ185" s="814"/>
      <c r="AK185" s="795"/>
      <c r="AL185" s="811"/>
      <c r="AM185" s="554"/>
      <c r="AN185" s="720"/>
      <c r="AO185" s="817" t="str">
        <f>IF(INDEX(obalCh1Prod1Slot3Active,,xxIndexTeam)=1,INDEX(calcCh1Prod1Slot3CustPrice,,xxIndexTeam),"")</f>
        <v/>
      </c>
      <c r="AP185" s="584" t="s">
        <v>7235</v>
      </c>
      <c r="AQ185" s="554" t="str">
        <f>nmProd2</f>
        <v>Harken</v>
      </c>
      <c r="AR185" s="720" t="s">
        <v>4409</v>
      </c>
      <c r="AS185" s="827">
        <v>0.03</v>
      </c>
      <c r="AT185" s="584" t="s">
        <v>7350</v>
      </c>
      <c r="AU185" s="802"/>
      <c r="AV185" s="802"/>
    </row>
    <row r="186" spans="5:48">
      <c r="AD186" s="800"/>
      <c r="AE186" s="810"/>
      <c r="AG186" s="793" t="s">
        <v>4407</v>
      </c>
      <c r="AH186" s="811" t="s">
        <v>7059</v>
      </c>
      <c r="AI186" s="810"/>
      <c r="AK186" s="793" t="s">
        <v>151</v>
      </c>
      <c r="AL186" s="811" t="s">
        <v>7060</v>
      </c>
      <c r="AM186" s="554"/>
      <c r="AN186" s="720"/>
      <c r="AO186" s="817" t="str">
        <f>IF(INDEX(obalCh1Prod1Slot3Active,,xxIndexTeam)=1,INDEX(obalCh1Prod1Slot3AvgPrice,,xxIndexTeam),"")</f>
        <v/>
      </c>
      <c r="AP186" s="584" t="s">
        <v>7237</v>
      </c>
      <c r="AQ186" s="554"/>
      <c r="AR186" s="720" t="s">
        <v>4408</v>
      </c>
      <c r="AS186" s="827">
        <v>0.03</v>
      </c>
      <c r="AT186" s="584" t="s">
        <v>7351</v>
      </c>
      <c r="AU186" s="802"/>
      <c r="AV186" s="802"/>
    </row>
    <row r="187" spans="5:48">
      <c r="AD187" s="800"/>
      <c r="AE187" s="810"/>
      <c r="AF187" s="814" t="str">
        <f>nmProd2</f>
        <v>Harken</v>
      </c>
      <c r="AG187" s="798">
        <f>IF(INDEX(obalCh1Prod2Slot1Active,,xxIndexTeam)=1,INDEX(obalCh1Prod2Slot1GPaL,,xxIndexTeam)/tlOutputCh1Analytic1Chart1XValue1,"")</f>
        <v>279366730.97314632</v>
      </c>
      <c r="AH187" s="811" t="s">
        <v>7061</v>
      </c>
      <c r="AI187" s="810"/>
      <c r="AJ187" s="814" t="str">
        <f>nmProd2</f>
        <v>Harken</v>
      </c>
      <c r="AK187" s="533">
        <f>INDEX(calcCh1Prod2Slot1PriceDif,,xxIndexTeam)</f>
        <v>1.7813492619307384E-3</v>
      </c>
      <c r="AL187" s="811" t="s">
        <v>7062</v>
      </c>
      <c r="AM187" s="554"/>
      <c r="AN187" s="720"/>
      <c r="AO187" s="817" t="str">
        <f>IF(INDEX(obalCh1Prod1Slot3Active,,xxIndexTeam)=1,INDEX(obalCh1Prod1Slot3AvgPromoPrice,,xxIndexTeam),"")</f>
        <v/>
      </c>
      <c r="AP187" s="584" t="s">
        <v>7241</v>
      </c>
      <c r="AQ187" s="554" t="str">
        <f>nmProd3</f>
        <v>Kara</v>
      </c>
      <c r="AR187" s="720" t="s">
        <v>4409</v>
      </c>
      <c r="AS187" s="827">
        <v>0.05</v>
      </c>
      <c r="AT187" s="584" t="s">
        <v>7352</v>
      </c>
      <c r="AU187" s="802"/>
      <c r="AV187" s="802"/>
    </row>
    <row r="188" spans="5:48">
      <c r="AD188" s="800"/>
      <c r="AE188" s="810"/>
      <c r="AF188" s="814" t="str">
        <f>nmProd2</f>
        <v>Harken</v>
      </c>
      <c r="AG188" s="798">
        <f>IF(INDEX(obalCh1Prod2Slot2Active,,xxIndexTeam)=1,INDEX(obalCh1Prod2Slot2GPaL,,xxIndexTeam)/tlOutputCh1Analytic1Chart1XValue2,"")</f>
        <v>218386869.64650309</v>
      </c>
      <c r="AH188" s="811" t="s">
        <v>7063</v>
      </c>
      <c r="AI188" s="810"/>
      <c r="AJ188" s="814" t="str">
        <f>nmProd2</f>
        <v>Harken</v>
      </c>
      <c r="AK188" s="533" t="str">
        <f>INDEX(calcCh1Prod2Slot2PriceDif,,xxIndexTeam)</f>
        <v/>
      </c>
      <c r="AL188" s="811" t="s">
        <v>7064</v>
      </c>
      <c r="AM188" s="554"/>
      <c r="AN188" s="814" t="str">
        <f>nmProd4&amp;" Slot1"</f>
        <v>Brew Master Slot1</v>
      </c>
      <c r="AO188" s="818" t="str">
        <f>IF(INDEX(obalCh1Prod4Slot1Active,,xxIndexTeam)=1,nmProd4&amp;" - "&amp;INDEX(obalCh1Prod4Slot1Pack,,xxIndexTeam),"")</f>
        <v/>
      </c>
      <c r="AP188" s="811" t="s">
        <v>7245</v>
      </c>
      <c r="AQ188" s="554"/>
      <c r="AR188" s="720" t="s">
        <v>4408</v>
      </c>
      <c r="AS188" s="827">
        <v>0.05</v>
      </c>
      <c r="AT188" s="584" t="s">
        <v>7353</v>
      </c>
      <c r="AU188" s="802"/>
      <c r="AV188" s="802"/>
    </row>
    <row r="189" spans="5:48">
      <c r="AD189"/>
      <c r="AE189" s="810"/>
      <c r="AF189" s="814" t="str">
        <f>nmProd2</f>
        <v>Harken</v>
      </c>
      <c r="AG189" s="798" t="str">
        <f>IF(INDEX(obalCh1Prod2Slot3Active,,xxIndexTeam)=1,INDEX(obalCh1Prod2Slot3GPaL,,xxIndexTeam)/tlOutputCh1Analytic1Chart1XValue3,"")</f>
        <v/>
      </c>
      <c r="AH189" s="811" t="s">
        <v>7065</v>
      </c>
      <c r="AI189" s="810"/>
      <c r="AJ189" s="814" t="str">
        <f>nmProd2</f>
        <v>Harken</v>
      </c>
      <c r="AK189" s="533" t="str">
        <f>INDEX(calcCh1Prod2Slot3PriceDif,,xxIndexTeam)</f>
        <v/>
      </c>
      <c r="AL189" s="811" t="s">
        <v>7066</v>
      </c>
      <c r="AM189" s="554"/>
      <c r="AN189" s="720"/>
      <c r="AO189" s="817" t="str">
        <f>IF(INDEX(obalCh1Prod4Slot1Active,,xxIndexTeam)=1,INDEX(obalCh1Prod4Slot1CustPrice,,xxIndexTeam),"")</f>
        <v/>
      </c>
      <c r="AP189" s="584" t="s">
        <v>7249</v>
      </c>
      <c r="AQ189" s="554" t="str">
        <f>nmProd4</f>
        <v>Brew Master</v>
      </c>
      <c r="AR189" s="720" t="s">
        <v>4409</v>
      </c>
      <c r="AS189" s="827">
        <v>0.06</v>
      </c>
      <c r="AT189" s="584" t="s">
        <v>7354</v>
      </c>
      <c r="AU189" s="802"/>
      <c r="AV189" s="802"/>
    </row>
    <row r="190" spans="5:48" ht="15" thickBot="1">
      <c r="AD190"/>
      <c r="AE190" s="810"/>
      <c r="AF190" s="814" t="str">
        <f>nmProd3</f>
        <v>Kara</v>
      </c>
      <c r="AG190" s="798">
        <f>IF(INDEX(obalCh1Prod3Slot1Active,,xxIndexTeam)=1,INDEX(obalCh1Prod3Slot1GPaL,,xxIndexTeam)/tlOutputCh1Analytic1Chart1XValue4,"")</f>
        <v>151068283.38569051</v>
      </c>
      <c r="AH190" s="811" t="s">
        <v>7067</v>
      </c>
      <c r="AI190" s="810"/>
      <c r="AJ190" s="814" t="str">
        <f>nmProd3</f>
        <v>Kara</v>
      </c>
      <c r="AK190" s="533">
        <f>INDEX(calcCh1Prod3Slot1PriceDif,,xxIndexTeam)</f>
        <v>2.7801644047954936E-2</v>
      </c>
      <c r="AL190" s="811" t="s">
        <v>7068</v>
      </c>
      <c r="AM190" s="554"/>
      <c r="AN190" s="720"/>
      <c r="AO190" s="817" t="str">
        <f>IF(INDEX(obalCh1Prod4Slot1Active,,xxIndexTeam)=1,INDEX(obalCh1Prod4Slot1AvgPrice,,xxIndexTeam),"")</f>
        <v/>
      </c>
      <c r="AP190" s="584" t="s">
        <v>7253</v>
      </c>
      <c r="AQ190" s="554"/>
      <c r="AR190" s="720" t="s">
        <v>4408</v>
      </c>
      <c r="AS190" s="830">
        <v>0.06</v>
      </c>
      <c r="AT190" s="584" t="s">
        <v>7355</v>
      </c>
      <c r="AU190" s="802"/>
      <c r="AV190" s="802"/>
    </row>
    <row r="191" spans="5:48">
      <c r="AD191"/>
      <c r="AE191" s="810"/>
      <c r="AF191" s="814" t="str">
        <f>nmProd3</f>
        <v>Kara</v>
      </c>
      <c r="AG191" s="798">
        <f>IF(INDEX(obalCh1Prod3Slot2Active,,xxIndexTeam)=1,INDEX(obalCh1Prod3Slot2GPaL,,xxIndexTeam)/tlOutputCh1Analytic1Chart1XValue5,"")</f>
        <v>232852528.48019093</v>
      </c>
      <c r="AH191" s="811" t="s">
        <v>7069</v>
      </c>
      <c r="AI191" s="810"/>
      <c r="AJ191" s="814" t="str">
        <f>nmProd3</f>
        <v>Kara</v>
      </c>
      <c r="AK191" s="533">
        <f>INDEX(calcCh1Prod3Slot2PriceDif,,xxIndexTeam)</f>
        <v>-1.7733871827587438E-2</v>
      </c>
      <c r="AL191" s="811" t="s">
        <v>7070</v>
      </c>
      <c r="AM191" s="554"/>
      <c r="AN191" s="720"/>
      <c r="AO191" s="817" t="str">
        <f>IF(INDEX(obalCh1Prod4Slot1Active,,xxIndexTeam)=1,INDEX(obalCh1Prod4Slot1AvgPromoPrice,,xxIndexTeam),"")</f>
        <v/>
      </c>
      <c r="AP191" s="584" t="s">
        <v>7257</v>
      </c>
      <c r="AQ191" s="832" t="str">
        <f>nmSeg3</f>
        <v>Relax &amp; Unwind</v>
      </c>
      <c r="AR191" s="720"/>
      <c r="AS191" s="720"/>
      <c r="AT191" s="584"/>
      <c r="AU191" s="802"/>
      <c r="AV191" s="802"/>
    </row>
    <row r="192" spans="5:48" ht="15" thickBot="1">
      <c r="AD192"/>
      <c r="AE192" s="810"/>
      <c r="AF192" s="814" t="str">
        <f>nmProd3</f>
        <v>Kara</v>
      </c>
      <c r="AG192" s="798" t="str">
        <f>IF(INDEX(obalCh1Prod3Slot3Active,,xxIndexTeam)=1,INDEX(obalCh1Prod3Slot3GPaL,,xxIndexTeam)/tlOutputCh1Analytic1Chart1XValue6,"")</f>
        <v/>
      </c>
      <c r="AH192" s="811" t="s">
        <v>7071</v>
      </c>
      <c r="AI192" s="810"/>
      <c r="AJ192" s="814" t="str">
        <f>nmProd3</f>
        <v>Kara</v>
      </c>
      <c r="AK192" s="533" t="str">
        <f>INDEX(calcCh1Prod3Slot3PriceDif,,xxIndexTeam)</f>
        <v/>
      </c>
      <c r="AL192" s="811" t="s">
        <v>7072</v>
      </c>
      <c r="AM192" s="554"/>
      <c r="AN192" s="814" t="str">
        <f>nmProd4&amp;" Slot2"</f>
        <v>Brew Master Slot2</v>
      </c>
      <c r="AO192" s="818" t="str">
        <f>IF(INDEX(obalCh1Prod4Slot2Active,,xxIndexTeam)=1,nmProd4&amp;" - "&amp;INDEX(obalCh1Prod4Slot2Pack,,xxIndexTeam),"")</f>
        <v/>
      </c>
      <c r="AP192" s="811" t="s">
        <v>7261</v>
      </c>
      <c r="AQ192" s="554"/>
      <c r="AR192" s="720"/>
      <c r="AS192" s="530" t="s">
        <v>295</v>
      </c>
      <c r="AT192" s="584"/>
      <c r="AU192" s="802"/>
      <c r="AV192" s="802"/>
    </row>
    <row r="193" spans="30:48">
      <c r="AD193"/>
      <c r="AE193" s="810"/>
      <c r="AF193" s="814" t="str">
        <f>nmProd1</f>
        <v>Greenborg</v>
      </c>
      <c r="AG193" s="798">
        <f>IF(INDEX(obalCh1Prod1Slot1Active,,xxIndexTeam)=1,INDEX(obalCh1Prod1Slot1GPaL,,xxIndexTeam)/tlOutputCh1Analytic1Chart1XValue7,"")</f>
        <v>124452509.10984084</v>
      </c>
      <c r="AH193" s="811" t="s">
        <v>7073</v>
      </c>
      <c r="AI193" s="810"/>
      <c r="AJ193" s="814" t="str">
        <f>nmProd1</f>
        <v>Greenborg</v>
      </c>
      <c r="AK193" s="533">
        <f>INDEX(calcCh1Prod1Slot1PriceDif,,xxIndexTeam)</f>
        <v>-1.1228798131081418E-2</v>
      </c>
      <c r="AL193" s="811" t="s">
        <v>7074</v>
      </c>
      <c r="AM193" s="554"/>
      <c r="AN193" s="720"/>
      <c r="AO193" s="817" t="str">
        <f>IF(INDEX(obalCh1Prod4Slot2Active,,xxIndexTeam)=1,INDEX(obalCh1Prod4Slot2CustPrice,,xxIndexTeam),"")</f>
        <v/>
      </c>
      <c r="AP193" s="584" t="s">
        <v>7265</v>
      </c>
      <c r="AQ193" s="554" t="str">
        <f>nmProd1</f>
        <v>Greenborg</v>
      </c>
      <c r="AR193" s="720" t="s">
        <v>4409</v>
      </c>
      <c r="AS193" s="824">
        <v>291000000</v>
      </c>
      <c r="AT193" s="584" t="s">
        <v>7340</v>
      </c>
      <c r="AU193" s="802"/>
      <c r="AV193" s="802"/>
    </row>
    <row r="194" spans="30:48">
      <c r="AD194"/>
      <c r="AE194" s="810"/>
      <c r="AF194" s="814" t="str">
        <f>nmProd1</f>
        <v>Greenborg</v>
      </c>
      <c r="AG194" s="798" t="str">
        <f>IF(INDEX(obalCh1Prod1Slot2Active,,xxIndexTeam)=1,INDEX(obalCh1Prod1Slot2GPaL,,xxIndexTeam)/tlOutputCh1Analytic1Chart1XValue8,"")</f>
        <v/>
      </c>
      <c r="AH194" s="811" t="s">
        <v>7075</v>
      </c>
      <c r="AI194" s="810"/>
      <c r="AJ194" s="814" t="str">
        <f>nmProd1</f>
        <v>Greenborg</v>
      </c>
      <c r="AK194" s="533">
        <f>INDEX(calcCh1Prod1Slot2PriceDif,,xxIndexTeam)</f>
        <v>-8.206802166717391E-4</v>
      </c>
      <c r="AL194" s="811" t="s">
        <v>7076</v>
      </c>
      <c r="AM194" s="554"/>
      <c r="AN194" s="720"/>
      <c r="AO194" s="817" t="str">
        <f>IF(INDEX(obalCh1Prod4Slot2Active,,xxIndexTeam)=1,INDEX(obalCh1Prod4Slot2AvgPrice,,xxIndexTeam),"")</f>
        <v/>
      </c>
      <c r="AP194" s="584" t="s">
        <v>7268</v>
      </c>
      <c r="AQ194" s="554"/>
      <c r="AR194" s="720" t="s">
        <v>4408</v>
      </c>
      <c r="AS194" s="815">
        <f>AS193*0.2</f>
        <v>58200000</v>
      </c>
      <c r="AT194" s="584" t="s">
        <v>7341</v>
      </c>
      <c r="AU194" s="802"/>
      <c r="AV194" s="802"/>
    </row>
    <row r="195" spans="30:48">
      <c r="AD195"/>
      <c r="AE195" s="810"/>
      <c r="AF195" s="814" t="str">
        <f>nmProd1</f>
        <v>Greenborg</v>
      </c>
      <c r="AG195" s="798" t="str">
        <f>IF(INDEX(obalCh1Prod1Slot3Active,,xxIndexTeam)=1,INDEX(obalCh1Prod1Slot3GPaL,,xxIndexTeam)/tlOutputCh1Analytic1Chart1XValue9,"")</f>
        <v/>
      </c>
      <c r="AH195" s="811" t="s">
        <v>7077</v>
      </c>
      <c r="AI195" s="810"/>
      <c r="AJ195" s="814" t="str">
        <f>nmProd1</f>
        <v>Greenborg</v>
      </c>
      <c r="AK195" s="533" t="str">
        <f>INDEX(calcCh1Prod1Slot3PriceDif,,xxIndexTeam)</f>
        <v/>
      </c>
      <c r="AL195" s="811" t="s">
        <v>7078</v>
      </c>
      <c r="AM195" s="554"/>
      <c r="AN195" s="720"/>
      <c r="AO195" s="817" t="str">
        <f>IF(INDEX(obalCh1Prod4Slot2Active,,xxIndexTeam)=1,INDEX(obalCh1Prod4Slot2AvgPromoPrice,,xxIndexTeam),"")</f>
        <v/>
      </c>
      <c r="AP195" s="584" t="s">
        <v>7271</v>
      </c>
      <c r="AQ195" s="554" t="str">
        <f>nmProd2</f>
        <v>Harken</v>
      </c>
      <c r="AR195" s="720" t="s">
        <v>4409</v>
      </c>
      <c r="AS195" s="815">
        <v>727500000</v>
      </c>
      <c r="AT195" s="584" t="s">
        <v>7342</v>
      </c>
      <c r="AU195" s="802"/>
      <c r="AV195" s="802"/>
    </row>
    <row r="196" spans="30:48">
      <c r="AD196"/>
      <c r="AE196" s="810"/>
      <c r="AF196" s="814" t="str">
        <f>nmProd4</f>
        <v>Brew Master</v>
      </c>
      <c r="AG196" s="798" t="str">
        <f>IF(INDEX(obalCh1Prod4Slot1Active,,xxIndexTeam)=1,INDEX(obalCh1Prod4Slot1GPaL,,xxIndexTeam)/tlOutputCh1Analytic1Chart1XValue10,"")</f>
        <v/>
      </c>
      <c r="AH196" s="811" t="s">
        <v>7079</v>
      </c>
      <c r="AI196" s="810"/>
      <c r="AJ196" s="814" t="str">
        <f>nmProd4</f>
        <v>Brew Master</v>
      </c>
      <c r="AK196" s="533" t="str">
        <f>INDEX(calcCh1Prod4Slot1PriceDif,,xxIndexTeam)</f>
        <v/>
      </c>
      <c r="AL196" s="811" t="s">
        <v>7080</v>
      </c>
      <c r="AM196" s="554"/>
      <c r="AN196" s="814" t="str">
        <f>nmProd4&amp;" Slot3"</f>
        <v>Brew Master Slot3</v>
      </c>
      <c r="AO196" s="818" t="str">
        <f>IF(INDEX(obalCh1Prod4Slot3Active,,xxIndexTeam)=1,nmProd4&amp;" - "&amp;INDEX(obalCh1Prod4Slot3Pack,,xxIndexTeam),"")</f>
        <v/>
      </c>
      <c r="AP196" s="811" t="s">
        <v>7274</v>
      </c>
      <c r="AQ196" s="554"/>
      <c r="AR196" s="720" t="s">
        <v>4408</v>
      </c>
      <c r="AS196" s="815">
        <f>AS195*0.2</f>
        <v>145500000</v>
      </c>
      <c r="AT196" s="584" t="s">
        <v>7343</v>
      </c>
      <c r="AU196" s="802"/>
      <c r="AV196" s="802"/>
    </row>
    <row r="197" spans="30:48">
      <c r="AD197"/>
      <c r="AE197" s="810"/>
      <c r="AF197" s="814" t="str">
        <f>nmProd4</f>
        <v>Brew Master</v>
      </c>
      <c r="AG197" s="798" t="str">
        <f>IF(INDEX(obalCh1Prod4Slot2Active,,xxIndexTeam)=1,INDEX(obalCh1Prod4Slot2GPaL,,xxIndexTeam)/tlOutputCh1Analytic1Chart1XValue11,"")</f>
        <v/>
      </c>
      <c r="AH197" s="811" t="s">
        <v>7081</v>
      </c>
      <c r="AI197" s="810"/>
      <c r="AJ197" s="814" t="str">
        <f>nmProd4</f>
        <v>Brew Master</v>
      </c>
      <c r="AK197" s="533" t="str">
        <f>INDEX(calcCh1Prod4Slot2PriceDif,,xxIndexTeam)</f>
        <v/>
      </c>
      <c r="AL197" s="811" t="s">
        <v>7082</v>
      </c>
      <c r="AM197" s="554"/>
      <c r="AN197" s="720"/>
      <c r="AO197" s="817" t="str">
        <f>IF(INDEX(obalCh1Prod4Slot3Active,,xxIndexTeam)=1,INDEX(obalCh1Prod4Slot3CustPrice,,xxIndexTeam),"")</f>
        <v/>
      </c>
      <c r="AP197" s="584" t="s">
        <v>7277</v>
      </c>
      <c r="AQ197" s="554" t="str">
        <f>nmProd3</f>
        <v>Kara</v>
      </c>
      <c r="AR197" s="720" t="s">
        <v>4409</v>
      </c>
      <c r="AS197" s="815">
        <v>533500000</v>
      </c>
      <c r="AT197" s="584" t="s">
        <v>7344</v>
      </c>
      <c r="AU197" s="802"/>
      <c r="AV197" s="802"/>
    </row>
    <row r="198" spans="30:48">
      <c r="AD198"/>
      <c r="AE198" s="810"/>
      <c r="AF198" s="814" t="str">
        <f>nmProd4</f>
        <v>Brew Master</v>
      </c>
      <c r="AG198" s="798" t="str">
        <f>IF(INDEX(obalCh1Prod4Slot3Active,,xxIndexTeam)=1,INDEX(obalCh1Prod4Slot3GPaL,,xxIndexTeam)/tlOutputCh1Analytic1Chart1XValue12,"")</f>
        <v/>
      </c>
      <c r="AH198" s="811" t="s">
        <v>7083</v>
      </c>
      <c r="AI198" s="810"/>
      <c r="AJ198" s="814" t="str">
        <f>nmProd4</f>
        <v>Brew Master</v>
      </c>
      <c r="AK198" s="533" t="str">
        <f>INDEX(calcCh1Prod4Slot3PriceDif,,xxIndexTeam)</f>
        <v/>
      </c>
      <c r="AL198" s="811" t="s">
        <v>7084</v>
      </c>
      <c r="AM198" s="554"/>
      <c r="AN198" s="720"/>
      <c r="AO198" s="817" t="str">
        <f>IF(INDEX(obalCh1Prod4Slot3Active,,xxIndexTeam)=1,INDEX(obalCh1Prod4Slot3AvgPrice,,xxIndexTeam),"")</f>
        <v/>
      </c>
      <c r="AP198" s="584" t="s">
        <v>7280</v>
      </c>
      <c r="AQ198" s="554"/>
      <c r="AR198" s="720" t="s">
        <v>4408</v>
      </c>
      <c r="AS198" s="815">
        <f>AS197*0.2</f>
        <v>106700000</v>
      </c>
      <c r="AT198" s="584" t="s">
        <v>7345</v>
      </c>
      <c r="AU198" s="802"/>
      <c r="AV198" s="802"/>
    </row>
    <row r="199" spans="30:48" ht="15" thickBot="1">
      <c r="AD199"/>
      <c r="AE199" s="810"/>
      <c r="AF199" s="814"/>
      <c r="AG199" s="814"/>
      <c r="AH199" s="811"/>
      <c r="AI199" s="810"/>
      <c r="AJ199" s="814"/>
      <c r="AK199" s="814"/>
      <c r="AL199" s="811"/>
      <c r="AM199" s="554"/>
      <c r="AN199" s="720"/>
      <c r="AO199" s="817" t="str">
        <f>IF(INDEX(obalCh1Prod4Slot3Active,,xxIndexTeam)=1,INDEX(obalCh1Prod4Slot3AvgPromoPrice,,xxIndexTeam),"")</f>
        <v/>
      </c>
      <c r="AP199" s="584" t="s">
        <v>7283</v>
      </c>
      <c r="AQ199" s="554" t="str">
        <f>nmProd4</f>
        <v>Brew Master</v>
      </c>
      <c r="AR199" s="720" t="s">
        <v>4409</v>
      </c>
      <c r="AS199" s="815">
        <v>485000000</v>
      </c>
      <c r="AT199" s="584" t="s">
        <v>7346</v>
      </c>
      <c r="AU199" s="802"/>
      <c r="AV199" s="802"/>
    </row>
    <row r="200" spans="30:48" ht="15" thickBot="1">
      <c r="AD200"/>
      <c r="AE200" s="797" t="s">
        <v>295</v>
      </c>
      <c r="AF200" s="814"/>
      <c r="AG200" s="814"/>
      <c r="AH200" s="811"/>
      <c r="AI200" s="797" t="s">
        <v>6992</v>
      </c>
      <c r="AJ200" s="814"/>
      <c r="AK200" s="814"/>
      <c r="AL200" s="811"/>
      <c r="AM200" s="555"/>
      <c r="AN200" s="600"/>
      <c r="AO200" s="600"/>
      <c r="AP200" s="561"/>
      <c r="AQ200" s="554"/>
      <c r="AR200" s="720" t="s">
        <v>4408</v>
      </c>
      <c r="AS200" s="816">
        <f>AS199*0.2</f>
        <v>97000000</v>
      </c>
      <c r="AT200" s="584" t="s">
        <v>7347</v>
      </c>
      <c r="AU200" s="802"/>
      <c r="AV200" s="802"/>
    </row>
    <row r="201" spans="30:48">
      <c r="AD201"/>
      <c r="AE201" s="810"/>
      <c r="AF201" s="814" t="str">
        <f>nmProd2</f>
        <v>Harken</v>
      </c>
      <c r="AG201" s="799">
        <f>IF(INDEX(obalCh1Prod2Slot1Active,,xxIndexTeam)=1,INDEX(obalCh1Prod2Slot1SoldVol,,xxIndexTeam),"")</f>
        <v>78519084.938043952</v>
      </c>
      <c r="AH201" s="811" t="s">
        <v>7085</v>
      </c>
      <c r="AI201" s="810"/>
      <c r="AJ201" s="814" t="str">
        <f>nmProd2</f>
        <v>Harken</v>
      </c>
      <c r="AK201" s="799">
        <f>IF(INDEX(obalCh1Prod2Slot1Active,,xxIndexTeam)=1,100,"")</f>
        <v>100</v>
      </c>
      <c r="AL201" s="811" t="s">
        <v>7086</v>
      </c>
      <c r="AM201" s="554"/>
      <c r="AN201" s="720"/>
      <c r="AO201" s="720"/>
      <c r="AP201" s="584"/>
      <c r="AQ201" s="554"/>
      <c r="AR201" s="720"/>
      <c r="AS201" s="720"/>
      <c r="AT201" s="584"/>
      <c r="AU201" s="802"/>
      <c r="AV201" s="802"/>
    </row>
    <row r="202" spans="30:48" ht="15" thickBot="1">
      <c r="AD202"/>
      <c r="AE202" s="810"/>
      <c r="AF202" s="814" t="str">
        <f>nmProd2</f>
        <v>Harken</v>
      </c>
      <c r="AG202" s="799">
        <f>IF(INDEX(obalCh1Prod2Slot2Active,,xxIndexTeam)=1,INDEX(obalCh1Prod2Slot2SoldVol,,xxIndexTeam),"")</f>
        <v>100177518.30857961</v>
      </c>
      <c r="AH202" s="811" t="s">
        <v>7087</v>
      </c>
      <c r="AI202" s="810"/>
      <c r="AJ202" s="814" t="str">
        <f>nmProd2</f>
        <v>Harken</v>
      </c>
      <c r="AK202" s="799">
        <f>IF(INDEX(obalCh1Prod2Slot2Active,,xxIndexTeam)=1,100,"")</f>
        <v>100</v>
      </c>
      <c r="AL202" s="811" t="s">
        <v>7088</v>
      </c>
      <c r="AM202" s="554"/>
      <c r="AN202" s="720"/>
      <c r="AO202" s="720"/>
      <c r="AP202" s="584"/>
      <c r="AQ202" s="554"/>
      <c r="AR202" s="720"/>
      <c r="AS202" s="530" t="s">
        <v>6997</v>
      </c>
      <c r="AT202" s="584"/>
      <c r="AU202" s="802"/>
      <c r="AV202" s="802"/>
    </row>
    <row r="203" spans="30:48">
      <c r="AD203"/>
      <c r="AE203" s="810"/>
      <c r="AF203" s="814" t="str">
        <f>nmProd2</f>
        <v>Harken</v>
      </c>
      <c r="AG203" s="799" t="str">
        <f>IF(INDEX(obalCh1Prod2Slot3Active,,xxIndexTeam)=1,INDEX(obalCh1Prod2Slot3SoldVol,,xxIndexTeam),"")</f>
        <v/>
      </c>
      <c r="AH203" s="811" t="s">
        <v>7089</v>
      </c>
      <c r="AI203" s="810"/>
      <c r="AJ203" s="814" t="str">
        <f>nmProd2</f>
        <v>Harken</v>
      </c>
      <c r="AK203" s="799" t="str">
        <f>IF(INDEX(obalCh1Prod2Slot3Active,,xxIndexTeam)=1,100,"")</f>
        <v/>
      </c>
      <c r="AL203" s="811" t="s">
        <v>7090</v>
      </c>
      <c r="AM203" s="554"/>
      <c r="AN203" s="720"/>
      <c r="AO203" s="720"/>
      <c r="AP203" s="584"/>
      <c r="AQ203" s="554" t="str">
        <f>nmProd1</f>
        <v>Greenborg</v>
      </c>
      <c r="AR203" s="720" t="s">
        <v>4409</v>
      </c>
      <c r="AS203" s="825">
        <v>0.06</v>
      </c>
      <c r="AT203" s="584" t="s">
        <v>7332</v>
      </c>
      <c r="AU203" s="802"/>
      <c r="AV203" s="802"/>
    </row>
    <row r="204" spans="30:48">
      <c r="AD204"/>
      <c r="AE204" s="810"/>
      <c r="AF204" s="814" t="str">
        <f>nmProd3</f>
        <v>Kara</v>
      </c>
      <c r="AG204" s="799">
        <f>IF(INDEX(obalCh1Prod3Slot1Active,,xxIndexTeam)=1,INDEX(obalCh1Prod3Slot1SoldVol,,xxIndexTeam),"")</f>
        <v>45342586.041080847</v>
      </c>
      <c r="AH204" s="811" t="s">
        <v>7091</v>
      </c>
      <c r="AI204" s="810"/>
      <c r="AJ204" s="814" t="str">
        <f>nmProd3</f>
        <v>Kara</v>
      </c>
      <c r="AK204" s="799">
        <f>IF(INDEX(obalCh1Prod3Slot1Active,,xxIndexTeam)=1,100,"")</f>
        <v>100</v>
      </c>
      <c r="AL204" s="811" t="s">
        <v>7092</v>
      </c>
      <c r="AM204" s="554"/>
      <c r="AN204" s="720"/>
      <c r="AO204" s="720"/>
      <c r="AP204" s="584"/>
      <c r="AQ204" s="554"/>
      <c r="AR204" s="720" t="s">
        <v>4408</v>
      </c>
      <c r="AS204" s="828">
        <v>0.06</v>
      </c>
      <c r="AT204" s="584" t="s">
        <v>7333</v>
      </c>
      <c r="AU204" s="802"/>
      <c r="AV204" s="802"/>
    </row>
    <row r="205" spans="30:48">
      <c r="AD205"/>
      <c r="AE205" s="810"/>
      <c r="AF205" s="814" t="str">
        <f>nmProd3</f>
        <v>Kara</v>
      </c>
      <c r="AG205" s="799">
        <f>IF(INDEX(obalCh1Prod3Slot2Active,,xxIndexTeam)=1,INDEX(obalCh1Prod3Slot2SoldVol,,xxIndexTeam),"")</f>
        <v>77943237.25288707</v>
      </c>
      <c r="AH205" s="811" t="s">
        <v>7093</v>
      </c>
      <c r="AI205" s="810"/>
      <c r="AJ205" s="814" t="str">
        <f>nmProd3</f>
        <v>Kara</v>
      </c>
      <c r="AK205" s="799">
        <f>IF(INDEX(obalCh1Prod3Slot2Active,,xxIndexTeam)=1,100,"")</f>
        <v>100</v>
      </c>
      <c r="AL205" s="811" t="s">
        <v>7094</v>
      </c>
      <c r="AM205" s="554"/>
      <c r="AN205" s="720"/>
      <c r="AO205" s="720"/>
      <c r="AP205" s="584"/>
      <c r="AQ205" s="554" t="str">
        <f>nmProd2</f>
        <v>Harken</v>
      </c>
      <c r="AR205" s="720" t="s">
        <v>4409</v>
      </c>
      <c r="AS205" s="828">
        <v>0.15</v>
      </c>
      <c r="AT205" s="584" t="s">
        <v>7334</v>
      </c>
      <c r="AU205" s="802"/>
      <c r="AV205" s="802"/>
    </row>
    <row r="206" spans="30:48">
      <c r="AD206"/>
      <c r="AE206" s="810"/>
      <c r="AF206" s="814" t="str">
        <f>nmProd3</f>
        <v>Kara</v>
      </c>
      <c r="AG206" s="799" t="str">
        <f>IF(INDEX(obalCh1Prod3Slot3Active,,xxIndexTeam)=1,INDEX(obalCh1Prod3Slot3SoldVol,,xxIndexTeam),"")</f>
        <v/>
      </c>
      <c r="AH206" s="811" t="s">
        <v>7095</v>
      </c>
      <c r="AI206" s="810"/>
      <c r="AJ206" s="814" t="str">
        <f>nmProd3</f>
        <v>Kara</v>
      </c>
      <c r="AK206" s="799" t="str">
        <f>IF(INDEX(obalCh1Prod3Slot3Active,,xxIndexTeam)=1,100,"")</f>
        <v/>
      </c>
      <c r="AL206" s="811" t="s">
        <v>7096</v>
      </c>
      <c r="AM206" s="554"/>
      <c r="AN206" s="720"/>
      <c r="AO206" s="720"/>
      <c r="AP206" s="584"/>
      <c r="AQ206" s="554"/>
      <c r="AR206" s="720" t="s">
        <v>4408</v>
      </c>
      <c r="AS206" s="828">
        <v>0.15</v>
      </c>
      <c r="AT206" s="584" t="s">
        <v>7335</v>
      </c>
      <c r="AU206" s="802"/>
      <c r="AV206" s="802"/>
    </row>
    <row r="207" spans="30:48">
      <c r="AD207"/>
      <c r="AE207" s="810"/>
      <c r="AF207" s="814" t="str">
        <f>nmProd1</f>
        <v>Greenborg</v>
      </c>
      <c r="AG207" s="799">
        <f>IF(INDEX(obalCh1Prod1Slot1Active,,xxIndexTeam)=1,INDEX(obalCh1Prod1Slot1SoldVol,,xxIndexTeam),"")</f>
        <v>57888456.11718937</v>
      </c>
      <c r="AH207" s="811" t="s">
        <v>7097</v>
      </c>
      <c r="AI207" s="810"/>
      <c r="AJ207" s="814" t="str">
        <f>nmProd1</f>
        <v>Greenborg</v>
      </c>
      <c r="AK207" s="799">
        <f>IF(INDEX(obalCh1Prod1Slot1Active,,xxIndexTeam)=1,100,"")</f>
        <v>100</v>
      </c>
      <c r="AL207" s="811" t="s">
        <v>7098</v>
      </c>
      <c r="AM207" s="554"/>
      <c r="AN207" s="720"/>
      <c r="AO207" s="720"/>
      <c r="AP207" s="584"/>
      <c r="AQ207" s="554" t="str">
        <f>nmProd3</f>
        <v>Kara</v>
      </c>
      <c r="AR207" s="720" t="s">
        <v>4409</v>
      </c>
      <c r="AS207" s="828">
        <v>0.11</v>
      </c>
      <c r="AT207" s="584" t="s">
        <v>7336</v>
      </c>
      <c r="AU207" s="802"/>
      <c r="AV207" s="802"/>
    </row>
    <row r="208" spans="30:48">
      <c r="AD208"/>
      <c r="AE208" s="810"/>
      <c r="AF208" s="814" t="str">
        <f>nmProd1</f>
        <v>Greenborg</v>
      </c>
      <c r="AG208" s="799" t="str">
        <f>IF(INDEX(obalCh1Prod1Slot2Active,,xxIndexTeam)=1,INDEX(obalCh1Prod1Slot2SoldVol,,xxIndexTeam),"")</f>
        <v/>
      </c>
      <c r="AH208" s="811" t="s">
        <v>7099</v>
      </c>
      <c r="AI208" s="810"/>
      <c r="AJ208" s="814" t="str">
        <f>nmProd1</f>
        <v>Greenborg</v>
      </c>
      <c r="AK208" s="799" t="str">
        <f>IF(INDEX(obalCh1Prod1Slot2Active,,xxIndexTeam)=1,100,"")</f>
        <v/>
      </c>
      <c r="AL208" s="811" t="s">
        <v>7100</v>
      </c>
      <c r="AM208" s="554"/>
      <c r="AN208" s="720"/>
      <c r="AO208" s="720"/>
      <c r="AP208" s="584"/>
      <c r="AQ208" s="554"/>
      <c r="AR208" s="720" t="s">
        <v>4408</v>
      </c>
      <c r="AS208" s="828">
        <v>0.11</v>
      </c>
      <c r="AT208" s="584" t="s">
        <v>7337</v>
      </c>
      <c r="AU208" s="802"/>
      <c r="AV208" s="802"/>
    </row>
    <row r="209" spans="30:48">
      <c r="AD209"/>
      <c r="AE209" s="810"/>
      <c r="AF209" s="814" t="str">
        <f>nmProd1</f>
        <v>Greenborg</v>
      </c>
      <c r="AG209" s="799" t="str">
        <f>IF(INDEX(obalCh1Prod1Slot3Active,,xxIndexTeam)=1,INDEX(obalCh1Prod1Slot3SoldVol,,xxIndexTeam),"")</f>
        <v/>
      </c>
      <c r="AH209" s="811" t="s">
        <v>7101</v>
      </c>
      <c r="AI209" s="810"/>
      <c r="AJ209" s="814" t="str">
        <f>nmProd1</f>
        <v>Greenborg</v>
      </c>
      <c r="AK209" s="799" t="str">
        <f>IF(INDEX(obalCh1Prod1Slot3Active,,xxIndexTeam)=1,100,"")</f>
        <v/>
      </c>
      <c r="AL209" s="811" t="s">
        <v>7102</v>
      </c>
      <c r="AM209" s="554"/>
      <c r="AN209" s="720"/>
      <c r="AO209" s="720"/>
      <c r="AP209" s="584"/>
      <c r="AQ209" s="554" t="str">
        <f>nmProd4</f>
        <v>Brew Master</v>
      </c>
      <c r="AR209" s="720" t="s">
        <v>4409</v>
      </c>
      <c r="AS209" s="828">
        <v>0.01</v>
      </c>
      <c r="AT209" s="584" t="s">
        <v>7338</v>
      </c>
      <c r="AU209" s="802"/>
      <c r="AV209" s="802"/>
    </row>
    <row r="210" spans="30:48" ht="15" thickBot="1">
      <c r="AD210"/>
      <c r="AE210" s="810"/>
      <c r="AF210" s="814" t="str">
        <f>nmProd4</f>
        <v>Brew Master</v>
      </c>
      <c r="AG210" s="799" t="str">
        <f>IF(INDEX(obalCh1Prod4Slot1Active,,xxIndexTeam)=1,INDEX(obalCh1Prod4Slot1SoldVol,,xxIndexTeam),"")</f>
        <v/>
      </c>
      <c r="AH210" s="811" t="s">
        <v>7103</v>
      </c>
      <c r="AI210" s="810"/>
      <c r="AJ210" s="814" t="str">
        <f>nmProd4</f>
        <v>Brew Master</v>
      </c>
      <c r="AK210" s="799" t="str">
        <f>IF(INDEX(obalCh1Prod4Slot1Active,,xxIndexTeam)=1,100,"")</f>
        <v/>
      </c>
      <c r="AL210" s="811" t="s">
        <v>7104</v>
      </c>
      <c r="AM210" s="554"/>
      <c r="AN210" s="720"/>
      <c r="AO210" s="720"/>
      <c r="AP210" s="584"/>
      <c r="AQ210" s="554"/>
      <c r="AR210" s="720" t="s">
        <v>4408</v>
      </c>
      <c r="AS210" s="831">
        <v>0.01</v>
      </c>
      <c r="AT210" s="584" t="s">
        <v>7339</v>
      </c>
      <c r="AU210" s="802"/>
      <c r="AV210" s="802"/>
    </row>
    <row r="211" spans="30:48">
      <c r="AD211"/>
      <c r="AE211" s="810"/>
      <c r="AF211" s="814" t="str">
        <f>nmProd4</f>
        <v>Brew Master</v>
      </c>
      <c r="AG211" s="799" t="str">
        <f>IF(INDEX(obalCh1Prod4Slot2Active,,xxIndexTeam)=1,INDEX(obalCh1Prod4Slot2SoldVol,,xxIndexTeam),"")</f>
        <v/>
      </c>
      <c r="AH211" s="811" t="s">
        <v>7105</v>
      </c>
      <c r="AI211" s="810"/>
      <c r="AJ211" s="814" t="str">
        <f>nmProd4</f>
        <v>Brew Master</v>
      </c>
      <c r="AK211" s="799" t="str">
        <f>IF(INDEX(obalCh1Prod4Slot2Active,,xxIndexTeam)=1,100,"")</f>
        <v/>
      </c>
      <c r="AL211" s="811" t="s">
        <v>7106</v>
      </c>
      <c r="AM211" s="554"/>
      <c r="AN211" s="720"/>
      <c r="AO211" s="720"/>
      <c r="AP211" s="584"/>
      <c r="AQ211" s="832" t="str">
        <f>nmSeg4</f>
        <v>Connecting &amp; Bonding</v>
      </c>
      <c r="AR211" s="720"/>
      <c r="AS211" s="720"/>
      <c r="AT211" s="584"/>
      <c r="AU211" s="802"/>
      <c r="AV211" s="802"/>
    </row>
    <row r="212" spans="30:48" ht="15" thickBot="1">
      <c r="AD212"/>
      <c r="AE212" s="809"/>
      <c r="AF212" s="814" t="str">
        <f>nmProd4</f>
        <v>Brew Master</v>
      </c>
      <c r="AG212" s="799" t="str">
        <f>IF(INDEX(obalCh1Prod4Slot3Active,,xxIndexTeam)=1,INDEX(obalCh1Prod4Slot3SoldVol,,xxIndexTeam),"")</f>
        <v/>
      </c>
      <c r="AH212" s="808" t="s">
        <v>7107</v>
      </c>
      <c r="AI212" s="809"/>
      <c r="AJ212" s="814" t="str">
        <f>nmProd4</f>
        <v>Brew Master</v>
      </c>
      <c r="AK212" s="799" t="str">
        <f>IF(INDEX(obalCh1Prod4Slot3Active,,xxIndexTeam)=1,100,"")</f>
        <v/>
      </c>
      <c r="AL212" s="808" t="s">
        <v>7108</v>
      </c>
      <c r="AM212" s="554"/>
      <c r="AN212" s="720"/>
      <c r="AO212" s="720"/>
      <c r="AP212" s="584"/>
      <c r="AQ212" s="554"/>
      <c r="AR212" s="720"/>
      <c r="AS212" s="530" t="s">
        <v>295</v>
      </c>
      <c r="AT212" s="584"/>
      <c r="AU212" s="802"/>
      <c r="AV212" s="802"/>
    </row>
    <row r="213" spans="30:48">
      <c r="AD213"/>
      <c r="AE213" s="807"/>
      <c r="AF213" s="813"/>
      <c r="AG213" s="813"/>
      <c r="AH213" s="812"/>
      <c r="AI213" s="807"/>
      <c r="AJ213" s="813"/>
      <c r="AK213" s="813"/>
      <c r="AL213" s="812"/>
      <c r="AM213" s="554"/>
      <c r="AN213" s="720"/>
      <c r="AO213" s="720"/>
      <c r="AP213" s="584"/>
      <c r="AQ213" s="554" t="str">
        <f>nmProd1</f>
        <v>Greenborg</v>
      </c>
      <c r="AR213" s="720" t="s">
        <v>4409</v>
      </c>
      <c r="AS213" s="824">
        <v>291000000</v>
      </c>
      <c r="AT213" s="584" t="s">
        <v>7324</v>
      </c>
      <c r="AU213" s="802"/>
      <c r="AV213" s="802"/>
    </row>
    <row r="214" spans="30:48">
      <c r="AD214"/>
      <c r="AE214" s="810"/>
      <c r="AF214" s="814"/>
      <c r="AG214" s="814"/>
      <c r="AH214" s="811"/>
      <c r="AI214" s="810"/>
      <c r="AJ214" s="814"/>
      <c r="AK214" s="814"/>
      <c r="AL214" s="811"/>
      <c r="AM214" s="554"/>
      <c r="AN214" s="720"/>
      <c r="AO214" s="720"/>
      <c r="AP214" s="584"/>
      <c r="AQ214" s="554"/>
      <c r="AR214" s="720" t="s">
        <v>4408</v>
      </c>
      <c r="AS214" s="815">
        <f>AS213*0.2</f>
        <v>58200000</v>
      </c>
      <c r="AT214" s="584" t="s">
        <v>7325</v>
      </c>
    </row>
    <row r="215" spans="30:48">
      <c r="AD215"/>
      <c r="AE215" s="810"/>
      <c r="AF215" s="814"/>
      <c r="AG215" s="814"/>
      <c r="AH215" s="811"/>
      <c r="AI215" s="810"/>
      <c r="AJ215" s="814"/>
      <c r="AK215" s="814"/>
      <c r="AL215" s="811"/>
      <c r="AM215" s="554"/>
      <c r="AN215" s="720"/>
      <c r="AO215" s="720"/>
      <c r="AP215" s="584"/>
      <c r="AQ215" s="554" t="str">
        <f>nmProd2</f>
        <v>Harken</v>
      </c>
      <c r="AR215" s="720" t="s">
        <v>4409</v>
      </c>
      <c r="AS215" s="815">
        <v>727500000</v>
      </c>
      <c r="AT215" s="584" t="s">
        <v>7326</v>
      </c>
    </row>
    <row r="216" spans="30:48">
      <c r="AD216"/>
      <c r="AE216" s="810"/>
      <c r="AF216" s="814"/>
      <c r="AG216" s="814"/>
      <c r="AH216" s="811"/>
      <c r="AI216" s="810"/>
      <c r="AJ216" s="814"/>
      <c r="AK216" s="814"/>
      <c r="AL216" s="811"/>
      <c r="AM216" s="554"/>
      <c r="AN216" s="720"/>
      <c r="AO216" s="720"/>
      <c r="AP216" s="584"/>
      <c r="AQ216" s="554"/>
      <c r="AR216" s="720" t="s">
        <v>4408</v>
      </c>
      <c r="AS216" s="815">
        <f>AS215*0.2</f>
        <v>145500000</v>
      </c>
      <c r="AT216" s="584" t="s">
        <v>7327</v>
      </c>
    </row>
    <row r="217" spans="30:48">
      <c r="AD217"/>
      <c r="AE217" s="810"/>
      <c r="AF217" s="814"/>
      <c r="AG217" s="814"/>
      <c r="AH217" s="811"/>
      <c r="AI217" s="810"/>
      <c r="AJ217" s="814"/>
      <c r="AK217" s="814"/>
      <c r="AL217" s="811"/>
      <c r="AM217" s="554"/>
      <c r="AN217" s="720"/>
      <c r="AO217" s="720"/>
      <c r="AP217" s="584"/>
      <c r="AQ217" s="554" t="str">
        <f>nmProd3</f>
        <v>Kara</v>
      </c>
      <c r="AR217" s="720" t="s">
        <v>4409</v>
      </c>
      <c r="AS217" s="815">
        <v>533500000</v>
      </c>
      <c r="AT217" s="584" t="s">
        <v>7328</v>
      </c>
    </row>
    <row r="218" spans="30:48">
      <c r="AD218"/>
      <c r="AE218" s="810"/>
      <c r="AF218" s="814"/>
      <c r="AG218" s="814"/>
      <c r="AH218" s="811"/>
      <c r="AI218" s="810"/>
      <c r="AJ218" s="814"/>
      <c r="AK218" s="814"/>
      <c r="AL218" s="811"/>
      <c r="AM218" s="554"/>
      <c r="AN218" s="720"/>
      <c r="AO218" s="720"/>
      <c r="AP218" s="584"/>
      <c r="AQ218" s="554"/>
      <c r="AR218" s="720" t="s">
        <v>4408</v>
      </c>
      <c r="AS218" s="815">
        <f>AS217*0.2</f>
        <v>106700000</v>
      </c>
      <c r="AT218" s="584" t="s">
        <v>7329</v>
      </c>
    </row>
    <row r="219" spans="30:48">
      <c r="AD219"/>
      <c r="AE219" s="810"/>
      <c r="AF219" s="814"/>
      <c r="AG219" s="814"/>
      <c r="AH219" s="811"/>
      <c r="AI219" s="810"/>
      <c r="AJ219" s="814"/>
      <c r="AK219" s="814"/>
      <c r="AL219" s="811"/>
      <c r="AM219" s="554"/>
      <c r="AN219" s="720"/>
      <c r="AO219" s="720"/>
      <c r="AP219" s="584"/>
      <c r="AQ219" s="554" t="str">
        <f>nmProd4</f>
        <v>Brew Master</v>
      </c>
      <c r="AR219" s="720" t="s">
        <v>4409</v>
      </c>
      <c r="AS219" s="815">
        <v>485000000</v>
      </c>
      <c r="AT219" s="584" t="s">
        <v>7330</v>
      </c>
    </row>
    <row r="220" spans="30:48" ht="15" thickBot="1">
      <c r="AD220"/>
      <c r="AE220" s="810"/>
      <c r="AF220" s="814"/>
      <c r="AG220" s="814"/>
      <c r="AH220" s="811"/>
      <c r="AI220" s="810"/>
      <c r="AJ220" s="814"/>
      <c r="AK220" s="814"/>
      <c r="AL220" s="811"/>
      <c r="AM220" s="554"/>
      <c r="AN220" s="720"/>
      <c r="AO220" s="720"/>
      <c r="AP220" s="584"/>
      <c r="AQ220" s="554"/>
      <c r="AR220" s="720" t="s">
        <v>4408</v>
      </c>
      <c r="AS220" s="816">
        <f>AS219*0.2</f>
        <v>97000000</v>
      </c>
      <c r="AT220" s="584" t="s">
        <v>7331</v>
      </c>
    </row>
    <row r="221" spans="30:48">
      <c r="AD221"/>
      <c r="AE221" s="810"/>
      <c r="AF221" s="814"/>
      <c r="AG221" s="814"/>
      <c r="AH221" s="811"/>
      <c r="AI221" s="810"/>
      <c r="AJ221" s="814"/>
      <c r="AK221" s="814"/>
      <c r="AL221" s="811"/>
      <c r="AM221" s="554"/>
      <c r="AN221" s="720"/>
      <c r="AO221" s="720"/>
      <c r="AP221" s="584"/>
      <c r="AQ221" s="554"/>
      <c r="AR221" s="720"/>
      <c r="AS221" s="720"/>
      <c r="AT221" s="584"/>
    </row>
    <row r="222" spans="30:48" ht="15" thickBot="1">
      <c r="AD222"/>
      <c r="AE222" s="810"/>
      <c r="AF222" s="814"/>
      <c r="AG222" s="814"/>
      <c r="AH222" s="811"/>
      <c r="AI222" s="810"/>
      <c r="AJ222" s="814"/>
      <c r="AK222" s="814"/>
      <c r="AL222" s="811"/>
      <c r="AM222" s="554"/>
      <c r="AN222" s="720"/>
      <c r="AO222" s="720"/>
      <c r="AP222" s="584"/>
      <c r="AQ222" s="554"/>
      <c r="AR222" s="720"/>
      <c r="AS222" s="530" t="s">
        <v>6997</v>
      </c>
      <c r="AT222" s="584"/>
    </row>
    <row r="223" spans="30:48">
      <c r="AD223"/>
      <c r="AE223" s="810"/>
      <c r="AF223" s="814"/>
      <c r="AG223" s="814"/>
      <c r="AH223" s="811"/>
      <c r="AI223" s="810"/>
      <c r="AJ223" s="814"/>
      <c r="AK223" s="814"/>
      <c r="AL223" s="811"/>
      <c r="AM223" s="554"/>
      <c r="AN223" s="720"/>
      <c r="AO223" s="720"/>
      <c r="AP223" s="584"/>
      <c r="AQ223" s="554" t="str">
        <f>nmProd1</f>
        <v>Greenborg</v>
      </c>
      <c r="AR223" s="720" t="s">
        <v>4409</v>
      </c>
      <c r="AS223" s="825">
        <v>0.06</v>
      </c>
      <c r="AT223" s="584" t="s">
        <v>7316</v>
      </c>
    </row>
    <row r="224" spans="30:48">
      <c r="AD224"/>
      <c r="AE224" s="810"/>
      <c r="AF224" s="814"/>
      <c r="AG224" s="814"/>
      <c r="AH224" s="811"/>
      <c r="AI224" s="810"/>
      <c r="AJ224" s="814"/>
      <c r="AK224" s="814"/>
      <c r="AL224" s="811"/>
      <c r="AM224" s="554"/>
      <c r="AN224" s="720"/>
      <c r="AO224" s="720"/>
      <c r="AP224" s="584"/>
      <c r="AQ224" s="554"/>
      <c r="AR224" s="720" t="s">
        <v>4408</v>
      </c>
      <c r="AS224" s="828">
        <v>0.06</v>
      </c>
      <c r="AT224" s="584" t="s">
        <v>7317</v>
      </c>
    </row>
    <row r="225" spans="30:46" ht="15" thickBot="1">
      <c r="AD225"/>
      <c r="AE225" s="810"/>
      <c r="AF225" s="814"/>
      <c r="AG225" s="814"/>
      <c r="AH225" s="811"/>
      <c r="AI225" s="810"/>
      <c r="AJ225" s="814"/>
      <c r="AK225" s="814"/>
      <c r="AL225" s="811"/>
      <c r="AM225" s="546"/>
      <c r="AN225" s="544"/>
      <c r="AO225" s="544"/>
      <c r="AP225" s="733"/>
      <c r="AQ225" s="554" t="str">
        <f>nmProd2</f>
        <v>Harken</v>
      </c>
      <c r="AR225" s="720" t="s">
        <v>4409</v>
      </c>
      <c r="AS225" s="828">
        <v>0.15</v>
      </c>
      <c r="AT225" s="584" t="s">
        <v>7318</v>
      </c>
    </row>
    <row r="226" spans="30:46">
      <c r="AD226"/>
      <c r="AE226" s="810"/>
      <c r="AF226" s="814"/>
      <c r="AG226" s="814"/>
      <c r="AH226" s="811"/>
      <c r="AI226" s="810"/>
      <c r="AJ226" s="814"/>
      <c r="AK226" s="814"/>
      <c r="AL226" s="811"/>
      <c r="AQ226" s="554"/>
      <c r="AR226" s="720" t="s">
        <v>4408</v>
      </c>
      <c r="AS226" s="828">
        <v>0.15</v>
      </c>
      <c r="AT226" s="584" t="s">
        <v>7319</v>
      </c>
    </row>
    <row r="227" spans="30:46">
      <c r="AD227"/>
      <c r="AE227" s="810"/>
      <c r="AF227" s="814"/>
      <c r="AG227" s="814"/>
      <c r="AH227" s="811"/>
      <c r="AI227" s="810"/>
      <c r="AJ227" s="814"/>
      <c r="AK227" s="814"/>
      <c r="AL227" s="811"/>
      <c r="AQ227" s="554" t="str">
        <f>nmProd3</f>
        <v>Kara</v>
      </c>
      <c r="AR227" s="720" t="s">
        <v>4409</v>
      </c>
      <c r="AS227" s="828">
        <v>0.11</v>
      </c>
      <c r="AT227" s="584" t="s">
        <v>7320</v>
      </c>
    </row>
    <row r="228" spans="30:46">
      <c r="AD228"/>
      <c r="AE228" s="810"/>
      <c r="AF228" s="814"/>
      <c r="AG228" s="814"/>
      <c r="AH228" s="811"/>
      <c r="AI228" s="810"/>
      <c r="AJ228" s="814"/>
      <c r="AK228" s="814"/>
      <c r="AL228" s="811"/>
      <c r="AQ228" s="554"/>
      <c r="AR228" s="720" t="s">
        <v>4408</v>
      </c>
      <c r="AS228" s="828">
        <v>0.11</v>
      </c>
      <c r="AT228" s="584" t="s">
        <v>7321</v>
      </c>
    </row>
    <row r="229" spans="30:46">
      <c r="AD229"/>
      <c r="AE229" s="810"/>
      <c r="AF229" s="814"/>
      <c r="AG229" s="814"/>
      <c r="AH229" s="811"/>
      <c r="AI229" s="810"/>
      <c r="AJ229" s="814"/>
      <c r="AK229" s="814"/>
      <c r="AL229" s="811"/>
      <c r="AQ229" s="554" t="str">
        <f>nmProd4</f>
        <v>Brew Master</v>
      </c>
      <c r="AR229" s="720" t="s">
        <v>4409</v>
      </c>
      <c r="AS229" s="828">
        <v>0.01</v>
      </c>
      <c r="AT229" s="584" t="s">
        <v>7322</v>
      </c>
    </row>
    <row r="230" spans="30:46" ht="15" thickBot="1">
      <c r="AD230"/>
      <c r="AE230" s="810"/>
      <c r="AF230" s="814"/>
      <c r="AG230" s="814"/>
      <c r="AH230" s="811"/>
      <c r="AI230" s="810"/>
      <c r="AJ230" s="814"/>
      <c r="AK230" s="814"/>
      <c r="AL230" s="811"/>
      <c r="AQ230" s="554"/>
      <c r="AR230" s="720" t="s">
        <v>4408</v>
      </c>
      <c r="AS230" s="831">
        <v>0.01</v>
      </c>
      <c r="AT230" s="584" t="s">
        <v>7323</v>
      </c>
    </row>
    <row r="231" spans="30:46">
      <c r="AD231"/>
      <c r="AE231" s="810"/>
      <c r="AF231" s="814"/>
      <c r="AG231" s="814"/>
      <c r="AH231" s="811"/>
      <c r="AI231" s="810"/>
      <c r="AJ231" s="814"/>
      <c r="AK231" s="814"/>
      <c r="AL231" s="811"/>
      <c r="AQ231" s="554"/>
      <c r="AR231" s="720"/>
      <c r="AS231" s="720"/>
      <c r="AT231" s="584"/>
    </row>
    <row r="232" spans="30:46">
      <c r="AD232"/>
      <c r="AE232" s="810"/>
      <c r="AF232" s="814"/>
      <c r="AG232" s="814"/>
      <c r="AH232" s="811"/>
      <c r="AI232" s="810"/>
      <c r="AJ232" s="814"/>
      <c r="AK232" s="814"/>
      <c r="AL232" s="811"/>
      <c r="AQ232" s="554"/>
      <c r="AR232" s="720"/>
      <c r="AS232" s="720"/>
      <c r="AT232" s="584"/>
    </row>
    <row r="233" spans="30:46">
      <c r="AD233"/>
      <c r="AE233" s="810"/>
      <c r="AF233" s="814"/>
      <c r="AG233" s="814"/>
      <c r="AH233" s="811"/>
      <c r="AI233" s="810"/>
      <c r="AJ233" s="814"/>
      <c r="AK233" s="814"/>
      <c r="AL233" s="811"/>
      <c r="AQ233" s="554"/>
      <c r="AR233" s="720"/>
      <c r="AS233" s="720"/>
      <c r="AT233" s="584"/>
    </row>
    <row r="234" spans="30:46">
      <c r="AD234"/>
      <c r="AE234" s="810"/>
      <c r="AF234" s="814"/>
      <c r="AG234" s="814"/>
      <c r="AH234" s="811"/>
      <c r="AI234" s="810"/>
      <c r="AJ234" s="814"/>
      <c r="AK234" s="814"/>
      <c r="AL234" s="811"/>
      <c r="AQ234" s="554"/>
      <c r="AR234" s="720"/>
      <c r="AS234" s="720"/>
      <c r="AT234" s="584"/>
    </row>
    <row r="235" spans="30:46">
      <c r="AD235"/>
      <c r="AE235" s="810"/>
      <c r="AF235" s="814"/>
      <c r="AG235" s="814"/>
      <c r="AH235" s="811"/>
      <c r="AI235" s="810"/>
      <c r="AJ235" s="814"/>
      <c r="AK235" s="814"/>
      <c r="AL235" s="811"/>
      <c r="AQ235" s="554"/>
      <c r="AR235" s="720"/>
      <c r="AS235" s="720"/>
      <c r="AT235" s="584"/>
    </row>
    <row r="236" spans="30:46">
      <c r="AD236"/>
      <c r="AE236" s="810"/>
      <c r="AF236" s="814"/>
      <c r="AG236" s="814"/>
      <c r="AH236" s="811"/>
      <c r="AI236" s="810"/>
      <c r="AJ236" s="814"/>
      <c r="AK236" s="814"/>
      <c r="AL236" s="811"/>
      <c r="AQ236" s="554"/>
      <c r="AR236" s="720"/>
      <c r="AS236" s="720"/>
      <c r="AT236" s="584"/>
    </row>
    <row r="237" spans="30:46">
      <c r="AD237"/>
      <c r="AE237" s="810"/>
      <c r="AF237" s="814"/>
      <c r="AG237" s="814"/>
      <c r="AH237" s="811"/>
      <c r="AI237" s="810"/>
      <c r="AJ237" s="814"/>
      <c r="AK237" s="814"/>
      <c r="AL237" s="811"/>
      <c r="AQ237" s="554"/>
      <c r="AR237" s="720"/>
      <c r="AS237" s="720"/>
      <c r="AT237" s="584"/>
    </row>
    <row r="238" spans="30:46">
      <c r="AD238"/>
      <c r="AE238" s="810"/>
      <c r="AF238" s="814"/>
      <c r="AG238" s="814"/>
      <c r="AH238" s="811"/>
      <c r="AI238" s="810"/>
      <c r="AJ238" s="814"/>
      <c r="AK238" s="814"/>
      <c r="AL238" s="811"/>
      <c r="AQ238" s="554"/>
      <c r="AR238" s="720"/>
      <c r="AS238" s="720"/>
      <c r="AT238" s="584"/>
    </row>
    <row r="239" spans="30:46">
      <c r="AD239"/>
      <c r="AE239" s="810"/>
      <c r="AF239" s="814"/>
      <c r="AG239" s="814"/>
      <c r="AH239" s="811"/>
      <c r="AI239" s="810"/>
      <c r="AJ239" s="814"/>
      <c r="AK239" s="814"/>
      <c r="AL239" s="811"/>
      <c r="AQ239" s="554"/>
      <c r="AR239" s="720"/>
      <c r="AS239" s="720"/>
      <c r="AT239" s="584"/>
    </row>
    <row r="240" spans="30:46">
      <c r="AD240"/>
      <c r="AE240" s="810"/>
      <c r="AF240" s="814"/>
      <c r="AG240" s="814"/>
      <c r="AH240" s="811"/>
      <c r="AI240" s="810"/>
      <c r="AJ240" s="814"/>
      <c r="AK240" s="814"/>
      <c r="AL240" s="811"/>
      <c r="AQ240" s="554"/>
      <c r="AR240" s="720"/>
      <c r="AS240" s="720"/>
      <c r="AT240" s="584"/>
    </row>
    <row r="241" spans="30:46">
      <c r="AD241"/>
      <c r="AE241" s="810"/>
      <c r="AF241" s="814"/>
      <c r="AG241" s="814"/>
      <c r="AH241" s="811"/>
      <c r="AI241" s="810"/>
      <c r="AJ241" s="814"/>
      <c r="AK241" s="814"/>
      <c r="AL241" s="811"/>
      <c r="AQ241" s="554"/>
      <c r="AR241" s="720"/>
      <c r="AS241" s="720"/>
      <c r="AT241" s="584"/>
    </row>
    <row r="242" spans="30:46">
      <c r="AD242"/>
      <c r="AE242" s="810"/>
      <c r="AF242" s="814"/>
      <c r="AG242" s="814"/>
      <c r="AH242" s="811"/>
      <c r="AI242" s="810"/>
      <c r="AJ242" s="814"/>
      <c r="AK242" s="814"/>
      <c r="AL242" s="811"/>
      <c r="AQ242" s="554"/>
      <c r="AR242" s="720"/>
      <c r="AS242" s="720"/>
      <c r="AT242" s="584"/>
    </row>
    <row r="243" spans="30:46">
      <c r="AD243"/>
      <c r="AE243" s="810"/>
      <c r="AF243" s="814"/>
      <c r="AG243" s="814"/>
      <c r="AH243" s="811"/>
      <c r="AI243" s="810"/>
      <c r="AJ243" s="814"/>
      <c r="AK243" s="814"/>
      <c r="AL243" s="811"/>
      <c r="AQ243" s="554"/>
      <c r="AR243" s="720"/>
      <c r="AS243" s="720"/>
      <c r="AT243" s="584"/>
    </row>
    <row r="244" spans="30:46">
      <c r="AD244"/>
      <c r="AE244" s="810"/>
      <c r="AF244" s="814"/>
      <c r="AG244" s="814"/>
      <c r="AH244" s="811"/>
      <c r="AI244" s="810"/>
      <c r="AJ244" s="814"/>
      <c r="AK244" s="814"/>
      <c r="AL244" s="811"/>
      <c r="AQ244" s="554"/>
      <c r="AR244" s="720"/>
      <c r="AS244" s="720"/>
      <c r="AT244" s="584"/>
    </row>
    <row r="245" spans="30:46">
      <c r="AD245"/>
      <c r="AE245" s="810"/>
      <c r="AF245" s="814"/>
      <c r="AG245" s="814"/>
      <c r="AH245" s="811"/>
      <c r="AI245" s="810"/>
      <c r="AJ245" s="814"/>
      <c r="AK245" s="814"/>
      <c r="AL245" s="811"/>
      <c r="AQ245" s="554"/>
      <c r="AR245" s="720"/>
      <c r="AS245" s="720"/>
      <c r="AT245" s="584"/>
    </row>
    <row r="246" spans="30:46">
      <c r="AD246"/>
      <c r="AE246" s="810"/>
      <c r="AF246" s="814"/>
      <c r="AG246" s="814"/>
      <c r="AH246" s="811"/>
      <c r="AI246" s="810"/>
      <c r="AJ246" s="814"/>
      <c r="AK246" s="814"/>
      <c r="AL246" s="811"/>
      <c r="AQ246" s="554"/>
      <c r="AR246" s="720"/>
      <c r="AS246" s="720"/>
      <c r="AT246" s="584"/>
    </row>
    <row r="247" spans="30:46">
      <c r="AD247"/>
      <c r="AE247" s="810"/>
      <c r="AF247" s="814"/>
      <c r="AG247" s="814"/>
      <c r="AH247" s="811"/>
      <c r="AI247" s="810"/>
      <c r="AJ247" s="814"/>
      <c r="AK247" s="814"/>
      <c r="AL247" s="811"/>
      <c r="AN247" s="802"/>
      <c r="AP247" s="802"/>
      <c r="AQ247" s="554"/>
      <c r="AR247" s="720"/>
      <c r="AS247" s="720"/>
      <c r="AT247" s="584"/>
    </row>
    <row r="248" spans="30:46" ht="15" thickBot="1">
      <c r="AD248"/>
      <c r="AE248" s="809"/>
      <c r="AF248" s="806"/>
      <c r="AG248" s="806"/>
      <c r="AH248" s="808"/>
      <c r="AI248" s="809"/>
      <c r="AJ248" s="806"/>
      <c r="AK248" s="806"/>
      <c r="AL248" s="808"/>
      <c r="AQ248" s="546"/>
      <c r="AR248" s="544"/>
      <c r="AS248" s="544"/>
      <c r="AT248" s="733"/>
    </row>
    <row r="249" spans="30:46">
      <c r="AD249"/>
      <c r="AE249"/>
      <c r="AF249"/>
      <c r="AG249"/>
      <c r="AH249"/>
      <c r="AI249"/>
    </row>
    <row r="251" spans="30:46" ht="15" thickBot="1">
      <c r="AD251" s="804" t="s">
        <v>7109</v>
      </c>
      <c r="AE251" s="801" t="s">
        <v>2975</v>
      </c>
      <c r="AI251" s="801" t="s">
        <v>5195</v>
      </c>
      <c r="AJ251" s="800"/>
      <c r="AK251" s="800"/>
      <c r="AL251" s="800"/>
      <c r="AM251" s="801" t="s">
        <v>4412</v>
      </c>
      <c r="AN251" s="800"/>
      <c r="AO251" s="800"/>
      <c r="AP251" s="800"/>
      <c r="AQ251" s="801" t="s">
        <v>4412</v>
      </c>
      <c r="AR251" s="800"/>
      <c r="AS251" s="800"/>
      <c r="AT251" s="800"/>
    </row>
    <row r="252" spans="30:46">
      <c r="AD252" s="800"/>
      <c r="AE252" s="807"/>
      <c r="AF252" s="813" t="s">
        <v>6729</v>
      </c>
      <c r="AG252" s="796" t="s">
        <v>2975</v>
      </c>
      <c r="AH252" s="813" t="s">
        <v>7111</v>
      </c>
      <c r="AI252" s="807"/>
      <c r="AJ252" s="813"/>
      <c r="AK252" s="796" t="s">
        <v>5195</v>
      </c>
      <c r="AL252" s="812" t="s">
        <v>7113</v>
      </c>
      <c r="AM252" s="807"/>
      <c r="AN252" s="813"/>
      <c r="AO252" s="796" t="s">
        <v>4413</v>
      </c>
      <c r="AP252" s="812" t="s">
        <v>7112</v>
      </c>
      <c r="AQ252" s="807"/>
      <c r="AR252" s="813"/>
      <c r="AS252" s="796" t="s">
        <v>11388</v>
      </c>
      <c r="AT252" s="812" t="s">
        <v>11389</v>
      </c>
    </row>
    <row r="253" spans="30:46">
      <c r="AD253" s="800"/>
      <c r="AE253" s="819"/>
      <c r="AF253" s="814"/>
      <c r="AG253" s="814"/>
      <c r="AH253" s="814"/>
      <c r="AI253" s="797" t="s">
        <v>6990</v>
      </c>
      <c r="AJ253" s="814"/>
      <c r="AK253" s="814"/>
      <c r="AL253" s="811"/>
      <c r="AM253" s="797" t="s">
        <v>6990</v>
      </c>
      <c r="AN253" s="814"/>
      <c r="AO253" s="814"/>
      <c r="AP253" s="811"/>
      <c r="AQ253" s="797" t="s">
        <v>6990</v>
      </c>
      <c r="AR253" s="814"/>
      <c r="AS253" s="814"/>
      <c r="AT253" s="811"/>
    </row>
    <row r="254" spans="30:46">
      <c r="AD254" s="800"/>
      <c r="AE254" s="810"/>
      <c r="AF254" s="795" t="s">
        <v>6995</v>
      </c>
      <c r="AG254" s="21" t="s">
        <v>6993</v>
      </c>
      <c r="AH254" s="814" t="s">
        <v>7115</v>
      </c>
      <c r="AI254" s="810"/>
      <c r="AJ254" s="814" t="str">
        <f>nmProd2</f>
        <v>Harken</v>
      </c>
      <c r="AK254" s="793" t="str">
        <f>nmProd2</f>
        <v>Harken</v>
      </c>
      <c r="AL254" s="811" t="s">
        <v>7117</v>
      </c>
      <c r="AM254" s="810"/>
      <c r="AN254" s="814" t="str">
        <f>nmProd2</f>
        <v>Harken</v>
      </c>
      <c r="AO254" s="793" t="str">
        <f>nmProd2</f>
        <v>Harken</v>
      </c>
      <c r="AP254" s="811" t="s">
        <v>7116</v>
      </c>
      <c r="AQ254" s="810"/>
      <c r="AR254" s="814" t="str">
        <f>nmProd2</f>
        <v>Harken</v>
      </c>
      <c r="AS254" s="793" t="str">
        <f>nmProd2</f>
        <v>Harken</v>
      </c>
      <c r="AT254" s="811" t="s">
        <v>11390</v>
      </c>
    </row>
    <row r="255" spans="30:46">
      <c r="AD255" s="800"/>
      <c r="AE255" s="810"/>
      <c r="AF255" s="795" t="s">
        <v>6995</v>
      </c>
      <c r="AG255" s="21" t="s">
        <v>4396</v>
      </c>
      <c r="AH255" s="814" t="s">
        <v>7119</v>
      </c>
      <c r="AI255" s="810"/>
      <c r="AJ255" s="814" t="str">
        <f>nmProd3</f>
        <v>Kara</v>
      </c>
      <c r="AK255" s="793" t="str">
        <f>nmProd3</f>
        <v>Kara</v>
      </c>
      <c r="AL255" s="811" t="s">
        <v>7121</v>
      </c>
      <c r="AM255" s="810"/>
      <c r="AN255" s="814" t="str">
        <f>nmProd3</f>
        <v>Kara</v>
      </c>
      <c r="AO255" s="793" t="str">
        <f>nmProd3</f>
        <v>Kara</v>
      </c>
      <c r="AP255" s="811" t="s">
        <v>7120</v>
      </c>
      <c r="AQ255" s="810"/>
      <c r="AR255" s="814" t="str">
        <f>nmProd3</f>
        <v>Kara</v>
      </c>
      <c r="AS255" s="793" t="str">
        <f>nmProd3</f>
        <v>Kara</v>
      </c>
      <c r="AT255" s="811" t="s">
        <v>11391</v>
      </c>
    </row>
    <row r="256" spans="30:46">
      <c r="AD256" s="800"/>
      <c r="AE256" s="810"/>
      <c r="AF256" s="795"/>
      <c r="AH256" s="814"/>
      <c r="AI256" s="810"/>
      <c r="AJ256" s="814" t="str">
        <f>nmProd1</f>
        <v>Greenborg</v>
      </c>
      <c r="AK256" s="793" t="str">
        <f>nmProd1</f>
        <v>Greenborg</v>
      </c>
      <c r="AL256" s="811" t="s">
        <v>7124</v>
      </c>
      <c r="AM256" s="810"/>
      <c r="AN256" s="814" t="str">
        <f>nmProd1</f>
        <v>Greenborg</v>
      </c>
      <c r="AO256" s="793" t="str">
        <f>nmProd1</f>
        <v>Greenborg</v>
      </c>
      <c r="AP256" s="811" t="s">
        <v>7123</v>
      </c>
      <c r="AQ256" s="810"/>
      <c r="AR256" s="814" t="str">
        <f>nmProd1</f>
        <v>Greenborg</v>
      </c>
      <c r="AS256" s="793" t="str">
        <f>nmProd1</f>
        <v>Greenborg</v>
      </c>
      <c r="AT256" s="811" t="s">
        <v>11392</v>
      </c>
    </row>
    <row r="257" spans="30:46">
      <c r="AD257" s="800"/>
      <c r="AE257" s="810"/>
      <c r="AF257" s="795"/>
      <c r="AG257" s="793" t="str">
        <f>IF(INDEX(obalCh1Prod2Slot1Active,,xxIndexTeam)=1,nmProd2&amp;" - "&amp;INDEX(obalCh1Prod2Slot1Pack,,xxIndexTeam),"")</f>
        <v>Harken - 33cl Can</v>
      </c>
      <c r="AH257" s="814" t="s">
        <v>7126</v>
      </c>
      <c r="AI257" s="810"/>
      <c r="AJ257" s="814" t="str">
        <f>nmProd4</f>
        <v>Brew Master</v>
      </c>
      <c r="AK257" s="793" t="str">
        <f>nmProd4</f>
        <v>Brew Master</v>
      </c>
      <c r="AL257" s="811" t="s">
        <v>7128</v>
      </c>
      <c r="AM257" s="810"/>
      <c r="AN257" s="814" t="str">
        <f>nmProd4</f>
        <v>Brew Master</v>
      </c>
      <c r="AO257" s="793" t="str">
        <f>nmProd4</f>
        <v>Brew Master</v>
      </c>
      <c r="AP257" s="811" t="s">
        <v>7127</v>
      </c>
      <c r="AQ257" s="810"/>
      <c r="AR257" s="814" t="str">
        <f>nmProd4</f>
        <v>Brew Master</v>
      </c>
      <c r="AS257" s="793" t="str">
        <f>nmProd4</f>
        <v>Brew Master</v>
      </c>
      <c r="AT257" s="811" t="s">
        <v>11393</v>
      </c>
    </row>
    <row r="258" spans="30:46">
      <c r="AD258" s="800"/>
      <c r="AE258" s="810"/>
      <c r="AF258" s="795"/>
      <c r="AG258" s="793" t="str">
        <f>IF(INDEX(obalCh1Prod2Slot2Active,,xxIndexTeam)=1,nmProd2&amp;" - "&amp;INDEX(obalCh1Prod2Slot2Pack,,xxIndexTeam),"")</f>
        <v>Harken - 6 x 33cl Can</v>
      </c>
      <c r="AH258" s="814" t="s">
        <v>7130</v>
      </c>
      <c r="AI258" s="797" t="s">
        <v>6989</v>
      </c>
      <c r="AJ258" s="814"/>
      <c r="AK258" s="814"/>
      <c r="AL258" s="811"/>
      <c r="AM258" s="797" t="s">
        <v>6989</v>
      </c>
      <c r="AN258" s="814"/>
      <c r="AO258" s="814"/>
      <c r="AP258" s="811"/>
      <c r="AQ258" s="797" t="s">
        <v>6989</v>
      </c>
      <c r="AR258" s="814"/>
      <c r="AS258" s="814"/>
      <c r="AT258" s="811"/>
    </row>
    <row r="259" spans="30:46">
      <c r="AD259" s="800"/>
      <c r="AE259" s="810"/>
      <c r="AF259" s="795"/>
      <c r="AG259" s="793" t="str">
        <f>IF(INDEX(obalCh1Prod2Slot3Active,,xxIndexTeam)=1,nmProd2&amp;" - "&amp;INDEX(obalCh1Prod2Slot3Pack,,xxIndexTeam),"")</f>
        <v/>
      </c>
      <c r="AH259" s="814" t="s">
        <v>7132</v>
      </c>
      <c r="AI259" s="810"/>
      <c r="AJ259" s="814" t="str">
        <f t="shared" ref="AJ259:AJ264" si="58">nmProd2</f>
        <v>Harken</v>
      </c>
      <c r="AK259" s="793" t="str">
        <f>IF(AND(INDEX(obalCh1Prod2Slot1Active,,xxIndexTeam)=1,NOT(INDEX(obalCh1Prod2Slot1Promo1,,xxIndexTeam)="No Promotion")),INDEX(obalCh1Prod2Slot1Pack,,xxIndexTeam)&amp; " - "&amp;INDEX(obalCh1Prod2Slot1Promo1,,xxIndexTeam)&amp;" - "&amp;INDEX(obalCh1Prod2Slot1Promo1Weeks,,xxIndexTeam)&amp;"Ws","")</f>
        <v>33cl Can - TPR 33% - 2Ws</v>
      </c>
      <c r="AL259" s="811" t="s">
        <v>7134</v>
      </c>
      <c r="AM259" s="810"/>
      <c r="AN259" s="814" t="str">
        <f t="shared" ref="AN259:AN264" si="59">nmProd2</f>
        <v>Harken</v>
      </c>
      <c r="AO259" s="793" t="str">
        <f>IF(AND(INDEX(obalCh1Prod2Slot1Active,,xxIndexTeam)=1,NOT(INDEX(obalCh1Prod2Slot1Promo1,,xxIndexTeam)="No Promotion")),INDEX(obalCh1Prod2Slot1Pack,,xxIndexTeam)&amp; " - "&amp;INDEX(obalCh1Prod2Slot1Promo1,,xxIndexTeam)&amp;" - "&amp;INDEX(obalCh1Prod2Slot1Promo1Weeks,,xxIndexTeam)&amp;"Ws","")</f>
        <v>33cl Can - TPR 33% - 2Ws</v>
      </c>
      <c r="AP259" s="811" t="s">
        <v>7133</v>
      </c>
      <c r="AQ259" s="810"/>
      <c r="AR259" s="814" t="str">
        <f t="shared" ref="AR259:AR264" si="60">nmProd2</f>
        <v>Harken</v>
      </c>
      <c r="AS259" s="793" t="str">
        <f>IF(AND(INDEX(obalCh1Prod2Slot1Active,,xxIndexTeam)=1,NOT(INDEX(obalCh1Prod2Slot1Promo1,,xxIndexTeam)="No Promotion")),INDEX(obalCh1Prod2Slot1Pack,,xxIndexTeam)&amp; " - "&amp;INDEX(obalCh1Prod2Slot1Promo1,,xxIndexTeam)&amp;" - "&amp;INDEX(obalCh1Prod2Slot1Promo1Weeks,,xxIndexTeam)&amp;"Ws","")</f>
        <v>33cl Can - TPR 33% - 2Ws</v>
      </c>
      <c r="AT259" s="811" t="s">
        <v>11394</v>
      </c>
    </row>
    <row r="260" spans="30:46">
      <c r="AD260" s="800"/>
      <c r="AE260" s="554"/>
      <c r="AF260" s="720"/>
      <c r="AG260" s="793" t="str">
        <f>IF(INDEX(obalCh1Prod3Slot1Active,,xxIndexTeam)=1,nmProd3&amp;" - "&amp;INDEX(obalCh1Prod3Slot1Pack,,xxIndexTeam),"")</f>
        <v>Kara - 25cl Can</v>
      </c>
      <c r="AH260" s="814" t="s">
        <v>7136</v>
      </c>
      <c r="AI260" s="810"/>
      <c r="AJ260" s="814" t="str">
        <f t="shared" si="58"/>
        <v>Harken</v>
      </c>
      <c r="AK260" s="793" t="str">
        <f>IF(AND(INDEX(obalCh1Prod2Slot1Active,,xxIndexTeam)=1,NOT(INDEX(obalCh1Prod2Slot1Promo2,,xxIndexTeam)="No Promotion")),INDEX(obalCh1Prod2Slot1Pack,,xxIndexTeam)&amp; " - "&amp;INDEX(obalCh1Prod2Slot1Promo2,,xxIndexTeam)&amp;" - "&amp;INDEX(obalCh1Prod2Slot1Promo2Weeks,,xxIndexTeam)&amp;"Ws","")</f>
        <v/>
      </c>
      <c r="AL260" s="811" t="s">
        <v>7138</v>
      </c>
      <c r="AM260" s="810"/>
      <c r="AN260" s="814" t="str">
        <f t="shared" si="59"/>
        <v>Harken</v>
      </c>
      <c r="AO260" s="793" t="str">
        <f>IF(AND(INDEX(obalCh1Prod2Slot1Active,,xxIndexTeam)=1,NOT(INDEX(obalCh1Prod2Slot1Promo2,,xxIndexTeam)="No Promotion")),INDEX(obalCh1Prod2Slot1Pack,,xxIndexTeam)&amp; " - "&amp;INDEX(obalCh1Prod2Slot1Promo2,,xxIndexTeam)&amp;" - "&amp;INDEX(obalCh1Prod2Slot1Promo2Weeks,,xxIndexTeam)&amp;"Ws","")</f>
        <v/>
      </c>
      <c r="AP260" s="811" t="s">
        <v>7137</v>
      </c>
      <c r="AQ260" s="810"/>
      <c r="AR260" s="814" t="str">
        <f t="shared" si="60"/>
        <v>Harken</v>
      </c>
      <c r="AS260" s="793" t="str">
        <f>IF(AND(INDEX(obalCh1Prod2Slot1Active,,xxIndexTeam)=1,NOT(INDEX(obalCh1Prod2Slot1Promo2,,xxIndexTeam)="No Promotion")),INDEX(obalCh1Prod2Slot1Pack,,xxIndexTeam)&amp; " - "&amp;INDEX(obalCh1Prod2Slot1Promo2,,xxIndexTeam)&amp;" - "&amp;INDEX(obalCh1Prod2Slot1Promo2Weeks,,xxIndexTeam)&amp;"Ws","")</f>
        <v/>
      </c>
      <c r="AT260" s="811" t="s">
        <v>11395</v>
      </c>
    </row>
    <row r="261" spans="30:46">
      <c r="AD261" s="800"/>
      <c r="AE261" s="554"/>
      <c r="AF261" s="720"/>
      <c r="AG261" s="793" t="str">
        <f>IF(INDEX(obalCh1Prod3Slot2Active,,xxIndexTeam)=1,nmProd3&amp;" - "&amp;INDEX(obalCh1Prod3Slot2Pack,,xxIndexTeam),"")</f>
        <v>Kara - 6 x 33cl Can</v>
      </c>
      <c r="AH261" s="814" t="s">
        <v>7140</v>
      </c>
      <c r="AI261" s="810"/>
      <c r="AJ261" s="814" t="str">
        <f t="shared" si="58"/>
        <v>Harken</v>
      </c>
      <c r="AK261" s="793" t="str">
        <f>IF(AND(INDEX(obalCh1Prod2Slot2Active,,xxIndexTeam)=1,NOT(INDEX(obalCh1Prod2Slot2Promo1,,xxIndexTeam)="No Promotion")),INDEX(obalCh1Prod2Slot2Pack,,xxIndexTeam)&amp; " - "&amp;INDEX(obalCh1Prod2Slot2Promo1,,xxIndexTeam)&amp;" - "&amp;INDEX(obalCh1Prod2Slot2Promo1Weeks,,xxIndexTeam)&amp;"Ws","")</f>
        <v>6 x 33cl Can - TPR 20% - 3Ws</v>
      </c>
      <c r="AL261" s="811" t="s">
        <v>7142</v>
      </c>
      <c r="AM261" s="810"/>
      <c r="AN261" s="814" t="str">
        <f t="shared" si="59"/>
        <v>Harken</v>
      </c>
      <c r="AO261" s="793" t="str">
        <f>IF(AND(INDEX(obalCh1Prod2Slot2Active,,xxIndexTeam)=1,NOT(INDEX(obalCh1Prod2Slot2Promo1,,xxIndexTeam)="No Promotion")),INDEX(obalCh1Prod2Slot2Pack,,xxIndexTeam)&amp; " - "&amp;INDEX(obalCh1Prod2Slot2Promo1,,xxIndexTeam)&amp;" - "&amp;INDEX(obalCh1Prod2Slot2Promo1Weeks,,xxIndexTeam)&amp;"Ws","")</f>
        <v>6 x 33cl Can - TPR 20% - 3Ws</v>
      </c>
      <c r="AP261" s="811" t="s">
        <v>7141</v>
      </c>
      <c r="AQ261" s="810"/>
      <c r="AR261" s="814" t="str">
        <f t="shared" si="60"/>
        <v>Harken</v>
      </c>
      <c r="AS261" s="793" t="str">
        <f>IF(AND(INDEX(obalCh1Prod2Slot2Active,,xxIndexTeam)=1,NOT(INDEX(obalCh1Prod2Slot2Promo1,,xxIndexTeam)="No Promotion")),INDEX(obalCh1Prod2Slot2Pack,,xxIndexTeam)&amp; " - "&amp;INDEX(obalCh1Prod2Slot2Promo1,,xxIndexTeam)&amp;" - "&amp;INDEX(obalCh1Prod2Slot2Promo1Weeks,,xxIndexTeam)&amp;"Ws","")</f>
        <v>6 x 33cl Can - TPR 20% - 3Ws</v>
      </c>
      <c r="AT261" s="811" t="s">
        <v>11396</v>
      </c>
    </row>
    <row r="262" spans="30:46">
      <c r="AD262" s="800"/>
      <c r="AE262" s="810"/>
      <c r="AF262" s="814"/>
      <c r="AG262" s="793" t="str">
        <f>IF(INDEX(obalCh1Prod3Slot3Active,,xxIndexTeam)=1,nmProd3&amp;" - "&amp;INDEX(obalCh1Prod3Slot3Pack,,xxIndexTeam),"")</f>
        <v/>
      </c>
      <c r="AH262" s="814" t="s">
        <v>7144</v>
      </c>
      <c r="AI262" s="810"/>
      <c r="AJ262" s="814" t="str">
        <f t="shared" si="58"/>
        <v>Harken</v>
      </c>
      <c r="AK262" s="793" t="str">
        <f>IF(AND(INDEX(obalCh1Prod2Slot2Active,,xxIndexTeam)=1,NOT(INDEX(obalCh1Prod2Slot2Promo2,,xxIndexTeam)="No Promotion")),INDEX(obalCh1Prod2Slot2Pack,,xxIndexTeam)&amp; " - "&amp;INDEX(obalCh1Prod2Slot2Promo2,,xxIndexTeam)&amp;" - "&amp;INDEX(obalCh1Prod2Slot2Promo2Weeks,,xxIndexTeam)&amp;"Ws","")</f>
        <v>6 x 33cl Can - 3/2 - 2Ws</v>
      </c>
      <c r="AL262" s="811" t="s">
        <v>7146</v>
      </c>
      <c r="AM262" s="554"/>
      <c r="AN262" s="814" t="str">
        <f t="shared" si="59"/>
        <v>Harken</v>
      </c>
      <c r="AO262" s="793" t="str">
        <f>IF(AND(INDEX(obalCh1Prod2Slot2Active,,xxIndexTeam)=1,NOT(INDEX(obalCh1Prod2Slot2Promo2,,xxIndexTeam)="No Promotion")),INDEX(obalCh1Prod2Slot2Pack,,xxIndexTeam)&amp; " - "&amp;INDEX(obalCh1Prod2Slot2Promo2,,xxIndexTeam)&amp;" - "&amp;INDEX(obalCh1Prod2Slot2Promo2Weeks,,xxIndexTeam)&amp;"Ws","")</f>
        <v>6 x 33cl Can - 3/2 - 2Ws</v>
      </c>
      <c r="AP262" s="811" t="s">
        <v>7145</v>
      </c>
      <c r="AQ262" s="554"/>
      <c r="AR262" s="814" t="str">
        <f t="shared" si="60"/>
        <v>Harken</v>
      </c>
      <c r="AS262" s="793" t="str">
        <f>IF(AND(INDEX(obalCh1Prod2Slot2Active,,xxIndexTeam)=1,NOT(INDEX(obalCh1Prod2Slot2Promo2,,xxIndexTeam)="No Promotion")),INDEX(obalCh1Prod2Slot2Pack,,xxIndexTeam)&amp; " - "&amp;INDEX(obalCh1Prod2Slot2Promo2,,xxIndexTeam)&amp;" - "&amp;INDEX(obalCh1Prod2Slot2Promo2Weeks,,xxIndexTeam)&amp;"Ws","")</f>
        <v>6 x 33cl Can - 3/2 - 2Ws</v>
      </c>
      <c r="AT262" s="811" t="s">
        <v>11397</v>
      </c>
    </row>
    <row r="263" spans="30:46">
      <c r="AD263" s="800"/>
      <c r="AE263" s="810"/>
      <c r="AF263" s="814"/>
      <c r="AG263" s="793" t="str">
        <f>IF(INDEX(obalCh1Prod1Slot1Active,,xxIndexTeam)=1,nmProd1&amp;" - "&amp;INDEX(obalCh1Prod1Slot1Pack,,xxIndexTeam),"")</f>
        <v>Greenborg - 24 x 33cl Can</v>
      </c>
      <c r="AH263" s="814" t="s">
        <v>7148</v>
      </c>
      <c r="AI263" s="810"/>
      <c r="AJ263" s="814" t="str">
        <f t="shared" si="58"/>
        <v>Harken</v>
      </c>
      <c r="AK263" s="793" t="str">
        <f>IF(AND(INDEX(obalCh1Prod2Slot3Active,,xxIndexTeam)=1,NOT(INDEX(obalCh1Prod2Slot3Promo1,,xxIndexTeam)="No Promotion")),INDEX(obalCh1Prod2Slot3Pack,,xxIndexTeam)&amp; " - "&amp;INDEX(obalCh1Prod2Slot3Promo1,,xxIndexTeam)&amp;" - "&amp;INDEX(obalCh1Prod2Slot3Promo1Weeks,,xxIndexTeam)&amp;"Ws","")</f>
        <v/>
      </c>
      <c r="AL263" s="811" t="s">
        <v>7150</v>
      </c>
      <c r="AM263" s="554"/>
      <c r="AN263" s="814" t="str">
        <f t="shared" si="59"/>
        <v>Harken</v>
      </c>
      <c r="AO263" s="793" t="str">
        <f>IF(AND(INDEX(obalCh1Prod2Slot3Active,,xxIndexTeam)=1,NOT(INDEX(obalCh1Prod2Slot3Promo1,,xxIndexTeam)="No Promotion")),INDEX(obalCh1Prod2Slot3Pack,,xxIndexTeam)&amp; " - "&amp;INDEX(obalCh1Prod2Slot3Promo1,,xxIndexTeam)&amp;" - "&amp;INDEX(obalCh1Prod2Slot3Promo1Weeks,,xxIndexTeam)&amp;"Ws","")</f>
        <v/>
      </c>
      <c r="AP263" s="811" t="s">
        <v>7149</v>
      </c>
      <c r="AQ263" s="554"/>
      <c r="AR263" s="814" t="str">
        <f t="shared" si="60"/>
        <v>Harken</v>
      </c>
      <c r="AS263" s="793" t="str">
        <f>IF(AND(INDEX(obalCh1Prod2Slot3Active,,xxIndexTeam)=1,NOT(INDEX(obalCh1Prod2Slot3Promo1,,xxIndexTeam)="No Promotion")),INDEX(obalCh1Prod2Slot3Pack,,xxIndexTeam)&amp; " - "&amp;INDEX(obalCh1Prod2Slot3Promo1,,xxIndexTeam)&amp;" - "&amp;INDEX(obalCh1Prod2Slot3Promo1Weeks,,xxIndexTeam)&amp;"Ws","")</f>
        <v/>
      </c>
      <c r="AT263" s="811" t="s">
        <v>11398</v>
      </c>
    </row>
    <row r="264" spans="30:46">
      <c r="AD264" s="800"/>
      <c r="AE264" s="810"/>
      <c r="AF264" s="814"/>
      <c r="AG264" s="793" t="str">
        <f>IF(INDEX(obalCh1Prod1Slot2Active,,xxIndexTeam)=1,nmProd1&amp;" - "&amp;INDEX(obalCh1Prod1Slot2Pack,,xxIndexTeam),"")</f>
        <v/>
      </c>
      <c r="AH264" s="814" t="s">
        <v>7152</v>
      </c>
      <c r="AI264" s="810"/>
      <c r="AJ264" s="814" t="str">
        <f t="shared" si="58"/>
        <v>Harken</v>
      </c>
      <c r="AK264" s="793" t="str">
        <f>IF(AND(INDEX(obalCh1Prod2Slot3Active,,xxIndexTeam)=1,NOT(INDEX(obalCh1Prod2Slot3Promo2,,xxIndexTeam)="No Promotion")),INDEX(obalCh1Prod2Slot3Pack,,xxIndexTeam)&amp; " - "&amp;INDEX(obalCh1Prod2Slot3Promo2,,xxIndexTeam)&amp;" - "&amp;INDEX(obalCh1Prod2Slot3Promo2Weeks,,xxIndexTeam)&amp;"Ws","")</f>
        <v/>
      </c>
      <c r="AL264" s="811" t="s">
        <v>7154</v>
      </c>
      <c r="AM264" s="554"/>
      <c r="AN264" s="814" t="str">
        <f t="shared" si="59"/>
        <v>Harken</v>
      </c>
      <c r="AO264" s="793" t="str">
        <f>IF(AND(INDEX(obalCh1Prod2Slot3Active,,xxIndexTeam)=1,NOT(INDEX(obalCh1Prod2Slot3Promo2,,xxIndexTeam)="No Promotion")),INDEX(obalCh1Prod2Slot3Pack,,xxIndexTeam)&amp; " - "&amp;INDEX(obalCh1Prod2Slot3Promo2,,xxIndexTeam)&amp;" - "&amp;INDEX(obalCh1Prod2Slot3Promo2Weeks,,xxIndexTeam)&amp;"Ws","")</f>
        <v/>
      </c>
      <c r="AP264" s="811" t="s">
        <v>7153</v>
      </c>
      <c r="AQ264" s="554"/>
      <c r="AR264" s="814" t="str">
        <f t="shared" si="60"/>
        <v>Harken</v>
      </c>
      <c r="AS264" s="793" t="str">
        <f>IF(AND(INDEX(obalCh1Prod2Slot3Active,,xxIndexTeam)=1,NOT(INDEX(obalCh1Prod2Slot3Promo2,,xxIndexTeam)="No Promotion")),INDEX(obalCh1Prod2Slot3Pack,,xxIndexTeam)&amp; " - "&amp;INDEX(obalCh1Prod2Slot3Promo2,,xxIndexTeam)&amp;" - "&amp;INDEX(obalCh1Prod2Slot3Promo2Weeks,,xxIndexTeam)&amp;"Ws","")</f>
        <v/>
      </c>
      <c r="AT264" s="811" t="s">
        <v>11399</v>
      </c>
    </row>
    <row r="265" spans="30:46">
      <c r="AD265" s="800"/>
      <c r="AE265" s="810"/>
      <c r="AF265" s="814"/>
      <c r="AG265" s="793" t="str">
        <f>IF(INDEX(obalCh1Prod1Slot3Active,,xxIndexTeam)=1,nmProd1&amp;" - "&amp;INDEX(obalCh1Prod1Slot3Pack,,xxIndexTeam),"")</f>
        <v/>
      </c>
      <c r="AH265" s="814" t="s">
        <v>7156</v>
      </c>
      <c r="AI265" s="810"/>
      <c r="AJ265" s="814" t="str">
        <f t="shared" ref="AJ265:AJ270" si="61">nmProd3</f>
        <v>Kara</v>
      </c>
      <c r="AK265" s="793" t="str">
        <f>IF(AND(INDEX(obalCh1Prod3Slot1Active,,xxIndexTeam)=1,NOT(INDEX(obalCh1Prod3Slot1Promo1,,xxIndexTeam)="No Promotion")),INDEX(obalCh1Prod3Slot1Pack,,xxIndexTeam)&amp; " - "&amp;INDEX(obalCh1Prod3Slot1Promo1,,xxIndexTeam)&amp;" - "&amp;INDEX(obalCh1Prod3Slot1Promo1Weeks,,xxIndexTeam)&amp;"Ws","")</f>
        <v>25cl Can - TPR 33% - 2Ws</v>
      </c>
      <c r="AL265" s="811" t="s">
        <v>7158</v>
      </c>
      <c r="AM265" s="810"/>
      <c r="AN265" s="814" t="str">
        <f t="shared" ref="AN265:AN270" si="62">nmProd3</f>
        <v>Kara</v>
      </c>
      <c r="AO265" s="793" t="str">
        <f>IF(AND(INDEX(obalCh1Prod3Slot1Active,,xxIndexTeam)=1,NOT(INDEX(obalCh1Prod3Slot1Promo1,,xxIndexTeam)="No Promotion")),INDEX(obalCh1Prod3Slot1Pack,,xxIndexTeam)&amp; " - "&amp;INDEX(obalCh1Prod3Slot1Promo1,,xxIndexTeam)&amp;" - "&amp;INDEX(obalCh1Prod3Slot1Promo1Weeks,,xxIndexTeam)&amp;"Ws","")</f>
        <v>25cl Can - TPR 33% - 2Ws</v>
      </c>
      <c r="AP265" s="811" t="s">
        <v>7157</v>
      </c>
      <c r="AQ265" s="810"/>
      <c r="AR265" s="814" t="str">
        <f t="shared" ref="AR265:AR270" si="63">nmProd3</f>
        <v>Kara</v>
      </c>
      <c r="AS265" s="793" t="str">
        <f>IF(AND(INDEX(obalCh1Prod3Slot1Active,,xxIndexTeam)=1,NOT(INDEX(obalCh1Prod3Slot1Promo1,,xxIndexTeam)="No Promotion")),INDEX(obalCh1Prod3Slot1Pack,,xxIndexTeam)&amp; " - "&amp;INDEX(obalCh1Prod3Slot1Promo1,,xxIndexTeam)&amp;" - "&amp;INDEX(obalCh1Prod3Slot1Promo1Weeks,,xxIndexTeam)&amp;"Ws","")</f>
        <v>25cl Can - TPR 33% - 2Ws</v>
      </c>
      <c r="AT265" s="811" t="s">
        <v>11400</v>
      </c>
    </row>
    <row r="266" spans="30:46">
      <c r="AD266" s="800"/>
      <c r="AE266" s="810"/>
      <c r="AF266" s="814"/>
      <c r="AG266" s="793" t="str">
        <f>IF(INDEX(obalCh1Prod4Slot1Active,,xxIndexTeam)=1,nmProd4&amp;" - "&amp;INDEX(obalCh1Prod4Slot1Pack,,xxIndexTeam),"")</f>
        <v/>
      </c>
      <c r="AH266" s="814" t="s">
        <v>7160</v>
      </c>
      <c r="AI266" s="810"/>
      <c r="AJ266" s="814" t="str">
        <f t="shared" si="61"/>
        <v>Kara</v>
      </c>
      <c r="AK266" s="793" t="str">
        <f>IF(AND(INDEX(obalCh1Prod3Slot1Active,,xxIndexTeam)=1,NOT(INDEX(obalCh1Prod3Slot1Promo2,,xxIndexTeam)="No Promotion")),INDEX(obalCh1Prod3Slot1Pack,,xxIndexTeam)&amp; " - "&amp;INDEX(obalCh1Prod3Slot1Promo2,,xxIndexTeam)&amp;" - "&amp;INDEX(obalCh1Prod3Slot1Promo2Weeks,,xxIndexTeam)&amp;"Ws","")</f>
        <v/>
      </c>
      <c r="AL266" s="811" t="s">
        <v>7162</v>
      </c>
      <c r="AM266" s="810"/>
      <c r="AN266" s="814" t="str">
        <f t="shared" si="62"/>
        <v>Kara</v>
      </c>
      <c r="AO266" s="793" t="str">
        <f>IF(AND(INDEX(obalCh1Prod3Slot1Active,,xxIndexTeam)=1,NOT(INDEX(obalCh1Prod3Slot1Promo2,,xxIndexTeam)="No Promotion")),INDEX(obalCh1Prod3Slot1Pack,,xxIndexTeam)&amp; " - "&amp;INDEX(obalCh1Prod3Slot1Promo2,,xxIndexTeam)&amp;" - "&amp;INDEX(obalCh1Prod3Slot1Promo2Weeks,,xxIndexTeam)&amp;"Ws","")</f>
        <v/>
      </c>
      <c r="AP266" s="811" t="s">
        <v>7161</v>
      </c>
      <c r="AQ266" s="810"/>
      <c r="AR266" s="814" t="str">
        <f t="shared" si="63"/>
        <v>Kara</v>
      </c>
      <c r="AS266" s="793" t="str">
        <f>IF(AND(INDEX(obalCh1Prod3Slot1Active,,xxIndexTeam)=1,NOT(INDEX(obalCh1Prod3Slot1Promo2,,xxIndexTeam)="No Promotion")),INDEX(obalCh1Prod3Slot1Pack,,xxIndexTeam)&amp; " - "&amp;INDEX(obalCh1Prod3Slot1Promo2,,xxIndexTeam)&amp;" - "&amp;INDEX(obalCh1Prod3Slot1Promo2Weeks,,xxIndexTeam)&amp;"Ws","")</f>
        <v/>
      </c>
      <c r="AT266" s="811" t="s">
        <v>11401</v>
      </c>
    </row>
    <row r="267" spans="30:46">
      <c r="AD267" s="800"/>
      <c r="AE267" s="810"/>
      <c r="AF267" s="814"/>
      <c r="AG267" s="793" t="str">
        <f>IF(INDEX(obalCh1Prod4Slot2Active,,xxIndexTeam)=1,nmProd4&amp;" - "&amp;INDEX(obalCh1Prod4Slot2Pack,,xxIndexTeam),"")</f>
        <v/>
      </c>
      <c r="AH267" s="814" t="s">
        <v>7164</v>
      </c>
      <c r="AI267" s="810"/>
      <c r="AJ267" s="814" t="str">
        <f t="shared" si="61"/>
        <v>Kara</v>
      </c>
      <c r="AK267" s="793" t="str">
        <f>IF(AND(INDEX(obalCh1Prod3Slot2Active,,xxIndexTeam)=1,NOT(INDEX(obalCh1Prod3Slot2Promo1,,xxIndexTeam)="No Promotion")),INDEX(obalCh1Prod3Slot2Pack,,xxIndexTeam)&amp; " - "&amp;INDEX(obalCh1Prod3Slot2Promo1,,xxIndexTeam)&amp;" - "&amp;INDEX(obalCh1Prod3Slot2Promo1Weeks,,xxIndexTeam)&amp;"Ws","")</f>
        <v>6 x 33cl Can - TPR 20% - 3Ws</v>
      </c>
      <c r="AL267" s="811" t="s">
        <v>7166</v>
      </c>
      <c r="AM267" s="810"/>
      <c r="AN267" s="814" t="str">
        <f t="shared" si="62"/>
        <v>Kara</v>
      </c>
      <c r="AO267" s="793" t="str">
        <f>IF(AND(INDEX(obalCh1Prod3Slot2Active,,xxIndexTeam)=1,NOT(INDEX(obalCh1Prod3Slot2Promo1,,xxIndexTeam)="No Promotion")),INDEX(obalCh1Prod3Slot2Pack,,xxIndexTeam)&amp; " - "&amp;INDEX(obalCh1Prod3Slot2Promo1,,xxIndexTeam)&amp;" - "&amp;INDEX(obalCh1Prod3Slot2Promo1Weeks,,xxIndexTeam)&amp;"Ws","")</f>
        <v>6 x 33cl Can - TPR 20% - 3Ws</v>
      </c>
      <c r="AP267" s="811" t="s">
        <v>7165</v>
      </c>
      <c r="AQ267" s="810"/>
      <c r="AR267" s="814" t="str">
        <f t="shared" si="63"/>
        <v>Kara</v>
      </c>
      <c r="AS267" s="793" t="str">
        <f>IF(AND(INDEX(obalCh1Prod3Slot2Active,,xxIndexTeam)=1,NOT(INDEX(obalCh1Prod3Slot2Promo1,,xxIndexTeam)="No Promotion")),INDEX(obalCh1Prod3Slot2Pack,,xxIndexTeam)&amp; " - "&amp;INDEX(obalCh1Prod3Slot2Promo1,,xxIndexTeam)&amp;" - "&amp;INDEX(obalCh1Prod3Slot2Promo1Weeks,,xxIndexTeam)&amp;"Ws","")</f>
        <v>6 x 33cl Can - TPR 20% - 3Ws</v>
      </c>
      <c r="AT267" s="811" t="s">
        <v>11402</v>
      </c>
    </row>
    <row r="268" spans="30:46">
      <c r="AD268" s="800"/>
      <c r="AE268" s="810"/>
      <c r="AF268" s="814"/>
      <c r="AG268" s="793" t="str">
        <f>IF(INDEX(obalCh1Prod4Slot3Active,,xxIndexTeam)=1,nmProd4&amp;" - "&amp;INDEX(obalCh1Prod4Slot3Pack,,xxIndexTeam),"")</f>
        <v/>
      </c>
      <c r="AH268" s="814" t="s">
        <v>7168</v>
      </c>
      <c r="AI268" s="810"/>
      <c r="AJ268" s="814" t="str">
        <f t="shared" si="61"/>
        <v>Kara</v>
      </c>
      <c r="AK268" s="793" t="str">
        <f>IF(AND(INDEX(obalCh1Prod3Slot2Active,,xxIndexTeam)=1,NOT(INDEX(obalCh1Prod3Slot2Promo2,,xxIndexTeam)="No Promotion")),INDEX(obalCh1Prod3Slot2Pack,,xxIndexTeam)&amp; " - "&amp;INDEX(obalCh1Prod3Slot2Promo2,,xxIndexTeam)&amp;" - "&amp;INDEX(obalCh1Prod3Slot2Promo2Weeks,,xxIndexTeam)&amp;"Ws","")</f>
        <v/>
      </c>
      <c r="AL268" s="811" t="s">
        <v>7170</v>
      </c>
      <c r="AM268" s="554"/>
      <c r="AN268" s="814" t="str">
        <f t="shared" si="62"/>
        <v>Kara</v>
      </c>
      <c r="AO268" s="793" t="str">
        <f>IF(AND(INDEX(obalCh1Prod3Slot2Active,,xxIndexTeam)=1,NOT(INDEX(obalCh1Prod3Slot2Promo2,,xxIndexTeam)="No Promotion")),INDEX(obalCh1Prod3Slot2Pack,,xxIndexTeam)&amp; " - "&amp;INDEX(obalCh1Prod3Slot2Promo2,,xxIndexTeam)&amp;" - "&amp;INDEX(obalCh1Prod3Slot2Promo2Weeks,,xxIndexTeam)&amp;"Ws","")</f>
        <v/>
      </c>
      <c r="AP268" s="811" t="s">
        <v>7169</v>
      </c>
      <c r="AQ268" s="554"/>
      <c r="AR268" s="814" t="str">
        <f t="shared" si="63"/>
        <v>Kara</v>
      </c>
      <c r="AS268" s="793" t="str">
        <f>IF(AND(INDEX(obalCh1Prod3Slot2Active,,xxIndexTeam)=1,NOT(INDEX(obalCh1Prod3Slot2Promo2,,xxIndexTeam)="No Promotion")),INDEX(obalCh1Prod3Slot2Pack,,xxIndexTeam)&amp; " - "&amp;INDEX(obalCh1Prod3Slot2Promo2,,xxIndexTeam)&amp;" - "&amp;INDEX(obalCh1Prod3Slot2Promo2Weeks,,xxIndexTeam)&amp;"Ws","")</f>
        <v/>
      </c>
      <c r="AT268" s="811" t="s">
        <v>11403</v>
      </c>
    </row>
    <row r="269" spans="30:46">
      <c r="AD269" s="800"/>
      <c r="AE269" s="554"/>
      <c r="AF269" s="720"/>
      <c r="AG269" s="795"/>
      <c r="AH269" s="795"/>
      <c r="AI269" s="810"/>
      <c r="AJ269" s="814" t="str">
        <f t="shared" si="61"/>
        <v>Kara</v>
      </c>
      <c r="AK269" s="793" t="str">
        <f>IF(AND(INDEX(obalCh1Prod3Slot3Active,,xxIndexTeam)=1,NOT(INDEX(obalCh1Prod3Slot3Promo1,,xxIndexTeam)="No Promotion")),INDEX(obalCh1Prod3Slot3Pack,,xxIndexTeam)&amp; " - "&amp;INDEX(obalCh1Prod3Slot3Promo1,,xxIndexTeam)&amp;" - "&amp;INDEX(obalCh1Prod3Slot3Promo1Weeks,,xxIndexTeam)&amp;"Ws","")</f>
        <v/>
      </c>
      <c r="AL269" s="811" t="s">
        <v>7173</v>
      </c>
      <c r="AM269" s="554"/>
      <c r="AN269" s="814" t="str">
        <f t="shared" si="62"/>
        <v>Kara</v>
      </c>
      <c r="AO269" s="793" t="str">
        <f>IF(AND(INDEX(obalCh1Prod3Slot3Active,,xxIndexTeam)=1,NOT(INDEX(obalCh1Prod3Slot3Promo1,,xxIndexTeam)="No Promotion")),INDEX(obalCh1Prod3Slot3Pack,,xxIndexTeam)&amp; " - "&amp;INDEX(obalCh1Prod3Slot3Promo1,,xxIndexTeam)&amp;" - "&amp;INDEX(obalCh1Prod3Slot3Promo1Weeks,,xxIndexTeam)&amp;"Ws","")</f>
        <v/>
      </c>
      <c r="AP269" s="811" t="s">
        <v>7172</v>
      </c>
      <c r="AQ269" s="554"/>
      <c r="AR269" s="814" t="str">
        <f t="shared" si="63"/>
        <v>Kara</v>
      </c>
      <c r="AS269" s="793" t="str">
        <f>IF(AND(INDEX(obalCh1Prod3Slot3Active,,xxIndexTeam)=1,NOT(INDEX(obalCh1Prod3Slot3Promo1,,xxIndexTeam)="No Promotion")),INDEX(obalCh1Prod3Slot3Pack,,xxIndexTeam)&amp; " - "&amp;INDEX(obalCh1Prod3Slot3Promo1,,xxIndexTeam)&amp;" - "&amp;INDEX(obalCh1Prod3Slot3Promo1Weeks,,xxIndexTeam)&amp;"Ws","")</f>
        <v/>
      </c>
      <c r="AT269" s="811" t="s">
        <v>11404</v>
      </c>
    </row>
    <row r="270" spans="30:46">
      <c r="AD270" s="800"/>
      <c r="AE270" s="554"/>
      <c r="AF270" s="720"/>
      <c r="AG270" s="922">
        <f>IF(INDEX(obalCh1Prod2Slot1Active,,xxIndexTeam)=1,INDEX(obalCh1Prod2Slot1Promo1Share,,xxIndexTeam),"")</f>
        <v>0.17687065352805156</v>
      </c>
      <c r="AH270" s="814" t="s">
        <v>7175</v>
      </c>
      <c r="AI270" s="810"/>
      <c r="AJ270" s="814" t="str">
        <f t="shared" si="61"/>
        <v>Kara</v>
      </c>
      <c r="AK270" s="793" t="str">
        <f>IF(AND(INDEX(obalCh1Prod3Slot3Active,,xxIndexTeam)=1,NOT(INDEX(obalCh1Prod3Slot3Promo2,,xxIndexTeam)="No Promotion")),INDEX(obalCh1Prod3Slot3Pack,,xxIndexTeam)&amp; " - "&amp;INDEX(obalCh1Prod3Slot3Promo2,,xxIndexTeam)&amp;" - "&amp;INDEX(obalCh1Prod3Slot3Promo2Weeks,,xxIndexTeam)&amp;"Ws","")</f>
        <v/>
      </c>
      <c r="AL270" s="811" t="s">
        <v>7177</v>
      </c>
      <c r="AM270" s="554"/>
      <c r="AN270" s="814" t="str">
        <f t="shared" si="62"/>
        <v>Kara</v>
      </c>
      <c r="AO270" s="793" t="str">
        <f>IF(AND(INDEX(obalCh1Prod3Slot3Active,,xxIndexTeam)=1,NOT(INDEX(obalCh1Prod3Slot3Promo2,,xxIndexTeam)="No Promotion")),INDEX(obalCh1Prod3Slot3Pack,,xxIndexTeam)&amp; " - "&amp;INDEX(obalCh1Prod3Slot3Promo2,,xxIndexTeam)&amp;" - "&amp;INDEX(obalCh1Prod3Slot3Promo2Weeks,,xxIndexTeam)&amp;"Ws","")</f>
        <v/>
      </c>
      <c r="AP270" s="811" t="s">
        <v>7176</v>
      </c>
      <c r="AQ270" s="554"/>
      <c r="AR270" s="814" t="str">
        <f t="shared" si="63"/>
        <v>Kara</v>
      </c>
      <c r="AS270" s="793" t="str">
        <f>IF(AND(INDEX(obalCh1Prod3Slot3Active,,xxIndexTeam)=1,NOT(INDEX(obalCh1Prod3Slot3Promo2,,xxIndexTeam)="No Promotion")),INDEX(obalCh1Prod3Slot3Pack,,xxIndexTeam)&amp; " - "&amp;INDEX(obalCh1Prod3Slot3Promo2,,xxIndexTeam)&amp;" - "&amp;INDEX(obalCh1Prod3Slot3Promo2Weeks,,xxIndexTeam)&amp;"Ws","")</f>
        <v/>
      </c>
      <c r="AT270" s="811" t="s">
        <v>11405</v>
      </c>
    </row>
    <row r="271" spans="30:46">
      <c r="AD271" s="800"/>
      <c r="AE271" s="554"/>
      <c r="AF271" s="720"/>
      <c r="AG271" s="922">
        <f>IF(INDEX(obalCh1Prod2Slot2Active,,xxIndexTeam)=1,INDEX(obalCh1Prod2Slot2Promo1Share,,xxIndexTeam),"")</f>
        <v>0.15084596985518509</v>
      </c>
      <c r="AH271" s="814" t="s">
        <v>7179</v>
      </c>
      <c r="AI271" s="810"/>
      <c r="AJ271" s="814" t="str">
        <f t="shared" ref="AJ271:AJ276" si="64">nmProd1</f>
        <v>Greenborg</v>
      </c>
      <c r="AK271" s="793" t="str">
        <f>IF(AND(INDEX(obalCh1Prod1Slot1Active,,xxIndexTeam)=1,NOT(INDEX(obalCh1Prod1Slot1Promo1,,xxIndexTeam)="No Promotion")),INDEX(obalCh1Prod1Slot1Pack,,xxIndexTeam)&amp; " - "&amp;INDEX(obalCh1Prod1Slot1Promo1,,xxIndexTeam)&amp;" - "&amp;INDEX(obalCh1Prod1Slot1Promo1Weeks,,xxIndexTeam)&amp;"Ws","")</f>
        <v>24 x 33cl Can - TPR 33% - 4Ws</v>
      </c>
      <c r="AL271" s="811" t="s">
        <v>12809</v>
      </c>
      <c r="AM271" s="810"/>
      <c r="AN271" s="814" t="str">
        <f t="shared" ref="AN271:AN276" si="65">nmProd1</f>
        <v>Greenborg</v>
      </c>
      <c r="AO271" s="793" t="str">
        <f>IF(AND(INDEX(obalCh1Prod1Slot1Active,,xxIndexTeam)=1,NOT(INDEX(obalCh1Prod1Slot1Promo1,,xxIndexTeam)="No Promotion")),INDEX(obalCh1Prod1Slot1Pack,,xxIndexTeam)&amp; " - "&amp;INDEX(obalCh1Prod1Slot1Promo1,,xxIndexTeam)&amp;" - "&amp;INDEX(obalCh1Prod1Slot1Promo1Weeks,,xxIndexTeam)&amp;"Ws","")</f>
        <v>24 x 33cl Can - TPR 33% - 4Ws</v>
      </c>
      <c r="AP271" s="811" t="s">
        <v>12485</v>
      </c>
      <c r="AQ271" s="810"/>
      <c r="AR271" s="814" t="str">
        <f t="shared" ref="AR271:AR276" si="66">nmProd1</f>
        <v>Greenborg</v>
      </c>
      <c r="AS271" s="793" t="str">
        <f>IF(AND(INDEX(obalCh1Prod1Slot1Active,,xxIndexTeam)=1,NOT(INDEX(obalCh1Prod1Slot1Promo1,,xxIndexTeam)="No Promotion")),INDEX(obalCh1Prod1Slot1Pack,,xxIndexTeam)&amp; " - "&amp;INDEX(obalCh1Prod1Slot1Promo1,,xxIndexTeam)&amp;" - "&amp;INDEX(obalCh1Prod1Slot1Promo1Weeks,,xxIndexTeam)&amp;"Ws","")</f>
        <v>24 x 33cl Can - TPR 33% - 4Ws</v>
      </c>
      <c r="AT271" s="811" t="s">
        <v>12521</v>
      </c>
    </row>
    <row r="272" spans="30:46">
      <c r="AD272" s="800"/>
      <c r="AE272" s="554"/>
      <c r="AF272" s="720"/>
      <c r="AG272" s="922" t="str">
        <f>IF(INDEX(obalCh1Prod2Slot3Active,,xxIndexTeam)=1,INDEX(obalCh1Prod2Slot3Promo1Share,,xxIndexTeam),"")</f>
        <v/>
      </c>
      <c r="AH272" s="814" t="s">
        <v>7181</v>
      </c>
      <c r="AI272" s="554"/>
      <c r="AJ272" s="814" t="str">
        <f t="shared" si="64"/>
        <v>Greenborg</v>
      </c>
      <c r="AK272" s="793" t="str">
        <f>IF(AND(INDEX(obalCh1Prod1Slot1Active,,xxIndexTeam)=1,NOT(INDEX(obalCh1Prod1Slot1Promo2,,xxIndexTeam)="No Promotion")),INDEX(obalCh1Prod1Slot1Pack,,xxIndexTeam)&amp; " - "&amp;INDEX(obalCh1Prod1Slot1Promo2,,xxIndexTeam)&amp;" - "&amp;INDEX(obalCh1Prod1Slot1Promo2Weeks,,xxIndexTeam)&amp;"Ws","")</f>
        <v>24 x 33cl Can - TPR 20% - 2Ws</v>
      </c>
      <c r="AL272" s="811" t="s">
        <v>12810</v>
      </c>
      <c r="AM272" s="810"/>
      <c r="AN272" s="814" t="str">
        <f t="shared" si="65"/>
        <v>Greenborg</v>
      </c>
      <c r="AO272" s="793" t="str">
        <f>IF(AND(INDEX(obalCh1Prod1Slot1Active,,xxIndexTeam)=1,NOT(INDEX(obalCh1Prod1Slot1Promo2,,xxIndexTeam)="No Promotion")),INDEX(obalCh1Prod1Slot1Pack,,xxIndexTeam)&amp; " - "&amp;INDEX(obalCh1Prod1Slot1Promo2,,xxIndexTeam)&amp;" - "&amp;INDEX(obalCh1Prod1Slot1Promo2Weeks,,xxIndexTeam)&amp;"Ws","")</f>
        <v>24 x 33cl Can - TPR 20% - 2Ws</v>
      </c>
      <c r="AP272" s="811" t="s">
        <v>12486</v>
      </c>
      <c r="AQ272" s="810"/>
      <c r="AR272" s="814" t="str">
        <f t="shared" si="66"/>
        <v>Greenborg</v>
      </c>
      <c r="AS272" s="793" t="str">
        <f>IF(AND(INDEX(obalCh1Prod1Slot1Active,,xxIndexTeam)=1,NOT(INDEX(obalCh1Prod1Slot1Promo2,,xxIndexTeam)="No Promotion")),INDEX(obalCh1Prod1Slot1Pack,,xxIndexTeam)&amp; " - "&amp;INDEX(obalCh1Prod1Slot1Promo2,,xxIndexTeam)&amp;" - "&amp;INDEX(obalCh1Prod1Slot1Promo2Weeks,,xxIndexTeam)&amp;"Ws","")</f>
        <v>24 x 33cl Can - TPR 20% - 2Ws</v>
      </c>
      <c r="AT272" s="811" t="s">
        <v>12522</v>
      </c>
    </row>
    <row r="273" spans="30:46">
      <c r="AD273" s="800"/>
      <c r="AE273" s="554"/>
      <c r="AF273" s="720"/>
      <c r="AG273" s="922">
        <f>IF(INDEX(obalCh1Prod3Slot1Active,,xxIndexTeam)=1,INDEX(obalCh1Prod3Slot1Promo1Share,,xxIndexTeam),"")</f>
        <v>0.17685064226642278</v>
      </c>
      <c r="AH273" s="814" t="s">
        <v>7183</v>
      </c>
      <c r="AI273" s="554"/>
      <c r="AJ273" s="814" t="str">
        <f t="shared" si="64"/>
        <v>Greenborg</v>
      </c>
      <c r="AK273" s="793" t="str">
        <f>IF(AND(INDEX(obalCh1Prod1Slot2Active,,xxIndexTeam)=1,NOT(INDEX(obalCh1Prod1Slot2Promo1,,xxIndexTeam)="No Promotion")),INDEX(obalCh1Prod1Slot2Pack,,xxIndexTeam)&amp; " - "&amp;INDEX(obalCh1Prod1Slot2Promo1,,xxIndexTeam)&amp;" - "&amp;INDEX(obalCh1Prod1Slot2Promo1Weeks,,xxIndexTeam)&amp;"Ws","")</f>
        <v/>
      </c>
      <c r="AL273" s="811" t="s">
        <v>12811</v>
      </c>
      <c r="AM273" s="810"/>
      <c r="AN273" s="814" t="str">
        <f t="shared" si="65"/>
        <v>Greenborg</v>
      </c>
      <c r="AO273" s="793" t="str">
        <f>IF(AND(INDEX(obalCh1Prod1Slot2Active,,xxIndexTeam)=1,NOT(INDEX(obalCh1Prod1Slot2Promo1,,xxIndexTeam)="No Promotion")),INDEX(obalCh1Prod1Slot2Pack,,xxIndexTeam)&amp; " - "&amp;INDEX(obalCh1Prod1Slot2Promo1,,xxIndexTeam)&amp;" - "&amp;INDEX(obalCh1Prod1Slot2Promo1Weeks,,xxIndexTeam)&amp;"Ws","")</f>
        <v/>
      </c>
      <c r="AP273" s="811" t="s">
        <v>12487</v>
      </c>
      <c r="AQ273" s="810"/>
      <c r="AR273" s="814" t="str">
        <f t="shared" si="66"/>
        <v>Greenborg</v>
      </c>
      <c r="AS273" s="793" t="str">
        <f>IF(AND(INDEX(obalCh1Prod1Slot2Active,,xxIndexTeam)=1,NOT(INDEX(obalCh1Prod1Slot2Promo1,,xxIndexTeam)="No Promotion")),INDEX(obalCh1Prod1Slot2Pack,,xxIndexTeam)&amp; " - "&amp;INDEX(obalCh1Prod1Slot2Promo1,,xxIndexTeam)&amp;" - "&amp;INDEX(obalCh1Prod1Slot2Promo1Weeks,,xxIndexTeam)&amp;"Ws","")</f>
        <v/>
      </c>
      <c r="AT273" s="811" t="s">
        <v>12523</v>
      </c>
    </row>
    <row r="274" spans="30:46">
      <c r="AD274" s="800"/>
      <c r="AE274" s="554"/>
      <c r="AF274" s="720"/>
      <c r="AG274" s="922">
        <f>IF(INDEX(obalCh1Prod3Slot2Active,,xxIndexTeam)=1,INDEX(obalCh1Prod3Slot2Promo1Share,,xxIndexTeam),"")</f>
        <v>0.15091531589488699</v>
      </c>
      <c r="AH274" s="814" t="s">
        <v>7187</v>
      </c>
      <c r="AI274" s="554"/>
      <c r="AJ274" s="814" t="str">
        <f t="shared" si="64"/>
        <v>Greenborg</v>
      </c>
      <c r="AK274" s="793" t="str">
        <f>IF(AND(INDEX(obalCh1Prod1Slot2Active,,xxIndexTeam)=1,NOT(INDEX(obalCh1Prod1Slot2Promo2,,xxIndexTeam)="No Promotion")),INDEX(obalCh1Prod1Slot2Pack,,xxIndexTeam)&amp; " - "&amp;INDEX(obalCh1Prod1Slot2Promo2,,xxIndexTeam)&amp;" - "&amp;INDEX(obalCh1Prod1Slot2Promo2Weeks,,xxIndexTeam)&amp;"Ws","")</f>
        <v/>
      </c>
      <c r="AL274" s="811" t="s">
        <v>12812</v>
      </c>
      <c r="AM274" s="554"/>
      <c r="AN274" s="814" t="str">
        <f t="shared" si="65"/>
        <v>Greenborg</v>
      </c>
      <c r="AO274" s="793" t="str">
        <f>IF(AND(INDEX(obalCh1Prod1Slot2Active,,xxIndexTeam)=1,NOT(INDEX(obalCh1Prod1Slot2Promo2,,xxIndexTeam)="No Promotion")),INDEX(obalCh1Prod1Slot2Pack,,xxIndexTeam)&amp; " - "&amp;INDEX(obalCh1Prod1Slot2Promo2,,xxIndexTeam)&amp;" - "&amp;INDEX(obalCh1Prod1Slot2Promo2Weeks,,xxIndexTeam)&amp;"Ws","")</f>
        <v/>
      </c>
      <c r="AP274" s="811" t="s">
        <v>12488</v>
      </c>
      <c r="AQ274" s="554"/>
      <c r="AR274" s="814" t="str">
        <f t="shared" si="66"/>
        <v>Greenborg</v>
      </c>
      <c r="AS274" s="793" t="str">
        <f>IF(AND(INDEX(obalCh1Prod1Slot2Active,,xxIndexTeam)=1,NOT(INDEX(obalCh1Prod1Slot2Promo2,,xxIndexTeam)="No Promotion")),INDEX(obalCh1Prod1Slot2Pack,,xxIndexTeam)&amp; " - "&amp;INDEX(obalCh1Prod1Slot2Promo2,,xxIndexTeam)&amp;" - "&amp;INDEX(obalCh1Prod1Slot2Promo2Weeks,,xxIndexTeam)&amp;"Ws","")</f>
        <v/>
      </c>
      <c r="AT274" s="811" t="s">
        <v>12524</v>
      </c>
    </row>
    <row r="275" spans="30:46">
      <c r="AD275" s="800"/>
      <c r="AE275" s="554"/>
      <c r="AF275" s="720"/>
      <c r="AG275" s="922" t="str">
        <f>IF(INDEX(obalCh1Prod3Slot3Active,,xxIndexTeam)=1,INDEX(obalCh1Prod3Slot3Promo1Share,,xxIndexTeam),"")</f>
        <v/>
      </c>
      <c r="AH275" s="814" t="s">
        <v>7191</v>
      </c>
      <c r="AI275" s="554"/>
      <c r="AJ275" s="814" t="str">
        <f t="shared" si="64"/>
        <v>Greenborg</v>
      </c>
      <c r="AK275" s="793" t="str">
        <f>IF(AND(INDEX(obalCh1Prod1Slot3Active,,xxIndexTeam)=1,NOT(INDEX(obalCh1Prod1Slot3Promo1,,xxIndexTeam)="No Promotion")),INDEX(obalCh1Prod1Slot3Pack,,xxIndexTeam)&amp; " - "&amp;INDEX(obalCh1Prod1Slot3Promo1,,xxIndexTeam)&amp;" - "&amp;INDEX(obalCh1Prod1Slot3Promo1Weeks,,xxIndexTeam)&amp;"Ws","")</f>
        <v/>
      </c>
      <c r="AL275" s="811" t="s">
        <v>12813</v>
      </c>
      <c r="AM275" s="554"/>
      <c r="AN275" s="814" t="str">
        <f t="shared" si="65"/>
        <v>Greenborg</v>
      </c>
      <c r="AO275" s="793" t="str">
        <f>IF(AND(INDEX(obalCh1Prod1Slot3Active,,xxIndexTeam)=1,NOT(INDEX(obalCh1Prod1Slot3Promo1,,xxIndexTeam)="No Promotion")),INDEX(obalCh1Prod1Slot3Pack,,xxIndexTeam)&amp; " - "&amp;INDEX(obalCh1Prod1Slot3Promo1,,xxIndexTeam)&amp;" - "&amp;INDEX(obalCh1Prod1Slot3Promo1Weeks,,xxIndexTeam)&amp;"Ws","")</f>
        <v/>
      </c>
      <c r="AP275" s="811" t="s">
        <v>12489</v>
      </c>
      <c r="AQ275" s="554"/>
      <c r="AR275" s="814" t="str">
        <f t="shared" si="66"/>
        <v>Greenborg</v>
      </c>
      <c r="AS275" s="793" t="str">
        <f>IF(AND(INDEX(obalCh1Prod1Slot3Active,,xxIndexTeam)=1,NOT(INDEX(obalCh1Prod1Slot3Promo1,,xxIndexTeam)="No Promotion")),INDEX(obalCh1Prod1Slot3Pack,,xxIndexTeam)&amp; " - "&amp;INDEX(obalCh1Prod1Slot3Promo1,,xxIndexTeam)&amp;" - "&amp;INDEX(obalCh1Prod1Slot3Promo1Weeks,,xxIndexTeam)&amp;"Ws","")</f>
        <v/>
      </c>
      <c r="AT275" s="811" t="s">
        <v>12525</v>
      </c>
    </row>
    <row r="276" spans="30:46">
      <c r="AD276" s="800"/>
      <c r="AE276" s="554"/>
      <c r="AF276" s="720"/>
      <c r="AG276" s="922">
        <f>IF(INDEX(obalCh1Prod1Slot1Active,,xxIndexTeam)=1,INDEX(obalCh1Prod1Slot1Promo1Share,,xxIndexTeam),"")</f>
        <v>0.39195374270733713</v>
      </c>
      <c r="AH276" s="814" t="s">
        <v>7195</v>
      </c>
      <c r="AI276" s="554"/>
      <c r="AJ276" s="814" t="str">
        <f t="shared" si="64"/>
        <v>Greenborg</v>
      </c>
      <c r="AK276" s="793" t="str">
        <f>IF(AND(INDEX(obalCh1Prod1Slot3Active,,xxIndexTeam)=1,NOT(INDEX(obalCh1Prod1Slot3Promo2,,xxIndexTeam)="No Promotion")),INDEX(obalCh1Prod1Slot3Pack,,xxIndexTeam)&amp; " - "&amp;INDEX(obalCh1Prod1Slot3Promo2,,xxIndexTeam)&amp;" - "&amp;INDEX(obalCh1Prod1Slot3Promo2Weeks,,xxIndexTeam)&amp;"Ws","")</f>
        <v/>
      </c>
      <c r="AL276" s="811" t="s">
        <v>12814</v>
      </c>
      <c r="AM276" s="554"/>
      <c r="AN276" s="814" t="str">
        <f t="shared" si="65"/>
        <v>Greenborg</v>
      </c>
      <c r="AO276" s="793" t="str">
        <f>IF(AND(INDEX(obalCh1Prod1Slot3Active,,xxIndexTeam)=1,NOT(INDEX(obalCh1Prod1Slot3Promo2,,xxIndexTeam)="No Promotion")),INDEX(obalCh1Prod1Slot3Pack,,xxIndexTeam)&amp; " - "&amp;INDEX(obalCh1Prod1Slot3Promo2,,xxIndexTeam)&amp;" - "&amp;INDEX(obalCh1Prod1Slot3Promo2Weeks,,xxIndexTeam)&amp;"Ws","")</f>
        <v/>
      </c>
      <c r="AP276" s="811" t="s">
        <v>12490</v>
      </c>
      <c r="AQ276" s="554"/>
      <c r="AR276" s="814" t="str">
        <f t="shared" si="66"/>
        <v>Greenborg</v>
      </c>
      <c r="AS276" s="793" t="str">
        <f>IF(AND(INDEX(obalCh1Prod1Slot3Active,,xxIndexTeam)=1,NOT(INDEX(obalCh1Prod1Slot3Promo2,,xxIndexTeam)="No Promotion")),INDEX(obalCh1Prod1Slot3Pack,,xxIndexTeam)&amp; " - "&amp;INDEX(obalCh1Prod1Slot3Promo2,,xxIndexTeam)&amp;" - "&amp;INDEX(obalCh1Prod1Slot3Promo2Weeks,,xxIndexTeam)&amp;"Ws","")</f>
        <v/>
      </c>
      <c r="AT276" s="811" t="s">
        <v>12526</v>
      </c>
    </row>
    <row r="277" spans="30:46">
      <c r="AD277" s="800"/>
      <c r="AE277" s="554"/>
      <c r="AF277" s="720"/>
      <c r="AG277" s="922" t="str">
        <f>IF(INDEX(obalCh1Prod1Slot2Active,,xxIndexTeam)=1,INDEX(obalCh1Prod1Slot2Promo1Share,,xxIndexTeam),"")</f>
        <v/>
      </c>
      <c r="AH277" s="814" t="s">
        <v>7199</v>
      </c>
      <c r="AI277" s="554"/>
      <c r="AJ277" s="814" t="str">
        <f t="shared" ref="AJ277:AJ282" si="67">nmProd4</f>
        <v>Brew Master</v>
      </c>
      <c r="AK277" s="793" t="str">
        <f>IF(AND(INDEX(obalCh1Prod4Slot1Active,,xxIndexTeam)=1,NOT(INDEX(obalCh1Prod4Slot1Promo1,,xxIndexTeam)="No Promotion")),INDEX(obalCh1Prod4Slot1Pack,,xxIndexTeam)&amp; " - "&amp;INDEX(obalCh1Prod4Slot1Promo1,,xxIndexTeam)&amp;" - "&amp;INDEX(obalCh1Prod4Slot1Promo1Weeks,,xxIndexTeam)&amp;"Ws","")</f>
        <v/>
      </c>
      <c r="AL277" s="811" t="s">
        <v>12815</v>
      </c>
      <c r="AM277" s="810"/>
      <c r="AN277" s="814" t="str">
        <f t="shared" ref="AN277:AN282" si="68">nmProd4</f>
        <v>Brew Master</v>
      </c>
      <c r="AO277" s="793" t="str">
        <f>IF(AND(INDEX(obalCh1Prod4Slot1Active,,xxIndexTeam)=1,NOT(INDEX(obalCh1Prod4Slot1Promo1,,xxIndexTeam)="No Promotion")),INDEX(obalCh1Prod4Slot1Pack,,xxIndexTeam)&amp; " - "&amp;INDEX(obalCh1Prod4Slot1Promo1,,xxIndexTeam)&amp;" - "&amp;INDEX(obalCh1Prod4Slot1Promo1Weeks,,xxIndexTeam)&amp;"Ws","")</f>
        <v/>
      </c>
      <c r="AP277" s="811" t="s">
        <v>12491</v>
      </c>
      <c r="AQ277" s="810"/>
      <c r="AR277" s="814" t="str">
        <f t="shared" ref="AR277:AR282" si="69">nmProd4</f>
        <v>Brew Master</v>
      </c>
      <c r="AS277" s="793" t="str">
        <f>IF(AND(INDEX(obalCh1Prod4Slot1Active,,xxIndexTeam)=1,NOT(INDEX(obalCh1Prod4Slot1Promo1,,xxIndexTeam)="No Promotion")),INDEX(obalCh1Prod4Slot1Pack,,xxIndexTeam)&amp; " - "&amp;INDEX(obalCh1Prod4Slot1Promo1,,xxIndexTeam)&amp;" - "&amp;INDEX(obalCh1Prod4Slot1Promo1Weeks,,xxIndexTeam)&amp;"Ws","")</f>
        <v/>
      </c>
      <c r="AT277" s="811" t="s">
        <v>12527</v>
      </c>
    </row>
    <row r="278" spans="30:46">
      <c r="AD278" s="800"/>
      <c r="AE278" s="554"/>
      <c r="AF278" s="720"/>
      <c r="AG278" s="922" t="str">
        <f>IF(INDEX(obalCh1Prod1Slot3Active,,xxIndexTeam)=1,INDEX(obalCh1Prod1Slot3Promo1Share,,xxIndexTeam),"")</f>
        <v/>
      </c>
      <c r="AH278" s="814" t="s">
        <v>7203</v>
      </c>
      <c r="AI278" s="554"/>
      <c r="AJ278" s="814" t="str">
        <f t="shared" si="67"/>
        <v>Brew Master</v>
      </c>
      <c r="AK278" s="793" t="str">
        <f>IF(AND(INDEX(obalCh1Prod4Slot1Active,,xxIndexTeam)=1,NOT(INDEX(obalCh1Prod4Slot1Promo2,,xxIndexTeam)="No Promotion")),INDEX(obalCh1Prod4Slot1Pack,,xxIndexTeam)&amp; " - "&amp;INDEX(obalCh1Prod4Slot1Promo2,,xxIndexTeam)&amp;" - "&amp;INDEX(obalCh1Prod4Slot1Promo2Weeks,,xxIndexTeam)&amp;"Ws","")</f>
        <v/>
      </c>
      <c r="AL278" s="811" t="s">
        <v>12816</v>
      </c>
      <c r="AM278" s="810"/>
      <c r="AN278" s="814" t="str">
        <f t="shared" si="68"/>
        <v>Brew Master</v>
      </c>
      <c r="AO278" s="793" t="str">
        <f>IF(AND(INDEX(obalCh1Prod4Slot1Active,,xxIndexTeam)=1,NOT(INDEX(obalCh1Prod4Slot1Promo2,,xxIndexTeam)="No Promotion")),INDEX(obalCh1Prod4Slot1Pack,,xxIndexTeam)&amp; " - "&amp;INDEX(obalCh1Prod4Slot1Promo2,,xxIndexTeam)&amp;" - "&amp;INDEX(obalCh1Prod4Slot1Promo2Weeks,,xxIndexTeam)&amp;"Ws","")</f>
        <v/>
      </c>
      <c r="AP278" s="811" t="s">
        <v>12492</v>
      </c>
      <c r="AQ278" s="810"/>
      <c r="AR278" s="814" t="str">
        <f t="shared" si="69"/>
        <v>Brew Master</v>
      </c>
      <c r="AS278" s="793" t="str">
        <f>IF(AND(INDEX(obalCh1Prod4Slot1Active,,xxIndexTeam)=1,NOT(INDEX(obalCh1Prod4Slot1Promo2,,xxIndexTeam)="No Promotion")),INDEX(obalCh1Prod4Slot1Pack,,xxIndexTeam)&amp; " - "&amp;INDEX(obalCh1Prod4Slot1Promo2,,xxIndexTeam)&amp;" - "&amp;INDEX(obalCh1Prod4Slot1Promo2Weeks,,xxIndexTeam)&amp;"Ws","")</f>
        <v/>
      </c>
      <c r="AT278" s="811" t="s">
        <v>12528</v>
      </c>
    </row>
    <row r="279" spans="30:46">
      <c r="AD279" s="800"/>
      <c r="AE279" s="554"/>
      <c r="AF279" s="720"/>
      <c r="AG279" s="922" t="str">
        <f>IF(INDEX(obalCh1Prod4Slot1Active,,xxIndexTeam)=1,INDEX(obalCh1Prod4Slot1Promo1Share,,xxIndexTeam),"")</f>
        <v/>
      </c>
      <c r="AH279" s="814" t="s">
        <v>7207</v>
      </c>
      <c r="AI279" s="554"/>
      <c r="AJ279" s="814" t="str">
        <f t="shared" si="67"/>
        <v>Brew Master</v>
      </c>
      <c r="AK279" s="793" t="str">
        <f>IF(AND(INDEX(obalCh1Prod4Slot2Active,,xxIndexTeam)=1,NOT(INDEX(obalCh1Prod4Slot2Promo1,,xxIndexTeam)="No Promotion")),INDEX(obalCh1Prod4Slot2Pack,,xxIndexTeam)&amp; " - "&amp;INDEX(obalCh1Prod4Slot2Promo1,,xxIndexTeam)&amp;" - "&amp;INDEX(obalCh1Prod4Slot2Promo1Weeks,,xxIndexTeam)&amp;"Ws","")</f>
        <v/>
      </c>
      <c r="AL279" s="811" t="s">
        <v>12817</v>
      </c>
      <c r="AM279" s="810"/>
      <c r="AN279" s="814" t="str">
        <f t="shared" si="68"/>
        <v>Brew Master</v>
      </c>
      <c r="AO279" s="793" t="str">
        <f>IF(AND(INDEX(obalCh1Prod4Slot2Active,,xxIndexTeam)=1,NOT(INDEX(obalCh1Prod4Slot2Promo1,,xxIndexTeam)="No Promotion")),INDEX(obalCh1Prod4Slot2Pack,,xxIndexTeam)&amp; " - "&amp;INDEX(obalCh1Prod4Slot2Promo1,,xxIndexTeam)&amp;" - "&amp;INDEX(obalCh1Prod4Slot2Promo1Weeks,,xxIndexTeam)&amp;"Ws","")</f>
        <v/>
      </c>
      <c r="AP279" s="811" t="s">
        <v>12493</v>
      </c>
      <c r="AQ279" s="810"/>
      <c r="AR279" s="814" t="str">
        <f t="shared" si="69"/>
        <v>Brew Master</v>
      </c>
      <c r="AS279" s="793" t="str">
        <f>IF(AND(INDEX(obalCh1Prod4Slot2Active,,xxIndexTeam)=1,NOT(INDEX(obalCh1Prod4Slot2Promo1,,xxIndexTeam)="No Promotion")),INDEX(obalCh1Prod4Slot2Pack,,xxIndexTeam)&amp; " - "&amp;INDEX(obalCh1Prod4Slot2Promo1,,xxIndexTeam)&amp;" - "&amp;INDEX(obalCh1Prod4Slot2Promo1Weeks,,xxIndexTeam)&amp;"Ws","")</f>
        <v/>
      </c>
      <c r="AT279" s="811" t="s">
        <v>12529</v>
      </c>
    </row>
    <row r="280" spans="30:46">
      <c r="AD280" s="800"/>
      <c r="AE280" s="554"/>
      <c r="AF280" s="720"/>
      <c r="AG280" s="922" t="str">
        <f>IF(INDEX(obalCh1Prod4Slot2Active,,xxIndexTeam)=1,INDEX(obalCh1Prod4Slot2Promo1Share,,xxIndexTeam),"")</f>
        <v/>
      </c>
      <c r="AH280" s="814" t="s">
        <v>7211</v>
      </c>
      <c r="AI280" s="554"/>
      <c r="AJ280" s="814" t="str">
        <f t="shared" si="67"/>
        <v>Brew Master</v>
      </c>
      <c r="AK280" s="793" t="str">
        <f>IF(AND(INDEX(obalCh1Prod4Slot2Active,,xxIndexTeam)=1,NOT(INDEX(obalCh1Prod4Slot2Promo2,,xxIndexTeam)="No Promotion")),INDEX(obalCh1Prod4Slot2Pack,,xxIndexTeam)&amp; " - "&amp;INDEX(obalCh1Prod4Slot2Promo2,,xxIndexTeam)&amp;" - "&amp;INDEX(obalCh1Prod4Slot2Promo2Weeks,,xxIndexTeam)&amp;"Ws","")</f>
        <v/>
      </c>
      <c r="AL280" s="811" t="s">
        <v>12818</v>
      </c>
      <c r="AM280" s="554"/>
      <c r="AN280" s="814" t="str">
        <f t="shared" si="68"/>
        <v>Brew Master</v>
      </c>
      <c r="AO280" s="793" t="str">
        <f>IF(AND(INDEX(obalCh1Prod4Slot2Active,,xxIndexTeam)=1,NOT(INDEX(obalCh1Prod4Slot2Promo2,,xxIndexTeam)="No Promotion")),INDEX(obalCh1Prod4Slot2Pack,,xxIndexTeam)&amp; " - "&amp;INDEX(obalCh1Prod4Slot2Promo2,,xxIndexTeam)&amp;" - "&amp;INDEX(obalCh1Prod4Slot2Promo2Weeks,,xxIndexTeam)&amp;"Ws","")</f>
        <v/>
      </c>
      <c r="AP280" s="811" t="s">
        <v>12494</v>
      </c>
      <c r="AQ280" s="554"/>
      <c r="AR280" s="814" t="str">
        <f t="shared" si="69"/>
        <v>Brew Master</v>
      </c>
      <c r="AS280" s="793" t="str">
        <f>IF(AND(INDEX(obalCh1Prod4Slot2Active,,xxIndexTeam)=1,NOT(INDEX(obalCh1Prod4Slot2Promo2,,xxIndexTeam)="No Promotion")),INDEX(obalCh1Prod4Slot2Pack,,xxIndexTeam)&amp; " - "&amp;INDEX(obalCh1Prod4Slot2Promo2,,xxIndexTeam)&amp;" - "&amp;INDEX(obalCh1Prod4Slot2Promo2Weeks,,xxIndexTeam)&amp;"Ws","")</f>
        <v/>
      </c>
      <c r="AT280" s="811" t="s">
        <v>12530</v>
      </c>
    </row>
    <row r="281" spans="30:46">
      <c r="AD281" s="800"/>
      <c r="AE281" s="554"/>
      <c r="AF281" s="720"/>
      <c r="AG281" s="922" t="str">
        <f>IF(INDEX(obalCh1Prod4Slot3Active,,xxIndexTeam)=1,INDEX(obalCh1Prod4Slot3Promo1Share,,xxIndexTeam),"")</f>
        <v/>
      </c>
      <c r="AH281" s="814" t="s">
        <v>7215</v>
      </c>
      <c r="AI281" s="554"/>
      <c r="AJ281" s="814" t="str">
        <f t="shared" si="67"/>
        <v>Brew Master</v>
      </c>
      <c r="AK281" s="793" t="str">
        <f>IF(AND(INDEX(obalCh1Prod4Slot3Active,,xxIndexTeam)=1,NOT(INDEX(obalCh1Prod4Slot3Promo1,,xxIndexTeam)="No Promotion")),INDEX(obalCh1Prod4Slot3Pack,,xxIndexTeam)&amp; " - "&amp;INDEX(obalCh1Prod4Slot3Promo1,,xxIndexTeam)&amp;" - "&amp;INDEX(obalCh1Prod4Slot3Promo1Weeks,,xxIndexTeam)&amp;"Ws","")</f>
        <v/>
      </c>
      <c r="AL281" s="811" t="s">
        <v>12819</v>
      </c>
      <c r="AM281" s="554"/>
      <c r="AN281" s="814" t="str">
        <f t="shared" si="68"/>
        <v>Brew Master</v>
      </c>
      <c r="AO281" s="793" t="str">
        <f>IF(AND(INDEX(obalCh1Prod4Slot3Active,,xxIndexTeam)=1,NOT(INDEX(obalCh1Prod4Slot3Promo1,,xxIndexTeam)="No Promotion")),INDEX(obalCh1Prod4Slot3Pack,,xxIndexTeam)&amp; " - "&amp;INDEX(obalCh1Prod4Slot3Promo1,,xxIndexTeam)&amp;" - "&amp;INDEX(obalCh1Prod4Slot3Promo1Weeks,,xxIndexTeam)&amp;"Ws","")</f>
        <v/>
      </c>
      <c r="AP281" s="811" t="s">
        <v>12495</v>
      </c>
      <c r="AQ281" s="554"/>
      <c r="AR281" s="814" t="str">
        <f t="shared" si="69"/>
        <v>Brew Master</v>
      </c>
      <c r="AS281" s="793" t="str">
        <f>IF(AND(INDEX(obalCh1Prod4Slot3Active,,xxIndexTeam)=1,NOT(INDEX(obalCh1Prod4Slot3Promo1,,xxIndexTeam)="No Promotion")),INDEX(obalCh1Prod4Slot3Pack,,xxIndexTeam)&amp; " - "&amp;INDEX(obalCh1Prod4Slot3Promo1,,xxIndexTeam)&amp;" - "&amp;INDEX(obalCh1Prod4Slot3Promo1Weeks,,xxIndexTeam)&amp;"Ws","")</f>
        <v/>
      </c>
      <c r="AT281" s="811" t="s">
        <v>12531</v>
      </c>
    </row>
    <row r="282" spans="30:46">
      <c r="AD282" s="800"/>
      <c r="AE282" s="554"/>
      <c r="AF282" s="720"/>
      <c r="AG282" s="720"/>
      <c r="AH282" s="720"/>
      <c r="AI282" s="554"/>
      <c r="AJ282" s="814" t="str">
        <f t="shared" si="67"/>
        <v>Brew Master</v>
      </c>
      <c r="AK282" s="793" t="str">
        <f>IF(AND(INDEX(obalCh1Prod4Slot3Active,,xxIndexTeam)=1,NOT(INDEX(obalCh1Prod4Slot3Promo2,,xxIndexTeam)="No Promotion")),INDEX(obalCh1Prod4Slot3Pack,,xxIndexTeam)&amp; " - "&amp;INDEX(obalCh1Prod4Slot3Promo2,,xxIndexTeam)&amp;" - "&amp;INDEX(obalCh1Prod4Slot3Promo2Weeks,,xxIndexTeam)&amp;"Ws","")</f>
        <v/>
      </c>
      <c r="AL282" s="811" t="s">
        <v>12820</v>
      </c>
      <c r="AM282" s="554"/>
      <c r="AN282" s="814" t="str">
        <f t="shared" si="68"/>
        <v>Brew Master</v>
      </c>
      <c r="AO282" s="793" t="str">
        <f>IF(AND(INDEX(obalCh1Prod4Slot3Active,,xxIndexTeam)=1,NOT(INDEX(obalCh1Prod4Slot3Promo2,,xxIndexTeam)="No Promotion")),INDEX(obalCh1Prod4Slot3Pack,,xxIndexTeam)&amp; " - "&amp;INDEX(obalCh1Prod4Slot3Promo2,,xxIndexTeam)&amp;" - "&amp;INDEX(obalCh1Prod4Slot3Promo2Weeks,,xxIndexTeam)&amp;"Ws","")</f>
        <v/>
      </c>
      <c r="AP282" s="811" t="s">
        <v>12496</v>
      </c>
      <c r="AQ282" s="554"/>
      <c r="AR282" s="814" t="str">
        <f t="shared" si="69"/>
        <v>Brew Master</v>
      </c>
      <c r="AS282" s="793" t="str">
        <f>IF(AND(INDEX(obalCh1Prod4Slot3Active,,xxIndexTeam)=1,NOT(INDEX(obalCh1Prod4Slot3Promo2,,xxIndexTeam)="No Promotion")),INDEX(obalCh1Prod4Slot3Pack,,xxIndexTeam)&amp; " - "&amp;INDEX(obalCh1Prod4Slot3Promo2,,xxIndexTeam)&amp;" - "&amp;INDEX(obalCh1Prod4Slot3Promo2Weeks,,xxIndexTeam)&amp;"Ws","")</f>
        <v/>
      </c>
      <c r="AT282" s="811" t="s">
        <v>12532</v>
      </c>
    </row>
    <row r="283" spans="30:46">
      <c r="AD283" s="800"/>
      <c r="AE283" s="554"/>
      <c r="AF283" s="720"/>
      <c r="AG283" s="923">
        <f>IF(INDEX(obalCh1Prod2Slot1Active,,xxIndexTeam)=1,1-AG270,"")</f>
        <v>0.82312934647194846</v>
      </c>
      <c r="AH283" s="814" t="s">
        <v>7222</v>
      </c>
      <c r="AI283" s="554"/>
      <c r="AJ283" s="720"/>
      <c r="AK283" s="720"/>
      <c r="AL283" s="584"/>
      <c r="AM283" s="810"/>
      <c r="AN283" s="814"/>
      <c r="AO283" s="793"/>
      <c r="AP283" s="811"/>
      <c r="AQ283" s="810"/>
      <c r="AR283" s="814"/>
      <c r="AS283" s="793"/>
      <c r="AT283" s="811"/>
    </row>
    <row r="284" spans="30:46">
      <c r="AD284" s="800"/>
      <c r="AE284" s="554"/>
      <c r="AF284" s="720"/>
      <c r="AG284" s="923">
        <f>IF(INDEX(obalCh1Prod2Slot2Active,,xxIndexTeam)=1,1-AG271,"")</f>
        <v>0.84915403014481494</v>
      </c>
      <c r="AH284" s="814" t="s">
        <v>7226</v>
      </c>
      <c r="AI284" s="797" t="s">
        <v>5195</v>
      </c>
      <c r="AJ284" s="814"/>
      <c r="AK284" s="814"/>
      <c r="AL284" s="811"/>
      <c r="AM284" s="797" t="s">
        <v>4413</v>
      </c>
      <c r="AN284" s="814"/>
      <c r="AO284" s="814"/>
      <c r="AP284" s="811"/>
      <c r="AQ284" s="797" t="s">
        <v>11388</v>
      </c>
      <c r="AR284" s="814"/>
      <c r="AS284" s="814"/>
      <c r="AT284" s="811"/>
    </row>
    <row r="285" spans="30:46">
      <c r="AD285" s="800"/>
      <c r="AE285" s="554"/>
      <c r="AF285" s="720"/>
      <c r="AG285" s="923" t="str">
        <f>IF(INDEX(obalCh1Prod2Slot3Active,,xxIndexTeam)=1,1-AG272,"")</f>
        <v/>
      </c>
      <c r="AH285" s="814" t="s">
        <v>7230</v>
      </c>
      <c r="AI285" s="810"/>
      <c r="AJ285" s="720"/>
      <c r="AK285" s="793" t="s">
        <v>5195</v>
      </c>
      <c r="AL285" s="811" t="s">
        <v>7185</v>
      </c>
      <c r="AM285" s="810"/>
      <c r="AN285" s="720"/>
      <c r="AO285" s="793" t="s">
        <v>4413</v>
      </c>
      <c r="AP285" s="811" t="s">
        <v>7184</v>
      </c>
      <c r="AQ285" s="810"/>
      <c r="AR285" s="720"/>
      <c r="AS285" s="793" t="s">
        <v>11388</v>
      </c>
      <c r="AT285" s="811" t="s">
        <v>11406</v>
      </c>
    </row>
    <row r="286" spans="30:46">
      <c r="AD286" s="800"/>
      <c r="AE286" s="554"/>
      <c r="AF286" s="720"/>
      <c r="AG286" s="923">
        <f>IF(INDEX(obalCh1Prod3Slot1Active,,xxIndexTeam)=1,1-AG273,"")</f>
        <v>0.82314935773357722</v>
      </c>
      <c r="AH286" s="814" t="s">
        <v>7234</v>
      </c>
      <c r="AI286" s="810"/>
      <c r="AJ286" s="814" t="str">
        <f t="shared" ref="AJ286:AJ291" si="70">nmProd2</f>
        <v>Harken</v>
      </c>
      <c r="AK286" s="794">
        <f>IF(AND(INDEX(obalCh1Prod2Slot1Active,,xxIndexTeam)=1,NOT(INDEX(obalCh1Prod2Slot1Promo1,,xxIndexTeam)="No Promotion")),INDEX(obalCh1Prod2Slot1Promo1CustUplift,,xxIndexTeam),"")</f>
        <v>2.6383417535520377</v>
      </c>
      <c r="AL286" s="811" t="s">
        <v>7189</v>
      </c>
      <c r="AM286" s="810"/>
      <c r="AN286" s="814" t="str">
        <f t="shared" ref="AN286:AN291" si="71">nmProd2</f>
        <v>Harken</v>
      </c>
      <c r="AO286" s="794">
        <f>IF(AND(INDEX(obalCh1Prod2Slot1Active,,xxIndexTeam)=1,NOT(INDEX(obalCh1Prod2Slot1Promo1,,xxIndexTeam)="No Promotion")),INDEX(obalCh1Prod2Slot1Promo1GPaLUplift,,xxIndexTeam),"")</f>
        <v>-0.14098737255889571</v>
      </c>
      <c r="AP286" s="811" t="s">
        <v>7188</v>
      </c>
      <c r="AQ286" s="810"/>
      <c r="AR286" s="814" t="str">
        <f t="shared" ref="AR286:AR291" si="72">nmProd2</f>
        <v>Harken</v>
      </c>
      <c r="AS286" s="794">
        <f>IF(AND(INDEX(obalCh1Prod2Slot1Active,,xxIndexTeam)=1,NOT(INDEX(obalCh1Prod2Slot1Promo1,,xxIndexTeam)="No Promotion")),INDEX(obalCh1Prod2Slot1Promo1VolUplift,,xxIndexTeam),"")</f>
        <v>4.371897329567485</v>
      </c>
      <c r="AT286" s="811" t="s">
        <v>11407</v>
      </c>
    </row>
    <row r="287" spans="30:46">
      <c r="AD287" s="800"/>
      <c r="AE287" s="554"/>
      <c r="AF287" s="720"/>
      <c r="AG287" s="923">
        <f>IF(INDEX(obalCh1Prod3Slot2Active,,xxIndexTeam)=1,1-AG274,"")</f>
        <v>0.84908468410511295</v>
      </c>
      <c r="AH287" s="814" t="s">
        <v>7236</v>
      </c>
      <c r="AI287" s="810"/>
      <c r="AJ287" s="814" t="str">
        <f t="shared" si="70"/>
        <v>Harken</v>
      </c>
      <c r="AK287" s="794" t="str">
        <f>IF(AND(INDEX(obalCh1Prod2Slot1Active,,xxIndexTeam)=1,NOT(INDEX(obalCh1Prod2Slot1Promo2,,xxIndexTeam)="No Promotion")),INDEX(obalCh1Prod2Slot1Promo2CustUplift,,xxIndexTeam),"")</f>
        <v/>
      </c>
      <c r="AL287" s="811" t="s">
        <v>7193</v>
      </c>
      <c r="AM287" s="810"/>
      <c r="AN287" s="814" t="str">
        <f t="shared" si="71"/>
        <v>Harken</v>
      </c>
      <c r="AO287" s="794" t="str">
        <f>IF(AND(INDEX(obalCh1Prod2Slot1Active,,xxIndexTeam)=1,NOT(INDEX(obalCh1Prod2Slot1Promo2,,xxIndexTeam)="No Promotion")),INDEX(obalCh1Prod2Slot1Promo2GPaLUplift,,xxIndexTeam),"")</f>
        <v/>
      </c>
      <c r="AP287" s="811" t="s">
        <v>7192</v>
      </c>
      <c r="AQ287" s="810"/>
      <c r="AR287" s="814" t="str">
        <f t="shared" si="72"/>
        <v>Harken</v>
      </c>
      <c r="AS287" s="794" t="str">
        <f>IF(AND(INDEX(obalCh1Prod2Slot1Active,,xxIndexTeam)=1,NOT(INDEX(obalCh1Prod2Slot1Promo2,,xxIndexTeam)="No Promotion")),INDEX(obalCh1Prod2Slot1Promo2VolUplift,,xxIndexTeam),"")</f>
        <v/>
      </c>
      <c r="AT287" s="811" t="s">
        <v>11408</v>
      </c>
    </row>
    <row r="288" spans="30:46">
      <c r="AD288" s="800"/>
      <c r="AE288" s="554"/>
      <c r="AF288" s="720"/>
      <c r="AG288" s="923" t="str">
        <f>IF(INDEX(obalCh1Prod3Slot3Active,,xxIndexTeam)=1,1-AG275,"")</f>
        <v/>
      </c>
      <c r="AH288" s="814" t="s">
        <v>7238</v>
      </c>
      <c r="AI288" s="810"/>
      <c r="AJ288" s="814" t="str">
        <f t="shared" si="70"/>
        <v>Harken</v>
      </c>
      <c r="AK288" s="794">
        <f>IF(AND(INDEX(obalCh1Prod2Slot2Active,,xxIndexTeam)=1,NOT(INDEX(obalCh1Prod2Slot2Promo1,,xxIndexTeam)="No Promotion")),INDEX(obalCh1Prod2Slot2Promo1CustUplift,,xxIndexTeam),"")</f>
        <v>2.3683409433376532</v>
      </c>
      <c r="AL288" s="811" t="s">
        <v>7197</v>
      </c>
      <c r="AM288" s="810"/>
      <c r="AN288" s="814" t="str">
        <f t="shared" si="71"/>
        <v>Harken</v>
      </c>
      <c r="AO288" s="794">
        <f>IF(AND(INDEX(obalCh1Prod2Slot2Active,,xxIndexTeam)=1,NOT(INDEX(obalCh1Prod2Slot2Promo1,,xxIndexTeam)="No Promotion")),INDEX(obalCh1Prod2Slot2Promo1GPaLUplift,,xxIndexTeam),"")</f>
        <v>0.86916192449351448</v>
      </c>
      <c r="AP288" s="811" t="s">
        <v>7196</v>
      </c>
      <c r="AQ288" s="810"/>
      <c r="AR288" s="814" t="str">
        <f t="shared" si="72"/>
        <v>Harken</v>
      </c>
      <c r="AS288" s="794">
        <f>IF(AND(INDEX(obalCh1Prod2Slot2Active,,xxIndexTeam)=1,NOT(INDEX(obalCh1Prod2Slot2Promo1,,xxIndexTeam)="No Promotion")),INDEX(obalCh1Prod2Slot2Promo1VolUplift,,xxIndexTeam),"")</f>
        <v>3.1289977177528172</v>
      </c>
      <c r="AT288" s="811" t="s">
        <v>11409</v>
      </c>
    </row>
    <row r="289" spans="30:46">
      <c r="AD289" s="800"/>
      <c r="AE289" s="554"/>
      <c r="AF289" s="720"/>
      <c r="AG289" s="923">
        <f>IF(INDEX(obalCh1Prod1Slot1Active,,xxIndexTeam)=1,1-AG276,"")</f>
        <v>0.60804625729266282</v>
      </c>
      <c r="AH289" s="814" t="s">
        <v>7242</v>
      </c>
      <c r="AI289" s="810"/>
      <c r="AJ289" s="814" t="str">
        <f t="shared" si="70"/>
        <v>Harken</v>
      </c>
      <c r="AK289" s="794">
        <f>IF(AND(INDEX(obalCh1Prod2Slot2Active,,xxIndexTeam)=1,NOT(INDEX(obalCh1Prod2Slot2Promo2,,xxIndexTeam)="No Promotion")),INDEX(obalCh1Prod2Slot2Promo2CustUplift,,xxIndexTeam),"")</f>
        <v>6.6579245015048887</v>
      </c>
      <c r="AL289" s="811" t="s">
        <v>7201</v>
      </c>
      <c r="AM289" s="554"/>
      <c r="AN289" s="814" t="str">
        <f t="shared" si="71"/>
        <v>Harken</v>
      </c>
      <c r="AO289" s="794">
        <f>IF(AND(INDEX(obalCh1Prod2Slot2Active,,xxIndexTeam)=1,NOT(INDEX(obalCh1Prod2Slot2Promo2,,xxIndexTeam)="No Promotion")),INDEX(obalCh1Prod2Slot2Promo2GPaLUplift,,xxIndexTeam),"")</f>
        <v>0.10172524953793083</v>
      </c>
      <c r="AP289" s="811" t="s">
        <v>7200</v>
      </c>
      <c r="AQ289" s="554"/>
      <c r="AR289" s="814" t="str">
        <f t="shared" si="72"/>
        <v>Harken</v>
      </c>
      <c r="AS289" s="794">
        <f>IF(AND(INDEX(obalCh1Prod2Slot2Active,,xxIndexTeam)=1,NOT(INDEX(obalCh1Prod2Slot2Promo2,,xxIndexTeam)="No Promotion")),INDEX(obalCh1Prod2Slot2Promo2VolUplift,,xxIndexTeam),"")</f>
        <v>10.364919386190978</v>
      </c>
      <c r="AT289" s="811" t="s">
        <v>11410</v>
      </c>
    </row>
    <row r="290" spans="30:46">
      <c r="AD290" s="800"/>
      <c r="AE290" s="554"/>
      <c r="AF290" s="720"/>
      <c r="AG290" s="923" t="str">
        <f>IF(INDEX(obalCh1Prod1Slot2Active,,xxIndexTeam)=1,1-AG277,"")</f>
        <v/>
      </c>
      <c r="AH290" s="814" t="s">
        <v>7246</v>
      </c>
      <c r="AI290" s="810"/>
      <c r="AJ290" s="814" t="str">
        <f t="shared" si="70"/>
        <v>Harken</v>
      </c>
      <c r="AK290" s="794" t="str">
        <f>IF(AND(INDEX(obalCh1Prod2Slot3Active,,xxIndexTeam)=1,NOT(INDEX(obalCh1Prod2Slot3Promo1,,xxIndexTeam)="No Promotion")),INDEX(obalCh1Prod2Slot3Promo1CustUplift,,xxIndexTeam),"")</f>
        <v/>
      </c>
      <c r="AL290" s="811" t="s">
        <v>7205</v>
      </c>
      <c r="AM290" s="554"/>
      <c r="AN290" s="814" t="str">
        <f t="shared" si="71"/>
        <v>Harken</v>
      </c>
      <c r="AO290" s="794" t="str">
        <f>IF(AND(INDEX(obalCh1Prod2Slot3Active,,xxIndexTeam)=1,NOT(INDEX(obalCh1Prod2Slot3Promo1,,xxIndexTeam)="No Promotion")),INDEX(obalCh1Prod2Slot3Promo1GPaLUplift,,xxIndexTeam),"")</f>
        <v/>
      </c>
      <c r="AP290" s="811" t="s">
        <v>7204</v>
      </c>
      <c r="AQ290" s="554"/>
      <c r="AR290" s="814" t="str">
        <f t="shared" si="72"/>
        <v>Harken</v>
      </c>
      <c r="AS290" s="794" t="str">
        <f>IF(AND(INDEX(obalCh1Prod2Slot3Active,,xxIndexTeam)=1,NOT(INDEX(obalCh1Prod2Slot3Promo1,,xxIndexTeam)="No Promotion")),INDEX(obalCh1Prod2Slot3Promo1VolUplift,,xxIndexTeam),"")</f>
        <v/>
      </c>
      <c r="AT290" s="811" t="s">
        <v>11411</v>
      </c>
    </row>
    <row r="291" spans="30:46">
      <c r="AD291" s="800"/>
      <c r="AE291" s="554"/>
      <c r="AF291" s="720"/>
      <c r="AG291" s="923" t="str">
        <f>IF(INDEX(obalCh1Prod1Slot3Active,,xxIndexTeam)=1,1-AG278,"")</f>
        <v/>
      </c>
      <c r="AH291" s="814" t="s">
        <v>7250</v>
      </c>
      <c r="AI291" s="810"/>
      <c r="AJ291" s="814" t="str">
        <f t="shared" si="70"/>
        <v>Harken</v>
      </c>
      <c r="AK291" s="794" t="str">
        <f>IF(AND(INDEX(obalCh1Prod2Slot3Active,,xxIndexTeam)=1,NOT(INDEX(obalCh1Prod2Slot3Promo2,,xxIndexTeam)="No Promotion")),INDEX(obalCh1Prod2Slot3Promo2CustUplift,,xxIndexTeam),"")</f>
        <v/>
      </c>
      <c r="AL291" s="811" t="s">
        <v>7209</v>
      </c>
      <c r="AM291" s="554"/>
      <c r="AN291" s="814" t="str">
        <f t="shared" si="71"/>
        <v>Harken</v>
      </c>
      <c r="AO291" s="794" t="str">
        <f>IF(AND(INDEX(obalCh1Prod2Slot3Active,,xxIndexTeam)=1,NOT(INDEX(obalCh1Prod2Slot3Promo2,,xxIndexTeam)="No Promotion")),INDEX(obalCh1Prod2Slot3Promo2GPaLUplift,,xxIndexTeam),"")</f>
        <v/>
      </c>
      <c r="AP291" s="811" t="s">
        <v>7208</v>
      </c>
      <c r="AQ291" s="554"/>
      <c r="AR291" s="814" t="str">
        <f t="shared" si="72"/>
        <v>Harken</v>
      </c>
      <c r="AS291" s="794" t="str">
        <f>IF(AND(INDEX(obalCh1Prod2Slot3Active,,xxIndexTeam)=1,NOT(INDEX(obalCh1Prod2Slot3Promo2,,xxIndexTeam)="No Promotion")),INDEX(obalCh1Prod2Slot3Promo2VolUplift,,xxIndexTeam),"")</f>
        <v/>
      </c>
      <c r="AT291" s="811" t="s">
        <v>11412</v>
      </c>
    </row>
    <row r="292" spans="30:46">
      <c r="AD292" s="800"/>
      <c r="AE292" s="554"/>
      <c r="AF292" s="720"/>
      <c r="AG292" s="923" t="str">
        <f>IF(INDEX(obalCh1Prod4Slot1Active,,xxIndexTeam)=1,1-AG279,"")</f>
        <v/>
      </c>
      <c r="AH292" s="814" t="s">
        <v>7254</v>
      </c>
      <c r="AI292" s="810"/>
      <c r="AJ292" s="814" t="str">
        <f t="shared" ref="AJ292:AJ297" si="73">nmProd3</f>
        <v>Kara</v>
      </c>
      <c r="AK292" s="794">
        <f>IF(AND(INDEX(obalCh1Prod3Slot1Active,,xxIndexTeam)=1,NOT(INDEX(obalCh1Prod3Slot1Promo1,,xxIndexTeam)="No Promotion")),INDEX(obalCh1Prod3Slot1Promo1CustUplift,,xxIndexTeam),"")</f>
        <v>2.6691833863132914</v>
      </c>
      <c r="AL292" s="811" t="s">
        <v>7213</v>
      </c>
      <c r="AM292" s="810"/>
      <c r="AN292" s="814" t="str">
        <f t="shared" ref="AN292:AN297" si="74">nmProd3</f>
        <v>Kara</v>
      </c>
      <c r="AO292" s="794">
        <f>IF(AND(INDEX(obalCh1Prod3Slot1Active,,xxIndexTeam)=1,NOT(INDEX(obalCh1Prod3Slot1Promo1,,xxIndexTeam)="No Promotion")),INDEX(obalCh1Prod3Slot1Promo1GPaLUplift,,xxIndexTeam),"")</f>
        <v>-0.82936375358740888</v>
      </c>
      <c r="AP292" s="811" t="s">
        <v>7212</v>
      </c>
      <c r="AQ292" s="810"/>
      <c r="AR292" s="814" t="str">
        <f t="shared" ref="AR292:AR297" si="75">nmProd3</f>
        <v>Kara</v>
      </c>
      <c r="AS292" s="794">
        <f>IF(AND(INDEX(obalCh1Prod3Slot1Active,,xxIndexTeam)=1,NOT(INDEX(obalCh1Prod3Slot1Promo1,,xxIndexTeam)="No Promotion")),INDEX(obalCh1Prod3Slot1Promo1VolUplift,,xxIndexTeam),"")</f>
        <v>4.3711589702674214</v>
      </c>
      <c r="AT292" s="811" t="s">
        <v>11413</v>
      </c>
    </row>
    <row r="293" spans="30:46">
      <c r="AD293" s="800"/>
      <c r="AE293" s="554"/>
      <c r="AF293" s="720"/>
      <c r="AG293" s="923" t="str">
        <f>IF(INDEX(obalCh1Prod4Slot2Active,,xxIndexTeam)=1,1-AG280,"")</f>
        <v/>
      </c>
      <c r="AH293" s="814" t="s">
        <v>7258</v>
      </c>
      <c r="AI293" s="810"/>
      <c r="AJ293" s="814" t="str">
        <f t="shared" si="73"/>
        <v>Kara</v>
      </c>
      <c r="AK293" s="794" t="str">
        <f>IF(AND(INDEX(obalCh1Prod3Slot1Active,,xxIndexTeam)=1,NOT(INDEX(obalCh1Prod3Slot1Promo2,,xxIndexTeam)="No Promotion")),INDEX(obalCh1Prod3Slot1Promo2CustUplift,,xxIndexTeam),"")</f>
        <v/>
      </c>
      <c r="AL293" s="811" t="s">
        <v>7217</v>
      </c>
      <c r="AM293" s="810"/>
      <c r="AN293" s="814" t="str">
        <f t="shared" si="74"/>
        <v>Kara</v>
      </c>
      <c r="AO293" s="794" t="str">
        <f>IF(AND(INDEX(obalCh1Prod3Slot1Active,,xxIndexTeam)=1,NOT(INDEX(obalCh1Prod3Slot1Promo2,,xxIndexTeam)="No Promotion")),INDEX(obalCh1Prod3Slot1Promo2GPaLUplift,,xxIndexTeam),"")</f>
        <v/>
      </c>
      <c r="AP293" s="811" t="s">
        <v>7216</v>
      </c>
      <c r="AQ293" s="810"/>
      <c r="AR293" s="814" t="str">
        <f t="shared" si="75"/>
        <v>Kara</v>
      </c>
      <c r="AS293" s="794" t="str">
        <f>IF(AND(INDEX(obalCh1Prod3Slot1Active,,xxIndexTeam)=1,NOT(INDEX(obalCh1Prod3Slot1Promo2,,xxIndexTeam)="No Promotion")),INDEX(obalCh1Prod3Slot1Promo2VolUplift,,xxIndexTeam),"")</f>
        <v/>
      </c>
      <c r="AT293" s="811" t="s">
        <v>11414</v>
      </c>
    </row>
    <row r="294" spans="30:46">
      <c r="AD294" s="800"/>
      <c r="AE294" s="554"/>
      <c r="AF294" s="720"/>
      <c r="AG294" s="923" t="str">
        <f>IF(INDEX(obalCh1Prod4Slot3Active,,xxIndexTeam)=1,1-AG281,"")</f>
        <v/>
      </c>
      <c r="AH294" s="814" t="s">
        <v>7262</v>
      </c>
      <c r="AI294" s="810"/>
      <c r="AJ294" s="814" t="str">
        <f t="shared" si="73"/>
        <v>Kara</v>
      </c>
      <c r="AK294" s="794">
        <f>IF(AND(INDEX(obalCh1Prod3Slot2Active,,xxIndexTeam)=1,NOT(INDEX(obalCh1Prod3Slot2Promo1,,xxIndexTeam)="No Promotion")),INDEX(obalCh1Prod3Slot2Promo1CustUplift,,xxIndexTeam),"")</f>
        <v>1.3802977876920564</v>
      </c>
      <c r="AL294" s="811" t="s">
        <v>7220</v>
      </c>
      <c r="AM294" s="810"/>
      <c r="AN294" s="814" t="str">
        <f t="shared" si="74"/>
        <v>Kara</v>
      </c>
      <c r="AO294" s="794">
        <f>IF(AND(INDEX(obalCh1Prod3Slot2Active,,xxIndexTeam)=1,NOT(INDEX(obalCh1Prod3Slot2Promo1,,xxIndexTeam)="No Promotion")),INDEX(obalCh1Prod3Slot2Promo1GPaLUplift,,xxIndexTeam),"")</f>
        <v>0.2782775267838089</v>
      </c>
      <c r="AP294" s="811" t="s">
        <v>7219</v>
      </c>
      <c r="AQ294" s="810"/>
      <c r="AR294" s="814" t="str">
        <f t="shared" si="75"/>
        <v>Kara</v>
      </c>
      <c r="AS294" s="794">
        <f>IF(AND(INDEX(obalCh1Prod3Slot2Active,,xxIndexTeam)=1,NOT(INDEX(obalCh1Prod3Slot2Promo1,,xxIndexTeam)="No Promotion")),INDEX(obalCh1Prod3Slot2Promo1VolUplift,,xxIndexTeam),"")</f>
        <v>1.9030675099438468</v>
      </c>
      <c r="AT294" s="811" t="s">
        <v>11415</v>
      </c>
    </row>
    <row r="295" spans="30:46">
      <c r="AD295" s="800"/>
      <c r="AE295" s="554"/>
      <c r="AF295" s="720"/>
      <c r="AG295" s="720"/>
      <c r="AH295" s="720"/>
      <c r="AI295" s="810"/>
      <c r="AJ295" s="814" t="str">
        <f t="shared" si="73"/>
        <v>Kara</v>
      </c>
      <c r="AK295" s="794" t="str">
        <f>IF(AND(INDEX(obalCh1Prod3Slot2Active,,xxIndexTeam)=1,NOT(INDEX(obalCh1Prod3Slot2Promo2,,xxIndexTeam)="No Promotion")),INDEX(obalCh1Prod3Slot2Promo2CustUplift,,xxIndexTeam),"")</f>
        <v/>
      </c>
      <c r="AL295" s="811" t="s">
        <v>7224</v>
      </c>
      <c r="AM295" s="554"/>
      <c r="AN295" s="814" t="str">
        <f t="shared" si="74"/>
        <v>Kara</v>
      </c>
      <c r="AO295" s="794" t="str">
        <f>IF(AND(INDEX(obalCh1Prod3Slot2Active,,xxIndexTeam)=1,NOT(INDEX(obalCh1Prod3Slot2Promo2,,xxIndexTeam)="No Promotion")),INDEX(obalCh1Prod3Slot2Promo2GPaLUplift,,xxIndexTeam),"")</f>
        <v/>
      </c>
      <c r="AP295" s="811" t="s">
        <v>7223</v>
      </c>
      <c r="AQ295" s="554"/>
      <c r="AR295" s="814" t="str">
        <f t="shared" si="75"/>
        <v>Kara</v>
      </c>
      <c r="AS295" s="794" t="str">
        <f>IF(AND(INDEX(obalCh1Prod3Slot2Active,,xxIndexTeam)=1,NOT(INDEX(obalCh1Prod3Slot2Promo2,,xxIndexTeam)="No Promotion")),INDEX(obalCh1Prod3Slot2Promo2VolUplift,,xxIndexTeam),"")</f>
        <v/>
      </c>
      <c r="AT295" s="811" t="s">
        <v>11416</v>
      </c>
    </row>
    <row r="296" spans="30:46">
      <c r="AD296" s="800"/>
      <c r="AE296" s="554"/>
      <c r="AF296" s="720"/>
      <c r="AG296" s="720"/>
      <c r="AH296" s="720"/>
      <c r="AI296" s="810"/>
      <c r="AJ296" s="814" t="str">
        <f t="shared" si="73"/>
        <v>Kara</v>
      </c>
      <c r="AK296" s="794" t="str">
        <f>IF(AND(INDEX(obalCh1Prod3Slot3Active,,xxIndexTeam)=1,NOT(INDEX(obalCh1Prod3Slot3Promo1,,xxIndexTeam)="No Promotion")),INDEX(obalCh1Prod3Slot3Promo1CustUplift,,xxIndexTeam),"")</f>
        <v/>
      </c>
      <c r="AL296" s="811" t="s">
        <v>7228</v>
      </c>
      <c r="AM296" s="554"/>
      <c r="AN296" s="814" t="str">
        <f t="shared" si="74"/>
        <v>Kara</v>
      </c>
      <c r="AO296" s="794" t="str">
        <f>IF(AND(INDEX(obalCh1Prod3Slot3Active,,xxIndexTeam)=1,NOT(INDEX(obalCh1Prod3Slot3Promo1,,xxIndexTeam)="No Promotion")),INDEX(obalCh1Prod3Slot3Promo1GPaLUplift,,xxIndexTeam),"")</f>
        <v/>
      </c>
      <c r="AP296" s="811" t="s">
        <v>7227</v>
      </c>
      <c r="AQ296" s="554"/>
      <c r="AR296" s="814" t="str">
        <f t="shared" si="75"/>
        <v>Kara</v>
      </c>
      <c r="AS296" s="794" t="str">
        <f>IF(AND(INDEX(obalCh1Prod3Slot3Active,,xxIndexTeam)=1,NOT(INDEX(obalCh1Prod3Slot3Promo1,,xxIndexTeam)="No Promotion")),INDEX(obalCh1Prod3Slot3Promo1VolUplift,,xxIndexTeam),"")</f>
        <v/>
      </c>
      <c r="AT296" s="811" t="s">
        <v>11417</v>
      </c>
    </row>
    <row r="297" spans="30:46">
      <c r="AD297" s="800"/>
      <c r="AE297" s="554"/>
      <c r="AF297" s="720"/>
      <c r="AG297" s="720"/>
      <c r="AH297" s="720"/>
      <c r="AI297" s="810"/>
      <c r="AJ297" s="814" t="str">
        <f t="shared" si="73"/>
        <v>Kara</v>
      </c>
      <c r="AK297" s="794" t="str">
        <f>IF(AND(INDEX(obalCh1Prod3Slot3Active,,xxIndexTeam)=1,NOT(INDEX(obalCh1Prod3Slot3Promo2,,xxIndexTeam)="No Promotion")),INDEX(obalCh1Prod3Slot3Promo2CustUplift,,xxIndexTeam),"")</f>
        <v/>
      </c>
      <c r="AL297" s="811" t="s">
        <v>7232</v>
      </c>
      <c r="AM297" s="554"/>
      <c r="AN297" s="814" t="str">
        <f t="shared" si="74"/>
        <v>Kara</v>
      </c>
      <c r="AO297" s="794" t="str">
        <f>IF(AND(INDEX(obalCh1Prod3Slot3Active,,xxIndexTeam)=1,NOT(INDEX(obalCh1Prod3Slot3Promo2,,xxIndexTeam)="No Promotion")),INDEX(obalCh1Prod3Slot3Promo2GPaLUplift,,xxIndexTeam),"")</f>
        <v/>
      </c>
      <c r="AP297" s="811" t="s">
        <v>7231</v>
      </c>
      <c r="AQ297" s="554"/>
      <c r="AR297" s="814" t="str">
        <f t="shared" si="75"/>
        <v>Kara</v>
      </c>
      <c r="AS297" s="794" t="str">
        <f>IF(AND(INDEX(obalCh1Prod3Slot3Active,,xxIndexTeam)=1,NOT(INDEX(obalCh1Prod3Slot3Promo2,,xxIndexTeam)="No Promotion")),INDEX(obalCh1Prod3Slot3Promo2VolUplift,,xxIndexTeam),"")</f>
        <v/>
      </c>
      <c r="AT297" s="811" t="s">
        <v>11418</v>
      </c>
    </row>
    <row r="298" spans="30:46">
      <c r="AD298" s="800"/>
      <c r="AE298" s="554"/>
      <c r="AF298" s="720"/>
      <c r="AG298" s="720"/>
      <c r="AH298" s="720"/>
      <c r="AI298" s="810"/>
      <c r="AJ298" s="814" t="str">
        <f t="shared" ref="AJ298:AJ303" si="76">nmProd1</f>
        <v>Greenborg</v>
      </c>
      <c r="AK298" s="794">
        <f>IF(AND(INDEX(obalCh1Prod1Slot1Active,,xxIndexTeam)=1,NOT(INDEX(obalCh1Prod1Slot1Promo1,,xxIndexTeam)="No Promotion")),INDEX(obalCh1Prod1Slot1Promo1CustUplift,,xxIndexTeam),"")</f>
        <v>5.5135023718343446</v>
      </c>
      <c r="AL298" s="811" t="s">
        <v>12797</v>
      </c>
      <c r="AM298" s="810"/>
      <c r="AN298" s="814" t="str">
        <f t="shared" ref="AN298:AN303" si="77">nmProd1</f>
        <v>Greenborg</v>
      </c>
      <c r="AO298" s="794">
        <f>IF(AND(INDEX(obalCh1Prod1Slot1Active,,xxIndexTeam)=1,NOT(INDEX(obalCh1Prod1Slot1Promo1,,xxIndexTeam)="No Promotion")),INDEX(obalCh1Prod1Slot1Promo1GPaLUplift,,xxIndexTeam),"")</f>
        <v>-9.1943025469919504E-2</v>
      </c>
      <c r="AP298" s="811" t="s">
        <v>12497</v>
      </c>
      <c r="AQ298" s="810"/>
      <c r="AR298" s="814" t="str">
        <f t="shared" ref="AR298:AR303" si="78">nmProd1</f>
        <v>Greenborg</v>
      </c>
      <c r="AS298" s="794">
        <f>IF(AND(INDEX(obalCh1Prod1Slot1Active,,xxIndexTeam)=1,NOT(INDEX(obalCh1Prod1Slot1Promo1,,xxIndexTeam)="No Promotion")),INDEX(obalCh1Prod1Slot1Promo1VolUplift,,xxIndexTeam),"")</f>
        <v>8.4629525382975004</v>
      </c>
      <c r="AT298" s="811" t="s">
        <v>12509</v>
      </c>
    </row>
    <row r="299" spans="30:46">
      <c r="AD299" s="800"/>
      <c r="AE299" s="554"/>
      <c r="AF299" s="720"/>
      <c r="AG299" s="720"/>
      <c r="AH299" s="720"/>
      <c r="AI299" s="554"/>
      <c r="AJ299" s="814" t="str">
        <f t="shared" si="76"/>
        <v>Greenborg</v>
      </c>
      <c r="AK299" s="794">
        <f>IF(AND(INDEX(obalCh1Prod1Slot1Active,,xxIndexTeam)=1,NOT(INDEX(obalCh1Prod1Slot1Promo2,,xxIndexTeam)="No Promotion")),INDEX(obalCh1Prod1Slot1Promo2CustUplift,,xxIndexTeam),"")</f>
        <v>4.1747924311980729</v>
      </c>
      <c r="AL299" s="811" t="s">
        <v>12798</v>
      </c>
      <c r="AM299" s="810"/>
      <c r="AN299" s="814" t="str">
        <f t="shared" si="77"/>
        <v>Greenborg</v>
      </c>
      <c r="AO299" s="794">
        <f>IF(AND(INDEX(obalCh1Prod1Slot1Active,,xxIndexTeam)=1,NOT(INDEX(obalCh1Prod1Slot1Promo2,,xxIndexTeam)="No Promotion")),INDEX(obalCh1Prod1Slot1Promo2GPaLUplift,,xxIndexTeam),"")</f>
        <v>1.8754071495592179</v>
      </c>
      <c r="AP299" s="811" t="s">
        <v>12498</v>
      </c>
      <c r="AQ299" s="810"/>
      <c r="AR299" s="814" t="str">
        <f t="shared" si="78"/>
        <v>Greenborg</v>
      </c>
      <c r="AS299" s="794">
        <f>IF(AND(INDEX(obalCh1Prod1Slot1Active,,xxIndexTeam)=1,NOT(INDEX(obalCh1Prod1Slot1Promo2,,xxIndexTeam)="No Promotion")),INDEX(obalCh1Prod1Slot1Promo2VolUplift,,xxIndexTeam),"")</f>
        <v>5.3601629320132043</v>
      </c>
      <c r="AT299" s="811" t="s">
        <v>12510</v>
      </c>
    </row>
    <row r="300" spans="30:46">
      <c r="AD300" s="800"/>
      <c r="AE300" s="554"/>
      <c r="AF300" s="720"/>
      <c r="AG300" s="720"/>
      <c r="AH300" s="720"/>
      <c r="AI300" s="554"/>
      <c r="AJ300" s="814" t="str">
        <f t="shared" si="76"/>
        <v>Greenborg</v>
      </c>
      <c r="AK300" s="794" t="str">
        <f>IF(AND(INDEX(obalCh1Prod1Slot2Active,,xxIndexTeam)=1,NOT(INDEX(obalCh1Prod1Slot2Promo1,,xxIndexTeam)="No Promotion")),INDEX(obalCh1Prod1Slot2Promo1CustUplift,,xxIndexTeam),"")</f>
        <v/>
      </c>
      <c r="AL300" s="811" t="s">
        <v>12799</v>
      </c>
      <c r="AM300" s="810"/>
      <c r="AN300" s="814" t="str">
        <f t="shared" si="77"/>
        <v>Greenborg</v>
      </c>
      <c r="AO300" s="794" t="str">
        <f>IF(AND(INDEX(obalCh1Prod1Slot2Active,,xxIndexTeam)=1,NOT(INDEX(obalCh1Prod1Slot2Promo1,,xxIndexTeam)="No Promotion")),INDEX(obalCh1Prod1Slot2Promo1GPaLUplift,,xxIndexTeam),"")</f>
        <v/>
      </c>
      <c r="AP300" s="811" t="s">
        <v>12499</v>
      </c>
      <c r="AQ300" s="810"/>
      <c r="AR300" s="814" t="str">
        <f t="shared" si="78"/>
        <v>Greenborg</v>
      </c>
      <c r="AS300" s="794" t="str">
        <f>IF(AND(INDEX(obalCh1Prod1Slot2Active,,xxIndexTeam)=1,NOT(INDEX(obalCh1Prod1Slot2Promo1,,xxIndexTeam)="No Promotion")),INDEX(obalCh1Prod1Slot2Promo1VolUplift,,xxIndexTeam),"")</f>
        <v/>
      </c>
      <c r="AT300" s="811" t="s">
        <v>12511</v>
      </c>
    </row>
    <row r="301" spans="30:46" ht="15" thickBot="1">
      <c r="AD301" s="800"/>
      <c r="AE301" s="554"/>
      <c r="AF301" s="720"/>
      <c r="AG301" s="720"/>
      <c r="AH301" s="720"/>
      <c r="AI301" s="554"/>
      <c r="AJ301" s="814" t="str">
        <f t="shared" si="76"/>
        <v>Greenborg</v>
      </c>
      <c r="AK301" s="794" t="str">
        <f>IF(AND(INDEX(obalCh1Prod1Slot2Active,,xxIndexTeam)=1,NOT(INDEX(obalCh1Prod1Slot2Promo2,,xxIndexTeam)="No Promotion")),INDEX(obalCh1Prod1Slot2Promo2CustUplift,,xxIndexTeam),"")</f>
        <v/>
      </c>
      <c r="AL301" s="811" t="s">
        <v>12800</v>
      </c>
      <c r="AM301" s="554"/>
      <c r="AN301" s="814" t="str">
        <f t="shared" si="77"/>
        <v>Greenborg</v>
      </c>
      <c r="AO301" s="794" t="str">
        <f>IF(AND(INDEX(obalCh1Prod1Slot2Active,,xxIndexTeam)=1,NOT(INDEX(obalCh1Prod1Slot2Promo2,,xxIndexTeam)="No Promotion")),INDEX(obalCh1Prod1Slot2Promo2GPaLUplift,,xxIndexTeam),"")</f>
        <v/>
      </c>
      <c r="AP301" s="811" t="s">
        <v>12500</v>
      </c>
      <c r="AQ301" s="554"/>
      <c r="AR301" s="814" t="str">
        <f t="shared" si="78"/>
        <v>Greenborg</v>
      </c>
      <c r="AS301" s="794" t="str">
        <f>IF(AND(INDEX(obalCh1Prod1Slot2Active,,xxIndexTeam)=1,NOT(INDEX(obalCh1Prod1Slot2Promo2,,xxIndexTeam)="No Promotion")),INDEX(obalCh1Prod1Slot2Promo2VolUplift,,xxIndexTeam),"")</f>
        <v/>
      </c>
      <c r="AT301" s="811" t="s">
        <v>12512</v>
      </c>
    </row>
    <row r="302" spans="30:46">
      <c r="AD302" s="800"/>
      <c r="AE302" s="555"/>
      <c r="AF302" s="600"/>
      <c r="AG302" s="600"/>
      <c r="AH302" s="600"/>
      <c r="AI302" s="554"/>
      <c r="AJ302" s="814" t="str">
        <f t="shared" si="76"/>
        <v>Greenborg</v>
      </c>
      <c r="AK302" s="794" t="str">
        <f>IF(AND(INDEX(obalCh1Prod1Slot3Active,,xxIndexTeam)=1,NOT(INDEX(obalCh1Prod1Slot3Promo1,,xxIndexTeam)="No Promotion")),INDEX(obalCh1Prod1Slot3Promo1CustUplift,,xxIndexTeam),"")</f>
        <v/>
      </c>
      <c r="AL302" s="811" t="s">
        <v>12801</v>
      </c>
      <c r="AM302" s="554"/>
      <c r="AN302" s="814" t="str">
        <f t="shared" si="77"/>
        <v>Greenborg</v>
      </c>
      <c r="AO302" s="794" t="str">
        <f>IF(AND(INDEX(obalCh1Prod1Slot3Active,,xxIndexTeam)=1,NOT(INDEX(obalCh1Prod1Slot3Promo1,,xxIndexTeam)="No Promotion")),INDEX(obalCh1Prod1Slot3Promo1GPaLUplift,,xxIndexTeam),"")</f>
        <v/>
      </c>
      <c r="AP302" s="811" t="s">
        <v>12501</v>
      </c>
      <c r="AQ302" s="554"/>
      <c r="AR302" s="814" t="str">
        <f t="shared" si="78"/>
        <v>Greenborg</v>
      </c>
      <c r="AS302" s="794" t="str">
        <f>IF(AND(INDEX(obalCh1Prod1Slot3Active,,xxIndexTeam)=1,NOT(INDEX(obalCh1Prod1Slot3Promo1,,xxIndexTeam)="No Promotion")),INDEX(obalCh1Prod1Slot3Promo1VolUplift,,xxIndexTeam),"")</f>
        <v/>
      </c>
      <c r="AT302" s="811" t="s">
        <v>12513</v>
      </c>
    </row>
    <row r="303" spans="30:46">
      <c r="AD303" s="800"/>
      <c r="AE303" s="554"/>
      <c r="AF303" s="720"/>
      <c r="AG303" s="720"/>
      <c r="AH303" s="720"/>
      <c r="AI303" s="554"/>
      <c r="AJ303" s="814" t="str">
        <f t="shared" si="76"/>
        <v>Greenborg</v>
      </c>
      <c r="AK303" s="794" t="str">
        <f>IF(AND(INDEX(obalCh1Prod1Slot3Active,,xxIndexTeam)=1,NOT(INDEX(obalCh1Prod1Slot3Promo2,,xxIndexTeam)="No Promotion")),INDEX(obalCh1Prod1Slot3Promo2CustUplift,,xxIndexTeam),"")</f>
        <v/>
      </c>
      <c r="AL303" s="811" t="s">
        <v>12802</v>
      </c>
      <c r="AM303" s="554"/>
      <c r="AN303" s="814" t="str">
        <f t="shared" si="77"/>
        <v>Greenborg</v>
      </c>
      <c r="AO303" s="794" t="str">
        <f>IF(AND(INDEX(obalCh1Prod1Slot3Active,,xxIndexTeam)=1,NOT(INDEX(obalCh1Prod1Slot3Promo2,,xxIndexTeam)="No Promotion")),INDEX(obalCh1Prod1Slot3Promo2GPaLUplift,,xxIndexTeam),"")</f>
        <v/>
      </c>
      <c r="AP303" s="811" t="s">
        <v>12502</v>
      </c>
      <c r="AQ303" s="554"/>
      <c r="AR303" s="814" t="str">
        <f t="shared" si="78"/>
        <v>Greenborg</v>
      </c>
      <c r="AS303" s="794" t="str">
        <f>IF(AND(INDEX(obalCh1Prod1Slot3Active,,xxIndexTeam)=1,NOT(INDEX(obalCh1Prod1Slot3Promo2,,xxIndexTeam)="No Promotion")),INDEX(obalCh1Prod1Slot3Promo2VolUplift,,xxIndexTeam),"")</f>
        <v/>
      </c>
      <c r="AT303" s="811" t="s">
        <v>12514</v>
      </c>
    </row>
    <row r="304" spans="30:46">
      <c r="AD304" s="800"/>
      <c r="AE304" s="554"/>
      <c r="AF304" s="720"/>
      <c r="AG304" s="720"/>
      <c r="AH304" s="720"/>
      <c r="AI304" s="554"/>
      <c r="AJ304" s="814" t="str">
        <f t="shared" ref="AJ304:AJ309" si="79">nmProd4</f>
        <v>Brew Master</v>
      </c>
      <c r="AK304" s="794" t="str">
        <f>IF(AND(INDEX(obalCh1Prod4Slot1Active,,xxIndexTeam)=1,NOT(INDEX(obalCh1Prod4Slot1Promo1,,xxIndexTeam)="No Promotion")),INDEX(obalCh1Prod4Slot1Promo1CustUplift,,xxIndexTeam),"")</f>
        <v/>
      </c>
      <c r="AL304" s="811" t="s">
        <v>12803</v>
      </c>
      <c r="AM304" s="810"/>
      <c r="AN304" s="814" t="str">
        <f t="shared" ref="AN304:AN309" si="80">nmProd4</f>
        <v>Brew Master</v>
      </c>
      <c r="AO304" s="794" t="str">
        <f>IF(AND(INDEX(obalCh1Prod4Slot1Active,,xxIndexTeam)=1,NOT(INDEX(obalCh1Prod4Slot1Promo1,,xxIndexTeam)="No Promotion")),INDEX(obalCh1Prod4Slot1Promo1GPaLUplift,,xxIndexTeam),"")</f>
        <v/>
      </c>
      <c r="AP304" s="811" t="s">
        <v>12503</v>
      </c>
      <c r="AQ304" s="810"/>
      <c r="AR304" s="814" t="str">
        <f t="shared" ref="AR304:AR309" si="81">nmProd4</f>
        <v>Brew Master</v>
      </c>
      <c r="AS304" s="794" t="str">
        <f>IF(AND(INDEX(obalCh1Prod4Slot1Active,,xxIndexTeam)=1,NOT(INDEX(obalCh1Prod4Slot1Promo1,,xxIndexTeam)="No Promotion")),INDEX(obalCh1Prod4Slot1Promo1VolUplift,,xxIndexTeam),"")</f>
        <v/>
      </c>
      <c r="AT304" s="811" t="s">
        <v>12515</v>
      </c>
    </row>
    <row r="305" spans="30:46">
      <c r="AD305" s="800"/>
      <c r="AE305" s="554"/>
      <c r="AF305" s="720"/>
      <c r="AG305" s="720"/>
      <c r="AH305" s="720"/>
      <c r="AI305" s="554"/>
      <c r="AJ305" s="814" t="str">
        <f t="shared" si="79"/>
        <v>Brew Master</v>
      </c>
      <c r="AK305" s="794" t="str">
        <f>IF(AND(INDEX(obalCh1Prod4Slot1Active,,xxIndexTeam)=1,NOT(INDEX(obalCh1Prod4Slot1Promo2,,xxIndexTeam)="No Promotion")),INDEX(obalCh1Prod4Slot1Promo2CustUplift,,xxIndexTeam),"")</f>
        <v/>
      </c>
      <c r="AL305" s="811" t="s">
        <v>12804</v>
      </c>
      <c r="AM305" s="810"/>
      <c r="AN305" s="814" t="str">
        <f t="shared" si="80"/>
        <v>Brew Master</v>
      </c>
      <c r="AO305" s="794" t="str">
        <f>IF(AND(INDEX(obalCh1Prod4Slot1Active,,xxIndexTeam)=1,NOT(INDEX(obalCh1Prod4Slot1Promo2,,xxIndexTeam)="No Promotion")),INDEX(obalCh1Prod4Slot1Promo2GPaLUplift,,xxIndexTeam),"")</f>
        <v/>
      </c>
      <c r="AP305" s="811" t="s">
        <v>12504</v>
      </c>
      <c r="AQ305" s="810"/>
      <c r="AR305" s="814" t="str">
        <f t="shared" si="81"/>
        <v>Brew Master</v>
      </c>
      <c r="AS305" s="794" t="str">
        <f>IF(AND(INDEX(obalCh1Prod4Slot1Active,,xxIndexTeam)=1,NOT(INDEX(obalCh1Prod4Slot1Promo2,,xxIndexTeam)="No Promotion")),INDEX(obalCh1Prod4Slot1Promo2VolUplift,,xxIndexTeam),"")</f>
        <v/>
      </c>
      <c r="AT305" s="811" t="s">
        <v>12516</v>
      </c>
    </row>
    <row r="306" spans="30:46">
      <c r="AD306" s="800"/>
      <c r="AE306" s="554"/>
      <c r="AF306" s="720"/>
      <c r="AG306" s="720"/>
      <c r="AH306" s="720"/>
      <c r="AI306" s="554"/>
      <c r="AJ306" s="814" t="str">
        <f t="shared" si="79"/>
        <v>Brew Master</v>
      </c>
      <c r="AK306" s="794" t="str">
        <f>IF(AND(INDEX(obalCh1Prod4Slot2Active,,xxIndexTeam)=1,NOT(INDEX(obalCh1Prod4Slot2Promo1,,xxIndexTeam)="No Promotion")),INDEX(obalCh1Prod4Slot2Promo1CustUplift,,xxIndexTeam),"")</f>
        <v/>
      </c>
      <c r="AL306" s="811" t="s">
        <v>12805</v>
      </c>
      <c r="AM306" s="810"/>
      <c r="AN306" s="814" t="str">
        <f t="shared" si="80"/>
        <v>Brew Master</v>
      </c>
      <c r="AO306" s="794" t="str">
        <f>IF(AND(INDEX(obalCh1Prod4Slot2Active,,xxIndexTeam)=1,NOT(INDEX(obalCh1Prod4Slot2Promo1,,xxIndexTeam)="No Promotion")),INDEX(obalCh1Prod4Slot2Promo1GPaLUplift,,xxIndexTeam),"")</f>
        <v/>
      </c>
      <c r="AP306" s="811" t="s">
        <v>12505</v>
      </c>
      <c r="AQ306" s="810"/>
      <c r="AR306" s="814" t="str">
        <f t="shared" si="81"/>
        <v>Brew Master</v>
      </c>
      <c r="AS306" s="794" t="str">
        <f>IF(AND(INDEX(obalCh1Prod4Slot2Active,,xxIndexTeam)=1,NOT(INDEX(obalCh1Prod4Slot2Promo1,,xxIndexTeam)="No Promotion")),INDEX(obalCh1Prod4Slot2Promo1VolUplift,,xxIndexTeam),"")</f>
        <v/>
      </c>
      <c r="AT306" s="811" t="s">
        <v>12517</v>
      </c>
    </row>
    <row r="307" spans="30:46">
      <c r="AD307" s="800"/>
      <c r="AE307" s="554"/>
      <c r="AF307" s="720"/>
      <c r="AG307" s="720"/>
      <c r="AH307" s="720"/>
      <c r="AI307" s="554"/>
      <c r="AJ307" s="814" t="str">
        <f t="shared" si="79"/>
        <v>Brew Master</v>
      </c>
      <c r="AK307" s="794" t="str">
        <f>IF(AND(INDEX(obalCh1Prod4Slot2Active,,xxIndexTeam)=1,NOT(INDEX(obalCh1Prod4Slot2Promo2,,xxIndexTeam)="No Promotion")),INDEX(obalCh1Prod4Slot2Promo2CustUplift,,xxIndexTeam),"")</f>
        <v/>
      </c>
      <c r="AL307" s="811" t="s">
        <v>12806</v>
      </c>
      <c r="AM307" s="810"/>
      <c r="AN307" s="814" t="str">
        <f t="shared" si="80"/>
        <v>Brew Master</v>
      </c>
      <c r="AO307" s="794" t="str">
        <f>IF(AND(INDEX(obalCh1Prod4Slot2Active,,xxIndexTeam)=1,NOT(INDEX(obalCh1Prod4Slot2Promo2,,xxIndexTeam)="No Promotion")),INDEX(obalCh1Prod4Slot2Promo2GPaLUplift,,xxIndexTeam),"")</f>
        <v/>
      </c>
      <c r="AP307" s="811" t="s">
        <v>12506</v>
      </c>
      <c r="AQ307" s="810"/>
      <c r="AR307" s="814" t="str">
        <f t="shared" si="81"/>
        <v>Brew Master</v>
      </c>
      <c r="AS307" s="794" t="str">
        <f>IF(AND(INDEX(obalCh1Prod4Slot2Active,,xxIndexTeam)=1,NOT(INDEX(obalCh1Prod4Slot2Promo2,,xxIndexTeam)="No Promotion")),INDEX(obalCh1Prod4Slot2Promo2VolUplift,,xxIndexTeam),"")</f>
        <v/>
      </c>
      <c r="AT307" s="811" t="s">
        <v>12518</v>
      </c>
    </row>
    <row r="308" spans="30:46">
      <c r="AD308" s="800"/>
      <c r="AE308" s="554"/>
      <c r="AF308" s="720"/>
      <c r="AG308" s="720"/>
      <c r="AH308" s="720"/>
      <c r="AI308" s="554"/>
      <c r="AJ308" s="814" t="str">
        <f t="shared" si="79"/>
        <v>Brew Master</v>
      </c>
      <c r="AK308" s="794" t="str">
        <f>IF(AND(INDEX(obalCh1Prod4Slot3Active,,xxIndexTeam)=1,NOT(INDEX(obalCh1Prod4Slot3Promo1,,xxIndexTeam)="No Promotion")),INDEX(obalCh1Prod4Slot3Promo1CustUplift,,xxIndexTeam),"")</f>
        <v/>
      </c>
      <c r="AL308" s="811" t="s">
        <v>12807</v>
      </c>
      <c r="AM308" s="554"/>
      <c r="AN308" s="814" t="str">
        <f t="shared" si="80"/>
        <v>Brew Master</v>
      </c>
      <c r="AO308" s="794" t="str">
        <f>IF(AND(INDEX(obalCh1Prod4Slot3Active,,xxIndexTeam)=1,NOT(INDEX(obalCh1Prod4Slot3Promo1,,xxIndexTeam)="No Promotion")),INDEX(obalCh1Prod4Slot3Promo1GPaLUplift,,xxIndexTeam),"")</f>
        <v/>
      </c>
      <c r="AP308" s="811" t="s">
        <v>12507</v>
      </c>
      <c r="AQ308" s="554"/>
      <c r="AR308" s="814" t="str">
        <f t="shared" si="81"/>
        <v>Brew Master</v>
      </c>
      <c r="AS308" s="794" t="str">
        <f>IF(AND(INDEX(obalCh1Prod4Slot3Active,,xxIndexTeam)=1,NOT(INDEX(obalCh1Prod4Slot3Promo1,,xxIndexTeam)="No Promotion")),INDEX(obalCh1Prod4Slot3Promo1VolUplift,,xxIndexTeam),"")</f>
        <v/>
      </c>
      <c r="AT308" s="811" t="s">
        <v>12519</v>
      </c>
    </row>
    <row r="309" spans="30:46">
      <c r="AD309" s="800"/>
      <c r="AE309" s="554"/>
      <c r="AF309" s="720"/>
      <c r="AG309" s="720"/>
      <c r="AH309" s="720"/>
      <c r="AI309" s="554"/>
      <c r="AJ309" s="814" t="str">
        <f t="shared" si="79"/>
        <v>Brew Master</v>
      </c>
      <c r="AK309" s="794" t="str">
        <f>IF(AND(INDEX(obalCh1Prod4Slot3Active,,xxIndexTeam)=1,NOT(INDEX(obalCh1Prod4Slot3Promo2,,xxIndexTeam)="No Promotion")),INDEX(obalCh1Prod4Slot3Promo2CustUplift,,xxIndexTeam),"")</f>
        <v/>
      </c>
      <c r="AL309" s="811" t="s">
        <v>12808</v>
      </c>
      <c r="AM309" s="554"/>
      <c r="AN309" s="814" t="str">
        <f t="shared" si="80"/>
        <v>Brew Master</v>
      </c>
      <c r="AO309" s="794" t="str">
        <f>IF(AND(INDEX(obalCh1Prod4Slot3Active,,xxIndexTeam)=1,NOT(INDEX(obalCh1Prod4Slot3Promo2,,xxIndexTeam)="No Promotion")),INDEX(obalCh1Prod4Slot3Promo2GPaLUplift,,xxIndexTeam),"")</f>
        <v/>
      </c>
      <c r="AP309" s="811" t="s">
        <v>12508</v>
      </c>
      <c r="AQ309" s="554"/>
      <c r="AR309" s="814" t="str">
        <f t="shared" si="81"/>
        <v>Brew Master</v>
      </c>
      <c r="AS309" s="794" t="str">
        <f>IF(AND(INDEX(obalCh1Prod4Slot3Active,,xxIndexTeam)=1,NOT(INDEX(obalCh1Prod4Slot3Promo2,,xxIndexTeam)="No Promotion")),INDEX(obalCh1Prod4Slot3Promo2VolUplift,,xxIndexTeam),"")</f>
        <v/>
      </c>
      <c r="AT309" s="811" t="s">
        <v>12520</v>
      </c>
    </row>
    <row r="310" spans="30:46">
      <c r="AD310" s="800"/>
      <c r="AE310" s="554"/>
      <c r="AF310" s="720"/>
      <c r="AG310" s="720"/>
      <c r="AH310" s="720"/>
      <c r="AI310" s="554"/>
      <c r="AJ310" s="720"/>
      <c r="AK310" s="720"/>
      <c r="AL310" s="584"/>
      <c r="AM310" s="554"/>
      <c r="AN310" s="720"/>
      <c r="AO310" s="720"/>
      <c r="AP310" s="584"/>
      <c r="AQ310" s="554"/>
      <c r="AR310" s="720"/>
      <c r="AS310" s="720"/>
      <c r="AT310" s="584"/>
    </row>
    <row r="311" spans="30:46">
      <c r="AD311" s="800"/>
      <c r="AE311" s="554"/>
      <c r="AF311" s="720"/>
      <c r="AG311" s="720"/>
      <c r="AH311" s="720"/>
      <c r="AI311" s="797" t="s">
        <v>4413</v>
      </c>
      <c r="AJ311" s="814"/>
      <c r="AK311" s="795"/>
      <c r="AL311" s="811"/>
      <c r="AM311" s="797" t="s">
        <v>4414</v>
      </c>
      <c r="AN311" s="814"/>
      <c r="AO311" s="795"/>
      <c r="AP311" s="811"/>
      <c r="AQ311" s="797" t="s">
        <v>4414</v>
      </c>
      <c r="AR311" s="814"/>
      <c r="AS311" s="795"/>
      <c r="AT311" s="811"/>
    </row>
    <row r="312" spans="30:46">
      <c r="AD312" s="800"/>
      <c r="AE312" s="554"/>
      <c r="AF312" s="720"/>
      <c r="AG312" s="720"/>
      <c r="AH312" s="720"/>
      <c r="AI312" s="810"/>
      <c r="AJ312" s="720"/>
      <c r="AK312" s="793"/>
      <c r="AL312" s="811" t="s">
        <v>7240</v>
      </c>
      <c r="AM312" s="810"/>
      <c r="AN312" s="720"/>
      <c r="AO312" s="793"/>
      <c r="AP312" s="811" t="s">
        <v>7239</v>
      </c>
      <c r="AQ312" s="810"/>
      <c r="AR312" s="720"/>
      <c r="AS312" s="793"/>
      <c r="AT312" s="811" t="s">
        <v>11419</v>
      </c>
    </row>
    <row r="313" spans="30:46">
      <c r="AD313" s="800"/>
      <c r="AE313" s="554"/>
      <c r="AF313" s="720"/>
      <c r="AG313" s="720"/>
      <c r="AH313" s="720"/>
      <c r="AI313" s="810"/>
      <c r="AJ313" s="814" t="str">
        <f t="shared" ref="AJ313:AJ318" si="82">nmProd2</f>
        <v>Harken</v>
      </c>
      <c r="AK313" s="794">
        <f>IF(AND(INDEX(obalCh1Prod2Slot1Active,,xxIndexTeam)=1,NOT(INDEX(obalCh1Prod2Slot1Promo1,,xxIndexTeam)="No Promotion")),INDEX(obalCh1Prod2Slot1Promo1GPaLUplift,,xxIndexTeam),"")</f>
        <v>-0.14098737255889571</v>
      </c>
      <c r="AL313" s="811" t="s">
        <v>7244</v>
      </c>
      <c r="AM313" s="810"/>
      <c r="AN313" s="814" t="str">
        <f t="shared" ref="AN313:AN318" si="83">nmProd2</f>
        <v>Harken</v>
      </c>
      <c r="AO313" s="794">
        <f>IF(AND(INDEX(obalCh1Prod2Slot1Active,,xxIndexTeam)=1,NOT(INDEX(obalCh1Prod2Slot1Promo1,,xxIndexTeam)="No Promotion")),INDEX(obalCh1Prod2Slot1Promo1ROI,,xxIndexTeam),"")</f>
        <v>-2.8277305841063591</v>
      </c>
      <c r="AP313" s="811" t="s">
        <v>7243</v>
      </c>
      <c r="AQ313" s="810"/>
      <c r="AR313" s="814" t="str">
        <f t="shared" ref="AR313:AR318" si="84">nmProd2</f>
        <v>Harken</v>
      </c>
      <c r="AS313" s="794">
        <f>IF(AND(INDEX(obalCh1Prod2Slot1Active,,xxIndexTeam)=1,NOT(INDEX(obalCh1Prod2Slot1Promo1,,xxIndexTeam)="No Promotion")),INDEX(obalCh1Prod2Slot1Promo1ROI,,xxIndexTeam),"")</f>
        <v>-2.8277305841063591</v>
      </c>
      <c r="AT313" s="811" t="s">
        <v>11420</v>
      </c>
    </row>
    <row r="314" spans="30:46">
      <c r="AD314" s="800"/>
      <c r="AE314" s="554"/>
      <c r="AF314" s="720"/>
      <c r="AG314" s="720"/>
      <c r="AH314" s="720"/>
      <c r="AI314" s="810"/>
      <c r="AJ314" s="814" t="str">
        <f t="shared" si="82"/>
        <v>Harken</v>
      </c>
      <c r="AK314" s="794" t="str">
        <f>IF(AND(INDEX(obalCh1Prod2Slot1Active,,xxIndexTeam)=1,NOT(INDEX(obalCh1Prod2Slot1Promo2,,xxIndexTeam)="No Promotion")),INDEX(obalCh1Prod2Slot1Promo2GPaLUplift,,xxIndexTeam),"")</f>
        <v/>
      </c>
      <c r="AL314" s="811" t="s">
        <v>7248</v>
      </c>
      <c r="AM314" s="810"/>
      <c r="AN314" s="814" t="str">
        <f t="shared" si="83"/>
        <v>Harken</v>
      </c>
      <c r="AO314" s="794" t="str">
        <f>IF(AND(INDEX(obalCh1Prod2Slot1Active,,xxIndexTeam)=1,NOT(INDEX(obalCh1Prod2Slot1Promo2,,xxIndexTeam)="No Promotion")),INDEX(obalCh1Prod2Slot1Promo2ROI,,xxIndexTeam),"")</f>
        <v/>
      </c>
      <c r="AP314" s="811" t="s">
        <v>7247</v>
      </c>
      <c r="AQ314" s="810"/>
      <c r="AR314" s="814" t="str">
        <f t="shared" si="84"/>
        <v>Harken</v>
      </c>
      <c r="AS314" s="794" t="str">
        <f>IF(AND(INDEX(obalCh1Prod2Slot1Active,,xxIndexTeam)=1,NOT(INDEX(obalCh1Prod2Slot1Promo2,,xxIndexTeam)="No Promotion")),INDEX(obalCh1Prod2Slot1Promo2ROI,,xxIndexTeam),"")</f>
        <v/>
      </c>
      <c r="AT314" s="811" t="s">
        <v>11421</v>
      </c>
    </row>
    <row r="315" spans="30:46">
      <c r="AD315" s="800"/>
      <c r="AE315" s="554"/>
      <c r="AF315" s="720"/>
      <c r="AG315" s="720"/>
      <c r="AH315" s="720"/>
      <c r="AI315" s="810"/>
      <c r="AJ315" s="814" t="str">
        <f t="shared" si="82"/>
        <v>Harken</v>
      </c>
      <c r="AK315" s="794">
        <f>IF(AND(INDEX(obalCh1Prod2Slot2Active,,xxIndexTeam)=1,NOT(INDEX(obalCh1Prod2Slot2Promo1,,xxIndexTeam)="No Promotion")),INDEX(obalCh1Prod2Slot2Promo1GPaLUplift,,xxIndexTeam),"")</f>
        <v>0.86916192449351448</v>
      </c>
      <c r="AL315" s="811" t="s">
        <v>7252</v>
      </c>
      <c r="AM315" s="810"/>
      <c r="AN315" s="814" t="str">
        <f t="shared" si="83"/>
        <v>Harken</v>
      </c>
      <c r="AO315" s="794">
        <f>IF(AND(INDEX(obalCh1Prod2Slot2Active,,xxIndexTeam)=1,NOT(INDEX(obalCh1Prod2Slot2Promo1,,xxIndexTeam)="No Promotion")),INDEX(obalCh1Prod2Slot2Promo1ROI,,xxIndexTeam),"")</f>
        <v>14.626940240458159</v>
      </c>
      <c r="AP315" s="811" t="s">
        <v>7251</v>
      </c>
      <c r="AQ315" s="810"/>
      <c r="AR315" s="814" t="str">
        <f t="shared" si="84"/>
        <v>Harken</v>
      </c>
      <c r="AS315" s="794">
        <f>IF(AND(INDEX(obalCh1Prod2Slot2Active,,xxIndexTeam)=1,NOT(INDEX(obalCh1Prod2Slot2Promo1,,xxIndexTeam)="No Promotion")),INDEX(obalCh1Prod2Slot2Promo1ROI,,xxIndexTeam),"")</f>
        <v>14.626940240458159</v>
      </c>
      <c r="AT315" s="811" t="s">
        <v>11422</v>
      </c>
    </row>
    <row r="316" spans="30:46">
      <c r="AD316" s="800"/>
      <c r="AE316" s="554"/>
      <c r="AF316" s="720"/>
      <c r="AG316" s="720"/>
      <c r="AH316" s="720"/>
      <c r="AI316" s="810"/>
      <c r="AJ316" s="814" t="str">
        <f t="shared" si="82"/>
        <v>Harken</v>
      </c>
      <c r="AK316" s="794">
        <f>IF(AND(INDEX(obalCh1Prod2Slot2Active,,xxIndexTeam)=1,NOT(INDEX(obalCh1Prod2Slot2Promo2,,xxIndexTeam)="No Promotion")),INDEX(obalCh1Prod2Slot2Promo2GPaLUplift,,xxIndexTeam),"")</f>
        <v>0.10172524953793083</v>
      </c>
      <c r="AL316" s="811" t="s">
        <v>7256</v>
      </c>
      <c r="AM316" s="554"/>
      <c r="AN316" s="814" t="str">
        <f t="shared" si="83"/>
        <v>Harken</v>
      </c>
      <c r="AO316" s="794">
        <f>IF(AND(INDEX(obalCh1Prod2Slot2Active,,xxIndexTeam)=1,NOT(INDEX(obalCh1Prod2Slot2Promo2,,xxIndexTeam)="No Promotion")),INDEX(obalCh1Prod2Slot2Promo2ROI,,xxIndexTeam),"")</f>
        <v>1.7119124802942411</v>
      </c>
      <c r="AP316" s="811" t="s">
        <v>7255</v>
      </c>
      <c r="AQ316" s="554"/>
      <c r="AR316" s="814" t="str">
        <f t="shared" si="84"/>
        <v>Harken</v>
      </c>
      <c r="AS316" s="794">
        <f>IF(AND(INDEX(obalCh1Prod2Slot2Active,,xxIndexTeam)=1,NOT(INDEX(obalCh1Prod2Slot2Promo2,,xxIndexTeam)="No Promotion")),INDEX(obalCh1Prod2Slot2Promo2ROI,,xxIndexTeam),"")</f>
        <v>1.7119124802942411</v>
      </c>
      <c r="AT316" s="811" t="s">
        <v>11423</v>
      </c>
    </row>
    <row r="317" spans="30:46">
      <c r="AD317" s="800"/>
      <c r="AE317" s="554"/>
      <c r="AF317" s="720"/>
      <c r="AG317" s="720"/>
      <c r="AH317" s="720"/>
      <c r="AI317" s="810"/>
      <c r="AJ317" s="814" t="str">
        <f t="shared" si="82"/>
        <v>Harken</v>
      </c>
      <c r="AK317" s="794" t="str">
        <f>IF(AND(INDEX(obalCh1Prod2Slot3Active,,xxIndexTeam)=1,NOT(INDEX(obalCh1Prod2Slot3Promo1,,xxIndexTeam)="No Promotion")),INDEX(obalCh1Prod2Slot3Promo1GPaLUplift,,xxIndexTeam),"")</f>
        <v/>
      </c>
      <c r="AL317" s="811" t="s">
        <v>7260</v>
      </c>
      <c r="AM317" s="554"/>
      <c r="AN317" s="814" t="str">
        <f t="shared" si="83"/>
        <v>Harken</v>
      </c>
      <c r="AO317" s="794" t="str">
        <f>IF(AND(INDEX(obalCh1Prod2Slot3Active,,xxIndexTeam)=1,NOT(INDEX(obalCh1Prod2Slot3Promo1,,xxIndexTeam)="No Promotion")),INDEX(obalCh1Prod2Slot3Promo1ROI,,xxIndexTeam),"")</f>
        <v/>
      </c>
      <c r="AP317" s="811" t="s">
        <v>7259</v>
      </c>
      <c r="AQ317" s="554"/>
      <c r="AR317" s="814" t="str">
        <f t="shared" si="84"/>
        <v>Harken</v>
      </c>
      <c r="AS317" s="794" t="str">
        <f>IF(AND(INDEX(obalCh1Prod2Slot3Active,,xxIndexTeam)=1,NOT(INDEX(obalCh1Prod2Slot3Promo1,,xxIndexTeam)="No Promotion")),INDEX(obalCh1Prod2Slot3Promo1ROI,,xxIndexTeam),"")</f>
        <v/>
      </c>
      <c r="AT317" s="811" t="s">
        <v>11424</v>
      </c>
    </row>
    <row r="318" spans="30:46">
      <c r="AD318" s="800"/>
      <c r="AE318" s="554"/>
      <c r="AF318" s="720"/>
      <c r="AG318" s="720"/>
      <c r="AH318" s="720"/>
      <c r="AI318" s="810"/>
      <c r="AJ318" s="814" t="str">
        <f t="shared" si="82"/>
        <v>Harken</v>
      </c>
      <c r="AK318" s="794" t="str">
        <f>IF(AND(INDEX(obalCh1Prod2Slot3Active,,xxIndexTeam)=1,NOT(INDEX(obalCh1Prod2Slot3Promo2,,xxIndexTeam)="No Promotion")),INDEX(obalCh1Prod2Slot3Promo2GPaLUplift,,xxIndexTeam),"")</f>
        <v/>
      </c>
      <c r="AL318" s="811" t="s">
        <v>7264</v>
      </c>
      <c r="AM318" s="554"/>
      <c r="AN318" s="814" t="str">
        <f t="shared" si="83"/>
        <v>Harken</v>
      </c>
      <c r="AO318" s="794" t="str">
        <f>IF(AND(INDEX(obalCh1Prod2Slot3Active,,xxIndexTeam)=1,NOT(INDEX(obalCh1Prod2Slot3Promo2,,xxIndexTeam)="No Promotion")),INDEX(obalCh1Prod2Slot3Promo2ROI,,xxIndexTeam),"")</f>
        <v/>
      </c>
      <c r="AP318" s="811" t="s">
        <v>7263</v>
      </c>
      <c r="AQ318" s="554"/>
      <c r="AR318" s="814" t="str">
        <f t="shared" si="84"/>
        <v>Harken</v>
      </c>
      <c r="AS318" s="794" t="str">
        <f>IF(AND(INDEX(obalCh1Prod2Slot3Active,,xxIndexTeam)=1,NOT(INDEX(obalCh1Prod2Slot3Promo2,,xxIndexTeam)="No Promotion")),INDEX(obalCh1Prod2Slot3Promo2ROI,,xxIndexTeam),"")</f>
        <v/>
      </c>
      <c r="AT318" s="811" t="s">
        <v>11425</v>
      </c>
    </row>
    <row r="319" spans="30:46">
      <c r="AD319" s="800"/>
      <c r="AE319" s="554"/>
      <c r="AF319" s="720"/>
      <c r="AG319" s="720"/>
      <c r="AH319" s="720"/>
      <c r="AI319" s="810"/>
      <c r="AJ319" s="814" t="str">
        <f t="shared" ref="AJ319:AJ324" si="85">nmProd3</f>
        <v>Kara</v>
      </c>
      <c r="AK319" s="794">
        <f>IF(AND(INDEX(obalCh1Prod3Slot1Active,,xxIndexTeam)=1,NOT(INDEX(obalCh1Prod3Slot1Promo1,,xxIndexTeam)="No Promotion")),INDEX(obalCh1Prod3Slot1Promo1GPaLUplift,,xxIndexTeam),"")</f>
        <v>-0.82936375358740888</v>
      </c>
      <c r="AL319" s="811" t="s">
        <v>7267</v>
      </c>
      <c r="AM319" s="810"/>
      <c r="AN319" s="814" t="str">
        <f t="shared" ref="AN319:AN324" si="86">nmProd3</f>
        <v>Kara</v>
      </c>
      <c r="AO319" s="794">
        <f>IF(AND(INDEX(obalCh1Prod3Slot1Active,,xxIndexTeam)=1,NOT(INDEX(obalCh1Prod3Slot1Promo1,,xxIndexTeam)="No Promotion")),INDEX(obalCh1Prod3Slot1Promo1ROI,,xxIndexTeam),"")</f>
        <v>-8.0182302035415454</v>
      </c>
      <c r="AP319" s="811" t="s">
        <v>7266</v>
      </c>
      <c r="AQ319" s="810"/>
      <c r="AR319" s="814" t="str">
        <f t="shared" ref="AR319:AR324" si="87">nmProd3</f>
        <v>Kara</v>
      </c>
      <c r="AS319" s="794">
        <f>IF(AND(INDEX(obalCh1Prod3Slot1Active,,xxIndexTeam)=1,NOT(INDEX(obalCh1Prod3Slot1Promo1,,xxIndexTeam)="No Promotion")),INDEX(obalCh1Prod3Slot1Promo1ROI,,xxIndexTeam),"")</f>
        <v>-8.0182302035415454</v>
      </c>
      <c r="AT319" s="811" t="s">
        <v>11426</v>
      </c>
    </row>
    <row r="320" spans="30:46">
      <c r="AD320" s="800"/>
      <c r="AE320" s="554"/>
      <c r="AF320" s="720"/>
      <c r="AG320" s="720"/>
      <c r="AH320" s="720"/>
      <c r="AI320" s="810"/>
      <c r="AJ320" s="814" t="str">
        <f t="shared" si="85"/>
        <v>Kara</v>
      </c>
      <c r="AK320" s="794" t="str">
        <f>IF(AND(INDEX(obalCh1Prod3Slot1Active,,xxIndexTeam)=1,NOT(INDEX(obalCh1Prod3Slot1Promo2,,xxIndexTeam)="No Promotion")),INDEX(obalCh1Prod3Slot1Promo2GPaLUplift,,xxIndexTeam),"")</f>
        <v/>
      </c>
      <c r="AL320" s="811" t="s">
        <v>7270</v>
      </c>
      <c r="AM320" s="810"/>
      <c r="AN320" s="814" t="str">
        <f t="shared" si="86"/>
        <v>Kara</v>
      </c>
      <c r="AO320" s="794" t="str">
        <f>IF(AND(INDEX(obalCh1Prod3Slot1Active,,xxIndexTeam)=1,NOT(INDEX(obalCh1Prod3Slot1Promo2,,xxIndexTeam)="No Promotion")),INDEX(obalCh1Prod3Slot1Promo2ROI,,xxIndexTeam),"")</f>
        <v/>
      </c>
      <c r="AP320" s="811" t="s">
        <v>7269</v>
      </c>
      <c r="AQ320" s="810"/>
      <c r="AR320" s="814" t="str">
        <f t="shared" si="87"/>
        <v>Kara</v>
      </c>
      <c r="AS320" s="794" t="str">
        <f>IF(AND(INDEX(obalCh1Prod3Slot1Active,,xxIndexTeam)=1,NOT(INDEX(obalCh1Prod3Slot1Promo2,,xxIndexTeam)="No Promotion")),INDEX(obalCh1Prod3Slot1Promo2ROI,,xxIndexTeam),"")</f>
        <v/>
      </c>
      <c r="AT320" s="811" t="s">
        <v>11427</v>
      </c>
    </row>
    <row r="321" spans="30:46">
      <c r="AD321" s="800"/>
      <c r="AE321" s="554"/>
      <c r="AF321" s="720"/>
      <c r="AG321" s="720"/>
      <c r="AH321" s="720"/>
      <c r="AI321" s="810"/>
      <c r="AJ321" s="814" t="str">
        <f t="shared" si="85"/>
        <v>Kara</v>
      </c>
      <c r="AK321" s="794">
        <f>IF(AND(INDEX(obalCh1Prod3Slot2Active,,xxIndexTeam)=1,NOT(INDEX(obalCh1Prod3Slot2Promo1,,xxIndexTeam)="No Promotion")),INDEX(obalCh1Prod3Slot2Promo1GPaLUplift,,xxIndexTeam),"")</f>
        <v>0.2782775267838089</v>
      </c>
      <c r="AL321" s="811" t="s">
        <v>7273</v>
      </c>
      <c r="AM321" s="810"/>
      <c r="AN321" s="814" t="str">
        <f t="shared" si="86"/>
        <v>Kara</v>
      </c>
      <c r="AO321" s="794">
        <f>IF(AND(INDEX(obalCh1Prod3Slot2Active,,xxIndexTeam)=1,NOT(INDEX(obalCh1Prod3Slot2Promo1,,xxIndexTeam)="No Promotion")),INDEX(obalCh1Prod3Slot2Promo1ROI,,xxIndexTeam),"")</f>
        <v>5.1574214705470043</v>
      </c>
      <c r="AP321" s="811" t="s">
        <v>7272</v>
      </c>
      <c r="AQ321" s="810"/>
      <c r="AR321" s="814" t="str">
        <f t="shared" si="87"/>
        <v>Kara</v>
      </c>
      <c r="AS321" s="794">
        <f>IF(AND(INDEX(obalCh1Prod3Slot2Active,,xxIndexTeam)=1,NOT(INDEX(obalCh1Prod3Slot2Promo1,,xxIndexTeam)="No Promotion")),INDEX(obalCh1Prod3Slot2Promo1ROI,,xxIndexTeam),"")</f>
        <v>5.1574214705470043</v>
      </c>
      <c r="AT321" s="811" t="s">
        <v>11428</v>
      </c>
    </row>
    <row r="322" spans="30:46">
      <c r="AD322" s="800"/>
      <c r="AE322" s="554"/>
      <c r="AF322" s="720"/>
      <c r="AG322" s="720"/>
      <c r="AH322" s="720"/>
      <c r="AI322" s="810"/>
      <c r="AJ322" s="814" t="str">
        <f t="shared" si="85"/>
        <v>Kara</v>
      </c>
      <c r="AK322" s="794" t="str">
        <f>IF(AND(INDEX(obalCh1Prod3Slot2Active,,xxIndexTeam)=1,NOT(INDEX(obalCh1Prod3Slot2Promo2,,xxIndexTeam)="No Promotion")),INDEX(obalCh1Prod3Slot2Promo2GPaLUplift,,xxIndexTeam),"")</f>
        <v/>
      </c>
      <c r="AL322" s="811" t="s">
        <v>7276</v>
      </c>
      <c r="AM322" s="554"/>
      <c r="AN322" s="814" t="str">
        <f t="shared" si="86"/>
        <v>Kara</v>
      </c>
      <c r="AO322" s="794" t="str">
        <f>IF(AND(INDEX(obalCh1Prod3Slot2Active,,xxIndexTeam)=1,NOT(INDEX(obalCh1Prod3Slot2Promo2,,xxIndexTeam)="No Promotion")),INDEX(obalCh1Prod3Slot2Promo2ROI,,xxIndexTeam),"")</f>
        <v/>
      </c>
      <c r="AP322" s="811" t="s">
        <v>7275</v>
      </c>
      <c r="AQ322" s="554"/>
      <c r="AR322" s="814" t="str">
        <f t="shared" si="87"/>
        <v>Kara</v>
      </c>
      <c r="AS322" s="794" t="str">
        <f>IF(AND(INDEX(obalCh1Prod3Slot2Active,,xxIndexTeam)=1,NOT(INDEX(obalCh1Prod3Slot2Promo2,,xxIndexTeam)="No Promotion")),INDEX(obalCh1Prod3Slot2Promo2ROI,,xxIndexTeam),"")</f>
        <v/>
      </c>
      <c r="AT322" s="811" t="s">
        <v>11429</v>
      </c>
    </row>
    <row r="323" spans="30:46">
      <c r="AD323" s="800"/>
      <c r="AE323" s="554"/>
      <c r="AF323" s="720"/>
      <c r="AG323" s="720"/>
      <c r="AH323" s="720"/>
      <c r="AI323" s="810"/>
      <c r="AJ323" s="814" t="str">
        <f t="shared" si="85"/>
        <v>Kara</v>
      </c>
      <c r="AK323" s="794" t="str">
        <f>IF(AND(INDEX(obalCh1Prod3Slot3Active,,xxIndexTeam)=1,NOT(INDEX(obalCh1Prod3Slot3Promo1,,xxIndexTeam)="No Promotion")),INDEX(obalCh1Prod3Slot3Promo1GPaLUplift,,xxIndexTeam),"")</f>
        <v/>
      </c>
      <c r="AL323" s="811" t="s">
        <v>7279</v>
      </c>
      <c r="AM323" s="554"/>
      <c r="AN323" s="814" t="str">
        <f t="shared" si="86"/>
        <v>Kara</v>
      </c>
      <c r="AO323" s="794" t="str">
        <f>IF(AND(INDEX(obalCh1Prod3Slot3Active,,xxIndexTeam)=1,NOT(INDEX(obalCh1Prod3Slot3Promo1,,xxIndexTeam)="No Promotion")),INDEX(obalCh1Prod3Slot3Promo1ROI,,xxIndexTeam),"")</f>
        <v/>
      </c>
      <c r="AP323" s="811" t="s">
        <v>7278</v>
      </c>
      <c r="AQ323" s="554"/>
      <c r="AR323" s="814" t="str">
        <f t="shared" si="87"/>
        <v>Kara</v>
      </c>
      <c r="AS323" s="794" t="str">
        <f>IF(AND(INDEX(obalCh1Prod3Slot3Active,,xxIndexTeam)=1,NOT(INDEX(obalCh1Prod3Slot3Promo1,,xxIndexTeam)="No Promotion")),INDEX(obalCh1Prod3Slot3Promo1ROI,,xxIndexTeam),"")</f>
        <v/>
      </c>
      <c r="AT323" s="811" t="s">
        <v>11430</v>
      </c>
    </row>
    <row r="324" spans="30:46">
      <c r="AD324" s="800"/>
      <c r="AE324" s="554"/>
      <c r="AF324" s="720"/>
      <c r="AG324" s="720"/>
      <c r="AH324" s="720"/>
      <c r="AI324" s="810"/>
      <c r="AJ324" s="814" t="str">
        <f t="shared" si="85"/>
        <v>Kara</v>
      </c>
      <c r="AK324" s="794" t="str">
        <f>IF(AND(INDEX(obalCh1Prod3Slot3Active,,xxIndexTeam)=1,NOT(INDEX(obalCh1Prod3Slot3Promo2,,xxIndexTeam)="No Promotion")),INDEX(obalCh1Prod3Slot3Promo2GPaLUplift,,xxIndexTeam),"")</f>
        <v/>
      </c>
      <c r="AL324" s="811" t="s">
        <v>7282</v>
      </c>
      <c r="AM324" s="554"/>
      <c r="AN324" s="814" t="str">
        <f t="shared" si="86"/>
        <v>Kara</v>
      </c>
      <c r="AO324" s="794" t="str">
        <f>IF(AND(INDEX(obalCh1Prod3Slot3Active,,xxIndexTeam)=1,NOT(INDEX(obalCh1Prod3Slot3Promo2,,xxIndexTeam)="No Promotion")),INDEX(obalCh1Prod3Slot3Promo2ROI,,xxIndexTeam),"")</f>
        <v/>
      </c>
      <c r="AP324" s="811" t="s">
        <v>7281</v>
      </c>
      <c r="AQ324" s="554"/>
      <c r="AR324" s="814" t="str">
        <f t="shared" si="87"/>
        <v>Kara</v>
      </c>
      <c r="AS324" s="794" t="str">
        <f>IF(AND(INDEX(obalCh1Prod3Slot3Active,,xxIndexTeam)=1,NOT(INDEX(obalCh1Prod3Slot3Promo2,,xxIndexTeam)="No Promotion")),INDEX(obalCh1Prod3Slot3Promo2ROI,,xxIndexTeam),"")</f>
        <v/>
      </c>
      <c r="AT324" s="811" t="s">
        <v>11431</v>
      </c>
    </row>
    <row r="325" spans="30:46">
      <c r="AD325" s="800"/>
      <c r="AE325" s="554"/>
      <c r="AF325" s="720"/>
      <c r="AG325" s="720"/>
      <c r="AH325" s="720"/>
      <c r="AI325" s="810"/>
      <c r="AJ325" s="814" t="str">
        <f t="shared" ref="AJ325:AJ330" si="88">nmProd1</f>
        <v>Greenborg</v>
      </c>
      <c r="AK325" s="794">
        <f>IF(AND(INDEX(obalCh1Prod1Slot1Active,,xxIndexTeam)=1,NOT(INDEX(obalCh1Prod1Slot1Promo1,,xxIndexTeam)="No Promotion")),INDEX(obalCh1Prod1Slot1Promo1GPaLUplift,,xxIndexTeam),"")</f>
        <v>-9.1943025469919504E-2</v>
      </c>
      <c r="AL325" s="811" t="s">
        <v>12785</v>
      </c>
      <c r="AM325" s="810"/>
      <c r="AN325" s="814" t="str">
        <f t="shared" ref="AN325:AN330" si="89">nmProd1</f>
        <v>Greenborg</v>
      </c>
      <c r="AO325" s="794">
        <f>IF(AND(INDEX(obalCh1Prod1Slot1Active,,xxIndexTeam)=1,NOT(INDEX(obalCh1Prod1Slot1Promo1,,xxIndexTeam)="No Promotion")),INDEX(obalCh1Prod1Slot1Promo1ROI,,xxIndexTeam),"")</f>
        <v>-0.77454301074790421</v>
      </c>
      <c r="AP325" s="811" t="s">
        <v>12533</v>
      </c>
      <c r="AQ325" s="810"/>
      <c r="AR325" s="814" t="str">
        <f t="shared" ref="AR325:AR330" si="90">nmProd1</f>
        <v>Greenborg</v>
      </c>
      <c r="AS325" s="794">
        <f>IF(AND(INDEX(obalCh1Prod1Slot1Active,,xxIndexTeam)=1,NOT(INDEX(obalCh1Prod1Slot1Promo1,,xxIndexTeam)="No Promotion")),INDEX(obalCh1Prod1Slot1Promo1ROI,,xxIndexTeam),"")</f>
        <v>-0.77454301074790421</v>
      </c>
      <c r="AT325" s="811" t="s">
        <v>12545</v>
      </c>
    </row>
    <row r="326" spans="30:46">
      <c r="AD326" s="800"/>
      <c r="AE326" s="554"/>
      <c r="AF326" s="720"/>
      <c r="AG326" s="720"/>
      <c r="AH326" s="720"/>
      <c r="AI326" s="554"/>
      <c r="AJ326" s="814" t="str">
        <f t="shared" si="88"/>
        <v>Greenborg</v>
      </c>
      <c r="AK326" s="794">
        <f>IF(AND(INDEX(obalCh1Prod1Slot1Active,,xxIndexTeam)=1,NOT(INDEX(obalCh1Prod1Slot1Promo2,,xxIndexTeam)="No Promotion")),INDEX(obalCh1Prod1Slot1Promo2GPaLUplift,,xxIndexTeam),"")</f>
        <v>1.8754071495592179</v>
      </c>
      <c r="AL326" s="811" t="s">
        <v>12786</v>
      </c>
      <c r="AM326" s="810"/>
      <c r="AN326" s="814" t="str">
        <f t="shared" si="89"/>
        <v>Greenborg</v>
      </c>
      <c r="AO326" s="794">
        <f>IF(AND(INDEX(obalCh1Prod1Slot1Active,,xxIndexTeam)=1,NOT(INDEX(obalCh1Prod1Slot1Promo2,,xxIndexTeam)="No Promotion")),INDEX(obalCh1Prod1Slot1Promo2ROI,,xxIndexTeam),"")</f>
        <v>15.798735059822178</v>
      </c>
      <c r="AP326" s="811" t="s">
        <v>12534</v>
      </c>
      <c r="AQ326" s="810"/>
      <c r="AR326" s="814" t="str">
        <f t="shared" si="90"/>
        <v>Greenborg</v>
      </c>
      <c r="AS326" s="794">
        <f>IF(AND(INDEX(obalCh1Prod1Slot1Active,,xxIndexTeam)=1,NOT(INDEX(obalCh1Prod1Slot1Promo2,,xxIndexTeam)="No Promotion")),INDEX(obalCh1Prod1Slot1Promo2ROI,,xxIndexTeam),"")</f>
        <v>15.798735059822178</v>
      </c>
      <c r="AT326" s="811" t="s">
        <v>12546</v>
      </c>
    </row>
    <row r="327" spans="30:46" ht="15" thickBot="1">
      <c r="AD327" s="800"/>
      <c r="AE327" s="546"/>
      <c r="AF327" s="544"/>
      <c r="AG327" s="544"/>
      <c r="AH327" s="544"/>
      <c r="AI327" s="554"/>
      <c r="AJ327" s="814" t="str">
        <f t="shared" si="88"/>
        <v>Greenborg</v>
      </c>
      <c r="AK327" s="794" t="str">
        <f>IF(AND(INDEX(obalCh1Prod1Slot2Active,,xxIndexTeam)=1,NOT(INDEX(obalCh1Prod1Slot2Promo1,,xxIndexTeam)="No Promotion")),INDEX(obalCh1Prod1Slot2Promo1GPaLUplift,,xxIndexTeam),"")</f>
        <v/>
      </c>
      <c r="AL327" s="811" t="s">
        <v>12787</v>
      </c>
      <c r="AM327" s="810"/>
      <c r="AN327" s="814" t="str">
        <f t="shared" si="89"/>
        <v>Greenborg</v>
      </c>
      <c r="AO327" s="794" t="str">
        <f>IF(AND(INDEX(obalCh1Prod1Slot2Active,,xxIndexTeam)=1,NOT(INDEX(obalCh1Prod1Slot2Promo1,,xxIndexTeam)="No Promotion")),INDEX(obalCh1Prod1Slot2Promo1ROI,,xxIndexTeam),"")</f>
        <v/>
      </c>
      <c r="AP327" s="811" t="s">
        <v>12535</v>
      </c>
      <c r="AQ327" s="810"/>
      <c r="AR327" s="814" t="str">
        <f t="shared" si="90"/>
        <v>Greenborg</v>
      </c>
      <c r="AS327" s="794" t="str">
        <f>IF(AND(INDEX(obalCh1Prod1Slot2Active,,xxIndexTeam)=1,NOT(INDEX(obalCh1Prod1Slot2Promo1,,xxIndexTeam)="No Promotion")),INDEX(obalCh1Prod1Slot2Promo1ROI,,xxIndexTeam),"")</f>
        <v/>
      </c>
      <c r="AT327" s="811" t="s">
        <v>12547</v>
      </c>
    </row>
    <row r="328" spans="30:46">
      <c r="AD328" s="800"/>
      <c r="AI328" s="554"/>
      <c r="AJ328" s="814" t="str">
        <f t="shared" si="88"/>
        <v>Greenborg</v>
      </c>
      <c r="AK328" s="794" t="str">
        <f>IF(AND(INDEX(obalCh1Prod1Slot2Active,,xxIndexTeam)=1,NOT(INDEX(obalCh1Prod1Slot2Promo2,,xxIndexTeam)="No Promotion")),INDEX(obalCh1Prod1Slot2Promo2GPaLUplift,,xxIndexTeam),"")</f>
        <v/>
      </c>
      <c r="AL328" s="811" t="s">
        <v>12788</v>
      </c>
      <c r="AM328" s="554"/>
      <c r="AN328" s="814" t="str">
        <f t="shared" si="89"/>
        <v>Greenborg</v>
      </c>
      <c r="AO328" s="794" t="str">
        <f>IF(AND(INDEX(obalCh1Prod1Slot2Active,,xxIndexTeam)=1,NOT(INDEX(obalCh1Prod1Slot2Promo2,,xxIndexTeam)="No Promotion")),INDEX(obalCh1Prod1Slot2Promo2ROI,,xxIndexTeam),"")</f>
        <v/>
      </c>
      <c r="AP328" s="811" t="s">
        <v>12536</v>
      </c>
      <c r="AQ328" s="554"/>
      <c r="AR328" s="814" t="str">
        <f t="shared" si="90"/>
        <v>Greenborg</v>
      </c>
      <c r="AS328" s="794" t="str">
        <f>IF(AND(INDEX(obalCh1Prod1Slot2Active,,xxIndexTeam)=1,NOT(INDEX(obalCh1Prod1Slot2Promo2,,xxIndexTeam)="No Promotion")),INDEX(obalCh1Prod1Slot2Promo2ROI,,xxIndexTeam),"")</f>
        <v/>
      </c>
      <c r="AT328" s="811" t="s">
        <v>12548</v>
      </c>
    </row>
    <row r="329" spans="30:46">
      <c r="AD329" s="800"/>
      <c r="AI329" s="554"/>
      <c r="AJ329" s="814" t="str">
        <f t="shared" si="88"/>
        <v>Greenborg</v>
      </c>
      <c r="AK329" s="794" t="str">
        <f>IF(AND(INDEX(obalCh1Prod1Slot3Active,,xxIndexTeam)=1,NOT(INDEX(obalCh1Prod1Slot3Promo1,,xxIndexTeam)="No Promotion")),INDEX(obalCh1Prod1Slot3Promo1GPaLUplift,,xxIndexTeam),"")</f>
        <v/>
      </c>
      <c r="AL329" s="811" t="s">
        <v>12789</v>
      </c>
      <c r="AM329" s="554"/>
      <c r="AN329" s="814" t="str">
        <f t="shared" si="89"/>
        <v>Greenborg</v>
      </c>
      <c r="AO329" s="794" t="str">
        <f>IF(AND(INDEX(obalCh1Prod1Slot3Active,,xxIndexTeam)=1,NOT(INDEX(obalCh1Prod1Slot3Promo1,,xxIndexTeam)="No Promotion")),INDEX(obalCh1Prod1Slot3Promo1ROI,,xxIndexTeam),"")</f>
        <v/>
      </c>
      <c r="AP329" s="811" t="s">
        <v>12537</v>
      </c>
      <c r="AQ329" s="554"/>
      <c r="AR329" s="814" t="str">
        <f t="shared" si="90"/>
        <v>Greenborg</v>
      </c>
      <c r="AS329" s="794" t="str">
        <f>IF(AND(INDEX(obalCh1Prod1Slot3Active,,xxIndexTeam)=1,NOT(INDEX(obalCh1Prod1Slot3Promo1,,xxIndexTeam)="No Promotion")),INDEX(obalCh1Prod1Slot3Promo1ROI,,xxIndexTeam),"")</f>
        <v/>
      </c>
      <c r="AT329" s="811" t="s">
        <v>12549</v>
      </c>
    </row>
    <row r="330" spans="30:46">
      <c r="AD330" s="800"/>
      <c r="AI330" s="554"/>
      <c r="AJ330" s="814" t="str">
        <f t="shared" si="88"/>
        <v>Greenborg</v>
      </c>
      <c r="AK330" s="794" t="str">
        <f>IF(AND(INDEX(obalCh1Prod1Slot3Active,,xxIndexTeam)=1,NOT(INDEX(obalCh1Prod1Slot3Promo2,,xxIndexTeam)="No Promotion")),INDEX(obalCh1Prod1Slot3Promo2GPaLUplift,,xxIndexTeam),"")</f>
        <v/>
      </c>
      <c r="AL330" s="811" t="s">
        <v>12790</v>
      </c>
      <c r="AM330" s="554"/>
      <c r="AN330" s="814" t="str">
        <f t="shared" si="89"/>
        <v>Greenborg</v>
      </c>
      <c r="AO330" s="794" t="str">
        <f>IF(AND(INDEX(obalCh1Prod1Slot3Active,,xxIndexTeam)=1,NOT(INDEX(obalCh1Prod1Slot3Promo2,,xxIndexTeam)="No Promotion")),INDEX(obalCh1Prod1Slot3Promo2ROI,,xxIndexTeam),"")</f>
        <v/>
      </c>
      <c r="AP330" s="811" t="s">
        <v>12538</v>
      </c>
      <c r="AQ330" s="554"/>
      <c r="AR330" s="814" t="str">
        <f t="shared" si="90"/>
        <v>Greenborg</v>
      </c>
      <c r="AS330" s="794" t="str">
        <f>IF(AND(INDEX(obalCh1Prod1Slot3Active,,xxIndexTeam)=1,NOT(INDEX(obalCh1Prod1Slot3Promo2,,xxIndexTeam)="No Promotion")),INDEX(obalCh1Prod1Slot3Promo2ROI,,xxIndexTeam),"")</f>
        <v/>
      </c>
      <c r="AT330" s="811" t="s">
        <v>12550</v>
      </c>
    </row>
    <row r="331" spans="30:46">
      <c r="AD331" s="800"/>
      <c r="AI331" s="554"/>
      <c r="AJ331" s="814" t="str">
        <f t="shared" ref="AJ331:AJ336" si="91">nmProd4</f>
        <v>Brew Master</v>
      </c>
      <c r="AK331" s="794" t="str">
        <f>IF(AND(INDEX(obalCh1Prod4Slot1Active,,xxIndexTeam)=1,NOT(INDEX(obalCh1Prod4Slot1Promo1,,xxIndexTeam)="No Promotion")),INDEX(obalCh1Prod4Slot1Promo1GPaLUplift,,xxIndexTeam),"")</f>
        <v/>
      </c>
      <c r="AL331" s="811" t="s">
        <v>12791</v>
      </c>
      <c r="AM331" s="810"/>
      <c r="AN331" s="814" t="str">
        <f t="shared" ref="AN331:AN336" si="92">nmProd4</f>
        <v>Brew Master</v>
      </c>
      <c r="AO331" s="794" t="str">
        <f>IF(AND(INDEX(obalCh1Prod4Slot1Active,,xxIndexTeam)=1,NOT(INDEX(obalCh1Prod4Slot1Promo1,,xxIndexTeam)="No Promotion")),INDEX(obalCh1Prod4Slot1Promo1ROI,,xxIndexTeam),"")</f>
        <v/>
      </c>
      <c r="AP331" s="811" t="s">
        <v>12539</v>
      </c>
      <c r="AQ331" s="810"/>
      <c r="AR331" s="814" t="str">
        <f t="shared" ref="AR331:AR336" si="93">nmProd4</f>
        <v>Brew Master</v>
      </c>
      <c r="AS331" s="794" t="str">
        <f>IF(AND(INDEX(obalCh1Prod4Slot1Active,,xxIndexTeam)=1,NOT(INDEX(obalCh1Prod4Slot1Promo1,,xxIndexTeam)="No Promotion")),INDEX(obalCh1Prod4Slot1Promo1ROI,,xxIndexTeam),"")</f>
        <v/>
      </c>
      <c r="AT331" s="811" t="s">
        <v>12551</v>
      </c>
    </row>
    <row r="332" spans="30:46">
      <c r="AD332" s="800"/>
      <c r="AI332" s="554"/>
      <c r="AJ332" s="814" t="str">
        <f t="shared" si="91"/>
        <v>Brew Master</v>
      </c>
      <c r="AK332" s="794" t="str">
        <f>IF(AND(INDEX(obalCh1Prod4Slot1Active,,xxIndexTeam)=1,NOT(INDEX(obalCh1Prod4Slot1Promo2,,xxIndexTeam)="No Promotion")),INDEX(obalCh1Prod4Slot1Promo2GPaLUplift,,xxIndexTeam),"")</f>
        <v/>
      </c>
      <c r="AL332" s="811" t="s">
        <v>12792</v>
      </c>
      <c r="AM332" s="810"/>
      <c r="AN332" s="814" t="str">
        <f t="shared" si="92"/>
        <v>Brew Master</v>
      </c>
      <c r="AO332" s="794" t="str">
        <f>IF(AND(INDEX(obalCh1Prod4Slot1Active,,xxIndexTeam)=1,NOT(INDEX(obalCh1Prod4Slot1Promo2,,xxIndexTeam)="No Promotion")),INDEX(obalCh1Prod4Slot1Promo2ROI,,xxIndexTeam),"")</f>
        <v/>
      </c>
      <c r="AP332" s="811" t="s">
        <v>12540</v>
      </c>
      <c r="AQ332" s="810"/>
      <c r="AR332" s="814" t="str">
        <f t="shared" si="93"/>
        <v>Brew Master</v>
      </c>
      <c r="AS332" s="794" t="str">
        <f>IF(AND(INDEX(obalCh1Prod4Slot1Active,,xxIndexTeam)=1,NOT(INDEX(obalCh1Prod4Slot1Promo2,,xxIndexTeam)="No Promotion")),INDEX(obalCh1Prod4Slot1Promo2ROI,,xxIndexTeam),"")</f>
        <v/>
      </c>
      <c r="AT332" s="811" t="s">
        <v>12552</v>
      </c>
    </row>
    <row r="333" spans="30:46">
      <c r="AD333" s="800"/>
      <c r="AI333" s="554"/>
      <c r="AJ333" s="814" t="str">
        <f t="shared" si="91"/>
        <v>Brew Master</v>
      </c>
      <c r="AK333" s="794" t="str">
        <f>IF(AND(INDEX(obalCh1Prod4Slot2Active,,xxIndexTeam)=1,NOT(INDEX(obalCh1Prod4Slot2Promo1,,xxIndexTeam)="No Promotion")),INDEX(obalCh1Prod4Slot2Promo1GPaLUplift,,xxIndexTeam),"")</f>
        <v/>
      </c>
      <c r="AL333" s="811" t="s">
        <v>12793</v>
      </c>
      <c r="AM333" s="810"/>
      <c r="AN333" s="814" t="str">
        <f t="shared" si="92"/>
        <v>Brew Master</v>
      </c>
      <c r="AO333" s="794" t="str">
        <f>IF(AND(INDEX(obalCh1Prod4Slot2Active,,xxIndexTeam)=1,NOT(INDEX(obalCh1Prod4Slot2Promo1,,xxIndexTeam)="No Promotion")),INDEX(obalCh1Prod4Slot2Promo1ROI,,xxIndexTeam),"")</f>
        <v/>
      </c>
      <c r="AP333" s="811" t="s">
        <v>12541</v>
      </c>
      <c r="AQ333" s="810"/>
      <c r="AR333" s="814" t="str">
        <f t="shared" si="93"/>
        <v>Brew Master</v>
      </c>
      <c r="AS333" s="794" t="str">
        <f>IF(AND(INDEX(obalCh1Prod4Slot2Active,,xxIndexTeam)=1,NOT(INDEX(obalCh1Prod4Slot2Promo1,,xxIndexTeam)="No Promotion")),INDEX(obalCh1Prod4Slot2Promo1ROI,,xxIndexTeam),"")</f>
        <v/>
      </c>
      <c r="AT333" s="811" t="s">
        <v>12553</v>
      </c>
    </row>
    <row r="334" spans="30:46">
      <c r="AD334" s="800"/>
      <c r="AI334" s="554"/>
      <c r="AJ334" s="814" t="str">
        <f t="shared" si="91"/>
        <v>Brew Master</v>
      </c>
      <c r="AK334" s="794" t="str">
        <f>IF(AND(INDEX(obalCh1Prod4Slot2Active,,xxIndexTeam)=1,NOT(INDEX(obalCh1Prod4Slot2Promo2,,xxIndexTeam)="No Promotion")),INDEX(obalCh1Prod4Slot2Promo2GPaLUplift,,xxIndexTeam),"")</f>
        <v/>
      </c>
      <c r="AL334" s="811" t="s">
        <v>12794</v>
      </c>
      <c r="AM334" s="554"/>
      <c r="AN334" s="814" t="str">
        <f t="shared" si="92"/>
        <v>Brew Master</v>
      </c>
      <c r="AO334" s="794" t="str">
        <f>IF(AND(INDEX(obalCh1Prod4Slot2Active,,xxIndexTeam)=1,NOT(INDEX(obalCh1Prod4Slot2Promo2,,xxIndexTeam)="No Promotion")),INDEX(obalCh1Prod4Slot2Promo2ROI,,xxIndexTeam),"")</f>
        <v/>
      </c>
      <c r="AP334" s="811" t="s">
        <v>12542</v>
      </c>
      <c r="AQ334" s="554"/>
      <c r="AR334" s="814" t="str">
        <f t="shared" si="93"/>
        <v>Brew Master</v>
      </c>
      <c r="AS334" s="794" t="str">
        <f>IF(AND(INDEX(obalCh1Prod4Slot2Active,,xxIndexTeam)=1,NOT(INDEX(obalCh1Prod4Slot2Promo2,,xxIndexTeam)="No Promotion")),INDEX(obalCh1Prod4Slot2Promo2ROI,,xxIndexTeam),"")</f>
        <v/>
      </c>
      <c r="AT334" s="811" t="s">
        <v>12554</v>
      </c>
    </row>
    <row r="335" spans="30:46">
      <c r="AD335" s="800"/>
      <c r="AI335" s="554"/>
      <c r="AJ335" s="814" t="str">
        <f t="shared" si="91"/>
        <v>Brew Master</v>
      </c>
      <c r="AK335" s="794" t="str">
        <f>IF(AND(INDEX(obalCh1Prod4Slot3Active,,xxIndexTeam)=1,NOT(INDEX(obalCh1Prod4Slot3Promo1,,xxIndexTeam)="No Promotion")),INDEX(obalCh1Prod4Slot3Promo1GPaLUplift,,xxIndexTeam),"")</f>
        <v/>
      </c>
      <c r="AL335" s="811" t="s">
        <v>12795</v>
      </c>
      <c r="AM335" s="554"/>
      <c r="AN335" s="814" t="str">
        <f t="shared" si="92"/>
        <v>Brew Master</v>
      </c>
      <c r="AO335" s="794" t="str">
        <f>IF(AND(INDEX(obalCh1Prod4Slot3Active,,xxIndexTeam)=1,NOT(INDEX(obalCh1Prod4Slot3Promo1,,xxIndexTeam)="No Promotion")),INDEX(obalCh1Prod4Slot3Promo1ROI,,xxIndexTeam),"")</f>
        <v/>
      </c>
      <c r="AP335" s="811" t="s">
        <v>12543</v>
      </c>
      <c r="AQ335" s="554"/>
      <c r="AR335" s="814" t="str">
        <f t="shared" si="93"/>
        <v>Brew Master</v>
      </c>
      <c r="AS335" s="794" t="str">
        <f>IF(AND(INDEX(obalCh1Prod4Slot3Active,,xxIndexTeam)=1,NOT(INDEX(obalCh1Prod4Slot3Promo1,,xxIndexTeam)="No Promotion")),INDEX(obalCh1Prod4Slot3Promo1ROI,,xxIndexTeam),"")</f>
        <v/>
      </c>
      <c r="AT335" s="811" t="s">
        <v>12555</v>
      </c>
    </row>
    <row r="336" spans="30:46">
      <c r="AD336" s="800"/>
      <c r="AI336" s="554"/>
      <c r="AJ336" s="814" t="str">
        <f t="shared" si="91"/>
        <v>Brew Master</v>
      </c>
      <c r="AK336" s="794" t="str">
        <f>IF(AND(INDEX(obalCh1Prod4Slot3Active,,xxIndexTeam)=1,NOT(INDEX(obalCh1Prod4Slot3Promo2,,xxIndexTeam)="No Promotion")),INDEX(obalCh1Prod4Slot3Promo2GPaLUplift,,xxIndexTeam),"")</f>
        <v/>
      </c>
      <c r="AL336" s="811" t="s">
        <v>12796</v>
      </c>
      <c r="AM336" s="554"/>
      <c r="AN336" s="814" t="str">
        <f t="shared" si="92"/>
        <v>Brew Master</v>
      </c>
      <c r="AO336" s="794" t="str">
        <f>IF(AND(INDEX(obalCh1Prod4Slot3Active,,xxIndexTeam)=1,NOT(INDEX(obalCh1Prod4Slot3Promo2,,xxIndexTeam)="No Promotion")),INDEX(obalCh1Prod4Slot3Promo2ROI,,xxIndexTeam),"")</f>
        <v/>
      </c>
      <c r="AP336" s="811" t="s">
        <v>12544</v>
      </c>
      <c r="AQ336" s="554"/>
      <c r="AR336" s="814" t="str">
        <f t="shared" si="93"/>
        <v>Brew Master</v>
      </c>
      <c r="AS336" s="794" t="str">
        <f>IF(AND(INDEX(obalCh1Prod4Slot3Active,,xxIndexTeam)=1,NOT(INDEX(obalCh1Prod4Slot3Promo2,,xxIndexTeam)="No Promotion")),INDEX(obalCh1Prod4Slot3Promo2ROI,,xxIndexTeam),"")</f>
        <v/>
      </c>
      <c r="AT336" s="811" t="s">
        <v>12556</v>
      </c>
    </row>
    <row r="337" spans="30:46">
      <c r="AD337" s="800"/>
      <c r="AI337" s="554"/>
      <c r="AJ337" s="720"/>
      <c r="AK337" s="720"/>
      <c r="AL337" s="584"/>
      <c r="AM337" s="810"/>
      <c r="AN337" s="814"/>
      <c r="AO337" s="814"/>
      <c r="AP337" s="811"/>
      <c r="AQ337" s="810"/>
      <c r="AR337" s="814"/>
      <c r="AS337" s="814"/>
      <c r="AT337" s="811"/>
    </row>
    <row r="338" spans="30:46">
      <c r="AD338" s="800"/>
      <c r="AI338" s="797" t="s">
        <v>6993</v>
      </c>
      <c r="AJ338" s="814"/>
      <c r="AK338" s="814"/>
      <c r="AL338" s="811"/>
      <c r="AM338" s="797" t="s">
        <v>6993</v>
      </c>
      <c r="AN338" s="814"/>
      <c r="AO338" s="814"/>
      <c r="AP338" s="811"/>
      <c r="AQ338" s="797" t="s">
        <v>6993</v>
      </c>
      <c r="AR338" s="814"/>
      <c r="AS338" s="814"/>
      <c r="AT338" s="811"/>
    </row>
    <row r="339" spans="30:46">
      <c r="AD339" s="800"/>
      <c r="AI339" s="810"/>
      <c r="AJ339" s="814" t="str">
        <f t="shared" ref="AJ339:AJ344" si="94">nmProd2</f>
        <v>Harken</v>
      </c>
      <c r="AK339" s="729">
        <f>IF(AND(INDEX(obalCh1Prod2Slot1Active,,xxIndexTeam)=1,NOT(INDEX(obalCh1Prod2Slot1Promo1,,xxIndexTeam)="No Promotion")),INDEX(obalCh1Prod2Slot1SoldVol,,xxIndexTeam)*INDEX(obalCh1Prod2Slot1Promo1Share,,xxIndexTeam),"")</f>
        <v>13887721.867416425</v>
      </c>
      <c r="AL339" s="811" t="s">
        <v>7285</v>
      </c>
      <c r="AM339" s="810"/>
      <c r="AN339" s="814" t="str">
        <f t="shared" ref="AN339:AN344" si="95">nmProd2</f>
        <v>Harken</v>
      </c>
      <c r="AO339" s="729">
        <f>IF(AND(INDEX(obalCh1Prod2Slot1Active,,xxIndexTeam)=1,NOT(INDEX(obalCh1Prod2Slot1Promo1,,xxIndexTeam)="No Promotion")),INDEX(obalCh1Prod2Slot1SoldVol,,xxIndexTeam)*INDEX(obalCh1Prod2Slot1Promo1Share,,xxIndexTeam),"")</f>
        <v>13887721.867416425</v>
      </c>
      <c r="AP339" s="811" t="s">
        <v>7284</v>
      </c>
      <c r="AQ339" s="810"/>
      <c r="AR339" s="814" t="str">
        <f t="shared" ref="AR339:AR344" si="96">nmProd2</f>
        <v>Harken</v>
      </c>
      <c r="AS339" s="729">
        <f>IF(AND(INDEX(obalCh1Prod2Slot1Active,,xxIndexTeam)=1,NOT(INDEX(obalCh1Prod2Slot1Promo1,,xxIndexTeam)="No Promotion")),INDEX(obalCh1Prod2Slot1SoldVol,,xxIndexTeam)*INDEX(obalCh1Prod2Slot1Promo1Share,,xxIndexTeam),"")</f>
        <v>13887721.867416425</v>
      </c>
      <c r="AT339" s="811" t="s">
        <v>11432</v>
      </c>
    </row>
    <row r="340" spans="30:46">
      <c r="AD340" s="800"/>
      <c r="AI340" s="810"/>
      <c r="AJ340" s="814" t="str">
        <f t="shared" si="94"/>
        <v>Harken</v>
      </c>
      <c r="AK340" s="729" t="str">
        <f>IF(AND(INDEX(obalCh1Prod2Slot1Active,,xxIndexTeam)=1,NOT(INDEX(obalCh1Prod2Slot1Promo2,,xxIndexTeam)="No Promotion")),INDEX(obalCh1Prod2Slot1SoldVol,,xxIndexTeam)*INDEX(obalCh1Prod2Slot1Promo2Share,,xxIndexTeam),"")</f>
        <v/>
      </c>
      <c r="AL340" s="811" t="s">
        <v>7287</v>
      </c>
      <c r="AM340" s="810"/>
      <c r="AN340" s="814" t="str">
        <f t="shared" si="95"/>
        <v>Harken</v>
      </c>
      <c r="AO340" s="729" t="str">
        <f>IF(AND(INDEX(obalCh1Prod2Slot1Active,,xxIndexTeam)=1,NOT(INDEX(obalCh1Prod2Slot1Promo2,,xxIndexTeam)="No Promotion")),INDEX(obalCh1Prod2Slot1SoldVol,,xxIndexTeam)*INDEX(obalCh1Prod2Slot1Promo2Share,,xxIndexTeam),"")</f>
        <v/>
      </c>
      <c r="AP340" s="811" t="s">
        <v>7286</v>
      </c>
      <c r="AQ340" s="810"/>
      <c r="AR340" s="814" t="str">
        <f t="shared" si="96"/>
        <v>Harken</v>
      </c>
      <c r="AS340" s="729" t="str">
        <f>IF(AND(INDEX(obalCh1Prod2Slot1Active,,xxIndexTeam)=1,NOT(INDEX(obalCh1Prod2Slot1Promo2,,xxIndexTeam)="No Promotion")),INDEX(obalCh1Prod2Slot1SoldVol,,xxIndexTeam)*INDEX(obalCh1Prod2Slot1Promo2Share,,xxIndexTeam),"")</f>
        <v/>
      </c>
      <c r="AT340" s="811" t="s">
        <v>11433</v>
      </c>
    </row>
    <row r="341" spans="30:46">
      <c r="AD341" s="800"/>
      <c r="AI341" s="810"/>
      <c r="AJ341" s="814" t="str">
        <f t="shared" si="94"/>
        <v>Harken</v>
      </c>
      <c r="AK341" s="729">
        <f>IF(AND(INDEX(obalCh1Prod2Slot2Active,,xxIndexTeam)=1,NOT(INDEX(obalCh1Prod2Slot2Promo1,,xxIndexTeam)="No Promotion")),INDEX(obalCh1Prod2Slot2SoldVol,,xxIndexTeam)*INDEX(obalCh1Prod2Slot2Promo1Share,,xxIndexTeam),"")</f>
        <v>15111374.906943252</v>
      </c>
      <c r="AL341" s="811" t="s">
        <v>7289</v>
      </c>
      <c r="AM341" s="810"/>
      <c r="AN341" s="814" t="str">
        <f t="shared" si="95"/>
        <v>Harken</v>
      </c>
      <c r="AO341" s="729">
        <f>IF(AND(INDEX(obalCh1Prod2Slot2Active,,xxIndexTeam)=1,NOT(INDEX(obalCh1Prod2Slot2Promo1,,xxIndexTeam)="No Promotion")),INDEX(obalCh1Prod2Slot2SoldVol,,xxIndexTeam)*INDEX(obalCh1Prod2Slot2Promo1Share,,xxIndexTeam),"")</f>
        <v>15111374.906943252</v>
      </c>
      <c r="AP341" s="811" t="s">
        <v>7288</v>
      </c>
      <c r="AQ341" s="810"/>
      <c r="AR341" s="814" t="str">
        <f t="shared" si="96"/>
        <v>Harken</v>
      </c>
      <c r="AS341" s="729">
        <f>IF(AND(INDEX(obalCh1Prod2Slot2Active,,xxIndexTeam)=1,NOT(INDEX(obalCh1Prod2Slot2Promo1,,xxIndexTeam)="No Promotion")),INDEX(obalCh1Prod2Slot2SoldVol,,xxIndexTeam)*INDEX(obalCh1Prod2Slot2Promo1Share,,xxIndexTeam),"")</f>
        <v>15111374.906943252</v>
      </c>
      <c r="AT341" s="811" t="s">
        <v>11434</v>
      </c>
    </row>
    <row r="342" spans="30:46">
      <c r="AD342" s="800"/>
      <c r="AI342" s="810"/>
      <c r="AJ342" s="814" t="str">
        <f t="shared" si="94"/>
        <v>Harken</v>
      </c>
      <c r="AK342" s="729">
        <f>IF(AND(INDEX(obalCh1Prod2Slot2Active,,xxIndexTeam)=1,NOT(INDEX(obalCh1Prod2Slot2Promo2,,xxIndexTeam)="No Promotion")),INDEX(obalCh1Prod2Slot2SoldVol,,xxIndexTeam)*INDEX(obalCh1Prod2Slot2Promo2Share,,xxIndexTeam),"")</f>
        <v>27729014.702287521</v>
      </c>
      <c r="AL342" s="811" t="s">
        <v>7291</v>
      </c>
      <c r="AM342" s="810"/>
      <c r="AN342" s="814" t="str">
        <f t="shared" si="95"/>
        <v>Harken</v>
      </c>
      <c r="AO342" s="729">
        <f>IF(AND(INDEX(obalCh1Prod2Slot2Active,,xxIndexTeam)=1,NOT(INDEX(obalCh1Prod2Slot2Promo2,,xxIndexTeam)="No Promotion")),INDEX(obalCh1Prod2Slot2SoldVol,,xxIndexTeam)*INDEX(obalCh1Prod2Slot2Promo2Share,,xxIndexTeam),"")</f>
        <v>27729014.702287521</v>
      </c>
      <c r="AP342" s="584" t="s">
        <v>7290</v>
      </c>
      <c r="AQ342" s="810"/>
      <c r="AR342" s="814" t="str">
        <f t="shared" si="96"/>
        <v>Harken</v>
      </c>
      <c r="AS342" s="729">
        <f>IF(AND(INDEX(obalCh1Prod2Slot2Active,,xxIndexTeam)=1,NOT(INDEX(obalCh1Prod2Slot2Promo2,,xxIndexTeam)="No Promotion")),INDEX(obalCh1Prod2Slot2SoldVol,,xxIndexTeam)*INDEX(obalCh1Prod2Slot2Promo2Share,,xxIndexTeam),"")</f>
        <v>27729014.702287521</v>
      </c>
      <c r="AT342" s="584" t="s">
        <v>11435</v>
      </c>
    </row>
    <row r="343" spans="30:46">
      <c r="AD343" s="800"/>
      <c r="AI343" s="810"/>
      <c r="AJ343" s="814" t="str">
        <f t="shared" si="94"/>
        <v>Harken</v>
      </c>
      <c r="AK343" s="729" t="str">
        <f>IF(AND(INDEX(obalCh1Prod2Slot3Active,,xxIndexTeam)=1,NOT(INDEX(obalCh1Prod2Slot3Promo1,,xxIndexTeam)="No Promotion")),INDEX(obalCh1Prod2Slot3SoldVol,,xxIndexTeam)*INDEX(obalCh1Prod2Slot3Promo1Share,,xxIndexTeam),"")</f>
        <v/>
      </c>
      <c r="AL343" s="811" t="s">
        <v>7293</v>
      </c>
      <c r="AM343" s="810"/>
      <c r="AN343" s="814" t="str">
        <f t="shared" si="95"/>
        <v>Harken</v>
      </c>
      <c r="AO343" s="729" t="str">
        <f>IF(AND(INDEX(obalCh1Prod2Slot3Active,,xxIndexTeam)=1,NOT(INDEX(obalCh1Prod2Slot3Promo1,,xxIndexTeam)="No Promotion")),INDEX(obalCh1Prod2Slot3SoldVol,,xxIndexTeam)*INDEX(obalCh1Prod2Slot3Promo1Share,,xxIndexTeam),"")</f>
        <v/>
      </c>
      <c r="AP343" s="584" t="s">
        <v>7292</v>
      </c>
      <c r="AQ343" s="810"/>
      <c r="AR343" s="814" t="str">
        <f t="shared" si="96"/>
        <v>Harken</v>
      </c>
      <c r="AS343" s="729" t="str">
        <f>IF(AND(INDEX(obalCh1Prod2Slot3Active,,xxIndexTeam)=1,NOT(INDEX(obalCh1Prod2Slot3Promo1,,xxIndexTeam)="No Promotion")),INDEX(obalCh1Prod2Slot3SoldVol,,xxIndexTeam)*INDEX(obalCh1Prod2Slot3Promo1Share,,xxIndexTeam),"")</f>
        <v/>
      </c>
      <c r="AT343" s="584" t="s">
        <v>11436</v>
      </c>
    </row>
    <row r="344" spans="30:46">
      <c r="AD344" s="800"/>
      <c r="AI344" s="810"/>
      <c r="AJ344" s="814" t="str">
        <f t="shared" si="94"/>
        <v>Harken</v>
      </c>
      <c r="AK344" s="729" t="str">
        <f>IF(AND(INDEX(obalCh1Prod2Slot3Active,,xxIndexTeam)=1,NOT(INDEX(obalCh1Prod2Slot3Promo2,,xxIndexTeam)="No Promotion")),INDEX(obalCh1Prod2Slot3SoldVol,,xxIndexTeam)*INDEX(obalCh1Prod2Slot3Promo2Share,,xxIndexTeam),"")</f>
        <v/>
      </c>
      <c r="AL344" s="811" t="s">
        <v>7295</v>
      </c>
      <c r="AM344" s="810"/>
      <c r="AN344" s="814" t="str">
        <f t="shared" si="95"/>
        <v>Harken</v>
      </c>
      <c r="AO344" s="729" t="str">
        <f>IF(AND(INDEX(obalCh1Prod2Slot3Active,,xxIndexTeam)=1,NOT(INDEX(obalCh1Prod2Slot3Promo2,,xxIndexTeam)="No Promotion")),INDEX(obalCh1Prod2Slot3SoldVol,,xxIndexTeam)*INDEX(obalCh1Prod2Slot3Promo2Share,,xxIndexTeam),"")</f>
        <v/>
      </c>
      <c r="AP344" s="584" t="s">
        <v>7294</v>
      </c>
      <c r="AQ344" s="810"/>
      <c r="AR344" s="814" t="str">
        <f t="shared" si="96"/>
        <v>Harken</v>
      </c>
      <c r="AS344" s="729" t="str">
        <f>IF(AND(INDEX(obalCh1Prod2Slot3Active,,xxIndexTeam)=1,NOT(INDEX(obalCh1Prod2Slot3Promo2,,xxIndexTeam)="No Promotion")),INDEX(obalCh1Prod2Slot3SoldVol,,xxIndexTeam)*INDEX(obalCh1Prod2Slot3Promo2Share,,xxIndexTeam),"")</f>
        <v/>
      </c>
      <c r="AT344" s="584" t="s">
        <v>11437</v>
      </c>
    </row>
    <row r="345" spans="30:46">
      <c r="AD345" s="800"/>
      <c r="AI345" s="810"/>
      <c r="AJ345" s="814" t="str">
        <f t="shared" ref="AJ345:AJ350" si="97">nmProd3</f>
        <v>Kara</v>
      </c>
      <c r="AK345" s="729">
        <f>IF(AND(INDEX(obalCh1Prod3Slot1Active,,xxIndexTeam)=1,NOT(INDEX(obalCh1Prod3Slot1Promo1,,xxIndexTeam)="No Promotion")),INDEX(obalCh1Prod3Slot1SoldVol,,xxIndexTeam)*INDEX(obalCh1Prod3Slot1Promo1Share,,xxIndexTeam),"")</f>
        <v>8018865.4633856835</v>
      </c>
      <c r="AL345" s="811" t="s">
        <v>7297</v>
      </c>
      <c r="AM345" s="810"/>
      <c r="AN345" s="814" t="str">
        <f t="shared" ref="AN345:AN350" si="98">nmProd3</f>
        <v>Kara</v>
      </c>
      <c r="AO345" s="729">
        <f>IF(AND(INDEX(obalCh1Prod3Slot1Active,,xxIndexTeam)=1,NOT(INDEX(obalCh1Prod3Slot1Promo1,,xxIndexTeam)="No Promotion")),INDEX(obalCh1Prod3Slot1SoldVol,,xxIndexTeam)*INDEX(obalCh1Prod3Slot1Promo1Share,,xxIndexTeam),"")</f>
        <v>8018865.4633856835</v>
      </c>
      <c r="AP345" s="811" t="s">
        <v>7296</v>
      </c>
      <c r="AQ345" s="810"/>
      <c r="AR345" s="814" t="str">
        <f t="shared" ref="AR345:AR350" si="99">nmProd3</f>
        <v>Kara</v>
      </c>
      <c r="AS345" s="729">
        <f>IF(AND(INDEX(obalCh1Prod3Slot1Active,,xxIndexTeam)=1,NOT(INDEX(obalCh1Prod3Slot1Promo1,,xxIndexTeam)="No Promotion")),INDEX(obalCh1Prod3Slot1SoldVol,,xxIndexTeam)*INDEX(obalCh1Prod3Slot1Promo1Share,,xxIndexTeam),"")</f>
        <v>8018865.4633856835</v>
      </c>
      <c r="AT345" s="811" t="s">
        <v>11438</v>
      </c>
    </row>
    <row r="346" spans="30:46">
      <c r="AD346" s="800"/>
      <c r="AI346" s="810"/>
      <c r="AJ346" s="814" t="str">
        <f t="shared" si="97"/>
        <v>Kara</v>
      </c>
      <c r="AK346" s="729" t="str">
        <f>IF(AND(INDEX(obalCh1Prod3Slot1Active,,xxIndexTeam)=1,NOT(INDEX(obalCh1Prod3Slot1Promo2,,xxIndexTeam)="No Promotion")),INDEX(obalCh1Prod3Slot1SoldVol,,xxIndexTeam)*INDEX(obalCh1Prod3Slot1Promo2Share,,xxIndexTeam),"")</f>
        <v/>
      </c>
      <c r="AL346" s="811" t="s">
        <v>7299</v>
      </c>
      <c r="AM346" s="810"/>
      <c r="AN346" s="814" t="str">
        <f t="shared" si="98"/>
        <v>Kara</v>
      </c>
      <c r="AO346" s="729" t="str">
        <f>IF(AND(INDEX(obalCh1Prod3Slot1Active,,xxIndexTeam)=1,NOT(INDEX(obalCh1Prod3Slot1Promo2,,xxIndexTeam)="No Promotion")),INDEX(obalCh1Prod3Slot1SoldVol,,xxIndexTeam)*INDEX(obalCh1Prod3Slot1Promo2Share,,xxIndexTeam),"")</f>
        <v/>
      </c>
      <c r="AP346" s="811" t="s">
        <v>7298</v>
      </c>
      <c r="AQ346" s="810"/>
      <c r="AR346" s="814" t="str">
        <f t="shared" si="99"/>
        <v>Kara</v>
      </c>
      <c r="AS346" s="729" t="str">
        <f>IF(AND(INDEX(obalCh1Prod3Slot1Active,,xxIndexTeam)=1,NOT(INDEX(obalCh1Prod3Slot1Promo2,,xxIndexTeam)="No Promotion")),INDEX(obalCh1Prod3Slot1SoldVol,,xxIndexTeam)*INDEX(obalCh1Prod3Slot1Promo2Share,,xxIndexTeam),"")</f>
        <v/>
      </c>
      <c r="AT346" s="811" t="s">
        <v>11439</v>
      </c>
    </row>
    <row r="347" spans="30:46">
      <c r="AD347" s="800"/>
      <c r="AI347" s="810"/>
      <c r="AJ347" s="814" t="str">
        <f t="shared" si="97"/>
        <v>Kara</v>
      </c>
      <c r="AK347" s="729">
        <f>IF(AND(INDEX(obalCh1Prod3Slot2Active,,xxIndexTeam)=1,NOT(INDEX(obalCh1Prod3Slot2Promo1,,xxIndexTeam)="No Promotion")),INDEX(obalCh1Prod3Slot2SoldVol,,xxIndexTeam)*INDEX(obalCh1Prod3Slot2Promo1Share,,xxIndexTeam),"")</f>
        <v>11762828.271889577</v>
      </c>
      <c r="AL347" s="811" t="s">
        <v>7301</v>
      </c>
      <c r="AM347" s="810"/>
      <c r="AN347" s="814" t="str">
        <f t="shared" si="98"/>
        <v>Kara</v>
      </c>
      <c r="AO347" s="729">
        <f>IF(AND(INDEX(obalCh1Prod3Slot2Active,,xxIndexTeam)=1,NOT(INDEX(obalCh1Prod3Slot2Promo1,,xxIndexTeam)="No Promotion")),INDEX(obalCh1Prod3Slot2SoldVol,,xxIndexTeam)*INDEX(obalCh1Prod3Slot2Promo1Share,,xxIndexTeam),"")</f>
        <v>11762828.271889577</v>
      </c>
      <c r="AP347" s="811" t="s">
        <v>7300</v>
      </c>
      <c r="AQ347" s="810"/>
      <c r="AR347" s="814" t="str">
        <f t="shared" si="99"/>
        <v>Kara</v>
      </c>
      <c r="AS347" s="729">
        <f>IF(AND(INDEX(obalCh1Prod3Slot2Active,,xxIndexTeam)=1,NOT(INDEX(obalCh1Prod3Slot2Promo1,,xxIndexTeam)="No Promotion")),INDEX(obalCh1Prod3Slot2SoldVol,,xxIndexTeam)*INDEX(obalCh1Prod3Slot2Promo1Share,,xxIndexTeam),"")</f>
        <v>11762828.271889577</v>
      </c>
      <c r="AT347" s="811" t="s">
        <v>11440</v>
      </c>
    </row>
    <row r="348" spans="30:46">
      <c r="AD348" s="800"/>
      <c r="AI348" s="810"/>
      <c r="AJ348" s="814" t="str">
        <f t="shared" si="97"/>
        <v>Kara</v>
      </c>
      <c r="AK348" s="729" t="str">
        <f>IF(AND(INDEX(obalCh1Prod3Slot2Active,,xxIndexTeam)=1,NOT(INDEX(obalCh1Prod3Slot2Promo2,,xxIndexTeam)="No Promotion")),INDEX(obalCh1Prod3Slot2SoldVol,,xxIndexTeam)*INDEX(obalCh1Prod3Slot2Promo2Share,,xxIndexTeam),"")</f>
        <v/>
      </c>
      <c r="AL348" s="811" t="s">
        <v>7303</v>
      </c>
      <c r="AM348" s="810"/>
      <c r="AN348" s="814" t="str">
        <f t="shared" si="98"/>
        <v>Kara</v>
      </c>
      <c r="AO348" s="729" t="str">
        <f>IF(AND(INDEX(obalCh1Prod3Slot2Active,,xxIndexTeam)=1,NOT(INDEX(obalCh1Prod3Slot2Promo2,,xxIndexTeam)="No Promotion")),INDEX(obalCh1Prod3Slot2SoldVol,,xxIndexTeam)*INDEX(obalCh1Prod3Slot2Promo2Share,,xxIndexTeam),"")</f>
        <v/>
      </c>
      <c r="AP348" s="584" t="s">
        <v>7302</v>
      </c>
      <c r="AQ348" s="810"/>
      <c r="AR348" s="814" t="str">
        <f t="shared" si="99"/>
        <v>Kara</v>
      </c>
      <c r="AS348" s="729" t="str">
        <f>IF(AND(INDEX(obalCh1Prod3Slot2Active,,xxIndexTeam)=1,NOT(INDEX(obalCh1Prod3Slot2Promo2,,xxIndexTeam)="No Promotion")),INDEX(obalCh1Prod3Slot2SoldVol,,xxIndexTeam)*INDEX(obalCh1Prod3Slot2Promo2Share,,xxIndexTeam),"")</f>
        <v/>
      </c>
      <c r="AT348" s="584" t="s">
        <v>11441</v>
      </c>
    </row>
    <row r="349" spans="30:46">
      <c r="AD349" s="800"/>
      <c r="AI349" s="810"/>
      <c r="AJ349" s="814" t="str">
        <f t="shared" si="97"/>
        <v>Kara</v>
      </c>
      <c r="AK349" s="729" t="str">
        <f>IF(AND(INDEX(obalCh1Prod3Slot3Active,,xxIndexTeam)=1,NOT(INDEX(obalCh1Prod3Slot3Promo1,,xxIndexTeam)="No Promotion")),INDEX(obalCh1Prod3Slot3SoldVol,,xxIndexTeam)*INDEX(obalCh1Prod3Slot3Promo1Share,,xxIndexTeam),"")</f>
        <v/>
      </c>
      <c r="AL349" s="811" t="s">
        <v>7305</v>
      </c>
      <c r="AM349" s="810"/>
      <c r="AN349" s="814" t="str">
        <f t="shared" si="98"/>
        <v>Kara</v>
      </c>
      <c r="AO349" s="729" t="str">
        <f>IF(AND(INDEX(obalCh1Prod3Slot3Active,,xxIndexTeam)=1,NOT(INDEX(obalCh1Prod3Slot3Promo1,,xxIndexTeam)="No Promotion")),INDEX(obalCh1Prod3Slot3SoldVol,,xxIndexTeam)*INDEX(obalCh1Prod3Slot3Promo1Share,,xxIndexTeam),"")</f>
        <v/>
      </c>
      <c r="AP349" s="584" t="s">
        <v>7304</v>
      </c>
      <c r="AQ349" s="810"/>
      <c r="AR349" s="814" t="str">
        <f t="shared" si="99"/>
        <v>Kara</v>
      </c>
      <c r="AS349" s="729" t="str">
        <f>IF(AND(INDEX(obalCh1Prod3Slot3Active,,xxIndexTeam)=1,NOT(INDEX(obalCh1Prod3Slot3Promo1,,xxIndexTeam)="No Promotion")),INDEX(obalCh1Prod3Slot3SoldVol,,xxIndexTeam)*INDEX(obalCh1Prod3Slot3Promo1Share,,xxIndexTeam),"")</f>
        <v/>
      </c>
      <c r="AT349" s="584" t="s">
        <v>11442</v>
      </c>
    </row>
    <row r="350" spans="30:46">
      <c r="AD350" s="800"/>
      <c r="AE350" s="800"/>
      <c r="AF350" s="802"/>
      <c r="AG350" s="802"/>
      <c r="AH350" s="802"/>
      <c r="AI350" s="810"/>
      <c r="AJ350" s="814" t="str">
        <f t="shared" si="97"/>
        <v>Kara</v>
      </c>
      <c r="AK350" s="729" t="str">
        <f>IF(AND(INDEX(obalCh1Prod3Slot3Active,,xxIndexTeam)=1,NOT(INDEX(obalCh1Prod3Slot3Promo2,,xxIndexTeam)="No Promotion")),INDEX(obalCh1Prod3Slot3SoldVol,,xxIndexTeam)*INDEX(obalCh1Prod3Slot3Promo2Share,,xxIndexTeam),"")</f>
        <v/>
      </c>
      <c r="AL350" s="811" t="s">
        <v>7307</v>
      </c>
      <c r="AM350" s="810"/>
      <c r="AN350" s="814" t="str">
        <f t="shared" si="98"/>
        <v>Kara</v>
      </c>
      <c r="AO350" s="729" t="str">
        <f>IF(AND(INDEX(obalCh1Prod3Slot3Active,,xxIndexTeam)=1,NOT(INDEX(obalCh1Prod3Slot3Promo2,,xxIndexTeam)="No Promotion")),INDEX(obalCh1Prod3Slot3SoldVol,,xxIndexTeam)*INDEX(obalCh1Prod3Slot3Promo2Share,,xxIndexTeam),"")</f>
        <v/>
      </c>
      <c r="AP350" s="584" t="s">
        <v>7306</v>
      </c>
      <c r="AQ350" s="810"/>
      <c r="AR350" s="814" t="str">
        <f t="shared" si="99"/>
        <v>Kara</v>
      </c>
      <c r="AS350" s="729" t="str">
        <f>IF(AND(INDEX(obalCh1Prod3Slot3Active,,xxIndexTeam)=1,NOT(INDEX(obalCh1Prod3Slot3Promo2,,xxIndexTeam)="No Promotion")),INDEX(obalCh1Prod3Slot3SoldVol,,xxIndexTeam)*INDEX(obalCh1Prod3Slot3Promo2Share,,xxIndexTeam),"")</f>
        <v/>
      </c>
      <c r="AT350" s="584" t="s">
        <v>11443</v>
      </c>
    </row>
    <row r="351" spans="30:46">
      <c r="AI351" s="810"/>
      <c r="AJ351" s="814" t="str">
        <f t="shared" ref="AJ351:AJ356" si="100">nmProd1</f>
        <v>Greenborg</v>
      </c>
      <c r="AK351" s="729">
        <f>IF(AND(INDEX(obalCh1Prod1Slot1Active,,xxIndexTeam)=1,NOT(INDEX(obalCh1Prod1Slot1Promo1,,xxIndexTeam)="No Promotion")),INDEX(obalCh1Prod1Slot1SoldVol,,xxIndexTeam)*INDEX(obalCh1Prod1Slot1Promo1Share,,xxIndexTeam),"")</f>
        <v>22689597.034681819</v>
      </c>
      <c r="AL351" s="811" t="s">
        <v>12773</v>
      </c>
      <c r="AM351" s="810"/>
      <c r="AN351" s="814" t="str">
        <f t="shared" ref="AN351:AN356" si="101">nmProd1</f>
        <v>Greenborg</v>
      </c>
      <c r="AO351" s="729">
        <f>IF(AND(INDEX(obalCh1Prod1Slot1Active,,xxIndexTeam)=1,NOT(INDEX(obalCh1Prod1Slot1Promo1,,xxIndexTeam)="No Promotion")),INDEX(obalCh1Prod1Slot1SoldVol,,xxIndexTeam)*INDEX(obalCh1Prod1Slot1Promo1Share,,xxIndexTeam),"")</f>
        <v>22689597.034681819</v>
      </c>
      <c r="AP351" s="811" t="s">
        <v>12557</v>
      </c>
      <c r="AQ351" s="810"/>
      <c r="AR351" s="814" t="str">
        <f t="shared" ref="AR351:AR356" si="102">nmProd1</f>
        <v>Greenborg</v>
      </c>
      <c r="AS351" s="729">
        <f>IF(AND(INDEX(obalCh1Prod1Slot1Active,,xxIndexTeam)=1,NOT(INDEX(obalCh1Prod1Slot1Promo1,,xxIndexTeam)="No Promotion")),INDEX(obalCh1Prod1Slot1SoldVol,,xxIndexTeam)*INDEX(obalCh1Prod1Slot1Promo1Share,,xxIndexTeam),"")</f>
        <v>22689597.034681819</v>
      </c>
      <c r="AT351" s="811" t="s">
        <v>12569</v>
      </c>
    </row>
    <row r="352" spans="30:46">
      <c r="AI352" s="810"/>
      <c r="AJ352" s="814" t="str">
        <f t="shared" si="100"/>
        <v>Greenborg</v>
      </c>
      <c r="AK352" s="729">
        <f>IF(AND(INDEX(obalCh1Prod1Slot1Active,,xxIndexTeam)=1,NOT(INDEX(obalCh1Prod1Slot1Promo2,,xxIndexTeam)="No Promotion")),INDEX(obalCh1Prod1Slot1SoldVol,,xxIndexTeam)*INDEX(obalCh1Prod1Slot1Promo2Share,,xxIndexTeam),"")</f>
        <v>7624973.9929617709</v>
      </c>
      <c r="AL352" s="811" t="s">
        <v>12774</v>
      </c>
      <c r="AM352" s="810"/>
      <c r="AN352" s="814" t="str">
        <f t="shared" si="101"/>
        <v>Greenborg</v>
      </c>
      <c r="AO352" s="729">
        <f>IF(AND(INDEX(obalCh1Prod1Slot1Active,,xxIndexTeam)=1,NOT(INDEX(obalCh1Prod1Slot1Promo2,,xxIndexTeam)="No Promotion")),INDEX(obalCh1Prod1Slot1SoldVol,,xxIndexTeam)*INDEX(obalCh1Prod1Slot1Promo2Share,,xxIndexTeam),"")</f>
        <v>7624973.9929617709</v>
      </c>
      <c r="AP352" s="811" t="s">
        <v>12558</v>
      </c>
      <c r="AQ352" s="810"/>
      <c r="AR352" s="814" t="str">
        <f t="shared" si="102"/>
        <v>Greenborg</v>
      </c>
      <c r="AS352" s="729">
        <f>IF(AND(INDEX(obalCh1Prod1Slot1Active,,xxIndexTeam)=1,NOT(INDEX(obalCh1Prod1Slot1Promo2,,xxIndexTeam)="No Promotion")),INDEX(obalCh1Prod1Slot1SoldVol,,xxIndexTeam)*INDEX(obalCh1Prod1Slot1Promo2Share,,xxIndexTeam),"")</f>
        <v>7624973.9929617709</v>
      </c>
      <c r="AT352" s="811" t="s">
        <v>12570</v>
      </c>
    </row>
    <row r="353" spans="35:46">
      <c r="AI353" s="810"/>
      <c r="AJ353" s="814" t="str">
        <f t="shared" si="100"/>
        <v>Greenborg</v>
      </c>
      <c r="AK353" s="729" t="str">
        <f>IF(AND(INDEX(obalCh1Prod1Slot2Active,,xxIndexTeam)=1,NOT(INDEX(obalCh1Prod1Slot2Promo1,,xxIndexTeam)="No Promotion")),INDEX(obalCh1Prod1Slot2SoldVol,,xxIndexTeam)*INDEX(obalCh1Prod1Slot2Promo1Share,,xxIndexTeam),"")</f>
        <v/>
      </c>
      <c r="AL353" s="811" t="s">
        <v>12775</v>
      </c>
      <c r="AM353" s="810"/>
      <c r="AN353" s="814" t="str">
        <f t="shared" si="101"/>
        <v>Greenborg</v>
      </c>
      <c r="AO353" s="729" t="str">
        <f>IF(AND(INDEX(obalCh1Prod1Slot2Active,,xxIndexTeam)=1,NOT(INDEX(obalCh1Prod1Slot2Promo1,,xxIndexTeam)="No Promotion")),INDEX(obalCh1Prod1Slot2SoldVol,,xxIndexTeam)*INDEX(obalCh1Prod1Slot2Promo1Share,,xxIndexTeam),"")</f>
        <v/>
      </c>
      <c r="AP353" s="811" t="s">
        <v>12559</v>
      </c>
      <c r="AQ353" s="810"/>
      <c r="AR353" s="814" t="str">
        <f t="shared" si="102"/>
        <v>Greenborg</v>
      </c>
      <c r="AS353" s="729" t="str">
        <f>IF(AND(INDEX(obalCh1Prod1Slot2Active,,xxIndexTeam)=1,NOT(INDEX(obalCh1Prod1Slot2Promo1,,xxIndexTeam)="No Promotion")),INDEX(obalCh1Prod1Slot2SoldVol,,xxIndexTeam)*INDEX(obalCh1Prod1Slot2Promo1Share,,xxIndexTeam),"")</f>
        <v/>
      </c>
      <c r="AT353" s="811" t="s">
        <v>12571</v>
      </c>
    </row>
    <row r="354" spans="35:46">
      <c r="AI354" s="810"/>
      <c r="AJ354" s="814" t="str">
        <f t="shared" si="100"/>
        <v>Greenborg</v>
      </c>
      <c r="AK354" s="729" t="str">
        <f>IF(AND(INDEX(obalCh1Prod1Slot2Active,,xxIndexTeam)=1,NOT(INDEX(obalCh1Prod1Slot2Promo2,,xxIndexTeam)="No Promotion")),INDEX(obalCh1Prod1Slot2SoldVol,,xxIndexTeam)*INDEX(obalCh1Prod1Slot2Promo2Share,,xxIndexTeam),"")</f>
        <v/>
      </c>
      <c r="AL354" s="811" t="s">
        <v>12776</v>
      </c>
      <c r="AM354" s="554"/>
      <c r="AN354" s="814" t="str">
        <f t="shared" si="101"/>
        <v>Greenborg</v>
      </c>
      <c r="AO354" s="729" t="str">
        <f>IF(AND(INDEX(obalCh1Prod1Slot2Active,,xxIndexTeam)=1,NOT(INDEX(obalCh1Prod1Slot2Promo2,,xxIndexTeam)="No Promotion")),INDEX(obalCh1Prod1Slot2SoldVol,,xxIndexTeam)*INDEX(obalCh1Prod1Slot2Promo2Share,,xxIndexTeam),"")</f>
        <v/>
      </c>
      <c r="AP354" s="584" t="s">
        <v>12560</v>
      </c>
      <c r="AQ354" s="554"/>
      <c r="AR354" s="814" t="str">
        <f t="shared" si="102"/>
        <v>Greenborg</v>
      </c>
      <c r="AS354" s="729" t="str">
        <f>IF(AND(INDEX(obalCh1Prod1Slot2Active,,xxIndexTeam)=1,NOT(INDEX(obalCh1Prod1Slot2Promo2,,xxIndexTeam)="No Promotion")),INDEX(obalCh1Prod1Slot2SoldVol,,xxIndexTeam)*INDEX(obalCh1Prod1Slot2Promo2Share,,xxIndexTeam),"")</f>
        <v/>
      </c>
      <c r="AT354" s="584" t="s">
        <v>12572</v>
      </c>
    </row>
    <row r="355" spans="35:46">
      <c r="AI355" s="810"/>
      <c r="AJ355" s="814" t="str">
        <f t="shared" si="100"/>
        <v>Greenborg</v>
      </c>
      <c r="AK355" s="729" t="str">
        <f>IF(AND(INDEX(obalCh1Prod1Slot3Active,,xxIndexTeam)=1,NOT(INDEX(obalCh1Prod1Slot3Promo1,,xxIndexTeam)="No Promotion")),INDEX(obalCh1Prod1Slot3SoldVol,,xxIndexTeam)*INDEX(obalCh1Prod1Slot3Promo1Share,,xxIndexTeam),"")</f>
        <v/>
      </c>
      <c r="AL355" s="811" t="s">
        <v>12777</v>
      </c>
      <c r="AM355" s="554"/>
      <c r="AN355" s="814" t="str">
        <f t="shared" si="101"/>
        <v>Greenborg</v>
      </c>
      <c r="AO355" s="729" t="str">
        <f>IF(AND(INDEX(obalCh1Prod1Slot3Active,,xxIndexTeam)=1,NOT(INDEX(obalCh1Prod1Slot3Promo1,,xxIndexTeam)="No Promotion")),INDEX(obalCh1Prod1Slot3SoldVol,,xxIndexTeam)*INDEX(obalCh1Prod1Slot3Promo1Share,,xxIndexTeam),"")</f>
        <v/>
      </c>
      <c r="AP355" s="584" t="s">
        <v>12561</v>
      </c>
      <c r="AQ355" s="554"/>
      <c r="AR355" s="814" t="str">
        <f t="shared" si="102"/>
        <v>Greenborg</v>
      </c>
      <c r="AS355" s="729" t="str">
        <f>IF(AND(INDEX(obalCh1Prod1Slot3Active,,xxIndexTeam)=1,NOT(INDEX(obalCh1Prod1Slot3Promo1,,xxIndexTeam)="No Promotion")),INDEX(obalCh1Prod1Slot3SoldVol,,xxIndexTeam)*INDEX(obalCh1Prod1Slot3Promo1Share,,xxIndexTeam),"")</f>
        <v/>
      </c>
      <c r="AT355" s="584" t="s">
        <v>12573</v>
      </c>
    </row>
    <row r="356" spans="35:46">
      <c r="AI356" s="810"/>
      <c r="AJ356" s="814" t="str">
        <f t="shared" si="100"/>
        <v>Greenborg</v>
      </c>
      <c r="AK356" s="729" t="str">
        <f>IF(AND(INDEX(obalCh1Prod1Slot3Active,,xxIndexTeam)=1,NOT(INDEX(obalCh1Prod1Slot3Promo2,,xxIndexTeam)="No Promotion")),INDEX(obalCh1Prod1Slot3SoldVol,,xxIndexTeam)*INDEX(obalCh1Prod1Slot3Promo2Share,,xxIndexTeam),"")</f>
        <v/>
      </c>
      <c r="AL356" s="811" t="s">
        <v>12778</v>
      </c>
      <c r="AM356" s="554"/>
      <c r="AN356" s="814" t="str">
        <f t="shared" si="101"/>
        <v>Greenborg</v>
      </c>
      <c r="AO356" s="729" t="str">
        <f>IF(AND(INDEX(obalCh1Prod1Slot3Active,,xxIndexTeam)=1,NOT(INDEX(obalCh1Prod1Slot3Promo2,,xxIndexTeam)="No Promotion")),INDEX(obalCh1Prod1Slot3SoldVol,,xxIndexTeam)*INDEX(obalCh1Prod1Slot3Promo2Share,,xxIndexTeam),"")</f>
        <v/>
      </c>
      <c r="AP356" s="584" t="s">
        <v>12562</v>
      </c>
      <c r="AQ356" s="554"/>
      <c r="AR356" s="814" t="str">
        <f t="shared" si="102"/>
        <v>Greenborg</v>
      </c>
      <c r="AS356" s="729" t="str">
        <f>IF(AND(INDEX(obalCh1Prod1Slot3Active,,xxIndexTeam)=1,NOT(INDEX(obalCh1Prod1Slot3Promo2,,xxIndexTeam)="No Promotion")),INDEX(obalCh1Prod1Slot3SoldVol,,xxIndexTeam)*INDEX(obalCh1Prod1Slot3Promo2Share,,xxIndexTeam),"")</f>
        <v/>
      </c>
      <c r="AT356" s="584" t="s">
        <v>12574</v>
      </c>
    </row>
    <row r="357" spans="35:46">
      <c r="AI357" s="810"/>
      <c r="AJ357" s="814" t="str">
        <f t="shared" ref="AJ357:AJ362" si="103">nmProd4</f>
        <v>Brew Master</v>
      </c>
      <c r="AK357" s="729" t="str">
        <f>IF(AND(INDEX(obalCh1Prod4Slot1Active,,xxIndexTeam)=1,NOT(INDEX(obalCh1Prod4Slot1Promo1,,xxIndexTeam)="No Promotion")),INDEX(obalCh1Prod4Slot1SoldVol,,xxIndexTeam)*INDEX(obalCh1Prod4Slot1Promo1Share,,xxIndexTeam),"")</f>
        <v/>
      </c>
      <c r="AL357" s="811" t="s">
        <v>12779</v>
      </c>
      <c r="AM357" s="810"/>
      <c r="AN357" s="814" t="str">
        <f t="shared" ref="AN357:AN362" si="104">nmProd4</f>
        <v>Brew Master</v>
      </c>
      <c r="AO357" s="729" t="str">
        <f>IF(AND(INDEX(obalCh1Prod4Slot1Active,,xxIndexTeam)=1,NOT(INDEX(obalCh1Prod4Slot1Promo1,,xxIndexTeam)="No Promotion")),INDEX(obalCh1Prod4Slot1SoldVol,,xxIndexTeam)*INDEX(obalCh1Prod4Slot1Promo1Share,,xxIndexTeam),"")</f>
        <v/>
      </c>
      <c r="AP357" s="811" t="s">
        <v>12563</v>
      </c>
      <c r="AQ357" s="810"/>
      <c r="AR357" s="814" t="str">
        <f t="shared" ref="AR357:AR362" si="105">nmProd4</f>
        <v>Brew Master</v>
      </c>
      <c r="AS357" s="729" t="str">
        <f>IF(AND(INDEX(obalCh1Prod4Slot1Active,,xxIndexTeam)=1,NOT(INDEX(obalCh1Prod4Slot1Promo1,,xxIndexTeam)="No Promotion")),INDEX(obalCh1Prod4Slot1SoldVol,,xxIndexTeam)*INDEX(obalCh1Prod4Slot1Promo1Share,,xxIndexTeam),"")</f>
        <v/>
      </c>
      <c r="AT357" s="811" t="s">
        <v>12575</v>
      </c>
    </row>
    <row r="358" spans="35:46">
      <c r="AI358" s="554"/>
      <c r="AJ358" s="814" t="str">
        <f t="shared" si="103"/>
        <v>Brew Master</v>
      </c>
      <c r="AK358" s="729" t="str">
        <f>IF(AND(INDEX(obalCh1Prod4Slot1Active,,xxIndexTeam)=1,NOT(INDEX(obalCh1Prod4Slot1Promo2,,xxIndexTeam)="No Promotion")),INDEX(obalCh1Prod4Slot1SoldVol,,xxIndexTeam)*INDEX(obalCh1Prod4Slot1Promo2Share,,xxIndexTeam),"")</f>
        <v/>
      </c>
      <c r="AL358" s="811" t="s">
        <v>12780</v>
      </c>
      <c r="AM358" s="810"/>
      <c r="AN358" s="814" t="str">
        <f t="shared" si="104"/>
        <v>Brew Master</v>
      </c>
      <c r="AO358" s="729" t="str">
        <f>IF(AND(INDEX(obalCh1Prod4Slot1Active,,xxIndexTeam)=1,NOT(INDEX(obalCh1Prod4Slot1Promo2,,xxIndexTeam)="No Promotion")),INDEX(obalCh1Prod4Slot1SoldVol,,xxIndexTeam)*INDEX(obalCh1Prod4Slot1Promo2Share,,xxIndexTeam),"")</f>
        <v/>
      </c>
      <c r="AP358" s="811" t="s">
        <v>12564</v>
      </c>
      <c r="AQ358" s="810"/>
      <c r="AR358" s="814" t="str">
        <f t="shared" si="105"/>
        <v>Brew Master</v>
      </c>
      <c r="AS358" s="729" t="str">
        <f>IF(AND(INDEX(obalCh1Prod4Slot1Active,,xxIndexTeam)=1,NOT(INDEX(obalCh1Prod4Slot1Promo2,,xxIndexTeam)="No Promotion")),INDEX(obalCh1Prod4Slot1SoldVol,,xxIndexTeam)*INDEX(obalCh1Prod4Slot1Promo2Share,,xxIndexTeam),"")</f>
        <v/>
      </c>
      <c r="AT358" s="811" t="s">
        <v>12576</v>
      </c>
    </row>
    <row r="359" spans="35:46">
      <c r="AI359" s="554"/>
      <c r="AJ359" s="814" t="str">
        <f t="shared" si="103"/>
        <v>Brew Master</v>
      </c>
      <c r="AK359" s="729" t="str">
        <f>IF(AND(INDEX(obalCh1Prod4Slot2Active,,xxIndexTeam)=1,NOT(INDEX(obalCh1Prod4Slot2Promo1,,xxIndexTeam)="No Promotion")),INDEX(obalCh1Prod4Slot2SoldVol,,xxIndexTeam)*INDEX(obalCh1Prod4Slot2Promo1Share,,xxIndexTeam),"")</f>
        <v/>
      </c>
      <c r="AL359" s="811" t="s">
        <v>12781</v>
      </c>
      <c r="AM359" s="810"/>
      <c r="AN359" s="814" t="str">
        <f t="shared" si="104"/>
        <v>Brew Master</v>
      </c>
      <c r="AO359" s="729" t="str">
        <f>IF(AND(INDEX(obalCh1Prod4Slot2Active,,xxIndexTeam)=1,NOT(INDEX(obalCh1Prod4Slot2Promo1,,xxIndexTeam)="No Promotion")),INDEX(obalCh1Prod4Slot2SoldVol,,xxIndexTeam)*INDEX(obalCh1Prod4Slot2Promo1Share,,xxIndexTeam),"")</f>
        <v/>
      </c>
      <c r="AP359" s="811" t="s">
        <v>12565</v>
      </c>
      <c r="AQ359" s="810"/>
      <c r="AR359" s="814" t="str">
        <f t="shared" si="105"/>
        <v>Brew Master</v>
      </c>
      <c r="AS359" s="729" t="str">
        <f>IF(AND(INDEX(obalCh1Prod4Slot2Active,,xxIndexTeam)=1,NOT(INDEX(obalCh1Prod4Slot2Promo1,,xxIndexTeam)="No Promotion")),INDEX(obalCh1Prod4Slot2SoldVol,,xxIndexTeam)*INDEX(obalCh1Prod4Slot2Promo1Share,,xxIndexTeam),"")</f>
        <v/>
      </c>
      <c r="AT359" s="811" t="s">
        <v>12577</v>
      </c>
    </row>
    <row r="360" spans="35:46">
      <c r="AI360" s="554"/>
      <c r="AJ360" s="814" t="str">
        <f t="shared" si="103"/>
        <v>Brew Master</v>
      </c>
      <c r="AK360" s="720" t="str">
        <f>IF(AND(INDEX(obalCh1Prod4Slot2Active,,xxIndexTeam)=1,NOT(INDEX(obalCh1Prod4Slot2Promo2,,xxIndexTeam)="No Promotion")),INDEX(obalCh1Prod4Slot2SoldVol,,xxIndexTeam)*INDEX(obalCh1Prod4Slot2Promo2Share,,xxIndexTeam),"")</f>
        <v/>
      </c>
      <c r="AL360" s="811" t="s">
        <v>12782</v>
      </c>
      <c r="AM360" s="554"/>
      <c r="AN360" s="814" t="str">
        <f t="shared" si="104"/>
        <v>Brew Master</v>
      </c>
      <c r="AO360" s="720" t="str">
        <f>IF(AND(INDEX(obalCh1Prod4Slot2Active,,xxIndexTeam)=1,NOT(INDEX(obalCh1Prod4Slot2Promo2,,xxIndexTeam)="No Promotion")),INDEX(obalCh1Prod4Slot2SoldVol,,xxIndexTeam)*INDEX(obalCh1Prod4Slot2Promo2Share,,xxIndexTeam),"")</f>
        <v/>
      </c>
      <c r="AP360" s="584" t="s">
        <v>12566</v>
      </c>
      <c r="AQ360" s="554"/>
      <c r="AR360" s="814" t="str">
        <f t="shared" si="105"/>
        <v>Brew Master</v>
      </c>
      <c r="AS360" s="720" t="str">
        <f>IF(AND(INDEX(obalCh1Prod4Slot2Active,,xxIndexTeam)=1,NOT(INDEX(obalCh1Prod4Slot2Promo2,,xxIndexTeam)="No Promotion")),INDEX(obalCh1Prod4Slot2SoldVol,,xxIndexTeam)*INDEX(obalCh1Prod4Slot2Promo2Share,,xxIndexTeam),"")</f>
        <v/>
      </c>
      <c r="AT360" s="584" t="s">
        <v>12578</v>
      </c>
    </row>
    <row r="361" spans="35:46">
      <c r="AI361" s="554"/>
      <c r="AJ361" s="814" t="str">
        <f t="shared" si="103"/>
        <v>Brew Master</v>
      </c>
      <c r="AK361" s="720" t="str">
        <f>IF(AND(INDEX(obalCh1Prod4Slot3Active,,xxIndexTeam)=1,NOT(INDEX(obalCh1Prod4Slot3Promo1,,xxIndexTeam)="No Promotion")),INDEX(obalCh1Prod4Slot3SoldVol,,xxIndexTeam)*INDEX(obalCh1Prod4Slot3Promo1Share,,xxIndexTeam),"")</f>
        <v/>
      </c>
      <c r="AL361" s="811" t="s">
        <v>12783</v>
      </c>
      <c r="AM361" s="554"/>
      <c r="AN361" s="814" t="str">
        <f t="shared" si="104"/>
        <v>Brew Master</v>
      </c>
      <c r="AO361" s="720" t="str">
        <f>IF(AND(INDEX(obalCh1Prod4Slot3Active,,xxIndexTeam)=1,NOT(INDEX(obalCh1Prod4Slot3Promo1,,xxIndexTeam)="No Promotion")),INDEX(obalCh1Prod4Slot3SoldVol,,xxIndexTeam)*INDEX(obalCh1Prod4Slot3Promo1Share,,xxIndexTeam),"")</f>
        <v/>
      </c>
      <c r="AP361" s="584" t="s">
        <v>12567</v>
      </c>
      <c r="AQ361" s="554"/>
      <c r="AR361" s="814" t="str">
        <f t="shared" si="105"/>
        <v>Brew Master</v>
      </c>
      <c r="AS361" s="720" t="str">
        <f>IF(AND(INDEX(obalCh1Prod4Slot3Active,,xxIndexTeam)=1,NOT(INDEX(obalCh1Prod4Slot3Promo1,,xxIndexTeam)="No Promotion")),INDEX(obalCh1Prod4Slot3SoldVol,,xxIndexTeam)*INDEX(obalCh1Prod4Slot3Promo1Share,,xxIndexTeam),"")</f>
        <v/>
      </c>
      <c r="AT361" s="584" t="s">
        <v>12579</v>
      </c>
    </row>
    <row r="362" spans="35:46" ht="15" thickBot="1">
      <c r="AI362" s="546"/>
      <c r="AJ362" s="806" t="str">
        <f t="shared" si="103"/>
        <v>Brew Master</v>
      </c>
      <c r="AK362" s="544" t="str">
        <f>IF(AND(INDEX(obalCh1Prod4Slot3Active,,xxIndexTeam)=1,NOT(INDEX(obalCh1Prod4Slot3Promo2,,xxIndexTeam)="No Promotion")),INDEX(obalCh1Prod4Slot3SoldVol,,xxIndexTeam)*INDEX(obalCh1Prod4Slot3Promo2Share,,xxIndexTeam),"")</f>
        <v/>
      </c>
      <c r="AL362" s="808" t="s">
        <v>12784</v>
      </c>
      <c r="AM362" s="546"/>
      <c r="AN362" s="806" t="str">
        <f t="shared" si="104"/>
        <v>Brew Master</v>
      </c>
      <c r="AO362" s="544" t="str">
        <f>IF(AND(INDEX(obalCh1Prod4Slot3Active,,xxIndexTeam)=1,NOT(INDEX(obalCh1Prod4Slot3Promo2,,xxIndexTeam)="No Promotion")),INDEX(obalCh1Prod4Slot3SoldVol,,xxIndexTeam)*INDEX(obalCh1Prod4Slot3Promo2Share,,xxIndexTeam),"")</f>
        <v/>
      </c>
      <c r="AP362" s="733" t="s">
        <v>12568</v>
      </c>
      <c r="AQ362" s="546"/>
      <c r="AR362" s="806" t="str">
        <f t="shared" si="105"/>
        <v>Brew Master</v>
      </c>
      <c r="AS362" s="544" t="str">
        <f>IF(AND(INDEX(obalCh1Prod4Slot3Active,,xxIndexTeam)=1,NOT(INDEX(obalCh1Prod4Slot3Promo2,,xxIndexTeam)="No Promotion")),INDEX(obalCh1Prod4Slot3SoldVol,,xxIndexTeam)*INDEX(obalCh1Prod4Slot3Promo2Share,,xxIndexTeam),"")</f>
        <v/>
      </c>
      <c r="AT362" s="733" t="s">
        <v>12580</v>
      </c>
    </row>
    <row r="363" spans="35:46">
      <c r="AJ363" s="802"/>
    </row>
  </sheetData>
  <pageMargins left="0.7" right="0.7" top="0.75" bottom="0.75" header="0.3" footer="0.3"/>
  <pageSetup paperSize="9" scale="36" orientation="portrait" r:id="rId1"/>
  <rowBreaks count="1" manualBreakCount="1">
    <brk id="93" max="16383" man="1"/>
  </rowBreaks>
  <colBreaks count="1" manualBreakCount="1">
    <brk id="34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B2:BB360"/>
  <sheetViews>
    <sheetView topLeftCell="X39" zoomScale="70" zoomScaleNormal="70" workbookViewId="0">
      <selection activeCell="AK47" sqref="AK47"/>
    </sheetView>
  </sheetViews>
  <sheetFormatPr defaultColWidth="8.796875" defaultRowHeight="14.25"/>
  <cols>
    <col min="1" max="4" width="8.796875" style="613"/>
    <col min="5" max="5" width="18.8984375" style="713" customWidth="1"/>
    <col min="6" max="6" width="32.5" style="613" bestFit="1" customWidth="1"/>
    <col min="7" max="7" width="13" style="613" customWidth="1"/>
    <col min="8" max="8" width="8.796875" style="613"/>
    <col min="9" max="9" width="7.09765625" style="613" customWidth="1"/>
    <col min="10" max="10" width="18.3984375" style="613" customWidth="1"/>
    <col min="11" max="11" width="18.69921875" style="613" customWidth="1"/>
    <col min="12" max="13" width="15.69921875" style="613" customWidth="1"/>
    <col min="14" max="14" width="17.09765625" style="613" customWidth="1"/>
    <col min="15" max="22" width="15.69921875" style="613" customWidth="1"/>
    <col min="23" max="23" width="18.796875" style="613" customWidth="1"/>
    <col min="24" max="28" width="15.69921875" style="613" customWidth="1"/>
    <col min="29" max="29" width="8.796875" style="613"/>
    <col min="30" max="30" width="15" style="613" customWidth="1"/>
    <col min="31" max="31" width="8.796875" style="613"/>
    <col min="32" max="32" width="17.19921875" style="613" bestFit="1" customWidth="1"/>
    <col min="33" max="33" width="24.3984375" style="613" bestFit="1" customWidth="1"/>
    <col min="34" max="34" width="29.69921875" style="613" bestFit="1" customWidth="1"/>
    <col min="35" max="36" width="8.796875" style="613"/>
    <col min="37" max="37" width="33.69921875" style="613" bestFit="1" customWidth="1"/>
    <col min="38" max="38" width="29.3984375" style="613" bestFit="1" customWidth="1"/>
    <col min="39" max="39" width="11.69921875" style="613" bestFit="1" customWidth="1"/>
    <col min="40" max="40" width="22.5" style="613" bestFit="1" customWidth="1"/>
    <col min="41" max="41" width="27.5" style="613" bestFit="1" customWidth="1"/>
    <col min="42" max="42" width="29.796875" style="613" bestFit="1" customWidth="1"/>
    <col min="43" max="43" width="10.5" style="613" customWidth="1"/>
    <col min="44" max="44" width="8.796875" style="613"/>
    <col min="45" max="45" width="26.5" style="613" customWidth="1"/>
    <col min="46" max="46" width="29.09765625" style="613" bestFit="1" customWidth="1"/>
    <col min="47" max="47" width="9.8984375" style="613" bestFit="1" customWidth="1"/>
    <col min="48" max="48" width="8.796875" style="613"/>
    <col min="49" max="49" width="12.09765625" style="613" bestFit="1" customWidth="1"/>
    <col min="50" max="50" width="24.296875" style="613" bestFit="1" customWidth="1"/>
    <col min="51" max="53" width="8.796875" style="613"/>
    <col min="54" max="54" width="24.3984375" style="613" bestFit="1" customWidth="1"/>
    <col min="55" max="16384" width="8.796875" style="613"/>
  </cols>
  <sheetData>
    <row r="2" spans="2:46" ht="15" thickBot="1">
      <c r="D2" s="719" t="s">
        <v>6545</v>
      </c>
      <c r="E2" s="719"/>
    </row>
    <row r="3" spans="2:46">
      <c r="B3" s="628" t="s">
        <v>6883</v>
      </c>
      <c r="D3" s="555"/>
      <c r="E3" s="600"/>
      <c r="F3" s="600"/>
      <c r="G3" s="600"/>
      <c r="H3" s="600"/>
      <c r="I3" s="600"/>
      <c r="J3" s="599" t="str">
        <f>"Variance Tracker Table - "&amp;nmCh2</f>
        <v>Variance Tracker Table - Discounters</v>
      </c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561"/>
      <c r="AD3" s="628" t="s">
        <v>6884</v>
      </c>
      <c r="AE3" s="612" t="s">
        <v>6566</v>
      </c>
    </row>
    <row r="4" spans="2:46" ht="29.25" customHeight="1" thickBot="1">
      <c r="D4" s="554"/>
      <c r="E4" s="553" t="str">
        <f>nmCh2</f>
        <v>Discounters</v>
      </c>
      <c r="F4" s="617"/>
      <c r="G4" s="720"/>
      <c r="H4" s="720"/>
      <c r="I4" s="720"/>
      <c r="J4" s="720"/>
      <c r="K4" s="720"/>
      <c r="L4" s="704" t="str">
        <f>nmCh2</f>
        <v>Discounters</v>
      </c>
      <c r="M4" s="598" t="str">
        <f>nmProd2</f>
        <v>Harken</v>
      </c>
      <c r="N4" s="598" t="str">
        <f>nmProd2&amp;" Slot 1"</f>
        <v>Harken Slot 1</v>
      </c>
      <c r="O4" s="598" t="str">
        <f>nmProd2&amp;" Slot 2"</f>
        <v>Harken Slot 2</v>
      </c>
      <c r="P4" s="598" t="str">
        <f>nmProd2&amp;" Slot 3"</f>
        <v>Harken Slot 3</v>
      </c>
      <c r="Q4" s="598" t="str">
        <f>nmProd3</f>
        <v>Kara</v>
      </c>
      <c r="R4" s="598" t="str">
        <f>nmProd3&amp;" Slot 1"</f>
        <v>Kara Slot 1</v>
      </c>
      <c r="S4" s="598" t="str">
        <f>nmProd3&amp;" Slot 2"</f>
        <v>Kara Slot 2</v>
      </c>
      <c r="T4" s="598" t="str">
        <f>nmProd3&amp;" Slot 3"</f>
        <v>Kara Slot 3</v>
      </c>
      <c r="U4" s="598" t="str">
        <f>nmProd1</f>
        <v>Greenborg</v>
      </c>
      <c r="V4" s="598" t="str">
        <f>nmProd1&amp;" Slot 1"</f>
        <v>Greenborg Slot 1</v>
      </c>
      <c r="W4" s="598" t="str">
        <f>nmProd1&amp;" Slot 2"</f>
        <v>Greenborg Slot 2</v>
      </c>
      <c r="X4" s="598" t="str">
        <f>nmProd1&amp;" Slot 3"</f>
        <v>Greenborg Slot 3</v>
      </c>
      <c r="Y4" s="598" t="str">
        <f>nmProd4</f>
        <v>Brew Master</v>
      </c>
      <c r="Z4" s="598" t="str">
        <f>nmProd4&amp;" Slot 1"</f>
        <v>Brew Master Slot 1</v>
      </c>
      <c r="AA4" s="598" t="str">
        <f>nmProd4&amp;" Slot 2"</f>
        <v>Brew Master Slot 2</v>
      </c>
      <c r="AB4" s="597" t="str">
        <f>nmProd4&amp;" Slot 3"</f>
        <v>Brew Master Slot 3</v>
      </c>
      <c r="AE4" s="702" t="str">
        <f>nmEmp1&amp;" Gauge"</f>
        <v>MTUs Gauge</v>
      </c>
      <c r="AI4" s="702" t="s">
        <v>6570</v>
      </c>
    </row>
    <row r="5" spans="2:46" ht="15">
      <c r="D5" s="554"/>
      <c r="E5" s="585">
        <f t="shared" ref="E5:E17" si="0">INDEX(L5:AB5,,calcCh2VtCode)/1000</f>
        <v>166348.40400000001</v>
      </c>
      <c r="F5" s="720" t="s">
        <v>4784</v>
      </c>
      <c r="G5" s="552"/>
      <c r="H5" s="720"/>
      <c r="I5" s="720"/>
      <c r="J5" s="551" t="s">
        <v>3760</v>
      </c>
      <c r="K5" s="608" t="s">
        <v>1394</v>
      </c>
      <c r="L5" s="706">
        <f t="shared" ref="L5:L17" si="1">U5+M5+Q5+Y5</f>
        <v>1905005077.1999998</v>
      </c>
      <c r="M5" s="706">
        <f>N5+O5+P5</f>
        <v>1060629001.1999998</v>
      </c>
      <c r="N5" s="706">
        <f>INDEX(finPNLCh2Prod2Slot1Turn,xxIndexTeam)</f>
        <v>1060629001.1999998</v>
      </c>
      <c r="O5" s="706">
        <f>INDEX(finPNLCh2Prod2Slot2Turn,xxIndexTeam)</f>
        <v>0</v>
      </c>
      <c r="P5" s="706">
        <f>INDEX(finPNLCh2Prod2Slot3Turn,xxIndexTeam)</f>
        <v>0</v>
      </c>
      <c r="Q5" s="706">
        <f>R5+S5+T5</f>
        <v>678027671.99999988</v>
      </c>
      <c r="R5" s="706">
        <f>INDEX(finPNLCh2Prod3Slot1Turn,xxIndexTeam)</f>
        <v>678027671.99999988</v>
      </c>
      <c r="S5" s="706">
        <f>INDEX(finPNLCh2Prod3Slot2Turn,xxIndexTeam)</f>
        <v>0</v>
      </c>
      <c r="T5" s="706">
        <f>INDEX(finPNLCh2Prod3Slot3Turn,xxIndexTeam)</f>
        <v>0</v>
      </c>
      <c r="U5" s="706">
        <f>V5+W5+X5</f>
        <v>166348404</v>
      </c>
      <c r="V5" s="706">
        <f>INDEX(finPNLCh2Prod1Slot1Turn,xxIndexTeam)</f>
        <v>166348404</v>
      </c>
      <c r="W5" s="706">
        <f>INDEX(finPNLCh2Prod1Slot2Turn,xxIndexTeam)</f>
        <v>0</v>
      </c>
      <c r="X5" s="706">
        <f>INDEX(finPNLCh2Prod1Slot3Turn,xxIndexTeam)</f>
        <v>0</v>
      </c>
      <c r="Y5" s="706">
        <f>Z5+AA5+AB5</f>
        <v>0</v>
      </c>
      <c r="Z5" s="706">
        <f>INDEX(finPNLCh2Prod4Slot1Turn,xxIndexTeam)</f>
        <v>0</v>
      </c>
      <c r="AA5" s="706">
        <f>INDEX(finPNLCh2Prod4Slot2Turn,xxIndexTeam)</f>
        <v>0</v>
      </c>
      <c r="AB5" s="596">
        <f>INDEX(finPNLCh2Prod4Slot3Turn,xxIndexTeam)</f>
        <v>0</v>
      </c>
      <c r="AC5" s="701"/>
      <c r="AE5" s="555"/>
      <c r="AF5" s="600" t="s">
        <v>6569</v>
      </c>
      <c r="AG5" s="600">
        <f>INDEX(CalcEmp1Unassigned,,xxIndexTeam)</f>
        <v>62</v>
      </c>
      <c r="AH5" s="561" t="s">
        <v>6885</v>
      </c>
      <c r="AI5" s="555"/>
      <c r="AJ5" s="600" t="s">
        <v>6569</v>
      </c>
      <c r="AK5" s="600">
        <f>INDEX(calcCh2AddSlotAvailable,,xxIndexTeam)</f>
        <v>1</v>
      </c>
      <c r="AL5" s="561" t="s">
        <v>6886</v>
      </c>
    </row>
    <row r="6" spans="2:46" ht="15">
      <c r="D6" s="554"/>
      <c r="E6" s="585">
        <f t="shared" si="0"/>
        <v>51589.062000000005</v>
      </c>
      <c r="F6" s="720" t="s">
        <v>4785</v>
      </c>
      <c r="G6" s="720"/>
      <c r="H6" s="720"/>
      <c r="I6" s="720"/>
      <c r="J6" s="551" t="s">
        <v>3761</v>
      </c>
      <c r="K6" s="608" t="s">
        <v>1395</v>
      </c>
      <c r="L6" s="706">
        <f t="shared" si="1"/>
        <v>642441747.5999999</v>
      </c>
      <c r="M6" s="706">
        <f t="shared" ref="M6:M17" si="2">N6+O6+P6</f>
        <v>348699945.5999999</v>
      </c>
      <c r="N6" s="706">
        <f>INDEX(finPNLCh2Prod2Slot1Excise,xxIndexTeam)</f>
        <v>348699945.5999999</v>
      </c>
      <c r="O6" s="706">
        <f>INDEX(finPNLCh2Prod2Slot2Excise,xxIndexTeam)</f>
        <v>0</v>
      </c>
      <c r="P6" s="706">
        <f>INDEX(finPNLCh2Prod2Slot3Excise,xxIndexTeam)</f>
        <v>0</v>
      </c>
      <c r="Q6" s="706">
        <f t="shared" ref="Q6:Q17" si="3">R6+S6+T6</f>
        <v>242152739.99999997</v>
      </c>
      <c r="R6" s="706">
        <f>INDEX(finPNLCh2Prod3Slot1Excise,xxIndexTeam)</f>
        <v>242152739.99999997</v>
      </c>
      <c r="S6" s="706">
        <f>INDEX(finPNLCh2Prod3Slot2Excise,xxIndexTeam)</f>
        <v>0</v>
      </c>
      <c r="T6" s="706">
        <f>INDEX(finPNLCh2Prod3Slot3Excise,xxIndexTeam)</f>
        <v>0</v>
      </c>
      <c r="U6" s="706">
        <f t="shared" ref="U6:U17" si="4">V6+W6+X6</f>
        <v>51589062.000000007</v>
      </c>
      <c r="V6" s="706">
        <f>INDEX(finPNLCh2Prod1Slot1Excise,xxIndexTeam)</f>
        <v>51589062.000000007</v>
      </c>
      <c r="W6" s="706">
        <f>INDEX(finPNLCh2Prod1Slot2Excise,xxIndexTeam)</f>
        <v>0</v>
      </c>
      <c r="X6" s="706">
        <f>INDEX(finPNLCh2Prod1Slot3Excise,xxIndexTeam)</f>
        <v>0</v>
      </c>
      <c r="Y6" s="706">
        <f t="shared" ref="Y6:Y17" si="5">Z6+AA6+AB6</f>
        <v>0</v>
      </c>
      <c r="Z6" s="706">
        <f>INDEX(finPNLCh2Prod4Slot1Excise,xxIndexTeam)</f>
        <v>0</v>
      </c>
      <c r="AA6" s="706">
        <f>INDEX(finPNLCh2Prod4Slot2Excise,xxIndexTeam)</f>
        <v>0</v>
      </c>
      <c r="AB6" s="596">
        <f>INDEX(finPNLCh2Prod4Slot3Excise,xxIndexTeam)</f>
        <v>0</v>
      </c>
      <c r="AC6" s="701"/>
      <c r="AE6" s="554"/>
      <c r="AF6" s="720" t="s">
        <v>6568</v>
      </c>
      <c r="AG6" s="720">
        <v>0</v>
      </c>
      <c r="AH6" s="584" t="s">
        <v>6887</v>
      </c>
      <c r="AI6" s="554"/>
      <c r="AJ6" s="720" t="s">
        <v>6568</v>
      </c>
      <c r="AK6" s="720">
        <v>0</v>
      </c>
      <c r="AL6" s="584" t="s">
        <v>6888</v>
      </c>
    </row>
    <row r="7" spans="2:46" ht="15.75" thickBot="1">
      <c r="D7" s="554"/>
      <c r="E7" s="585">
        <f t="shared" si="0"/>
        <v>114759.342</v>
      </c>
      <c r="F7" s="720" t="s">
        <v>4786</v>
      </c>
      <c r="G7" s="720"/>
      <c r="H7" s="720"/>
      <c r="I7" s="720"/>
      <c r="J7" s="720"/>
      <c r="K7" s="608" t="s">
        <v>694</v>
      </c>
      <c r="L7" s="706">
        <f t="shared" si="1"/>
        <v>1262563329.5999999</v>
      </c>
      <c r="M7" s="706">
        <f t="shared" si="2"/>
        <v>711929055.5999999</v>
      </c>
      <c r="N7" s="706">
        <f>INDEX(finPNLCh2Prod2Slot1GrossSales,xxIndexTeam)</f>
        <v>711929055.5999999</v>
      </c>
      <c r="O7" s="706">
        <f>INDEX(finPNLCh2Prod2Slot2GrossSales,xxIndexTeam)</f>
        <v>0</v>
      </c>
      <c r="P7" s="706">
        <f>INDEX(finPNLCh2Prod2Slot3GrossSales,xxIndexTeam)</f>
        <v>0</v>
      </c>
      <c r="Q7" s="706">
        <f t="shared" si="3"/>
        <v>435874931.99999988</v>
      </c>
      <c r="R7" s="706">
        <f>INDEX(finPNLCh2Prod3Slot1GrossSales,xxIndexTeam)</f>
        <v>435874931.99999988</v>
      </c>
      <c r="S7" s="706">
        <f>INDEX(finPNLCh2Prod3Slot2GrossSales,xxIndexTeam)</f>
        <v>0</v>
      </c>
      <c r="T7" s="706">
        <f>INDEX(finPNLCh2Prod3Slot3GrossSales,xxIndexTeam)</f>
        <v>0</v>
      </c>
      <c r="U7" s="706">
        <f t="shared" si="4"/>
        <v>114759342</v>
      </c>
      <c r="V7" s="706">
        <f>INDEX(finPNLCh2Prod1Slot1GrossSales,xxIndexTeam)</f>
        <v>114759342</v>
      </c>
      <c r="W7" s="706">
        <f>INDEX(finPNLCh2Prod1Slot2GrossSales,xxIndexTeam)</f>
        <v>0</v>
      </c>
      <c r="X7" s="706">
        <f>INDEX(finPNLCh2Prod1Slot3GrossSales,xxIndexTeam)</f>
        <v>0</v>
      </c>
      <c r="Y7" s="706">
        <f t="shared" si="5"/>
        <v>0</v>
      </c>
      <c r="Z7" s="706">
        <f>INDEX(finPNLCh2Prod4Slot1GrossSales,xxIndexTeam)</f>
        <v>0</v>
      </c>
      <c r="AA7" s="706">
        <f>INDEX(finPNLCh2Prod4Slot2GrossSales,xxIndexTeam)</f>
        <v>0</v>
      </c>
      <c r="AB7" s="596">
        <f>INDEX(finPNLCh2Prod4Slot3GrossSales,xxIndexTeam)</f>
        <v>0</v>
      </c>
      <c r="AC7" s="701"/>
      <c r="AE7" s="546"/>
      <c r="AF7" s="544" t="s">
        <v>6567</v>
      </c>
      <c r="AG7" s="544">
        <v>150</v>
      </c>
      <c r="AH7" s="733" t="s">
        <v>6889</v>
      </c>
      <c r="AI7" s="546"/>
      <c r="AJ7" s="544" t="s">
        <v>6567</v>
      </c>
      <c r="AK7" s="544">
        <v>3</v>
      </c>
      <c r="AL7" s="733" t="s">
        <v>6890</v>
      </c>
    </row>
    <row r="8" spans="2:46" ht="15">
      <c r="D8" s="554"/>
      <c r="E8" s="585">
        <f t="shared" si="0"/>
        <v>136.34089392928621</v>
      </c>
      <c r="F8" s="720" t="s">
        <v>4787</v>
      </c>
      <c r="G8" s="720"/>
      <c r="H8" s="720"/>
      <c r="I8" s="720"/>
      <c r="J8" s="720"/>
      <c r="K8" s="608" t="s">
        <v>1396</v>
      </c>
      <c r="L8" s="706">
        <f t="shared" si="1"/>
        <v>1500000</v>
      </c>
      <c r="M8" s="706">
        <f t="shared" si="2"/>
        <v>845813.87591727811</v>
      </c>
      <c r="N8" s="706">
        <f>INDEX(finPNLCh2Prod2Slot1Discounts,xxIndexTeam)</f>
        <v>845813.87591727811</v>
      </c>
      <c r="O8" s="706">
        <f>INDEX(finPNLCh2Prod2Slot2Discounts,xxIndexTeam)</f>
        <v>0</v>
      </c>
      <c r="P8" s="706">
        <f>INDEX(finPNLCh2Prod2Slot3Discounts,xxIndexTeam)</f>
        <v>0</v>
      </c>
      <c r="Q8" s="706">
        <f t="shared" si="3"/>
        <v>517845.23015343555</v>
      </c>
      <c r="R8" s="706">
        <f>INDEX(finPNLCh2Prod3Slot1Discounts,xxIndexTeam)</f>
        <v>517845.23015343555</v>
      </c>
      <c r="S8" s="706">
        <f>INDEX(finPNLCh2Prod3Slot2Discounts,xxIndexTeam)</f>
        <v>0</v>
      </c>
      <c r="T8" s="706">
        <f>INDEX(finPNLCh2Prod3Slot3Discounts,xxIndexTeam)</f>
        <v>0</v>
      </c>
      <c r="U8" s="706">
        <f t="shared" si="4"/>
        <v>136340.89392928622</v>
      </c>
      <c r="V8" s="706">
        <f>INDEX(finPNLCh2Prod1Slot1Discounts,xxIndexTeam)</f>
        <v>136340.89392928622</v>
      </c>
      <c r="W8" s="706">
        <f>INDEX(finPNLCh2Prod1Slot2Discounts,xxIndexTeam)</f>
        <v>0</v>
      </c>
      <c r="X8" s="706">
        <f>INDEX(finPNLCh2Prod1Slot3Discounts,xxIndexTeam)</f>
        <v>0</v>
      </c>
      <c r="Y8" s="706">
        <f t="shared" si="5"/>
        <v>0</v>
      </c>
      <c r="Z8" s="706">
        <f>INDEX(finPNLCh2Prod4Slot1Discounts,xxIndexTeam)</f>
        <v>0</v>
      </c>
      <c r="AA8" s="706">
        <f>INDEX(finPNLCh2Prod4Slot2Discounts,xxIndexTeam)</f>
        <v>0</v>
      </c>
      <c r="AB8" s="596">
        <f>INDEX(finPNLCh2Prod4Slot3Discounts,xxIndexTeam)</f>
        <v>0</v>
      </c>
      <c r="AC8" s="701"/>
    </row>
    <row r="9" spans="2:46" ht="15">
      <c r="D9" s="554"/>
      <c r="E9" s="585">
        <f t="shared" si="0"/>
        <v>114623.00110607072</v>
      </c>
      <c r="F9" s="720" t="s">
        <v>4788</v>
      </c>
      <c r="G9" s="720"/>
      <c r="H9" s="720"/>
      <c r="I9" s="720"/>
      <c r="J9" s="720"/>
      <c r="K9" s="608" t="s">
        <v>1397</v>
      </c>
      <c r="L9" s="706">
        <f t="shared" si="1"/>
        <v>1261063329.5999999</v>
      </c>
      <c r="M9" s="706">
        <f t="shared" si="2"/>
        <v>711083241.72408259</v>
      </c>
      <c r="N9" s="706">
        <f>INDEX(finPNLCh2Prod2Slot1TotalRev,xxIndexTeam)</f>
        <v>711083241.72408259</v>
      </c>
      <c r="O9" s="706">
        <f>INDEX(finPNLCh2Prod2Slot2TotalRev,xxIndexTeam)</f>
        <v>0</v>
      </c>
      <c r="P9" s="706">
        <f>INDEX(finPNLCh2Prod2Slot3TotalRev,xxIndexTeam)</f>
        <v>0</v>
      </c>
      <c r="Q9" s="706">
        <f t="shared" si="3"/>
        <v>435357086.76984644</v>
      </c>
      <c r="R9" s="706">
        <f>INDEX(finPNLCh2Prod3Slot1TotalRev,xxIndexTeam)</f>
        <v>435357086.76984644</v>
      </c>
      <c r="S9" s="706">
        <f>INDEX(finPNLCh2Prod3Slot2TotalRev,xxIndexTeam)</f>
        <v>0</v>
      </c>
      <c r="T9" s="706">
        <f>INDEX(finPNLCh2Prod3Slot3TotalRev,xxIndexTeam)</f>
        <v>0</v>
      </c>
      <c r="U9" s="706">
        <f t="shared" si="4"/>
        <v>114623001.10607071</v>
      </c>
      <c r="V9" s="706">
        <f>INDEX(finPNLCh2Prod1Slot1TotalRev,xxIndexTeam)</f>
        <v>114623001.10607071</v>
      </c>
      <c r="W9" s="706">
        <f>INDEX(finPNLCh2Prod1Slot2TotalRev,xxIndexTeam)</f>
        <v>0</v>
      </c>
      <c r="X9" s="706">
        <f>INDEX(finPNLCh2Prod1Slot3TotalRev,xxIndexTeam)</f>
        <v>0</v>
      </c>
      <c r="Y9" s="706">
        <f t="shared" si="5"/>
        <v>0</v>
      </c>
      <c r="Z9" s="706">
        <f>INDEX(finPNLCh2Prod4Slot1TotalRev,xxIndexTeam)</f>
        <v>0</v>
      </c>
      <c r="AA9" s="706">
        <f>INDEX(finPNLCh2Prod4Slot2TotalRev,xxIndexTeam)</f>
        <v>0</v>
      </c>
      <c r="AB9" s="596">
        <f>INDEX(finPNLCh2Prod4Slot3TotalRev,xxIndexTeam)</f>
        <v>0</v>
      </c>
      <c r="AC9" s="701"/>
      <c r="AD9" s="628" t="s">
        <v>6891</v>
      </c>
      <c r="AE9" s="612" t="s">
        <v>6549</v>
      </c>
      <c r="AG9" s="722"/>
    </row>
    <row r="10" spans="2:46" ht="15.75" thickBot="1">
      <c r="D10" s="554"/>
      <c r="E10" s="585">
        <f t="shared" si="0"/>
        <v>32027.256155664007</v>
      </c>
      <c r="F10" s="720" t="s">
        <v>4789</v>
      </c>
      <c r="G10" s="720"/>
      <c r="H10" s="720"/>
      <c r="I10" s="720"/>
      <c r="J10" s="720"/>
      <c r="K10" s="608" t="s">
        <v>1398</v>
      </c>
      <c r="L10" s="706">
        <f t="shared" si="1"/>
        <v>419350428.18012959</v>
      </c>
      <c r="M10" s="706">
        <f t="shared" si="2"/>
        <v>220988067.47408164</v>
      </c>
      <c r="N10" s="706">
        <f>INDEX(finPNLCh2Prod2Slot1MatExp,xxIndexTeam)</f>
        <v>220988067.47408164</v>
      </c>
      <c r="O10" s="706">
        <f>INDEX(finPNLCh2Prod2Slot2MatExp,xxIndexTeam)</f>
        <v>0</v>
      </c>
      <c r="P10" s="706">
        <f>INDEX(finPNLCh2Prod2Slot3MatExp,xxIndexTeam)</f>
        <v>0</v>
      </c>
      <c r="Q10" s="706">
        <f t="shared" si="3"/>
        <v>166335104.55038396</v>
      </c>
      <c r="R10" s="706">
        <f>INDEX(finPNLCh2Prod3Slot1MatExp,xxIndexTeam)</f>
        <v>166335104.55038396</v>
      </c>
      <c r="S10" s="706">
        <f>INDEX(finPNLCh2Prod3Slot2MatExp,xxIndexTeam)</f>
        <v>0</v>
      </c>
      <c r="T10" s="706">
        <f>INDEX(finPNLCh2Prod3Slot3MatExp,xxIndexTeam)</f>
        <v>0</v>
      </c>
      <c r="U10" s="706">
        <f t="shared" si="4"/>
        <v>32027256.155664008</v>
      </c>
      <c r="V10" s="706">
        <f>INDEX(finPNLCh2Prod1Slot1MatExp,xxIndexTeam)</f>
        <v>32027256.155664008</v>
      </c>
      <c r="W10" s="706">
        <f>INDEX(finPNLCh2Prod1Slot2MatExp,xxIndexTeam)</f>
        <v>0</v>
      </c>
      <c r="X10" s="706">
        <f>INDEX(finPNLCh2Prod1Slot3MatExp,xxIndexTeam)</f>
        <v>0</v>
      </c>
      <c r="Y10" s="706">
        <f t="shared" si="5"/>
        <v>0</v>
      </c>
      <c r="Z10" s="706">
        <f>INDEX(finPNLCh2Prod4Slot1MatExp,xxIndexTeam)</f>
        <v>0</v>
      </c>
      <c r="AA10" s="706">
        <f>INDEX(finPNLCh2Prod4Slot2MatExp,xxIndexTeam)</f>
        <v>0</v>
      </c>
      <c r="AB10" s="596">
        <f>INDEX(finPNLCh2Prod4Slot3MatExp,xxIndexTeam)</f>
        <v>0</v>
      </c>
      <c r="AC10" s="701"/>
      <c r="AE10" s="702" t="s">
        <v>1408</v>
      </c>
      <c r="AI10" s="702" t="s">
        <v>1409</v>
      </c>
      <c r="AM10" s="702" t="s">
        <v>6550</v>
      </c>
      <c r="AQ10" s="702" t="s">
        <v>14</v>
      </c>
    </row>
    <row r="11" spans="2:46" ht="15">
      <c r="D11" s="554"/>
      <c r="E11" s="585">
        <f t="shared" si="0"/>
        <v>4709.8906111270599</v>
      </c>
      <c r="F11" s="720" t="s">
        <v>4790</v>
      </c>
      <c r="G11" s="720"/>
      <c r="H11" s="720"/>
      <c r="I11" s="720"/>
      <c r="J11" s="720"/>
      <c r="K11" s="608" t="s">
        <v>575</v>
      </c>
      <c r="L11" s="706">
        <f t="shared" si="1"/>
        <v>61669180.614724934</v>
      </c>
      <c r="M11" s="706">
        <f t="shared" si="2"/>
        <v>32498245.216776706</v>
      </c>
      <c r="N11" s="706">
        <f>INDEX(finPNLCh2Prod2Slot1LabourExp,xxIndexTeam)</f>
        <v>32498245.216776706</v>
      </c>
      <c r="O11" s="706">
        <f>INDEX(finPNLCh2Prod2Slot2LabourExp,xxIndexTeam)</f>
        <v>0</v>
      </c>
      <c r="P11" s="706">
        <f>INDEX(finPNLCh2Prod2Slot3LabourExp,xxIndexTeam)</f>
        <v>0</v>
      </c>
      <c r="Q11" s="706">
        <f t="shared" si="3"/>
        <v>24461044.786821172</v>
      </c>
      <c r="R11" s="706">
        <f>INDEX(finPNLCh2Prod3Slot1LabourExp,xxIndexTeam)</f>
        <v>24461044.786821172</v>
      </c>
      <c r="S11" s="706">
        <f>INDEX(finPNLCh2Prod3Slot2LabourExp,xxIndexTeam)</f>
        <v>0</v>
      </c>
      <c r="T11" s="706">
        <f>INDEX(finPNLCh2Prod3Slot3LabourExp,xxIndexTeam)</f>
        <v>0</v>
      </c>
      <c r="U11" s="706">
        <f t="shared" si="4"/>
        <v>4709890.6111270599</v>
      </c>
      <c r="V11" s="706">
        <f>INDEX(finPNLCh2Prod1Slot1LabourExp,xxIndexTeam)</f>
        <v>4709890.6111270599</v>
      </c>
      <c r="W11" s="706">
        <f>INDEX(finPNLCh2Prod1Slot2LabourExp,xxIndexTeam)</f>
        <v>0</v>
      </c>
      <c r="X11" s="706">
        <f>INDEX(finPNLCh2Prod1Slot3LabourExp,xxIndexTeam)</f>
        <v>0</v>
      </c>
      <c r="Y11" s="706">
        <f t="shared" si="5"/>
        <v>0</v>
      </c>
      <c r="Z11" s="706">
        <f>INDEX(finPNLCh2Prod4Slot1LabourExp,xxIndexTeam)</f>
        <v>0</v>
      </c>
      <c r="AA11" s="706">
        <f>INDEX(finPNLCh2Prod4Slot2LabourExp,xxIndexTeam)</f>
        <v>0</v>
      </c>
      <c r="AB11" s="596">
        <f>INDEX(finPNLCh2Prod4Slot3LabourExp,xxIndexTeam)</f>
        <v>0</v>
      </c>
      <c r="AC11" s="701"/>
      <c r="AE11" s="728" t="str">
        <f>"Column 1 ("&amp;nmProd2&amp;")"</f>
        <v>Column 1 (Harken)</v>
      </c>
      <c r="AF11" s="600"/>
      <c r="AG11" s="600"/>
      <c r="AH11" s="561"/>
      <c r="AI11" s="728" t="str">
        <f>"Column 3 ("&amp;nmProd1&amp;")"</f>
        <v>Column 3 (Greenborg)</v>
      </c>
      <c r="AJ11" s="600"/>
      <c r="AK11" s="600"/>
      <c r="AL11" s="561"/>
      <c r="AM11" s="728" t="str">
        <f>"Column 4 ("&amp;nmProd4&amp;")"</f>
        <v>Column 4 (Brew Master)</v>
      </c>
      <c r="AN11" s="600"/>
      <c r="AO11" s="600"/>
      <c r="AP11" s="561"/>
      <c r="AQ11" s="728" t="s">
        <v>6551</v>
      </c>
      <c r="AR11" s="600"/>
      <c r="AS11" s="600"/>
      <c r="AT11" s="561"/>
    </row>
    <row r="12" spans="2:46" ht="15">
      <c r="D12" s="554"/>
      <c r="E12" s="585">
        <f t="shared" si="0"/>
        <v>6590.4289718400005</v>
      </c>
      <c r="F12" s="720" t="s">
        <v>4791</v>
      </c>
      <c r="G12" s="720"/>
      <c r="H12" s="720"/>
      <c r="I12" s="720"/>
      <c r="J12" s="720"/>
      <c r="K12" s="608" t="s">
        <v>1399</v>
      </c>
      <c r="L12" s="706">
        <f t="shared" si="1"/>
        <v>72714399.655967996</v>
      </c>
      <c r="M12" s="706">
        <f t="shared" si="2"/>
        <v>48110131.494431995</v>
      </c>
      <c r="N12" s="706">
        <f>INDEX(finPNLCh2Prod2Slot1MachExp,xxIndexTeam)</f>
        <v>48110131.494431995</v>
      </c>
      <c r="O12" s="706">
        <f>INDEX(finPNLCh2Prod2Slot2MachExp,xxIndexTeam)</f>
        <v>0</v>
      </c>
      <c r="P12" s="706">
        <f>INDEX(finPNLCh2Prod2Slot3MachExp,xxIndexTeam)</f>
        <v>0</v>
      </c>
      <c r="Q12" s="706">
        <f t="shared" si="3"/>
        <v>18013839.189696003</v>
      </c>
      <c r="R12" s="706">
        <f>INDEX(finPNLCh2Prod3Slot1MachExp,xxIndexTeam)</f>
        <v>18013839.189696003</v>
      </c>
      <c r="S12" s="706">
        <f>INDEX(finPNLCh2Prod3Slot2MachExp,xxIndexTeam)</f>
        <v>0</v>
      </c>
      <c r="T12" s="706">
        <f>INDEX(finPNLCh2Prod3Slot3MachExp,xxIndexTeam)</f>
        <v>0</v>
      </c>
      <c r="U12" s="706">
        <f t="shared" si="4"/>
        <v>6590428.9718400007</v>
      </c>
      <c r="V12" s="706">
        <f>INDEX(finPNLCh2Prod1Slot1MachExp,xxIndexTeam)</f>
        <v>6590428.9718400007</v>
      </c>
      <c r="W12" s="706">
        <f>INDEX(finPNLCh2Prod1Slot2MachExp,xxIndexTeam)</f>
        <v>0</v>
      </c>
      <c r="X12" s="706">
        <f>INDEX(finPNLCh2Prod1Slot3MachExp,xxIndexTeam)</f>
        <v>0</v>
      </c>
      <c r="Y12" s="706">
        <f t="shared" si="5"/>
        <v>0</v>
      </c>
      <c r="Z12" s="706">
        <f>INDEX(finPNLCh2Prod4Slot1MachExp,xxIndexTeam)</f>
        <v>0</v>
      </c>
      <c r="AA12" s="706">
        <f>INDEX(finPNLCh2Prod4Slot2MachExp,xxIndexTeam)</f>
        <v>0</v>
      </c>
      <c r="AB12" s="596">
        <f>INDEX(finPNLCh2Prod4Slot3MachExp,xxIndexTeam)</f>
        <v>0</v>
      </c>
      <c r="AC12" s="701"/>
      <c r="AE12" s="554"/>
      <c r="AF12" s="720" t="s">
        <v>3328</v>
      </c>
      <c r="AG12" s="729">
        <f>INDEX(dataCh2Prod2n3MarketVolume,,4+xxRound)</f>
        <v>1210763699.9999998</v>
      </c>
      <c r="AH12" s="584" t="s">
        <v>4842</v>
      </c>
      <c r="AI12" s="554"/>
      <c r="AJ12" s="720" t="s">
        <v>3328</v>
      </c>
      <c r="AK12" s="585">
        <f>INDEX(dataCh2Prod1MarketVolume,,4+xxRound)</f>
        <v>105283799.99999999</v>
      </c>
      <c r="AL12" s="584" t="s">
        <v>4836</v>
      </c>
      <c r="AM12" s="554"/>
      <c r="AN12" s="720" t="s">
        <v>3328</v>
      </c>
      <c r="AO12" s="585">
        <f>VLOOKUP(3,dataCh2Prod4MarketVolume,xxRound+2,FALSE)</f>
        <v>34650000</v>
      </c>
      <c r="AP12" s="584" t="s">
        <v>4857</v>
      </c>
      <c r="AQ12" s="554"/>
      <c r="AR12" s="720" t="s">
        <v>3328</v>
      </c>
      <c r="AS12" s="585">
        <f>tlOutputCh2Prod1MktSize+tlOutputCh2Prod2n3MktSize+tlOutputCh2Prod4MktSize</f>
        <v>1350697499.9999998</v>
      </c>
      <c r="AT12" s="584" t="s">
        <v>4865</v>
      </c>
    </row>
    <row r="13" spans="2:46" ht="15">
      <c r="D13" s="554"/>
      <c r="E13" s="585">
        <f t="shared" si="0"/>
        <v>2933.1400364369924</v>
      </c>
      <c r="F13" s="720" t="s">
        <v>4792</v>
      </c>
      <c r="G13" s="720"/>
      <c r="H13" s="720"/>
      <c r="I13" s="720"/>
      <c r="J13" s="720"/>
      <c r="K13" s="608" t="s">
        <v>398</v>
      </c>
      <c r="L13" s="706">
        <f t="shared" si="1"/>
        <v>32362311.735354811</v>
      </c>
      <c r="M13" s="706">
        <f t="shared" si="2"/>
        <v>21411922.265990037</v>
      </c>
      <c r="N13" s="706">
        <f>INDEX(finPNLCh2Prod2Slot1DeprExp,xxIndexTeam)</f>
        <v>21411922.265990037</v>
      </c>
      <c r="O13" s="706">
        <f>INDEX(finPNLCh2Prod2Slot2DeprExp,xxIndexTeam)</f>
        <v>0</v>
      </c>
      <c r="P13" s="706">
        <f>INDEX(finPNLCh2Prod2Slot3DeprExp,xxIndexTeam)</f>
        <v>0</v>
      </c>
      <c r="Q13" s="706">
        <f t="shared" si="3"/>
        <v>8017249.4329277789</v>
      </c>
      <c r="R13" s="706">
        <f>INDEX(finPNLCh2Prod3Slot1DeprExp,xxIndexTeam)</f>
        <v>8017249.4329277789</v>
      </c>
      <c r="S13" s="706">
        <f>INDEX(finPNLCh2Prod3Slot2DeprExp,xxIndexTeam)</f>
        <v>0</v>
      </c>
      <c r="T13" s="706">
        <f>INDEX(finPNLCh2Prod3Slot3DeprExp,xxIndexTeam)</f>
        <v>0</v>
      </c>
      <c r="U13" s="706">
        <f t="shared" si="4"/>
        <v>2933140.0364369922</v>
      </c>
      <c r="V13" s="706">
        <f>INDEX(finPNLCh2Prod1Slot1DeprExp,xxIndexTeam)</f>
        <v>2933140.0364369922</v>
      </c>
      <c r="W13" s="706">
        <f>INDEX(finPNLCh2Prod1Slot2DeprExp,xxIndexTeam)</f>
        <v>0</v>
      </c>
      <c r="X13" s="706">
        <f>INDEX(finPNLCh2Prod1Slot3DeprExp,xxIndexTeam)</f>
        <v>0</v>
      </c>
      <c r="Y13" s="706">
        <f t="shared" si="5"/>
        <v>0</v>
      </c>
      <c r="Z13" s="706">
        <f>INDEX(finPNLCh2Prod4Slot1DeprExp,xxIndexTeam)</f>
        <v>0</v>
      </c>
      <c r="AA13" s="706">
        <f>INDEX(finPNLCh2Prod4Slot2DeprExp,xxIndexTeam)</f>
        <v>0</v>
      </c>
      <c r="AB13" s="596">
        <f>INDEX(finPNLCh2Prod4Slot3DeprExp,xxIndexTeam)</f>
        <v>0</v>
      </c>
      <c r="AC13" s="701"/>
      <c r="AE13" s="554"/>
      <c r="AF13" s="720" t="s">
        <v>1392</v>
      </c>
      <c r="AG13" s="585">
        <f>INDEX(calcCh2Prod2VolForecastProd,,xxIndexTeam)</f>
        <v>145291643.99999997</v>
      </c>
      <c r="AH13" s="584" t="s">
        <v>4843</v>
      </c>
      <c r="AI13" s="554"/>
      <c r="AJ13" s="720" t="s">
        <v>1392</v>
      </c>
      <c r="AK13" s="585">
        <f>INDEX(calcCh2Prod1VolForecastProd,,xxIndexTeam)</f>
        <v>21056760</v>
      </c>
      <c r="AL13" s="584" t="s">
        <v>4837</v>
      </c>
      <c r="AM13" s="554"/>
      <c r="AN13" s="720" t="s">
        <v>1392</v>
      </c>
      <c r="AO13" s="604">
        <f>INDEX(calcCh2Prod4VolForecastProd,,xxIndexTeam)/tlOutputCh2Prod4MktSize</f>
        <v>0</v>
      </c>
      <c r="AP13" s="584" t="s">
        <v>4858</v>
      </c>
      <c r="AQ13" s="554"/>
      <c r="AR13" s="720" t="s">
        <v>1392</v>
      </c>
      <c r="AS13" s="585">
        <f>tlOutputCh2Prod1VolForcast+tlOutputCh2Prod2VolForcast+tlOutputCh2Prod3VolForcast+tlOutputCh2Prod4VolForcast</f>
        <v>263209499.99999994</v>
      </c>
      <c r="AT13" s="584" t="s">
        <v>4866</v>
      </c>
    </row>
    <row r="14" spans="2:46" ht="15">
      <c r="D14" s="554"/>
      <c r="E14" s="585">
        <f t="shared" si="0"/>
        <v>46260.715775068056</v>
      </c>
      <c r="F14" s="720" t="s">
        <v>4793</v>
      </c>
      <c r="G14" s="720"/>
      <c r="H14" s="720"/>
      <c r="I14" s="720"/>
      <c r="J14" s="720"/>
      <c r="K14" s="608" t="s">
        <v>157</v>
      </c>
      <c r="L14" s="706">
        <f>U14+M14+Q14+Y14</f>
        <v>586096320.18617725</v>
      </c>
      <c r="M14" s="706">
        <f t="shared" si="2"/>
        <v>323008366.45128036</v>
      </c>
      <c r="N14" s="706">
        <f>INDEX(finPNLCh2Prod2Slot1TotalCOGs,xxIndexTeam)</f>
        <v>323008366.45128036</v>
      </c>
      <c r="O14" s="706">
        <f>INDEX(finPNLCh2Prod2Slot2TotalCOGs,xxIndexTeam)</f>
        <v>0</v>
      </c>
      <c r="P14" s="706">
        <f>INDEX(finPNLCh2Prod2Slot3TotalCOGs,xxIndexTeam)</f>
        <v>0</v>
      </c>
      <c r="Q14" s="706">
        <f t="shared" si="3"/>
        <v>216827237.95982891</v>
      </c>
      <c r="R14" s="706">
        <f>INDEX(finPNLCh2Prod3Slot1TotalCOGs,xxIndexTeam)</f>
        <v>216827237.95982891</v>
      </c>
      <c r="S14" s="706">
        <f>INDEX(finPNLCh2Prod3Slot2TotalCOGs,xxIndexTeam)</f>
        <v>0</v>
      </c>
      <c r="T14" s="706">
        <f>INDEX(finPNLCh2Prod3Slot3TotalCOGs,xxIndexTeam)</f>
        <v>0</v>
      </c>
      <c r="U14" s="706">
        <f t="shared" si="4"/>
        <v>46260715.77506806</v>
      </c>
      <c r="V14" s="706">
        <f>INDEX(finPNLCh2Prod1Slot1TotalCOGs,xxIndexTeam)</f>
        <v>46260715.77506806</v>
      </c>
      <c r="W14" s="706">
        <f>INDEX(finPNLCh2Prod1Slot2TotalCOGs,xxIndexTeam)</f>
        <v>0</v>
      </c>
      <c r="X14" s="706">
        <f>INDEX(finPNLCh2Prod1Slot3TotalCOGs,xxIndexTeam)</f>
        <v>0</v>
      </c>
      <c r="Y14" s="706">
        <f t="shared" si="5"/>
        <v>0</v>
      </c>
      <c r="Z14" s="706">
        <f>INDEX(finPNLCh2Prod4Slot1TotalCOGs,xxIndexTeam)</f>
        <v>0</v>
      </c>
      <c r="AA14" s="706">
        <f>INDEX(finPNLCh2Prod4Slot2TotalCOGs,xxIndexTeam)</f>
        <v>0</v>
      </c>
      <c r="AB14" s="596">
        <f>INDEX(finPNLCh2Prod4Slot3TotalCOGs,xxIndexTeam)</f>
        <v>0</v>
      </c>
      <c r="AC14" s="701"/>
      <c r="AE14" s="554"/>
      <c r="AF14" s="720" t="s">
        <v>1397</v>
      </c>
      <c r="AG14" s="585">
        <f>INDEX(finPNLCh2Prod2Slot1TotalRev,,xxIndexTeam)+INDEX(finPNLCh2Prod2Slot2TotalRev,,xxIndexTeam)+INDEX(finPNLCh2Prod2Slot3TotalRev,,xxIndexTeam)</f>
        <v>711083241.72408259</v>
      </c>
      <c r="AH14" s="584" t="s">
        <v>4844</v>
      </c>
      <c r="AI14" s="554"/>
      <c r="AJ14" s="720" t="s">
        <v>1397</v>
      </c>
      <c r="AK14" s="585">
        <f>INDEX(finPNLCh2Prod1Slot1TotalRev,,xxIndexTeam)+INDEX(finPNLCh2Prod1Slot2TotalRev,,xxIndexTeam)+INDEX(finPNLCh2Prod1Slot3TotalRev,,xxIndexTeam)</f>
        <v>114623001.10607071</v>
      </c>
      <c r="AL14" s="584" t="s">
        <v>4838</v>
      </c>
      <c r="AM14" s="554"/>
      <c r="AN14" s="720" t="s">
        <v>1397</v>
      </c>
      <c r="AO14" s="585">
        <f>INDEX(finPNLCh2Prod4Slot1TotalRev,,xxIndexTeam)+INDEX(finPNLCh2Prod4Slot2TotalRev,,xxIndexTeam)+INDEX(finPNLCh2Prod4Slot3TotalRev,,xxIndexTeam)</f>
        <v>0</v>
      </c>
      <c r="AP14" s="584" t="s">
        <v>4859</v>
      </c>
      <c r="AQ14" s="554"/>
      <c r="AR14" s="720" t="s">
        <v>1397</v>
      </c>
      <c r="AS14" s="585">
        <f>tlOutputCh2Prod1NetSales+tlOutputCh2Prod2NetSales+tlOutputCh2Prod3NetSales+tlOutputCh2Prod4NetSales</f>
        <v>1261063329.5999999</v>
      </c>
      <c r="AT14" s="584" t="s">
        <v>4867</v>
      </c>
    </row>
    <row r="15" spans="2:46" ht="15">
      <c r="D15" s="554"/>
      <c r="E15" s="585">
        <f t="shared" si="0"/>
        <v>68362.285331002655</v>
      </c>
      <c r="F15" s="720" t="s">
        <v>4794</v>
      </c>
      <c r="G15" s="720"/>
      <c r="H15" s="720"/>
      <c r="I15" s="720"/>
      <c r="J15" s="720"/>
      <c r="K15" s="608" t="s">
        <v>160</v>
      </c>
      <c r="L15" s="706">
        <f t="shared" si="1"/>
        <v>674967009.41382241</v>
      </c>
      <c r="M15" s="706">
        <f t="shared" si="2"/>
        <v>388074875.27280223</v>
      </c>
      <c r="N15" s="706">
        <f>INDEX(finPNLCh2Prod2Slot1GP,xxIndexTeam)</f>
        <v>388074875.27280223</v>
      </c>
      <c r="O15" s="706">
        <f>INDEX(finPNLCh2Prod2Slot2GP,xxIndexTeam)</f>
        <v>0</v>
      </c>
      <c r="P15" s="706">
        <f>INDEX(finPNLCh2Prod2Slot3GP,xxIndexTeam)</f>
        <v>0</v>
      </c>
      <c r="Q15" s="706">
        <f t="shared" si="3"/>
        <v>218529848.81001753</v>
      </c>
      <c r="R15" s="706">
        <f>INDEX(finPNLCh2Prod3Slot1GP,xxIndexTeam)</f>
        <v>218529848.81001753</v>
      </c>
      <c r="S15" s="706">
        <f>INDEX(finPNLCh2Prod3Slot2GP,xxIndexTeam)</f>
        <v>0</v>
      </c>
      <c r="T15" s="706">
        <f>INDEX(finPNLCh2Prod3Slot3GP,xxIndexTeam)</f>
        <v>0</v>
      </c>
      <c r="U15" s="706">
        <f t="shared" si="4"/>
        <v>68362285.331002653</v>
      </c>
      <c r="V15" s="706">
        <f>INDEX(finPNLCh2Prod1Slot1GP,xxIndexTeam)</f>
        <v>68362285.331002653</v>
      </c>
      <c r="W15" s="706">
        <f>INDEX(finPNLCh2Prod1Slot2GP,xxIndexTeam)</f>
        <v>0</v>
      </c>
      <c r="X15" s="706">
        <f>INDEX(finPNLCh2Prod1Slot3GP,xxIndexTeam)</f>
        <v>0</v>
      </c>
      <c r="Y15" s="706">
        <f t="shared" si="5"/>
        <v>0</v>
      </c>
      <c r="Z15" s="706">
        <f>INDEX(finPNLCh2Prod4Slot1GP,xxIndexTeam)</f>
        <v>0</v>
      </c>
      <c r="AA15" s="706">
        <f>INDEX(finPNLCh2Prod4Slot2GP,xxIndexTeam)</f>
        <v>0</v>
      </c>
      <c r="AB15" s="596">
        <f>INDEX(finPNLCh2Prod4Slot3GP,xxIndexTeam)</f>
        <v>0</v>
      </c>
      <c r="AC15" s="701"/>
      <c r="AE15" s="554"/>
      <c r="AF15" s="720" t="s">
        <v>521</v>
      </c>
      <c r="AG15" s="585">
        <f>INDEX(finPNLCh2Prod2Slot1GPaL,,xxIndexTeam)+INDEX(finPNLCh2Prod2Slot2GPaL,,xxIndexTeam)+INDEX(finPNLCh2Prod2Slot3GPaL,,xxIndexTeam)</f>
        <v>350525396.92029697</v>
      </c>
      <c r="AH15" s="584" t="s">
        <v>4845</v>
      </c>
      <c r="AI15" s="554"/>
      <c r="AJ15" s="720" t="s">
        <v>521</v>
      </c>
      <c r="AK15" s="585">
        <f>INDEX(finPNLCh2Prod1Slot1GPaL,,xxIndexTeam)+INDEX(finPNLCh2Prod1Slot2GPaL,,xxIndexTeam)+INDEX(finPNLCh2Prod1Slot3GPaL,,xxIndexTeam)</f>
        <v>62920331.946581602</v>
      </c>
      <c r="AL15" s="584" t="s">
        <v>4839</v>
      </c>
      <c r="AM15" s="554"/>
      <c r="AN15" s="720" t="s">
        <v>521</v>
      </c>
      <c r="AO15" s="585">
        <f>INDEX(finPNLCh2Prod4Slot1GPaL,,xxIndexTeam)+INDEX(finPNLCh2Prod4Slot2GPaL,,xxIndexTeam)+INDEX(finPNLCh2Prod4Slot3GPaL,,xxIndexTeam)</f>
        <v>0</v>
      </c>
      <c r="AP15" s="584" t="s">
        <v>4860</v>
      </c>
      <c r="AQ15" s="554"/>
      <c r="AR15" s="720" t="s">
        <v>521</v>
      </c>
      <c r="AS15" s="585">
        <f>tlOutputCh2Prod1GPaL+tlOutputCh2Prod2GPaL+tlOutputCh2Prod3GPaL+tlOutputCh2Prod4GPaL</f>
        <v>603712529.45458031</v>
      </c>
      <c r="AT15" s="584" t="s">
        <v>4868</v>
      </c>
    </row>
    <row r="16" spans="2:46" ht="15">
      <c r="D16" s="554"/>
      <c r="E16" s="585">
        <f t="shared" si="0"/>
        <v>5441.9533844210537</v>
      </c>
      <c r="F16" s="720" t="s">
        <v>4795</v>
      </c>
      <c r="G16" s="720"/>
      <c r="H16" s="720"/>
      <c r="I16" s="720"/>
      <c r="J16" s="720"/>
      <c r="K16" s="608" t="s">
        <v>519</v>
      </c>
      <c r="L16" s="706">
        <f t="shared" si="1"/>
        <v>71254479.959242105</v>
      </c>
      <c r="M16" s="706">
        <f t="shared" si="2"/>
        <v>37549478.352505259</v>
      </c>
      <c r="N16" s="706">
        <f>INDEX(finPNLCh2Prod2Slot1LogExp,xxIndexTeam)</f>
        <v>37549478.352505259</v>
      </c>
      <c r="O16" s="706">
        <f>INDEX(finPNLCh2Prod2Slot2LogExp,xxIndexTeam)</f>
        <v>0</v>
      </c>
      <c r="P16" s="706">
        <f>INDEX(finPNLCh2Prod2Slot3LogExp,xxIndexTeam)</f>
        <v>0</v>
      </c>
      <c r="Q16" s="706">
        <f t="shared" si="3"/>
        <v>28263048.222315788</v>
      </c>
      <c r="R16" s="706">
        <f>INDEX(finPNLCh2Prod3Slot1LogExp,xxIndexTeam)</f>
        <v>28263048.222315788</v>
      </c>
      <c r="S16" s="706">
        <f>INDEX(finPNLCh2Prod3Slot2LogExp,xxIndexTeam)</f>
        <v>0</v>
      </c>
      <c r="T16" s="706">
        <f>INDEX(finPNLCh2Prod3Slot3LogExp,xxIndexTeam)</f>
        <v>0</v>
      </c>
      <c r="U16" s="706">
        <f t="shared" si="4"/>
        <v>5441953.3844210533</v>
      </c>
      <c r="V16" s="706">
        <f>INDEX(finPNLCh2Prod1Slot1LogExp,xxIndexTeam)</f>
        <v>5441953.3844210533</v>
      </c>
      <c r="W16" s="706">
        <f>INDEX(finPNLCh2Prod1Slot2LogExp,xxIndexTeam)</f>
        <v>0</v>
      </c>
      <c r="X16" s="706">
        <f>INDEX(finPNLCh2Prod1Slot3LogExp,xxIndexTeam)</f>
        <v>0</v>
      </c>
      <c r="Y16" s="706">
        <f t="shared" si="5"/>
        <v>0</v>
      </c>
      <c r="Z16" s="706">
        <f>INDEX(finPNLCh2Prod4Slot1LogExp,xxIndexTeam)</f>
        <v>0</v>
      </c>
      <c r="AA16" s="706">
        <f>INDEX(finPNLCh2Prod4Slot2LogExp,xxIndexTeam)</f>
        <v>0</v>
      </c>
      <c r="AB16" s="596">
        <f>INDEX(finPNLCh2Prod4Slot3LogExp,xxIndexTeam)</f>
        <v>0</v>
      </c>
      <c r="AC16" s="701"/>
      <c r="AE16" s="554"/>
      <c r="AF16" s="720" t="s">
        <v>517</v>
      </c>
      <c r="AG16" s="730">
        <f>INDEX(calcCh2Prod2CustProfitTot,,xxIndexTeam)</f>
        <v>159094350.17999992</v>
      </c>
      <c r="AH16" s="584" t="s">
        <v>4846</v>
      </c>
      <c r="AI16" s="554"/>
      <c r="AJ16" s="720" t="s">
        <v>517</v>
      </c>
      <c r="AK16" s="730">
        <f>INDEX(calcCh2Prod1CustProfitTot,,xxIndexTeam)</f>
        <v>24952260.599999972</v>
      </c>
      <c r="AL16" s="584" t="s">
        <v>4840</v>
      </c>
      <c r="AM16" s="554"/>
      <c r="AN16" s="720" t="s">
        <v>517</v>
      </c>
      <c r="AO16" s="730">
        <f>INDEX(calcCh2Prod4CustProfitTot,,xxIndexTeam)</f>
        <v>0</v>
      </c>
      <c r="AP16" s="584" t="s">
        <v>4861</v>
      </c>
      <c r="AQ16" s="554"/>
      <c r="AR16" s="720" t="s">
        <v>517</v>
      </c>
      <c r="AS16" s="585">
        <f>tlOutputCh2Prod1CustProfit+tlOutputCh2Prod2CustProfit+tlOutputCh2Prod3CustProfit+tlOutputCh2Prod4CustProfit</f>
        <v>306091591.73999983</v>
      </c>
      <c r="AT16" s="584" t="s">
        <v>4869</v>
      </c>
    </row>
    <row r="17" spans="4:46" ht="15">
      <c r="D17" s="554"/>
      <c r="E17" s="585">
        <f t="shared" si="0"/>
        <v>62920.331946581602</v>
      </c>
      <c r="F17" s="720" t="s">
        <v>4796</v>
      </c>
      <c r="G17" s="720"/>
      <c r="H17" s="720"/>
      <c r="I17" s="720"/>
      <c r="J17" s="720"/>
      <c r="K17" s="608" t="s">
        <v>521</v>
      </c>
      <c r="L17" s="706">
        <f t="shared" si="1"/>
        <v>603712529.45458031</v>
      </c>
      <c r="M17" s="706">
        <f t="shared" si="2"/>
        <v>350525396.92029697</v>
      </c>
      <c r="N17" s="706">
        <f>INDEX(finPNLCh2Prod2Slot1GPaL,xxIndexTeam)</f>
        <v>350525396.92029697</v>
      </c>
      <c r="O17" s="706">
        <f>INDEX(finPNLCh2Prod2Slot2GPaL,xxIndexTeam)</f>
        <v>0</v>
      </c>
      <c r="P17" s="706">
        <f>INDEX(finPNLCh2Prod2Slot3GPaL,xxIndexTeam)</f>
        <v>0</v>
      </c>
      <c r="Q17" s="706">
        <f t="shared" si="3"/>
        <v>190266800.58770174</v>
      </c>
      <c r="R17" s="706">
        <f>INDEX(finPNLCh2Prod3Slot1GPaL,xxIndexTeam)</f>
        <v>190266800.58770174</v>
      </c>
      <c r="S17" s="706">
        <f>INDEX(finPNLCh2Prod3Slot2GPaL,xxIndexTeam)</f>
        <v>0</v>
      </c>
      <c r="T17" s="706">
        <f>INDEX(finPNLCh2Prod3Slot3GPaL,xxIndexTeam)</f>
        <v>0</v>
      </c>
      <c r="U17" s="706">
        <f t="shared" si="4"/>
        <v>62920331.946581602</v>
      </c>
      <c r="V17" s="706">
        <f>INDEX(finPNLCh2Prod1Slot1GPaL,xxIndexTeam)</f>
        <v>62920331.946581602</v>
      </c>
      <c r="W17" s="706">
        <f>INDEX(finPNLCh2Prod1Slot2GPaL,xxIndexTeam)</f>
        <v>0</v>
      </c>
      <c r="X17" s="706">
        <f>INDEX(finPNLCh2Prod1Slot3GPaL,xxIndexTeam)</f>
        <v>0</v>
      </c>
      <c r="Y17" s="706">
        <f t="shared" si="5"/>
        <v>0</v>
      </c>
      <c r="Z17" s="706">
        <f>INDEX(finPNLCh2Prod4Slot1GPaL,xxIndexTeam)</f>
        <v>0</v>
      </c>
      <c r="AA17" s="706">
        <f>INDEX(finPNLCh2Prod4Slot2GPaL,xxIndexTeam)</f>
        <v>0</v>
      </c>
      <c r="AB17" s="596">
        <f>INDEX(finPNLCh2Prod4Slot3GPaL,xxIndexTeam)</f>
        <v>0</v>
      </c>
      <c r="AC17" s="701"/>
      <c r="AE17" s="731" t="str">
        <f>"Column 2 ("&amp;nmProd3&amp;")"</f>
        <v>Column 2 (Kara)</v>
      </c>
      <c r="AF17" s="720"/>
      <c r="AG17" s="720"/>
      <c r="AH17" s="584"/>
      <c r="AI17" s="554"/>
      <c r="AJ17" s="720"/>
      <c r="AK17" s="720"/>
      <c r="AL17" s="584"/>
      <c r="AM17" s="554"/>
      <c r="AN17" s="720"/>
      <c r="AO17" s="720"/>
      <c r="AP17" s="584"/>
      <c r="AQ17" s="554"/>
      <c r="AR17" s="720"/>
      <c r="AS17" s="720"/>
      <c r="AT17" s="584"/>
    </row>
    <row r="18" spans="4:46" ht="15">
      <c r="D18" s="554"/>
      <c r="E18" s="604" t="str">
        <f t="shared" ref="E18:E56" si="6">INDEX(L18:AB18,,calcCh2VtCode)</f>
        <v/>
      </c>
      <c r="F18" s="720" t="s">
        <v>4797</v>
      </c>
      <c r="G18" s="720"/>
      <c r="H18" s="720"/>
      <c r="I18" s="720"/>
      <c r="J18" s="551" t="s">
        <v>3762</v>
      </c>
      <c r="K18" s="608" t="s">
        <v>1394</v>
      </c>
      <c r="L18" s="703" t="str">
        <f>""</f>
        <v/>
      </c>
      <c r="M18" s="703" t="str">
        <f>""</f>
        <v/>
      </c>
      <c r="N18" s="703" t="str">
        <f>""</f>
        <v/>
      </c>
      <c r="O18" s="703" t="str">
        <f>""</f>
        <v/>
      </c>
      <c r="P18" s="703" t="str">
        <f>""</f>
        <v/>
      </c>
      <c r="Q18" s="703" t="str">
        <f>""</f>
        <v/>
      </c>
      <c r="R18" s="703" t="str">
        <f>""</f>
        <v/>
      </c>
      <c r="S18" s="703" t="str">
        <f>""</f>
        <v/>
      </c>
      <c r="T18" s="703" t="str">
        <f>""</f>
        <v/>
      </c>
      <c r="U18" s="703" t="str">
        <f>""</f>
        <v/>
      </c>
      <c r="V18" s="703" t="str">
        <f>""</f>
        <v/>
      </c>
      <c r="W18" s="703" t="str">
        <f>""</f>
        <v/>
      </c>
      <c r="X18" s="703" t="str">
        <f>""</f>
        <v/>
      </c>
      <c r="Y18" s="703" t="str">
        <f>""</f>
        <v/>
      </c>
      <c r="Z18" s="703" t="str">
        <f>""</f>
        <v/>
      </c>
      <c r="AA18" s="703" t="str">
        <f>""</f>
        <v/>
      </c>
      <c r="AB18" s="550" t="str">
        <f>""</f>
        <v/>
      </c>
      <c r="AC18" s="701"/>
      <c r="AE18" s="554"/>
      <c r="AF18" s="720" t="s">
        <v>1392</v>
      </c>
      <c r="AG18" s="585">
        <f>INDEX(calcCh2Prod3VolForecastProd,,xxIndexTeam)</f>
        <v>96861095.999999985</v>
      </c>
      <c r="AH18" s="584" t="s">
        <v>4852</v>
      </c>
      <c r="AI18" s="554"/>
      <c r="AJ18" s="720"/>
      <c r="AK18" s="720"/>
      <c r="AL18" s="584"/>
      <c r="AM18" s="554"/>
      <c r="AN18" s="720"/>
      <c r="AO18" s="720"/>
      <c r="AP18" s="584"/>
      <c r="AQ18" s="554"/>
      <c r="AR18" s="720"/>
      <c r="AS18" s="720"/>
      <c r="AT18" s="584"/>
    </row>
    <row r="19" spans="4:46" ht="15">
      <c r="D19" s="554"/>
      <c r="E19" s="604" t="str">
        <f t="shared" si="6"/>
        <v/>
      </c>
      <c r="F19" s="720" t="s">
        <v>4798</v>
      </c>
      <c r="G19" s="720"/>
      <c r="H19" s="720"/>
      <c r="I19" s="720"/>
      <c r="J19" s="551" t="s">
        <v>3763</v>
      </c>
      <c r="K19" s="608" t="s">
        <v>1395</v>
      </c>
      <c r="L19" s="703" t="str">
        <f>""</f>
        <v/>
      </c>
      <c r="M19" s="703" t="str">
        <f>""</f>
        <v/>
      </c>
      <c r="N19" s="703" t="str">
        <f>""</f>
        <v/>
      </c>
      <c r="O19" s="703" t="str">
        <f>""</f>
        <v/>
      </c>
      <c r="P19" s="703" t="str">
        <f>""</f>
        <v/>
      </c>
      <c r="Q19" s="703" t="str">
        <f>""</f>
        <v/>
      </c>
      <c r="R19" s="703" t="str">
        <f>""</f>
        <v/>
      </c>
      <c r="S19" s="703" t="str">
        <f>""</f>
        <v/>
      </c>
      <c r="T19" s="703" t="str">
        <f>""</f>
        <v/>
      </c>
      <c r="U19" s="703" t="str">
        <f>""</f>
        <v/>
      </c>
      <c r="V19" s="703" t="str">
        <f>""</f>
        <v/>
      </c>
      <c r="W19" s="703" t="str">
        <f>""</f>
        <v/>
      </c>
      <c r="X19" s="703" t="str">
        <f>""</f>
        <v/>
      </c>
      <c r="Y19" s="703" t="str">
        <f>""</f>
        <v/>
      </c>
      <c r="Z19" s="703" t="str">
        <f>""</f>
        <v/>
      </c>
      <c r="AA19" s="703" t="str">
        <f>""</f>
        <v/>
      </c>
      <c r="AB19" s="550" t="str">
        <f>""</f>
        <v/>
      </c>
      <c r="AC19" s="701"/>
      <c r="AE19" s="554"/>
      <c r="AF19" s="720" t="s">
        <v>1397</v>
      </c>
      <c r="AG19" s="585">
        <f>INDEX(finPNLCh2Prod3Slot1TotalRev,,xxIndexTeam)+INDEX(finPNLCh2Prod3Slot2TotalRev,,xxIndexTeam)+INDEX(finPNLCh2Prod3Slot3TotalRev,,xxIndexTeam)</f>
        <v>435357086.76984644</v>
      </c>
      <c r="AH19" s="584" t="s">
        <v>4853</v>
      </c>
      <c r="AI19" s="554"/>
      <c r="AJ19" s="720"/>
      <c r="AK19" s="720"/>
      <c r="AL19" s="584"/>
      <c r="AM19" s="554"/>
      <c r="AN19" s="720"/>
      <c r="AO19" s="720"/>
      <c r="AP19" s="584"/>
      <c r="AQ19" s="554"/>
      <c r="AR19" s="720"/>
      <c r="AS19" s="720"/>
      <c r="AT19" s="584"/>
    </row>
    <row r="20" spans="4:46" ht="15">
      <c r="D20" s="554"/>
      <c r="E20" s="604" t="str">
        <f t="shared" si="6"/>
        <v/>
      </c>
      <c r="F20" s="720" t="s">
        <v>4799</v>
      </c>
      <c r="G20" s="720"/>
      <c r="H20" s="720"/>
      <c r="I20" s="720"/>
      <c r="J20" s="720"/>
      <c r="K20" s="608" t="s">
        <v>694</v>
      </c>
      <c r="L20" s="703" t="str">
        <f>""</f>
        <v/>
      </c>
      <c r="M20" s="703" t="str">
        <f>""</f>
        <v/>
      </c>
      <c r="N20" s="703" t="str">
        <f>""</f>
        <v/>
      </c>
      <c r="O20" s="703" t="str">
        <f>""</f>
        <v/>
      </c>
      <c r="P20" s="703" t="str">
        <f>""</f>
        <v/>
      </c>
      <c r="Q20" s="703" t="str">
        <f>""</f>
        <v/>
      </c>
      <c r="R20" s="703" t="str">
        <f>""</f>
        <v/>
      </c>
      <c r="S20" s="703" t="str">
        <f>""</f>
        <v/>
      </c>
      <c r="T20" s="703" t="str">
        <f>""</f>
        <v/>
      </c>
      <c r="U20" s="703" t="str">
        <f>""</f>
        <v/>
      </c>
      <c r="V20" s="703" t="str">
        <f>""</f>
        <v/>
      </c>
      <c r="W20" s="703" t="str">
        <f>""</f>
        <v/>
      </c>
      <c r="X20" s="703" t="str">
        <f>""</f>
        <v/>
      </c>
      <c r="Y20" s="703" t="str">
        <f>""</f>
        <v/>
      </c>
      <c r="Z20" s="703" t="str">
        <f>""</f>
        <v/>
      </c>
      <c r="AA20" s="703" t="str">
        <f>""</f>
        <v/>
      </c>
      <c r="AB20" s="550" t="str">
        <f>""</f>
        <v/>
      </c>
      <c r="AC20" s="701"/>
      <c r="AE20" s="554"/>
      <c r="AF20" s="720" t="s">
        <v>521</v>
      </c>
      <c r="AG20" s="585">
        <f>INDEX(finPNLCh2Prod3Slot1GPaL,,xxIndexTeam)+INDEX(finPNLCh2Prod3Slot2GPaL,,xxIndexTeam)+INDEX(finPNLCh2Prod3Slot3GPaL,,xxIndexTeam)</f>
        <v>190266800.58770174</v>
      </c>
      <c r="AH20" s="584" t="s">
        <v>4854</v>
      </c>
      <c r="AI20" s="554"/>
      <c r="AJ20" s="720"/>
      <c r="AK20" s="720"/>
      <c r="AL20" s="584"/>
      <c r="AM20" s="554"/>
      <c r="AN20" s="720"/>
      <c r="AO20" s="720"/>
      <c r="AP20" s="584"/>
      <c r="AQ20" s="554"/>
      <c r="AR20" s="720"/>
      <c r="AS20" s="720"/>
      <c r="AT20" s="584"/>
    </row>
    <row r="21" spans="4:46" ht="15.75" thickBot="1">
      <c r="D21" s="554"/>
      <c r="E21" s="604" t="str">
        <f t="shared" si="6"/>
        <v/>
      </c>
      <c r="F21" s="720" t="s">
        <v>4800</v>
      </c>
      <c r="G21" s="720"/>
      <c r="H21" s="720"/>
      <c r="I21" s="720"/>
      <c r="J21" s="720"/>
      <c r="K21" s="608" t="s">
        <v>1396</v>
      </c>
      <c r="L21" s="703" t="str">
        <f>""</f>
        <v/>
      </c>
      <c r="M21" s="703" t="str">
        <f>""</f>
        <v/>
      </c>
      <c r="N21" s="703" t="str">
        <f>""</f>
        <v/>
      </c>
      <c r="O21" s="703" t="str">
        <f>""</f>
        <v/>
      </c>
      <c r="P21" s="703" t="str">
        <f>""</f>
        <v/>
      </c>
      <c r="Q21" s="703" t="str">
        <f>""</f>
        <v/>
      </c>
      <c r="R21" s="703" t="str">
        <f>""</f>
        <v/>
      </c>
      <c r="S21" s="703" t="str">
        <f>""</f>
        <v/>
      </c>
      <c r="T21" s="703" t="str">
        <f>""</f>
        <v/>
      </c>
      <c r="U21" s="703" t="str">
        <f>""</f>
        <v/>
      </c>
      <c r="V21" s="703" t="str">
        <f>""</f>
        <v/>
      </c>
      <c r="W21" s="703" t="str">
        <f>""</f>
        <v/>
      </c>
      <c r="X21" s="703" t="str">
        <f>""</f>
        <v/>
      </c>
      <c r="Y21" s="703" t="str">
        <f>""</f>
        <v/>
      </c>
      <c r="Z21" s="703" t="str">
        <f>""</f>
        <v/>
      </c>
      <c r="AA21" s="703" t="str">
        <f>""</f>
        <v/>
      </c>
      <c r="AB21" s="550" t="str">
        <f>""</f>
        <v/>
      </c>
      <c r="AC21" s="701"/>
      <c r="AE21" s="546"/>
      <c r="AF21" s="544" t="s">
        <v>517</v>
      </c>
      <c r="AG21" s="732">
        <f>INDEX(calcCh2Prod3CustProfitTot,,xxIndexTeam)</f>
        <v>122044980.95999996</v>
      </c>
      <c r="AH21" s="733" t="s">
        <v>4855</v>
      </c>
      <c r="AI21" s="546"/>
      <c r="AJ21" s="544"/>
      <c r="AK21" s="544"/>
      <c r="AL21" s="733"/>
      <c r="AM21" s="546"/>
      <c r="AN21" s="544"/>
      <c r="AO21" s="544"/>
      <c r="AP21" s="733"/>
      <c r="AQ21" s="546"/>
      <c r="AR21" s="544"/>
      <c r="AS21" s="544"/>
      <c r="AT21" s="733"/>
    </row>
    <row r="22" spans="4:46" ht="15">
      <c r="D22" s="554"/>
      <c r="E22" s="604">
        <f t="shared" si="6"/>
        <v>1</v>
      </c>
      <c r="F22" s="720" t="s">
        <v>4801</v>
      </c>
      <c r="G22" s="720"/>
      <c r="H22" s="720"/>
      <c r="I22" s="720"/>
      <c r="J22" s="720"/>
      <c r="K22" s="608" t="s">
        <v>1397</v>
      </c>
      <c r="L22" s="705">
        <f t="shared" ref="L22:AB30" si="7">IF(L$9=0,0%,L9/L$9)</f>
        <v>1</v>
      </c>
      <c r="M22" s="705">
        <f t="shared" si="7"/>
        <v>1</v>
      </c>
      <c r="N22" s="705">
        <f t="shared" si="7"/>
        <v>1</v>
      </c>
      <c r="O22" s="705">
        <f t="shared" si="7"/>
        <v>0</v>
      </c>
      <c r="P22" s="705">
        <f t="shared" si="7"/>
        <v>0</v>
      </c>
      <c r="Q22" s="705">
        <f t="shared" si="7"/>
        <v>1</v>
      </c>
      <c r="R22" s="705">
        <f t="shared" si="7"/>
        <v>1</v>
      </c>
      <c r="S22" s="705">
        <f t="shared" si="7"/>
        <v>0</v>
      </c>
      <c r="T22" s="705">
        <f t="shared" si="7"/>
        <v>0</v>
      </c>
      <c r="U22" s="705">
        <f t="shared" si="7"/>
        <v>1</v>
      </c>
      <c r="V22" s="705">
        <f t="shared" si="7"/>
        <v>1</v>
      </c>
      <c r="W22" s="705">
        <f t="shared" si="7"/>
        <v>0</v>
      </c>
      <c r="X22" s="705">
        <f t="shared" si="7"/>
        <v>0</v>
      </c>
      <c r="Y22" s="705">
        <f t="shared" si="7"/>
        <v>0</v>
      </c>
      <c r="Z22" s="705">
        <f t="shared" si="7"/>
        <v>0</v>
      </c>
      <c r="AA22" s="705">
        <f t="shared" si="7"/>
        <v>0</v>
      </c>
      <c r="AB22" s="549">
        <f t="shared" si="7"/>
        <v>0</v>
      </c>
      <c r="AC22" s="701"/>
    </row>
    <row r="23" spans="4:46" ht="15.75" thickBot="1">
      <c r="D23" s="554"/>
      <c r="E23" s="604">
        <f t="shared" si="6"/>
        <v>0.27941386847851224</v>
      </c>
      <c r="F23" s="720" t="s">
        <v>4802</v>
      </c>
      <c r="G23" s="720"/>
      <c r="H23" s="720"/>
      <c r="I23" s="720"/>
      <c r="J23" s="720"/>
      <c r="K23" s="608" t="s">
        <v>1398</v>
      </c>
      <c r="L23" s="705">
        <f t="shared" si="7"/>
        <v>0.33253716790983406</v>
      </c>
      <c r="M23" s="705">
        <f t="shared" si="7"/>
        <v>0.31077664963426366</v>
      </c>
      <c r="N23" s="705">
        <f t="shared" si="7"/>
        <v>0.31077664963426366</v>
      </c>
      <c r="O23" s="705">
        <f t="shared" si="7"/>
        <v>0</v>
      </c>
      <c r="P23" s="705">
        <f t="shared" si="7"/>
        <v>0</v>
      </c>
      <c r="Q23" s="705">
        <f t="shared" si="7"/>
        <v>0.38206591693387959</v>
      </c>
      <c r="R23" s="705">
        <f t="shared" si="7"/>
        <v>0.38206591693387959</v>
      </c>
      <c r="S23" s="705">
        <f t="shared" si="7"/>
        <v>0</v>
      </c>
      <c r="T23" s="705">
        <f t="shared" si="7"/>
        <v>0</v>
      </c>
      <c r="U23" s="705">
        <f t="shared" si="7"/>
        <v>0.27941386847851224</v>
      </c>
      <c r="V23" s="705">
        <f t="shared" si="7"/>
        <v>0.27941386847851224</v>
      </c>
      <c r="W23" s="705">
        <f t="shared" si="7"/>
        <v>0</v>
      </c>
      <c r="X23" s="705">
        <f t="shared" si="7"/>
        <v>0</v>
      </c>
      <c r="Y23" s="705">
        <f t="shared" si="7"/>
        <v>0</v>
      </c>
      <c r="Z23" s="705">
        <f t="shared" si="7"/>
        <v>0</v>
      </c>
      <c r="AA23" s="705">
        <f t="shared" si="7"/>
        <v>0</v>
      </c>
      <c r="AB23" s="549">
        <f t="shared" si="7"/>
        <v>0</v>
      </c>
      <c r="AC23" s="701"/>
      <c r="AD23" s="628" t="s">
        <v>6891</v>
      </c>
      <c r="AE23" s="612" t="s">
        <v>1303</v>
      </c>
    </row>
    <row r="24" spans="4:46" ht="15">
      <c r="D24" s="554"/>
      <c r="E24" s="604">
        <f t="shared" si="6"/>
        <v>4.1090274776251802E-2</v>
      </c>
      <c r="F24" s="720" t="s">
        <v>4803</v>
      </c>
      <c r="G24" s="720"/>
      <c r="H24" s="720"/>
      <c r="I24" s="720"/>
      <c r="J24" s="720"/>
      <c r="K24" s="608" t="s">
        <v>575</v>
      </c>
      <c r="L24" s="705">
        <f t="shared" si="7"/>
        <v>4.890252469262265E-2</v>
      </c>
      <c r="M24" s="705">
        <f t="shared" si="7"/>
        <v>4.5702448475627003E-2</v>
      </c>
      <c r="N24" s="705">
        <f t="shared" si="7"/>
        <v>4.5702448475627003E-2</v>
      </c>
      <c r="O24" s="705">
        <f t="shared" si="7"/>
        <v>0</v>
      </c>
      <c r="P24" s="705">
        <f t="shared" si="7"/>
        <v>0</v>
      </c>
      <c r="Q24" s="705">
        <f t="shared" si="7"/>
        <v>5.6186164254982296E-2</v>
      </c>
      <c r="R24" s="705">
        <f t="shared" si="7"/>
        <v>5.6186164254982296E-2</v>
      </c>
      <c r="S24" s="705">
        <f t="shared" si="7"/>
        <v>0</v>
      </c>
      <c r="T24" s="705">
        <f t="shared" si="7"/>
        <v>0</v>
      </c>
      <c r="U24" s="705">
        <f t="shared" si="7"/>
        <v>4.1090274776251802E-2</v>
      </c>
      <c r="V24" s="705">
        <f t="shared" si="7"/>
        <v>4.1090274776251802E-2</v>
      </c>
      <c r="W24" s="705">
        <f t="shared" si="7"/>
        <v>0</v>
      </c>
      <c r="X24" s="705">
        <f t="shared" si="7"/>
        <v>0</v>
      </c>
      <c r="Y24" s="705">
        <f t="shared" si="7"/>
        <v>0</v>
      </c>
      <c r="Z24" s="705">
        <f t="shared" si="7"/>
        <v>0</v>
      </c>
      <c r="AA24" s="705">
        <f t="shared" si="7"/>
        <v>0</v>
      </c>
      <c r="AB24" s="549">
        <f t="shared" si="7"/>
        <v>0</v>
      </c>
      <c r="AC24" s="701"/>
      <c r="AE24" s="555"/>
      <c r="AF24" s="600" t="s">
        <v>1293</v>
      </c>
      <c r="AG24" s="734">
        <f>INDEX(calcCh2ValDriv1Emp1Req,xxIndexTeam)</f>
        <v>1</v>
      </c>
      <c r="AH24" s="561" t="s">
        <v>6892</v>
      </c>
    </row>
    <row r="25" spans="4:46" ht="15">
      <c r="D25" s="554"/>
      <c r="E25" s="604">
        <f t="shared" si="6"/>
        <v>5.7496566206125581E-2</v>
      </c>
      <c r="F25" s="720" t="s">
        <v>4804</v>
      </c>
      <c r="G25" s="720"/>
      <c r="H25" s="720"/>
      <c r="I25" s="720"/>
      <c r="J25" s="720"/>
      <c r="K25" s="608" t="s">
        <v>1399</v>
      </c>
      <c r="L25" s="705">
        <f t="shared" si="7"/>
        <v>5.7661180013086635E-2</v>
      </c>
      <c r="M25" s="705">
        <f t="shared" si="7"/>
        <v>6.7657524002091282E-2</v>
      </c>
      <c r="N25" s="705">
        <f t="shared" si="7"/>
        <v>6.7657524002091282E-2</v>
      </c>
      <c r="O25" s="705">
        <f t="shared" si="7"/>
        <v>0</v>
      </c>
      <c r="P25" s="705">
        <f t="shared" si="7"/>
        <v>0</v>
      </c>
      <c r="Q25" s="705">
        <f t="shared" si="7"/>
        <v>4.1377158514520986E-2</v>
      </c>
      <c r="R25" s="705">
        <f t="shared" si="7"/>
        <v>4.1377158514520986E-2</v>
      </c>
      <c r="S25" s="705">
        <f t="shared" si="7"/>
        <v>0</v>
      </c>
      <c r="T25" s="705">
        <f t="shared" si="7"/>
        <v>0</v>
      </c>
      <c r="U25" s="705">
        <f t="shared" si="7"/>
        <v>5.7496566206125581E-2</v>
      </c>
      <c r="V25" s="705">
        <f t="shared" si="7"/>
        <v>5.7496566206125581E-2</v>
      </c>
      <c r="W25" s="705">
        <f t="shared" si="7"/>
        <v>0</v>
      </c>
      <c r="X25" s="705">
        <f t="shared" si="7"/>
        <v>0</v>
      </c>
      <c r="Y25" s="705">
        <f t="shared" si="7"/>
        <v>0</v>
      </c>
      <c r="Z25" s="705">
        <f t="shared" si="7"/>
        <v>0</v>
      </c>
      <c r="AA25" s="705">
        <f t="shared" si="7"/>
        <v>0</v>
      </c>
      <c r="AB25" s="549">
        <f t="shared" si="7"/>
        <v>0</v>
      </c>
      <c r="AC25" s="701"/>
      <c r="AE25" s="554"/>
      <c r="AF25" s="720"/>
      <c r="AG25" s="585">
        <f>INDEX(calcCh2ValDriv1Exp,xxIndexTeam)</f>
        <v>300000</v>
      </c>
      <c r="AH25" s="584" t="s">
        <v>4841</v>
      </c>
    </row>
    <row r="26" spans="4:46" ht="15">
      <c r="D26" s="554"/>
      <c r="E26" s="604">
        <f t="shared" si="6"/>
        <v>2.5589454194474462E-2</v>
      </c>
      <c r="F26" s="720" t="s">
        <v>4805</v>
      </c>
      <c r="G26" s="720"/>
      <c r="H26" s="720"/>
      <c r="I26" s="720"/>
      <c r="J26" s="720"/>
      <c r="K26" s="608" t="s">
        <v>398</v>
      </c>
      <c r="L26" s="705">
        <f t="shared" si="7"/>
        <v>2.5662717308273408E-2</v>
      </c>
      <c r="M26" s="705">
        <f t="shared" si="7"/>
        <v>3.0111695803820362E-2</v>
      </c>
      <c r="N26" s="705">
        <f t="shared" si="7"/>
        <v>3.0111695803820362E-2</v>
      </c>
      <c r="O26" s="705">
        <f t="shared" si="7"/>
        <v>0</v>
      </c>
      <c r="P26" s="705">
        <f t="shared" si="7"/>
        <v>0</v>
      </c>
      <c r="Q26" s="705">
        <f t="shared" si="7"/>
        <v>1.8415341512899582E-2</v>
      </c>
      <c r="R26" s="705">
        <f t="shared" si="7"/>
        <v>1.8415341512899582E-2</v>
      </c>
      <c r="S26" s="705">
        <f t="shared" si="7"/>
        <v>0</v>
      </c>
      <c r="T26" s="705">
        <f t="shared" si="7"/>
        <v>0</v>
      </c>
      <c r="U26" s="705">
        <f t="shared" si="7"/>
        <v>2.5589454194474462E-2</v>
      </c>
      <c r="V26" s="705">
        <f t="shared" si="7"/>
        <v>2.5589454194474462E-2</v>
      </c>
      <c r="W26" s="705">
        <f t="shared" si="7"/>
        <v>0</v>
      </c>
      <c r="X26" s="705">
        <f t="shared" si="7"/>
        <v>0</v>
      </c>
      <c r="Y26" s="705">
        <f t="shared" si="7"/>
        <v>0</v>
      </c>
      <c r="Z26" s="705">
        <f t="shared" si="7"/>
        <v>0</v>
      </c>
      <c r="AA26" s="705">
        <f t="shared" si="7"/>
        <v>0</v>
      </c>
      <c r="AB26" s="549">
        <f t="shared" si="7"/>
        <v>0</v>
      </c>
      <c r="AC26" s="701"/>
      <c r="AE26" s="554"/>
      <c r="AF26" s="720" t="s">
        <v>1411</v>
      </c>
      <c r="AG26" s="553">
        <f>INDEX(calcCh2ValDriv2Emp1Req,xxIndexTeam)</f>
        <v>1</v>
      </c>
      <c r="AH26" s="584" t="s">
        <v>6893</v>
      </c>
    </row>
    <row r="27" spans="4:46" ht="15">
      <c r="D27" s="554"/>
      <c r="E27" s="604">
        <f t="shared" si="6"/>
        <v>0.4035901636553641</v>
      </c>
      <c r="F27" s="720" t="s">
        <v>4806</v>
      </c>
      <c r="G27" s="720"/>
      <c r="H27" s="720"/>
      <c r="I27" s="720"/>
      <c r="J27" s="720"/>
      <c r="K27" s="608" t="s">
        <v>157</v>
      </c>
      <c r="L27" s="705">
        <f t="shared" si="7"/>
        <v>0.46476358992381672</v>
      </c>
      <c r="M27" s="705">
        <f t="shared" si="7"/>
        <v>0.45424831791580228</v>
      </c>
      <c r="N27" s="705">
        <f t="shared" si="7"/>
        <v>0.45424831791580228</v>
      </c>
      <c r="O27" s="705">
        <f t="shared" si="7"/>
        <v>0</v>
      </c>
      <c r="P27" s="705">
        <f t="shared" si="7"/>
        <v>0</v>
      </c>
      <c r="Q27" s="705">
        <f t="shared" si="7"/>
        <v>0.49804458121628248</v>
      </c>
      <c r="R27" s="705">
        <f t="shared" si="7"/>
        <v>0.49804458121628248</v>
      </c>
      <c r="S27" s="705">
        <f t="shared" si="7"/>
        <v>0</v>
      </c>
      <c r="T27" s="705">
        <f t="shared" si="7"/>
        <v>0</v>
      </c>
      <c r="U27" s="705">
        <f t="shared" si="7"/>
        <v>0.4035901636553641</v>
      </c>
      <c r="V27" s="705">
        <f t="shared" si="7"/>
        <v>0.4035901636553641</v>
      </c>
      <c r="W27" s="705">
        <f t="shared" si="7"/>
        <v>0</v>
      </c>
      <c r="X27" s="705">
        <f t="shared" si="7"/>
        <v>0</v>
      </c>
      <c r="Y27" s="705">
        <f t="shared" si="7"/>
        <v>0</v>
      </c>
      <c r="Z27" s="705">
        <f t="shared" si="7"/>
        <v>0</v>
      </c>
      <c r="AA27" s="705">
        <f t="shared" si="7"/>
        <v>0</v>
      </c>
      <c r="AB27" s="549">
        <f t="shared" si="7"/>
        <v>0</v>
      </c>
      <c r="AC27" s="701"/>
      <c r="AE27" s="554"/>
      <c r="AF27" s="720"/>
      <c r="AG27" s="585">
        <f>INDEX(calcCh2ValDriv2Exp,xxIndexTeam)</f>
        <v>300000</v>
      </c>
      <c r="AH27" s="584" t="s">
        <v>4847</v>
      </c>
    </row>
    <row r="28" spans="4:46" ht="15">
      <c r="D28" s="554"/>
      <c r="E28" s="604">
        <f t="shared" si="6"/>
        <v>0.59640983634463585</v>
      </c>
      <c r="F28" s="720" t="s">
        <v>4807</v>
      </c>
      <c r="G28" s="720"/>
      <c r="H28" s="720"/>
      <c r="I28" s="720"/>
      <c r="J28" s="720"/>
      <c r="K28" s="608" t="s">
        <v>160</v>
      </c>
      <c r="L28" s="705">
        <f t="shared" si="7"/>
        <v>0.53523641007618306</v>
      </c>
      <c r="M28" s="705">
        <f t="shared" si="7"/>
        <v>0.54575168208419766</v>
      </c>
      <c r="N28" s="705">
        <f t="shared" si="7"/>
        <v>0.54575168208419766</v>
      </c>
      <c r="O28" s="705">
        <f t="shared" si="7"/>
        <v>0</v>
      </c>
      <c r="P28" s="705">
        <f t="shared" si="7"/>
        <v>0</v>
      </c>
      <c r="Q28" s="705">
        <f t="shared" si="7"/>
        <v>0.50195541878371752</v>
      </c>
      <c r="R28" s="705">
        <f t="shared" si="7"/>
        <v>0.50195541878371752</v>
      </c>
      <c r="S28" s="705">
        <f t="shared" si="7"/>
        <v>0</v>
      </c>
      <c r="T28" s="705">
        <f t="shared" si="7"/>
        <v>0</v>
      </c>
      <c r="U28" s="705">
        <f t="shared" si="7"/>
        <v>0.59640983634463585</v>
      </c>
      <c r="V28" s="705">
        <f t="shared" si="7"/>
        <v>0.59640983634463585</v>
      </c>
      <c r="W28" s="705">
        <f t="shared" si="7"/>
        <v>0</v>
      </c>
      <c r="X28" s="705">
        <f t="shared" si="7"/>
        <v>0</v>
      </c>
      <c r="Y28" s="705">
        <f t="shared" si="7"/>
        <v>0</v>
      </c>
      <c r="Z28" s="705">
        <f t="shared" si="7"/>
        <v>0</v>
      </c>
      <c r="AA28" s="705">
        <f t="shared" si="7"/>
        <v>0</v>
      </c>
      <c r="AB28" s="549">
        <f t="shared" si="7"/>
        <v>0</v>
      </c>
      <c r="AC28" s="701"/>
      <c r="AE28" s="554"/>
      <c r="AF28" s="720" t="s">
        <v>1294</v>
      </c>
      <c r="AG28" s="553">
        <f>INDEX(calcCh2ValDriv3Emp1Req,xxIndexTeam)</f>
        <v>1</v>
      </c>
      <c r="AH28" s="584" t="s">
        <v>6894</v>
      </c>
    </row>
    <row r="29" spans="4:46" ht="15">
      <c r="D29" s="554"/>
      <c r="E29" s="604">
        <f t="shared" si="6"/>
        <v>4.7476975231045791E-2</v>
      </c>
      <c r="F29" s="720" t="s">
        <v>4808</v>
      </c>
      <c r="G29" s="720"/>
      <c r="H29" s="720"/>
      <c r="I29" s="720"/>
      <c r="J29" s="720"/>
      <c r="K29" s="608" t="s">
        <v>519</v>
      </c>
      <c r="L29" s="705">
        <f t="shared" si="7"/>
        <v>5.650349057556333E-2</v>
      </c>
      <c r="M29" s="705">
        <f t="shared" si="7"/>
        <v>5.2806023471265215E-2</v>
      </c>
      <c r="N29" s="705">
        <f t="shared" si="7"/>
        <v>5.2806023471265215E-2</v>
      </c>
      <c r="O29" s="705">
        <f t="shared" si="7"/>
        <v>0</v>
      </c>
      <c r="P29" s="705">
        <f t="shared" si="7"/>
        <v>0</v>
      </c>
      <c r="Q29" s="705">
        <f t="shared" si="7"/>
        <v>6.4919233156430001E-2</v>
      </c>
      <c r="R29" s="705">
        <f t="shared" si="7"/>
        <v>6.4919233156430001E-2</v>
      </c>
      <c r="S29" s="705">
        <f t="shared" si="7"/>
        <v>0</v>
      </c>
      <c r="T29" s="705">
        <f t="shared" si="7"/>
        <v>0</v>
      </c>
      <c r="U29" s="705">
        <f t="shared" si="7"/>
        <v>4.7476975231045791E-2</v>
      </c>
      <c r="V29" s="705">
        <f t="shared" si="7"/>
        <v>4.7476975231045791E-2</v>
      </c>
      <c r="W29" s="705">
        <f t="shared" si="7"/>
        <v>0</v>
      </c>
      <c r="X29" s="705">
        <f t="shared" si="7"/>
        <v>0</v>
      </c>
      <c r="Y29" s="705">
        <f t="shared" si="7"/>
        <v>0</v>
      </c>
      <c r="Z29" s="705">
        <f t="shared" si="7"/>
        <v>0</v>
      </c>
      <c r="AA29" s="705">
        <f t="shared" si="7"/>
        <v>0</v>
      </c>
      <c r="AB29" s="549">
        <f t="shared" si="7"/>
        <v>0</v>
      </c>
      <c r="AC29" s="701"/>
      <c r="AE29" s="554"/>
      <c r="AF29" s="720"/>
      <c r="AG29" s="585">
        <f>INDEX(calcCh2ValDriv3Exp,xxIndexTeam)</f>
        <v>300000</v>
      </c>
      <c r="AH29" s="584" t="s">
        <v>4856</v>
      </c>
    </row>
    <row r="30" spans="4:46" ht="15">
      <c r="D30" s="554"/>
      <c r="E30" s="604">
        <f t="shared" si="6"/>
        <v>0.54893286111359008</v>
      </c>
      <c r="F30" s="720" t="s">
        <v>4809</v>
      </c>
      <c r="G30" s="720"/>
      <c r="H30" s="720"/>
      <c r="I30" s="720"/>
      <c r="J30" s="720"/>
      <c r="K30" s="608" t="s">
        <v>521</v>
      </c>
      <c r="L30" s="705">
        <f t="shared" si="7"/>
        <v>0.4787329195006198</v>
      </c>
      <c r="M30" s="705">
        <f t="shared" si="7"/>
        <v>0.49294565861293249</v>
      </c>
      <c r="N30" s="705">
        <f t="shared" si="7"/>
        <v>0.49294565861293249</v>
      </c>
      <c r="O30" s="705">
        <f t="shared" si="7"/>
        <v>0</v>
      </c>
      <c r="P30" s="705">
        <f t="shared" si="7"/>
        <v>0</v>
      </c>
      <c r="Q30" s="705">
        <f t="shared" si="7"/>
        <v>0.43703618562728752</v>
      </c>
      <c r="R30" s="705">
        <f t="shared" si="7"/>
        <v>0.43703618562728752</v>
      </c>
      <c r="S30" s="705">
        <f t="shared" si="7"/>
        <v>0</v>
      </c>
      <c r="T30" s="705">
        <f t="shared" si="7"/>
        <v>0</v>
      </c>
      <c r="U30" s="705">
        <f t="shared" si="7"/>
        <v>0.54893286111359008</v>
      </c>
      <c r="V30" s="705">
        <f t="shared" si="7"/>
        <v>0.54893286111359008</v>
      </c>
      <c r="W30" s="705">
        <f t="shared" si="7"/>
        <v>0</v>
      </c>
      <c r="X30" s="705">
        <f t="shared" si="7"/>
        <v>0</v>
      </c>
      <c r="Y30" s="705">
        <f t="shared" si="7"/>
        <v>0</v>
      </c>
      <c r="Z30" s="705">
        <f t="shared" si="7"/>
        <v>0</v>
      </c>
      <c r="AA30" s="705">
        <f t="shared" si="7"/>
        <v>0</v>
      </c>
      <c r="AB30" s="549">
        <f t="shared" si="7"/>
        <v>0</v>
      </c>
      <c r="AC30" s="701"/>
      <c r="AE30" s="554"/>
      <c r="AF30" s="720" t="s">
        <v>5196</v>
      </c>
      <c r="AG30" s="553">
        <f>INDEX(calcCh2ValDriv4Emp1Req,xxIndexTeam)</f>
        <v>1</v>
      </c>
      <c r="AH30" s="584" t="s">
        <v>6895</v>
      </c>
    </row>
    <row r="31" spans="4:46" ht="15">
      <c r="D31" s="554"/>
      <c r="E31" s="548">
        <f t="shared" si="6"/>
        <v>7.9</v>
      </c>
      <c r="F31" s="720" t="s">
        <v>4810</v>
      </c>
      <c r="G31" s="720"/>
      <c r="H31" s="720"/>
      <c r="I31" s="720"/>
      <c r="J31" s="551" t="s">
        <v>3760</v>
      </c>
      <c r="K31" s="608" t="s">
        <v>1394</v>
      </c>
      <c r="L31" s="708">
        <f t="shared" ref="L31:L43" si="8">IF(L5=0,0,L5/INDEX(finCalcCh2VolSold,,xxIndexTeam))</f>
        <v>7.2376000000000005</v>
      </c>
      <c r="M31" s="708">
        <f t="shared" ref="M31:M43" si="9">IF(M5=0,0,M5/INDEX(finCalcCh2Prod2VolSold,,xxIndexTeam))</f>
        <v>7.3</v>
      </c>
      <c r="N31" s="708">
        <f t="shared" ref="N31:N43" si="10">IF(N$5=0,0,N5/INDEX(finCalcCh2Prod2Slot1VolSold,,xxIndexTeam))</f>
        <v>7.3</v>
      </c>
      <c r="O31" s="708">
        <f t="shared" ref="O31:O43" si="11">IF(O$5=0,0,O5/INDEX(finCalcCh2Prod2Slot2VolSold,,xxIndexTeam))</f>
        <v>0</v>
      </c>
      <c r="P31" s="708">
        <f t="shared" ref="P31:P43" si="12">IF(P$5=0,0,P5/INDEX(finCalcCh2Prod2Slot3VolSold,,xxIndexTeam))</f>
        <v>0</v>
      </c>
      <c r="Q31" s="708">
        <f t="shared" ref="Q31:Q43" si="13">IF(Q5=0,0,Q5/INDEX(finCalcCh2Prod3VolSold,,xxIndexTeam))</f>
        <v>7</v>
      </c>
      <c r="R31" s="708">
        <f t="shared" ref="R31:R43" si="14">IF(R$5=0,0,R5/INDEX(finCalcCh2Prod3Slot1VolSold,,xxIndexTeam))</f>
        <v>7</v>
      </c>
      <c r="S31" s="708">
        <f t="shared" ref="S31:S43" si="15">IF(S$5=0,0,S5/INDEX(finCalcCh2Prod3Slot2VolSold,,xxIndexTeam))</f>
        <v>0</v>
      </c>
      <c r="T31" s="708">
        <f t="shared" ref="T31:T43" si="16">IF(T$5=0,0,T5/INDEX(finCalcCh2Prod3Slot3VolSold,,xxIndexTeam))</f>
        <v>0</v>
      </c>
      <c r="U31" s="708">
        <f t="shared" ref="U31:U43" si="17">IF(U5=0,0,U5/INDEX(finCalcCh2Prod1VolSold,,xxIndexTeam))</f>
        <v>7.9</v>
      </c>
      <c r="V31" s="708">
        <f t="shared" ref="V31:V43" si="18">IF(V$5=0,0,V5/INDEX(finCalcCh2Prod1Slot1VolSold,,xxIndexTeam))</f>
        <v>7.9</v>
      </c>
      <c r="W31" s="708">
        <f t="shared" ref="W31:W43" si="19">IF(W$5=0,0,W5/INDEX(finCalcCh2Prod1Slot2VolSold,,xxIndexTeam))</f>
        <v>0</v>
      </c>
      <c r="X31" s="708">
        <f t="shared" ref="X31:X43" si="20">IF(X$5=0,0,X5/INDEX(finCalcCh2Prod1Slot3VolSold,,xxIndexTeam))</f>
        <v>0</v>
      </c>
      <c r="Y31" s="708">
        <f t="shared" ref="Y31:Y43" si="21">IF(Y5=0,0,Y5/INDEX(finCalcCh2Prod4VolSold,,xxIndexTeam))</f>
        <v>0</v>
      </c>
      <c r="Z31" s="708">
        <f t="shared" ref="Z31:Z43" si="22">IF(Z$5=0,0,Z5/INDEX(finCalcCh2Prod4Slot1VolSold,,xxIndexTeam))</f>
        <v>0</v>
      </c>
      <c r="AA31" s="708">
        <f t="shared" ref="AA31:AA43" si="23">IF(AA$5=0,0,AA5/INDEX(finCalcCh2Prod4Slot2VolSold,,xxIndexTeam))</f>
        <v>0</v>
      </c>
      <c r="AB31" s="547">
        <f t="shared" ref="AB31:AB43" si="24">IF(AB$5=0,0,AB5/INDEX(finCalcCh2Prod4Slot3VolSold,,xxIndexTeam))</f>
        <v>0</v>
      </c>
      <c r="AC31" s="701"/>
      <c r="AE31" s="554"/>
      <c r="AF31" s="720"/>
      <c r="AG31" s="585">
        <f>INDEX(calcCh2ValDriv4Exp,xxIndexTeam)</f>
        <v>300000</v>
      </c>
      <c r="AH31" s="584" t="s">
        <v>4862</v>
      </c>
    </row>
    <row r="32" spans="4:46" ht="15">
      <c r="D32" s="554"/>
      <c r="E32" s="548">
        <f t="shared" si="6"/>
        <v>2.4500000000000002</v>
      </c>
      <c r="F32" s="720" t="s">
        <v>4811</v>
      </c>
      <c r="G32" s="720"/>
      <c r="H32" s="720"/>
      <c r="I32" s="720"/>
      <c r="J32" s="551" t="s">
        <v>1400</v>
      </c>
      <c r="K32" s="608" t="s">
        <v>1395</v>
      </c>
      <c r="L32" s="708">
        <f t="shared" si="8"/>
        <v>2.4408000000000003</v>
      </c>
      <c r="M32" s="708">
        <f t="shared" si="9"/>
        <v>2.4</v>
      </c>
      <c r="N32" s="708">
        <f t="shared" si="10"/>
        <v>2.4</v>
      </c>
      <c r="O32" s="708">
        <f t="shared" si="11"/>
        <v>0</v>
      </c>
      <c r="P32" s="708">
        <f t="shared" si="12"/>
        <v>0</v>
      </c>
      <c r="Q32" s="708">
        <f t="shared" si="13"/>
        <v>2.5</v>
      </c>
      <c r="R32" s="708">
        <f t="shared" si="14"/>
        <v>2.5</v>
      </c>
      <c r="S32" s="708">
        <f t="shared" si="15"/>
        <v>0</v>
      </c>
      <c r="T32" s="708">
        <f t="shared" si="16"/>
        <v>0</v>
      </c>
      <c r="U32" s="708">
        <f t="shared" si="17"/>
        <v>2.4500000000000002</v>
      </c>
      <c r="V32" s="708">
        <f t="shared" si="18"/>
        <v>2.4500000000000002</v>
      </c>
      <c r="W32" s="708">
        <f t="shared" si="19"/>
        <v>0</v>
      </c>
      <c r="X32" s="708">
        <f t="shared" si="20"/>
        <v>0</v>
      </c>
      <c r="Y32" s="708">
        <f t="shared" si="21"/>
        <v>0</v>
      </c>
      <c r="Z32" s="708">
        <f t="shared" si="22"/>
        <v>0</v>
      </c>
      <c r="AA32" s="708">
        <f t="shared" si="23"/>
        <v>0</v>
      </c>
      <c r="AB32" s="547">
        <f t="shared" si="24"/>
        <v>0</v>
      </c>
      <c r="AC32" s="701"/>
      <c r="AE32" s="554"/>
      <c r="AF32" s="720" t="s">
        <v>812</v>
      </c>
      <c r="AG32" s="553">
        <f>INDEX(calcCh2ValDriv5Emp1Req,xxIndexTeam)</f>
        <v>1</v>
      </c>
      <c r="AH32" s="584" t="s">
        <v>6896</v>
      </c>
    </row>
    <row r="33" spans="4:38" ht="15">
      <c r="D33" s="554"/>
      <c r="E33" s="548">
        <f t="shared" si="6"/>
        <v>5.45</v>
      </c>
      <c r="F33" s="720" t="s">
        <v>4812</v>
      </c>
      <c r="G33" s="720"/>
      <c r="H33" s="720"/>
      <c r="I33" s="720"/>
      <c r="J33" s="720"/>
      <c r="K33" s="608" t="s">
        <v>694</v>
      </c>
      <c r="L33" s="708">
        <f t="shared" si="8"/>
        <v>4.7968000000000011</v>
      </c>
      <c r="M33" s="708">
        <f t="shared" si="9"/>
        <v>4.9000000000000004</v>
      </c>
      <c r="N33" s="708">
        <f t="shared" si="10"/>
        <v>4.9000000000000004</v>
      </c>
      <c r="O33" s="708">
        <f t="shared" si="11"/>
        <v>0</v>
      </c>
      <c r="P33" s="708">
        <f t="shared" si="12"/>
        <v>0</v>
      </c>
      <c r="Q33" s="708">
        <f t="shared" si="13"/>
        <v>4.4999999999999991</v>
      </c>
      <c r="R33" s="708">
        <f t="shared" si="14"/>
        <v>4.4999999999999991</v>
      </c>
      <c r="S33" s="708">
        <f t="shared" si="15"/>
        <v>0</v>
      </c>
      <c r="T33" s="708">
        <f t="shared" si="16"/>
        <v>0</v>
      </c>
      <c r="U33" s="708">
        <f t="shared" si="17"/>
        <v>5.45</v>
      </c>
      <c r="V33" s="708">
        <f t="shared" si="18"/>
        <v>5.45</v>
      </c>
      <c r="W33" s="708">
        <f t="shared" si="19"/>
        <v>0</v>
      </c>
      <c r="X33" s="708">
        <f t="shared" si="20"/>
        <v>0</v>
      </c>
      <c r="Y33" s="708">
        <f t="shared" si="21"/>
        <v>0</v>
      </c>
      <c r="Z33" s="708">
        <f t="shared" si="22"/>
        <v>0</v>
      </c>
      <c r="AA33" s="708">
        <f t="shared" si="23"/>
        <v>0</v>
      </c>
      <c r="AB33" s="547">
        <f t="shared" si="24"/>
        <v>0</v>
      </c>
      <c r="AC33" s="701"/>
      <c r="AE33" s="554"/>
      <c r="AF33" s="720"/>
      <c r="AG33" s="585">
        <f>INDEX(calcCh2ValDriv5Exp,xxIndexTeam)</f>
        <v>300000</v>
      </c>
      <c r="AH33" s="584" t="s">
        <v>4863</v>
      </c>
    </row>
    <row r="34" spans="4:38" ht="15">
      <c r="D34" s="554"/>
      <c r="E34" s="548">
        <f t="shared" si="6"/>
        <v>6.4749227292938806E-3</v>
      </c>
      <c r="F34" s="720" t="s">
        <v>4813</v>
      </c>
      <c r="G34" s="720"/>
      <c r="H34" s="720"/>
      <c r="I34" s="720"/>
      <c r="J34" s="720"/>
      <c r="K34" s="608" t="s">
        <v>1396</v>
      </c>
      <c r="L34" s="708">
        <f t="shared" si="8"/>
        <v>5.6988824491517225E-3</v>
      </c>
      <c r="M34" s="708">
        <f t="shared" si="9"/>
        <v>5.8214901602825714E-3</v>
      </c>
      <c r="N34" s="708">
        <f t="shared" si="10"/>
        <v>5.8214901602825714E-3</v>
      </c>
      <c r="O34" s="708">
        <f t="shared" si="11"/>
        <v>0</v>
      </c>
      <c r="P34" s="708">
        <f t="shared" si="12"/>
        <v>0</v>
      </c>
      <c r="Q34" s="708">
        <f t="shared" si="13"/>
        <v>5.3462664737288917E-3</v>
      </c>
      <c r="R34" s="708">
        <f t="shared" si="14"/>
        <v>5.3462664737288917E-3</v>
      </c>
      <c r="S34" s="708">
        <f t="shared" si="15"/>
        <v>0</v>
      </c>
      <c r="T34" s="708">
        <f t="shared" si="16"/>
        <v>0</v>
      </c>
      <c r="U34" s="708">
        <f t="shared" si="17"/>
        <v>6.4749227292938806E-3</v>
      </c>
      <c r="V34" s="708">
        <f t="shared" si="18"/>
        <v>6.4749227292938806E-3</v>
      </c>
      <c r="W34" s="708">
        <f t="shared" si="19"/>
        <v>0</v>
      </c>
      <c r="X34" s="708">
        <f t="shared" si="20"/>
        <v>0</v>
      </c>
      <c r="Y34" s="708">
        <f t="shared" si="21"/>
        <v>0</v>
      </c>
      <c r="Z34" s="708">
        <f t="shared" si="22"/>
        <v>0</v>
      </c>
      <c r="AA34" s="708">
        <f t="shared" si="23"/>
        <v>0</v>
      </c>
      <c r="AB34" s="547">
        <f t="shared" si="24"/>
        <v>0</v>
      </c>
      <c r="AC34" s="701"/>
      <c r="AE34" s="554"/>
      <c r="AF34" s="720" t="s">
        <v>14</v>
      </c>
      <c r="AG34" s="585">
        <f>INDEX(calcCh2ValDrivEmp1ReqTot,,xxIndexTeam)</f>
        <v>5</v>
      </c>
      <c r="AH34" s="584" t="s">
        <v>6897</v>
      </c>
    </row>
    <row r="35" spans="4:38" ht="15">
      <c r="D35" s="554"/>
      <c r="E35" s="548">
        <f>INDEX(L35:AB35,,calcCh2VtCode)</f>
        <v>5.4435250772707064</v>
      </c>
      <c r="F35" s="720" t="s">
        <v>4814</v>
      </c>
      <c r="G35" s="720"/>
      <c r="H35" s="720"/>
      <c r="I35" s="720"/>
      <c r="J35" s="720"/>
      <c r="K35" s="608" t="s">
        <v>1397</v>
      </c>
      <c r="L35" s="708">
        <f t="shared" si="8"/>
        <v>4.7911011175508493</v>
      </c>
      <c r="M35" s="708">
        <f t="shared" si="9"/>
        <v>4.8941785098397173</v>
      </c>
      <c r="N35" s="708">
        <f t="shared" si="10"/>
        <v>4.8941785098397173</v>
      </c>
      <c r="O35" s="708">
        <f t="shared" si="11"/>
        <v>0</v>
      </c>
      <c r="P35" s="708">
        <f t="shared" si="12"/>
        <v>0</v>
      </c>
      <c r="Q35" s="708">
        <f t="shared" si="13"/>
        <v>4.4946537335262704</v>
      </c>
      <c r="R35" s="708">
        <f t="shared" si="14"/>
        <v>4.4946537335262704</v>
      </c>
      <c r="S35" s="708">
        <f t="shared" si="15"/>
        <v>0</v>
      </c>
      <c r="T35" s="708">
        <f t="shared" si="16"/>
        <v>0</v>
      </c>
      <c r="U35" s="708">
        <f>IF(U9=0,0,U9/INDEX(finCalcCh2Prod1VolSold,,xxIndexTeam))</f>
        <v>5.4435250772707064</v>
      </c>
      <c r="V35" s="708">
        <f t="shared" si="18"/>
        <v>5.4435250772707064</v>
      </c>
      <c r="W35" s="708">
        <f t="shared" si="19"/>
        <v>0</v>
      </c>
      <c r="X35" s="708">
        <f t="shared" si="20"/>
        <v>0</v>
      </c>
      <c r="Y35" s="708">
        <f t="shared" si="21"/>
        <v>0</v>
      </c>
      <c r="Z35" s="708">
        <f t="shared" si="22"/>
        <v>0</v>
      </c>
      <c r="AA35" s="708">
        <f t="shared" si="23"/>
        <v>0</v>
      </c>
      <c r="AB35" s="547">
        <f t="shared" si="24"/>
        <v>0</v>
      </c>
      <c r="AC35" s="701"/>
      <c r="AE35" s="554"/>
      <c r="AF35" s="720"/>
      <c r="AG35" s="585">
        <f>INDEX(calcCh2ValDrivExpTot,,xxIndexTeam)</f>
        <v>1500000</v>
      </c>
      <c r="AH35" s="584" t="s">
        <v>6475</v>
      </c>
    </row>
    <row r="36" spans="4:38" ht="15">
      <c r="D36" s="554"/>
      <c r="E36" s="548">
        <f t="shared" si="6"/>
        <v>1.5209964000000005</v>
      </c>
      <c r="F36" s="720" t="s">
        <v>4815</v>
      </c>
      <c r="G36" s="720"/>
      <c r="H36" s="720"/>
      <c r="I36" s="720"/>
      <c r="J36" s="720"/>
      <c r="K36" s="608" t="s">
        <v>1398</v>
      </c>
      <c r="L36" s="708">
        <f t="shared" si="8"/>
        <v>1.5932191968000002</v>
      </c>
      <c r="M36" s="708">
        <f t="shared" si="9"/>
        <v>1.5209964000000005</v>
      </c>
      <c r="N36" s="708">
        <f t="shared" si="10"/>
        <v>1.5209964000000005</v>
      </c>
      <c r="O36" s="708">
        <f t="shared" si="11"/>
        <v>0</v>
      </c>
      <c r="P36" s="708">
        <f t="shared" si="12"/>
        <v>0</v>
      </c>
      <c r="Q36" s="708">
        <f t="shared" si="13"/>
        <v>1.7172539999999998</v>
      </c>
      <c r="R36" s="708">
        <f t="shared" si="14"/>
        <v>1.7172539999999998</v>
      </c>
      <c r="S36" s="708">
        <f t="shared" si="15"/>
        <v>0</v>
      </c>
      <c r="T36" s="708">
        <f t="shared" si="16"/>
        <v>0</v>
      </c>
      <c r="U36" s="708">
        <f t="shared" si="17"/>
        <v>1.5209964000000005</v>
      </c>
      <c r="V36" s="708">
        <f t="shared" si="18"/>
        <v>1.5209964000000005</v>
      </c>
      <c r="W36" s="708">
        <f t="shared" si="19"/>
        <v>0</v>
      </c>
      <c r="X36" s="708">
        <f t="shared" si="20"/>
        <v>0</v>
      </c>
      <c r="Y36" s="708">
        <f t="shared" si="21"/>
        <v>0</v>
      </c>
      <c r="Z36" s="708">
        <f t="shared" si="22"/>
        <v>0</v>
      </c>
      <c r="AA36" s="708">
        <f t="shared" si="23"/>
        <v>0</v>
      </c>
      <c r="AB36" s="547">
        <f t="shared" si="24"/>
        <v>0</v>
      </c>
      <c r="AC36" s="701"/>
      <c r="AE36" s="554"/>
      <c r="AF36" s="720" t="s">
        <v>1410</v>
      </c>
      <c r="AG36" s="553">
        <f>INDEX(calcCh2ValDrivCondEmp1Req,xxIndexTeam)</f>
        <v>0</v>
      </c>
      <c r="AH36" s="584" t="s">
        <v>6898</v>
      </c>
    </row>
    <row r="37" spans="4:38" ht="15.75" thickBot="1">
      <c r="D37" s="554"/>
      <c r="E37" s="548">
        <f t="shared" si="6"/>
        <v>0.22367594117647063</v>
      </c>
      <c r="F37" s="720" t="s">
        <v>4816</v>
      </c>
      <c r="G37" s="720"/>
      <c r="H37" s="720"/>
      <c r="I37" s="720"/>
      <c r="J37" s="720"/>
      <c r="K37" s="608" t="s">
        <v>575</v>
      </c>
      <c r="L37" s="708">
        <f t="shared" si="8"/>
        <v>0.23429694070588239</v>
      </c>
      <c r="M37" s="708">
        <f t="shared" si="9"/>
        <v>0.22367594117647063</v>
      </c>
      <c r="N37" s="708">
        <f t="shared" si="10"/>
        <v>0.22367594117647063</v>
      </c>
      <c r="O37" s="708">
        <f t="shared" si="11"/>
        <v>0</v>
      </c>
      <c r="P37" s="708">
        <f t="shared" si="12"/>
        <v>0</v>
      </c>
      <c r="Q37" s="708">
        <f t="shared" si="13"/>
        <v>0.25253735294117646</v>
      </c>
      <c r="R37" s="708">
        <f t="shared" si="14"/>
        <v>0.25253735294117646</v>
      </c>
      <c r="S37" s="708">
        <f t="shared" si="15"/>
        <v>0</v>
      </c>
      <c r="T37" s="708">
        <f t="shared" si="16"/>
        <v>0</v>
      </c>
      <c r="U37" s="708">
        <f t="shared" si="17"/>
        <v>0.22367594117647063</v>
      </c>
      <c r="V37" s="708">
        <f t="shared" si="18"/>
        <v>0.22367594117647063</v>
      </c>
      <c r="W37" s="708">
        <f t="shared" si="19"/>
        <v>0</v>
      </c>
      <c r="X37" s="708">
        <f t="shared" si="20"/>
        <v>0</v>
      </c>
      <c r="Y37" s="708">
        <f t="shared" si="21"/>
        <v>0</v>
      </c>
      <c r="Z37" s="708">
        <f t="shared" si="22"/>
        <v>0</v>
      </c>
      <c r="AA37" s="708">
        <f t="shared" si="23"/>
        <v>0</v>
      </c>
      <c r="AB37" s="547">
        <f t="shared" si="24"/>
        <v>0</v>
      </c>
      <c r="AC37" s="701"/>
      <c r="AE37" s="546"/>
      <c r="AF37" s="544"/>
      <c r="AG37" s="574">
        <f>INDEX(calcCh2ValDrivCondExp,xxIndexTeam)</f>
        <v>150000</v>
      </c>
      <c r="AH37" s="733" t="s">
        <v>4864</v>
      </c>
    </row>
    <row r="38" spans="4:38" ht="15">
      <c r="D38" s="554"/>
      <c r="E38" s="548">
        <f t="shared" si="6"/>
        <v>0.31298400000000004</v>
      </c>
      <c r="F38" s="720" t="s">
        <v>4817</v>
      </c>
      <c r="G38" s="720"/>
      <c r="H38" s="720"/>
      <c r="I38" s="720"/>
      <c r="J38" s="720"/>
      <c r="K38" s="608" t="s">
        <v>1399</v>
      </c>
      <c r="L38" s="708">
        <f t="shared" si="8"/>
        <v>0.27626054400000005</v>
      </c>
      <c r="M38" s="708">
        <f t="shared" si="9"/>
        <v>0.33112800000000003</v>
      </c>
      <c r="N38" s="708">
        <f t="shared" si="10"/>
        <v>0.33112800000000003</v>
      </c>
      <c r="O38" s="708">
        <f t="shared" si="11"/>
        <v>0</v>
      </c>
      <c r="P38" s="708">
        <f t="shared" si="12"/>
        <v>0</v>
      </c>
      <c r="Q38" s="708">
        <f t="shared" si="13"/>
        <v>0.18597600000000006</v>
      </c>
      <c r="R38" s="708">
        <f t="shared" si="14"/>
        <v>0.18597600000000006</v>
      </c>
      <c r="S38" s="708">
        <f t="shared" si="15"/>
        <v>0</v>
      </c>
      <c r="T38" s="708">
        <f t="shared" si="16"/>
        <v>0</v>
      </c>
      <c r="U38" s="708">
        <f t="shared" si="17"/>
        <v>0.31298400000000004</v>
      </c>
      <c r="V38" s="708">
        <f t="shared" si="18"/>
        <v>0.31298400000000004</v>
      </c>
      <c r="W38" s="708">
        <f t="shared" si="19"/>
        <v>0</v>
      </c>
      <c r="X38" s="708">
        <f t="shared" si="20"/>
        <v>0</v>
      </c>
      <c r="Y38" s="708">
        <f t="shared" si="21"/>
        <v>0</v>
      </c>
      <c r="Z38" s="708">
        <f t="shared" si="22"/>
        <v>0</v>
      </c>
      <c r="AA38" s="708">
        <f t="shared" si="23"/>
        <v>0</v>
      </c>
      <c r="AB38" s="547">
        <f t="shared" si="24"/>
        <v>0</v>
      </c>
      <c r="AC38" s="701"/>
    </row>
    <row r="39" spans="4:38" ht="15.75" thickBot="1">
      <c r="D39" s="554"/>
      <c r="E39" s="548">
        <f t="shared" si="6"/>
        <v>0.1392968356212918</v>
      </c>
      <c r="F39" s="720" t="s">
        <v>4818</v>
      </c>
      <c r="G39" s="720"/>
      <c r="H39" s="720"/>
      <c r="I39" s="720"/>
      <c r="J39" s="720"/>
      <c r="K39" s="608" t="s">
        <v>398</v>
      </c>
      <c r="L39" s="708">
        <f t="shared" si="8"/>
        <v>0.12295267357506023</v>
      </c>
      <c r="M39" s="708">
        <f t="shared" si="9"/>
        <v>0.14737201449788842</v>
      </c>
      <c r="N39" s="708">
        <f t="shared" si="10"/>
        <v>0.14737201449788842</v>
      </c>
      <c r="O39" s="708">
        <f t="shared" si="11"/>
        <v>0</v>
      </c>
      <c r="P39" s="708">
        <f t="shared" si="12"/>
        <v>0</v>
      </c>
      <c r="Q39" s="708">
        <f t="shared" si="13"/>
        <v>8.2770583485115429E-2</v>
      </c>
      <c r="R39" s="708">
        <f t="shared" si="14"/>
        <v>8.2770583485115429E-2</v>
      </c>
      <c r="S39" s="708">
        <f t="shared" si="15"/>
        <v>0</v>
      </c>
      <c r="T39" s="708">
        <f t="shared" si="16"/>
        <v>0</v>
      </c>
      <c r="U39" s="708">
        <f t="shared" si="17"/>
        <v>0.1392968356212918</v>
      </c>
      <c r="V39" s="708">
        <f t="shared" si="18"/>
        <v>0.1392968356212918</v>
      </c>
      <c r="W39" s="708">
        <f t="shared" si="19"/>
        <v>0</v>
      </c>
      <c r="X39" s="708">
        <f t="shared" si="20"/>
        <v>0</v>
      </c>
      <c r="Y39" s="708">
        <f t="shared" si="21"/>
        <v>0</v>
      </c>
      <c r="Z39" s="708">
        <f t="shared" si="22"/>
        <v>0</v>
      </c>
      <c r="AA39" s="708">
        <f t="shared" si="23"/>
        <v>0</v>
      </c>
      <c r="AB39" s="547">
        <f t="shared" si="24"/>
        <v>0</v>
      </c>
      <c r="AC39" s="701"/>
      <c r="AD39" s="628" t="s">
        <v>6891</v>
      </c>
      <c r="AE39" s="612" t="s">
        <v>786</v>
      </c>
    </row>
    <row r="40" spans="4:38" ht="15">
      <c r="D40" s="554"/>
      <c r="E40" s="548">
        <f t="shared" si="6"/>
        <v>2.1969531767977628</v>
      </c>
      <c r="F40" s="720" t="s">
        <v>4819</v>
      </c>
      <c r="G40" s="720"/>
      <c r="H40" s="720"/>
      <c r="I40" s="720"/>
      <c r="J40" s="720"/>
      <c r="K40" s="608" t="s">
        <v>157</v>
      </c>
      <c r="L40" s="708">
        <f t="shared" si="8"/>
        <v>2.2267293550809426</v>
      </c>
      <c r="M40" s="708">
        <f t="shared" si="9"/>
        <v>2.2231723556743597</v>
      </c>
      <c r="N40" s="708">
        <f t="shared" si="10"/>
        <v>2.2231723556743597</v>
      </c>
      <c r="O40" s="708">
        <f t="shared" si="11"/>
        <v>0</v>
      </c>
      <c r="P40" s="708">
        <f t="shared" si="12"/>
        <v>0</v>
      </c>
      <c r="Q40" s="708">
        <f t="shared" si="13"/>
        <v>2.2385379364262916</v>
      </c>
      <c r="R40" s="708">
        <f t="shared" si="14"/>
        <v>2.2385379364262916</v>
      </c>
      <c r="S40" s="708">
        <f t="shared" si="15"/>
        <v>0</v>
      </c>
      <c r="T40" s="708">
        <f t="shared" si="16"/>
        <v>0</v>
      </c>
      <c r="U40" s="708">
        <f t="shared" si="17"/>
        <v>2.1969531767977628</v>
      </c>
      <c r="V40" s="708">
        <f t="shared" si="18"/>
        <v>2.1969531767977628</v>
      </c>
      <c r="W40" s="708">
        <f t="shared" si="19"/>
        <v>0</v>
      </c>
      <c r="X40" s="708">
        <f t="shared" si="20"/>
        <v>0</v>
      </c>
      <c r="Y40" s="708">
        <f t="shared" si="21"/>
        <v>0</v>
      </c>
      <c r="Z40" s="708">
        <f t="shared" si="22"/>
        <v>0</v>
      </c>
      <c r="AA40" s="708">
        <f t="shared" si="23"/>
        <v>0</v>
      </c>
      <c r="AB40" s="547">
        <f t="shared" si="24"/>
        <v>0</v>
      </c>
      <c r="AC40" s="701"/>
      <c r="AE40" s="555"/>
      <c r="AF40" s="600" t="s">
        <v>749</v>
      </c>
      <c r="AG40" s="734">
        <f>INDEX(calcCh2MarkPlanEmp1Req,xxIndexTeam)</f>
        <v>0</v>
      </c>
      <c r="AH40" s="561" t="s">
        <v>6899</v>
      </c>
    </row>
    <row r="41" spans="4:38" ht="15.75" thickBot="1">
      <c r="D41" s="554"/>
      <c r="E41" s="548">
        <f t="shared" si="6"/>
        <v>3.2465719004729432</v>
      </c>
      <c r="F41" s="720" t="s">
        <v>4820</v>
      </c>
      <c r="G41" s="720"/>
      <c r="H41" s="720"/>
      <c r="I41" s="720"/>
      <c r="J41" s="720"/>
      <c r="K41" s="608" t="s">
        <v>160</v>
      </c>
      <c r="L41" s="708">
        <f t="shared" si="8"/>
        <v>2.5643717624699054</v>
      </c>
      <c r="M41" s="708">
        <f t="shared" si="9"/>
        <v>2.671006154165358</v>
      </c>
      <c r="N41" s="708">
        <f t="shared" si="10"/>
        <v>2.671006154165358</v>
      </c>
      <c r="O41" s="708">
        <f t="shared" si="11"/>
        <v>0</v>
      </c>
      <c r="P41" s="708">
        <f t="shared" si="12"/>
        <v>0</v>
      </c>
      <c r="Q41" s="708">
        <f t="shared" si="13"/>
        <v>2.2561157970999788</v>
      </c>
      <c r="R41" s="708">
        <f t="shared" si="14"/>
        <v>2.2561157970999788</v>
      </c>
      <c r="S41" s="708">
        <f t="shared" si="15"/>
        <v>0</v>
      </c>
      <c r="T41" s="708">
        <f t="shared" si="16"/>
        <v>0</v>
      </c>
      <c r="U41" s="708">
        <f t="shared" si="17"/>
        <v>3.2465719004729432</v>
      </c>
      <c r="V41" s="708">
        <f t="shared" si="18"/>
        <v>3.2465719004729432</v>
      </c>
      <c r="W41" s="708">
        <f t="shared" si="19"/>
        <v>0</v>
      </c>
      <c r="X41" s="708">
        <f t="shared" si="20"/>
        <v>0</v>
      </c>
      <c r="Y41" s="708">
        <f t="shared" si="21"/>
        <v>0</v>
      </c>
      <c r="Z41" s="708">
        <f t="shared" si="22"/>
        <v>0</v>
      </c>
      <c r="AA41" s="708">
        <f t="shared" si="23"/>
        <v>0</v>
      </c>
      <c r="AB41" s="547">
        <f t="shared" si="24"/>
        <v>0</v>
      </c>
      <c r="AC41" s="701"/>
      <c r="AE41" s="546"/>
      <c r="AF41" s="544" t="s">
        <v>748</v>
      </c>
      <c r="AG41" s="574">
        <f>INDEX(calcCh2MarkPlanExp,xxIndexTeam)</f>
        <v>0</v>
      </c>
      <c r="AH41" s="733" t="s">
        <v>6900</v>
      </c>
    </row>
    <row r="42" spans="4:38" ht="15">
      <c r="D42" s="554"/>
      <c r="E42" s="548">
        <f t="shared" si="6"/>
        <v>0.25844210526315792</v>
      </c>
      <c r="F42" s="720" t="s">
        <v>4821</v>
      </c>
      <c r="G42" s="720"/>
      <c r="H42" s="720"/>
      <c r="I42" s="720"/>
      <c r="J42" s="720"/>
      <c r="K42" s="608" t="s">
        <v>519</v>
      </c>
      <c r="L42" s="708">
        <f t="shared" si="8"/>
        <v>0.27071393684210532</v>
      </c>
      <c r="M42" s="708">
        <f t="shared" si="9"/>
        <v>0.25844210526315792</v>
      </c>
      <c r="N42" s="708">
        <f t="shared" si="10"/>
        <v>0.25844210526315792</v>
      </c>
      <c r="O42" s="708">
        <f t="shared" si="11"/>
        <v>0</v>
      </c>
      <c r="P42" s="708">
        <f t="shared" si="12"/>
        <v>0</v>
      </c>
      <c r="Q42" s="708">
        <f t="shared" si="13"/>
        <v>0.29178947368421054</v>
      </c>
      <c r="R42" s="708">
        <f t="shared" si="14"/>
        <v>0.29178947368421054</v>
      </c>
      <c r="S42" s="708">
        <f t="shared" si="15"/>
        <v>0</v>
      </c>
      <c r="T42" s="708">
        <f t="shared" si="16"/>
        <v>0</v>
      </c>
      <c r="U42" s="708">
        <f t="shared" si="17"/>
        <v>0.25844210526315792</v>
      </c>
      <c r="V42" s="708">
        <f t="shared" si="18"/>
        <v>0.25844210526315792</v>
      </c>
      <c r="W42" s="708">
        <f t="shared" si="19"/>
        <v>0</v>
      </c>
      <c r="X42" s="708">
        <f t="shared" si="20"/>
        <v>0</v>
      </c>
      <c r="Y42" s="708">
        <f t="shared" si="21"/>
        <v>0</v>
      </c>
      <c r="Z42" s="708">
        <f t="shared" si="22"/>
        <v>0</v>
      </c>
      <c r="AA42" s="708">
        <f t="shared" si="23"/>
        <v>0</v>
      </c>
      <c r="AB42" s="547">
        <f t="shared" si="24"/>
        <v>0</v>
      </c>
      <c r="AC42" s="701"/>
    </row>
    <row r="43" spans="4:38" ht="15.75" thickBot="1">
      <c r="D43" s="554"/>
      <c r="E43" s="548">
        <f t="shared" si="6"/>
        <v>2.9881297952097854</v>
      </c>
      <c r="F43" s="720" t="s">
        <v>4822</v>
      </c>
      <c r="G43" s="720"/>
      <c r="H43" s="720"/>
      <c r="I43" s="720"/>
      <c r="J43" s="720"/>
      <c r="K43" s="608" t="s">
        <v>521</v>
      </c>
      <c r="L43" s="708">
        <f t="shared" si="8"/>
        <v>2.2936578256278</v>
      </c>
      <c r="M43" s="708">
        <f t="shared" si="9"/>
        <v>2.4125640489022002</v>
      </c>
      <c r="N43" s="708">
        <f t="shared" si="10"/>
        <v>2.4125640489022002</v>
      </c>
      <c r="O43" s="708">
        <f t="shared" si="11"/>
        <v>0</v>
      </c>
      <c r="P43" s="708">
        <f t="shared" si="12"/>
        <v>0</v>
      </c>
      <c r="Q43" s="708">
        <f t="shared" si="13"/>
        <v>1.9643263234157682</v>
      </c>
      <c r="R43" s="708">
        <f t="shared" si="14"/>
        <v>1.9643263234157682</v>
      </c>
      <c r="S43" s="708">
        <f t="shared" si="15"/>
        <v>0</v>
      </c>
      <c r="T43" s="708">
        <f t="shared" si="16"/>
        <v>0</v>
      </c>
      <c r="U43" s="708">
        <f t="shared" si="17"/>
        <v>2.9881297952097854</v>
      </c>
      <c r="V43" s="708">
        <f t="shared" si="18"/>
        <v>2.9881297952097854</v>
      </c>
      <c r="W43" s="708">
        <f t="shared" si="19"/>
        <v>0</v>
      </c>
      <c r="X43" s="708">
        <f t="shared" si="20"/>
        <v>0</v>
      </c>
      <c r="Y43" s="708">
        <f t="shared" si="21"/>
        <v>0</v>
      </c>
      <c r="Z43" s="708">
        <f t="shared" si="22"/>
        <v>0</v>
      </c>
      <c r="AA43" s="708">
        <f t="shared" si="23"/>
        <v>0</v>
      </c>
      <c r="AB43" s="547">
        <f t="shared" si="24"/>
        <v>0</v>
      </c>
      <c r="AC43" s="701"/>
      <c r="AD43" s="628" t="s">
        <v>6883</v>
      </c>
      <c r="AE43" s="612" t="s">
        <v>6585</v>
      </c>
      <c r="AI43" s="801" t="s">
        <v>10266</v>
      </c>
      <c r="AJ43" s="802"/>
      <c r="AK43" s="802"/>
      <c r="AL43" s="802"/>
    </row>
    <row r="44" spans="4:38" ht="15">
      <c r="D44" s="554"/>
      <c r="E44" s="553" t="str">
        <f t="shared" si="6"/>
        <v/>
      </c>
      <c r="F44" s="720" t="s">
        <v>4823</v>
      </c>
      <c r="G44" s="720"/>
      <c r="H44" s="720"/>
      <c r="I44" s="720"/>
      <c r="J44" s="551" t="s">
        <v>3762</v>
      </c>
      <c r="K44" s="608" t="s">
        <v>1394</v>
      </c>
      <c r="L44" s="703" t="str">
        <f>""</f>
        <v/>
      </c>
      <c r="M44" s="703" t="str">
        <f>""</f>
        <v/>
      </c>
      <c r="N44" s="703" t="str">
        <f>""</f>
        <v/>
      </c>
      <c r="O44" s="703" t="str">
        <f>""</f>
        <v/>
      </c>
      <c r="P44" s="703" t="str">
        <f>""</f>
        <v/>
      </c>
      <c r="Q44" s="703" t="str">
        <f>""</f>
        <v/>
      </c>
      <c r="R44" s="703" t="str">
        <f>""</f>
        <v/>
      </c>
      <c r="S44" s="703" t="str">
        <f>""</f>
        <v/>
      </c>
      <c r="T44" s="703" t="str">
        <f>""</f>
        <v/>
      </c>
      <c r="U44" s="703" t="str">
        <f>""</f>
        <v/>
      </c>
      <c r="V44" s="703" t="str">
        <f>""</f>
        <v/>
      </c>
      <c r="W44" s="703" t="str">
        <f>""</f>
        <v/>
      </c>
      <c r="X44" s="703" t="str">
        <f>""</f>
        <v/>
      </c>
      <c r="Y44" s="703" t="str">
        <f>""</f>
        <v/>
      </c>
      <c r="Z44" s="703" t="str">
        <f>""</f>
        <v/>
      </c>
      <c r="AA44" s="703" t="str">
        <f>""</f>
        <v/>
      </c>
      <c r="AB44" s="550" t="str">
        <f>""</f>
        <v/>
      </c>
      <c r="AC44" s="701"/>
      <c r="AE44" s="555"/>
      <c r="AF44" s="600"/>
      <c r="AG44" s="734">
        <f>INDEX(calcCh2Prod1SlotsNextEmp1Req,,xxIndexTeam)</f>
        <v>6</v>
      </c>
      <c r="AH44" s="561" t="s">
        <v>6901</v>
      </c>
      <c r="AI44" s="555"/>
      <c r="AJ44" s="600"/>
      <c r="AK44" s="734">
        <f>IF(AND(SUM(INDEX(calcCh2Prod1Slot1Active,,xxIndexTeam)+INDEX(calcCh2Prod1Slot2Active,,xxIndexTeam)+INDEX(calcCh2Prod1Slot3Active,,xxIndexTeam))&lt;tlOutputCh2NewSlotAvailGaugeMax,tlOutputCh2NewSlotAvailGaugeValue&gt;0),1,0)</f>
        <v>1</v>
      </c>
      <c r="AL44" s="561" t="s">
        <v>10275</v>
      </c>
    </row>
    <row r="45" spans="4:38" ht="15">
      <c r="D45" s="554"/>
      <c r="E45" s="553" t="str">
        <f t="shared" si="6"/>
        <v/>
      </c>
      <c r="F45" s="720" t="s">
        <v>4824</v>
      </c>
      <c r="G45" s="720"/>
      <c r="H45" s="720"/>
      <c r="I45" s="720"/>
      <c r="J45" s="551" t="s">
        <v>3764</v>
      </c>
      <c r="K45" s="608" t="s">
        <v>1395</v>
      </c>
      <c r="L45" s="703" t="str">
        <f>""</f>
        <v/>
      </c>
      <c r="M45" s="703" t="str">
        <f>""</f>
        <v/>
      </c>
      <c r="N45" s="703" t="str">
        <f>""</f>
        <v/>
      </c>
      <c r="O45" s="703" t="str">
        <f>""</f>
        <v/>
      </c>
      <c r="P45" s="703" t="str">
        <f>""</f>
        <v/>
      </c>
      <c r="Q45" s="703" t="str">
        <f>""</f>
        <v/>
      </c>
      <c r="R45" s="703" t="str">
        <f>""</f>
        <v/>
      </c>
      <c r="S45" s="703" t="str">
        <f>""</f>
        <v/>
      </c>
      <c r="T45" s="703" t="str">
        <f>""</f>
        <v/>
      </c>
      <c r="U45" s="703" t="str">
        <f>""</f>
        <v/>
      </c>
      <c r="V45" s="703" t="str">
        <f>""</f>
        <v/>
      </c>
      <c r="W45" s="703" t="str">
        <f>""</f>
        <v/>
      </c>
      <c r="X45" s="703" t="str">
        <f>""</f>
        <v/>
      </c>
      <c r="Y45" s="703" t="str">
        <f>""</f>
        <v/>
      </c>
      <c r="Z45" s="703" t="str">
        <f>""</f>
        <v/>
      </c>
      <c r="AA45" s="703" t="str">
        <f>""</f>
        <v/>
      </c>
      <c r="AB45" s="550" t="str">
        <f>""</f>
        <v/>
      </c>
      <c r="AC45" s="701"/>
      <c r="AE45" s="554"/>
      <c r="AF45" s="720"/>
      <c r="AG45" s="553">
        <f>INDEX(calcCh2Prod2SlotsNextEmp1Req,,xxIndexTeam)</f>
        <v>6</v>
      </c>
      <c r="AH45" s="584" t="s">
        <v>6902</v>
      </c>
      <c r="AI45" s="554"/>
      <c r="AJ45" s="720"/>
      <c r="AK45" s="553">
        <f>IF((SUM(INDEX(calcCh2Prod1Slot1Active,,xxIndexTeam)+INDEX(calcCh2Prod1Slot2Active,,xxIndexTeam)+INDEX(calcCh2Prod1Slot3Active,,xxIndexTeam)))&gt;(SUM(INDEX(obalCh2Prod1Slot1Active,,xxIndexTeam)+INDEX(obalCh2Prod1Slot2Active,,xxIndexTeam)+INDEX(obalCh2Prod1Slot3Active,,xxIndexTeam))),1,0)</f>
        <v>0</v>
      </c>
      <c r="AL45" s="584" t="s">
        <v>10276</v>
      </c>
    </row>
    <row r="46" spans="4:38" ht="15">
      <c r="D46" s="554"/>
      <c r="E46" s="553" t="str">
        <f t="shared" si="6"/>
        <v/>
      </c>
      <c r="F46" s="720" t="s">
        <v>4825</v>
      </c>
      <c r="G46" s="720"/>
      <c r="H46" s="720"/>
      <c r="I46" s="720"/>
      <c r="J46" s="720"/>
      <c r="K46" s="608" t="s">
        <v>694</v>
      </c>
      <c r="L46" s="703" t="str">
        <f>""</f>
        <v/>
      </c>
      <c r="M46" s="703" t="str">
        <f>""</f>
        <v/>
      </c>
      <c r="N46" s="703" t="str">
        <f>""</f>
        <v/>
      </c>
      <c r="O46" s="703" t="str">
        <f>""</f>
        <v/>
      </c>
      <c r="P46" s="703" t="str">
        <f>""</f>
        <v/>
      </c>
      <c r="Q46" s="703" t="str">
        <f>""</f>
        <v/>
      </c>
      <c r="R46" s="703" t="str">
        <f>""</f>
        <v/>
      </c>
      <c r="S46" s="703" t="str">
        <f>""</f>
        <v/>
      </c>
      <c r="T46" s="703" t="str">
        <f>""</f>
        <v/>
      </c>
      <c r="U46" s="703" t="str">
        <f>""</f>
        <v/>
      </c>
      <c r="V46" s="703" t="str">
        <f>""</f>
        <v/>
      </c>
      <c r="W46" s="703" t="str">
        <f>""</f>
        <v/>
      </c>
      <c r="X46" s="703" t="str">
        <f>""</f>
        <v/>
      </c>
      <c r="Y46" s="703" t="str">
        <f>""</f>
        <v/>
      </c>
      <c r="Z46" s="703" t="str">
        <f>""</f>
        <v/>
      </c>
      <c r="AA46" s="703" t="str">
        <f>""</f>
        <v/>
      </c>
      <c r="AB46" s="550" t="str">
        <f>""</f>
        <v/>
      </c>
      <c r="AC46" s="701"/>
      <c r="AE46" s="554"/>
      <c r="AF46" s="720"/>
      <c r="AG46" s="553">
        <f>INDEX(calcCh2Prod3SlotsNextEmp1Req,,xxIndexTeam)</f>
        <v>6</v>
      </c>
      <c r="AH46" s="584" t="s">
        <v>6903</v>
      </c>
      <c r="AI46" s="554"/>
      <c r="AJ46" s="720"/>
      <c r="AK46" s="553">
        <f>IF(AND(SUM(INDEX(calcCh2Prod2Slot1Active,,xxIndexTeam)+INDEX(calcCh2Prod2Slot2Active,,xxIndexTeam)+INDEX(calcCh2Prod2Slot3Active,,xxIndexTeam))&lt;tlOutputCh2NewSlotAvailGaugeMax,tlOutputCh2NewSlotAvailGaugeValue&gt;0),1,0)</f>
        <v>1</v>
      </c>
      <c r="AL46" s="584" t="s">
        <v>10277</v>
      </c>
    </row>
    <row r="47" spans="4:38" ht="15">
      <c r="D47" s="554"/>
      <c r="E47" s="553" t="str">
        <f t="shared" si="6"/>
        <v/>
      </c>
      <c r="F47" s="720" t="s">
        <v>4826</v>
      </c>
      <c r="G47" s="720"/>
      <c r="H47" s="720"/>
      <c r="I47" s="720"/>
      <c r="J47" s="720"/>
      <c r="K47" s="608" t="s">
        <v>1396</v>
      </c>
      <c r="L47" s="703" t="str">
        <f>""</f>
        <v/>
      </c>
      <c r="M47" s="703" t="str">
        <f>""</f>
        <v/>
      </c>
      <c r="N47" s="703" t="str">
        <f>""</f>
        <v/>
      </c>
      <c r="O47" s="703" t="str">
        <f>""</f>
        <v/>
      </c>
      <c r="P47" s="703" t="str">
        <f>""</f>
        <v/>
      </c>
      <c r="Q47" s="703" t="str">
        <f>""</f>
        <v/>
      </c>
      <c r="R47" s="703" t="str">
        <f>""</f>
        <v/>
      </c>
      <c r="S47" s="703" t="str">
        <f>""</f>
        <v/>
      </c>
      <c r="T47" s="703" t="str">
        <f>""</f>
        <v/>
      </c>
      <c r="U47" s="703" t="str">
        <f>""</f>
        <v/>
      </c>
      <c r="V47" s="703" t="str">
        <f>""</f>
        <v/>
      </c>
      <c r="W47" s="703" t="str">
        <f>""</f>
        <v/>
      </c>
      <c r="X47" s="703" t="str">
        <f>""</f>
        <v/>
      </c>
      <c r="Y47" s="703" t="str">
        <f>""</f>
        <v/>
      </c>
      <c r="Z47" s="703" t="str">
        <f>""</f>
        <v/>
      </c>
      <c r="AA47" s="703" t="str">
        <f>""</f>
        <v/>
      </c>
      <c r="AB47" s="550" t="str">
        <f>""</f>
        <v/>
      </c>
      <c r="AC47" s="701"/>
      <c r="AE47" s="554"/>
      <c r="AF47" s="720"/>
      <c r="AG47" s="553">
        <f>INDEX(calcCh2Prod4SlotsNextEmp1Req,,xxIndexTeam)</f>
        <v>8</v>
      </c>
      <c r="AH47" s="584" t="s">
        <v>6904</v>
      </c>
      <c r="AI47" s="554"/>
      <c r="AJ47" s="720"/>
      <c r="AK47" s="553">
        <f>IF((SUM(INDEX(calcCh2Prod2Slot1Active,,xxIndexTeam)+INDEX(calcCh2Prod2Slot2Active,,xxIndexTeam)+INDEX(calcCh2Prod2Slot3Active,,xxIndexTeam)))&gt;(SUM(INDEX(obalCh2Prod2Slot1Active,,xxIndexTeam)+INDEX(obalCh2Prod2Slot2Active,,xxIndexTeam)+INDEX(obalCh2Prod2Slot3Active,,xxIndexTeam))),1,0)</f>
        <v>0</v>
      </c>
      <c r="AL47" s="584" t="s">
        <v>10278</v>
      </c>
    </row>
    <row r="48" spans="4:38" ht="15">
      <c r="D48" s="554"/>
      <c r="E48" s="604">
        <f t="shared" si="6"/>
        <v>1</v>
      </c>
      <c r="F48" s="720" t="s">
        <v>4827</v>
      </c>
      <c r="G48" s="720"/>
      <c r="H48" s="720"/>
      <c r="I48" s="720"/>
      <c r="J48" s="720"/>
      <c r="K48" s="608" t="s">
        <v>1397</v>
      </c>
      <c r="L48" s="705">
        <f t="shared" ref="L48:AB56" si="25">IF(L$35=0,0%,L35/L$35)</f>
        <v>1</v>
      </c>
      <c r="M48" s="705">
        <f t="shared" si="25"/>
        <v>1</v>
      </c>
      <c r="N48" s="705">
        <f t="shared" si="25"/>
        <v>1</v>
      </c>
      <c r="O48" s="705">
        <f t="shared" si="25"/>
        <v>0</v>
      </c>
      <c r="P48" s="705">
        <f t="shared" si="25"/>
        <v>0</v>
      </c>
      <c r="Q48" s="705">
        <f t="shared" si="25"/>
        <v>1</v>
      </c>
      <c r="R48" s="705">
        <f t="shared" si="25"/>
        <v>1</v>
      </c>
      <c r="S48" s="705">
        <f t="shared" si="25"/>
        <v>0</v>
      </c>
      <c r="T48" s="705">
        <f t="shared" si="25"/>
        <v>0</v>
      </c>
      <c r="U48" s="705">
        <f t="shared" si="25"/>
        <v>1</v>
      </c>
      <c r="V48" s="705">
        <f t="shared" si="25"/>
        <v>1</v>
      </c>
      <c r="W48" s="705">
        <f t="shared" si="25"/>
        <v>0</v>
      </c>
      <c r="X48" s="705">
        <f t="shared" si="25"/>
        <v>0</v>
      </c>
      <c r="Y48" s="705">
        <f t="shared" si="25"/>
        <v>0</v>
      </c>
      <c r="Z48" s="705">
        <f t="shared" si="25"/>
        <v>0</v>
      </c>
      <c r="AA48" s="705">
        <f t="shared" si="25"/>
        <v>0</v>
      </c>
      <c r="AB48" s="549">
        <f t="shared" si="25"/>
        <v>0</v>
      </c>
      <c r="AC48" s="701"/>
      <c r="AE48" s="554"/>
      <c r="AF48" s="720"/>
      <c r="AG48" s="585">
        <f>INDEX(calcCh2Prod1SlotsNextExp,,xxIndexTeam)</f>
        <v>9000000</v>
      </c>
      <c r="AH48" s="584" t="s">
        <v>4848</v>
      </c>
      <c r="AI48" s="554"/>
      <c r="AJ48" s="720"/>
      <c r="AK48" s="585">
        <f>IF(AND(SUM(INDEX(calcCh2Prod3Slot1Active,,xxIndexTeam)+INDEX(calcCh2Prod3Slot2Active,,xxIndexTeam)+INDEX(calcCh2Prod3Slot3Active,,xxIndexTeam))&lt;tlOutputCh2NewSlotAvailGaugeMax,tlOutputCh2NewSlotAvailGaugeValue&gt;0),1,0)</f>
        <v>1</v>
      </c>
      <c r="AL48" s="584" t="s">
        <v>10279</v>
      </c>
    </row>
    <row r="49" spans="4:38" ht="15">
      <c r="D49" s="554"/>
      <c r="E49" s="604">
        <f t="shared" si="6"/>
        <v>0.27941386847851224</v>
      </c>
      <c r="F49" s="720" t="s">
        <v>4828</v>
      </c>
      <c r="G49" s="720"/>
      <c r="H49" s="720"/>
      <c r="I49" s="720"/>
      <c r="J49" s="720"/>
      <c r="K49" s="608" t="s">
        <v>1398</v>
      </c>
      <c r="L49" s="705">
        <f t="shared" si="25"/>
        <v>0.33253716790983401</v>
      </c>
      <c r="M49" s="705">
        <f t="shared" si="25"/>
        <v>0.31077664963426366</v>
      </c>
      <c r="N49" s="705">
        <f t="shared" si="25"/>
        <v>0.31077664963426366</v>
      </c>
      <c r="O49" s="705">
        <f t="shared" si="25"/>
        <v>0</v>
      </c>
      <c r="P49" s="705">
        <f t="shared" si="25"/>
        <v>0</v>
      </c>
      <c r="Q49" s="705">
        <f t="shared" si="25"/>
        <v>0.38206591693387959</v>
      </c>
      <c r="R49" s="705">
        <f t="shared" si="25"/>
        <v>0.38206591693387959</v>
      </c>
      <c r="S49" s="705">
        <f t="shared" si="25"/>
        <v>0</v>
      </c>
      <c r="T49" s="705">
        <f t="shared" si="25"/>
        <v>0</v>
      </c>
      <c r="U49" s="705">
        <f t="shared" si="25"/>
        <v>0.27941386847851224</v>
      </c>
      <c r="V49" s="705">
        <f t="shared" si="25"/>
        <v>0.27941386847851224</v>
      </c>
      <c r="W49" s="705">
        <f t="shared" si="25"/>
        <v>0</v>
      </c>
      <c r="X49" s="705">
        <f t="shared" si="25"/>
        <v>0</v>
      </c>
      <c r="Y49" s="705">
        <f t="shared" si="25"/>
        <v>0</v>
      </c>
      <c r="Z49" s="705">
        <f t="shared" si="25"/>
        <v>0</v>
      </c>
      <c r="AA49" s="705">
        <f t="shared" si="25"/>
        <v>0</v>
      </c>
      <c r="AB49" s="549">
        <f t="shared" si="25"/>
        <v>0</v>
      </c>
      <c r="AC49" s="701"/>
      <c r="AE49" s="554"/>
      <c r="AF49" s="720"/>
      <c r="AG49" s="585">
        <f>INDEX(calcCh2Prod2SlotsNextExp,,xxIndexTeam)</f>
        <v>9000000</v>
      </c>
      <c r="AH49" s="584" t="s">
        <v>4849</v>
      </c>
      <c r="AI49" s="554"/>
      <c r="AJ49" s="720"/>
      <c r="AK49" s="553">
        <f>IF((SUM(INDEX(calcCh2Prod3Slot1Active,,xxIndexTeam)+INDEX(calcCh2Prod3Slot2Active,,xxIndexTeam)+INDEX(calcCh2Prod3Slot3Active,,xxIndexTeam)))&gt;(SUM(INDEX(obalCh2Prod3Slot1Active,,xxIndexTeam)+INDEX(obalCh2Prod3Slot2Active,,xxIndexTeam)+INDEX(obalCh2Prod3Slot3Active,,xxIndexTeam))),1,0)</f>
        <v>0</v>
      </c>
      <c r="AL49" s="584" t="s">
        <v>10280</v>
      </c>
    </row>
    <row r="50" spans="4:38" ht="15">
      <c r="D50" s="554"/>
      <c r="E50" s="604">
        <f t="shared" si="6"/>
        <v>4.1090274776251802E-2</v>
      </c>
      <c r="F50" s="720" t="s">
        <v>4829</v>
      </c>
      <c r="G50" s="720"/>
      <c r="H50" s="720"/>
      <c r="I50" s="720"/>
      <c r="J50" s="720"/>
      <c r="K50" s="608" t="s">
        <v>575</v>
      </c>
      <c r="L50" s="705">
        <f t="shared" si="25"/>
        <v>4.890252469262265E-2</v>
      </c>
      <c r="M50" s="705">
        <f t="shared" si="25"/>
        <v>4.5702448475627003E-2</v>
      </c>
      <c r="N50" s="705">
        <f t="shared" si="25"/>
        <v>4.5702448475627003E-2</v>
      </c>
      <c r="O50" s="705">
        <f t="shared" si="25"/>
        <v>0</v>
      </c>
      <c r="P50" s="705">
        <f t="shared" si="25"/>
        <v>0</v>
      </c>
      <c r="Q50" s="705">
        <f t="shared" si="25"/>
        <v>5.6186164254982296E-2</v>
      </c>
      <c r="R50" s="705">
        <f t="shared" si="25"/>
        <v>5.6186164254982296E-2</v>
      </c>
      <c r="S50" s="705">
        <f t="shared" si="25"/>
        <v>0</v>
      </c>
      <c r="T50" s="705">
        <f t="shared" si="25"/>
        <v>0</v>
      </c>
      <c r="U50" s="705">
        <f t="shared" si="25"/>
        <v>4.1090274776251802E-2</v>
      </c>
      <c r="V50" s="705">
        <f t="shared" si="25"/>
        <v>4.1090274776251802E-2</v>
      </c>
      <c r="W50" s="705">
        <f t="shared" si="25"/>
        <v>0</v>
      </c>
      <c r="X50" s="705">
        <f t="shared" si="25"/>
        <v>0</v>
      </c>
      <c r="Y50" s="705">
        <f t="shared" si="25"/>
        <v>0</v>
      </c>
      <c r="Z50" s="705">
        <f t="shared" si="25"/>
        <v>0</v>
      </c>
      <c r="AA50" s="705">
        <f t="shared" si="25"/>
        <v>0</v>
      </c>
      <c r="AB50" s="549">
        <f t="shared" si="25"/>
        <v>0</v>
      </c>
      <c r="AC50" s="701"/>
      <c r="AE50" s="554"/>
      <c r="AF50" s="720"/>
      <c r="AG50" s="585">
        <f>INDEX(calcCh2Prod3SlotsNextExp,,xxIndexTeam)</f>
        <v>9000000</v>
      </c>
      <c r="AH50" s="584" t="s">
        <v>4850</v>
      </c>
      <c r="AI50" s="554"/>
      <c r="AJ50" s="720"/>
      <c r="AK50" s="585">
        <f>IF(AND(SUM(INDEX(calcCh2Prod4Slot1Active,,xxIndexTeam)+INDEX(calcCh2Prod4Slot2Active,,xxIndexTeam)+INDEX(calcCh2Prod4Slot3Active,,xxIndexTeam))&lt;tlOutputCh2NewSlotAvailGaugeMax,tlOutputCh2NewSlotAvailGaugeValue&gt;0),1,0)</f>
        <v>1</v>
      </c>
      <c r="AL50" s="584" t="s">
        <v>10281</v>
      </c>
    </row>
    <row r="51" spans="4:38" ht="15.75" thickBot="1">
      <c r="D51" s="554"/>
      <c r="E51" s="604">
        <f t="shared" si="6"/>
        <v>5.7496566206125581E-2</v>
      </c>
      <c r="F51" s="720" t="s">
        <v>4830</v>
      </c>
      <c r="G51" s="720"/>
      <c r="H51" s="720"/>
      <c r="I51" s="720"/>
      <c r="J51" s="720"/>
      <c r="K51" s="608" t="s">
        <v>1399</v>
      </c>
      <c r="L51" s="705">
        <f t="shared" si="25"/>
        <v>5.7661180013086628E-2</v>
      </c>
      <c r="M51" s="705">
        <f t="shared" si="25"/>
        <v>6.7657524002091282E-2</v>
      </c>
      <c r="N51" s="705">
        <f t="shared" si="25"/>
        <v>6.7657524002091282E-2</v>
      </c>
      <c r="O51" s="705">
        <f t="shared" si="25"/>
        <v>0</v>
      </c>
      <c r="P51" s="705">
        <f t="shared" si="25"/>
        <v>0</v>
      </c>
      <c r="Q51" s="705">
        <f t="shared" si="25"/>
        <v>4.1377158514520986E-2</v>
      </c>
      <c r="R51" s="705">
        <f t="shared" si="25"/>
        <v>4.1377158514520986E-2</v>
      </c>
      <c r="S51" s="705">
        <f t="shared" si="25"/>
        <v>0</v>
      </c>
      <c r="T51" s="705">
        <f t="shared" si="25"/>
        <v>0</v>
      </c>
      <c r="U51" s="705">
        <f t="shared" si="25"/>
        <v>5.7496566206125581E-2</v>
      </c>
      <c r="V51" s="705">
        <f t="shared" si="25"/>
        <v>5.7496566206125581E-2</v>
      </c>
      <c r="W51" s="705">
        <f t="shared" si="25"/>
        <v>0</v>
      </c>
      <c r="X51" s="705">
        <f t="shared" si="25"/>
        <v>0</v>
      </c>
      <c r="Y51" s="705">
        <f t="shared" si="25"/>
        <v>0</v>
      </c>
      <c r="Z51" s="705">
        <f t="shared" si="25"/>
        <v>0</v>
      </c>
      <c r="AA51" s="705">
        <f t="shared" si="25"/>
        <v>0</v>
      </c>
      <c r="AB51" s="549">
        <f t="shared" si="25"/>
        <v>0</v>
      </c>
      <c r="AC51" s="701"/>
      <c r="AE51" s="546"/>
      <c r="AF51" s="544"/>
      <c r="AG51" s="574">
        <f>INDEX(calcCh2Prod4SlotsNextExp,,xxIndexTeam)</f>
        <v>15000000</v>
      </c>
      <c r="AH51" s="733" t="s">
        <v>4851</v>
      </c>
      <c r="AI51" s="546"/>
      <c r="AJ51" s="544"/>
      <c r="AK51" s="574">
        <f>IF((SUM(INDEX(calcCh2Prod4Slot1Active,,xxIndexTeam)+INDEX(calcCh2Prod4Slot2Active,,xxIndexTeam)+INDEX(calcCh2Prod4Slot3Active,,xxIndexTeam)))&gt;(SUM(INDEX(obalCh2Prod4Slot1Active,,xxIndexTeam)+INDEX(obalCh2Prod4Slot2Active,,xxIndexTeam)+INDEX(obalCh2Prod4Slot3Active,,xxIndexTeam))),1,0)</f>
        <v>0</v>
      </c>
      <c r="AL51" s="733" t="s">
        <v>10282</v>
      </c>
    </row>
    <row r="52" spans="4:38" ht="15">
      <c r="D52" s="554"/>
      <c r="E52" s="604">
        <f t="shared" si="6"/>
        <v>2.5589454194474462E-2</v>
      </c>
      <c r="F52" s="720" t="s">
        <v>4831</v>
      </c>
      <c r="G52" s="720"/>
      <c r="H52" s="720"/>
      <c r="I52" s="720"/>
      <c r="J52" s="720"/>
      <c r="K52" s="608" t="s">
        <v>398</v>
      </c>
      <c r="L52" s="705">
        <f t="shared" si="25"/>
        <v>2.5662717308273405E-2</v>
      </c>
      <c r="M52" s="705">
        <f t="shared" si="25"/>
        <v>3.0111695803820365E-2</v>
      </c>
      <c r="N52" s="705">
        <f t="shared" si="25"/>
        <v>3.0111695803820365E-2</v>
      </c>
      <c r="O52" s="705">
        <f t="shared" si="25"/>
        <v>0</v>
      </c>
      <c r="P52" s="705">
        <f t="shared" si="25"/>
        <v>0</v>
      </c>
      <c r="Q52" s="705">
        <f t="shared" si="25"/>
        <v>1.8415341512899582E-2</v>
      </c>
      <c r="R52" s="705">
        <f t="shared" si="25"/>
        <v>1.8415341512899582E-2</v>
      </c>
      <c r="S52" s="705">
        <f t="shared" si="25"/>
        <v>0</v>
      </c>
      <c r="T52" s="705">
        <f t="shared" si="25"/>
        <v>0</v>
      </c>
      <c r="U52" s="705">
        <f t="shared" si="25"/>
        <v>2.5589454194474462E-2</v>
      </c>
      <c r="V52" s="705">
        <f t="shared" si="25"/>
        <v>2.5589454194474462E-2</v>
      </c>
      <c r="W52" s="705">
        <f t="shared" si="25"/>
        <v>0</v>
      </c>
      <c r="X52" s="705">
        <f t="shared" si="25"/>
        <v>0</v>
      </c>
      <c r="Y52" s="705">
        <f t="shared" si="25"/>
        <v>0</v>
      </c>
      <c r="Z52" s="705">
        <f t="shared" si="25"/>
        <v>0</v>
      </c>
      <c r="AA52" s="705">
        <f t="shared" si="25"/>
        <v>0</v>
      </c>
      <c r="AB52" s="549">
        <f t="shared" si="25"/>
        <v>0</v>
      </c>
      <c r="AC52" s="701"/>
    </row>
    <row r="53" spans="4:38" ht="15.75" thickBot="1">
      <c r="D53" s="554"/>
      <c r="E53" s="604">
        <f t="shared" si="6"/>
        <v>0.4035901636553641</v>
      </c>
      <c r="F53" s="720" t="s">
        <v>4832</v>
      </c>
      <c r="G53" s="720"/>
      <c r="H53" s="720"/>
      <c r="I53" s="720"/>
      <c r="J53" s="720"/>
      <c r="K53" s="608" t="s">
        <v>157</v>
      </c>
      <c r="L53" s="705">
        <f t="shared" si="25"/>
        <v>0.46476358992381667</v>
      </c>
      <c r="M53" s="705">
        <f t="shared" si="25"/>
        <v>0.45424831791580234</v>
      </c>
      <c r="N53" s="705">
        <f t="shared" si="25"/>
        <v>0.45424831791580234</v>
      </c>
      <c r="O53" s="705">
        <f t="shared" si="25"/>
        <v>0</v>
      </c>
      <c r="P53" s="705">
        <f t="shared" si="25"/>
        <v>0</v>
      </c>
      <c r="Q53" s="705">
        <f t="shared" si="25"/>
        <v>0.49804458121628242</v>
      </c>
      <c r="R53" s="705">
        <f t="shared" si="25"/>
        <v>0.49804458121628242</v>
      </c>
      <c r="S53" s="705">
        <f t="shared" si="25"/>
        <v>0</v>
      </c>
      <c r="T53" s="705">
        <f t="shared" si="25"/>
        <v>0</v>
      </c>
      <c r="U53" s="705">
        <f t="shared" si="25"/>
        <v>0.4035901636553641</v>
      </c>
      <c r="V53" s="705">
        <f t="shared" si="25"/>
        <v>0.4035901636553641</v>
      </c>
      <c r="W53" s="705">
        <f t="shared" si="25"/>
        <v>0</v>
      </c>
      <c r="X53" s="705">
        <f t="shared" si="25"/>
        <v>0</v>
      </c>
      <c r="Y53" s="705">
        <f t="shared" si="25"/>
        <v>0</v>
      </c>
      <c r="Z53" s="705">
        <f t="shared" si="25"/>
        <v>0</v>
      </c>
      <c r="AA53" s="705">
        <f t="shared" si="25"/>
        <v>0</v>
      </c>
      <c r="AB53" s="549">
        <f t="shared" si="25"/>
        <v>0</v>
      </c>
      <c r="AC53" s="701"/>
      <c r="AD53" s="628" t="s">
        <v>6883</v>
      </c>
      <c r="AE53" s="612" t="s">
        <v>6600</v>
      </c>
    </row>
    <row r="54" spans="4:38" ht="15">
      <c r="D54" s="554"/>
      <c r="E54" s="604">
        <f t="shared" si="6"/>
        <v>0.59640983634463585</v>
      </c>
      <c r="F54" s="720" t="s">
        <v>4833</v>
      </c>
      <c r="G54" s="720"/>
      <c r="H54" s="720"/>
      <c r="I54" s="720"/>
      <c r="J54" s="720"/>
      <c r="K54" s="608" t="s">
        <v>160</v>
      </c>
      <c r="L54" s="705">
        <f t="shared" si="25"/>
        <v>0.53523641007618306</v>
      </c>
      <c r="M54" s="705">
        <f t="shared" si="25"/>
        <v>0.54575168208419778</v>
      </c>
      <c r="N54" s="705">
        <f t="shared" si="25"/>
        <v>0.54575168208419778</v>
      </c>
      <c r="O54" s="705">
        <f t="shared" si="25"/>
        <v>0</v>
      </c>
      <c r="P54" s="705">
        <f t="shared" si="25"/>
        <v>0</v>
      </c>
      <c r="Q54" s="705">
        <f t="shared" si="25"/>
        <v>0.50195541878371752</v>
      </c>
      <c r="R54" s="705">
        <f t="shared" si="25"/>
        <v>0.50195541878371752</v>
      </c>
      <c r="S54" s="705">
        <f t="shared" si="25"/>
        <v>0</v>
      </c>
      <c r="T54" s="705">
        <f t="shared" si="25"/>
        <v>0</v>
      </c>
      <c r="U54" s="705">
        <f t="shared" si="25"/>
        <v>0.59640983634463585</v>
      </c>
      <c r="V54" s="705">
        <f t="shared" si="25"/>
        <v>0.59640983634463585</v>
      </c>
      <c r="W54" s="705">
        <f t="shared" si="25"/>
        <v>0</v>
      </c>
      <c r="X54" s="705">
        <f t="shared" si="25"/>
        <v>0</v>
      </c>
      <c r="Y54" s="705">
        <f t="shared" si="25"/>
        <v>0</v>
      </c>
      <c r="Z54" s="705">
        <f t="shared" si="25"/>
        <v>0</v>
      </c>
      <c r="AA54" s="705">
        <f t="shared" si="25"/>
        <v>0</v>
      </c>
      <c r="AB54" s="549">
        <f t="shared" si="25"/>
        <v>0</v>
      </c>
      <c r="AC54" s="701"/>
      <c r="AE54" s="555"/>
      <c r="AF54" s="600" t="s">
        <v>749</v>
      </c>
      <c r="AG54" s="734">
        <f>INDEX(paramCh2ReportsEmp1Req,,xxIndexTeam)</f>
        <v>1</v>
      </c>
      <c r="AH54" s="561" t="s">
        <v>6905</v>
      </c>
    </row>
    <row r="55" spans="4:38" ht="15.75" thickBot="1">
      <c r="D55" s="554"/>
      <c r="E55" s="604">
        <f t="shared" si="6"/>
        <v>4.7476975231045784E-2</v>
      </c>
      <c r="F55" s="720" t="s">
        <v>4834</v>
      </c>
      <c r="G55" s="720"/>
      <c r="H55" s="720"/>
      <c r="I55" s="720"/>
      <c r="J55" s="720"/>
      <c r="K55" s="608" t="s">
        <v>519</v>
      </c>
      <c r="L55" s="705">
        <f t="shared" si="25"/>
        <v>5.6503490575563323E-2</v>
      </c>
      <c r="M55" s="705">
        <f t="shared" si="25"/>
        <v>5.2806023471265215E-2</v>
      </c>
      <c r="N55" s="705">
        <f t="shared" si="25"/>
        <v>5.2806023471265215E-2</v>
      </c>
      <c r="O55" s="705">
        <f t="shared" si="25"/>
        <v>0</v>
      </c>
      <c r="P55" s="705">
        <f t="shared" si="25"/>
        <v>0</v>
      </c>
      <c r="Q55" s="705">
        <f t="shared" si="25"/>
        <v>6.4919233156430001E-2</v>
      </c>
      <c r="R55" s="705">
        <f t="shared" si="25"/>
        <v>6.4919233156430001E-2</v>
      </c>
      <c r="S55" s="705">
        <f t="shared" si="25"/>
        <v>0</v>
      </c>
      <c r="T55" s="705">
        <f t="shared" si="25"/>
        <v>0</v>
      </c>
      <c r="U55" s="705">
        <f t="shared" si="25"/>
        <v>4.7476975231045784E-2</v>
      </c>
      <c r="V55" s="705">
        <f t="shared" si="25"/>
        <v>4.7476975231045784E-2</v>
      </c>
      <c r="W55" s="705">
        <f t="shared" si="25"/>
        <v>0</v>
      </c>
      <c r="X55" s="705">
        <f t="shared" si="25"/>
        <v>0</v>
      </c>
      <c r="Y55" s="705">
        <f t="shared" si="25"/>
        <v>0</v>
      </c>
      <c r="Z55" s="705">
        <f t="shared" si="25"/>
        <v>0</v>
      </c>
      <c r="AA55" s="705">
        <f t="shared" si="25"/>
        <v>0</v>
      </c>
      <c r="AB55" s="549">
        <f t="shared" si="25"/>
        <v>0</v>
      </c>
      <c r="AC55" s="701"/>
      <c r="AE55" s="546"/>
      <c r="AF55" s="544" t="s">
        <v>748</v>
      </c>
      <c r="AG55" s="574">
        <f>INDEX(paramCh2ReportsExp,,xxIndexTeam)</f>
        <v>1000000</v>
      </c>
      <c r="AH55" s="733" t="s">
        <v>6906</v>
      </c>
    </row>
    <row r="56" spans="4:38" ht="15.75" thickBot="1">
      <c r="D56" s="554"/>
      <c r="E56" s="604">
        <f t="shared" si="6"/>
        <v>0.54893286111359008</v>
      </c>
      <c r="F56" s="720" t="s">
        <v>4835</v>
      </c>
      <c r="G56" s="720"/>
      <c r="H56" s="720"/>
      <c r="I56" s="720"/>
      <c r="J56" s="720"/>
      <c r="K56" s="608" t="s">
        <v>521</v>
      </c>
      <c r="L56" s="705">
        <f t="shared" si="25"/>
        <v>0.47873291950061975</v>
      </c>
      <c r="M56" s="705">
        <f t="shared" si="25"/>
        <v>0.49294565861293255</v>
      </c>
      <c r="N56" s="705">
        <f t="shared" si="25"/>
        <v>0.49294565861293255</v>
      </c>
      <c r="O56" s="705">
        <f t="shared" si="25"/>
        <v>0</v>
      </c>
      <c r="P56" s="705">
        <f t="shared" si="25"/>
        <v>0</v>
      </c>
      <c r="Q56" s="705">
        <f t="shared" si="25"/>
        <v>0.43703618562728758</v>
      </c>
      <c r="R56" s="705">
        <f t="shared" si="25"/>
        <v>0.43703618562728758</v>
      </c>
      <c r="S56" s="705">
        <f t="shared" si="25"/>
        <v>0</v>
      </c>
      <c r="T56" s="705">
        <f t="shared" si="25"/>
        <v>0</v>
      </c>
      <c r="U56" s="705">
        <f t="shared" si="25"/>
        <v>0.54893286111359008</v>
      </c>
      <c r="V56" s="705">
        <f t="shared" si="25"/>
        <v>0.54893286111359008</v>
      </c>
      <c r="W56" s="705">
        <f t="shared" si="25"/>
        <v>0</v>
      </c>
      <c r="X56" s="705">
        <f t="shared" si="25"/>
        <v>0</v>
      </c>
      <c r="Y56" s="705">
        <f t="shared" si="25"/>
        <v>0</v>
      </c>
      <c r="Z56" s="705">
        <f t="shared" si="25"/>
        <v>0</v>
      </c>
      <c r="AA56" s="705">
        <f t="shared" si="25"/>
        <v>0</v>
      </c>
      <c r="AB56" s="549">
        <f t="shared" si="25"/>
        <v>0</v>
      </c>
      <c r="AC56" s="701"/>
    </row>
    <row r="57" spans="4:38" ht="15">
      <c r="D57" s="555"/>
      <c r="E57" s="562">
        <f>INDEX(L57:AB57,,calcCh2VtCode)/1000</f>
        <v>21056.76</v>
      </c>
      <c r="F57" s="600" t="s">
        <v>6907</v>
      </c>
      <c r="G57" s="600"/>
      <c r="H57" s="600"/>
      <c r="I57" s="600"/>
      <c r="J57" s="600"/>
      <c r="K57" s="749" t="s">
        <v>4394</v>
      </c>
      <c r="L57" s="750">
        <f>U57+M57+Q57+Y57</f>
        <v>263209499.99999994</v>
      </c>
      <c r="M57" s="750">
        <f>N57+O57+P57</f>
        <v>145291643.99999997</v>
      </c>
      <c r="N57" s="750">
        <f>INDEX(calcCh2Prod2Slot1VolForecastSlot,,xxIndexTeam)</f>
        <v>145291643.99999997</v>
      </c>
      <c r="O57" s="750">
        <f>INDEX(calcCh2Prod2Slot2VolForecastSlot,,xxIndexTeam)</f>
        <v>0</v>
      </c>
      <c r="P57" s="750">
        <f>INDEX(calcCh2Prod2Slot3VolForecastSlot,,xxIndexTeam)</f>
        <v>0</v>
      </c>
      <c r="Q57" s="750">
        <f>R57+S57+T57</f>
        <v>96861095.999999985</v>
      </c>
      <c r="R57" s="750">
        <f>INDEX(calcCh2Prod3Slot1VolForecastSlot,,xxIndexTeam)</f>
        <v>96861095.999999985</v>
      </c>
      <c r="S57" s="750">
        <f>INDEX(calcCh2Prod3Slot2VolForecastSlot,,xxIndexTeam)</f>
        <v>0</v>
      </c>
      <c r="T57" s="750">
        <f>INDEX(calcCh2Prod3Slot3VolForecastSlot,,xxIndexTeam)</f>
        <v>0</v>
      </c>
      <c r="U57" s="750">
        <f>V57+W57+X57</f>
        <v>21056760</v>
      </c>
      <c r="V57" s="750">
        <f>INDEX(calcCh2Prod1Slot1VolForecastSlot,,xxIndexTeam)</f>
        <v>21056760</v>
      </c>
      <c r="W57" s="750">
        <f>INDEX(calcCh2Prod1Slot2VolForecastSlot,,xxIndexTeam)</f>
        <v>0</v>
      </c>
      <c r="X57" s="750">
        <f>INDEX(calcCh2Prod1Slot3VolForecastSlot,,xxIndexTeam)</f>
        <v>0</v>
      </c>
      <c r="Y57" s="750">
        <f>Z57+AA57+AB57</f>
        <v>0</v>
      </c>
      <c r="Z57" s="750">
        <f>INDEX(calcCh2Prod4Slot1VolForecastSlot,,xxIndexTeam)</f>
        <v>0</v>
      </c>
      <c r="AA57" s="750">
        <f>INDEX(calcCh2Prod4Slot2VolForecastSlot,,xxIndexTeam)</f>
        <v>0</v>
      </c>
      <c r="AB57" s="751">
        <f>INDEX(calcCh2Prod4Slot3VolForecastSlot,,xxIndexTeam)</f>
        <v>0</v>
      </c>
      <c r="AC57" s="701"/>
    </row>
    <row r="58" spans="4:38" ht="15">
      <c r="D58" s="554"/>
      <c r="E58" s="585">
        <f>INDEX(L58:AB58,,calcCh2VtCode)/1000</f>
        <v>6380.8363636363629</v>
      </c>
      <c r="F58" s="720" t="s">
        <v>6908</v>
      </c>
      <c r="G58" s="720"/>
      <c r="H58" s="720"/>
      <c r="I58" s="720"/>
      <c r="J58" s="720"/>
      <c r="K58" s="608" t="s">
        <v>811</v>
      </c>
      <c r="L58" s="706">
        <f t="shared" ref="L58:L59" si="26">U58+M58+Q58+Y58</f>
        <v>412170124.90909088</v>
      </c>
      <c r="M58" s="706">
        <f t="shared" ref="M58:M59" si="27">N58+O58+P58</f>
        <v>18344904.545454543</v>
      </c>
      <c r="N58" s="706">
        <f>INDEX(finCalcCh2Prod2Slot1UnitSold,,xxIndexTeam)</f>
        <v>18344904.545454543</v>
      </c>
      <c r="O58" s="706">
        <f>INDEX(finCalcCh2Prod2Slot2UnitSold,,xxIndexTeam)</f>
        <v>0</v>
      </c>
      <c r="P58" s="706">
        <f>INDEX(finCalcCh2Prod2Slot3UnitSold,,xxIndexTeam)</f>
        <v>0</v>
      </c>
      <c r="Q58" s="706">
        <f t="shared" ref="Q58:Q59" si="28">R58+S58+T58</f>
        <v>387444383.99999994</v>
      </c>
      <c r="R58" s="706">
        <f>INDEX(finCalcCh2Prod3Slot1UnitSold,,xxIndexTeam)</f>
        <v>387444383.99999994</v>
      </c>
      <c r="S58" s="706">
        <f>INDEX(finCalcCh2Prod3Slot2UnitSold,,xxIndexTeam)</f>
        <v>0</v>
      </c>
      <c r="T58" s="706">
        <f>INDEX(finCalcCh2Prod3Slot3UnitSold,,xxIndexTeam)</f>
        <v>0</v>
      </c>
      <c r="U58" s="706">
        <f t="shared" ref="U58:U59" si="29">V58+W58+X58</f>
        <v>6380836.3636363633</v>
      </c>
      <c r="V58" s="706">
        <f>INDEX(finCalcCh2Prod1Slot1UnitSold,,xxIndexTeam)</f>
        <v>6380836.3636363633</v>
      </c>
      <c r="W58" s="706">
        <f>INDEX(finCalcCh2Prod1Slot2UnitSold,,xxIndexTeam)</f>
        <v>0</v>
      </c>
      <c r="X58" s="706">
        <f>INDEX(finCalcCh2Prod1Slot3UnitSold,,xxIndexTeam)</f>
        <v>0</v>
      </c>
      <c r="Y58" s="706">
        <f t="shared" ref="Y58" si="30">Z58+AA58+AB58</f>
        <v>0</v>
      </c>
      <c r="Z58" s="706">
        <f>INDEX(finCalcCh2Prod4Slot1UnitSold,,xxIndexTeam)</f>
        <v>0</v>
      </c>
      <c r="AA58" s="706">
        <f>INDEX(finCalcCh2Prod4Slot2UnitSold,,xxIndexTeam)</f>
        <v>0</v>
      </c>
      <c r="AB58" s="596">
        <f>INDEX(finCalcCh2Prod4Slot3UnitSold,,xxIndexTeam)</f>
        <v>0</v>
      </c>
      <c r="AC58" s="701"/>
    </row>
    <row r="59" spans="4:38" ht="15">
      <c r="D59" s="554"/>
      <c r="E59" s="585">
        <f>INDEX(L59:AB59,,calcCh2VtCode)</f>
        <v>7561291.0909090824</v>
      </c>
      <c r="F59" s="720" t="s">
        <v>6909</v>
      </c>
      <c r="G59" s="720"/>
      <c r="H59" s="720"/>
      <c r="I59" s="720"/>
      <c r="J59" s="720"/>
      <c r="K59" s="608" t="s">
        <v>517</v>
      </c>
      <c r="L59" s="706">
        <f t="shared" si="26"/>
        <v>515828885.40818167</v>
      </c>
      <c r="M59" s="706">
        <f t="shared" si="27"/>
        <v>20087670.477272719</v>
      </c>
      <c r="N59" s="706">
        <f>tloutputCh2Prod2Slot1CM*N58</f>
        <v>20087670.477272719</v>
      </c>
      <c r="O59" s="706">
        <f>tloutputCh2Prod2Slot2CM*O58</f>
        <v>0</v>
      </c>
      <c r="P59" s="706">
        <f>tloutputCh2Prod2Slot3CM*P58</f>
        <v>0</v>
      </c>
      <c r="Q59" s="706">
        <f t="shared" si="28"/>
        <v>488179923.83999985</v>
      </c>
      <c r="R59" s="706">
        <f>tloutputCh2Prod3Slot1CM*R58</f>
        <v>488179923.83999985</v>
      </c>
      <c r="S59" s="706">
        <f>tloutputCh2Prod3Slot2CM*S58</f>
        <v>0</v>
      </c>
      <c r="T59" s="706">
        <f>tloutputCh2Prod3Slot3CM*T58</f>
        <v>0</v>
      </c>
      <c r="U59" s="706">
        <f t="shared" si="29"/>
        <v>7561291.0909090824</v>
      </c>
      <c r="V59" s="706">
        <f>tloutputCh2Prod1Slot1CM*V58</f>
        <v>7561291.0909090824</v>
      </c>
      <c r="W59" s="706">
        <f>tloutputCh2Prod1Slot2CM*W58</f>
        <v>0</v>
      </c>
      <c r="X59" s="706">
        <f>tloutputCh2Prod1Slot3CM*X58</f>
        <v>0</v>
      </c>
      <c r="Y59" s="706">
        <f>Z59+AA59+AB59</f>
        <v>0</v>
      </c>
      <c r="Z59" s="706">
        <f>tloutputCh2Prod4Slot1CM*Z58</f>
        <v>0</v>
      </c>
      <c r="AA59" s="706">
        <f>tloutputCh2Prod4Slot2CM*AA58</f>
        <v>0</v>
      </c>
      <c r="AB59" s="596">
        <f>tloutputCh2Prod4Slot3CM*AB58</f>
        <v>0</v>
      </c>
      <c r="AC59" s="701"/>
    </row>
    <row r="60" spans="4:38" ht="15.75" thickBot="1">
      <c r="D60" s="546"/>
      <c r="E60" s="545" t="str">
        <f>INDEX(L60:AB60,,calcCh2VtCode)</f>
        <v/>
      </c>
      <c r="F60" s="544" t="s">
        <v>6910</v>
      </c>
      <c r="G60" s="544"/>
      <c r="H60" s="544"/>
      <c r="I60" s="544"/>
      <c r="J60" s="544"/>
      <c r="K60" s="543" t="s">
        <v>3674</v>
      </c>
      <c r="L60" s="542" t="str">
        <f>""</f>
        <v/>
      </c>
      <c r="M60" s="542" t="str">
        <f>""</f>
        <v/>
      </c>
      <c r="N60" s="752">
        <f>INDEX(calcCh2Prod2Slot1WD,,xxIndexTeam)</f>
        <v>0.95357142857142863</v>
      </c>
      <c r="O60" s="752">
        <f>INDEX(calcCh2Prod2Slot2WD,,xxIndexTeam)</f>
        <v>2.5000000000000001E-2</v>
      </c>
      <c r="P60" s="752">
        <f>INDEX(calcCh2Prod2Slot3WD,,xxIndexTeam)</f>
        <v>2.5000000000000001E-2</v>
      </c>
      <c r="Q60" s="542" t="str">
        <f>""</f>
        <v/>
      </c>
      <c r="R60" s="752">
        <f>INDEX(calcCh2Prod3Slot1WD,,xxIndexTeam)</f>
        <v>0.625</v>
      </c>
      <c r="S60" s="752">
        <f>INDEX(calcCh2Prod3Slot2WD,,xxIndexTeam)</f>
        <v>2.5000000000000001E-2</v>
      </c>
      <c r="T60" s="752">
        <f>INDEX(calcCh2Prod3Slot3WD,,xxIndexTeam)</f>
        <v>2.5000000000000001E-2</v>
      </c>
      <c r="U60" s="542" t="str">
        <f>""</f>
        <v/>
      </c>
      <c r="V60" s="752">
        <f>INDEX(calcCh2Prod1Slot1WD,,xxIndexTeam)</f>
        <v>0.95357142857142863</v>
      </c>
      <c r="W60" s="752">
        <f>INDEX(calcCh2Prod1Slot2WD,,xxIndexTeam)</f>
        <v>2.5000000000000001E-2</v>
      </c>
      <c r="X60" s="752">
        <f>INDEX(calcCh2Prod1Slot3WD,,xxIndexTeam)</f>
        <v>2.5000000000000001E-2</v>
      </c>
      <c r="Y60" s="542" t="str">
        <f>""</f>
        <v/>
      </c>
      <c r="Z60" s="752">
        <f>INDEX(calcCh2Prod4Slot1WD,,xxIndexTeam)</f>
        <v>2.5000000000000001E-2</v>
      </c>
      <c r="AA60" s="752">
        <f>INDEX(calcCh2Prod4Slot2WD,,xxIndexTeam)</f>
        <v>2.5000000000000001E-2</v>
      </c>
      <c r="AB60" s="753">
        <f>INDEX(calcCh2Prod4Slot3WD,,xxIndexTeam)</f>
        <v>2.5000000000000001E-2</v>
      </c>
      <c r="AC60" s="701"/>
    </row>
    <row r="61" spans="4:38" ht="15">
      <c r="E61" s="707"/>
      <c r="L61" s="613" t="str">
        <f>nmCh2</f>
        <v>Discounters</v>
      </c>
      <c r="M61" s="613" t="str">
        <f>nmProd2</f>
        <v>Harken</v>
      </c>
      <c r="N61" s="613" t="str">
        <f>nmProd2&amp;" Slot 1"</f>
        <v>Harken Slot 1</v>
      </c>
      <c r="O61" s="613" t="str">
        <f>nmProd2&amp;" Slot 2"</f>
        <v>Harken Slot 2</v>
      </c>
      <c r="P61" s="613" t="str">
        <f>nmProd2&amp;" Slot 3"</f>
        <v>Harken Slot 3</v>
      </c>
      <c r="Q61" s="613" t="str">
        <f>nmProd3</f>
        <v>Kara</v>
      </c>
      <c r="R61" s="613" t="str">
        <f>nmProd3&amp;" Slot 1"</f>
        <v>Kara Slot 1</v>
      </c>
      <c r="S61" s="613" t="str">
        <f>nmProd3&amp;" Slot 2"</f>
        <v>Kara Slot 2</v>
      </c>
      <c r="T61" s="613" t="str">
        <f>nmProd3&amp;" Slot 3"</f>
        <v>Kara Slot 3</v>
      </c>
      <c r="U61" s="613" t="str">
        <f>nmProd1</f>
        <v>Greenborg</v>
      </c>
      <c r="V61" s="613" t="str">
        <f>nmProd1&amp;" Slot 1"</f>
        <v>Greenborg Slot 1</v>
      </c>
      <c r="W61" s="613" t="str">
        <f>nmProd1&amp;" Slot 2"</f>
        <v>Greenborg Slot 2</v>
      </c>
      <c r="X61" s="613" t="str">
        <f>nmProd1&amp;" Slot 3"</f>
        <v>Greenborg Slot 3</v>
      </c>
      <c r="Y61" s="613" t="str">
        <f>nmProd4</f>
        <v>Brew Master</v>
      </c>
      <c r="Z61" s="613" t="str">
        <f>nmProd4&amp;" Slot 1"</f>
        <v>Brew Master Slot 1</v>
      </c>
      <c r="AA61" s="613" t="str">
        <f>nmProd4&amp;" Slot 2"</f>
        <v>Brew Master Slot 2</v>
      </c>
      <c r="AB61" s="613" t="str">
        <f>nmProd4&amp;" Slot 3"</f>
        <v>Brew Master Slot 3</v>
      </c>
    </row>
    <row r="62" spans="4:38" ht="15.75" thickBot="1">
      <c r="D62" s="702" t="s">
        <v>6546</v>
      </c>
      <c r="E62" s="707"/>
      <c r="F62" s="802"/>
      <c r="G62" s="802"/>
      <c r="H62" s="802"/>
      <c r="I62" s="802"/>
      <c r="J62" s="802"/>
      <c r="K62" s="802"/>
      <c r="L62" s="802"/>
      <c r="M62" s="802"/>
      <c r="N62" s="802"/>
      <c r="O62" s="802"/>
      <c r="P62" s="802"/>
      <c r="Q62" s="802"/>
      <c r="R62" s="802"/>
      <c r="S62" s="802"/>
      <c r="T62" s="802"/>
      <c r="U62" s="802"/>
      <c r="V62" s="802"/>
      <c r="W62" s="802"/>
      <c r="X62" s="802"/>
      <c r="Y62" s="802"/>
      <c r="Z62" s="802"/>
      <c r="AA62" s="802"/>
      <c r="AB62" s="802"/>
    </row>
    <row r="63" spans="4:38" ht="15">
      <c r="D63" s="555"/>
      <c r="E63" s="541"/>
      <c r="F63" s="600"/>
      <c r="G63" s="600"/>
      <c r="H63" s="600"/>
      <c r="I63" s="600"/>
      <c r="J63" s="600"/>
      <c r="K63" s="600"/>
      <c r="L63" s="607" t="str">
        <f>nmCh2</f>
        <v>Discounters</v>
      </c>
      <c r="M63" s="595" t="str">
        <f>nmProd2</f>
        <v>Harken</v>
      </c>
      <c r="N63" s="595" t="str">
        <f>nmProd2&amp;" Slot 1"</f>
        <v>Harken Slot 1</v>
      </c>
      <c r="O63" s="595" t="str">
        <f>nmProd2&amp;" Slot 2"</f>
        <v>Harken Slot 2</v>
      </c>
      <c r="P63" s="595" t="str">
        <f>nmProd2&amp;" Slot 3"</f>
        <v>Harken Slot 3</v>
      </c>
      <c r="Q63" s="595" t="str">
        <f>nmProd3</f>
        <v>Kara</v>
      </c>
      <c r="R63" s="595" t="str">
        <f>nmProd3&amp;" Slot 1"</f>
        <v>Kara Slot 1</v>
      </c>
      <c r="S63" s="595" t="str">
        <f>nmProd3&amp;" Slot 2"</f>
        <v>Kara Slot 2</v>
      </c>
      <c r="T63" s="595" t="str">
        <f>nmProd3&amp;" Slot 3"</f>
        <v>Kara Slot 3</v>
      </c>
      <c r="U63" s="595" t="str">
        <f>nmProd1</f>
        <v>Greenborg</v>
      </c>
      <c r="V63" s="595" t="str">
        <f>nmProd1&amp;" Slot 1"</f>
        <v>Greenborg Slot 1</v>
      </c>
      <c r="W63" s="595" t="str">
        <f>nmProd1&amp;" Slot 2"</f>
        <v>Greenborg Slot 2</v>
      </c>
      <c r="X63" s="595" t="str">
        <f>nmProd1&amp;" Slot 3"</f>
        <v>Greenborg Slot 3</v>
      </c>
      <c r="Y63" s="595" t="str">
        <f>nmProd4</f>
        <v>Brew Master</v>
      </c>
      <c r="Z63" s="595" t="str">
        <f>nmProd4&amp;" Slot 1"</f>
        <v>Brew Master Slot 1</v>
      </c>
      <c r="AA63" s="595" t="str">
        <f>nmProd4&amp;" Slot 2"</f>
        <v>Brew Master Slot 2</v>
      </c>
      <c r="AB63" s="594" t="str">
        <f>nmProd4&amp;" Slot 3"</f>
        <v>Brew Master Slot 3</v>
      </c>
      <c r="AC63" s="701"/>
    </row>
    <row r="64" spans="4:38" ht="18" customHeight="1">
      <c r="D64" s="554"/>
      <c r="E64" s="604"/>
      <c r="F64" s="720"/>
      <c r="G64" s="720"/>
      <c r="H64" s="720"/>
      <c r="I64" s="720"/>
      <c r="J64" s="720"/>
      <c r="K64" s="608" t="s">
        <v>4405</v>
      </c>
      <c r="L64" s="887">
        <f>M64+Q64+U64+Y64</f>
        <v>263209499.99999994</v>
      </c>
      <c r="M64" s="887">
        <f>SUM(N64:P64)</f>
        <v>145291643.99999997</v>
      </c>
      <c r="N64" s="888">
        <f>INDEX(finCalcCh2Prod2Slot1VolSold,,xxIndexTeam)</f>
        <v>145291643.99999997</v>
      </c>
      <c r="O64" s="888">
        <f>INDEX(finCalcCh2Prod2Slot2VolSold,,xxIndexTeam)</f>
        <v>0</v>
      </c>
      <c r="P64" s="888">
        <f>INDEX(finCalcCh2Prod2Slot3VolSold,,xxIndexTeam)</f>
        <v>0</v>
      </c>
      <c r="Q64" s="887">
        <f>SUM(R64:T64)</f>
        <v>96861095.999999985</v>
      </c>
      <c r="R64" s="888">
        <f>INDEX(finCalcCh2Prod3Slot1VolSold,,xxIndexTeam)</f>
        <v>96861095.999999985</v>
      </c>
      <c r="S64" s="888">
        <f>INDEX(finCalcCh2Prod3Slot2VolSold,,xxIndexTeam)</f>
        <v>0</v>
      </c>
      <c r="T64" s="888">
        <f>INDEX(finCalcCh2Prod3Slot3VolSold,,xxIndexTeam)</f>
        <v>0</v>
      </c>
      <c r="U64" s="887">
        <f>SUM(V64:X64)</f>
        <v>21056760</v>
      </c>
      <c r="V64" s="888">
        <f>INDEX(finCalcCh2Prod1Slot1VolSold,,xxIndexTeam)</f>
        <v>21056760</v>
      </c>
      <c r="W64" s="888">
        <f>INDEX(finCalcCh2Prod1Slot2VolSold,,xxIndexTeam)</f>
        <v>0</v>
      </c>
      <c r="X64" s="888">
        <f>INDEX(finCalcCh2Prod1Slot3VolSold,,xxIndexTeam)</f>
        <v>0</v>
      </c>
      <c r="Y64" s="887">
        <f>SUM(Z64:AB64)</f>
        <v>0</v>
      </c>
      <c r="Z64" s="888">
        <f>INDEX(finCalcCh2Prod4Slot1VolSold,,xxIndexTeam)</f>
        <v>0</v>
      </c>
      <c r="AA64" s="888">
        <f>INDEX(finCalcCh2Prod4Slot2VolSold,,xxIndexTeam)</f>
        <v>0</v>
      </c>
      <c r="AB64" s="888">
        <f>INDEX(finCalcCh2Prod4Slot3VolSold,,xxIndexTeam)</f>
        <v>0</v>
      </c>
      <c r="AC64" s="701"/>
      <c r="AD64" s="628" t="s">
        <v>6883</v>
      </c>
      <c r="AE64" s="612" t="s">
        <v>6591</v>
      </c>
    </row>
    <row r="65" spans="4:54" ht="15.75" thickBot="1">
      <c r="D65" s="554"/>
      <c r="E65" s="540"/>
      <c r="F65" s="876" t="s">
        <v>9739</v>
      </c>
      <c r="G65" s="876" t="s">
        <v>9062</v>
      </c>
      <c r="H65" s="720"/>
      <c r="I65" s="720"/>
      <c r="J65" s="720"/>
      <c r="K65" s="608" t="s">
        <v>9059</v>
      </c>
      <c r="L65" s="887">
        <f>M65+Q65+U65+Y65</f>
        <v>607143024.58955681</v>
      </c>
      <c r="M65" s="887">
        <f>INDEX(obalCh2Prod2Slot1GPaL,,xxIndexTeam)+INDEX(obalCh2Prod2Slot2GPaL,,xxIndexTeam)+INDEX(obalCh2Prod2Slot3GPaL,,xxIndexTeam)</f>
        <v>345859841.83253628</v>
      </c>
      <c r="N65" s="888">
        <f>IF(INDEX(obalCh2Prod2Slot1Pack,,xxIndexTeam)=INDEX(cbalCh2Prod2Slot1Pack,,xxIndexTeam),INDEX(obalCh2Prod2Slot1GPaL,,xxIndexTeam),0)</f>
        <v>345859841.83253628</v>
      </c>
      <c r="O65" s="888">
        <f>IF(INDEX(obalCh2Prod2Slot2Pack,,xxIndexTeam)=INDEX(cbalCh2Prod2Slot2Pack,,xxIndexTeam),INDEX(obalCh2Prod2Slot2GPaL,,xxIndexTeam),0)</f>
        <v>0</v>
      </c>
      <c r="P65" s="888">
        <f>IF(INDEX(obalCh2Prod2Slot3Pack,,xxIndexTeam)=INDEX(cbalCh2Prod2Slot3Pack,,xxIndexTeam),INDEX(obalCh2Prod2Slot3GPaL,,xxIndexTeam),0)</f>
        <v>0</v>
      </c>
      <c r="Q65" s="887">
        <f>INDEX(obalCh2Prod3Slot1GPaL,,xxIndexTeam)+INDEX(obalCh2Prod3Slot2GPaL,,xxIndexTeam)+INDEX(obalCh2Prod3Slot3GPaL,,xxIndexTeam)</f>
        <v>197478204.63258356</v>
      </c>
      <c r="R65" s="888">
        <f>IF(INDEX(obalCh2Prod3Slot1Pack,,xxIndexTeam)=INDEX(cbalCh2Prod3Slot1Pack,,xxIndexTeam),INDEX(obalCh2Prod3Slot1GPaL,,xxIndexTeam),0)</f>
        <v>197478204.63258356</v>
      </c>
      <c r="S65" s="888">
        <f>IF(INDEX(obalCh2Prod3Slot2Pack,,xxIndexTeam)=INDEX(cbalCh2Prod3Slot2Pack,,xxIndexTeam),INDEX(obalCh2Prod3Slot2GPaL,,xxIndexTeam),0)</f>
        <v>0</v>
      </c>
      <c r="T65" s="888">
        <f>IF(INDEX(obalCh2Prod3Slot3Pack,,xxIndexTeam)=INDEX(cbalCh2Prod3Slot3Pack,,xxIndexTeam),INDEX(obalCh2Prod3Slot3GPaL,,xxIndexTeam),0)</f>
        <v>0</v>
      </c>
      <c r="U65" s="887">
        <f>INDEX(obalCh2Prod1Slot1GPaL,,xxIndexTeam)+INDEX(obalCh2Prod1Slot2GPaL,,xxIndexTeam)+INDEX(obalCh2Prod1Slot3GPaL,,xxIndexTeam)</f>
        <v>63804978.124436945</v>
      </c>
      <c r="V65" s="888">
        <f>IF(INDEX(obalCh2Prod1Slot1Pack,,xxIndexTeam)=INDEX(cbalCh2Prod1Slot1Pack,,xxIndexTeam),INDEX(obalCh2Prod1Slot1GPaL,,xxIndexTeam),0)</f>
        <v>63804978.124436945</v>
      </c>
      <c r="W65" s="888">
        <f>IF(INDEX(obalCh2Prod1Slot2Pack,,xxIndexTeam)=INDEX(cbalCh2Prod1Slot2Pack,,xxIndexTeam),INDEX(obalCh2Prod1Slot2GPaL,,xxIndexTeam),0)</f>
        <v>0</v>
      </c>
      <c r="X65" s="888">
        <f>IF(INDEX(obalCh2Prod1Slot3Pack,,xxIndexTeam)=INDEX(cbalCh2Prod1Slot3Pack,,xxIndexTeam),INDEX(obalCh2Prod1Slot3GPaL,,xxIndexTeam),0)</f>
        <v>0</v>
      </c>
      <c r="Y65" s="887">
        <f>INDEX(obalCh2Prod4Slot1GPaL,,xxIndexTeam)+INDEX(obalCh2Prod4Slot2GPaL,,xxIndexTeam)+INDEX(obalCh2Prod4Slot3GPaL,,xxIndexTeam)</f>
        <v>0</v>
      </c>
      <c r="Z65" s="888">
        <f>IF(INDEX(obalCh2Prod4Slot1Pack,,xxIndexTeam)=INDEX(cbalCh2Prod4Slot1Pack,,xxIndexTeam),INDEX(obalCh2Prod4Slot1GPaL,,xxIndexTeam),0)</f>
        <v>0</v>
      </c>
      <c r="AA65" s="888">
        <f>IF(INDEX(obalCh2Prod4Slot2Pack,,xxIndexTeam)=INDEX(cbalCh2Prod4Slot2Pack,,xxIndexTeam),INDEX(obalCh2Prod4Slot2GPaL,,xxIndexTeam),0)</f>
        <v>0</v>
      </c>
      <c r="AB65" s="888">
        <f>IF(INDEX(obalCh2Prod4Slot3Pack,,xxIndexTeam)=INDEX(cbalCh2Prod4Slot3Pack,,xxIndexTeam),INDEX(obalCh2Prod4Slot3GPaL,,xxIndexTeam),0)</f>
        <v>0</v>
      </c>
      <c r="AC65" s="701"/>
      <c r="AE65" s="702" t="s">
        <v>6592</v>
      </c>
    </row>
    <row r="66" spans="4:54" ht="15">
      <c r="D66" s="554"/>
      <c r="E66" s="540"/>
      <c r="F66" s="876" t="s">
        <v>6911</v>
      </c>
      <c r="G66" s="876" t="s">
        <v>9062</v>
      </c>
      <c r="H66" s="720"/>
      <c r="I66" s="720"/>
      <c r="J66" s="720"/>
      <c r="K66" s="608" t="s">
        <v>295</v>
      </c>
      <c r="L66" s="887">
        <f t="shared" ref="L66:L70" si="31">M66+Q66+U66+Y66</f>
        <v>1715409.9970288982</v>
      </c>
      <c r="M66" s="887">
        <f>SUM(N66:P66)</f>
        <v>9459431.7161900569</v>
      </c>
      <c r="N66" s="889">
        <f>IFERROR(IF(INDEX(obalCh2Prod2Slot1Pack,,xxIndexTeam)=INDEX(cbalCh2Prod2Slot1Pack,,xxIndexTeam),N77,0),0)</f>
        <v>9459431.7161900569</v>
      </c>
      <c r="O66" s="889">
        <f>IFERROR(IF(INDEX(obalCh2Prod2Slot2Pack,,xxIndexTeam)=INDEX(cbalCh2Prod2Slot2Pack,,xxIndexTeam),O77,0),0)</f>
        <v>0</v>
      </c>
      <c r="P66" s="889">
        <f>IFERROR(IF(INDEX(obalCh2Prod2Slot3Pack,,xxIndexTeam)=INDEX(cbalCh2Prod2Slot3Pack,,xxIndexTeam),P77,0),0)</f>
        <v>0</v>
      </c>
      <c r="Q66" s="887">
        <f>SUM(R66:T66)</f>
        <v>-7737750.1796354065</v>
      </c>
      <c r="R66" s="889">
        <f>IFERROR(IF(INDEX(obalCh2Prod3Slot1Pack,,xxIndexTeam)=INDEX(cbalCh2Prod3Slot1Pack,,xxIndexTeam),R77,0),0)</f>
        <v>-7737750.1796354065</v>
      </c>
      <c r="S66" s="889">
        <f>IFERROR(IF(INDEX(obalCh2Prod3Slot2Pack,,xxIndexTeam)=INDEX(cbalCh2Prod3Slot2Pack,,xxIndexTeam),S77,0),0)</f>
        <v>0</v>
      </c>
      <c r="T66" s="889">
        <f>IFERROR(IF(INDEX(obalCh2Prod3Slot3Pack,,xxIndexTeam)=INDEX(cbalCh2Prod3Slot3Pack,,xxIndexTeam),T77,0),0)</f>
        <v>0</v>
      </c>
      <c r="U66" s="887">
        <f>SUM(V66:X66)</f>
        <v>-6271.539525752084</v>
      </c>
      <c r="V66" s="889">
        <f>IFERROR(IF(INDEX(obalCh2Prod1Slot1Pack,,xxIndexTeam)=INDEX(cbalCh2Prod1Slot1Pack,,xxIndexTeam),V77,0),0)</f>
        <v>-6271.539525752084</v>
      </c>
      <c r="W66" s="889">
        <f>IFERROR(IF(INDEX(obalCh2Prod1Slot2Pack,,xxIndexTeam)=INDEX(cbalCh2Prod1Slot2Pack,,xxIndexTeam),W77,0),0)</f>
        <v>0</v>
      </c>
      <c r="X66" s="889">
        <f>IFERROR(IF(INDEX(obalCh2Prod1Slot3Pack,,xxIndexTeam)=INDEX(cbalCh2Prod1Slot3Pack,,xxIndexTeam),X77,0),0)</f>
        <v>0</v>
      </c>
      <c r="Y66" s="887">
        <f>SUM(Z66:AB66)</f>
        <v>0</v>
      </c>
      <c r="Z66" s="889">
        <f>IFERROR(IF(INDEX(obalCh2Prod4Slot1Pack,,xxIndexTeam)=INDEX(cbalCh2Prod4Slot1Pack,,xxIndexTeam),Z77,0),0)</f>
        <v>0</v>
      </c>
      <c r="AA66" s="889">
        <f>IFERROR(IF(INDEX(obalCh2Prod4Slot2Pack,,xxIndexTeam)=INDEX(cbalCh2Prod4Slot2Pack,,xxIndexTeam),AA77,0),0)</f>
        <v>0</v>
      </c>
      <c r="AB66" s="889">
        <f>IFERROR(IF(INDEX(obalCh2Prod4Slot3Pack,,xxIndexTeam)=INDEX(cbalCh2Prod4Slot3Pack,,xxIndexTeam),AB77,0),0)</f>
        <v>0</v>
      </c>
      <c r="AC66" s="701"/>
      <c r="AE66" s="555" t="str">
        <f>nmProd1</f>
        <v>Greenborg</v>
      </c>
      <c r="AF66" s="600"/>
      <c r="AG66" s="600"/>
      <c r="AH66" s="561"/>
      <c r="AI66" s="555"/>
      <c r="AJ66" s="600"/>
      <c r="AK66" s="600"/>
      <c r="AL66" s="561"/>
      <c r="AM66" s="555"/>
      <c r="AN66" s="600"/>
      <c r="AO66" s="600"/>
      <c r="AP66" s="561"/>
      <c r="AQ66" s="555"/>
      <c r="AR66" s="600"/>
      <c r="AS66" s="600"/>
      <c r="AT66" s="561"/>
      <c r="AU66" s="555"/>
      <c r="AV66" s="600"/>
      <c r="AW66" s="600"/>
      <c r="AX66" s="561"/>
      <c r="AY66" s="555"/>
      <c r="AZ66" s="600"/>
      <c r="BA66" s="600"/>
      <c r="BB66" s="561"/>
    </row>
    <row r="67" spans="4:54" ht="15">
      <c r="D67" s="554"/>
      <c r="E67" s="540"/>
      <c r="F67" s="876" t="s">
        <v>6912</v>
      </c>
      <c r="G67" s="876" t="s">
        <v>9062</v>
      </c>
      <c r="H67" s="720"/>
      <c r="I67" s="720"/>
      <c r="J67" s="720"/>
      <c r="K67" s="608" t="s">
        <v>151</v>
      </c>
      <c r="L67" s="887">
        <f t="shared" si="31"/>
        <v>659512.59714012849</v>
      </c>
      <c r="M67" s="887">
        <f>SUM(N67:P67)</f>
        <v>376277.06628631894</v>
      </c>
      <c r="N67" s="889">
        <f>IFERROR(IF(INDEX(obalCh2Prod2Slot1Pack,,xxIndexTeam)=INDEX(cbalCh2Prod2Slot1Pack,,xxIndexTeam),N78,0),0)-N69</f>
        <v>376277.06628631894</v>
      </c>
      <c r="O67" s="889">
        <f>IFERROR(IF(INDEX(obalCh2Prod2Slot2Pack,,xxIndexTeam)=INDEX(cbalCh2Prod2Slot2Pack,,xxIndexTeam),O78,0),0)-O69</f>
        <v>0</v>
      </c>
      <c r="P67" s="889">
        <f>IFERROR(IF(INDEX(obalCh2Prod2Slot3Pack,,xxIndexTeam)=INDEX(cbalCh2Prod2Slot3Pack,,xxIndexTeam),P78,0),0)-P69</f>
        <v>0</v>
      </c>
      <c r="Q67" s="887">
        <f>SUM(R67:T67)</f>
        <v>283109.43085237994</v>
      </c>
      <c r="R67" s="889">
        <f>IFERROR(IF(INDEX(obalCh2Prod3Slot1Pack,,xxIndexTeam)=INDEX(cbalCh2Prod3Slot1Pack,,xxIndexTeam),R78,0),0)-R69</f>
        <v>283109.43085237994</v>
      </c>
      <c r="S67" s="889">
        <f>IFERROR(IF(INDEX(obalCh2Prod3Slot2Pack,,xxIndexTeam)=INDEX(cbalCh2Prod3Slot2Pack,,xxIndexTeam),S78,0),0)-S69</f>
        <v>0</v>
      </c>
      <c r="T67" s="889">
        <f>IFERROR(IF(INDEX(obalCh2Prod3Slot3Pack,,xxIndexTeam)=INDEX(cbalCh2Prod3Slot3Pack,,xxIndexTeam),T78,0),0)-T69</f>
        <v>0</v>
      </c>
      <c r="U67" s="887">
        <f>SUM(V67:X67)</f>
        <v>126.10000142967328</v>
      </c>
      <c r="V67" s="889">
        <f>IFERROR(IF(INDEX(obalCh2Prod1Slot1Pack,,xxIndexTeam)=INDEX(cbalCh2Prod1Slot1Pack,,xxIndexTeam),V78,0),0)-V69</f>
        <v>126.10000142967328</v>
      </c>
      <c r="W67" s="889">
        <f>IFERROR(IF(INDEX(obalCh2Prod1Slot2Pack,,xxIndexTeam)=INDEX(cbalCh2Prod1Slot2Pack,,xxIndexTeam),W78,0),0)-W69</f>
        <v>0</v>
      </c>
      <c r="X67" s="889">
        <f>IFERROR(IF(INDEX(obalCh2Prod1Slot3Pack,,xxIndexTeam)=INDEX(cbalCh2Prod1Slot3Pack,,xxIndexTeam),X78,0),0)-X69</f>
        <v>0</v>
      </c>
      <c r="Y67" s="887">
        <f>SUM(Z67:AB67)</f>
        <v>0</v>
      </c>
      <c r="Z67" s="889">
        <f>IFERROR(IF(INDEX(obalCh2Prod4Slot1Pack,,xxIndexTeam)=INDEX(cbalCh2Prod4Slot1Pack,,xxIndexTeam),Z78,0),0)-Z69</f>
        <v>0</v>
      </c>
      <c r="AA67" s="889">
        <f>IFERROR(IF(INDEX(obalCh2Prod4Slot2Pack,,xxIndexTeam)=INDEX(cbalCh2Prod4Slot2Pack,,xxIndexTeam),AA78,0),0)-AA69</f>
        <v>0</v>
      </c>
      <c r="AB67" s="889">
        <f>IFERROR(IF(INDEX(obalCh2Prod4Slot3Pack,,xxIndexTeam)=INDEX(cbalCh2Prod4Slot3Pack,,xxIndexTeam),AB78,0),0)-AB69</f>
        <v>0</v>
      </c>
      <c r="AC67" s="701"/>
      <c r="AE67" s="554"/>
      <c r="AF67" s="720"/>
      <c r="AG67" s="548">
        <f>tlinputCh2Prod1Slot1CustPrice*(1+VLOOKUP(tlOutputProd1,dataCustomerMargin,3,FALSE))</f>
        <v>9.0849999999999991</v>
      </c>
      <c r="AH67" s="584" t="s">
        <v>6914</v>
      </c>
      <c r="AI67" s="554"/>
      <c r="AJ67" s="720"/>
      <c r="AK67" s="548">
        <f>tlOutputCh2Prod1Slot1SP-tlinputCh2Prod1Slot1CustPrice</f>
        <v>1.1849999999999987</v>
      </c>
      <c r="AL67" s="584" t="s">
        <v>4870</v>
      </c>
      <c r="AM67" s="554"/>
      <c r="AN67" s="720"/>
      <c r="AO67" s="548">
        <f>tlinputCh2Prod1Slot1CustPrice*(1-tloutputCh2Prod1Slot1AvgPromoDis)</f>
        <v>7.9</v>
      </c>
      <c r="AP67" s="584" t="s">
        <v>4894</v>
      </c>
      <c r="AQ67" s="554"/>
      <c r="AR67" s="720"/>
      <c r="AS67" s="548">
        <f>INDEX(calcCh2Prod1Slot1AvgSalePrice,,xxIndexTeam)</f>
        <v>7.9</v>
      </c>
      <c r="AT67" s="584" t="s">
        <v>4906</v>
      </c>
      <c r="AU67" s="554"/>
      <c r="AV67" s="720"/>
      <c r="AW67" s="548">
        <f>ROUND(VLOOKUP(tlinputCh2Prod1Slot1Pack,dataPackPrice,3,FALSE)*0.8,2)</f>
        <v>6.32</v>
      </c>
      <c r="AX67" s="584" t="s">
        <v>8534</v>
      </c>
      <c r="AY67" s="554"/>
      <c r="AZ67" s="720"/>
      <c r="BA67" s="548">
        <f>ROUND(VLOOKUP(tlinputCh2Prod1Slot1Pack,dataPackPrice,3,FALSE)*1.2,2)</f>
        <v>9.48</v>
      </c>
      <c r="BB67" s="584" t="s">
        <v>8535</v>
      </c>
    </row>
    <row r="68" spans="4:54" ht="15">
      <c r="D68" s="554"/>
      <c r="E68" s="540"/>
      <c r="F68" s="876" t="s">
        <v>6913</v>
      </c>
      <c r="G68" s="876" t="s">
        <v>9062</v>
      </c>
      <c r="H68" s="720"/>
      <c r="I68" s="720"/>
      <c r="J68" s="720"/>
      <c r="K68" s="608" t="s">
        <v>9060</v>
      </c>
      <c r="L68" s="887">
        <f t="shared" si="31"/>
        <v>-8.1956386566162109E-8</v>
      </c>
      <c r="M68" s="887">
        <f>(M65+M66+M67+M69-M70)*-1</f>
        <v>-5.9604644775390625E-8</v>
      </c>
      <c r="N68" s="887">
        <v>0</v>
      </c>
      <c r="O68" s="887">
        <v>0</v>
      </c>
      <c r="P68" s="887">
        <v>0</v>
      </c>
      <c r="Q68" s="887">
        <f>(Q65+Q66+Q67+Q69-Q70)*-1</f>
        <v>-2.9802322387695313E-8</v>
      </c>
      <c r="R68" s="887">
        <v>0</v>
      </c>
      <c r="S68" s="887">
        <v>0</v>
      </c>
      <c r="T68" s="887">
        <v>0</v>
      </c>
      <c r="U68" s="887">
        <f>(U65+U66+U67+U69-U70)*-1</f>
        <v>7.4505805969238281E-9</v>
      </c>
      <c r="V68" s="887">
        <v>0</v>
      </c>
      <c r="W68" s="887">
        <v>0</v>
      </c>
      <c r="X68" s="887">
        <v>0</v>
      </c>
      <c r="Y68" s="887">
        <f>(Y65+Y66+Y67+Y69-Y70)*-1</f>
        <v>0</v>
      </c>
      <c r="Z68" s="887">
        <v>0</v>
      </c>
      <c r="AA68" s="887">
        <v>0</v>
      </c>
      <c r="AB68" s="887">
        <v>0</v>
      </c>
      <c r="AC68" s="701"/>
      <c r="AE68" s="554"/>
      <c r="AF68" s="720"/>
      <c r="AG68" s="548">
        <f>tlinputCh2Prod1Slot2CustPrice*(1+VLOOKUP(tlOutputProd1,dataCustomerMargin,3,FALSE))</f>
        <v>0</v>
      </c>
      <c r="AH68" s="584" t="s">
        <v>6916</v>
      </c>
      <c r="AI68" s="554"/>
      <c r="AJ68" s="720"/>
      <c r="AK68" s="548">
        <f>tlOutputCh2Prod1Slot2SP-tlinputCh2Prod1Slot2CustPrice</f>
        <v>0</v>
      </c>
      <c r="AL68" s="584" t="s">
        <v>4871</v>
      </c>
      <c r="AM68" s="554"/>
      <c r="AN68" s="720"/>
      <c r="AO68" s="548">
        <f>tlinputCh2Prod1Slot2CustPrice*(1-tloutputCh2Prod1Slot1AvgPromoDis)</f>
        <v>0</v>
      </c>
      <c r="AP68" s="584" t="s">
        <v>4895</v>
      </c>
      <c r="AQ68" s="554"/>
      <c r="AR68" s="720"/>
      <c r="AS68" s="548">
        <f>INDEX(calcCh2Prod1Slot2AvgSalePrice,,xxIndexTeam)</f>
        <v>0</v>
      </c>
      <c r="AT68" s="584" t="s">
        <v>4907</v>
      </c>
      <c r="AU68" s="554"/>
      <c r="AV68" s="720"/>
      <c r="AW68" s="548">
        <f>ROUND(VLOOKUP(tlinputCh2Prod1Slot2Pack,dataPackPrice,3,FALSE)*0.8,2)</f>
        <v>0</v>
      </c>
      <c r="AX68" s="584" t="s">
        <v>8536</v>
      </c>
      <c r="AY68" s="554"/>
      <c r="AZ68" s="720"/>
      <c r="BA68" s="548">
        <f>ROUND(VLOOKUP(tlinputCh2Prod1Slot2Pack,dataPackPrice,3,FALSE)*1.2,2)</f>
        <v>0</v>
      </c>
      <c r="BB68" s="584" t="s">
        <v>8537</v>
      </c>
    </row>
    <row r="69" spans="4:54" ht="15">
      <c r="D69" s="554"/>
      <c r="E69" s="540"/>
      <c r="F69" s="876" t="s">
        <v>6915</v>
      </c>
      <c r="G69" s="876" t="s">
        <v>9062</v>
      </c>
      <c r="H69" s="720"/>
      <c r="I69" s="720"/>
      <c r="J69" s="720"/>
      <c r="K69" s="608" t="s">
        <v>157</v>
      </c>
      <c r="L69" s="887">
        <f>M69+Q69+U69+Y69</f>
        <v>-5805417.7291454403</v>
      </c>
      <c r="M69" s="887">
        <f>SUM(N69:P69)</f>
        <v>-5170153.694715634</v>
      </c>
      <c r="N69" s="889">
        <f>IFERROR(IF(INDEX(obalCh2Prod2Slot1Pack,,xxIndexTeam)=INDEX(cbalCh2Prod2Slot1Pack,,xxIndexTeam),N79,0),0)</f>
        <v>-5170153.694715634</v>
      </c>
      <c r="O69" s="889">
        <f>IFERROR(IF(INDEX(obalCh2Prod2Slot2Pack,,xxIndexTeam)=INDEX(cbalCh2Prod2Slot2Pack,,xxIndexTeam),O79,0),0)</f>
        <v>0</v>
      </c>
      <c r="P69" s="889">
        <f>IFERROR(IF(INDEX(obalCh2Prod2Slot3Pack,,xxIndexTeam)=INDEX(cbalCh2Prod2Slot3Pack,,xxIndexTeam),P79,0),0)</f>
        <v>0</v>
      </c>
      <c r="Q69" s="887">
        <f>SUM(R69:T69)</f>
        <v>243236.70390121901</v>
      </c>
      <c r="R69" s="889">
        <f>IFERROR(IF(INDEX(obalCh2Prod3Slot1Pack,,xxIndexTeam)=INDEX(cbalCh2Prod3Slot1Pack,,xxIndexTeam),R79,0),0)</f>
        <v>243236.70390121901</v>
      </c>
      <c r="S69" s="889">
        <f>IFERROR(IF(INDEX(obalCh2Prod3Slot2Pack,,xxIndexTeam)=INDEX(cbalCh2Prod3Slot2Pack,,xxIndexTeam),S79,0),0)</f>
        <v>0</v>
      </c>
      <c r="T69" s="889">
        <f>IFERROR(IF(INDEX(obalCh2Prod3Slot3Pack,,xxIndexTeam)=INDEX(cbalCh2Prod3Slot3Pack,,xxIndexTeam),T79,0),0)</f>
        <v>0</v>
      </c>
      <c r="U69" s="887">
        <f>SUM(V69:X69)</f>
        <v>-878500.73833102535</v>
      </c>
      <c r="V69" s="889">
        <f>IFERROR(IF(INDEX(obalCh2Prod1Slot1Pack,,xxIndexTeam)=INDEX(cbalCh2Prod1Slot1Pack,,xxIndexTeam),V79,0),0)</f>
        <v>-878500.73833102535</v>
      </c>
      <c r="W69" s="889">
        <f>IFERROR(IF(INDEX(obalCh2Prod1Slot2Pack,,xxIndexTeam)=INDEX(cbalCh2Prod1Slot2Pack,,xxIndexTeam),W79,0),0)</f>
        <v>0</v>
      </c>
      <c r="X69" s="889">
        <f>IFERROR(IF(INDEX(obalCh2Prod1Slot3Pack,,xxIndexTeam)=INDEX(cbalCh2Prod1Slot3Pack,,xxIndexTeam),X79,0),0)</f>
        <v>0</v>
      </c>
      <c r="Y69" s="887">
        <f>SUM(Z69:AB69)</f>
        <v>0</v>
      </c>
      <c r="Z69" s="889">
        <f>IFERROR(IF(INDEX(obalCh2Prod4Slot1Pack,,xxIndexTeam)=INDEX(cbalCh2Prod4Slot1Pack,,xxIndexTeam),Z79,0),0)</f>
        <v>0</v>
      </c>
      <c r="AA69" s="889">
        <f>IFERROR(IF(INDEX(obalCh2Prod4Slot2Pack,,xxIndexTeam)=INDEX(cbalCh2Prod4Slot2Pack,,xxIndexTeam),AA79,0),0)</f>
        <v>0</v>
      </c>
      <c r="AB69" s="889">
        <f>IFERROR(IF(INDEX(obalCh2Prod4Slot3Pack,,xxIndexTeam)=INDEX(cbalCh2Prod4Slot3Pack,,xxIndexTeam),AB79,0),0)</f>
        <v>0</v>
      </c>
      <c r="AC69" s="701"/>
      <c r="AE69" s="554"/>
      <c r="AF69" s="720"/>
      <c r="AG69" s="548">
        <f>tlinputCh2Prod1Slot3CustPrice*(1+VLOOKUP(tlOutputProd1,dataCustomerMargin,3,FALSE))</f>
        <v>0</v>
      </c>
      <c r="AH69" s="584" t="s">
        <v>6917</v>
      </c>
      <c r="AI69" s="554"/>
      <c r="AJ69" s="720"/>
      <c r="AK69" s="548">
        <f>tlOutputCh2Prod1Slot3SP-tlinputCh2Prod1Slot3CustPrice</f>
        <v>0</v>
      </c>
      <c r="AL69" s="584" t="s">
        <v>4872</v>
      </c>
      <c r="AM69" s="554"/>
      <c r="AN69" s="720"/>
      <c r="AO69" s="548">
        <f>tlinputCh2Prod1Slot3CustPrice*(1-tloutputCh2Prod1Slot1AvgPromoDis)</f>
        <v>0</v>
      </c>
      <c r="AP69" s="584" t="s">
        <v>4896</v>
      </c>
      <c r="AQ69" s="554"/>
      <c r="AR69" s="720"/>
      <c r="AS69" s="548">
        <f>INDEX(calcCh2Prod1Slot3AvgSalePrice,,xxIndexTeam)</f>
        <v>0</v>
      </c>
      <c r="AT69" s="584" t="s">
        <v>4908</v>
      </c>
      <c r="AU69" s="554"/>
      <c r="AV69" s="720"/>
      <c r="AW69" s="548">
        <f>ROUND(VLOOKUP(tlinputCh2Prod1Slot3Pack,dataPackPrice,3,FALSE)*0.8,2)</f>
        <v>0</v>
      </c>
      <c r="AX69" s="584" t="s">
        <v>8538</v>
      </c>
      <c r="AY69" s="554"/>
      <c r="AZ69" s="720"/>
      <c r="BA69" s="548">
        <f>ROUND(VLOOKUP(tlinputCh2Prod1Slot3Pack,dataPackPrice,3,FALSE)*1.2,2)</f>
        <v>0</v>
      </c>
      <c r="BB69" s="584" t="s">
        <v>8539</v>
      </c>
    </row>
    <row r="70" spans="4:54" ht="15.75" thickBot="1">
      <c r="D70" s="546"/>
      <c r="E70" s="539"/>
      <c r="F70" s="877" t="s">
        <v>9740</v>
      </c>
      <c r="G70" s="877" t="s">
        <v>9062</v>
      </c>
      <c r="H70" s="544"/>
      <c r="I70" s="544"/>
      <c r="J70" s="544"/>
      <c r="K70" s="543" t="s">
        <v>9058</v>
      </c>
      <c r="L70" s="891">
        <f t="shared" si="31"/>
        <v>603712529.45458031</v>
      </c>
      <c r="M70" s="891">
        <f>INDEX(cbalCh2Prod2Slot1GPaL,,xxIndexTeam)+INDEX(cbalCh2Prod2Slot2GPaL,,xxIndexTeam)+INDEX(cbalCh2Prod2Slot3GPaL,,xxIndexTeam)</f>
        <v>350525396.92029697</v>
      </c>
      <c r="N70" s="892">
        <f>IF(AND(INDEX(obalCh2Prod2Slot1Pack,,xxIndexTeam)=INDEX(cbalCh2Prod2Slot1Pack,,xxIndexTeam),INDEX(cbalCh2Prod2Slot1Active,,xxIndexTeam)=1),INDEX(cbalCh2Prod2Slot1GPaL,,xxIndexTeam),0)</f>
        <v>350525396.92029697</v>
      </c>
      <c r="O70" s="892">
        <f>IF(AND(INDEX(obalCh2Prod2Slot2Pack,,xxIndexTeam)=INDEX(cbalCh2Prod2Slot2Pack,,xxIndexTeam),INDEX(cbalCh2Prod2Slot2Active,,xxIndexTeam)=1),INDEX(cbalCh2Prod2Slot2GPaL,,xxIndexTeam),0)</f>
        <v>0</v>
      </c>
      <c r="P70" s="892">
        <f>IF(AND(INDEX(obalCh2Prod2Slot3Pack,,xxIndexTeam)=INDEX(cbalCh2Prod2Slot3Pack,,xxIndexTeam),INDEX(cbalCh2Prod2Slot3Active,,xxIndexTeam)=1),INDEX(cbalCh2Prod2Slot3GPaL,,xxIndexTeam),0)</f>
        <v>0</v>
      </c>
      <c r="Q70" s="891">
        <f>INDEX(cbalCh2Prod3Slot1GPaL,,xxIndexTeam)+INDEX(cbalCh2Prod3Slot2GPaL,,xxIndexTeam)+INDEX(cbalCh2Prod3Slot3GPaL,,xxIndexTeam)</f>
        <v>190266800.58770174</v>
      </c>
      <c r="R70" s="892">
        <f>IF(AND(INDEX(obalCh2Prod3Slot1Pack,,xxIndexTeam)=INDEX(cbalCh2Prod3Slot1Pack,,xxIndexTeam),INDEX(cbalCh2Prod3Slot1Active,,xxIndexTeam)=1),INDEX(cbalCh2Prod3Slot1GPaL,,xxIndexTeam),0)</f>
        <v>190266800.58770174</v>
      </c>
      <c r="S70" s="892">
        <f>IF(AND(INDEX(obalCh2Prod3Slot2Pack,,xxIndexTeam)=INDEX(cbalCh2Prod3Slot2Pack,,xxIndexTeam),INDEX(cbalCh2Prod3Slot2Active,,xxIndexTeam)=1),INDEX(cbalCh2Prod3Slot2GPaL,,xxIndexTeam),0)</f>
        <v>0</v>
      </c>
      <c r="T70" s="892">
        <f>IF(AND(INDEX(obalCh2Prod3Slot3Pack,,xxIndexTeam)=INDEX(cbalCh2Prod3Slot3Pack,,xxIndexTeam),INDEX(cbalCh2Prod3Slot3Active,,xxIndexTeam)=1),INDEX(cbalCh2Prod3Slot3GPaL,,xxIndexTeam),0)</f>
        <v>0</v>
      </c>
      <c r="U70" s="891">
        <f>INDEX(cbalCh2Prod1Slot1GPaL,,xxIndexTeam)+INDEX(cbalCh2Prod1Slot2GPaL,,xxIndexTeam)+INDEX(cbalCh2Prod1Slot3GPaL,,xxIndexTeam)</f>
        <v>62920331.946581602</v>
      </c>
      <c r="V70" s="892">
        <f>IF(AND(INDEX(obalCh2Prod1Slot1Pack,,xxIndexTeam)=INDEX(cbalCh2Prod1Slot1Pack,,xxIndexTeam),INDEX(cbalCh2Prod1Slot1Active,,xxIndexTeam)=1),INDEX(cbalCh2Prod1Slot1GPaL,,xxIndexTeam),0)</f>
        <v>62920331.946581602</v>
      </c>
      <c r="W70" s="892">
        <f>IF(AND(INDEX(obalCh2Prod1Slot2Pack,,xxIndexTeam)=INDEX(cbalCh2Prod1Slot2Pack,,xxIndexTeam),INDEX(cbalCh2Prod1Slot2Active,,xxIndexTeam)=1),INDEX(cbalCh2Prod1Slot2GPaL,,xxIndexTeam),0)</f>
        <v>0</v>
      </c>
      <c r="X70" s="892">
        <f>IF(AND(INDEX(obalCh2Prod1Slot3Pack,,xxIndexTeam)=INDEX(cbalCh2Prod1Slot3Pack,,xxIndexTeam),INDEX(cbalCh2Prod1Slot3Active,,xxIndexTeam)=1),INDEX(cbalCh2Prod1Slot3GPaL,,xxIndexTeam),0)</f>
        <v>0</v>
      </c>
      <c r="Y70" s="891">
        <f>INDEX(cbalCh2Prod4Slot1GPaL,,xxIndexTeam)+INDEX(cbalCh2Prod4Slot2GPaL,,xxIndexTeam)+INDEX(cbalCh2Prod4Slot3GPaL,,xxIndexTeam)</f>
        <v>0</v>
      </c>
      <c r="Z70" s="892">
        <f>IF(AND(INDEX(obalCh2Prod4Slot1Pack,,xxIndexTeam)=INDEX(cbalCh2Prod4Slot1Pack,,xxIndexTeam),INDEX(cbalCh2Prod4Slot1Active,,xxIndexTeam)=1),INDEX(cbalCh2Prod4Slot1GPaL,,xxIndexTeam),0)</f>
        <v>0</v>
      </c>
      <c r="AA70" s="892">
        <f>IF(AND(INDEX(obalCh2Prod4Slot2Pack,,xxIndexTeam)=INDEX(cbalCh2Prod4Slot2Pack,,xxIndexTeam),INDEX(cbalCh2Prod4Slot2Active,,xxIndexTeam)=1),INDEX(cbalCh2Prod4Slot2GPaL,,xxIndexTeam),0)</f>
        <v>0</v>
      </c>
      <c r="AB70" s="892">
        <f>IF(AND(INDEX(obalCh2Prod4Slot3Pack,,xxIndexTeam)=INDEX(cbalCh2Prod4Slot3Pack,,xxIndexTeam),INDEX(cbalCh2Prod4Slot3Active,,xxIndexTeam)=1),INDEX(cbalCh2Prod4Slot3GPaL,,xxIndexTeam),0)</f>
        <v>0</v>
      </c>
      <c r="AC70" s="701"/>
      <c r="AE70" s="554" t="str">
        <f>nmProd2</f>
        <v>Harken</v>
      </c>
      <c r="AF70" s="720"/>
      <c r="AG70" s="720"/>
      <c r="AH70" s="584"/>
      <c r="AI70" s="554"/>
      <c r="AJ70" s="720"/>
      <c r="AK70" s="720"/>
      <c r="AL70" s="584"/>
      <c r="AM70" s="554"/>
      <c r="AN70" s="720"/>
      <c r="AO70" s="720"/>
      <c r="AP70" s="584"/>
      <c r="AQ70" s="554"/>
      <c r="AR70" s="720"/>
      <c r="AS70" s="720"/>
      <c r="AT70" s="584"/>
      <c r="AU70" s="554"/>
      <c r="AV70" s="720"/>
      <c r="AW70" s="548">
        <f>ROUND(VLOOKUP(tlinputCh2Prod2Slot1Pack,dataPackPrice,3,FALSE)*0.8,2)</f>
        <v>6.08</v>
      </c>
      <c r="AX70" s="584" t="s">
        <v>8540</v>
      </c>
      <c r="AY70" s="554"/>
      <c r="AZ70" s="720"/>
      <c r="BA70" s="548">
        <f>ROUND(VLOOKUP(tlinputCh2Prod2Slot1Pack,dataPackPrice,3,FALSE)*1.2,2)</f>
        <v>9.1199999999999992</v>
      </c>
      <c r="BB70" s="584" t="s">
        <v>8541</v>
      </c>
    </row>
    <row r="71" spans="4:54" ht="15">
      <c r="K71" s="802"/>
      <c r="L71" s="802"/>
      <c r="M71" s="890"/>
      <c r="N71" s="890"/>
      <c r="O71" s="802"/>
      <c r="P71" s="802"/>
      <c r="Q71" s="802"/>
      <c r="R71" s="802"/>
      <c r="S71" s="802"/>
      <c r="T71" s="802"/>
      <c r="U71" s="802"/>
      <c r="V71" s="802"/>
      <c r="W71" s="802"/>
      <c r="X71" s="802"/>
      <c r="Y71" s="802"/>
      <c r="Z71" s="802"/>
      <c r="AA71" s="802"/>
      <c r="AB71" s="802"/>
      <c r="AE71" s="554"/>
      <c r="AF71" s="720"/>
      <c r="AG71" s="548">
        <f>tlinputCh2Prod2Slot1CustPrice*(1+VLOOKUP(tlOutputProd2,dataCustomerMargin,3,FALSE))</f>
        <v>8.3949999999999996</v>
      </c>
      <c r="AH71" s="584" t="s">
        <v>6918</v>
      </c>
      <c r="AI71" s="554"/>
      <c r="AJ71" s="720"/>
      <c r="AK71" s="548">
        <f>tlOutputCh2Prod2Slot1SP-tlinputCh2Prod2Slot1CustPrice</f>
        <v>1.0949999999999998</v>
      </c>
      <c r="AL71" s="584" t="s">
        <v>4873</v>
      </c>
      <c r="AM71" s="554"/>
      <c r="AN71" s="720"/>
      <c r="AO71" s="548">
        <f>tlinputCh2Prod2Slot1CustPrice*(1-tloutputCh2Prod2Slot1AvgPromoDis)</f>
        <v>7.3</v>
      </c>
      <c r="AP71" s="584" t="s">
        <v>4897</v>
      </c>
      <c r="AQ71" s="554"/>
      <c r="AR71" s="720"/>
      <c r="AS71" s="548">
        <f>INDEX(calcCh2Prod2Slot1AvgSalePrice,,xxIndexTeam)</f>
        <v>7.3</v>
      </c>
      <c r="AT71" s="584" t="s">
        <v>4909</v>
      </c>
      <c r="AU71" s="554"/>
      <c r="AV71" s="720"/>
      <c r="AW71" s="548">
        <f>ROUND(VLOOKUP(tlinputCh2Prod2Slot2Pack,dataPackPrice,3,FALSE)*0.8,2)</f>
        <v>0</v>
      </c>
      <c r="AX71" s="584" t="s">
        <v>8542</v>
      </c>
      <c r="AY71" s="554"/>
      <c r="AZ71" s="720"/>
      <c r="BA71" s="548">
        <f>ROUND(VLOOKUP(tlinputCh2Prod2Slot2Pack,dataPackPrice,3,FALSE)*1.2,2)</f>
        <v>0</v>
      </c>
      <c r="BB71" s="584" t="s">
        <v>8543</v>
      </c>
    </row>
    <row r="72" spans="4:54" ht="15">
      <c r="K72" s="802"/>
      <c r="L72" s="886">
        <f>L73-L70</f>
        <v>0</v>
      </c>
      <c r="M72" s="886">
        <f>M73-M70</f>
        <v>0</v>
      </c>
      <c r="N72" s="886">
        <f>N73-N70</f>
        <v>0</v>
      </c>
      <c r="O72" s="886">
        <f>O73-O70</f>
        <v>0</v>
      </c>
      <c r="P72" s="886">
        <f t="shared" ref="P72:AB72" si="32">P73-P70</f>
        <v>0</v>
      </c>
      <c r="Q72" s="886">
        <f t="shared" si="32"/>
        <v>0</v>
      </c>
      <c r="R72" s="930">
        <f t="shared" si="32"/>
        <v>0</v>
      </c>
      <c r="S72" s="930">
        <f t="shared" si="32"/>
        <v>0</v>
      </c>
      <c r="T72" s="886">
        <f t="shared" si="32"/>
        <v>0</v>
      </c>
      <c r="U72" s="886">
        <f t="shared" si="32"/>
        <v>0</v>
      </c>
      <c r="V72" s="886">
        <f t="shared" si="32"/>
        <v>0</v>
      </c>
      <c r="W72" s="886">
        <f t="shared" si="32"/>
        <v>0</v>
      </c>
      <c r="X72" s="886">
        <f t="shared" si="32"/>
        <v>0</v>
      </c>
      <c r="Y72" s="886">
        <f t="shared" si="32"/>
        <v>0</v>
      </c>
      <c r="Z72" s="886">
        <f t="shared" si="32"/>
        <v>0</v>
      </c>
      <c r="AA72" s="886">
        <f t="shared" si="32"/>
        <v>0</v>
      </c>
      <c r="AB72" s="886">
        <f t="shared" si="32"/>
        <v>0</v>
      </c>
      <c r="AE72" s="554"/>
      <c r="AF72" s="720"/>
      <c r="AG72" s="548">
        <f>tlinputCh2Prod2Slot2CustPrice*(1+VLOOKUP(tlOutputProd2,dataCustomerMargin,3,FALSE))</f>
        <v>0</v>
      </c>
      <c r="AH72" s="584" t="s">
        <v>6919</v>
      </c>
      <c r="AI72" s="554"/>
      <c r="AJ72" s="720"/>
      <c r="AK72" s="548">
        <f>tlOutputCh2Prod2Slot2SP-tlinputCh2Prod2Slot2CustPrice</f>
        <v>0</v>
      </c>
      <c r="AL72" s="584" t="s">
        <v>4874</v>
      </c>
      <c r="AM72" s="554"/>
      <c r="AN72" s="720"/>
      <c r="AO72" s="548">
        <f>tlinputCh2Prod2Slot2CustPrice*(1-tloutputCh2Prod2Slot1AvgPromoDis)</f>
        <v>0</v>
      </c>
      <c r="AP72" s="584" t="s">
        <v>4898</v>
      </c>
      <c r="AQ72" s="554"/>
      <c r="AR72" s="720"/>
      <c r="AS72" s="548">
        <f>INDEX(calcCh2Prod2Slot2AvgSalePrice,,xxIndexTeam)</f>
        <v>0</v>
      </c>
      <c r="AT72" s="584" t="s">
        <v>4910</v>
      </c>
      <c r="AU72" s="554"/>
      <c r="AV72" s="720"/>
      <c r="AW72" s="548">
        <f>ROUND(VLOOKUP(tlinputCh2Prod2Slot3Pack,dataPackPrice,3,FALSE)*0.8,2)</f>
        <v>0</v>
      </c>
      <c r="AX72" s="584" t="s">
        <v>8544</v>
      </c>
      <c r="AY72" s="554"/>
      <c r="AZ72" s="720"/>
      <c r="BA72" s="548">
        <f>ROUND(VLOOKUP(tlinputCh2Prod2Slot3Pack,dataPackPrice,3,FALSE)*1.2,2)</f>
        <v>0</v>
      </c>
      <c r="BB72" s="584" t="s">
        <v>8545</v>
      </c>
    </row>
    <row r="73" spans="4:54" ht="15.75" thickBot="1">
      <c r="D73" s="702" t="s">
        <v>6586</v>
      </c>
      <c r="E73" s="613"/>
      <c r="K73" s="802"/>
      <c r="L73" s="890">
        <f>L65+L66+L67+L68+L69</f>
        <v>603712529.45458031</v>
      </c>
      <c r="M73" s="890">
        <f t="shared" ref="M73:AB73" si="33">M65+M66+M67+M68+M69</f>
        <v>350525396.92029697</v>
      </c>
      <c r="N73" s="890">
        <f t="shared" si="33"/>
        <v>350525396.92029703</v>
      </c>
      <c r="O73" s="890">
        <f t="shared" si="33"/>
        <v>0</v>
      </c>
      <c r="P73" s="890">
        <f t="shared" si="33"/>
        <v>0</v>
      </c>
      <c r="Q73" s="890">
        <f t="shared" si="33"/>
        <v>190266800.58770174</v>
      </c>
      <c r="R73" s="890">
        <f t="shared" si="33"/>
        <v>190266800.58770177</v>
      </c>
      <c r="S73" s="890">
        <f t="shared" si="33"/>
        <v>0</v>
      </c>
      <c r="T73" s="890">
        <f t="shared" si="33"/>
        <v>0</v>
      </c>
      <c r="U73" s="890">
        <f t="shared" si="33"/>
        <v>62920331.946581602</v>
      </c>
      <c r="V73" s="890">
        <f t="shared" si="33"/>
        <v>62920331.946581595</v>
      </c>
      <c r="W73" s="890">
        <f t="shared" si="33"/>
        <v>0</v>
      </c>
      <c r="X73" s="890">
        <f t="shared" si="33"/>
        <v>0</v>
      </c>
      <c r="Y73" s="890">
        <f t="shared" si="33"/>
        <v>0</v>
      </c>
      <c r="Z73" s="890">
        <f t="shared" si="33"/>
        <v>0</v>
      </c>
      <c r="AA73" s="890">
        <f t="shared" si="33"/>
        <v>0</v>
      </c>
      <c r="AB73" s="890">
        <f t="shared" si="33"/>
        <v>0</v>
      </c>
      <c r="AE73" s="554"/>
      <c r="AF73" s="720"/>
      <c r="AG73" s="548">
        <f>tlinputCh2Prod2Slot3CustPrice*(1+VLOOKUP(tlOutputProd2,dataCustomerMargin,3,FALSE))</f>
        <v>0</v>
      </c>
      <c r="AH73" s="584" t="s">
        <v>6920</v>
      </c>
      <c r="AI73" s="554"/>
      <c r="AJ73" s="720"/>
      <c r="AK73" s="548">
        <f>tlOutputCh2Prod2Slot3SP-tlinputCh2Prod2Slot3CustPrice</f>
        <v>0</v>
      </c>
      <c r="AL73" s="584" t="s">
        <v>4875</v>
      </c>
      <c r="AM73" s="554"/>
      <c r="AN73" s="720"/>
      <c r="AO73" s="548">
        <f>tlinputCh2Prod2Slot3CustPrice*(1-tloutputCh2Prod2Slot1AvgPromoDis)</f>
        <v>0</v>
      </c>
      <c r="AP73" s="584" t="s">
        <v>4899</v>
      </c>
      <c r="AQ73" s="554"/>
      <c r="AR73" s="720"/>
      <c r="AS73" s="548">
        <f>INDEX(calcCh2Prod2Slot3AvgSalePrice,,xxIndexTeam)</f>
        <v>0</v>
      </c>
      <c r="AT73" s="584" t="s">
        <v>4911</v>
      </c>
      <c r="AU73" s="554"/>
      <c r="AV73" s="720"/>
      <c r="AW73" s="548">
        <f>ROUND(VLOOKUP(tlinputCh2Prod3Slot1Pack,dataPackPrice,3,FALSE)*0.8,2)</f>
        <v>6.72</v>
      </c>
      <c r="AX73" s="584" t="s">
        <v>8546</v>
      </c>
      <c r="AY73" s="554"/>
      <c r="AZ73" s="720"/>
      <c r="BA73" s="548">
        <f>ROUND(VLOOKUP(tlinputCh2Prod3Slot1Pack,dataPackPrice,3,FALSE)*1.2,2)</f>
        <v>10.08</v>
      </c>
      <c r="BB73" s="584" t="s">
        <v>8547</v>
      </c>
    </row>
    <row r="74" spans="4:54" ht="15">
      <c r="D74" s="555"/>
      <c r="E74" s="858"/>
      <c r="F74" s="600"/>
      <c r="G74" s="561"/>
      <c r="K74" s="802"/>
      <c r="L74" s="802" t="b">
        <f>L73=L70</f>
        <v>1</v>
      </c>
      <c r="M74" s="802" t="b">
        <f>M73=M70</f>
        <v>1</v>
      </c>
      <c r="N74" s="802" t="b">
        <f t="shared" ref="N74:AB74" si="34">N73=N70</f>
        <v>1</v>
      </c>
      <c r="O74" s="802" t="b">
        <f>O73=O70</f>
        <v>1</v>
      </c>
      <c r="P74" s="802" t="b">
        <f t="shared" si="34"/>
        <v>1</v>
      </c>
      <c r="Q74" s="802" t="b">
        <f t="shared" si="34"/>
        <v>1</v>
      </c>
      <c r="R74" s="802" t="b">
        <f>R73=R70</f>
        <v>1</v>
      </c>
      <c r="S74" s="802" t="b">
        <f t="shared" si="34"/>
        <v>1</v>
      </c>
      <c r="T74" s="802" t="b">
        <f t="shared" si="34"/>
        <v>1</v>
      </c>
      <c r="U74" s="802" t="b">
        <f t="shared" si="34"/>
        <v>1</v>
      </c>
      <c r="V74" s="802" t="b">
        <f t="shared" si="34"/>
        <v>1</v>
      </c>
      <c r="W74" s="802" t="b">
        <f t="shared" si="34"/>
        <v>1</v>
      </c>
      <c r="X74" s="802" t="b">
        <f t="shared" si="34"/>
        <v>1</v>
      </c>
      <c r="Y74" s="802" t="b">
        <f t="shared" si="34"/>
        <v>1</v>
      </c>
      <c r="Z74" s="802" t="b">
        <f t="shared" si="34"/>
        <v>1</v>
      </c>
      <c r="AA74" s="802" t="b">
        <f t="shared" si="34"/>
        <v>1</v>
      </c>
      <c r="AB74" s="802" t="b">
        <f t="shared" si="34"/>
        <v>1</v>
      </c>
      <c r="AE74" s="554" t="str">
        <f>nmProd3</f>
        <v>Kara</v>
      </c>
      <c r="AF74" s="720"/>
      <c r="AG74" s="720"/>
      <c r="AH74" s="584"/>
      <c r="AI74" s="554"/>
      <c r="AJ74" s="720"/>
      <c r="AK74" s="720"/>
      <c r="AL74" s="584"/>
      <c r="AM74" s="554"/>
      <c r="AN74" s="720"/>
      <c r="AO74" s="720"/>
      <c r="AP74" s="584"/>
      <c r="AQ74" s="554"/>
      <c r="AR74" s="720"/>
      <c r="AS74" s="720"/>
      <c r="AT74" s="584"/>
      <c r="AU74" s="554"/>
      <c r="AV74" s="720"/>
      <c r="AW74" s="548">
        <f>ROUND(VLOOKUP(tlinputCh2Prod3Slot2Pack,dataPackPrice,3,FALSE)*0.8,2)</f>
        <v>0</v>
      </c>
      <c r="AX74" s="584" t="s">
        <v>8548</v>
      </c>
      <c r="AY74" s="554"/>
      <c r="AZ74" s="720"/>
      <c r="BA74" s="548">
        <f>ROUND(VLOOKUP(tlinputCh2Prod3Slot2Pack,dataPackPrice,3,FALSE)*1.2,2)</f>
        <v>0</v>
      </c>
      <c r="BB74" s="584" t="s">
        <v>8549</v>
      </c>
    </row>
    <row r="75" spans="4:54" ht="15">
      <c r="D75" s="554"/>
      <c r="E75" s="735">
        <v>0</v>
      </c>
      <c r="F75" s="720" t="s">
        <v>4882</v>
      </c>
      <c r="G75" s="584"/>
      <c r="K75" s="802"/>
      <c r="L75" s="802"/>
      <c r="M75" s="802"/>
      <c r="N75" s="802"/>
      <c r="O75" s="802"/>
      <c r="P75" s="802"/>
      <c r="Q75" s="802"/>
      <c r="R75" s="802"/>
      <c r="S75" s="802"/>
      <c r="T75" s="802"/>
      <c r="U75" s="802"/>
      <c r="V75" s="802"/>
      <c r="W75" s="802"/>
      <c r="X75" s="802"/>
      <c r="Y75" s="802"/>
      <c r="Z75" s="802"/>
      <c r="AA75" s="802"/>
      <c r="AB75" s="802"/>
      <c r="AE75" s="554"/>
      <c r="AF75" s="720"/>
      <c r="AG75" s="548">
        <f>tlinputCh2Prod3Slot1CustPrice*(1+VLOOKUP(tlOutputProd3,dataCustomerMargin,3,FALSE))</f>
        <v>8.26</v>
      </c>
      <c r="AH75" s="584" t="s">
        <v>6921</v>
      </c>
      <c r="AI75" s="554"/>
      <c r="AJ75" s="720"/>
      <c r="AK75" s="548">
        <f>tlOutputCh2Prod3Slot1SP-tlinputCh2Prod3Slot1CustPrice</f>
        <v>1.2599999999999998</v>
      </c>
      <c r="AL75" s="584" t="s">
        <v>4876</v>
      </c>
      <c r="AM75" s="554"/>
      <c r="AN75" s="720"/>
      <c r="AO75" s="548">
        <f>tlinputCh2Prod3Slot1CustPrice*(1-tloutputCh2Prod3Slot1AvgPromoDis)</f>
        <v>7</v>
      </c>
      <c r="AP75" s="584" t="s">
        <v>4900</v>
      </c>
      <c r="AQ75" s="554"/>
      <c r="AR75" s="720"/>
      <c r="AS75" s="548">
        <f>INDEX(calcCh2Prod3Slot1AvgSalePrice,,xxIndexTeam)</f>
        <v>7</v>
      </c>
      <c r="AT75" s="584" t="s">
        <v>4912</v>
      </c>
      <c r="AU75" s="554"/>
      <c r="AV75" s="720"/>
      <c r="AW75" s="548">
        <f>ROUND(VLOOKUP(tlinputCh2Prod3Slot3Pack,dataPackPrice,3,FALSE)*0.8,2)</f>
        <v>0</v>
      </c>
      <c r="AX75" s="584" t="s">
        <v>8550</v>
      </c>
      <c r="AY75" s="554"/>
      <c r="AZ75" s="720"/>
      <c r="BA75" s="548">
        <f>ROUND(VLOOKUP(tlinputCh2Prod3Slot3Pack,dataPackPrice,3,FALSE)*1.2,2)</f>
        <v>0</v>
      </c>
      <c r="BB75" s="584" t="s">
        <v>8551</v>
      </c>
    </row>
    <row r="76" spans="4:54" ht="15">
      <c r="D76" s="554"/>
      <c r="E76" s="735">
        <v>0</v>
      </c>
      <c r="F76" s="720" t="s">
        <v>4883</v>
      </c>
      <c r="G76" s="584"/>
      <c r="K76" s="702" t="s">
        <v>10567</v>
      </c>
      <c r="L76" s="802"/>
      <c r="M76" s="802"/>
      <c r="N76" s="802"/>
      <c r="O76" s="931"/>
      <c r="P76" s="802"/>
      <c r="Q76" s="802"/>
      <c r="R76" s="802"/>
      <c r="S76" s="802"/>
      <c r="T76" s="802"/>
      <c r="U76" s="802"/>
      <c r="V76" s="802"/>
      <c r="W76" s="802"/>
      <c r="X76" s="802"/>
      <c r="Y76" s="802"/>
      <c r="Z76" s="802"/>
      <c r="AA76" s="802"/>
      <c r="AB76" s="802"/>
      <c r="AE76" s="554"/>
      <c r="AF76" s="720"/>
      <c r="AG76" s="548">
        <f>tlinputCh2Prod3Slot2CustPrice*(1+VLOOKUP(tlOutputProd3,dataCustomerMargin,3,FALSE))</f>
        <v>0</v>
      </c>
      <c r="AH76" s="584" t="s">
        <v>6922</v>
      </c>
      <c r="AI76" s="554"/>
      <c r="AJ76" s="720"/>
      <c r="AK76" s="548">
        <f>tlOutputCh2Prod3Slot2SP-tlinputCh2Prod3Slot2CustPrice</f>
        <v>0</v>
      </c>
      <c r="AL76" s="584" t="s">
        <v>4877</v>
      </c>
      <c r="AM76" s="554"/>
      <c r="AN76" s="720"/>
      <c r="AO76" s="548">
        <f>tlinputCh2Prod3Slot2CustPrice*(1-tloutputCh2Prod3Slot1AvgPromoDis)</f>
        <v>0</v>
      </c>
      <c r="AP76" s="584" t="s">
        <v>4901</v>
      </c>
      <c r="AQ76" s="554"/>
      <c r="AR76" s="720"/>
      <c r="AS76" s="548">
        <f>INDEX(calcCh2Prod3Slot2AvgSalePrice,,xxIndexTeam)</f>
        <v>0</v>
      </c>
      <c r="AT76" s="584" t="s">
        <v>4913</v>
      </c>
      <c r="AU76" s="554"/>
      <c r="AV76" s="720"/>
      <c r="AW76" s="548">
        <f>ROUND(VLOOKUP(tlinputCh2Prod4Slot1Pack,dataPackPrice,3,FALSE)*0.8,2)</f>
        <v>0</v>
      </c>
      <c r="AX76" s="584" t="s">
        <v>8552</v>
      </c>
      <c r="AY76" s="554"/>
      <c r="AZ76" s="720"/>
      <c r="BA76" s="548">
        <f>ROUND(VLOOKUP(tlinputCh2Prod4Slot1Pack,dataPackPrice,3,FALSE)*1.2,2)</f>
        <v>0</v>
      </c>
      <c r="BB76" s="584" t="s">
        <v>8553</v>
      </c>
    </row>
    <row r="77" spans="4:54" ht="15">
      <c r="D77" s="554"/>
      <c r="E77" s="735">
        <v>0</v>
      </c>
      <c r="F77" s="720" t="s">
        <v>4884</v>
      </c>
      <c r="G77" s="584"/>
      <c r="K77" s="802" t="s">
        <v>295</v>
      </c>
      <c r="L77" s="802"/>
      <c r="M77" s="802"/>
      <c r="N77" s="802">
        <f>(INDEX(cbalCh2Prod2Slot1SoldVol,,xxIndexTeam)-INDEX(obalCh2Prod2Slot1SoldVol,,xxIndexTeam))*INDEX(obalCh2Prod2Slot1GPaLPerLitre,,xxIndexTeam)</f>
        <v>9459431.7161900569</v>
      </c>
      <c r="O77" s="802" t="e">
        <f>(INDEX(cbalCh2Prod2Slot2SoldVol,,xxIndexTeam)-INDEX(obalCh2Prod2Slot2SoldVol,,xxIndexTeam))*INDEX(obalCh2Prod2Slot2GPaLPerLitre,,xxIndexTeam)</f>
        <v>#VALUE!</v>
      </c>
      <c r="P77" s="802" t="e">
        <f>(INDEX(cbalCh2Prod2Slot3SoldVol,,xxIndexTeam)-INDEX(obalCh2Prod2Slot3SoldVol,,xxIndexTeam))*INDEX(obalCh2Prod2Slot3GPaLPerLitre,,xxIndexTeam)</f>
        <v>#VALUE!</v>
      </c>
      <c r="Q77" s="802"/>
      <c r="R77" s="802">
        <f>(INDEX(cbalCh2Prod3Slot1SoldVol,,xxIndexTeam)-INDEX(obalCh2Prod3Slot1SoldVol,,xxIndexTeam))*INDEX(obalCh2Prod3Slot1GPaLPerLitre,,xxIndexTeam)</f>
        <v>-7737750.1796354065</v>
      </c>
      <c r="S77" s="802" t="e">
        <f>(INDEX(cbalCh2Prod3Slot2SoldVol,,xxIndexTeam)-INDEX(obalCh2Prod3Slot2SoldVol,,xxIndexTeam))*INDEX(obalCh2Prod3Slot2GPaLPerLitre,,xxIndexTeam)</f>
        <v>#VALUE!</v>
      </c>
      <c r="T77" s="802" t="e">
        <f>(INDEX(cbalCh2Prod3Slot3SoldVol,,xxIndexTeam)-INDEX(obalCh2Prod3Slot3SoldVol,,xxIndexTeam))*INDEX(obalCh2Prod3Slot3GPaLPerLitre,,xxIndexTeam)</f>
        <v>#VALUE!</v>
      </c>
      <c r="U77" s="802"/>
      <c r="V77" s="802">
        <f>(INDEX(cbalCh2Prod1Slot1SoldVol,,xxIndexTeam)-INDEX(obalCh2Prod1Slot1SoldVol,,xxIndexTeam))*INDEX(obalCh2Prod1Slot1GPaLPerLitre,,xxIndexTeam)</f>
        <v>-6271.539525752084</v>
      </c>
      <c r="W77" s="802" t="e">
        <f>(INDEX(cbalCh2Prod1Slot2SoldVol,,xxIndexTeam)-INDEX(obalCh2Prod1Slot2SoldVol,,xxIndexTeam))*INDEX(obalCh2Prod1Slot2GPaLPerLitre,,xxIndexTeam)</f>
        <v>#VALUE!</v>
      </c>
      <c r="X77" s="802" t="e">
        <f>(INDEX(cbalCh2Prod1Slot3SoldVol,,xxIndexTeam)-INDEX(obalCh2Prod1Slot3SoldVol,,xxIndexTeam))*INDEX(obalCh2Prod1Slot3GPaLPerLitre,,xxIndexTeam)</f>
        <v>#VALUE!</v>
      </c>
      <c r="Y77" s="802"/>
      <c r="Z77" s="802" t="e">
        <f>(INDEX(cbalCh2Prod4Slot1SoldVol,,xxIndexTeam)-INDEX(obalCh2Prod4Slot1SoldVol,,xxIndexTeam))*INDEX(obalCh2Prod4Slot1GPaLPerLitre,,xxIndexTeam)</f>
        <v>#VALUE!</v>
      </c>
      <c r="AA77" s="802" t="e">
        <f>(INDEX(cbalCh2Prod4Slot2SoldVol,,xxIndexTeam)-INDEX(obalCh2Prod4Slot2SoldVol,,xxIndexTeam))*INDEX(obalCh2Prod4Slot2GPaLPerLitre,,xxIndexTeam)</f>
        <v>#VALUE!</v>
      </c>
      <c r="AB77" s="802" t="e">
        <f>(INDEX(cbalCh2Prod4Slot3SoldVol,,xxIndexTeam)-INDEX(obalCh2Prod4Slot3SoldVol,,xxIndexTeam))*INDEX(obalCh2Prod4Slot3GPaLPerLitre,,xxIndexTeam)</f>
        <v>#VALUE!</v>
      </c>
      <c r="AE77" s="554"/>
      <c r="AF77" s="720"/>
      <c r="AG77" s="548">
        <f>tlinputCh2Prod3Slot3CustPrice*(1+VLOOKUP(tlOutputProd3,dataCustomerMargin,3,FALSE))</f>
        <v>0</v>
      </c>
      <c r="AH77" s="584" t="s">
        <v>6923</v>
      </c>
      <c r="AI77" s="554"/>
      <c r="AJ77" s="720"/>
      <c r="AK77" s="548">
        <f>tlOutputCh2Prod3Slot3SP-tlinputCh2Prod3Slot3CustPrice</f>
        <v>0</v>
      </c>
      <c r="AL77" s="584" t="s">
        <v>4878</v>
      </c>
      <c r="AM77" s="554"/>
      <c r="AN77" s="720"/>
      <c r="AO77" s="548">
        <f>tlinputCh2Prod3Slot3CustPrice*(1-tloutputCh2Prod3Slot1AvgPromoDis)</f>
        <v>0</v>
      </c>
      <c r="AP77" s="584" t="s">
        <v>4902</v>
      </c>
      <c r="AQ77" s="554"/>
      <c r="AR77" s="720"/>
      <c r="AS77" s="548">
        <f>INDEX(calcCh2Prod3Slot3AvgSalePrice,,xxIndexTeam)</f>
        <v>0</v>
      </c>
      <c r="AT77" s="584" t="s">
        <v>4914</v>
      </c>
      <c r="AU77" s="554"/>
      <c r="AV77" s="720"/>
      <c r="AW77" s="548">
        <f>ROUND(VLOOKUP(tlinputCh2Prod4Slot2Pack,dataPackPrice,3,FALSE)*0.8,2)</f>
        <v>0</v>
      </c>
      <c r="AX77" s="584" t="s">
        <v>8554</v>
      </c>
      <c r="AY77" s="554"/>
      <c r="AZ77" s="720"/>
      <c r="BA77" s="548">
        <f>ROUND(VLOOKUP(tlinputCh2Prod4Slot2Pack,dataPackPrice,3,FALSE)*1.2,2)</f>
        <v>0</v>
      </c>
      <c r="BB77" s="584" t="s">
        <v>8555</v>
      </c>
    </row>
    <row r="78" spans="4:54" ht="15">
      <c r="D78" s="554"/>
      <c r="E78" s="735">
        <v>0</v>
      </c>
      <c r="F78" s="720" t="s">
        <v>4885</v>
      </c>
      <c r="G78" s="584"/>
      <c r="K78" s="802" t="s">
        <v>151</v>
      </c>
      <c r="L78" s="802"/>
      <c r="M78" s="802"/>
      <c r="N78" s="802">
        <f>(INDEX(cbalCh2Prod2Slot1GPaLPerLitre,,xxIndexTeam)-INDEX(obalCh2Prod2Slot1GPaLPerLitre,xxIndexTeam))*INDEX(cbalCh2Prod2Slot1SoldVol,,xxIndexTeam)</f>
        <v>-4793876.6284293151</v>
      </c>
      <c r="O78" s="802" t="e">
        <f>(INDEX(cbalCh2Prod2Slot2GPaLPerLitre,,xxIndexTeam)-INDEX(obalCh2Prod2Slot2GPaLPerLitre,xxIndexTeam))*INDEX(cbalCh2Prod2Slot2SoldVol,,xxIndexTeam)</f>
        <v>#VALUE!</v>
      </c>
      <c r="P78" s="802" t="e">
        <f>(INDEX(cbalCh2Prod2Slot3GPaLPerLitre,,xxIndexTeam)-INDEX(obalCh2Prod2Slot3GPaLPerLitre,xxIndexTeam))*INDEX(cbalCh2Prod2Slot3SoldVol,,xxIndexTeam)</f>
        <v>#VALUE!</v>
      </c>
      <c r="Q78" s="802"/>
      <c r="R78" s="802">
        <f>(INDEX(cbalCh2Prod3Slot1GPaLPerLitre,,xxIndexTeam)-INDEX(obalCh2Prod3Slot1GPaLPerLitre,xxIndexTeam))*INDEX(cbalCh2Prod3Slot1SoldVol,,xxIndexTeam)</f>
        <v>526346.13475359895</v>
      </c>
      <c r="S78" s="802" t="e">
        <f>(INDEX(cbalCh2Prod3Slot2GPaLPerLitre,,xxIndexTeam)-INDEX(obalCh2Prod3Slot2GPaLPerLitre,xxIndexTeam))*INDEX(cbalCh2Prod3Slot2SoldVol,,xxIndexTeam)</f>
        <v>#VALUE!</v>
      </c>
      <c r="T78" s="802" t="e">
        <f>(INDEX(cbalCh2Prod3Slot3GPaLPerLitre,,xxIndexTeam)-INDEX(obalCh2Prod3Slot3GPaLPerLitre,xxIndexTeam))*INDEX(cbalCh2Prod3Slot3SoldVol,,xxIndexTeam)</f>
        <v>#VALUE!</v>
      </c>
      <c r="U78" s="802"/>
      <c r="V78" s="802">
        <f>(INDEX(cbalCh2Prod1Slot1GPaLPerLitre,,xxIndexTeam)-INDEX(obalCh2Prod1Slot1GPaLPerLitre,xxIndexTeam))*INDEX(cbalCh2Prod1Slot1SoldVol,,xxIndexTeam)</f>
        <v>-878374.63832959568</v>
      </c>
      <c r="W78" s="802" t="e">
        <f>(INDEX(cbalCh2Prod1Slot2GPaLPerLitre,,xxIndexTeam)-INDEX(obalCh2Prod1Slot2GPaLPerLitre,xxIndexTeam))*INDEX(cbalCh2Prod1Slot2SoldVol,,xxIndexTeam)</f>
        <v>#VALUE!</v>
      </c>
      <c r="X78" s="802" t="e">
        <f>(INDEX(cbalCh2Prod1Slot3GPaLPerLitre,,xxIndexTeam)-INDEX(obalCh2Prod1Slot3GPaLPerLitre,xxIndexTeam))*INDEX(cbalCh2Prod1Slot3SoldVol,,xxIndexTeam)</f>
        <v>#VALUE!</v>
      </c>
      <c r="Y78" s="802"/>
      <c r="Z78" s="802" t="e">
        <f>(INDEX(cbalCh2Prod4Slot1GPaLPerLitre,,xxIndexTeam)-INDEX(obalCh2Prod4Slot1GPaLPerLitre,xxIndexTeam))*INDEX(cbalCh2Prod4Slot1SoldVol,,xxIndexTeam)</f>
        <v>#VALUE!</v>
      </c>
      <c r="AA78" s="802" t="e">
        <f>(INDEX(cbalCh2Prod4Slot2GPaLPerLitre,,xxIndexTeam)-INDEX(obalCh2Prod4Slot2GPaLPerLitre,xxIndexTeam))*INDEX(cbalCh2Prod4Slot2SoldVol,,xxIndexTeam)</f>
        <v>#VALUE!</v>
      </c>
      <c r="AB78" s="802" t="e">
        <f>(INDEX(cbalCh2Prod4Slot3GPaLPerLitre,,xxIndexTeam)-INDEX(obalCh2Prod4Slot3GPaLPerLitre,xxIndexTeam))*INDEX(cbalCh2Prod4Slot3SoldVol,,xxIndexTeam)</f>
        <v>#VALUE!</v>
      </c>
      <c r="AE78" s="554" t="str">
        <f>nmProd4</f>
        <v>Brew Master</v>
      </c>
      <c r="AF78" s="720"/>
      <c r="AG78" s="720"/>
      <c r="AH78" s="584"/>
      <c r="AI78" s="554"/>
      <c r="AJ78" s="720"/>
      <c r="AK78" s="720"/>
      <c r="AL78" s="584"/>
      <c r="AM78" s="554"/>
      <c r="AN78" s="720"/>
      <c r="AO78" s="720"/>
      <c r="AP78" s="584"/>
      <c r="AQ78" s="554"/>
      <c r="AR78" s="720"/>
      <c r="AS78" s="720"/>
      <c r="AT78" s="584"/>
      <c r="AU78" s="554"/>
      <c r="AV78" s="720"/>
      <c r="AW78" s="548">
        <f>ROUND(VLOOKUP(tlinputCh2Prod4Slot3Pack,dataPackPrice,3,FALSE)*0.8,2)</f>
        <v>0</v>
      </c>
      <c r="AX78" s="584" t="s">
        <v>8556</v>
      </c>
      <c r="AY78" s="554"/>
      <c r="AZ78" s="720"/>
      <c r="BA78" s="548">
        <f>ROUND(VLOOKUP(tlinputCh2Prod4Slot3Pack,dataPackPrice,3,FALSE)*1.2,2)</f>
        <v>0</v>
      </c>
      <c r="BB78" s="584" t="s">
        <v>8557</v>
      </c>
    </row>
    <row r="79" spans="4:54" ht="15">
      <c r="D79" s="554"/>
      <c r="E79" s="735">
        <v>0</v>
      </c>
      <c r="F79" s="720" t="s">
        <v>4886</v>
      </c>
      <c r="G79" s="584"/>
      <c r="K79" s="802" t="s">
        <v>157</v>
      </c>
      <c r="L79" s="802"/>
      <c r="M79" s="802"/>
      <c r="N79" s="802">
        <f>(INDEX(obalCh2Prod2Slot1COGSpL,,xxIndexTeam)-INDEX(cbalCh2Prod2Slot1COGSpL,xxIndexTeam))*INDEX(cbalCh2Prod2Slot1SoldVol,,xxIndexTeam)</f>
        <v>-5170153.694715634</v>
      </c>
      <c r="O79" s="802" t="e">
        <f>(INDEX(obalCh2Prod2Slot2COGSpL,,xxIndexTeam)-INDEX(cbalCh2Prod2Slot2COGSpL,xxIndexTeam))*INDEX(cbalCh2Prod2Slot2SoldVol,,xxIndexTeam)</f>
        <v>#VALUE!</v>
      </c>
      <c r="P79" s="802" t="e">
        <f>(INDEX(obalCh2Prod2Slot3COGSpL,,xxIndexTeam)-INDEX(cbalCh2Prod2Slot3COGSpL,xxIndexTeam))*INDEX(cbalCh2Prod2Slot3SoldVol,,xxIndexTeam)</f>
        <v>#VALUE!</v>
      </c>
      <c r="Q79" s="802"/>
      <c r="R79" s="802">
        <f>(INDEX(obalCh2Prod3Slot1COGSpL,,xxIndexTeam)-INDEX(cbalCh2Prod3Slot1COGSpL,xxIndexTeam))*INDEX(cbalCh2Prod3Slot1SoldVol,,xxIndexTeam)</f>
        <v>243236.70390121901</v>
      </c>
      <c r="S79" s="802" t="e">
        <f>(INDEX(obalCh2Prod3Slot2COGSpL,,xxIndexTeam)-INDEX(cbalCh2Prod3Slot2COGSpL,xxIndexTeam))*INDEX(cbalCh2Prod3Slot2SoldVol,,xxIndexTeam)</f>
        <v>#VALUE!</v>
      </c>
      <c r="T79" s="802" t="e">
        <f>(INDEX(obalCh2Prod3Slot3COGSpL,,xxIndexTeam)-INDEX(cbalCh2Prod3Slot3COGSpL,xxIndexTeam))*INDEX(cbalCh2Prod3Slot3SoldVol,,xxIndexTeam)</f>
        <v>#VALUE!</v>
      </c>
      <c r="U79" s="802"/>
      <c r="V79" s="802">
        <f>(INDEX(obalCh2Prod1Slot1COGSpL,,xxIndexTeam)-INDEX(cbalCh2Prod1Slot1COGSpL,xxIndexTeam))*INDEX(cbalCh2Prod1Slot1SoldVol,,xxIndexTeam)</f>
        <v>-878500.73833102535</v>
      </c>
      <c r="W79" s="802" t="e">
        <f>(INDEX(obalCh2Prod1Slot2COGSpL,,xxIndexTeam)-INDEX(cbalCh2Prod1Slot2COGSpL,xxIndexTeam))*INDEX(cbalCh2Prod1Slot2SoldVol,,xxIndexTeam)</f>
        <v>#VALUE!</v>
      </c>
      <c r="X79" s="802" t="e">
        <f>(INDEX(obalCh2Prod1Slot3COGSpL,,xxIndexTeam)-INDEX(cbalCh2Prod1Slot3COGSpL,xxIndexTeam))*INDEX(cbalCh2Prod1Slot3SoldVol,,xxIndexTeam)</f>
        <v>#VALUE!</v>
      </c>
      <c r="Y79" s="802"/>
      <c r="Z79" s="802" t="e">
        <f>(INDEX(obalCh2Prod4Slot1COGSpL,,xxIndexTeam)-INDEX(cbalCh2Prod4Slot1COGSpL,xxIndexTeam))*INDEX(cbalCh2Prod4Slot1SoldVol,,xxIndexTeam)</f>
        <v>#VALUE!</v>
      </c>
      <c r="AA79" s="802" t="e">
        <f>(INDEX(obalCh2Prod4Slot2COGSpL,,xxIndexTeam)-INDEX(cbalCh2Prod4Slot2COGSpL,xxIndexTeam))*INDEX(cbalCh2Prod4Slot2SoldVol,,xxIndexTeam)</f>
        <v>#VALUE!</v>
      </c>
      <c r="AB79" s="802" t="e">
        <f>(INDEX(obalCh2Prod4Slot3COGSpL,,xxIndexTeam)-INDEX(cbalCh2Prod4Slot3COGSpL,xxIndexTeam))*INDEX(cbalCh2Prod4Slot3SoldVol,,xxIndexTeam)</f>
        <v>#VALUE!</v>
      </c>
      <c r="AE79" s="554"/>
      <c r="AF79" s="720"/>
      <c r="AG79" s="548">
        <f>tlinputCh2Prod4Slot1CustPrice*(1+VLOOKUP(tlOutputProd4,dataCustomerMargin,3,FALSE))</f>
        <v>0</v>
      </c>
      <c r="AH79" s="584" t="s">
        <v>6924</v>
      </c>
      <c r="AI79" s="554"/>
      <c r="AJ79" s="720"/>
      <c r="AK79" s="548">
        <f>tlOutputCh2Prod4Slot1SP-tlinputCh2Prod4Slot1CustPrice</f>
        <v>0</v>
      </c>
      <c r="AL79" s="584" t="s">
        <v>4879</v>
      </c>
      <c r="AM79" s="554"/>
      <c r="AN79" s="720"/>
      <c r="AO79" s="548">
        <f>tlinputCh2Prod4Slot1CustPrice*(1-tloutputCh2Prod4Slot1AvgPromoDis)</f>
        <v>0</v>
      </c>
      <c r="AP79" s="584" t="s">
        <v>4903</v>
      </c>
      <c r="AQ79" s="554"/>
      <c r="AR79" s="720"/>
      <c r="AS79" s="548">
        <f>INDEX(calcCh2Prod4Slot1AvgSalePrice,,xxIndexTeam)</f>
        <v>0</v>
      </c>
      <c r="AT79" s="584" t="s">
        <v>4915</v>
      </c>
      <c r="AU79" s="554"/>
      <c r="AV79" s="720"/>
      <c r="AW79" s="548"/>
      <c r="AX79" s="584"/>
      <c r="AY79" s="554"/>
      <c r="AZ79" s="720"/>
      <c r="BA79" s="548"/>
      <c r="BB79" s="584"/>
    </row>
    <row r="80" spans="4:54" ht="15">
      <c r="D80" s="554"/>
      <c r="E80" s="735">
        <v>0</v>
      </c>
      <c r="F80" s="720" t="s">
        <v>4887</v>
      </c>
      <c r="G80" s="584"/>
      <c r="AE80" s="554"/>
      <c r="AF80" s="720"/>
      <c r="AG80" s="548">
        <f>tlinputCh2Prod4Slot2CustPrice*(1+VLOOKUP(tlOutputProd4,dataCustomerMargin,3,FALSE))</f>
        <v>0</v>
      </c>
      <c r="AH80" s="584" t="s">
        <v>6925</v>
      </c>
      <c r="AI80" s="554"/>
      <c r="AJ80" s="720"/>
      <c r="AK80" s="548">
        <f>tlOutputCh2Prod4Slot2SP-tlinputCh2Prod4Slot2CustPrice</f>
        <v>0</v>
      </c>
      <c r="AL80" s="584" t="s">
        <v>4880</v>
      </c>
      <c r="AM80" s="554"/>
      <c r="AN80" s="720"/>
      <c r="AO80" s="548">
        <f>tlinputCh2Prod4Slot2CustPrice*(1-tloutputCh2Prod4Slot1AvgPromoDis)</f>
        <v>0</v>
      </c>
      <c r="AP80" s="584" t="s">
        <v>4904</v>
      </c>
      <c r="AQ80" s="554"/>
      <c r="AR80" s="720"/>
      <c r="AS80" s="548">
        <f>INDEX(calcCh2Prod4Slot2AvgSalePrice,,xxIndexTeam)</f>
        <v>0</v>
      </c>
      <c r="AT80" s="584" t="s">
        <v>4916</v>
      </c>
      <c r="AU80" s="554"/>
      <c r="AV80" s="720"/>
      <c r="AW80" s="548"/>
      <c r="AX80" s="584"/>
      <c r="AY80" s="554"/>
      <c r="AZ80" s="720"/>
      <c r="BA80" s="548"/>
      <c r="BB80" s="584"/>
    </row>
    <row r="81" spans="3:54" ht="15.75" thickBot="1">
      <c r="D81" s="554"/>
      <c r="E81" s="735">
        <v>0</v>
      </c>
      <c r="F81" s="720" t="s">
        <v>4888</v>
      </c>
      <c r="G81" s="584"/>
      <c r="AE81" s="546"/>
      <c r="AF81" s="544"/>
      <c r="AG81" s="755">
        <f>tlinputCh2Prod4Slot3CustPrice*(1+VLOOKUP(tlOutputProd4,dataCustomerMargin,3,FALSE))</f>
        <v>0</v>
      </c>
      <c r="AH81" s="733" t="s">
        <v>6926</v>
      </c>
      <c r="AI81" s="546"/>
      <c r="AJ81" s="544"/>
      <c r="AK81" s="755">
        <f>tlOutputCh2Prod4Slot3SP-tlinputCh2Prod4Slot3CustPrice</f>
        <v>0</v>
      </c>
      <c r="AL81" s="733" t="s">
        <v>4881</v>
      </c>
      <c r="AM81" s="546"/>
      <c r="AN81" s="544"/>
      <c r="AO81" s="755">
        <f>tlinputCh2Prod4Slot3CustPrice*(1-tloutputCh2Prod4Slot1AvgPromoDis)</f>
        <v>0</v>
      </c>
      <c r="AP81" s="733" t="s">
        <v>4905</v>
      </c>
      <c r="AQ81" s="546"/>
      <c r="AR81" s="544"/>
      <c r="AS81" s="755">
        <f>INDEX(calcCh2Prod4Slot3AvgSalePrice,,xxIndexTeam)</f>
        <v>0</v>
      </c>
      <c r="AT81" s="733" t="s">
        <v>4917</v>
      </c>
      <c r="AU81" s="546"/>
      <c r="AV81" s="544"/>
      <c r="AW81" s="755"/>
      <c r="AX81" s="733"/>
      <c r="AY81" s="546"/>
      <c r="AZ81" s="544"/>
      <c r="BA81" s="755"/>
      <c r="BB81" s="733"/>
    </row>
    <row r="82" spans="3:54" ht="15">
      <c r="D82" s="554"/>
      <c r="E82" s="735">
        <v>0</v>
      </c>
      <c r="F82" s="720" t="s">
        <v>4889</v>
      </c>
      <c r="G82" s="584"/>
    </row>
    <row r="83" spans="3:54" ht="15">
      <c r="D83" s="554"/>
      <c r="E83" s="735">
        <v>0</v>
      </c>
      <c r="F83" s="720" t="s">
        <v>4890</v>
      </c>
      <c r="G83" s="584"/>
    </row>
    <row r="84" spans="3:54" ht="15">
      <c r="D84" s="554"/>
      <c r="E84" s="735">
        <v>0</v>
      </c>
      <c r="F84" s="720" t="s">
        <v>4891</v>
      </c>
      <c r="G84" s="584"/>
    </row>
    <row r="85" spans="3:54" ht="15">
      <c r="C85" s="802"/>
      <c r="D85" s="554"/>
      <c r="E85" s="735">
        <v>0</v>
      </c>
      <c r="F85" s="720" t="s">
        <v>4892</v>
      </c>
      <c r="G85" s="584"/>
      <c r="H85" s="802"/>
      <c r="I85" s="802"/>
    </row>
    <row r="86" spans="3:54" ht="15.75" thickBot="1">
      <c r="C86" s="802"/>
      <c r="D86" s="546"/>
      <c r="E86" s="736">
        <v>0</v>
      </c>
      <c r="F86" s="544" t="s">
        <v>4893</v>
      </c>
      <c r="G86" s="733"/>
      <c r="H86" s="802"/>
      <c r="I86" s="802"/>
    </row>
    <row r="87" spans="3:54">
      <c r="C87" s="802"/>
      <c r="D87" s="802"/>
      <c r="E87" s="802"/>
      <c r="F87" s="802"/>
      <c r="G87" s="802"/>
      <c r="H87" s="802"/>
      <c r="I87" s="802"/>
    </row>
    <row r="88" spans="3:54">
      <c r="C88" s="802"/>
      <c r="D88" s="802"/>
      <c r="E88" s="802"/>
      <c r="F88" s="802"/>
      <c r="G88" s="802"/>
      <c r="H88" s="802"/>
      <c r="I88" s="802"/>
    </row>
    <row r="89" spans="3:54">
      <c r="C89" s="802"/>
      <c r="D89" s="802"/>
      <c r="E89" s="802"/>
      <c r="F89" s="802"/>
      <c r="G89" s="802"/>
      <c r="H89" s="802"/>
      <c r="I89" s="802"/>
    </row>
    <row r="90" spans="3:54">
      <c r="C90" s="802"/>
      <c r="D90" s="802"/>
      <c r="E90" s="802"/>
      <c r="F90" s="802"/>
      <c r="G90" s="802"/>
      <c r="H90" s="802"/>
      <c r="I90" s="802"/>
    </row>
    <row r="91" spans="3:54">
      <c r="C91" s="802"/>
      <c r="D91" s="802"/>
      <c r="E91" s="802"/>
      <c r="F91" s="802"/>
      <c r="G91" s="802"/>
      <c r="H91" s="802"/>
      <c r="I91" s="802"/>
    </row>
    <row r="92" spans="3:54">
      <c r="C92" s="802"/>
      <c r="D92" s="802"/>
      <c r="E92" s="802"/>
      <c r="F92" s="802"/>
      <c r="G92" s="802"/>
      <c r="H92" s="802"/>
      <c r="I92" s="802"/>
    </row>
    <row r="93" spans="3:54">
      <c r="C93" s="802"/>
      <c r="D93" s="802"/>
      <c r="E93" s="802"/>
      <c r="F93" s="802"/>
      <c r="G93" s="802"/>
      <c r="H93" s="802"/>
      <c r="I93" s="802"/>
    </row>
    <row r="94" spans="3:54">
      <c r="C94" s="802"/>
      <c r="D94" s="802"/>
      <c r="E94" s="802"/>
      <c r="F94" s="802"/>
      <c r="G94" s="802"/>
      <c r="H94" s="802"/>
      <c r="I94" s="802"/>
      <c r="AD94" s="628" t="s">
        <v>6883</v>
      </c>
      <c r="AE94" s="702" t="s">
        <v>6704</v>
      </c>
      <c r="AI94" s="628" t="s">
        <v>6891</v>
      </c>
      <c r="AJ94" s="773" t="s">
        <v>6728</v>
      </c>
      <c r="AM94" s="628" t="s">
        <v>6891</v>
      </c>
      <c r="AN94" s="773" t="s">
        <v>6732</v>
      </c>
    </row>
    <row r="95" spans="3:54">
      <c r="C95" s="802"/>
      <c r="D95" s="802"/>
      <c r="E95" s="802"/>
      <c r="F95" s="802"/>
      <c r="G95" s="802"/>
      <c r="H95" s="802"/>
      <c r="I95" s="802"/>
    </row>
    <row r="96" spans="3:54" ht="15" thickBot="1">
      <c r="C96" s="802"/>
      <c r="D96" s="802"/>
      <c r="E96" s="802"/>
      <c r="F96" s="802"/>
      <c r="G96" s="802"/>
      <c r="H96" s="802"/>
      <c r="I96" s="802"/>
      <c r="AE96" s="773" t="str">
        <f>nmCh2&amp;" - Variance Tracker (Excel Only)"</f>
        <v>Discounters - Variance Tracker (Excel Only)</v>
      </c>
      <c r="AF96" s="720"/>
      <c r="AG96" s="720"/>
      <c r="AH96" s="720"/>
      <c r="AI96" s="720"/>
      <c r="AN96" s="720"/>
      <c r="AO96" s="720"/>
      <c r="AP96" s="720"/>
      <c r="AQ96" s="720"/>
      <c r="AR96" s="720"/>
      <c r="AS96" s="720"/>
    </row>
    <row r="97" spans="3:49">
      <c r="C97" s="802"/>
      <c r="D97" s="802"/>
      <c r="E97" s="802"/>
      <c r="F97" s="802"/>
      <c r="G97" s="802"/>
      <c r="H97" s="802"/>
      <c r="I97" s="802"/>
      <c r="AE97" s="728" t="s">
        <v>6705</v>
      </c>
      <c r="AF97" s="600"/>
      <c r="AG97" s="600"/>
      <c r="AH97" s="561"/>
      <c r="AJ97" s="778" t="s">
        <v>6729</v>
      </c>
      <c r="AK97" s="600" t="str">
        <f>nmCh2&amp;" - Trade Terms Conditionality"</f>
        <v>Discounters - Trade Terms Conditionality</v>
      </c>
      <c r="AL97" s="561" t="s">
        <v>6927</v>
      </c>
      <c r="AN97" s="778"/>
      <c r="AO97" s="779" t="s">
        <v>4432</v>
      </c>
      <c r="AP97" s="780" t="s">
        <v>6928</v>
      </c>
      <c r="AQ97" s="780"/>
      <c r="AR97" s="780"/>
      <c r="AS97" s="781"/>
    </row>
    <row r="98" spans="3:49">
      <c r="AE98" s="554"/>
      <c r="AF98" s="720" t="s">
        <v>6708</v>
      </c>
      <c r="AG98" s="775" t="s">
        <v>521</v>
      </c>
      <c r="AH98" s="584" t="s">
        <v>8314</v>
      </c>
      <c r="AJ98" s="554" t="s">
        <v>1402</v>
      </c>
      <c r="AK98" s="720">
        <f>INDEX(calcCh2CondShare,,xxIndexTeam)*INDEX(calcCh2ValDrivExpTot,,xxIndexTeam)</f>
        <v>480000</v>
      </c>
      <c r="AL98" s="584" t="s">
        <v>6929</v>
      </c>
      <c r="AN98" s="782"/>
      <c r="AO98" s="783"/>
      <c r="AP98" s="783"/>
      <c r="AQ98" s="783"/>
      <c r="AR98" s="783"/>
      <c r="AS98" s="784"/>
    </row>
    <row r="99" spans="3:49">
      <c r="AE99" s="554"/>
      <c r="AF99" s="720" t="s">
        <v>6709</v>
      </c>
      <c r="AG99" s="775" t="s">
        <v>295</v>
      </c>
      <c r="AH99" s="584" t="s">
        <v>8315</v>
      </c>
      <c r="AJ99" s="554" t="s">
        <v>1403</v>
      </c>
      <c r="AK99" s="720">
        <f>(1-INDEX(calcCh2CondShare,,xxIndexTeam))*INDEX(calcCh2ValDrivExpTot,,xxIndexTeam)</f>
        <v>1019999.9999999999</v>
      </c>
      <c r="AL99" s="584" t="s">
        <v>6930</v>
      </c>
      <c r="AN99" s="782"/>
      <c r="AO99" s="785" t="str">
        <f>tlOutputProd1</f>
        <v>Greenborg</v>
      </c>
      <c r="AP99" s="785" t="str">
        <f>tlOutputProd2</f>
        <v>Harken</v>
      </c>
      <c r="AQ99" s="785" t="str">
        <f>tlOutputProd3</f>
        <v>Kara</v>
      </c>
      <c r="AR99" s="785" t="str">
        <f>tlOutputProd4</f>
        <v>Brew Master</v>
      </c>
      <c r="AS99" s="784"/>
    </row>
    <row r="100" spans="3:49">
      <c r="AE100" s="554"/>
      <c r="AF100" s="720" t="s">
        <v>6710</v>
      </c>
      <c r="AG100" s="608" t="s">
        <v>151</v>
      </c>
      <c r="AH100" s="584" t="s">
        <v>8316</v>
      </c>
      <c r="AJ100" s="554"/>
      <c r="AK100" s="720"/>
      <c r="AL100" s="584"/>
      <c r="AM100" s="720"/>
      <c r="AN100" s="786"/>
      <c r="AO100" s="785" t="s">
        <v>6581</v>
      </c>
      <c r="AP100" s="785" t="s">
        <v>6582</v>
      </c>
      <c r="AQ100" s="785" t="s">
        <v>6583</v>
      </c>
      <c r="AR100" s="785" t="s">
        <v>6584</v>
      </c>
      <c r="AS100" s="784"/>
    </row>
    <row r="101" spans="3:49">
      <c r="AE101" s="554"/>
      <c r="AF101" s="720" t="s">
        <v>6711</v>
      </c>
      <c r="AG101" s="608" t="s">
        <v>9060</v>
      </c>
      <c r="AH101" s="584" t="s">
        <v>8317</v>
      </c>
      <c r="AJ101" s="554"/>
      <c r="AK101" s="720"/>
      <c r="AL101" s="584"/>
      <c r="AM101" s="720"/>
      <c r="AN101" s="786" t="s">
        <v>157</v>
      </c>
      <c r="AO101" s="787">
        <f>INDEX(finPNLCh2Prod2Slot1TotalCOGs,,xxIndexTeam)+INDEX(finPNLCh2Prod2Slot2TotalCOGs,,xxIndexTeam)+INDEX(finPNLCh2Prod2Slot3TotalCOGs,,xxIndexTeam)</f>
        <v>323008366.45128036</v>
      </c>
      <c r="AP101" s="787">
        <f>INDEX(finPNLCh2Prod3Slot1TotalCOGs,,xxIndexTeam)+INDEX(finPNLCh2Prod3Slot2TotalCOGs,,xxIndexTeam)+INDEX(finPNLCh2Prod3Slot3TotalCOGs,,xxIndexTeam)</f>
        <v>216827237.95982891</v>
      </c>
      <c r="AQ101" s="787">
        <f>INDEX(finPNLCh2Prod1Slot1TotalCOGs,,xxIndexTeam)+INDEX(finPNLCh2Prod1Slot2TotalCOGs,,xxIndexTeam)+INDEX(finPNLCh2Prod1Slot3TotalCOGs,,xxIndexTeam)</f>
        <v>46260715.77506806</v>
      </c>
      <c r="AR101" s="787">
        <f>INDEX(finPNLCh2Prod4Slot1TotalCOGs,,xxIndexTeam)+INDEX(finPNLCh2Prod4Slot2TotalCOGs,,xxIndexTeam)+INDEX(finPNLCh2Prod4Slot3TotalCOGs,,xxIndexTeam)</f>
        <v>0</v>
      </c>
      <c r="AS101" s="784"/>
    </row>
    <row r="102" spans="3:49">
      <c r="AE102" s="554"/>
      <c r="AF102" s="720" t="s">
        <v>6712</v>
      </c>
      <c r="AG102" s="608" t="s">
        <v>9061</v>
      </c>
      <c r="AH102" s="584" t="s">
        <v>8318</v>
      </c>
      <c r="AJ102" s="554"/>
      <c r="AK102" s="720"/>
      <c r="AL102" s="584"/>
      <c r="AM102" s="720"/>
      <c r="AN102" s="782"/>
      <c r="AO102" s="783" t="s">
        <v>6931</v>
      </c>
      <c r="AP102" s="783" t="s">
        <v>6932</v>
      </c>
      <c r="AQ102" s="783" t="s">
        <v>6933</v>
      </c>
      <c r="AR102" s="783" t="s">
        <v>6934</v>
      </c>
      <c r="AS102" s="784"/>
    </row>
    <row r="103" spans="3:49">
      <c r="AE103" s="554"/>
      <c r="AF103" s="720" t="s">
        <v>6713</v>
      </c>
      <c r="AG103" s="608" t="s">
        <v>521</v>
      </c>
      <c r="AH103" s="584" t="s">
        <v>8319</v>
      </c>
      <c r="AJ103" s="554"/>
      <c r="AK103" s="720"/>
      <c r="AL103" s="584"/>
      <c r="AM103" s="720"/>
      <c r="AN103" s="786" t="s">
        <v>519</v>
      </c>
      <c r="AO103" s="787">
        <f>INDEX(finPNLCh2Prod2Slot1LogExp,,xxIndexTeam)+INDEX(finPNLCh2Prod2Slot2LogExp,,xxIndexTeam)+INDEX(finPNLCh2Prod2Slot3LogExp,,xxIndexTeam)</f>
        <v>37549478.352505259</v>
      </c>
      <c r="AP103" s="787">
        <f>INDEX(finPNLCh2Prod3Slot1LogExp,,xxIndexTeam)+INDEX(finPNLCh2Prod3Slot2LogExp,,xxIndexTeam)+INDEX(finPNLCh2Prod3Slot3LogExp,,xxIndexTeam)</f>
        <v>28263048.222315788</v>
      </c>
      <c r="AQ103" s="787">
        <f>INDEX(finPNLCh2Prod1Slot1LogExp,,xxIndexTeam)+INDEX(finPNLCh2Prod1Slot2LogExp,,xxIndexTeam)+INDEX(finPNLCh2Prod1Slot3LogExp,,xxIndexTeam)</f>
        <v>5441953.3844210533</v>
      </c>
      <c r="AR103" s="787">
        <f>INDEX(finPNLCh2Prod4Slot1LogExp,,xxIndexTeam)+INDEX(finPNLCh2Prod4Slot2LogExp,,xxIndexTeam)+INDEX(finPNLCh2Prod4Slot3LogExp,,xxIndexTeam)</f>
        <v>0</v>
      </c>
      <c r="AS103" s="784"/>
    </row>
    <row r="104" spans="3:49">
      <c r="E104" s="530"/>
      <c r="F104" s="720"/>
      <c r="G104" s="720"/>
      <c r="H104" s="720"/>
      <c r="I104" s="720"/>
      <c r="J104" s="720"/>
      <c r="K104" s="720"/>
      <c r="L104" s="720"/>
      <c r="M104" s="720"/>
      <c r="N104" s="720"/>
      <c r="O104" s="720"/>
      <c r="P104" s="720"/>
      <c r="Q104" s="720"/>
      <c r="R104" s="720"/>
      <c r="S104" s="720"/>
      <c r="T104" s="720"/>
      <c r="U104" s="720"/>
      <c r="V104" s="720"/>
      <c r="W104" s="720"/>
      <c r="X104" s="720"/>
      <c r="Y104" s="720"/>
      <c r="Z104" s="720"/>
      <c r="AA104" s="720"/>
      <c r="AB104" s="720"/>
      <c r="AC104" s="720"/>
      <c r="AD104" s="720"/>
      <c r="AE104" s="731" t="s">
        <v>6706</v>
      </c>
      <c r="AF104" s="720"/>
      <c r="AG104" s="720"/>
      <c r="AH104" s="584"/>
      <c r="AJ104" s="554"/>
      <c r="AK104" s="720"/>
      <c r="AL104" s="584"/>
      <c r="AM104" s="720"/>
      <c r="AN104" s="782"/>
      <c r="AO104" s="783" t="s">
        <v>6935</v>
      </c>
      <c r="AP104" s="783" t="s">
        <v>6936</v>
      </c>
      <c r="AQ104" s="783" t="s">
        <v>6937</v>
      </c>
      <c r="AR104" s="783" t="s">
        <v>6938</v>
      </c>
      <c r="AS104" s="784"/>
      <c r="AT104" s="720"/>
      <c r="AU104" s="720"/>
      <c r="AV104" s="720"/>
      <c r="AW104" s="720"/>
    </row>
    <row r="105" spans="3:49">
      <c r="E105" s="530"/>
      <c r="K105" s="720"/>
      <c r="L105" s="720"/>
      <c r="M105" s="720"/>
      <c r="N105" s="720"/>
      <c r="O105" s="720"/>
      <c r="P105" s="720"/>
      <c r="Q105" s="720"/>
      <c r="AB105" s="720"/>
      <c r="AC105" s="720"/>
      <c r="AD105" s="720"/>
      <c r="AE105" s="554"/>
      <c r="AF105" s="720" t="s">
        <v>6725</v>
      </c>
      <c r="AG105" s="774" t="s">
        <v>157</v>
      </c>
      <c r="AH105" s="584"/>
      <c r="AJ105" s="554"/>
      <c r="AK105" s="720"/>
      <c r="AL105" s="584"/>
      <c r="AM105" s="720"/>
      <c r="AN105" s="786" t="s">
        <v>4411</v>
      </c>
      <c r="AO105" s="787">
        <f>INDEX(finPNLCh2Prod2Slot1GPaL,,xxIndexTeam)+INDEX(finPNLCh2Prod2Slot2GPaL,,xxIndexTeam)+INDEX(finPNLCh2Prod2Slot3GPaL,,xxIndexTeam)</f>
        <v>350525396.92029697</v>
      </c>
      <c r="AP105" s="787">
        <f>INDEX(finPNLCh2Prod3Slot1GPaL,,xxIndexTeam)+INDEX(finPNLCh2Prod3Slot2GPaL,,xxIndexTeam)+INDEX(finPNLCh2Prod3Slot3GPaL,,xxIndexTeam)</f>
        <v>190266800.58770174</v>
      </c>
      <c r="AQ105" s="787">
        <f>INDEX(finPNLCh2Prod1Slot1GPaL,,xxIndexTeam)+INDEX(finPNLCh2Prod1Slot2GPaL,,xxIndexTeam)+INDEX(finPNLCh2Prod1Slot3GPaL,,xxIndexTeam)</f>
        <v>62920331.946581602</v>
      </c>
      <c r="AR105" s="787">
        <f>INDEX(finPNLCh2Prod4Slot1GPaL,,xxIndexTeam)+INDEX(finPNLCh2Prod4Slot2GPaL,,xxIndexTeam)+INDEX(finPNLCh2Prod4Slot3GPaL,,xxIndexTeam)</f>
        <v>0</v>
      </c>
      <c r="AS105" s="784"/>
      <c r="AT105" s="720"/>
      <c r="AU105" s="720"/>
      <c r="AV105" s="720"/>
      <c r="AW105" s="720"/>
    </row>
    <row r="106" spans="3:49">
      <c r="E106" s="530"/>
      <c r="K106" s="720"/>
      <c r="Q106" s="720"/>
      <c r="AB106" s="720"/>
      <c r="AC106" s="720"/>
      <c r="AD106" s="720"/>
      <c r="AE106" s="554"/>
      <c r="AF106" s="720" t="s">
        <v>6714</v>
      </c>
      <c r="AG106" s="776">
        <f>tlOutputCh2VtTotalCOGsPVol+tlOutputCh2VtLogExpPVol</f>
        <v>2.4553952820609206</v>
      </c>
      <c r="AH106" s="584" t="s">
        <v>8320</v>
      </c>
      <c r="AJ106" s="554"/>
      <c r="AK106" s="720"/>
      <c r="AL106" s="584"/>
      <c r="AM106" s="720"/>
      <c r="AN106" s="782"/>
      <c r="AO106" s="783" t="s">
        <v>6939</v>
      </c>
      <c r="AP106" s="783" t="s">
        <v>6940</v>
      </c>
      <c r="AQ106" s="783" t="s">
        <v>6941</v>
      </c>
      <c r="AR106" s="783" t="s">
        <v>6942</v>
      </c>
      <c r="AS106" s="784"/>
      <c r="AT106" s="720"/>
      <c r="AU106" s="720"/>
      <c r="AV106" s="720"/>
      <c r="AW106" s="720"/>
    </row>
    <row r="107" spans="3:49">
      <c r="E107" s="530"/>
      <c r="K107" s="720"/>
      <c r="Q107" s="720"/>
      <c r="AB107" s="720"/>
      <c r="AC107" s="720"/>
      <c r="AD107" s="720"/>
      <c r="AE107" s="554"/>
      <c r="AF107" s="720" t="s">
        <v>6720</v>
      </c>
      <c r="AG107" s="776">
        <f>SUM(tlOutputCh2WaterfallInvisible1+tlOutputCh2WaterfallVisible1)-AG115</f>
        <v>-2.4500000000000002</v>
      </c>
      <c r="AH107" s="584" t="s">
        <v>8321</v>
      </c>
      <c r="AJ107" s="554"/>
      <c r="AK107" s="720"/>
      <c r="AL107" s="584"/>
      <c r="AM107" s="720"/>
      <c r="AN107" s="786" t="s">
        <v>4431</v>
      </c>
      <c r="AO107" s="788">
        <f>(INDEX(finPNLCh2Prod2Slot1GPaL,,xxIndexTeam)+INDEX(finPNLCh2Prod2Slot2GPaL,,xxIndexTeam)+INDEX(finPNLCh2Prod2Slot3GPaL,,xxIndexTeam))/(INDEX(finPNLCh2Prod2Slot1TotalRev,,xxIndexTeam)+INDEX(finPNLCh2Prod2Slot2TotalRev,,xxIndexTeam)+INDEX(finPNLCh2Prod2Slot3TotalRev,,xxIndexTeam))</f>
        <v>0.49294565861293249</v>
      </c>
      <c r="AP107" s="788">
        <f>(INDEX(finPNLCh2Prod3Slot1GPaL,,xxIndexTeam)+INDEX(finPNLCh2Prod3Slot2GPaL,,xxIndexTeam)+INDEX(finPNLCh2Prod3Slot3GPaL,,xxIndexTeam))/(INDEX(finPNLCh2Prod3Slot1TotalRev,,xxIndexTeam)+INDEX(finPNLCh2Prod3Slot2TotalRev,,xxIndexTeam)+INDEX(finPNLCh2Prod3Slot3TotalRev,,xxIndexTeam))</f>
        <v>0.43703618562728752</v>
      </c>
      <c r="AQ107" s="788">
        <f>(INDEX(finPNLCh2Prod1Slot1GPaL,,xxIndexTeam)+INDEX(finPNLCh2Prod1Slot2GPaL,,xxIndexTeam)+INDEX(finPNLCh2Prod1Slot3GPaL,,xxIndexTeam))/(INDEX(finPNLCh2Prod1Slot1TotalRev,,xxIndexTeam)+INDEX(finPNLCh2Prod1Slot2TotalRev,,xxIndexTeam)+INDEX(finPNLCh2Prod1Slot3TotalRev,,xxIndexTeam))</f>
        <v>0.54893286111359008</v>
      </c>
      <c r="AR107" s="788">
        <f>IF(AND(INDEX(calcCh2Prod4Slot1Active,,xxIndexTeam)=1,INDEX(calcCh2Prod4Slot1VolForecastSlot,,xxIndexTeam)&lt;&gt;0),(INDEX(finPNLCh2Prod4Slot1GPaL,,xxIndexTeam)+INDEX(finPNLCh2Prod4Slot2GPaL,,xxIndexTeam)+INDEX(finPNLCh2Prod4Slot3GPaL,,xxIndexTeam))/(INDEX(finPNLCh2Prod4Slot1TotalRev,,xxIndexTeam)+INDEX(finPNLCh2Prod4Slot2TotalRev,,xxIndexTeam)+INDEX(finPNLCh2Prod4Slot3TotalRev,,xxIndexTeam)),0)</f>
        <v>0</v>
      </c>
      <c r="AS107" s="784"/>
      <c r="AT107" s="720"/>
      <c r="AU107" s="720"/>
      <c r="AV107" s="720"/>
      <c r="AW107" s="720"/>
    </row>
    <row r="108" spans="3:49">
      <c r="E108" s="530"/>
      <c r="K108" s="720"/>
      <c r="Q108" s="720"/>
      <c r="AB108" s="720"/>
      <c r="AC108" s="720"/>
      <c r="AD108" s="720"/>
      <c r="AE108" s="554"/>
      <c r="AF108" s="720" t="s">
        <v>6721</v>
      </c>
      <c r="AG108" s="776">
        <f>IF(tlOutputCh2Vtstaple1-tlOutputCh2Vtstaple2&lt;0,AG107,AG107-AG116)</f>
        <v>-2.4500000000000002</v>
      </c>
      <c r="AH108" s="584" t="s">
        <v>8322</v>
      </c>
      <c r="AJ108" s="554"/>
      <c r="AK108" s="720"/>
      <c r="AL108" s="584"/>
      <c r="AM108" s="720"/>
      <c r="AN108" s="782"/>
      <c r="AO108" s="783" t="s">
        <v>6943</v>
      </c>
      <c r="AP108" s="783" t="s">
        <v>6944</v>
      </c>
      <c r="AQ108" s="783" t="s">
        <v>6945</v>
      </c>
      <c r="AR108" s="783" t="s">
        <v>6946</v>
      </c>
      <c r="AS108" s="784"/>
      <c r="AT108" s="720"/>
      <c r="AU108" s="720"/>
      <c r="AV108" s="720"/>
      <c r="AW108" s="720"/>
    </row>
    <row r="109" spans="3:49">
      <c r="E109" s="530"/>
      <c r="K109" s="720"/>
      <c r="Q109" s="720"/>
      <c r="AB109" s="720"/>
      <c r="AC109" s="720"/>
      <c r="AD109" s="720"/>
      <c r="AE109" s="554"/>
      <c r="AF109" s="720" t="s">
        <v>6722</v>
      </c>
      <c r="AG109" s="776">
        <f>IF(tlOutputCh2Vtstaple2-tlOutputCh2Vtstaple3&lt;0,AG108,AG108-AG117)</f>
        <v>-2.4500000000000002</v>
      </c>
      <c r="AH109" s="584" t="s">
        <v>8323</v>
      </c>
      <c r="AJ109" s="554"/>
      <c r="AK109" s="720"/>
      <c r="AL109" s="584"/>
      <c r="AM109" s="720"/>
      <c r="AN109" s="782"/>
      <c r="AO109" s="783"/>
      <c r="AP109" s="783"/>
      <c r="AQ109" s="783"/>
      <c r="AR109" s="783"/>
      <c r="AS109" s="784"/>
      <c r="AT109" s="720"/>
      <c r="AU109" s="720"/>
      <c r="AV109" s="720"/>
      <c r="AW109" s="720"/>
    </row>
    <row r="110" spans="3:49">
      <c r="E110" s="530"/>
      <c r="K110" s="720"/>
      <c r="Q110" s="720"/>
      <c r="AB110" s="720"/>
      <c r="AC110" s="720"/>
      <c r="AD110" s="720"/>
      <c r="AE110" s="554"/>
      <c r="AF110" s="720" t="s">
        <v>6723</v>
      </c>
      <c r="AG110" s="776">
        <f>AG109-AG118</f>
        <v>-2.4564749227292939</v>
      </c>
      <c r="AH110" s="584" t="s">
        <v>8324</v>
      </c>
      <c r="AJ110" s="554"/>
      <c r="AK110" s="720"/>
      <c r="AL110" s="584"/>
      <c r="AM110" s="720"/>
      <c r="AN110" s="782"/>
      <c r="AO110" s="783"/>
      <c r="AP110" s="783"/>
      <c r="AQ110" s="783"/>
      <c r="AR110" s="783"/>
      <c r="AS110" s="784"/>
      <c r="AT110" s="720"/>
      <c r="AU110" s="720"/>
      <c r="AV110" s="720"/>
      <c r="AW110" s="720"/>
    </row>
    <row r="111" spans="3:49" ht="15" thickBot="1">
      <c r="E111" s="530"/>
      <c r="K111" s="720"/>
      <c r="Q111" s="720"/>
      <c r="AB111" s="720"/>
      <c r="AC111" s="720"/>
      <c r="AD111" s="720"/>
      <c r="AE111" s="554"/>
      <c r="AF111" s="720" t="s">
        <v>6719</v>
      </c>
      <c r="AG111" s="776">
        <f>tlOutputCh2VtTotalCOGsPVol+tlOutputCh2VtLogExpPVol</f>
        <v>2.4553952820609206</v>
      </c>
      <c r="AH111" s="584" t="s">
        <v>8325</v>
      </c>
      <c r="AJ111" s="546"/>
      <c r="AK111" s="544"/>
      <c r="AL111" s="733"/>
      <c r="AM111" s="720"/>
      <c r="AN111" s="782"/>
      <c r="AO111" s="783"/>
      <c r="AP111" s="783"/>
      <c r="AQ111" s="783"/>
      <c r="AR111" s="783"/>
      <c r="AS111" s="784"/>
      <c r="AT111" s="720"/>
      <c r="AU111" s="720"/>
      <c r="AV111" s="720"/>
      <c r="AW111" s="720"/>
    </row>
    <row r="112" spans="3:49">
      <c r="E112" s="530"/>
      <c r="K112" s="720"/>
      <c r="Q112" s="720"/>
      <c r="AB112" s="720"/>
      <c r="AC112" s="720"/>
      <c r="AD112" s="720"/>
      <c r="AE112" s="731" t="s">
        <v>6707</v>
      </c>
      <c r="AF112" s="720"/>
      <c r="AG112" s="720"/>
      <c r="AH112" s="584"/>
      <c r="AK112" s="720"/>
      <c r="AL112" s="720"/>
      <c r="AM112" s="720"/>
      <c r="AN112" s="554"/>
      <c r="AO112" s="720"/>
      <c r="AP112" s="720"/>
      <c r="AQ112" s="720"/>
      <c r="AR112" s="720"/>
      <c r="AS112" s="584"/>
      <c r="AT112" s="720"/>
      <c r="AU112" s="720"/>
      <c r="AV112" s="720"/>
      <c r="AW112" s="720"/>
    </row>
    <row r="113" spans="5:49" ht="15" thickBot="1">
      <c r="E113" s="530"/>
      <c r="F113" s="530"/>
      <c r="G113" s="530"/>
      <c r="H113" s="530"/>
      <c r="I113" s="530"/>
      <c r="J113" s="530"/>
      <c r="K113" s="720"/>
      <c r="Q113" s="720"/>
      <c r="AB113" s="720"/>
      <c r="AC113" s="720"/>
      <c r="AD113" s="720"/>
      <c r="AE113" s="554"/>
      <c r="AF113" s="720" t="s">
        <v>6724</v>
      </c>
      <c r="AG113" s="774" t="s">
        <v>521</v>
      </c>
      <c r="AH113" s="584"/>
      <c r="AJ113" s="702" t="s">
        <v>8491</v>
      </c>
      <c r="AK113" s="720"/>
      <c r="AL113" s="720"/>
      <c r="AM113" s="720"/>
      <c r="AN113" s="554"/>
      <c r="AO113" s="720"/>
      <c r="AP113" s="720"/>
      <c r="AQ113" s="720"/>
      <c r="AR113" s="720"/>
      <c r="AS113" s="584"/>
      <c r="AT113" s="720"/>
      <c r="AU113" s="720"/>
      <c r="AV113" s="720"/>
      <c r="AW113" s="720"/>
    </row>
    <row r="114" spans="5:49">
      <c r="E114" s="530"/>
      <c r="F114" s="530"/>
      <c r="G114" s="530"/>
      <c r="H114" s="530"/>
      <c r="I114" s="530"/>
      <c r="J114" s="530"/>
      <c r="K114" s="720"/>
      <c r="Q114" s="720"/>
      <c r="AB114" s="720"/>
      <c r="AC114" s="720"/>
      <c r="AD114" s="720"/>
      <c r="AE114" s="554"/>
      <c r="AF114" s="720" t="s">
        <v>6714</v>
      </c>
      <c r="AG114" s="777">
        <f>tlOutputCh2Vtstaple1-tlOutputCh2VtTotalCOGsPVol-tlOutputCh2VtLogExpPVol</f>
        <v>-2.4553952820609206</v>
      </c>
      <c r="AH114" s="584" t="s">
        <v>8326</v>
      </c>
      <c r="AJ114" s="555" t="s">
        <v>8479</v>
      </c>
      <c r="AK114" s="893">
        <f>INDEX(L65:AB65,,INDEX(calcCh2VtCode,,xxIndexTeam))</f>
        <v>63804978.124436945</v>
      </c>
      <c r="AL114" s="561" t="s">
        <v>8492</v>
      </c>
      <c r="AM114" s="720"/>
      <c r="AN114" s="554"/>
      <c r="AO114" s="720"/>
      <c r="AP114" s="720"/>
      <c r="AQ114" s="720"/>
      <c r="AR114" s="720"/>
      <c r="AS114" s="584"/>
      <c r="AT114" s="720"/>
      <c r="AU114" s="720"/>
      <c r="AV114" s="720"/>
      <c r="AW114" s="720"/>
    </row>
    <row r="115" spans="5:49">
      <c r="E115" s="530"/>
      <c r="F115" s="530"/>
      <c r="G115" s="530"/>
      <c r="H115" s="530"/>
      <c r="I115" s="530"/>
      <c r="J115" s="530"/>
      <c r="K115" s="720"/>
      <c r="Q115" s="720"/>
      <c r="AB115" s="720"/>
      <c r="AC115" s="720"/>
      <c r="AD115" s="720"/>
      <c r="AE115" s="554"/>
      <c r="AF115" s="720" t="s">
        <v>6715</v>
      </c>
      <c r="AG115" s="777">
        <f>tlOutputCh2VtExcisePVol</f>
        <v>2.4500000000000002</v>
      </c>
      <c r="AH115" s="584" t="s">
        <v>8327</v>
      </c>
      <c r="AJ115" s="554" t="s">
        <v>8480</v>
      </c>
      <c r="AK115" s="894">
        <f>INDEX(L66:AB66,,INDEX(calcCh2VtCode,,xxIndexTeam))</f>
        <v>-6271.539525752084</v>
      </c>
      <c r="AL115" s="584" t="s">
        <v>8493</v>
      </c>
      <c r="AM115" s="720"/>
      <c r="AN115" s="554"/>
      <c r="AO115" s="720"/>
      <c r="AP115" s="720"/>
      <c r="AQ115" s="720"/>
      <c r="AR115" s="720"/>
      <c r="AS115" s="584"/>
      <c r="AT115" s="720"/>
      <c r="AU115" s="720"/>
      <c r="AV115" s="720"/>
      <c r="AW115" s="720"/>
    </row>
    <row r="116" spans="5:49">
      <c r="E116" s="530"/>
      <c r="F116" s="530"/>
      <c r="G116" s="530"/>
      <c r="H116" s="530"/>
      <c r="I116" s="530"/>
      <c r="J116" s="530"/>
      <c r="K116" s="720"/>
      <c r="Q116" s="720"/>
      <c r="AB116" s="720"/>
      <c r="AC116" s="720"/>
      <c r="AD116" s="720"/>
      <c r="AE116" s="554"/>
      <c r="AF116" s="720" t="s">
        <v>6716</v>
      </c>
      <c r="AG116" s="777">
        <f>IF(tlOutputCh2Vtstaple1-tlOutputCh2Vtstaple2&lt;0,tlOutputCh2Vtstaple2-tlOutputCh2Vtstaple1,tlOutputCh2Vtstaple1-tlOutputCh2Vtstaple2)</f>
        <v>0</v>
      </c>
      <c r="AH116" s="584" t="s">
        <v>8328</v>
      </c>
      <c r="AJ116" s="554" t="s">
        <v>8481</v>
      </c>
      <c r="AK116" s="894">
        <f>INDEX(L67:AB67,,INDEX(calcCh2VtCode,,xxIndexTeam))</f>
        <v>126.10000142967328</v>
      </c>
      <c r="AL116" s="584" t="s">
        <v>8494</v>
      </c>
      <c r="AM116" s="720"/>
      <c r="AN116" s="554"/>
      <c r="AO116" s="720"/>
      <c r="AP116" s="720"/>
      <c r="AQ116" s="720"/>
      <c r="AR116" s="720"/>
      <c r="AS116" s="584"/>
      <c r="AT116" s="720"/>
      <c r="AU116" s="720"/>
      <c r="AV116" s="720"/>
      <c r="AW116" s="720"/>
    </row>
    <row r="117" spans="5:49">
      <c r="E117" s="530"/>
      <c r="F117" s="530"/>
      <c r="G117" s="530"/>
      <c r="H117" s="530"/>
      <c r="I117" s="530"/>
      <c r="J117" s="530"/>
      <c r="K117" s="720"/>
      <c r="Q117" s="720"/>
      <c r="AB117" s="720"/>
      <c r="AC117" s="720"/>
      <c r="AD117" s="720"/>
      <c r="AE117" s="554"/>
      <c r="AF117" s="720" t="s">
        <v>6717</v>
      </c>
      <c r="AG117" s="777">
        <f>IF(tlOutputCh2Vtstaple1-tlOutputCh2Vtstaple3&lt;0,tlOutputCh2Vtstaple3-tlOutputCh2Vtstaple2,tlOutputCh2Vtstaple2-tlOutputCh2Vtstaple3)</f>
        <v>0</v>
      </c>
      <c r="AH117" s="584" t="s">
        <v>8329</v>
      </c>
      <c r="AJ117" s="554" t="s">
        <v>8482</v>
      </c>
      <c r="AK117" s="894">
        <f>INDEX(L68:AB68,,INDEX(calcCh2VtCode,,xxIndexTeam))</f>
        <v>7.4505805969238281E-9</v>
      </c>
      <c r="AL117" s="584" t="s">
        <v>8495</v>
      </c>
      <c r="AM117" s="720"/>
      <c r="AN117" s="554"/>
      <c r="AO117" s="720"/>
      <c r="AP117" s="720"/>
      <c r="AQ117" s="720"/>
      <c r="AR117" s="720"/>
      <c r="AS117" s="584"/>
      <c r="AT117" s="720"/>
      <c r="AU117" s="720"/>
      <c r="AV117" s="720"/>
      <c r="AW117" s="720"/>
    </row>
    <row r="118" spans="5:49">
      <c r="E118" s="530"/>
      <c r="F118" s="530"/>
      <c r="G118" s="530"/>
      <c r="H118" s="530"/>
      <c r="I118" s="530"/>
      <c r="J118" s="530"/>
      <c r="K118" s="720"/>
      <c r="Q118" s="720"/>
      <c r="AB118" s="720"/>
      <c r="AC118" s="720"/>
      <c r="AD118" s="720"/>
      <c r="AE118" s="554"/>
      <c r="AF118" s="720" t="s">
        <v>6718</v>
      </c>
      <c r="AG118" s="777">
        <f>tlOutputCh2VtDiscountsPVol</f>
        <v>6.4749227292938806E-3</v>
      </c>
      <c r="AH118" s="584" t="s">
        <v>8330</v>
      </c>
      <c r="AJ118" s="554" t="s">
        <v>8483</v>
      </c>
      <c r="AK118" s="894">
        <f>INDEX(L69:AB69,,INDEX(calcCh2VtCode,,xxIndexTeam))</f>
        <v>-878500.73833102535</v>
      </c>
      <c r="AL118" s="584" t="s">
        <v>8496</v>
      </c>
      <c r="AM118" s="720"/>
      <c r="AN118" s="554"/>
      <c r="AO118" s="720"/>
      <c r="AP118" s="720"/>
      <c r="AQ118" s="720"/>
      <c r="AR118" s="720"/>
      <c r="AS118" s="584"/>
      <c r="AT118" s="720"/>
      <c r="AU118" s="720"/>
      <c r="AV118" s="720"/>
      <c r="AW118" s="720"/>
    </row>
    <row r="119" spans="5:49">
      <c r="E119" s="530"/>
      <c r="F119" s="530"/>
      <c r="G119" s="530"/>
      <c r="H119" s="530"/>
      <c r="I119" s="530"/>
      <c r="J119" s="530"/>
      <c r="K119" s="720"/>
      <c r="Q119" s="720"/>
      <c r="AB119" s="720"/>
      <c r="AC119" s="720"/>
      <c r="AD119" s="720"/>
      <c r="AE119" s="554"/>
      <c r="AF119" s="720" t="s">
        <v>6719</v>
      </c>
      <c r="AG119" s="777">
        <f>AG110-AG111</f>
        <v>-4.9118702047902145</v>
      </c>
      <c r="AH119" s="584" t="s">
        <v>8331</v>
      </c>
      <c r="AJ119" s="554" t="s">
        <v>8484</v>
      </c>
      <c r="AK119" s="894">
        <f t="shared" ref="AK119" si="35">INDEX(L70:AB70,,INDEX(calcCh2VtCode,,xxIndexTeam))</f>
        <v>62920331.946581602</v>
      </c>
      <c r="AL119" s="584" t="s">
        <v>8497</v>
      </c>
      <c r="AN119" s="554"/>
      <c r="AO119" s="720"/>
      <c r="AP119" s="720"/>
      <c r="AQ119" s="720"/>
      <c r="AR119" s="720"/>
      <c r="AS119" s="584"/>
      <c r="AT119" s="720"/>
      <c r="AU119" s="720"/>
      <c r="AV119" s="720"/>
      <c r="AW119" s="720"/>
    </row>
    <row r="120" spans="5:49">
      <c r="E120" s="530"/>
      <c r="F120" s="530"/>
      <c r="G120" s="530"/>
      <c r="H120" s="530"/>
      <c r="I120" s="530"/>
      <c r="J120" s="530"/>
      <c r="K120" s="720"/>
      <c r="Q120" s="720"/>
      <c r="AB120" s="720"/>
      <c r="AC120" s="720"/>
      <c r="AD120" s="720"/>
      <c r="AE120" s="554"/>
      <c r="AF120" s="720"/>
      <c r="AG120" s="720"/>
      <c r="AH120" s="584"/>
      <c r="AJ120" s="554"/>
      <c r="AK120" s="862"/>
      <c r="AL120" s="584"/>
      <c r="AN120" s="554"/>
      <c r="AO120" s="720"/>
      <c r="AP120" s="720"/>
      <c r="AQ120" s="720"/>
      <c r="AR120" s="720"/>
      <c r="AS120" s="584"/>
      <c r="AT120" s="720"/>
      <c r="AU120" s="720"/>
      <c r="AV120" s="720"/>
      <c r="AW120" s="720"/>
    </row>
    <row r="121" spans="5:49" ht="15" thickBot="1">
      <c r="E121" s="530"/>
      <c r="F121" s="530"/>
      <c r="G121" s="530"/>
      <c r="H121" s="530"/>
      <c r="I121" s="530"/>
      <c r="J121" s="530"/>
      <c r="K121" s="720"/>
      <c r="Q121" s="720"/>
      <c r="AB121" s="720"/>
      <c r="AC121" s="720"/>
      <c r="AD121" s="720"/>
      <c r="AE121" s="554"/>
      <c r="AF121" s="720"/>
      <c r="AG121" s="720"/>
      <c r="AH121" s="584"/>
      <c r="AJ121" s="546"/>
      <c r="AK121" s="544"/>
      <c r="AL121" s="733"/>
      <c r="AN121" s="554"/>
      <c r="AO121" s="720"/>
      <c r="AP121" s="720"/>
      <c r="AQ121" s="720"/>
      <c r="AR121" s="720"/>
      <c r="AS121" s="584"/>
      <c r="AT121" s="720"/>
      <c r="AU121" s="720"/>
      <c r="AV121" s="720"/>
      <c r="AW121" s="720"/>
    </row>
    <row r="122" spans="5:49">
      <c r="E122" s="530"/>
      <c r="F122" s="530"/>
      <c r="G122" s="530"/>
      <c r="H122" s="530"/>
      <c r="I122" s="530"/>
      <c r="J122" s="530"/>
      <c r="K122" s="720"/>
      <c r="Q122" s="720"/>
      <c r="AB122" s="720"/>
      <c r="AC122" s="720"/>
      <c r="AD122" s="720"/>
      <c r="AE122" s="554"/>
      <c r="AF122" s="720"/>
      <c r="AG122" s="720"/>
      <c r="AH122" s="584"/>
      <c r="AN122" s="554"/>
      <c r="AO122" s="720"/>
      <c r="AP122" s="720"/>
      <c r="AQ122" s="720"/>
      <c r="AR122" s="720"/>
      <c r="AS122" s="584"/>
      <c r="AT122" s="720"/>
      <c r="AU122" s="720"/>
      <c r="AV122" s="720"/>
      <c r="AW122" s="720"/>
    </row>
    <row r="123" spans="5:49">
      <c r="E123" s="530"/>
      <c r="F123" s="530"/>
      <c r="G123" s="530"/>
      <c r="H123" s="530"/>
      <c r="I123" s="530"/>
      <c r="J123" s="530"/>
      <c r="K123" s="720"/>
      <c r="Q123" s="720"/>
      <c r="AB123" s="720"/>
      <c r="AC123" s="720"/>
      <c r="AD123" s="720"/>
      <c r="AE123" s="554"/>
      <c r="AF123" s="720"/>
      <c r="AG123" s="720"/>
      <c r="AH123" s="584"/>
      <c r="AN123" s="554"/>
      <c r="AO123" s="720"/>
      <c r="AP123" s="720"/>
      <c r="AQ123" s="720"/>
      <c r="AR123" s="720"/>
      <c r="AS123" s="584"/>
      <c r="AT123" s="720"/>
      <c r="AU123" s="720"/>
      <c r="AV123" s="720"/>
      <c r="AW123" s="720"/>
    </row>
    <row r="124" spans="5:49">
      <c r="E124" s="530"/>
      <c r="F124" s="530"/>
      <c r="G124" s="530"/>
      <c r="H124" s="530"/>
      <c r="I124" s="530"/>
      <c r="J124" s="530"/>
      <c r="K124" s="720"/>
      <c r="Q124" s="720"/>
      <c r="AB124" s="720"/>
      <c r="AC124" s="720"/>
      <c r="AD124" s="720"/>
      <c r="AE124" s="554"/>
      <c r="AF124" s="720"/>
      <c r="AG124" s="720"/>
      <c r="AH124" s="584"/>
      <c r="AN124" s="554"/>
      <c r="AO124" s="720"/>
      <c r="AP124" s="720"/>
      <c r="AQ124" s="720"/>
      <c r="AR124" s="720"/>
      <c r="AS124" s="584"/>
      <c r="AT124" s="720"/>
      <c r="AU124" s="720"/>
      <c r="AV124" s="720"/>
      <c r="AW124" s="720"/>
    </row>
    <row r="125" spans="5:49">
      <c r="E125" s="530"/>
      <c r="F125" s="530"/>
      <c r="G125" s="530"/>
      <c r="H125" s="530"/>
      <c r="I125" s="530"/>
      <c r="J125" s="530"/>
      <c r="K125" s="720"/>
      <c r="Q125" s="720"/>
      <c r="AB125" s="720"/>
      <c r="AC125" s="720"/>
      <c r="AD125" s="720"/>
      <c r="AE125" s="554"/>
      <c r="AF125" s="720"/>
      <c r="AG125" s="720"/>
      <c r="AH125" s="584"/>
      <c r="AN125" s="554"/>
      <c r="AO125" s="720"/>
      <c r="AP125" s="720"/>
      <c r="AQ125" s="720"/>
      <c r="AR125" s="720"/>
      <c r="AS125" s="584"/>
      <c r="AT125" s="720"/>
      <c r="AU125" s="720"/>
      <c r="AV125" s="720"/>
      <c r="AW125" s="720"/>
    </row>
    <row r="126" spans="5:49">
      <c r="E126" s="530"/>
      <c r="F126" s="530"/>
      <c r="G126" s="530"/>
      <c r="H126" s="530"/>
      <c r="I126" s="530"/>
      <c r="J126" s="530"/>
      <c r="K126" s="720"/>
      <c r="Q126" s="720"/>
      <c r="AB126" s="720"/>
      <c r="AC126" s="720"/>
      <c r="AD126" s="720"/>
      <c r="AE126" s="554"/>
      <c r="AF126" s="720"/>
      <c r="AG126" s="720"/>
      <c r="AH126" s="584"/>
      <c r="AN126" s="554"/>
      <c r="AO126" s="720"/>
      <c r="AP126" s="720"/>
      <c r="AQ126" s="720"/>
      <c r="AR126" s="720"/>
      <c r="AS126" s="584"/>
      <c r="AT126" s="720"/>
      <c r="AU126" s="720"/>
      <c r="AV126" s="720"/>
      <c r="AW126" s="720"/>
    </row>
    <row r="127" spans="5:49">
      <c r="E127" s="530"/>
      <c r="F127" s="530"/>
      <c r="G127" s="530"/>
      <c r="H127" s="530"/>
      <c r="I127" s="530"/>
      <c r="J127" s="530"/>
      <c r="K127" s="720"/>
      <c r="Q127" s="720"/>
      <c r="AB127" s="720"/>
      <c r="AC127" s="720"/>
      <c r="AD127" s="720"/>
      <c r="AE127" s="554"/>
      <c r="AF127" s="720"/>
      <c r="AG127" s="720"/>
      <c r="AH127" s="584"/>
      <c r="AN127" s="554"/>
      <c r="AO127" s="720"/>
      <c r="AP127" s="720"/>
      <c r="AQ127" s="720"/>
      <c r="AR127" s="720"/>
      <c r="AS127" s="584"/>
      <c r="AT127" s="720"/>
      <c r="AU127" s="720"/>
      <c r="AV127" s="720"/>
      <c r="AW127" s="720"/>
    </row>
    <row r="128" spans="5:49">
      <c r="E128" s="530"/>
      <c r="F128" s="530"/>
      <c r="G128" s="530"/>
      <c r="H128" s="530"/>
      <c r="I128" s="530"/>
      <c r="J128" s="530"/>
      <c r="K128" s="720"/>
      <c r="L128" s="720"/>
      <c r="M128" s="720"/>
      <c r="N128" s="720"/>
      <c r="O128" s="720"/>
      <c r="P128" s="720"/>
      <c r="Q128" s="720"/>
      <c r="AB128" s="720"/>
      <c r="AC128" s="720"/>
      <c r="AD128" s="720"/>
      <c r="AE128" s="554"/>
      <c r="AF128" s="720"/>
      <c r="AG128" s="720"/>
      <c r="AH128" s="584"/>
      <c r="AN128" s="554"/>
      <c r="AO128" s="720"/>
      <c r="AP128" s="720"/>
      <c r="AQ128" s="720"/>
      <c r="AR128" s="720"/>
      <c r="AS128" s="584"/>
      <c r="AT128" s="720"/>
      <c r="AU128" s="720"/>
      <c r="AV128" s="720"/>
      <c r="AW128" s="720"/>
    </row>
    <row r="129" spans="5:47">
      <c r="E129" s="530"/>
      <c r="F129" s="720"/>
      <c r="G129" s="720"/>
      <c r="H129" s="720"/>
      <c r="I129" s="720"/>
      <c r="J129" s="720"/>
      <c r="K129" s="720"/>
      <c r="L129" s="720"/>
      <c r="M129" s="720"/>
      <c r="N129" s="720"/>
      <c r="O129" s="720"/>
      <c r="P129" s="720"/>
      <c r="Q129" s="720"/>
      <c r="AB129" s="720"/>
      <c r="AC129" s="720"/>
      <c r="AD129" s="720"/>
      <c r="AE129" s="554"/>
      <c r="AF129" s="720"/>
      <c r="AG129" s="720"/>
      <c r="AH129" s="584"/>
      <c r="AN129" s="554"/>
      <c r="AO129" s="720"/>
      <c r="AP129" s="720"/>
      <c r="AQ129" s="720"/>
      <c r="AR129" s="720"/>
      <c r="AS129" s="584"/>
    </row>
    <row r="130" spans="5:47">
      <c r="E130" s="530"/>
      <c r="F130" s="720"/>
      <c r="G130" s="720"/>
      <c r="H130" s="720"/>
      <c r="I130" s="720"/>
      <c r="J130" s="720"/>
      <c r="K130" s="720"/>
      <c r="L130" s="720"/>
      <c r="M130" s="720"/>
      <c r="N130" s="720"/>
      <c r="O130" s="720"/>
      <c r="P130" s="720"/>
      <c r="Q130" s="720"/>
      <c r="AB130" s="720"/>
      <c r="AC130" s="720"/>
      <c r="AD130" s="720"/>
      <c r="AE130" s="554"/>
      <c r="AF130" s="720"/>
      <c r="AG130" s="720"/>
      <c r="AH130" s="584"/>
      <c r="AN130" s="554"/>
      <c r="AO130" s="720"/>
      <c r="AP130" s="720"/>
      <c r="AQ130" s="720"/>
      <c r="AR130" s="720"/>
      <c r="AS130" s="584"/>
    </row>
    <row r="131" spans="5:47">
      <c r="E131" s="530"/>
      <c r="F131" s="720"/>
      <c r="G131" s="720"/>
      <c r="H131" s="720"/>
      <c r="I131" s="720"/>
      <c r="J131" s="720"/>
      <c r="K131" s="720"/>
      <c r="L131" s="720"/>
      <c r="M131" s="720"/>
      <c r="N131" s="720"/>
      <c r="O131" s="720"/>
      <c r="P131" s="720"/>
      <c r="Q131" s="720"/>
      <c r="AB131" s="720"/>
      <c r="AC131" s="720"/>
      <c r="AD131" s="720"/>
      <c r="AE131" s="554"/>
      <c r="AF131" s="720"/>
      <c r="AG131" s="720"/>
      <c r="AH131" s="584"/>
      <c r="AN131" s="554"/>
      <c r="AO131" s="720"/>
      <c r="AP131" s="720"/>
      <c r="AQ131" s="720"/>
      <c r="AR131" s="720"/>
      <c r="AS131" s="584"/>
    </row>
    <row r="132" spans="5:47">
      <c r="E132" s="530"/>
      <c r="F132" s="720"/>
      <c r="G132" s="720"/>
      <c r="H132" s="720"/>
      <c r="I132" s="720"/>
      <c r="J132" s="720"/>
      <c r="K132" s="720"/>
      <c r="L132" s="720"/>
      <c r="M132" s="720"/>
      <c r="N132" s="720"/>
      <c r="O132" s="720"/>
      <c r="P132" s="720"/>
      <c r="Q132" s="720"/>
      <c r="AB132" s="720"/>
      <c r="AC132" s="720"/>
      <c r="AD132" s="720"/>
      <c r="AE132" s="554"/>
      <c r="AF132" s="720"/>
      <c r="AG132" s="720"/>
      <c r="AH132" s="584"/>
      <c r="AN132" s="554"/>
      <c r="AO132" s="720"/>
      <c r="AP132" s="720"/>
      <c r="AQ132" s="720"/>
      <c r="AR132" s="720"/>
      <c r="AS132" s="584"/>
    </row>
    <row r="133" spans="5:47">
      <c r="E133" s="530"/>
      <c r="F133" s="720"/>
      <c r="G133" s="720"/>
      <c r="H133" s="720"/>
      <c r="I133" s="720"/>
      <c r="J133" s="720"/>
      <c r="K133" s="720"/>
      <c r="L133" s="720"/>
      <c r="M133" s="720"/>
      <c r="N133" s="720"/>
      <c r="O133" s="720"/>
      <c r="P133" s="720"/>
      <c r="Q133" s="720"/>
      <c r="AB133" s="720"/>
      <c r="AC133" s="720"/>
      <c r="AD133" s="720"/>
      <c r="AE133" s="554"/>
      <c r="AF133" s="720"/>
      <c r="AG133" s="720"/>
      <c r="AH133" s="584"/>
      <c r="AN133" s="554"/>
      <c r="AO133" s="720"/>
      <c r="AP133" s="720"/>
      <c r="AQ133" s="720"/>
      <c r="AR133" s="720"/>
      <c r="AS133" s="584"/>
    </row>
    <row r="134" spans="5:47" ht="15" thickBot="1">
      <c r="E134" s="530"/>
      <c r="F134" s="720"/>
      <c r="G134" s="720"/>
      <c r="H134" s="720"/>
      <c r="I134" s="720"/>
      <c r="J134" s="720"/>
      <c r="K134" s="720"/>
      <c r="L134" s="720"/>
      <c r="M134" s="720"/>
      <c r="N134" s="720"/>
      <c r="O134" s="720"/>
      <c r="P134" s="720"/>
      <c r="Q134" s="720"/>
      <c r="AB134" s="720"/>
      <c r="AC134" s="720"/>
      <c r="AD134" s="720"/>
      <c r="AE134" s="554"/>
      <c r="AF134" s="720"/>
      <c r="AG134" s="720"/>
      <c r="AH134" s="584"/>
      <c r="AN134" s="546"/>
      <c r="AO134" s="544"/>
      <c r="AP134" s="544"/>
      <c r="AQ134" s="544"/>
      <c r="AR134" s="544"/>
      <c r="AS134" s="733"/>
    </row>
    <row r="135" spans="5:47">
      <c r="E135" s="530"/>
      <c r="F135" s="720"/>
      <c r="G135" s="720"/>
      <c r="H135" s="720"/>
      <c r="I135" s="720"/>
      <c r="J135" s="720"/>
      <c r="K135" s="720"/>
      <c r="L135" s="720"/>
      <c r="M135" s="720"/>
      <c r="N135" s="720"/>
      <c r="O135" s="720"/>
      <c r="P135" s="720"/>
      <c r="Q135" s="720"/>
      <c r="AB135" s="720"/>
      <c r="AC135" s="720"/>
      <c r="AD135" s="720"/>
      <c r="AE135" s="554"/>
      <c r="AF135" s="720"/>
      <c r="AG135" s="720"/>
      <c r="AH135" s="584"/>
    </row>
    <row r="136" spans="5:47">
      <c r="E136" s="530"/>
      <c r="F136" s="720"/>
      <c r="G136" s="720"/>
      <c r="H136" s="720"/>
      <c r="I136" s="720"/>
      <c r="J136" s="720"/>
      <c r="K136" s="720"/>
      <c r="L136" s="720"/>
      <c r="M136" s="720"/>
      <c r="N136" s="720"/>
      <c r="O136" s="720"/>
      <c r="P136" s="720"/>
      <c r="Q136" s="720"/>
      <c r="AB136" s="720"/>
      <c r="AC136" s="720"/>
      <c r="AD136" s="720"/>
      <c r="AE136" s="554"/>
      <c r="AF136" s="720"/>
      <c r="AG136" s="720"/>
      <c r="AH136" s="584"/>
    </row>
    <row r="137" spans="5:47">
      <c r="E137" s="530"/>
      <c r="F137" s="720"/>
      <c r="G137" s="720"/>
      <c r="H137" s="720"/>
      <c r="I137" s="720"/>
      <c r="J137" s="720"/>
      <c r="K137" s="720"/>
      <c r="L137" s="720"/>
      <c r="M137" s="720"/>
      <c r="N137" s="720"/>
      <c r="O137" s="720"/>
      <c r="P137" s="720"/>
      <c r="Q137" s="720"/>
      <c r="R137" s="720"/>
      <c r="S137" s="720"/>
      <c r="T137" s="720"/>
      <c r="U137" s="720"/>
      <c r="V137" s="720"/>
      <c r="W137" s="720"/>
      <c r="X137" s="720"/>
      <c r="Y137" s="720"/>
      <c r="Z137" s="720"/>
      <c r="AA137" s="720"/>
      <c r="AB137" s="720"/>
      <c r="AC137" s="720"/>
      <c r="AD137" s="720"/>
      <c r="AE137" s="554"/>
      <c r="AF137" s="720"/>
      <c r="AG137" s="720"/>
      <c r="AH137" s="584"/>
    </row>
    <row r="138" spans="5:47">
      <c r="E138" s="530"/>
      <c r="F138" s="720"/>
      <c r="G138" s="720"/>
      <c r="H138" s="720"/>
      <c r="I138" s="720"/>
      <c r="J138" s="720"/>
      <c r="K138" s="720"/>
      <c r="L138" s="720"/>
      <c r="M138" s="720"/>
      <c r="N138" s="720"/>
      <c r="O138" s="720"/>
      <c r="P138" s="720"/>
      <c r="Q138" s="720"/>
      <c r="R138" s="720"/>
      <c r="S138" s="720"/>
      <c r="T138" s="720"/>
      <c r="U138" s="720"/>
      <c r="V138" s="720"/>
      <c r="W138" s="720"/>
      <c r="X138" s="720"/>
      <c r="Y138" s="720"/>
      <c r="Z138" s="720"/>
      <c r="AA138" s="720"/>
      <c r="AB138" s="720"/>
      <c r="AC138" s="720"/>
      <c r="AD138" s="720"/>
      <c r="AE138" s="554"/>
      <c r="AF138" s="720"/>
      <c r="AG138" s="720"/>
      <c r="AH138" s="584"/>
    </row>
    <row r="139" spans="5:47">
      <c r="E139" s="530"/>
      <c r="F139" s="720"/>
      <c r="G139" s="720"/>
      <c r="H139" s="720"/>
      <c r="I139" s="720"/>
      <c r="J139" s="720"/>
      <c r="K139" s="720"/>
      <c r="L139" s="720"/>
      <c r="M139" s="720"/>
      <c r="N139" s="720"/>
      <c r="O139" s="720"/>
      <c r="P139" s="720"/>
      <c r="Q139" s="720"/>
      <c r="R139" s="720"/>
      <c r="S139" s="720"/>
      <c r="T139" s="720"/>
      <c r="U139" s="720"/>
      <c r="V139" s="720"/>
      <c r="W139" s="720"/>
      <c r="X139" s="720"/>
      <c r="Y139" s="720"/>
      <c r="Z139" s="720"/>
      <c r="AA139" s="720"/>
      <c r="AB139" s="720"/>
      <c r="AC139" s="720"/>
      <c r="AD139" s="720"/>
      <c r="AE139" s="554"/>
      <c r="AF139" s="720"/>
      <c r="AG139" s="720"/>
      <c r="AH139" s="584"/>
    </row>
    <row r="140" spans="5:47" ht="15" thickBot="1">
      <c r="E140" s="530"/>
      <c r="F140" s="720"/>
      <c r="G140" s="720"/>
      <c r="H140" s="720"/>
      <c r="I140" s="720"/>
      <c r="J140" s="720"/>
      <c r="K140" s="720"/>
      <c r="L140" s="720"/>
      <c r="M140" s="720"/>
      <c r="N140" s="720"/>
      <c r="O140" s="720"/>
      <c r="P140" s="720"/>
      <c r="Q140" s="720"/>
      <c r="R140" s="720"/>
      <c r="S140" s="720"/>
      <c r="T140" s="720"/>
      <c r="U140" s="720"/>
      <c r="V140" s="720"/>
      <c r="W140" s="720"/>
      <c r="X140" s="720"/>
      <c r="Y140" s="720"/>
      <c r="Z140" s="720"/>
      <c r="AA140" s="720"/>
      <c r="AB140" s="720"/>
      <c r="AC140" s="720"/>
      <c r="AD140" s="720"/>
      <c r="AE140" s="546"/>
      <c r="AF140" s="544"/>
      <c r="AG140" s="544"/>
      <c r="AH140" s="733"/>
    </row>
    <row r="144" spans="5:47">
      <c r="AD144" s="802"/>
      <c r="AE144" s="802"/>
      <c r="AF144" s="802"/>
      <c r="AG144" s="802"/>
      <c r="AH144" s="802"/>
      <c r="AI144" s="802"/>
      <c r="AJ144" s="802"/>
      <c r="AK144" s="802"/>
      <c r="AL144" s="802"/>
      <c r="AM144" s="802"/>
      <c r="AN144" s="802"/>
      <c r="AO144" s="802"/>
      <c r="AP144" s="802"/>
      <c r="AQ144" s="802"/>
      <c r="AR144" s="802"/>
      <c r="AS144" s="802"/>
      <c r="AT144" s="802"/>
      <c r="AU144" s="802"/>
    </row>
    <row r="145" spans="30:48" ht="15" thickBot="1">
      <c r="AD145" s="804" t="s">
        <v>7372</v>
      </c>
      <c r="AE145" s="801" t="s">
        <v>6988</v>
      </c>
      <c r="AF145" s="800"/>
      <c r="AG145" s="800"/>
      <c r="AH145" s="800"/>
      <c r="AI145" s="801" t="s">
        <v>6991</v>
      </c>
      <c r="AJ145" s="800"/>
      <c r="AK145" s="800"/>
      <c r="AL145" s="800"/>
      <c r="AM145" s="801" t="s">
        <v>6987</v>
      </c>
      <c r="AN145" s="802"/>
      <c r="AO145" s="802"/>
      <c r="AP145" s="802"/>
      <c r="AQ145" s="801" t="s">
        <v>6996</v>
      </c>
      <c r="AR145" s="802"/>
      <c r="AS145" s="802"/>
      <c r="AT145" s="802"/>
      <c r="AU145" s="802"/>
      <c r="AV145" s="802"/>
    </row>
    <row r="146" spans="30:48">
      <c r="AD146" s="800"/>
      <c r="AE146" s="807"/>
      <c r="AF146" s="813"/>
      <c r="AG146" s="796" t="s">
        <v>6986</v>
      </c>
      <c r="AH146" s="812" t="s">
        <v>7373</v>
      </c>
      <c r="AI146" s="807"/>
      <c r="AJ146" s="813"/>
      <c r="AK146" s="796" t="s">
        <v>6991</v>
      </c>
      <c r="AL146" s="812" t="s">
        <v>7374</v>
      </c>
      <c r="AM146" s="807"/>
      <c r="AN146" s="813"/>
      <c r="AO146" s="796" t="s">
        <v>6994</v>
      </c>
      <c r="AP146" s="812" t="s">
        <v>13227</v>
      </c>
      <c r="AQ146" s="555"/>
      <c r="AR146" s="600"/>
      <c r="AS146" s="600"/>
      <c r="AT146" s="561"/>
      <c r="AU146" s="802"/>
      <c r="AV146" s="802"/>
    </row>
    <row r="147" spans="30:48">
      <c r="AD147" s="800"/>
      <c r="AE147" s="797" t="s">
        <v>6990</v>
      </c>
      <c r="AF147" s="814"/>
      <c r="AG147" s="814"/>
      <c r="AH147" s="811"/>
      <c r="AI147" s="797" t="s">
        <v>6990</v>
      </c>
      <c r="AJ147" s="814"/>
      <c r="AK147" s="814"/>
      <c r="AL147" s="811"/>
      <c r="AM147" s="797"/>
      <c r="AN147" s="814"/>
      <c r="AO147" s="814"/>
      <c r="AP147" s="811"/>
      <c r="AQ147" s="832" t="str">
        <f>nmSeg1</f>
        <v>Making a Statement</v>
      </c>
      <c r="AR147" s="720"/>
      <c r="AS147" s="720"/>
      <c r="AT147" s="833"/>
      <c r="AU147" s="802"/>
      <c r="AV147" s="802"/>
    </row>
    <row r="148" spans="30:48" ht="15" thickBot="1">
      <c r="AD148" s="800"/>
      <c r="AE148" s="810"/>
      <c r="AF148" s="814" t="str">
        <f>nmProd2</f>
        <v>Harken</v>
      </c>
      <c r="AG148" s="793" t="str">
        <f>nmProd2</f>
        <v>Harken</v>
      </c>
      <c r="AH148" s="811" t="s">
        <v>7375</v>
      </c>
      <c r="AI148" s="810"/>
      <c r="AJ148" s="814" t="str">
        <f>nmProd2</f>
        <v>Harken</v>
      </c>
      <c r="AK148" s="793" t="str">
        <f>nmProd2</f>
        <v>Harken</v>
      </c>
      <c r="AL148" s="811" t="s">
        <v>7376</v>
      </c>
      <c r="AM148" s="810"/>
      <c r="AN148" s="814" t="str">
        <f>nmProd2&amp;" Slot1"</f>
        <v>Harken Slot1</v>
      </c>
      <c r="AO148" s="793" t="str">
        <f>IF(INDEX(obalCh2Prod2Slot1Active,,xxIndexTeam)=1,nmProd2&amp;" - "&amp;INDEX(obalCh2Prod2Slot1Pack,,xxIndexTeam),"")</f>
        <v>Harken - 24 x 33cl Can</v>
      </c>
      <c r="AP148" s="811" t="s">
        <v>13228</v>
      </c>
      <c r="AQ148" s="554"/>
      <c r="AR148" s="720"/>
      <c r="AS148" s="530" t="s">
        <v>295</v>
      </c>
      <c r="AT148" s="584"/>
      <c r="AU148" s="802"/>
      <c r="AV148" s="802"/>
    </row>
    <row r="149" spans="30:48">
      <c r="AD149" s="800"/>
      <c r="AE149" s="810"/>
      <c r="AF149" s="814" t="str">
        <f>nmProd3</f>
        <v>Kara</v>
      </c>
      <c r="AG149" s="793" t="str">
        <f>nmProd3</f>
        <v>Kara</v>
      </c>
      <c r="AH149" s="811" t="s">
        <v>7377</v>
      </c>
      <c r="AI149" s="810"/>
      <c r="AJ149" s="814" t="str">
        <f>nmProd3</f>
        <v>Kara</v>
      </c>
      <c r="AK149" s="793" t="str">
        <f>nmProd3</f>
        <v>Kara</v>
      </c>
      <c r="AL149" s="811" t="s">
        <v>7378</v>
      </c>
      <c r="AM149" s="810"/>
      <c r="AN149" s="720"/>
      <c r="AO149" s="817">
        <f>IF(INDEX(obalCh2Prod2Slot1Active,,xxIndexTeam)=1,INDEX(obalCh2Prod2Slot1CustPrice,,xxIndexTeam),"")</f>
        <v>7.3</v>
      </c>
      <c r="AP149" s="584" t="s">
        <v>13229</v>
      </c>
      <c r="AQ149" s="554" t="str">
        <f>nmProd1</f>
        <v>Greenborg</v>
      </c>
      <c r="AR149" s="720" t="s">
        <v>4409</v>
      </c>
      <c r="AS149" s="822">
        <v>97000000</v>
      </c>
      <c r="AT149" s="584" t="s">
        <v>7379</v>
      </c>
      <c r="AU149" s="802"/>
      <c r="AV149" s="802"/>
    </row>
    <row r="150" spans="30:48">
      <c r="AD150" s="800"/>
      <c r="AE150" s="810"/>
      <c r="AF150" s="814" t="str">
        <f>nmProd1</f>
        <v>Greenborg</v>
      </c>
      <c r="AG150" s="793" t="str">
        <f>nmProd1</f>
        <v>Greenborg</v>
      </c>
      <c r="AH150" s="811" t="s">
        <v>7380</v>
      </c>
      <c r="AI150" s="810"/>
      <c r="AJ150" s="814" t="str">
        <f>nmProd1</f>
        <v>Greenborg</v>
      </c>
      <c r="AK150" s="793" t="str">
        <f>nmProd1</f>
        <v>Greenborg</v>
      </c>
      <c r="AL150" s="811" t="s">
        <v>7381</v>
      </c>
      <c r="AM150" s="810"/>
      <c r="AN150" s="720"/>
      <c r="AO150" s="817"/>
      <c r="AP150" s="584" t="s">
        <v>13230</v>
      </c>
      <c r="AQ150" s="554"/>
      <c r="AR150" s="720" t="s">
        <v>4408</v>
      </c>
      <c r="AS150" s="826">
        <f>AS149*0.2</f>
        <v>19400000</v>
      </c>
      <c r="AT150" s="584" t="s">
        <v>7382</v>
      </c>
      <c r="AU150" s="802"/>
      <c r="AV150" s="802"/>
    </row>
    <row r="151" spans="30:48">
      <c r="AD151" s="800"/>
      <c r="AE151" s="810"/>
      <c r="AF151" s="814" t="str">
        <f>nmProd4</f>
        <v>Brew Master</v>
      </c>
      <c r="AG151" s="793" t="str">
        <f>nmProd4</f>
        <v>Brew Master</v>
      </c>
      <c r="AH151" s="811" t="s">
        <v>7383</v>
      </c>
      <c r="AI151" s="810"/>
      <c r="AJ151" s="814" t="str">
        <f>nmProd4</f>
        <v>Brew Master</v>
      </c>
      <c r="AK151" s="793" t="str">
        <f>nmProd4</f>
        <v>Brew Master</v>
      </c>
      <c r="AL151" s="811" t="s">
        <v>7384</v>
      </c>
      <c r="AM151" s="810"/>
      <c r="AN151" s="720"/>
      <c r="AO151" s="817"/>
      <c r="AP151" s="584" t="s">
        <v>13231</v>
      </c>
      <c r="AQ151" s="554" t="str">
        <f>nmProd2</f>
        <v>Harken</v>
      </c>
      <c r="AR151" s="720" t="s">
        <v>4409</v>
      </c>
      <c r="AS151" s="826">
        <v>145500000</v>
      </c>
      <c r="AT151" s="584" t="s">
        <v>7385</v>
      </c>
      <c r="AU151" s="802"/>
      <c r="AV151" s="802"/>
    </row>
    <row r="152" spans="30:48">
      <c r="AD152" s="800"/>
      <c r="AE152" s="797" t="s">
        <v>6989</v>
      </c>
      <c r="AF152" s="814"/>
      <c r="AG152" s="814"/>
      <c r="AH152" s="811"/>
      <c r="AI152" s="797" t="s">
        <v>6989</v>
      </c>
      <c r="AJ152" s="814"/>
      <c r="AK152" s="814"/>
      <c r="AL152" s="811"/>
      <c r="AM152" s="810"/>
      <c r="AN152" s="814" t="str">
        <f>nmProd2&amp;" Slot2"</f>
        <v>Harken Slot2</v>
      </c>
      <c r="AO152" s="818" t="str">
        <f>IF(INDEX(obalCh2Prod2Slot2Active,,xxIndexTeam)=1,nmProd2&amp;" - "&amp;INDEX(obalCh2Prod2Slot2Pack,,xxIndexTeam),"")</f>
        <v/>
      </c>
      <c r="AP152" s="811" t="s">
        <v>13232</v>
      </c>
      <c r="AQ152" s="554"/>
      <c r="AR152" s="720" t="s">
        <v>4408</v>
      </c>
      <c r="AS152" s="826">
        <f>AS151*0.2</f>
        <v>29100000</v>
      </c>
      <c r="AT152" s="584" t="s">
        <v>7386</v>
      </c>
      <c r="AU152" s="802"/>
      <c r="AV152" s="802"/>
    </row>
    <row r="153" spans="30:48">
      <c r="AD153" s="800"/>
      <c r="AE153" s="810"/>
      <c r="AF153" s="814" t="str">
        <f>nmProd2</f>
        <v>Harken</v>
      </c>
      <c r="AG153" s="793" t="str">
        <f>IF(INDEX(obalCh2Prod2Slot1Active,,xxIndexTeam)=1,INDEX(obalCh2Prod2Slot1Pack,,xxIndexTeam),"")</f>
        <v>24 x 33cl Can</v>
      </c>
      <c r="AH153" s="811" t="s">
        <v>7387</v>
      </c>
      <c r="AI153" s="810"/>
      <c r="AJ153" s="814" t="str">
        <f>nmProd2</f>
        <v>Harken</v>
      </c>
      <c r="AK153" s="793" t="str">
        <f>IF(INDEX(obalCh2Prod2Slot1Active,,xxIndexTeam)=1,INDEX(obalCh2Prod2Slot1Pack,,xxIndexTeam),"")</f>
        <v>24 x 33cl Can</v>
      </c>
      <c r="AL153" s="811" t="s">
        <v>7388</v>
      </c>
      <c r="AM153" s="810"/>
      <c r="AN153" s="720"/>
      <c r="AO153" s="817" t="str">
        <f>IF(INDEX(obalCh2Prod2Slot2Active,,xxIndexTeam)=1,INDEX(obalCh2Prod2Slot2CustPrice,,xxIndexTeam),"")</f>
        <v/>
      </c>
      <c r="AP153" s="584" t="s">
        <v>13233</v>
      </c>
      <c r="AQ153" s="554" t="str">
        <f>nmProd3</f>
        <v>Kara</v>
      </c>
      <c r="AR153" s="720" t="s">
        <v>4409</v>
      </c>
      <c r="AS153" s="826">
        <v>97000000</v>
      </c>
      <c r="AT153" s="584" t="s">
        <v>7389</v>
      </c>
      <c r="AU153" s="802"/>
      <c r="AV153" s="802"/>
    </row>
    <row r="154" spans="30:48">
      <c r="AD154" s="800"/>
      <c r="AE154" s="810"/>
      <c r="AF154" s="814" t="str">
        <f>nmProd2</f>
        <v>Harken</v>
      </c>
      <c r="AG154" s="793" t="str">
        <f>IF(INDEX(obalCh2Prod2Slot2Active,,xxIndexTeam)=1,INDEX(obalCh2Prod2Slot2Pack,,xxIndexTeam),"")</f>
        <v/>
      </c>
      <c r="AH154" s="811" t="s">
        <v>7390</v>
      </c>
      <c r="AI154" s="810"/>
      <c r="AJ154" s="814" t="str">
        <f>nmProd2</f>
        <v>Harken</v>
      </c>
      <c r="AK154" s="793" t="str">
        <f>IF(INDEX(obalCh2Prod2Slot2Active,,xxIndexTeam)=1,INDEX(obalCh2Prod2Slot2Pack,,xxIndexTeam),"")</f>
        <v/>
      </c>
      <c r="AL154" s="811" t="s">
        <v>7391</v>
      </c>
      <c r="AM154" s="810"/>
      <c r="AN154" s="720"/>
      <c r="AO154" s="817"/>
      <c r="AP154" s="584" t="s">
        <v>13234</v>
      </c>
      <c r="AQ154" s="554"/>
      <c r="AR154" s="720" t="s">
        <v>4408</v>
      </c>
      <c r="AS154" s="826">
        <f>AS153*0.2</f>
        <v>19400000</v>
      </c>
      <c r="AT154" s="584" t="s">
        <v>7392</v>
      </c>
      <c r="AU154" s="802"/>
      <c r="AV154" s="802"/>
    </row>
    <row r="155" spans="30:48">
      <c r="AD155" s="800"/>
      <c r="AE155" s="810"/>
      <c r="AF155" s="814" t="str">
        <f>nmProd2</f>
        <v>Harken</v>
      </c>
      <c r="AG155" s="793" t="str">
        <f>IF(INDEX(obalCh2Prod2Slot3Active,,xxIndexTeam)=1,INDEX(obalCh2Prod2Slot3Pack,,xxIndexTeam),"")</f>
        <v/>
      </c>
      <c r="AH155" s="811" t="s">
        <v>7393</v>
      </c>
      <c r="AI155" s="810"/>
      <c r="AJ155" s="814" t="str">
        <f>nmProd2</f>
        <v>Harken</v>
      </c>
      <c r="AK155" s="793" t="str">
        <f>IF(INDEX(obalCh2Prod2Slot3Active,,xxIndexTeam)=1,INDEX(obalCh2Prod2Slot3Pack,,xxIndexTeam),"")</f>
        <v/>
      </c>
      <c r="AL155" s="811" t="s">
        <v>7394</v>
      </c>
      <c r="AM155" s="810"/>
      <c r="AN155" s="720"/>
      <c r="AO155" s="817"/>
      <c r="AP155" s="584" t="s">
        <v>13235</v>
      </c>
      <c r="AQ155" s="554" t="str">
        <f>nmProd4</f>
        <v>Brew Master</v>
      </c>
      <c r="AR155" s="720" t="s">
        <v>4409</v>
      </c>
      <c r="AS155" s="826">
        <v>194000000</v>
      </c>
      <c r="AT155" s="584" t="s">
        <v>7395</v>
      </c>
      <c r="AU155" s="802"/>
      <c r="AV155" s="802"/>
    </row>
    <row r="156" spans="30:48" ht="15" thickBot="1">
      <c r="AD156" s="800"/>
      <c r="AE156" s="810"/>
      <c r="AF156" s="814" t="str">
        <f>nmProd3</f>
        <v>Kara</v>
      </c>
      <c r="AG156" s="793" t="str">
        <f>IF(INDEX(obalCh2Prod3Slot1Active,,xxIndexTeam)=1,INDEX(obalCh2Prod3Slot1Pack,,xxIndexTeam),"")</f>
        <v>25cl Can</v>
      </c>
      <c r="AH156" s="811" t="s">
        <v>7396</v>
      </c>
      <c r="AI156" s="810"/>
      <c r="AJ156" s="814" t="str">
        <f>nmProd3</f>
        <v>Kara</v>
      </c>
      <c r="AK156" s="793" t="str">
        <f>IF(INDEX(obalCh2Prod3Slot1Active,,xxIndexTeam)=1,INDEX(obalCh2Prod3Slot1Pack,,xxIndexTeam),"")</f>
        <v>25cl Can</v>
      </c>
      <c r="AL156" s="811" t="s">
        <v>7397</v>
      </c>
      <c r="AM156" s="810"/>
      <c r="AN156" s="814" t="str">
        <f>nmProd2&amp;" Slot3"</f>
        <v>Harken Slot3</v>
      </c>
      <c r="AO156" s="818" t="str">
        <f>IF(INDEX(calcCh2Prod2Slot3Active,,xxIndexTeam)=1,nmProd2&amp;" - "&amp;INDEX(obalCh2Prod2Slot3Pack,,xxIndexTeam),"")</f>
        <v/>
      </c>
      <c r="AP156" s="811" t="s">
        <v>13236</v>
      </c>
      <c r="AQ156" s="554"/>
      <c r="AR156" s="720" t="s">
        <v>4408</v>
      </c>
      <c r="AS156" s="829">
        <f>AS155*0.2</f>
        <v>38800000</v>
      </c>
      <c r="AT156" s="584" t="s">
        <v>7398</v>
      </c>
      <c r="AU156" s="802"/>
      <c r="AV156" s="802"/>
    </row>
    <row r="157" spans="30:48">
      <c r="AD157" s="800"/>
      <c r="AE157" s="810"/>
      <c r="AF157" s="814" t="str">
        <f>nmProd3</f>
        <v>Kara</v>
      </c>
      <c r="AG157" s="793" t="str">
        <f>IF(INDEX(obalCh2Prod3Slot2Active,,xxIndexTeam)=1,INDEX(obalCh2Prod3Slot2Pack,,xxIndexTeam),"")</f>
        <v/>
      </c>
      <c r="AH157" s="811" t="s">
        <v>7399</v>
      </c>
      <c r="AI157" s="810"/>
      <c r="AJ157" s="814" t="str">
        <f>nmProd3</f>
        <v>Kara</v>
      </c>
      <c r="AK157" s="793" t="str">
        <f>IF(INDEX(obalCh2Prod3Slot2Active,,xxIndexTeam)=1,INDEX(obalCh2Prod3Slot2Pack,,xxIndexTeam),"")</f>
        <v/>
      </c>
      <c r="AL157" s="811" t="s">
        <v>7400</v>
      </c>
      <c r="AM157" s="810"/>
      <c r="AN157" s="720"/>
      <c r="AO157" s="817" t="str">
        <f>IF(INDEX(obalCh2Prod2Slot3Active,,xxIndexTeam)=1,INDEX(obalCh2Prod2Slot3CustPrice,,xxIndexTeam),"")</f>
        <v/>
      </c>
      <c r="AP157" s="584" t="s">
        <v>13237</v>
      </c>
      <c r="AQ157" s="554"/>
      <c r="AR157" s="720"/>
      <c r="AS157" s="720"/>
      <c r="AT157" s="584"/>
      <c r="AU157" s="802"/>
      <c r="AV157" s="802"/>
    </row>
    <row r="158" spans="30:48" ht="15" thickBot="1">
      <c r="AD158" s="800"/>
      <c r="AE158" s="810"/>
      <c r="AF158" s="814" t="str">
        <f>nmProd3</f>
        <v>Kara</v>
      </c>
      <c r="AG158" s="793" t="str">
        <f>IF(INDEX(obalCh2Prod3Slot3Active,,xxIndexTeam)=1,INDEX(obalCh2Prod3Slot3Pack,,xxIndexTeam),"")</f>
        <v/>
      </c>
      <c r="AH158" s="811" t="s">
        <v>7401</v>
      </c>
      <c r="AI158" s="810"/>
      <c r="AJ158" s="814" t="str">
        <f>nmProd3</f>
        <v>Kara</v>
      </c>
      <c r="AK158" s="793" t="str">
        <f>IF(INDEX(obalCh2Prod3Slot3Active,,xxIndexTeam)=1,INDEX(obalCh2Prod3Slot3Pack,,xxIndexTeam),"")</f>
        <v/>
      </c>
      <c r="AL158" s="811" t="s">
        <v>7402</v>
      </c>
      <c r="AM158" s="810"/>
      <c r="AN158" s="720"/>
      <c r="AO158" s="817"/>
      <c r="AP158" s="584" t="s">
        <v>13238</v>
      </c>
      <c r="AQ158" s="554"/>
      <c r="AR158" s="720"/>
      <c r="AS158" s="530" t="s">
        <v>6997</v>
      </c>
      <c r="AT158" s="584"/>
      <c r="AU158" s="802"/>
      <c r="AV158" s="802"/>
    </row>
    <row r="159" spans="30:48">
      <c r="AD159" s="800"/>
      <c r="AE159" s="810"/>
      <c r="AF159" s="814" t="str">
        <f>nmProd1</f>
        <v>Greenborg</v>
      </c>
      <c r="AG159" s="793" t="str">
        <f>IF(INDEX(obalCh2Prod1Slot1Active,,xxIndexTeam)=1,INDEX(obalCh2Prod1Slot1Pack,,xxIndexTeam),"")</f>
        <v>10 x 33cl Can</v>
      </c>
      <c r="AH159" s="811" t="s">
        <v>7403</v>
      </c>
      <c r="AI159" s="810"/>
      <c r="AJ159" s="814" t="str">
        <f>nmProd1</f>
        <v>Greenborg</v>
      </c>
      <c r="AK159" s="793" t="str">
        <f>IF(INDEX(obalCh2Prod1Slot1Active,,xxIndexTeam)=1,INDEX(obalCh2Prod1Slot1Pack,,xxIndexTeam),"")</f>
        <v>10 x 33cl Can</v>
      </c>
      <c r="AL159" s="811" t="s">
        <v>7404</v>
      </c>
      <c r="AM159" s="810"/>
      <c r="AN159" s="720"/>
      <c r="AO159" s="817"/>
      <c r="AP159" s="584" t="s">
        <v>13239</v>
      </c>
      <c r="AQ159" s="554" t="str">
        <f>nmProd1</f>
        <v>Greenborg</v>
      </c>
      <c r="AR159" s="720" t="s">
        <v>4409</v>
      </c>
      <c r="AS159" s="823">
        <v>0.02</v>
      </c>
      <c r="AT159" s="584" t="s">
        <v>7405</v>
      </c>
      <c r="AU159" s="802"/>
      <c r="AV159" s="802"/>
    </row>
    <row r="160" spans="30:48">
      <c r="AD160" s="800"/>
      <c r="AE160" s="810"/>
      <c r="AF160" s="814" t="str">
        <f>nmProd1</f>
        <v>Greenborg</v>
      </c>
      <c r="AG160" s="793" t="str">
        <f>IF(INDEX(obalCh2Prod1Slot2Active,,xxIndexTeam)=1,INDEX(obalCh2Prod1Slot2Pack,,xxIndexTeam),"")</f>
        <v/>
      </c>
      <c r="AH160" s="811" t="s">
        <v>7406</v>
      </c>
      <c r="AI160" s="810"/>
      <c r="AJ160" s="814" t="str">
        <f>nmProd1</f>
        <v>Greenborg</v>
      </c>
      <c r="AK160" s="793" t="str">
        <f>IF(INDEX(obalCh2Prod1Slot2Active,,xxIndexTeam)=1,INDEX(obalCh2Prod1Slot2Pack,,xxIndexTeam),"")</f>
        <v/>
      </c>
      <c r="AL160" s="811" t="s">
        <v>7407</v>
      </c>
      <c r="AM160" s="554"/>
      <c r="AN160" s="814" t="str">
        <f>nmProd3&amp;" Slot1"</f>
        <v>Kara Slot1</v>
      </c>
      <c r="AO160" s="818" t="str">
        <f>IF(INDEX(obalCh2Prod3Slot1Active,,xxIndexTeam)=1,nmProd3&amp;" - "&amp;INDEX(obalCh2Prod3Slot1Pack,,xxIndexTeam),"")</f>
        <v>Kara - 25cl Can</v>
      </c>
      <c r="AP160" s="811" t="s">
        <v>13240</v>
      </c>
      <c r="AQ160" s="554"/>
      <c r="AR160" s="720" t="s">
        <v>4408</v>
      </c>
      <c r="AS160" s="827">
        <v>0.02</v>
      </c>
      <c r="AT160" s="584" t="s">
        <v>7408</v>
      </c>
      <c r="AU160" s="802"/>
      <c r="AV160" s="802"/>
    </row>
    <row r="161" spans="30:48">
      <c r="AD161" s="800"/>
      <c r="AE161" s="810"/>
      <c r="AF161" s="814" t="str">
        <f>nmProd1</f>
        <v>Greenborg</v>
      </c>
      <c r="AG161" s="793" t="str">
        <f>IF(INDEX(obalCh2Prod1Slot3Active,,xxIndexTeam)=1,INDEX(obalCh2Prod1Slot3Pack,,xxIndexTeam),"")</f>
        <v/>
      </c>
      <c r="AH161" s="811" t="s">
        <v>7409</v>
      </c>
      <c r="AI161" s="810"/>
      <c r="AJ161" s="814" t="str">
        <f>nmProd1</f>
        <v>Greenborg</v>
      </c>
      <c r="AK161" s="793" t="str">
        <f>IF(INDEX(obalCh2Prod1Slot3Active,,xxIndexTeam)=1,INDEX(obalCh2Prod1Slot3Pack,,xxIndexTeam),"")</f>
        <v/>
      </c>
      <c r="AL161" s="811" t="s">
        <v>7410</v>
      </c>
      <c r="AM161" s="554"/>
      <c r="AN161" s="720"/>
      <c r="AO161" s="817">
        <f>IF(INDEX(obalCh2Prod3Slot1Active,,xxIndexTeam)=1,INDEX(obalCh2Prod3Slot1CustPrice,,xxIndexTeam),"")</f>
        <v>7</v>
      </c>
      <c r="AP161" s="584" t="s">
        <v>13241</v>
      </c>
      <c r="AQ161" s="554" t="str">
        <f>nmProd2</f>
        <v>Harken</v>
      </c>
      <c r="AR161" s="720" t="s">
        <v>4409</v>
      </c>
      <c r="AS161" s="827">
        <v>0.03</v>
      </c>
      <c r="AT161" s="584" t="s">
        <v>7411</v>
      </c>
      <c r="AU161" s="802"/>
      <c r="AV161" s="802"/>
    </row>
    <row r="162" spans="30:48">
      <c r="AD162" s="800"/>
      <c r="AE162" s="810"/>
      <c r="AF162" s="814" t="str">
        <f>nmProd4</f>
        <v>Brew Master</v>
      </c>
      <c r="AG162" s="793" t="str">
        <f>IF(INDEX(obalCh2Prod4Slot1Active,,xxIndexTeam)=1,INDEX(obalCh2Prod4Slot1Pack,,xxIndexTeam),"")</f>
        <v/>
      </c>
      <c r="AH162" s="811" t="s">
        <v>7412</v>
      </c>
      <c r="AI162" s="810"/>
      <c r="AJ162" s="814" t="str">
        <f>nmProd4</f>
        <v>Brew Master</v>
      </c>
      <c r="AK162" s="793" t="str">
        <f>IF(INDEX(obalCh2Prod4Slot1Active,,xxIndexTeam)=1,INDEX(obalCh2Prod4Slot1Pack,,xxIndexTeam),"")</f>
        <v/>
      </c>
      <c r="AL162" s="811" t="s">
        <v>7413</v>
      </c>
      <c r="AM162" s="554"/>
      <c r="AN162" s="720"/>
      <c r="AO162" s="817"/>
      <c r="AP162" s="584" t="s">
        <v>13242</v>
      </c>
      <c r="AQ162" s="554"/>
      <c r="AR162" s="720" t="s">
        <v>4408</v>
      </c>
      <c r="AS162" s="827">
        <v>0.03</v>
      </c>
      <c r="AT162" s="584" t="s">
        <v>7414</v>
      </c>
      <c r="AU162" s="802"/>
      <c r="AV162" s="802"/>
    </row>
    <row r="163" spans="30:48">
      <c r="AD163" s="800"/>
      <c r="AE163" s="810"/>
      <c r="AF163" s="814" t="str">
        <f>nmProd4</f>
        <v>Brew Master</v>
      </c>
      <c r="AG163" s="793" t="str">
        <f>IF(INDEX(obalCh2Prod4Slot2Active,,xxIndexTeam)=1,INDEX(obalCh2Prod4Slot2Pack,,xxIndexTeam),"")</f>
        <v/>
      </c>
      <c r="AH163" s="811" t="s">
        <v>7415</v>
      </c>
      <c r="AI163" s="810"/>
      <c r="AJ163" s="814" t="str">
        <f>nmProd4</f>
        <v>Brew Master</v>
      </c>
      <c r="AK163" s="793" t="str">
        <f>IF(INDEX(obalCh2Prod4Slot2Active,,xxIndexTeam)=1,INDEX(obalCh2Prod4Slot2Pack,,xxIndexTeam),"")</f>
        <v/>
      </c>
      <c r="AL163" s="811" t="s">
        <v>7416</v>
      </c>
      <c r="AM163" s="554"/>
      <c r="AN163" s="720"/>
      <c r="AO163" s="817"/>
      <c r="AP163" s="584" t="s">
        <v>13243</v>
      </c>
      <c r="AQ163" s="554" t="str">
        <f>nmProd3</f>
        <v>Kara</v>
      </c>
      <c r="AR163" s="720" t="s">
        <v>4409</v>
      </c>
      <c r="AS163" s="827">
        <v>0.02</v>
      </c>
      <c r="AT163" s="584" t="s">
        <v>7417</v>
      </c>
      <c r="AU163" s="802"/>
      <c r="AV163" s="802"/>
    </row>
    <row r="164" spans="30:48">
      <c r="AD164" s="800"/>
      <c r="AE164" s="810"/>
      <c r="AF164" s="814" t="str">
        <f>nmProd4</f>
        <v>Brew Master</v>
      </c>
      <c r="AG164" s="793" t="str">
        <f>IF(INDEX(obalCh2Prod4Slot3Active,,xxIndexTeam)=1,INDEX(obalCh2Prod4Slot3Pack,,xxIndexTeam),"")</f>
        <v/>
      </c>
      <c r="AH164" s="811" t="s">
        <v>7418</v>
      </c>
      <c r="AI164" s="810"/>
      <c r="AJ164" s="814" t="str">
        <f>nmProd4</f>
        <v>Brew Master</v>
      </c>
      <c r="AK164" s="793" t="str">
        <f>IF(INDEX(obalCh2Prod4Slot3Active,,xxIndexTeam)=1,INDEX(obalCh2Prod4Slot3Pack,,xxIndexTeam),"")</f>
        <v/>
      </c>
      <c r="AL164" s="811" t="s">
        <v>7419</v>
      </c>
      <c r="AM164" s="554"/>
      <c r="AN164" s="814" t="str">
        <f>nmProd3&amp;" Slot2"</f>
        <v>Kara Slot2</v>
      </c>
      <c r="AO164" s="818" t="str">
        <f>IF(INDEX(obalCh2Prod3Slot2Active,,xxIndexTeam)=1,nmProd3&amp;" - "&amp;INDEX(obalCh2Prod3Slot2Pack,,xxIndexTeam),"")</f>
        <v/>
      </c>
      <c r="AP164" s="811" t="s">
        <v>13244</v>
      </c>
      <c r="AQ164" s="554"/>
      <c r="AR164" s="720" t="s">
        <v>4408</v>
      </c>
      <c r="AS164" s="827">
        <v>0.02</v>
      </c>
      <c r="AT164" s="584" t="s">
        <v>7420</v>
      </c>
      <c r="AU164" s="802"/>
      <c r="AV164" s="802"/>
    </row>
    <row r="165" spans="30:48">
      <c r="AD165" s="800"/>
      <c r="AE165" s="810"/>
      <c r="AF165" s="814"/>
      <c r="AG165" s="793"/>
      <c r="AH165" s="811"/>
      <c r="AI165" s="810"/>
      <c r="AJ165" s="814"/>
      <c r="AK165" s="793"/>
      <c r="AL165" s="811"/>
      <c r="AM165" s="554"/>
      <c r="AN165" s="720"/>
      <c r="AO165" s="817" t="str">
        <f>IF(INDEX(obalCh2Prod3Slot2Active,,xxIndexTeam)=1,INDEX(obalCh2Prod3Slot2CustPrice,,xxIndexTeam),"")</f>
        <v/>
      </c>
      <c r="AP165" s="584" t="s">
        <v>13245</v>
      </c>
      <c r="AQ165" s="554" t="str">
        <f>nmProd4</f>
        <v>Brew Master</v>
      </c>
      <c r="AR165" s="720" t="s">
        <v>4409</v>
      </c>
      <c r="AS165" s="827">
        <v>0.04</v>
      </c>
      <c r="AT165" s="584" t="s">
        <v>7421</v>
      </c>
      <c r="AU165" s="802"/>
      <c r="AV165" s="802"/>
    </row>
    <row r="166" spans="30:48" ht="15" thickBot="1">
      <c r="AD166" s="800"/>
      <c r="AE166" s="797" t="s">
        <v>3674</v>
      </c>
      <c r="AF166" s="814"/>
      <c r="AG166" s="814"/>
      <c r="AH166" s="811"/>
      <c r="AI166" s="797" t="s">
        <v>295</v>
      </c>
      <c r="AJ166" s="814"/>
      <c r="AK166" s="814"/>
      <c r="AL166" s="811"/>
      <c r="AM166" s="554"/>
      <c r="AN166" s="720"/>
      <c r="AO166" s="817"/>
      <c r="AP166" s="584" t="s">
        <v>13246</v>
      </c>
      <c r="AQ166" s="554"/>
      <c r="AR166" s="720" t="s">
        <v>4408</v>
      </c>
      <c r="AS166" s="830">
        <v>0.04</v>
      </c>
      <c r="AT166" s="584" t="s">
        <v>7422</v>
      </c>
      <c r="AU166" s="802"/>
      <c r="AV166" s="802"/>
    </row>
    <row r="167" spans="30:48">
      <c r="AD167" s="800"/>
      <c r="AE167" s="810"/>
      <c r="AF167" s="802"/>
      <c r="AG167" s="793" t="s">
        <v>1406</v>
      </c>
      <c r="AH167" s="811" t="s">
        <v>7423</v>
      </c>
      <c r="AI167" s="810"/>
      <c r="AJ167" s="802"/>
      <c r="AK167" s="793" t="s">
        <v>295</v>
      </c>
      <c r="AL167" s="811" t="s">
        <v>7424</v>
      </c>
      <c r="AM167" s="554"/>
      <c r="AN167" s="720"/>
      <c r="AO167" s="817"/>
      <c r="AP167" s="584" t="s">
        <v>13247</v>
      </c>
      <c r="AQ167" s="832" t="str">
        <f>nmSeg2</f>
        <v>Celebrating &amp; Fun</v>
      </c>
      <c r="AR167" s="720"/>
      <c r="AS167" s="720"/>
      <c r="AT167" s="584"/>
      <c r="AU167" s="802"/>
      <c r="AV167" s="802"/>
    </row>
    <row r="168" spans="30:48" ht="15" thickBot="1">
      <c r="AD168" s="800"/>
      <c r="AE168" s="810"/>
      <c r="AF168" s="814" t="str">
        <f>nmProd2</f>
        <v>Harken</v>
      </c>
      <c r="AG168" s="794">
        <f>IF(INDEX(obalCh2Prod2Slot1Active,,xxIndexTeam)=1,INDEX(obalCh2Prod2Slot1WD,,xxIndexTeam),"")</f>
        <v>0.93857142857142861</v>
      </c>
      <c r="AH168" s="811" t="s">
        <v>7425</v>
      </c>
      <c r="AI168" s="810"/>
      <c r="AJ168" s="814" t="str">
        <f>nmProd2</f>
        <v>Harken</v>
      </c>
      <c r="AK168" s="799">
        <f>IF(INDEX(obalCh2Prod2Slot1Active,,xxIndexTeam)=1,INDEX(obalCh2Prod2Slot1SoldVol,,xxIndexTeam),"")</f>
        <v>141423639.96063417</v>
      </c>
      <c r="AL168" s="811" t="s">
        <v>7426</v>
      </c>
      <c r="AM168" s="554"/>
      <c r="AN168" s="814" t="str">
        <f>nmProd3&amp;" Slot3"</f>
        <v>Kara Slot3</v>
      </c>
      <c r="AO168" s="818" t="str">
        <f>IF(INDEX(obalCh2Prod3Slot3Active,,xxIndexTeam)=1,nmProd3&amp;" - "&amp;INDEX(obalCh2Prod3Slot3Pack,,xxIndexTeam),"")</f>
        <v/>
      </c>
      <c r="AP168" s="811" t="s">
        <v>13248</v>
      </c>
      <c r="AQ168" s="554"/>
      <c r="AR168" s="720"/>
      <c r="AS168" s="530" t="s">
        <v>295</v>
      </c>
      <c r="AT168" s="584"/>
      <c r="AU168" s="802"/>
      <c r="AV168" s="802"/>
    </row>
    <row r="169" spans="30:48">
      <c r="AD169" s="800"/>
      <c r="AE169" s="810"/>
      <c r="AF169" s="814" t="str">
        <f>nmProd2</f>
        <v>Harken</v>
      </c>
      <c r="AG169" s="794" t="str">
        <f>IF(INDEX(obalCh2Prod2Slot2Active,,xxIndexTeam)=1,INDEX(obalCh2Prod2Slot2WD,,xxIndexTeam),"")</f>
        <v/>
      </c>
      <c r="AH169" s="811" t="s">
        <v>7427</v>
      </c>
      <c r="AI169" s="810"/>
      <c r="AJ169" s="814" t="str">
        <f>nmProd2</f>
        <v>Harken</v>
      </c>
      <c r="AK169" s="799" t="str">
        <f>IF(INDEX(obalCh2Prod2Slot2Active,,xxIndexTeam)=1,INDEX(obalCh2Prod2Slot2SoldVol,,xxIndexTeam),"")</f>
        <v/>
      </c>
      <c r="AL169" s="811" t="s">
        <v>7428</v>
      </c>
      <c r="AM169" s="554"/>
      <c r="AN169" s="720"/>
      <c r="AO169" s="817" t="str">
        <f>IF(INDEX(obalCh2Prod3Slot3Active,,xxIndexTeam)=1,INDEX(obalCh2Prod1Slot3CustPrice,,xxIndexTeam),"")</f>
        <v/>
      </c>
      <c r="AP169" s="584" t="s">
        <v>13249</v>
      </c>
      <c r="AQ169" s="554" t="str">
        <f>nmProd1</f>
        <v>Greenborg</v>
      </c>
      <c r="AR169" s="720" t="s">
        <v>4409</v>
      </c>
      <c r="AS169" s="824">
        <v>291000000</v>
      </c>
      <c r="AT169" s="584" t="s">
        <v>7429</v>
      </c>
      <c r="AU169" s="802"/>
      <c r="AV169" s="802"/>
    </row>
    <row r="170" spans="30:48">
      <c r="AD170" s="800"/>
      <c r="AE170" s="810"/>
      <c r="AF170" s="814" t="str">
        <f>nmProd2</f>
        <v>Harken</v>
      </c>
      <c r="AG170" s="794" t="str">
        <f>IF(INDEX(obalCh2Prod2Slot3Active,,xxIndexTeam)=1,INDEX(obalCh2Prod2Slot3WD,,xxIndexTeam),"")</f>
        <v/>
      </c>
      <c r="AH170" s="811" t="s">
        <v>7430</v>
      </c>
      <c r="AI170" s="810"/>
      <c r="AJ170" s="814" t="str">
        <f>nmProd2</f>
        <v>Harken</v>
      </c>
      <c r="AK170" s="799" t="str">
        <f>IF(INDEX(obalCh2Prod2Slot3Active,,xxIndexTeam)=1,INDEX(obalCh2Prod2Slot3SoldVol,,xxIndexTeam),"")</f>
        <v/>
      </c>
      <c r="AL170" s="811" t="s">
        <v>7431</v>
      </c>
      <c r="AM170" s="554"/>
      <c r="AN170" s="720"/>
      <c r="AO170" s="817"/>
      <c r="AP170" s="584" t="s">
        <v>13250</v>
      </c>
      <c r="AQ170" s="554"/>
      <c r="AR170" s="720" t="s">
        <v>4408</v>
      </c>
      <c r="AS170" s="815">
        <f>AS169*0.2</f>
        <v>58200000</v>
      </c>
      <c r="AT170" s="584" t="s">
        <v>7432</v>
      </c>
      <c r="AU170" s="802"/>
      <c r="AV170" s="802"/>
    </row>
    <row r="171" spans="30:48">
      <c r="AD171" s="800"/>
      <c r="AE171" s="810"/>
      <c r="AF171" s="814" t="str">
        <f>nmProd3</f>
        <v>Kara</v>
      </c>
      <c r="AG171" s="794">
        <f>IF(INDEX(obalCh2Prod3Slot1Active,,xxIndexTeam)=1,INDEX(obalCh2Prod3Slot1WD,,xxIndexTeam),"")</f>
        <v>0.61</v>
      </c>
      <c r="AH171" s="811" t="s">
        <v>7433</v>
      </c>
      <c r="AI171" s="810"/>
      <c r="AJ171" s="814" t="str">
        <f>nmProd3</f>
        <v>Kara</v>
      </c>
      <c r="AK171" s="799">
        <f>IF(INDEX(obalCh2Prod3Slot1Active,,xxIndexTeam)=1,INDEX(obalCh2Prod3Slot1SoldVol,,xxIndexTeam),"")</f>
        <v>100811160.12909977</v>
      </c>
      <c r="AL171" s="811" t="s">
        <v>7434</v>
      </c>
      <c r="AM171" s="554"/>
      <c r="AN171" s="720"/>
      <c r="AO171" s="817"/>
      <c r="AP171" s="584" t="s">
        <v>13251</v>
      </c>
      <c r="AQ171" s="554" t="str">
        <f>nmProd2</f>
        <v>Harken</v>
      </c>
      <c r="AR171" s="720" t="s">
        <v>4409</v>
      </c>
      <c r="AS171" s="815">
        <v>145500000</v>
      </c>
      <c r="AT171" s="584" t="s">
        <v>7435</v>
      </c>
      <c r="AU171" s="802"/>
      <c r="AV171" s="802"/>
    </row>
    <row r="172" spans="30:48">
      <c r="AD172" s="800"/>
      <c r="AE172" s="810"/>
      <c r="AF172" s="814" t="str">
        <f>nmProd3</f>
        <v>Kara</v>
      </c>
      <c r="AG172" s="794" t="str">
        <f>IF(INDEX(obalCh2Prod3Slot2Active,,xxIndexTeam)=1,INDEX(obalCh2Prod3Slot2WD,,xxIndexTeam),"")</f>
        <v/>
      </c>
      <c r="AH172" s="811" t="s">
        <v>7436</v>
      </c>
      <c r="AI172" s="810"/>
      <c r="AJ172" s="814" t="str">
        <f>nmProd3</f>
        <v>Kara</v>
      </c>
      <c r="AK172" s="799" t="str">
        <f>IF(INDEX(obalCh2Prod3Slot2Active,,xxIndexTeam)=1,INDEX(obalCh2Prod3Slot1SoldVol,,xxIndexTeam),"")</f>
        <v/>
      </c>
      <c r="AL172" s="811" t="s">
        <v>7437</v>
      </c>
      <c r="AM172" s="554"/>
      <c r="AN172" s="814" t="str">
        <f>nmProd1&amp;" Slot1"</f>
        <v>Greenborg Slot1</v>
      </c>
      <c r="AO172" s="818" t="str">
        <f>IF(INDEX(obalCh2Prod1Slot1Active,,xxIndexTeam)=1,nmProd1&amp;" - "&amp;INDEX(obalCh2Prod1Slot1Pack,,xxIndexTeam),0)</f>
        <v>Greenborg - 10 x 33cl Can</v>
      </c>
      <c r="AP172" s="811" t="s">
        <v>13252</v>
      </c>
      <c r="AQ172" s="554"/>
      <c r="AR172" s="720" t="s">
        <v>4408</v>
      </c>
      <c r="AS172" s="815">
        <f>AS171*0.2</f>
        <v>29100000</v>
      </c>
      <c r="AT172" s="584" t="s">
        <v>7438</v>
      </c>
      <c r="AU172" s="802"/>
      <c r="AV172" s="802"/>
    </row>
    <row r="173" spans="30:48">
      <c r="AD173" s="800"/>
      <c r="AE173" s="810"/>
      <c r="AF173" s="814" t="str">
        <f>nmProd3</f>
        <v>Kara</v>
      </c>
      <c r="AG173" s="794" t="str">
        <f>IF(INDEX(obalCh2Prod3Slot3Active,,xxIndexTeam)=1,INDEX(obalCh2Prod3Slot3WD,,xxIndexTeam),"")</f>
        <v/>
      </c>
      <c r="AH173" s="811" t="s">
        <v>7439</v>
      </c>
      <c r="AI173" s="810"/>
      <c r="AJ173" s="814" t="str">
        <f>nmProd3</f>
        <v>Kara</v>
      </c>
      <c r="AK173" s="799" t="str">
        <f>IF(INDEX(obalCh2Prod3Slot3Active,,xxIndexTeam)=1,INDEX(obalCh2Prod3Slot3SoldVol,,xxIndexTeam),"")</f>
        <v/>
      </c>
      <c r="AL173" s="811" t="s">
        <v>7440</v>
      </c>
      <c r="AM173" s="554"/>
      <c r="AN173" s="720"/>
      <c r="AO173" s="817">
        <f>IF(INDEX(obalCh2Prod1Slot1Active,,xxIndexTeam)=1,INDEX(obalCh2Prod1Slot1CustPrice,,xxIndexTeam),"")</f>
        <v>7.9</v>
      </c>
      <c r="AP173" s="584" t="s">
        <v>13253</v>
      </c>
      <c r="AQ173" s="554" t="str">
        <f>nmProd3</f>
        <v>Kara</v>
      </c>
      <c r="AR173" s="720" t="s">
        <v>4409</v>
      </c>
      <c r="AS173" s="815">
        <v>242500000</v>
      </c>
      <c r="AT173" s="584" t="s">
        <v>7441</v>
      </c>
      <c r="AU173" s="802"/>
      <c r="AV173" s="802"/>
    </row>
    <row r="174" spans="30:48">
      <c r="AD174" s="800"/>
      <c r="AE174" s="810"/>
      <c r="AF174" s="814" t="str">
        <f>nmProd1</f>
        <v>Greenborg</v>
      </c>
      <c r="AG174" s="794">
        <f>IF(INDEX(obalCh2Prod1Slot1Active,,xxIndexTeam)=1,INDEX(obalCh2Prod1Slot1WD,,xxIndexTeam),"")</f>
        <v>0.93857142857142861</v>
      </c>
      <c r="AH174" s="811" t="s">
        <v>7442</v>
      </c>
      <c r="AI174" s="810"/>
      <c r="AJ174" s="814" t="str">
        <f>nmProd1</f>
        <v>Greenborg</v>
      </c>
      <c r="AK174" s="799">
        <f>IF(INDEX(obalCh2Prod1Slot1Active,,xxIndexTeam)=1,INDEX(obalCh2Prod1Slot1SoldVol,,xxIndexTeam),"")</f>
        <v>21058829.921314918</v>
      </c>
      <c r="AL174" s="811" t="s">
        <v>7443</v>
      </c>
      <c r="AM174" s="554"/>
      <c r="AN174" s="720"/>
      <c r="AO174" s="817"/>
      <c r="AP174" s="584" t="s">
        <v>13254</v>
      </c>
      <c r="AQ174" s="554"/>
      <c r="AR174" s="720" t="s">
        <v>4408</v>
      </c>
      <c r="AS174" s="815">
        <f>AS173*0.2</f>
        <v>48500000</v>
      </c>
      <c r="AT174" s="584" t="s">
        <v>7444</v>
      </c>
      <c r="AU174" s="802"/>
      <c r="AV174" s="802"/>
    </row>
    <row r="175" spans="30:48">
      <c r="AD175" s="800"/>
      <c r="AE175" s="810"/>
      <c r="AF175" s="814" t="str">
        <f>nmProd1</f>
        <v>Greenborg</v>
      </c>
      <c r="AG175" s="794" t="str">
        <f>IF(INDEX(obalCh2Prod1Slot2Active,,xxIndexTeam)=1,INDEX(obalCh2Prod1Slot2WD,,xxIndexTeam),"")</f>
        <v/>
      </c>
      <c r="AH175" s="811" t="s">
        <v>7445</v>
      </c>
      <c r="AI175" s="810"/>
      <c r="AJ175" s="814" t="str">
        <f>nmProd1</f>
        <v>Greenborg</v>
      </c>
      <c r="AK175" s="799" t="str">
        <f>IF(INDEX(obalCh2Prod1Slot2Active,,xxIndexTeam)=1,INDEX(obalCh2Prod1Slot2SoldVol,,xxIndexTeam),"")</f>
        <v/>
      </c>
      <c r="AL175" s="811" t="s">
        <v>7446</v>
      </c>
      <c r="AM175" s="554"/>
      <c r="AN175" s="720"/>
      <c r="AO175" s="817"/>
      <c r="AP175" s="584" t="s">
        <v>13255</v>
      </c>
      <c r="AQ175" s="554" t="str">
        <f>nmProd4</f>
        <v>Brew Master</v>
      </c>
      <c r="AR175" s="720" t="s">
        <v>4409</v>
      </c>
      <c r="AS175" s="815">
        <v>291000000</v>
      </c>
      <c r="AT175" s="584" t="s">
        <v>7447</v>
      </c>
      <c r="AU175" s="802"/>
      <c r="AV175" s="802"/>
    </row>
    <row r="176" spans="30:48" ht="15" thickBot="1">
      <c r="AD176" s="800"/>
      <c r="AE176" s="810"/>
      <c r="AF176" s="814" t="str">
        <f>nmProd1</f>
        <v>Greenborg</v>
      </c>
      <c r="AG176" s="794" t="str">
        <f>IF(INDEX(obalCh2Prod1Slot3Active,,xxIndexTeam)=1,INDEX(obalCh2Prod1Slot3WD,,xxIndexTeam),"")</f>
        <v/>
      </c>
      <c r="AH176" s="811" t="s">
        <v>7448</v>
      </c>
      <c r="AI176" s="810"/>
      <c r="AJ176" s="814" t="str">
        <f>nmProd1</f>
        <v>Greenborg</v>
      </c>
      <c r="AK176" s="799" t="str">
        <f>IF(INDEX(obalCh2Prod1Slot3Active,,xxIndexTeam)=1,INDEX(obalCh2Prod1Slot3SoldVol,,xxIndexTeam),"")</f>
        <v/>
      </c>
      <c r="AL176" s="811" t="s">
        <v>7449</v>
      </c>
      <c r="AM176" s="554"/>
      <c r="AN176" s="814" t="str">
        <f>nmProd1&amp;" Slot2"</f>
        <v>Greenborg Slot2</v>
      </c>
      <c r="AO176" s="818" t="str">
        <f>IF(INDEX(obalCh2Prod1Slot2Active,,xxIndexTeam)=1,nmProd1&amp;" - "&amp;INDEX(obalCh2Prod1Slot2Pack,,xxIndexTeam),"")</f>
        <v/>
      </c>
      <c r="AP176" s="811" t="s">
        <v>13256</v>
      </c>
      <c r="AQ176" s="554"/>
      <c r="AR176" s="720" t="s">
        <v>4408</v>
      </c>
      <c r="AS176" s="816">
        <f>AS175*0.2</f>
        <v>58200000</v>
      </c>
      <c r="AT176" s="584" t="s">
        <v>7450</v>
      </c>
      <c r="AU176" s="802"/>
      <c r="AV176" s="802"/>
    </row>
    <row r="177" spans="30:48">
      <c r="AD177" s="800"/>
      <c r="AE177" s="810"/>
      <c r="AF177" s="814" t="str">
        <f>nmProd4</f>
        <v>Brew Master</v>
      </c>
      <c r="AG177" s="794" t="str">
        <f>IF(INDEX(obalCh2Prod4Slot1Active,,xxIndexTeam)=1,INDEX(obalCh2Prod4Slot1WD,,xxIndexTeam),"")</f>
        <v/>
      </c>
      <c r="AH177" s="811" t="s">
        <v>7451</v>
      </c>
      <c r="AI177" s="810"/>
      <c r="AJ177" s="814" t="str">
        <f>nmProd4</f>
        <v>Brew Master</v>
      </c>
      <c r="AK177" s="799" t="str">
        <f>IF(INDEX(obalCh2Prod4Slot1Active,,xxIndexTeam)=1,INDEX(obalCh2Prod4Slot1SoldVol,,xxIndexTeam),"")</f>
        <v/>
      </c>
      <c r="AL177" s="811" t="s">
        <v>7452</v>
      </c>
      <c r="AM177" s="554"/>
      <c r="AN177" s="720"/>
      <c r="AO177" s="817" t="str">
        <f>IF(INDEX(obalCh2Prod1Slot2Active,,xxIndexTeam)=1,INDEX(obalCh2Prod1Slot2CustPrice,,xxIndexTeam),"")</f>
        <v/>
      </c>
      <c r="AP177" s="584" t="s">
        <v>13257</v>
      </c>
      <c r="AQ177" s="554"/>
      <c r="AR177" s="720"/>
      <c r="AS177" s="720"/>
      <c r="AT177" s="584"/>
      <c r="AU177" s="802"/>
      <c r="AV177" s="802"/>
    </row>
    <row r="178" spans="30:48" ht="15" thickBot="1">
      <c r="AD178" s="800"/>
      <c r="AE178" s="810"/>
      <c r="AF178" s="814" t="str">
        <f>nmProd4</f>
        <v>Brew Master</v>
      </c>
      <c r="AG178" s="794" t="str">
        <f>IF(INDEX(obalCh2Prod4Slot2Active,,xxIndexTeam)=1,INDEX(obalCh2Prod4Slot2WD,,xxIndexTeam),"")</f>
        <v/>
      </c>
      <c r="AH178" s="811" t="s">
        <v>7453</v>
      </c>
      <c r="AI178" s="810"/>
      <c r="AJ178" s="814" t="str">
        <f>nmProd4</f>
        <v>Brew Master</v>
      </c>
      <c r="AK178" s="799" t="str">
        <f>IF(INDEX(obalCh2Prod4Slot2Active,,xxIndexTeam)=1,INDEX(obalCh2Prod4Slot2SoldVol,,xxIndexTeam),"")</f>
        <v/>
      </c>
      <c r="AL178" s="811" t="s">
        <v>7454</v>
      </c>
      <c r="AM178" s="554"/>
      <c r="AN178" s="720"/>
      <c r="AO178" s="817"/>
      <c r="AP178" s="584" t="s">
        <v>13258</v>
      </c>
      <c r="AQ178" s="554"/>
      <c r="AR178" s="720"/>
      <c r="AS178" s="530" t="s">
        <v>6997</v>
      </c>
      <c r="AT178" s="584"/>
      <c r="AU178" s="802"/>
      <c r="AV178" s="802"/>
    </row>
    <row r="179" spans="30:48">
      <c r="AD179" s="800"/>
      <c r="AE179" s="810"/>
      <c r="AF179" s="814" t="str">
        <f>nmProd4</f>
        <v>Brew Master</v>
      </c>
      <c r="AG179" s="794" t="str">
        <f>IF(INDEX(obalCh2Prod4Slot3Active,,xxIndexTeam)=1,INDEX(obalCh2Prod4Slot3WD,,xxIndexTeam),"")</f>
        <v/>
      </c>
      <c r="AH179" s="811" t="s">
        <v>7455</v>
      </c>
      <c r="AI179" s="810"/>
      <c r="AJ179" s="814" t="str">
        <f>nmProd4</f>
        <v>Brew Master</v>
      </c>
      <c r="AK179" s="799" t="str">
        <f>IF(INDEX(obalCh2Prod4Slot3Active,,xxIndexTeam)=1,INDEX(obalCh2Prod4Slot3SoldVol,,xxIndexTeam),"")</f>
        <v/>
      </c>
      <c r="AL179" s="811" t="s">
        <v>7456</v>
      </c>
      <c r="AM179" s="554"/>
      <c r="AN179" s="720"/>
      <c r="AO179" s="817"/>
      <c r="AP179" s="584" t="s">
        <v>13259</v>
      </c>
      <c r="AQ179" s="554" t="str">
        <f>nmProd1</f>
        <v>Greenborg</v>
      </c>
      <c r="AR179" s="720" t="s">
        <v>4409</v>
      </c>
      <c r="AS179" s="823">
        <v>0.06</v>
      </c>
      <c r="AT179" s="584" t="s">
        <v>7457</v>
      </c>
      <c r="AU179" s="802"/>
      <c r="AV179" s="802"/>
    </row>
    <row r="180" spans="30:48">
      <c r="AD180" s="800"/>
      <c r="AE180" s="810"/>
      <c r="AF180" s="814"/>
      <c r="AG180" s="794"/>
      <c r="AH180" s="811"/>
      <c r="AI180" s="810"/>
      <c r="AJ180" s="814"/>
      <c r="AK180" s="794"/>
      <c r="AL180" s="811"/>
      <c r="AM180" s="554"/>
      <c r="AN180" s="814" t="str">
        <f>nmProd1&amp;" Slot3"</f>
        <v>Greenborg Slot3</v>
      </c>
      <c r="AO180" s="818" t="str">
        <f>IF(INDEX(obalCh2Prod1Slot3Active,,xxIndexTeam)=1,nmProd1&amp;" - "&amp;INDEX(obalCh2Prod1Slot3Pack,,xxIndexTeam),"")</f>
        <v/>
      </c>
      <c r="AP180" s="811" t="s">
        <v>13260</v>
      </c>
      <c r="AQ180" s="554"/>
      <c r="AR180" s="720" t="s">
        <v>4408</v>
      </c>
      <c r="AS180" s="827">
        <v>0.06</v>
      </c>
      <c r="AT180" s="584" t="s">
        <v>7458</v>
      </c>
      <c r="AU180" s="802"/>
      <c r="AV180" s="802"/>
    </row>
    <row r="181" spans="30:48">
      <c r="AD181" s="800"/>
      <c r="AE181" s="797" t="s">
        <v>4407</v>
      </c>
      <c r="AF181" s="814"/>
      <c r="AG181" s="795"/>
      <c r="AH181" s="811"/>
      <c r="AI181" s="797" t="s">
        <v>151</v>
      </c>
      <c r="AJ181" s="814"/>
      <c r="AK181" s="795"/>
      <c r="AL181" s="811"/>
      <c r="AM181" s="554"/>
      <c r="AN181" s="720"/>
      <c r="AO181" s="817" t="str">
        <f>IF(INDEX(obalCh2Prod1Slot3Active,,xxIndexTeam)=1,INDEX(calcCh2Prod1Slot3CustPrice,,xxIndexTeam),"")</f>
        <v/>
      </c>
      <c r="AP181" s="584" t="s">
        <v>13261</v>
      </c>
      <c r="AQ181" s="554" t="str">
        <f>nmProd2</f>
        <v>Harken</v>
      </c>
      <c r="AR181" s="720" t="s">
        <v>4409</v>
      </c>
      <c r="AS181" s="827">
        <v>0.03</v>
      </c>
      <c r="AT181" s="584" t="s">
        <v>7459</v>
      </c>
      <c r="AU181" s="802"/>
      <c r="AV181" s="802"/>
    </row>
    <row r="182" spans="30:48">
      <c r="AD182" s="800"/>
      <c r="AE182" s="810"/>
      <c r="AF182" s="802"/>
      <c r="AG182" s="793" t="s">
        <v>4407</v>
      </c>
      <c r="AH182" s="811" t="s">
        <v>7460</v>
      </c>
      <c r="AI182" s="810"/>
      <c r="AJ182" s="802"/>
      <c r="AK182" s="793" t="s">
        <v>151</v>
      </c>
      <c r="AL182" s="811" t="s">
        <v>7461</v>
      </c>
      <c r="AM182" s="554"/>
      <c r="AN182" s="720"/>
      <c r="AO182" s="817"/>
      <c r="AP182" s="584" t="s">
        <v>13262</v>
      </c>
      <c r="AQ182" s="554"/>
      <c r="AR182" s="720" t="s">
        <v>4408</v>
      </c>
      <c r="AS182" s="827">
        <v>0.03</v>
      </c>
      <c r="AT182" s="584" t="s">
        <v>7462</v>
      </c>
      <c r="AU182" s="802"/>
      <c r="AV182" s="802"/>
    </row>
    <row r="183" spans="30:48">
      <c r="AD183" s="800"/>
      <c r="AE183" s="810"/>
      <c r="AF183" s="814" t="str">
        <f>nmProd2</f>
        <v>Harken</v>
      </c>
      <c r="AG183" s="798">
        <f>IF(INDEX(obalCh2Prod2Slot1Active,,xxIndexTeam)=1,INDEX(obalCh2Prod2Slot1GPaL,,xxIndexTeam)/tlOutputCh2Analytic1Chart1XValue1,"")</f>
        <v>368496026.30559421</v>
      </c>
      <c r="AH183" s="811" t="s">
        <v>7463</v>
      </c>
      <c r="AI183" s="810"/>
      <c r="AJ183" s="814" t="str">
        <f>nmProd2</f>
        <v>Harken</v>
      </c>
      <c r="AK183" s="533">
        <f>INDEX(calcCh2Prod2Slot1PriceDif,,xxIndexTeam)</f>
        <v>9.1522051508787422E-2</v>
      </c>
      <c r="AL183" s="811" t="s">
        <v>7464</v>
      </c>
      <c r="AM183" s="554"/>
      <c r="AN183" s="720"/>
      <c r="AO183" s="817"/>
      <c r="AP183" s="584" t="s">
        <v>13263</v>
      </c>
      <c r="AQ183" s="554" t="str">
        <f>nmProd3</f>
        <v>Kara</v>
      </c>
      <c r="AR183" s="720" t="s">
        <v>4409</v>
      </c>
      <c r="AS183" s="827">
        <v>0.05</v>
      </c>
      <c r="AT183" s="584" t="s">
        <v>7465</v>
      </c>
      <c r="AU183" s="802"/>
      <c r="AV183" s="802"/>
    </row>
    <row r="184" spans="30:48">
      <c r="AD184" s="800"/>
      <c r="AE184" s="810"/>
      <c r="AF184" s="814" t="str">
        <f>nmProd2</f>
        <v>Harken</v>
      </c>
      <c r="AG184" s="798" t="str">
        <f>IF(INDEX(obalCh2Prod2Slot2Active,,xxIndexTeam)=1,INDEX(obalCh2Prod2Slot2GPaL,,xxIndexTeam)/tlOutputCh2Analytic1Chart1XValue2,"")</f>
        <v/>
      </c>
      <c r="AH184" s="811" t="s">
        <v>7466</v>
      </c>
      <c r="AI184" s="810"/>
      <c r="AJ184" s="814" t="str">
        <f>nmProd2</f>
        <v>Harken</v>
      </c>
      <c r="AK184" s="533" t="str">
        <f>INDEX(calcCh2Prod2Slot2PriceDif,,xxIndexTeam)</f>
        <v/>
      </c>
      <c r="AL184" s="811" t="s">
        <v>7467</v>
      </c>
      <c r="AM184" s="554"/>
      <c r="AN184" s="814" t="str">
        <f>nmProd4&amp;" Slot1"</f>
        <v>Brew Master Slot1</v>
      </c>
      <c r="AO184" s="818" t="str">
        <f>IF(INDEX(obalCh2Prod4Slot1Active,,xxIndexTeam)=1,nmProd4&amp;" - "&amp;INDEX(obalCh2Prod4Slot1Pack,,xxIndexTeam),"")</f>
        <v/>
      </c>
      <c r="AP184" s="811" t="s">
        <v>13264</v>
      </c>
      <c r="AQ184" s="554"/>
      <c r="AR184" s="720" t="s">
        <v>4408</v>
      </c>
      <c r="AS184" s="827">
        <v>0.05</v>
      </c>
      <c r="AT184" s="584" t="s">
        <v>7468</v>
      </c>
      <c r="AU184" s="802"/>
      <c r="AV184" s="802"/>
    </row>
    <row r="185" spans="30:48">
      <c r="AD185" s="800"/>
      <c r="AE185" s="810"/>
      <c r="AF185" s="814" t="str">
        <f>nmProd2</f>
        <v>Harken</v>
      </c>
      <c r="AG185" s="798" t="str">
        <f>IF(INDEX(obalCh2Prod2Slot3Active,,xxIndexTeam)=1,INDEX(obalCh2Prod2Slot3GPaL,,xxIndexTeam)/tlOutputCh2Analytic1Chart1XValue3,"")</f>
        <v/>
      </c>
      <c r="AH185" s="811" t="s">
        <v>7469</v>
      </c>
      <c r="AI185" s="810"/>
      <c r="AJ185" s="814" t="str">
        <f>nmProd2</f>
        <v>Harken</v>
      </c>
      <c r="AK185" s="533" t="str">
        <f>INDEX(calcCh2Prod2Slot3PriceDif,,xxIndexTeam)</f>
        <v/>
      </c>
      <c r="AL185" s="811" t="s">
        <v>7470</v>
      </c>
      <c r="AM185" s="554"/>
      <c r="AN185" s="720"/>
      <c r="AO185" s="817" t="str">
        <f>IF(INDEX(obalCh2Prod4Slot1Active,,xxIndexTeam)=1,INDEX(obalCh2Prod4Slot1CustPrice,,xxIndexTeam),"")</f>
        <v/>
      </c>
      <c r="AP185" s="584" t="s">
        <v>13265</v>
      </c>
      <c r="AQ185" s="554" t="str">
        <f>nmProd4</f>
        <v>Brew Master</v>
      </c>
      <c r="AR185" s="720" t="s">
        <v>4409</v>
      </c>
      <c r="AS185" s="827">
        <v>0.06</v>
      </c>
      <c r="AT185" s="584" t="s">
        <v>7471</v>
      </c>
      <c r="AU185" s="802"/>
      <c r="AV185" s="802"/>
    </row>
    <row r="186" spans="30:48" ht="15" thickBot="1">
      <c r="AD186" s="800"/>
      <c r="AE186" s="810"/>
      <c r="AF186" s="814" t="str">
        <f>nmProd3</f>
        <v>Kara</v>
      </c>
      <c r="AG186" s="798">
        <f>IF(INDEX(obalCh2Prod3Slot1Active,,xxIndexTeam)=1,INDEX(obalCh2Prod3Slot1GPaL,,xxIndexTeam)/tlOutputCh2Analytic1Chart1XValue4,"")</f>
        <v>323734761.69275993</v>
      </c>
      <c r="AH186" s="811" t="s">
        <v>7472</v>
      </c>
      <c r="AI186" s="810"/>
      <c r="AJ186" s="814" t="str">
        <f>nmProd3</f>
        <v>Kara</v>
      </c>
      <c r="AK186" s="533">
        <f>INDEX(calcCh2Prod3Slot1PriceDif,,xxIndexTeam)</f>
        <v>8.6216425334364067E-3</v>
      </c>
      <c r="AL186" s="811" t="s">
        <v>7473</v>
      </c>
      <c r="AM186" s="554"/>
      <c r="AN186" s="720"/>
      <c r="AO186" s="817"/>
      <c r="AP186" s="584" t="s">
        <v>13266</v>
      </c>
      <c r="AQ186" s="554"/>
      <c r="AR186" s="720" t="s">
        <v>4408</v>
      </c>
      <c r="AS186" s="830">
        <v>0.06</v>
      </c>
      <c r="AT186" s="584" t="s">
        <v>7474</v>
      </c>
      <c r="AU186" s="802"/>
      <c r="AV186" s="802"/>
    </row>
    <row r="187" spans="30:48">
      <c r="AD187" s="800"/>
      <c r="AE187" s="810"/>
      <c r="AF187" s="814" t="str">
        <f>nmProd3</f>
        <v>Kara</v>
      </c>
      <c r="AG187" s="798" t="str">
        <f>IF(INDEX(obalCh2Prod3Slot2Active,,xxIndexTeam)=1,INDEX(obalCh2Prod3Slot2GPaL,,xxIndexTeam)/tlOutputCh2Analytic1Chart1XValue5,"")</f>
        <v/>
      </c>
      <c r="AH187" s="811" t="s">
        <v>7475</v>
      </c>
      <c r="AI187" s="810"/>
      <c r="AJ187" s="814" t="str">
        <f>nmProd3</f>
        <v>Kara</v>
      </c>
      <c r="AK187" s="533" t="str">
        <f>INDEX(calcCh2Prod3Slot2PriceDif,,xxIndexTeam)</f>
        <v/>
      </c>
      <c r="AL187" s="811" t="s">
        <v>7476</v>
      </c>
      <c r="AM187" s="554"/>
      <c r="AN187" s="720"/>
      <c r="AO187" s="817"/>
      <c r="AP187" s="584" t="s">
        <v>13267</v>
      </c>
      <c r="AQ187" s="832" t="str">
        <f>nmSeg3</f>
        <v>Relax &amp; Unwind</v>
      </c>
      <c r="AR187" s="720"/>
      <c r="AS187" s="720"/>
      <c r="AT187" s="584"/>
      <c r="AU187" s="802"/>
      <c r="AV187" s="802"/>
    </row>
    <row r="188" spans="30:48" ht="15" thickBot="1">
      <c r="AD188" s="800"/>
      <c r="AE188" s="810"/>
      <c r="AF188" s="814" t="str">
        <f>nmProd3</f>
        <v>Kara</v>
      </c>
      <c r="AG188" s="798" t="str">
        <f>IF(INDEX(obalCh2Prod3Slot3Active,,xxIndexTeam)=1,INDEX(obalCh2Prod3Slot3GPaL,,xxIndexTeam)/tlOutputCh2Analytic1Chart1XValue6,"")</f>
        <v/>
      </c>
      <c r="AH188" s="811" t="s">
        <v>7477</v>
      </c>
      <c r="AI188" s="810"/>
      <c r="AJ188" s="814" t="str">
        <f>nmProd3</f>
        <v>Kara</v>
      </c>
      <c r="AK188" s="533" t="str">
        <f>INDEX(calcCh2Prod3Slot3PriceDif,,xxIndexTeam)</f>
        <v/>
      </c>
      <c r="AL188" s="811" t="s">
        <v>7478</v>
      </c>
      <c r="AM188" s="554"/>
      <c r="AN188" s="814" t="str">
        <f>nmProd4&amp;" Slot2"</f>
        <v>Brew Master Slot2</v>
      </c>
      <c r="AO188" s="818" t="str">
        <f>IF(INDEX(obalCh2Prod4Slot2Active,,xxIndexTeam)=1,nmProd4&amp;" - "&amp;INDEX(obalCh2Prod4Slot2Pack,,xxIndexTeam),"")</f>
        <v/>
      </c>
      <c r="AP188" s="811" t="s">
        <v>13268</v>
      </c>
      <c r="AQ188" s="554"/>
      <c r="AR188" s="720"/>
      <c r="AS188" s="530" t="s">
        <v>295</v>
      </c>
      <c r="AT188" s="584"/>
      <c r="AU188" s="802"/>
      <c r="AV188" s="802"/>
    </row>
    <row r="189" spans="30:48">
      <c r="AD189" s="800"/>
      <c r="AE189" s="810"/>
      <c r="AF189" s="814" t="str">
        <f>nmProd1</f>
        <v>Greenborg</v>
      </c>
      <c r="AG189" s="798">
        <f>IF(INDEX(obalCh2Prod1Slot1Active,,xxIndexTeam)=1,INDEX(obalCh2Prod1Slot1GPaL,,xxIndexTeam)/tlOutputCh2Analytic1Chart1XValue7,"")</f>
        <v>67980950.817512721</v>
      </c>
      <c r="AH189" s="811" t="s">
        <v>7479</v>
      </c>
      <c r="AI189" s="810"/>
      <c r="AJ189" s="814" t="str">
        <f>nmProd1</f>
        <v>Greenborg</v>
      </c>
      <c r="AK189" s="533">
        <f>INDEX(calcCh2Prod1Slot1PriceDif,,xxIndexTeam)</f>
        <v>-3.2828561954239041E-2</v>
      </c>
      <c r="AL189" s="811" t="s">
        <v>7480</v>
      </c>
      <c r="AM189" s="554"/>
      <c r="AN189" s="720"/>
      <c r="AO189" s="817" t="str">
        <f>IF(INDEX(obalCh2Prod4Slot2Active,,xxIndexTeam)=1,INDEX(obalCh2Prod4Slot2CustPrice,,xxIndexTeam),"")</f>
        <v/>
      </c>
      <c r="AP189" s="584" t="s">
        <v>13269</v>
      </c>
      <c r="AQ189" s="554" t="str">
        <f>nmProd1</f>
        <v>Greenborg</v>
      </c>
      <c r="AR189" s="720" t="s">
        <v>4409</v>
      </c>
      <c r="AS189" s="824">
        <v>291000000</v>
      </c>
      <c r="AT189" s="584" t="s">
        <v>7481</v>
      </c>
      <c r="AU189" s="802"/>
      <c r="AV189" s="802"/>
    </row>
    <row r="190" spans="30:48">
      <c r="AD190" s="800"/>
      <c r="AE190" s="810"/>
      <c r="AF190" s="814" t="str">
        <f>nmProd1</f>
        <v>Greenborg</v>
      </c>
      <c r="AG190" s="798" t="str">
        <f>IF(INDEX(obalCh2Prod1Slot2Active,,xxIndexTeam)=1,INDEX(obalCh2Prod1Slot2GPaL,,xxIndexTeam)/tlOutputCh2Analytic1Chart1XValue8,"")</f>
        <v/>
      </c>
      <c r="AH190" s="811" t="s">
        <v>7482</v>
      </c>
      <c r="AI190" s="810"/>
      <c r="AJ190" s="814" t="str">
        <f>nmProd1</f>
        <v>Greenborg</v>
      </c>
      <c r="AK190" s="533" t="str">
        <f>INDEX(calcCh2Prod1Slot2PriceDif,,xxIndexTeam)</f>
        <v/>
      </c>
      <c r="AL190" s="811" t="s">
        <v>7483</v>
      </c>
      <c r="AM190" s="554"/>
      <c r="AN190" s="720"/>
      <c r="AO190" s="817"/>
      <c r="AP190" s="584" t="s">
        <v>13270</v>
      </c>
      <c r="AQ190" s="554"/>
      <c r="AR190" s="720" t="s">
        <v>4408</v>
      </c>
      <c r="AS190" s="815">
        <f>AS189*0.2</f>
        <v>58200000</v>
      </c>
      <c r="AT190" s="584" t="s">
        <v>7484</v>
      </c>
      <c r="AU190" s="802"/>
      <c r="AV190" s="802"/>
    </row>
    <row r="191" spans="30:48">
      <c r="AD191" s="800"/>
      <c r="AE191" s="810"/>
      <c r="AF191" s="814" t="str">
        <f>nmProd1</f>
        <v>Greenborg</v>
      </c>
      <c r="AG191" s="798" t="str">
        <f>IF(INDEX(obalCh2Prod1Slot3Active,,xxIndexTeam)=1,INDEX(obalCh2Prod1Slot3GPaL,,xxIndexTeam)/tlOutputCh2Analytic1Chart1XValue9,"")</f>
        <v/>
      </c>
      <c r="AH191" s="811" t="s">
        <v>7485</v>
      </c>
      <c r="AI191" s="810"/>
      <c r="AJ191" s="814" t="str">
        <f>nmProd1</f>
        <v>Greenborg</v>
      </c>
      <c r="AK191" s="533" t="str">
        <f>INDEX(calcCh2Prod1Slot3PriceDif,,xxIndexTeam)</f>
        <v/>
      </c>
      <c r="AL191" s="811" t="s">
        <v>7486</v>
      </c>
      <c r="AM191" s="554"/>
      <c r="AN191" s="720"/>
      <c r="AO191" s="817"/>
      <c r="AP191" s="584" t="s">
        <v>13271</v>
      </c>
      <c r="AQ191" s="554" t="str">
        <f>nmProd2</f>
        <v>Harken</v>
      </c>
      <c r="AR191" s="720" t="s">
        <v>4409</v>
      </c>
      <c r="AS191" s="815">
        <v>727500000</v>
      </c>
      <c r="AT191" s="584" t="s">
        <v>7487</v>
      </c>
      <c r="AU191" s="802"/>
      <c r="AV191" s="802"/>
    </row>
    <row r="192" spans="30:48">
      <c r="AD192" s="800"/>
      <c r="AE192" s="810"/>
      <c r="AF192" s="814" t="str">
        <f>nmProd4</f>
        <v>Brew Master</v>
      </c>
      <c r="AG192" s="798" t="str">
        <f>IF(INDEX(obalCh2Prod4Slot1Active,,xxIndexTeam)=1,INDEX(obalCh2Prod4Slot1GPaL,,xxIndexTeam)/tlOutputCh2Analytic1Chart1XValue10,"")</f>
        <v/>
      </c>
      <c r="AH192" s="811" t="s">
        <v>7488</v>
      </c>
      <c r="AI192" s="810"/>
      <c r="AJ192" s="814" t="str">
        <f>nmProd4</f>
        <v>Brew Master</v>
      </c>
      <c r="AK192" s="533" t="str">
        <f>INDEX(calcCh2Prod4Slot1PriceDif,,xxIndexTeam)</f>
        <v/>
      </c>
      <c r="AL192" s="811" t="s">
        <v>7489</v>
      </c>
      <c r="AM192" s="554"/>
      <c r="AN192" s="814" t="str">
        <f>nmProd4&amp;" Slot3"</f>
        <v>Brew Master Slot3</v>
      </c>
      <c r="AO192" s="818" t="str">
        <f>IF(INDEX(obalCh2Prod4Slot3Active,,xxIndexTeam)=1,nmProd4&amp;" - "&amp;INDEX(obalCh2Prod4Slot3Pack,,xxIndexTeam),"")</f>
        <v/>
      </c>
      <c r="AP192" s="811" t="s">
        <v>13272</v>
      </c>
      <c r="AQ192" s="554"/>
      <c r="AR192" s="720" t="s">
        <v>4408</v>
      </c>
      <c r="AS192" s="815">
        <f>AS191*0.2</f>
        <v>145500000</v>
      </c>
      <c r="AT192" s="584" t="s">
        <v>7490</v>
      </c>
      <c r="AU192" s="802"/>
      <c r="AV192" s="802"/>
    </row>
    <row r="193" spans="30:48">
      <c r="AD193" s="800"/>
      <c r="AE193" s="810"/>
      <c r="AF193" s="814" t="str">
        <f>nmProd4</f>
        <v>Brew Master</v>
      </c>
      <c r="AG193" s="798" t="str">
        <f>IF(INDEX(obalCh2Prod4Slot2Active,,xxIndexTeam)=1,INDEX(obalCh2Prod4Slot2GPaL,,xxIndexTeam)/tlOutputCh2Analytic1Chart1XValue11,"")</f>
        <v/>
      </c>
      <c r="AH193" s="811" t="s">
        <v>7491</v>
      </c>
      <c r="AI193" s="810"/>
      <c r="AJ193" s="814" t="str">
        <f>nmProd4</f>
        <v>Brew Master</v>
      </c>
      <c r="AK193" s="533" t="str">
        <f>INDEX(calcCh2Prod4Slot2PriceDif,,xxIndexTeam)</f>
        <v/>
      </c>
      <c r="AL193" s="811" t="s">
        <v>7492</v>
      </c>
      <c r="AM193" s="554"/>
      <c r="AN193" s="720"/>
      <c r="AO193" s="817" t="str">
        <f>IF(INDEX(obalCh2Prod4Slot3Active,,xxIndexTeam)=1,INDEX(obalCh2Prod4Slot3CustPrice,,xxIndexTeam),"")</f>
        <v/>
      </c>
      <c r="AP193" s="584" t="s">
        <v>13273</v>
      </c>
      <c r="AQ193" s="554" t="str">
        <f>nmProd3</f>
        <v>Kara</v>
      </c>
      <c r="AR193" s="720" t="s">
        <v>4409</v>
      </c>
      <c r="AS193" s="815">
        <v>533500000</v>
      </c>
      <c r="AT193" s="584" t="s">
        <v>7493</v>
      </c>
      <c r="AU193" s="802"/>
      <c r="AV193" s="802"/>
    </row>
    <row r="194" spans="30:48">
      <c r="AD194" s="800"/>
      <c r="AE194" s="810"/>
      <c r="AF194" s="814" t="str">
        <f>nmProd4</f>
        <v>Brew Master</v>
      </c>
      <c r="AG194" s="798" t="str">
        <f>IF(INDEX(obalCh2Prod4Slot3Active,,xxIndexTeam)=1,INDEX(obalCh2Prod4Slot3GPaL,,xxIndexTeam)/tlOutputCh2Analytic1Chart1XValue12,"")</f>
        <v/>
      </c>
      <c r="AH194" s="811" t="s">
        <v>7494</v>
      </c>
      <c r="AI194" s="810"/>
      <c r="AJ194" s="814" t="str">
        <f>nmProd4</f>
        <v>Brew Master</v>
      </c>
      <c r="AK194" s="533" t="str">
        <f>INDEX(calcCh2Prod4Slot3PriceDif,,xxIndexTeam)</f>
        <v/>
      </c>
      <c r="AL194" s="811" t="s">
        <v>7495</v>
      </c>
      <c r="AM194" s="554"/>
      <c r="AN194" s="720"/>
      <c r="AO194" s="817"/>
      <c r="AP194" s="584" t="s">
        <v>13274</v>
      </c>
      <c r="AQ194" s="554"/>
      <c r="AR194" s="720" t="s">
        <v>4408</v>
      </c>
      <c r="AS194" s="815">
        <f>AS193*0.2</f>
        <v>106700000</v>
      </c>
      <c r="AT194" s="584" t="s">
        <v>7496</v>
      </c>
      <c r="AU194" s="802"/>
      <c r="AV194" s="802"/>
    </row>
    <row r="195" spans="30:48" ht="15" thickBot="1">
      <c r="AD195" s="800"/>
      <c r="AE195" s="810"/>
      <c r="AF195" s="814"/>
      <c r="AG195" s="814"/>
      <c r="AH195" s="811"/>
      <c r="AI195" s="810"/>
      <c r="AJ195" s="814"/>
      <c r="AK195" s="814"/>
      <c r="AL195" s="811"/>
      <c r="AM195" s="554"/>
      <c r="AN195" s="720"/>
      <c r="AO195" s="817"/>
      <c r="AP195" s="584" t="s">
        <v>13275</v>
      </c>
      <c r="AQ195" s="554" t="str">
        <f>nmProd4</f>
        <v>Brew Master</v>
      </c>
      <c r="AR195" s="720" t="s">
        <v>4409</v>
      </c>
      <c r="AS195" s="815">
        <v>485000000</v>
      </c>
      <c r="AT195" s="584" t="s">
        <v>7497</v>
      </c>
      <c r="AU195" s="802"/>
      <c r="AV195" s="802"/>
    </row>
    <row r="196" spans="30:48" ht="15" thickBot="1">
      <c r="AD196" s="800"/>
      <c r="AE196" s="797" t="s">
        <v>295</v>
      </c>
      <c r="AF196" s="814"/>
      <c r="AG196" s="814"/>
      <c r="AH196" s="811"/>
      <c r="AI196" s="797" t="s">
        <v>6992</v>
      </c>
      <c r="AJ196" s="814"/>
      <c r="AK196" s="814"/>
      <c r="AL196" s="811"/>
      <c r="AM196" s="555"/>
      <c r="AN196" s="600"/>
      <c r="AO196" s="600"/>
      <c r="AP196" s="561"/>
      <c r="AQ196" s="554"/>
      <c r="AR196" s="720" t="s">
        <v>4408</v>
      </c>
      <c r="AS196" s="816">
        <f>AS195*0.2</f>
        <v>97000000</v>
      </c>
      <c r="AT196" s="584" t="s">
        <v>7498</v>
      </c>
      <c r="AU196" s="802"/>
      <c r="AV196" s="802"/>
    </row>
    <row r="197" spans="30:48">
      <c r="AD197" s="800"/>
      <c r="AE197" s="810"/>
      <c r="AF197" s="814" t="str">
        <f>nmProd2</f>
        <v>Harken</v>
      </c>
      <c r="AG197" s="799">
        <f>IF(INDEX(obalCh2Prod2Slot1Active,,xxIndexTeam)=1,INDEX(obalCh2Prod2Slot1SoldVol,,xxIndexTeam),"")</f>
        <v>141423639.96063417</v>
      </c>
      <c r="AH197" s="811" t="s">
        <v>7499</v>
      </c>
      <c r="AI197" s="810"/>
      <c r="AJ197" s="814" t="str">
        <f>nmProd2</f>
        <v>Harken</v>
      </c>
      <c r="AK197" s="799">
        <f>IF(INDEX(obalCh2Prod2Slot1Active,,xxIndexTeam)=1,100,"")</f>
        <v>100</v>
      </c>
      <c r="AL197" s="811" t="s">
        <v>7500</v>
      </c>
      <c r="AM197" s="554"/>
      <c r="AN197" s="720"/>
      <c r="AO197" s="720"/>
      <c r="AP197" s="584"/>
      <c r="AQ197" s="554"/>
      <c r="AR197" s="720"/>
      <c r="AS197" s="720"/>
      <c r="AT197" s="584"/>
      <c r="AU197" s="802"/>
      <c r="AV197" s="802"/>
    </row>
    <row r="198" spans="30:48" ht="15" thickBot="1">
      <c r="AD198" s="800"/>
      <c r="AE198" s="810"/>
      <c r="AF198" s="814" t="str">
        <f>nmProd2</f>
        <v>Harken</v>
      </c>
      <c r="AG198" s="799" t="str">
        <f>IF(INDEX(obalCh2Prod2Slot2Active,,xxIndexTeam)=1,INDEX(obalCh2Prod2Slot2SoldVol,,xxIndexTeam),"")</f>
        <v/>
      </c>
      <c r="AH198" s="811" t="s">
        <v>7501</v>
      </c>
      <c r="AI198" s="810"/>
      <c r="AJ198" s="814" t="str">
        <f>nmProd2</f>
        <v>Harken</v>
      </c>
      <c r="AK198" s="799" t="str">
        <f>IF(INDEX(obalCh2Prod2Slot2Active,,xxIndexTeam)=1,100,"")</f>
        <v/>
      </c>
      <c r="AL198" s="811" t="s">
        <v>7502</v>
      </c>
      <c r="AM198" s="554"/>
      <c r="AN198" s="720"/>
      <c r="AO198" s="720"/>
      <c r="AP198" s="584"/>
      <c r="AQ198" s="554"/>
      <c r="AR198" s="720"/>
      <c r="AS198" s="530" t="s">
        <v>6997</v>
      </c>
      <c r="AT198" s="584"/>
      <c r="AU198" s="802"/>
      <c r="AV198" s="802"/>
    </row>
    <row r="199" spans="30:48">
      <c r="AD199" s="800"/>
      <c r="AE199" s="810"/>
      <c r="AF199" s="814" t="str">
        <f>nmProd2</f>
        <v>Harken</v>
      </c>
      <c r="AG199" s="799" t="str">
        <f>IF(INDEX(obalCh2Prod2Slot3Active,,xxIndexTeam)=1,INDEX(obalCh2Prod2Slot3SoldVol,,xxIndexTeam),"")</f>
        <v/>
      </c>
      <c r="AH199" s="811" t="s">
        <v>7503</v>
      </c>
      <c r="AI199" s="810"/>
      <c r="AJ199" s="814" t="str">
        <f>nmProd2</f>
        <v>Harken</v>
      </c>
      <c r="AK199" s="799" t="str">
        <f>IF(INDEX(obalCh2Prod2Slot3Active,,xxIndexTeam)=1,100,"")</f>
        <v/>
      </c>
      <c r="AL199" s="811" t="s">
        <v>7504</v>
      </c>
      <c r="AM199" s="554"/>
      <c r="AN199" s="720"/>
      <c r="AO199" s="720"/>
      <c r="AP199" s="584"/>
      <c r="AQ199" s="554" t="str">
        <f>nmProd1</f>
        <v>Greenborg</v>
      </c>
      <c r="AR199" s="720" t="s">
        <v>4409</v>
      </c>
      <c r="AS199" s="825">
        <v>0.06</v>
      </c>
      <c r="AT199" s="584" t="s">
        <v>7505</v>
      </c>
      <c r="AU199" s="802"/>
      <c r="AV199" s="802"/>
    </row>
    <row r="200" spans="30:48">
      <c r="AD200" s="800"/>
      <c r="AE200" s="810"/>
      <c r="AF200" s="814" t="str">
        <f>nmProd3</f>
        <v>Kara</v>
      </c>
      <c r="AG200" s="799">
        <f>IF(INDEX(obalCh2Prod3Slot1Active,,xxIndexTeam)=1,INDEX(obalCh2Prod3Slot1SoldVol,,xxIndexTeam),"")</f>
        <v>100811160.12909977</v>
      </c>
      <c r="AH200" s="811" t="s">
        <v>7506</v>
      </c>
      <c r="AI200" s="810"/>
      <c r="AJ200" s="814" t="str">
        <f>nmProd3</f>
        <v>Kara</v>
      </c>
      <c r="AK200" s="799">
        <f>IF(INDEX(obalCh2Prod3Slot1Active,,xxIndexTeam)=1,100,"")</f>
        <v>100</v>
      </c>
      <c r="AL200" s="811" t="s">
        <v>7507</v>
      </c>
      <c r="AM200" s="554"/>
      <c r="AN200" s="720"/>
      <c r="AO200" s="720"/>
      <c r="AP200" s="584"/>
      <c r="AQ200" s="554"/>
      <c r="AR200" s="720" t="s">
        <v>4408</v>
      </c>
      <c r="AS200" s="828">
        <v>0.06</v>
      </c>
      <c r="AT200" s="584" t="s">
        <v>7508</v>
      </c>
      <c r="AU200" s="802"/>
      <c r="AV200" s="802"/>
    </row>
    <row r="201" spans="30:48">
      <c r="AD201" s="800"/>
      <c r="AE201" s="810"/>
      <c r="AF201" s="814" t="str">
        <f>nmProd3</f>
        <v>Kara</v>
      </c>
      <c r="AG201" s="799" t="str">
        <f>IF(INDEX(obalCh2Prod3Slot2Active,,xxIndexTeam)=1,INDEX(obalCh2Prod3Slot2SoldVol,,xxIndexTeam),"")</f>
        <v/>
      </c>
      <c r="AH201" s="811" t="s">
        <v>7509</v>
      </c>
      <c r="AI201" s="810"/>
      <c r="AJ201" s="814" t="str">
        <f>nmProd3</f>
        <v>Kara</v>
      </c>
      <c r="AK201" s="799" t="str">
        <f>IF(INDEX(obalCh2Prod3Slot2Active,,xxIndexTeam)=1,100,"")</f>
        <v/>
      </c>
      <c r="AL201" s="811" t="s">
        <v>7510</v>
      </c>
      <c r="AM201" s="554"/>
      <c r="AN201" s="720"/>
      <c r="AO201" s="720"/>
      <c r="AP201" s="584"/>
      <c r="AQ201" s="554" t="str">
        <f>nmProd2</f>
        <v>Harken</v>
      </c>
      <c r="AR201" s="720" t="s">
        <v>4409</v>
      </c>
      <c r="AS201" s="828">
        <v>0.15</v>
      </c>
      <c r="AT201" s="584" t="s">
        <v>7511</v>
      </c>
      <c r="AU201" s="802"/>
      <c r="AV201" s="802"/>
    </row>
    <row r="202" spans="30:48">
      <c r="AD202" s="800"/>
      <c r="AE202" s="810"/>
      <c r="AF202" s="814" t="str">
        <f>nmProd3</f>
        <v>Kara</v>
      </c>
      <c r="AG202" s="799" t="str">
        <f>IF(INDEX(obalCh2Prod3Slot3Active,,xxIndexTeam)=1,INDEX(obalCh2Prod3Slot3SoldVol,,xxIndexTeam),"")</f>
        <v/>
      </c>
      <c r="AH202" s="811" t="s">
        <v>7512</v>
      </c>
      <c r="AI202" s="810"/>
      <c r="AJ202" s="814" t="str">
        <f>nmProd3</f>
        <v>Kara</v>
      </c>
      <c r="AK202" s="799" t="str">
        <f>IF(INDEX(obalCh2Prod3Slot3Active,,xxIndexTeam)=1,100,"")</f>
        <v/>
      </c>
      <c r="AL202" s="811" t="s">
        <v>7513</v>
      </c>
      <c r="AM202" s="554"/>
      <c r="AN202" s="720"/>
      <c r="AO202" s="720"/>
      <c r="AP202" s="584"/>
      <c r="AQ202" s="554"/>
      <c r="AR202" s="720" t="s">
        <v>4408</v>
      </c>
      <c r="AS202" s="828">
        <v>0.15</v>
      </c>
      <c r="AT202" s="584" t="s">
        <v>7514</v>
      </c>
      <c r="AU202" s="802"/>
      <c r="AV202" s="802"/>
    </row>
    <row r="203" spans="30:48">
      <c r="AD203" s="800"/>
      <c r="AE203" s="810"/>
      <c r="AF203" s="814" t="str">
        <f>nmProd1</f>
        <v>Greenborg</v>
      </c>
      <c r="AG203" s="799">
        <f>IF(INDEX(obalCh2Prod1Slot1Active,,xxIndexTeam)=1,INDEX(obalCh2Prod1Slot1SoldVol,,xxIndexTeam),"")</f>
        <v>21058829.921314918</v>
      </c>
      <c r="AH203" s="811" t="s">
        <v>7515</v>
      </c>
      <c r="AI203" s="810"/>
      <c r="AJ203" s="814" t="str">
        <f>nmProd1</f>
        <v>Greenborg</v>
      </c>
      <c r="AK203" s="799">
        <f>IF(INDEX(obalCh2Prod1Slot1Active,,xxIndexTeam)=1,100,"")</f>
        <v>100</v>
      </c>
      <c r="AL203" s="811" t="s">
        <v>7516</v>
      </c>
      <c r="AM203" s="554"/>
      <c r="AN203" s="720"/>
      <c r="AO203" s="720"/>
      <c r="AP203" s="584"/>
      <c r="AQ203" s="554" t="str">
        <f>nmProd3</f>
        <v>Kara</v>
      </c>
      <c r="AR203" s="720" t="s">
        <v>4409</v>
      </c>
      <c r="AS203" s="828">
        <v>0.11</v>
      </c>
      <c r="AT203" s="584" t="s">
        <v>7517</v>
      </c>
      <c r="AU203" s="802"/>
      <c r="AV203" s="802"/>
    </row>
    <row r="204" spans="30:48">
      <c r="AD204" s="800"/>
      <c r="AE204" s="810"/>
      <c r="AF204" s="814" t="str">
        <f>nmProd1</f>
        <v>Greenborg</v>
      </c>
      <c r="AG204" s="799" t="str">
        <f>IF(INDEX(obalCh2Prod1Slot2Active,,xxIndexTeam)=1,INDEX(obalCh2Prod1Slot2SoldVol,,xxIndexTeam),"")</f>
        <v/>
      </c>
      <c r="AH204" s="811" t="s">
        <v>7518</v>
      </c>
      <c r="AI204" s="810"/>
      <c r="AJ204" s="814" t="str">
        <f>nmProd1</f>
        <v>Greenborg</v>
      </c>
      <c r="AK204" s="799" t="str">
        <f>IF(INDEX(obalCh2Prod1Slot2Active,,xxIndexTeam)=1,100,"")</f>
        <v/>
      </c>
      <c r="AL204" s="811" t="s">
        <v>7519</v>
      </c>
      <c r="AM204" s="554"/>
      <c r="AN204" s="720"/>
      <c r="AO204" s="720"/>
      <c r="AP204" s="584"/>
      <c r="AQ204" s="554"/>
      <c r="AR204" s="720" t="s">
        <v>4408</v>
      </c>
      <c r="AS204" s="828">
        <v>0.11</v>
      </c>
      <c r="AT204" s="584" t="s">
        <v>7520</v>
      </c>
      <c r="AU204" s="802"/>
      <c r="AV204" s="802"/>
    </row>
    <row r="205" spans="30:48">
      <c r="AD205" s="800"/>
      <c r="AE205" s="810"/>
      <c r="AF205" s="814" t="str">
        <f>nmProd1</f>
        <v>Greenborg</v>
      </c>
      <c r="AG205" s="799" t="str">
        <f>IF(INDEX(obalCh2Prod1Slot3Active,,xxIndexTeam)=1,INDEX(obalCh2Prod1Slot3SoldVol,,xxIndexTeam),"")</f>
        <v/>
      </c>
      <c r="AH205" s="811" t="s">
        <v>7521</v>
      </c>
      <c r="AI205" s="810"/>
      <c r="AJ205" s="814" t="str">
        <f>nmProd1</f>
        <v>Greenborg</v>
      </c>
      <c r="AK205" s="799" t="str">
        <f>IF(INDEX(obalCh2Prod1Slot3Active,,xxIndexTeam)=1,100,"")</f>
        <v/>
      </c>
      <c r="AL205" s="811" t="s">
        <v>7522</v>
      </c>
      <c r="AM205" s="554"/>
      <c r="AN205" s="720"/>
      <c r="AO205" s="720"/>
      <c r="AP205" s="584"/>
      <c r="AQ205" s="554" t="str">
        <f>nmProd4</f>
        <v>Brew Master</v>
      </c>
      <c r="AR205" s="720" t="s">
        <v>4409</v>
      </c>
      <c r="AS205" s="828">
        <v>0.01</v>
      </c>
      <c r="AT205" s="584" t="s">
        <v>7523</v>
      </c>
      <c r="AU205" s="802"/>
      <c r="AV205" s="802"/>
    </row>
    <row r="206" spans="30:48" ht="15" thickBot="1">
      <c r="AD206" s="800"/>
      <c r="AE206" s="810"/>
      <c r="AF206" s="814" t="str">
        <f>nmProd4</f>
        <v>Brew Master</v>
      </c>
      <c r="AG206" s="799" t="str">
        <f>IF(INDEX(obalCh2Prod4Slot1Active,,xxIndexTeam)=1,INDEX(obalCh2Prod4Slot1SoldVol,,xxIndexTeam),"")</f>
        <v/>
      </c>
      <c r="AH206" s="811" t="s">
        <v>7524</v>
      </c>
      <c r="AI206" s="810"/>
      <c r="AJ206" s="814" t="str">
        <f>nmProd4</f>
        <v>Brew Master</v>
      </c>
      <c r="AK206" s="799" t="str">
        <f>IF(INDEX(obalCh2Prod4Slot1Active,,xxIndexTeam)=1,100,"")</f>
        <v/>
      </c>
      <c r="AL206" s="811" t="s">
        <v>7525</v>
      </c>
      <c r="AM206" s="554"/>
      <c r="AN206" s="720"/>
      <c r="AO206" s="720"/>
      <c r="AP206" s="584"/>
      <c r="AQ206" s="554"/>
      <c r="AR206" s="720" t="s">
        <v>4408</v>
      </c>
      <c r="AS206" s="831">
        <v>0.01</v>
      </c>
      <c r="AT206" s="584" t="s">
        <v>7526</v>
      </c>
      <c r="AU206" s="802"/>
      <c r="AV206" s="802"/>
    </row>
    <row r="207" spans="30:48">
      <c r="AD207" s="800"/>
      <c r="AE207" s="810"/>
      <c r="AF207" s="814" t="str">
        <f>nmProd4</f>
        <v>Brew Master</v>
      </c>
      <c r="AG207" s="799" t="str">
        <f>IF(INDEX(obalCh2Prod4Slot2Active,,xxIndexTeam)=1,INDEX(obalCh2Prod4Slot2SoldVol,,xxIndexTeam),"")</f>
        <v/>
      </c>
      <c r="AH207" s="811" t="s">
        <v>7527</v>
      </c>
      <c r="AI207" s="810"/>
      <c r="AJ207" s="814" t="str">
        <f>nmProd4</f>
        <v>Brew Master</v>
      </c>
      <c r="AK207" s="799" t="str">
        <f>IF(INDEX(obalCh2Prod4Slot2Active,,xxIndexTeam)=1,100,"")</f>
        <v/>
      </c>
      <c r="AL207" s="811" t="s">
        <v>7528</v>
      </c>
      <c r="AM207" s="554"/>
      <c r="AN207" s="720"/>
      <c r="AO207" s="720"/>
      <c r="AP207" s="584"/>
      <c r="AQ207" s="832" t="str">
        <f>nmSeg4</f>
        <v>Connecting &amp; Bonding</v>
      </c>
      <c r="AR207" s="720"/>
      <c r="AS207" s="720"/>
      <c r="AT207" s="584"/>
      <c r="AU207" s="802"/>
      <c r="AV207" s="802"/>
    </row>
    <row r="208" spans="30:48" ht="15" thickBot="1">
      <c r="AD208" s="800"/>
      <c r="AE208" s="809"/>
      <c r="AF208" s="814" t="str">
        <f>nmProd4</f>
        <v>Brew Master</v>
      </c>
      <c r="AG208" s="799" t="str">
        <f>IF(INDEX(obalCh2Prod4Slot3Active,,xxIndexTeam)=1,INDEX(obalCh2Prod4Slot3SoldVol,,xxIndexTeam),"")</f>
        <v/>
      </c>
      <c r="AH208" s="808" t="s">
        <v>7529</v>
      </c>
      <c r="AI208" s="809"/>
      <c r="AJ208" s="814" t="str">
        <f>nmProd4</f>
        <v>Brew Master</v>
      </c>
      <c r="AK208" s="799" t="str">
        <f>IF(INDEX(obalCh2Prod4Slot3Active,,xxIndexTeam)=1,100,"")</f>
        <v/>
      </c>
      <c r="AL208" s="808" t="s">
        <v>7530</v>
      </c>
      <c r="AM208" s="554"/>
      <c r="AN208" s="720"/>
      <c r="AO208" s="720"/>
      <c r="AP208" s="584"/>
      <c r="AQ208" s="554"/>
      <c r="AR208" s="720"/>
      <c r="AS208" s="530" t="s">
        <v>295</v>
      </c>
      <c r="AT208" s="584"/>
      <c r="AU208" s="802"/>
      <c r="AV208" s="802"/>
    </row>
    <row r="209" spans="30:48">
      <c r="AD209" s="800"/>
      <c r="AE209" s="807"/>
      <c r="AF209" s="813"/>
      <c r="AG209" s="813"/>
      <c r="AH209" s="812"/>
      <c r="AI209" s="807"/>
      <c r="AJ209" s="813"/>
      <c r="AK209" s="813"/>
      <c r="AL209" s="812"/>
      <c r="AM209" s="554"/>
      <c r="AN209" s="720"/>
      <c r="AO209" s="720"/>
      <c r="AP209" s="584"/>
      <c r="AQ209" s="554" t="str">
        <f>nmProd1</f>
        <v>Greenborg</v>
      </c>
      <c r="AR209" s="720" t="s">
        <v>4409</v>
      </c>
      <c r="AS209" s="824">
        <v>291000000</v>
      </c>
      <c r="AT209" s="584" t="s">
        <v>7531</v>
      </c>
      <c r="AU209" s="802"/>
      <c r="AV209" s="802"/>
    </row>
    <row r="210" spans="30:48">
      <c r="AD210" s="800"/>
      <c r="AE210" s="810"/>
      <c r="AF210" s="814"/>
      <c r="AG210" s="814"/>
      <c r="AH210" s="811"/>
      <c r="AI210" s="810"/>
      <c r="AJ210" s="814"/>
      <c r="AK210" s="814"/>
      <c r="AL210" s="811"/>
      <c r="AM210" s="554"/>
      <c r="AN210" s="720"/>
      <c r="AO210" s="720"/>
      <c r="AP210" s="584"/>
      <c r="AQ210" s="554"/>
      <c r="AR210" s="720" t="s">
        <v>4408</v>
      </c>
      <c r="AS210" s="815">
        <f>AS209*0.2</f>
        <v>58200000</v>
      </c>
      <c r="AT210" s="584" t="s">
        <v>7532</v>
      </c>
      <c r="AU210" s="802"/>
      <c r="AV210" s="802"/>
    </row>
    <row r="211" spans="30:48">
      <c r="AD211" s="800"/>
      <c r="AE211" s="810"/>
      <c r="AF211" s="814"/>
      <c r="AG211" s="814"/>
      <c r="AH211" s="811"/>
      <c r="AI211" s="810"/>
      <c r="AJ211" s="814"/>
      <c r="AK211" s="814"/>
      <c r="AL211" s="811"/>
      <c r="AM211" s="554"/>
      <c r="AN211" s="720"/>
      <c r="AO211" s="720"/>
      <c r="AP211" s="584"/>
      <c r="AQ211" s="554" t="str">
        <f>nmProd2</f>
        <v>Harken</v>
      </c>
      <c r="AR211" s="720" t="s">
        <v>4409</v>
      </c>
      <c r="AS211" s="815">
        <v>727500000</v>
      </c>
      <c r="AT211" s="584" t="s">
        <v>7533</v>
      </c>
      <c r="AU211" s="802"/>
      <c r="AV211" s="802"/>
    </row>
    <row r="212" spans="30:48">
      <c r="AD212" s="800"/>
      <c r="AE212" s="810"/>
      <c r="AF212" s="814"/>
      <c r="AG212" s="814"/>
      <c r="AH212" s="811"/>
      <c r="AI212" s="810"/>
      <c r="AJ212" s="814"/>
      <c r="AK212" s="814"/>
      <c r="AL212" s="811"/>
      <c r="AM212" s="554"/>
      <c r="AN212" s="720"/>
      <c r="AO212" s="720"/>
      <c r="AP212" s="584"/>
      <c r="AQ212" s="554"/>
      <c r="AR212" s="720" t="s">
        <v>4408</v>
      </c>
      <c r="AS212" s="815">
        <f>AS211*0.2</f>
        <v>145500000</v>
      </c>
      <c r="AT212" s="584" t="s">
        <v>7534</v>
      </c>
      <c r="AU212" s="802"/>
      <c r="AV212" s="802"/>
    </row>
    <row r="213" spans="30:48">
      <c r="AD213" s="800"/>
      <c r="AE213" s="810"/>
      <c r="AF213" s="814"/>
      <c r="AG213" s="814"/>
      <c r="AH213" s="811"/>
      <c r="AI213" s="810"/>
      <c r="AJ213" s="814"/>
      <c r="AK213" s="814"/>
      <c r="AL213" s="811"/>
      <c r="AM213" s="554"/>
      <c r="AN213" s="720"/>
      <c r="AO213" s="720"/>
      <c r="AP213" s="584"/>
      <c r="AQ213" s="554" t="str">
        <f>nmProd3</f>
        <v>Kara</v>
      </c>
      <c r="AR213" s="720" t="s">
        <v>4409</v>
      </c>
      <c r="AS213" s="815">
        <v>533500000</v>
      </c>
      <c r="AT213" s="584" t="s">
        <v>7535</v>
      </c>
      <c r="AU213" s="802"/>
      <c r="AV213" s="802"/>
    </row>
    <row r="214" spans="30:48">
      <c r="AD214" s="800"/>
      <c r="AE214" s="810"/>
      <c r="AF214" s="814"/>
      <c r="AG214" s="814"/>
      <c r="AH214" s="811"/>
      <c r="AI214" s="810"/>
      <c r="AJ214" s="814"/>
      <c r="AK214" s="814"/>
      <c r="AL214" s="811"/>
      <c r="AM214" s="554"/>
      <c r="AN214" s="720"/>
      <c r="AO214" s="720"/>
      <c r="AP214" s="584"/>
      <c r="AQ214" s="554"/>
      <c r="AR214" s="720" t="s">
        <v>4408</v>
      </c>
      <c r="AS214" s="815">
        <f>AS213*0.2</f>
        <v>106700000</v>
      </c>
      <c r="AT214" s="584" t="s">
        <v>7536</v>
      </c>
      <c r="AU214" s="802"/>
      <c r="AV214" s="802"/>
    </row>
    <row r="215" spans="30:48">
      <c r="AD215" s="800"/>
      <c r="AE215" s="810"/>
      <c r="AF215" s="814"/>
      <c r="AG215" s="814"/>
      <c r="AH215" s="811"/>
      <c r="AI215" s="810"/>
      <c r="AJ215" s="814"/>
      <c r="AK215" s="814"/>
      <c r="AL215" s="811"/>
      <c r="AM215" s="554"/>
      <c r="AN215" s="720"/>
      <c r="AO215" s="720"/>
      <c r="AP215" s="584"/>
      <c r="AQ215" s="554" t="str">
        <f>nmProd4</f>
        <v>Brew Master</v>
      </c>
      <c r="AR215" s="720" t="s">
        <v>4409</v>
      </c>
      <c r="AS215" s="815">
        <v>485000000</v>
      </c>
      <c r="AT215" s="584" t="s">
        <v>7537</v>
      </c>
      <c r="AU215" s="802"/>
      <c r="AV215" s="802"/>
    </row>
    <row r="216" spans="30:48" ht="15" thickBot="1">
      <c r="AD216" s="800"/>
      <c r="AE216" s="810"/>
      <c r="AF216" s="814"/>
      <c r="AG216" s="814"/>
      <c r="AH216" s="811"/>
      <c r="AI216" s="810"/>
      <c r="AJ216" s="814"/>
      <c r="AK216" s="814"/>
      <c r="AL216" s="811"/>
      <c r="AM216" s="554"/>
      <c r="AN216" s="720"/>
      <c r="AO216" s="720"/>
      <c r="AP216" s="584"/>
      <c r="AQ216" s="554"/>
      <c r="AR216" s="720" t="s">
        <v>4408</v>
      </c>
      <c r="AS216" s="816">
        <f>AS215*0.2</f>
        <v>97000000</v>
      </c>
      <c r="AT216" s="584" t="s">
        <v>7538</v>
      </c>
      <c r="AU216" s="802"/>
      <c r="AV216" s="802"/>
    </row>
    <row r="217" spans="30:48">
      <c r="AD217" s="800"/>
      <c r="AE217" s="810"/>
      <c r="AF217" s="814"/>
      <c r="AG217" s="814"/>
      <c r="AH217" s="811"/>
      <c r="AI217" s="810"/>
      <c r="AJ217" s="814"/>
      <c r="AK217" s="814"/>
      <c r="AL217" s="811"/>
      <c r="AM217" s="554"/>
      <c r="AN217" s="720"/>
      <c r="AO217" s="720"/>
      <c r="AP217" s="584"/>
      <c r="AQ217" s="554"/>
      <c r="AR217" s="720"/>
      <c r="AS217" s="720"/>
      <c r="AT217" s="584"/>
      <c r="AU217" s="802"/>
      <c r="AV217" s="802"/>
    </row>
    <row r="218" spans="30:48" ht="15" thickBot="1">
      <c r="AD218" s="800"/>
      <c r="AE218" s="810"/>
      <c r="AF218" s="814"/>
      <c r="AG218" s="814"/>
      <c r="AH218" s="811"/>
      <c r="AI218" s="810"/>
      <c r="AJ218" s="814"/>
      <c r="AK218" s="814"/>
      <c r="AL218" s="811"/>
      <c r="AM218" s="554"/>
      <c r="AN218" s="720"/>
      <c r="AO218" s="720"/>
      <c r="AP218" s="584"/>
      <c r="AQ218" s="554"/>
      <c r="AR218" s="720"/>
      <c r="AS218" s="530" t="s">
        <v>6997</v>
      </c>
      <c r="AT218" s="584"/>
      <c r="AU218" s="802"/>
      <c r="AV218" s="802"/>
    </row>
    <row r="219" spans="30:48">
      <c r="AD219" s="800"/>
      <c r="AE219" s="810"/>
      <c r="AF219" s="814"/>
      <c r="AG219" s="814"/>
      <c r="AH219" s="811"/>
      <c r="AI219" s="810"/>
      <c r="AJ219" s="814"/>
      <c r="AK219" s="814"/>
      <c r="AL219" s="811"/>
      <c r="AM219" s="554"/>
      <c r="AN219" s="720"/>
      <c r="AO219" s="720"/>
      <c r="AP219" s="584"/>
      <c r="AQ219" s="554" t="str">
        <f>nmProd1</f>
        <v>Greenborg</v>
      </c>
      <c r="AR219" s="720" t="s">
        <v>4409</v>
      </c>
      <c r="AS219" s="825">
        <v>0.06</v>
      </c>
      <c r="AT219" s="584" t="s">
        <v>7539</v>
      </c>
      <c r="AU219" s="802"/>
      <c r="AV219" s="802"/>
    </row>
    <row r="220" spans="30:48">
      <c r="AD220" s="800"/>
      <c r="AE220" s="810"/>
      <c r="AF220" s="814"/>
      <c r="AG220" s="814"/>
      <c r="AH220" s="811"/>
      <c r="AI220" s="810"/>
      <c r="AJ220" s="814"/>
      <c r="AK220" s="814"/>
      <c r="AL220" s="811"/>
      <c r="AM220" s="554"/>
      <c r="AN220" s="720"/>
      <c r="AO220" s="720"/>
      <c r="AP220" s="584"/>
      <c r="AQ220" s="554"/>
      <c r="AR220" s="720" t="s">
        <v>4408</v>
      </c>
      <c r="AS220" s="828">
        <v>0.06</v>
      </c>
      <c r="AT220" s="584" t="s">
        <v>7540</v>
      </c>
      <c r="AU220" s="802"/>
      <c r="AV220" s="802"/>
    </row>
    <row r="221" spans="30:48" ht="15" thickBot="1">
      <c r="AD221" s="800"/>
      <c r="AE221" s="810"/>
      <c r="AF221" s="814"/>
      <c r="AG221" s="814"/>
      <c r="AH221" s="811"/>
      <c r="AI221" s="810"/>
      <c r="AJ221" s="814"/>
      <c r="AK221" s="814"/>
      <c r="AL221" s="811"/>
      <c r="AM221" s="546"/>
      <c r="AN221" s="544"/>
      <c r="AO221" s="544"/>
      <c r="AP221" s="733"/>
      <c r="AQ221" s="554" t="str">
        <f>nmProd2</f>
        <v>Harken</v>
      </c>
      <c r="AR221" s="720" t="s">
        <v>4409</v>
      </c>
      <c r="AS221" s="828">
        <v>0.15</v>
      </c>
      <c r="AT221" s="584" t="s">
        <v>7541</v>
      </c>
      <c r="AU221" s="802"/>
      <c r="AV221" s="802"/>
    </row>
    <row r="222" spans="30:48">
      <c r="AD222" s="800"/>
      <c r="AE222" s="810"/>
      <c r="AF222" s="814"/>
      <c r="AG222" s="814"/>
      <c r="AH222" s="811"/>
      <c r="AI222" s="810"/>
      <c r="AJ222" s="814"/>
      <c r="AK222" s="814"/>
      <c r="AL222" s="811"/>
      <c r="AQ222" s="554"/>
      <c r="AR222" s="720" t="s">
        <v>4408</v>
      </c>
      <c r="AS222" s="828">
        <v>0.15</v>
      </c>
      <c r="AT222" s="584" t="s">
        <v>7542</v>
      </c>
      <c r="AU222" s="802"/>
      <c r="AV222" s="802"/>
    </row>
    <row r="223" spans="30:48">
      <c r="AD223" s="800"/>
      <c r="AE223" s="810"/>
      <c r="AF223" s="814"/>
      <c r="AG223" s="814"/>
      <c r="AH223" s="811"/>
      <c r="AI223" s="810"/>
      <c r="AJ223" s="814"/>
      <c r="AK223" s="814"/>
      <c r="AL223" s="811"/>
      <c r="AQ223" s="554" t="str">
        <f>nmProd3</f>
        <v>Kara</v>
      </c>
      <c r="AR223" s="720" t="s">
        <v>4409</v>
      </c>
      <c r="AS223" s="828">
        <v>0.11</v>
      </c>
      <c r="AT223" s="584" t="s">
        <v>7543</v>
      </c>
      <c r="AU223" s="802"/>
      <c r="AV223" s="802"/>
    </row>
    <row r="224" spans="30:48">
      <c r="AD224" s="800"/>
      <c r="AE224" s="810"/>
      <c r="AF224" s="814"/>
      <c r="AG224" s="814"/>
      <c r="AH224" s="811"/>
      <c r="AI224" s="810"/>
      <c r="AJ224" s="814"/>
      <c r="AK224" s="814"/>
      <c r="AL224" s="811"/>
      <c r="AQ224" s="554"/>
      <c r="AR224" s="720" t="s">
        <v>4408</v>
      </c>
      <c r="AS224" s="828">
        <v>0.11</v>
      </c>
      <c r="AT224" s="584" t="s">
        <v>7544</v>
      </c>
      <c r="AU224" s="802"/>
      <c r="AV224" s="802"/>
    </row>
    <row r="225" spans="30:48">
      <c r="AD225" s="800"/>
      <c r="AE225" s="810"/>
      <c r="AF225" s="814"/>
      <c r="AG225" s="814"/>
      <c r="AH225" s="811"/>
      <c r="AI225" s="810"/>
      <c r="AJ225" s="814"/>
      <c r="AK225" s="814"/>
      <c r="AL225" s="811"/>
      <c r="AQ225" s="554" t="str">
        <f>nmProd4</f>
        <v>Brew Master</v>
      </c>
      <c r="AR225" s="720" t="s">
        <v>4409</v>
      </c>
      <c r="AS225" s="828">
        <v>0.01</v>
      </c>
      <c r="AT225" s="584" t="s">
        <v>7545</v>
      </c>
      <c r="AU225" s="802"/>
      <c r="AV225" s="802"/>
    </row>
    <row r="226" spans="30:48" ht="15" thickBot="1">
      <c r="AD226" s="800"/>
      <c r="AE226" s="810"/>
      <c r="AF226" s="814"/>
      <c r="AG226" s="814"/>
      <c r="AH226" s="811"/>
      <c r="AI226" s="810"/>
      <c r="AJ226" s="814"/>
      <c r="AK226" s="814"/>
      <c r="AL226" s="811"/>
      <c r="AQ226" s="554"/>
      <c r="AR226" s="720" t="s">
        <v>4408</v>
      </c>
      <c r="AS226" s="831">
        <v>0.01</v>
      </c>
      <c r="AT226" s="584" t="s">
        <v>7546</v>
      </c>
      <c r="AU226" s="802"/>
      <c r="AV226" s="802"/>
    </row>
    <row r="227" spans="30:48">
      <c r="AD227" s="800"/>
      <c r="AE227" s="810"/>
      <c r="AF227" s="814"/>
      <c r="AG227" s="814"/>
      <c r="AH227" s="811"/>
      <c r="AI227" s="810"/>
      <c r="AJ227" s="814"/>
      <c r="AK227" s="814"/>
      <c r="AL227" s="811"/>
      <c r="AQ227" s="554"/>
      <c r="AR227" s="720"/>
      <c r="AS227" s="720"/>
      <c r="AT227" s="584"/>
      <c r="AU227" s="802"/>
      <c r="AV227" s="802"/>
    </row>
    <row r="228" spans="30:48">
      <c r="AD228" s="800"/>
      <c r="AE228" s="810"/>
      <c r="AF228" s="814"/>
      <c r="AG228" s="814"/>
      <c r="AH228" s="811"/>
      <c r="AI228" s="810"/>
      <c r="AJ228" s="814"/>
      <c r="AK228" s="814"/>
      <c r="AL228" s="811"/>
      <c r="AQ228" s="554"/>
      <c r="AR228" s="720"/>
      <c r="AS228" s="720"/>
      <c r="AT228" s="584"/>
      <c r="AU228" s="802"/>
      <c r="AV228" s="802"/>
    </row>
    <row r="229" spans="30:48">
      <c r="AD229" s="800"/>
      <c r="AE229" s="810"/>
      <c r="AF229" s="814"/>
      <c r="AG229" s="814"/>
      <c r="AH229" s="811"/>
      <c r="AI229" s="810"/>
      <c r="AJ229" s="814"/>
      <c r="AK229" s="814"/>
      <c r="AL229" s="811"/>
      <c r="AQ229" s="554"/>
      <c r="AR229" s="720"/>
      <c r="AS229" s="720"/>
      <c r="AT229" s="584"/>
      <c r="AU229" s="802"/>
      <c r="AV229" s="802"/>
    </row>
    <row r="230" spans="30:48">
      <c r="AD230" s="800"/>
      <c r="AE230" s="810"/>
      <c r="AF230" s="814"/>
      <c r="AG230" s="814"/>
      <c r="AH230" s="811"/>
      <c r="AI230" s="810"/>
      <c r="AJ230" s="814"/>
      <c r="AK230" s="814"/>
      <c r="AL230" s="811"/>
      <c r="AQ230" s="554"/>
      <c r="AR230" s="720"/>
      <c r="AS230" s="720"/>
      <c r="AT230" s="584"/>
      <c r="AU230" s="802"/>
      <c r="AV230" s="802"/>
    </row>
    <row r="231" spans="30:48">
      <c r="AD231" s="800"/>
      <c r="AE231" s="810"/>
      <c r="AF231" s="814"/>
      <c r="AG231" s="814"/>
      <c r="AH231" s="811"/>
      <c r="AI231" s="810"/>
      <c r="AJ231" s="814"/>
      <c r="AK231" s="814"/>
      <c r="AL231" s="811"/>
      <c r="AQ231" s="554"/>
      <c r="AR231" s="720"/>
      <c r="AS231" s="720"/>
      <c r="AT231" s="584"/>
      <c r="AU231" s="802"/>
      <c r="AV231" s="802"/>
    </row>
    <row r="232" spans="30:48">
      <c r="AD232" s="800"/>
      <c r="AE232" s="810"/>
      <c r="AF232" s="814"/>
      <c r="AG232" s="814"/>
      <c r="AH232" s="811"/>
      <c r="AI232" s="810"/>
      <c r="AJ232" s="814"/>
      <c r="AK232" s="814"/>
      <c r="AL232" s="811"/>
      <c r="AQ232" s="554"/>
      <c r="AR232" s="720"/>
      <c r="AS232" s="720"/>
      <c r="AT232" s="584"/>
      <c r="AU232" s="802"/>
      <c r="AV232" s="802"/>
    </row>
    <row r="233" spans="30:48">
      <c r="AD233" s="800"/>
      <c r="AE233" s="810"/>
      <c r="AF233" s="814"/>
      <c r="AG233" s="814"/>
      <c r="AH233" s="811"/>
      <c r="AI233" s="810"/>
      <c r="AJ233" s="814"/>
      <c r="AK233" s="814"/>
      <c r="AL233" s="811"/>
      <c r="AQ233" s="554"/>
      <c r="AR233" s="720"/>
      <c r="AS233" s="720"/>
      <c r="AT233" s="584"/>
      <c r="AU233" s="802"/>
      <c r="AV233" s="802"/>
    </row>
    <row r="234" spans="30:48">
      <c r="AD234" s="800"/>
      <c r="AE234" s="810"/>
      <c r="AF234" s="814"/>
      <c r="AG234" s="814"/>
      <c r="AH234" s="811"/>
      <c r="AI234" s="810"/>
      <c r="AJ234" s="814"/>
      <c r="AK234" s="814"/>
      <c r="AL234" s="811"/>
      <c r="AQ234" s="554"/>
      <c r="AR234" s="720"/>
      <c r="AS234" s="720"/>
      <c r="AT234" s="584"/>
      <c r="AU234" s="802"/>
      <c r="AV234" s="802"/>
    </row>
    <row r="235" spans="30:48">
      <c r="AD235" s="800"/>
      <c r="AE235" s="810"/>
      <c r="AF235" s="814"/>
      <c r="AG235" s="814"/>
      <c r="AH235" s="811"/>
      <c r="AI235" s="810"/>
      <c r="AJ235" s="814"/>
      <c r="AK235" s="814"/>
      <c r="AL235" s="811"/>
      <c r="AQ235" s="554"/>
      <c r="AR235" s="720"/>
      <c r="AS235" s="720"/>
      <c r="AT235" s="584"/>
      <c r="AU235" s="802"/>
      <c r="AV235" s="802"/>
    </row>
    <row r="236" spans="30:48">
      <c r="AD236" s="800"/>
      <c r="AE236" s="810"/>
      <c r="AF236" s="814"/>
      <c r="AG236" s="814"/>
      <c r="AH236" s="811"/>
      <c r="AI236" s="810"/>
      <c r="AJ236" s="814"/>
      <c r="AK236" s="814"/>
      <c r="AL236" s="811"/>
      <c r="AQ236" s="554"/>
      <c r="AR236" s="720"/>
      <c r="AS236" s="720"/>
      <c r="AT236" s="584"/>
      <c r="AU236" s="802"/>
      <c r="AV236" s="802"/>
    </row>
    <row r="237" spans="30:48">
      <c r="AD237" s="800"/>
      <c r="AE237" s="810"/>
      <c r="AF237" s="814"/>
      <c r="AG237" s="814"/>
      <c r="AH237" s="811"/>
      <c r="AI237" s="810"/>
      <c r="AJ237" s="814"/>
      <c r="AK237" s="814"/>
      <c r="AL237" s="811"/>
      <c r="AQ237" s="554"/>
      <c r="AR237" s="720"/>
      <c r="AS237" s="720"/>
      <c r="AT237" s="584"/>
      <c r="AU237" s="802"/>
      <c r="AV237" s="802"/>
    </row>
    <row r="238" spans="30:48">
      <c r="AD238" s="800"/>
      <c r="AE238" s="810"/>
      <c r="AF238" s="814"/>
      <c r="AG238" s="814"/>
      <c r="AH238" s="811"/>
      <c r="AI238" s="810"/>
      <c r="AJ238" s="814"/>
      <c r="AK238" s="814"/>
      <c r="AL238" s="811"/>
      <c r="AQ238" s="554"/>
      <c r="AR238" s="720"/>
      <c r="AS238" s="720"/>
      <c r="AT238" s="584"/>
      <c r="AU238" s="802"/>
      <c r="AV238" s="802"/>
    </row>
    <row r="239" spans="30:48">
      <c r="AD239" s="800"/>
      <c r="AE239" s="810"/>
      <c r="AF239" s="814"/>
      <c r="AG239" s="814"/>
      <c r="AH239" s="811"/>
      <c r="AI239" s="810"/>
      <c r="AJ239" s="814"/>
      <c r="AK239" s="814"/>
      <c r="AL239" s="811"/>
      <c r="AQ239" s="554"/>
      <c r="AR239" s="720"/>
      <c r="AS239" s="720"/>
      <c r="AT239" s="584"/>
      <c r="AU239" s="802"/>
      <c r="AV239" s="802"/>
    </row>
    <row r="240" spans="30:48">
      <c r="AD240" s="800"/>
      <c r="AE240" s="810"/>
      <c r="AF240" s="814"/>
      <c r="AG240" s="814"/>
      <c r="AH240" s="811"/>
      <c r="AI240" s="810"/>
      <c r="AJ240" s="814"/>
      <c r="AK240" s="814"/>
      <c r="AL240" s="811"/>
      <c r="AQ240" s="554"/>
      <c r="AR240" s="720"/>
      <c r="AS240" s="720"/>
      <c r="AT240" s="584"/>
      <c r="AU240" s="802"/>
      <c r="AV240" s="802"/>
    </row>
    <row r="241" spans="29:49">
      <c r="AD241" s="800"/>
      <c r="AE241" s="810"/>
      <c r="AF241" s="814"/>
      <c r="AG241" s="814"/>
      <c r="AH241" s="811"/>
      <c r="AI241" s="810"/>
      <c r="AJ241" s="814"/>
      <c r="AK241" s="814"/>
      <c r="AL241" s="811"/>
      <c r="AQ241" s="554"/>
      <c r="AR241" s="720"/>
      <c r="AS241" s="720"/>
      <c r="AT241" s="584"/>
      <c r="AU241" s="802"/>
      <c r="AV241" s="802"/>
    </row>
    <row r="242" spans="29:49">
      <c r="AD242" s="800"/>
      <c r="AE242" s="810"/>
      <c r="AF242" s="814"/>
      <c r="AG242" s="814"/>
      <c r="AH242" s="811"/>
      <c r="AI242" s="810"/>
      <c r="AJ242" s="814"/>
      <c r="AK242" s="814"/>
      <c r="AL242" s="811"/>
      <c r="AQ242" s="554"/>
      <c r="AR242" s="720"/>
      <c r="AS242" s="720"/>
      <c r="AT242" s="584"/>
      <c r="AU242" s="802"/>
      <c r="AV242" s="802"/>
    </row>
    <row r="243" spans="29:49">
      <c r="AD243" s="800"/>
      <c r="AE243" s="810"/>
      <c r="AF243" s="814"/>
      <c r="AG243" s="814"/>
      <c r="AH243" s="811"/>
      <c r="AI243" s="810"/>
      <c r="AJ243" s="814"/>
      <c r="AK243" s="814"/>
      <c r="AL243" s="811"/>
      <c r="AQ243" s="554"/>
      <c r="AR243" s="720"/>
      <c r="AS243" s="720"/>
      <c r="AT243" s="584"/>
      <c r="AU243" s="802"/>
      <c r="AV243" s="802"/>
    </row>
    <row r="244" spans="29:49" ht="15" thickBot="1">
      <c r="AD244" s="800"/>
      <c r="AE244" s="809"/>
      <c r="AF244" s="806"/>
      <c r="AG244" s="806"/>
      <c r="AH244" s="808"/>
      <c r="AI244" s="809"/>
      <c r="AJ244" s="806"/>
      <c r="AK244" s="806"/>
      <c r="AL244" s="808"/>
      <c r="AQ244" s="546"/>
      <c r="AR244" s="544"/>
      <c r="AS244" s="544"/>
      <c r="AT244" s="733"/>
      <c r="AU244" s="802"/>
      <c r="AV244" s="802"/>
    </row>
    <row r="245" spans="29:49">
      <c r="AD245" s="800"/>
      <c r="AE245" s="800"/>
      <c r="AF245" s="800"/>
      <c r="AG245" s="800"/>
      <c r="AH245" s="800"/>
      <c r="AI245" s="800"/>
      <c r="AJ245" s="802"/>
      <c r="AK245" s="802"/>
      <c r="AL245" s="802"/>
      <c r="AM245" s="802"/>
      <c r="AN245" s="802"/>
      <c r="AO245" s="802"/>
      <c r="AP245" s="802"/>
      <c r="AQ245" s="802"/>
      <c r="AR245" s="802"/>
      <c r="AS245" s="802"/>
      <c r="AT245" s="802"/>
      <c r="AU245" s="802"/>
      <c r="AV245" s="802"/>
    </row>
    <row r="246" spans="29:49">
      <c r="AC246" s="802"/>
      <c r="AD246" s="802"/>
      <c r="AE246" s="802"/>
      <c r="AF246" s="802"/>
      <c r="AG246" s="802"/>
      <c r="AH246" s="802"/>
      <c r="AI246" s="802"/>
      <c r="AJ246" s="802"/>
      <c r="AK246" s="802"/>
      <c r="AL246" s="802"/>
      <c r="AM246" s="802"/>
      <c r="AN246" s="802"/>
      <c r="AO246" s="802"/>
      <c r="AP246" s="802"/>
      <c r="AQ246" s="802"/>
      <c r="AR246" s="802"/>
      <c r="AS246" s="802"/>
      <c r="AT246" s="802"/>
      <c r="AU246" s="802"/>
      <c r="AV246" s="802"/>
    </row>
    <row r="247" spans="29:49">
      <c r="AC247" s="802"/>
      <c r="AD247" s="802"/>
      <c r="AE247" s="802"/>
      <c r="AF247" s="802"/>
      <c r="AG247" s="802"/>
      <c r="AH247" s="802"/>
      <c r="AI247" s="802"/>
      <c r="AJ247" s="802"/>
      <c r="AK247" s="802"/>
      <c r="AL247" s="802"/>
      <c r="AM247" s="802"/>
      <c r="AN247" s="802"/>
      <c r="AO247" s="802"/>
      <c r="AP247" s="802"/>
      <c r="AQ247" s="802"/>
      <c r="AR247" s="802"/>
      <c r="AS247" s="802"/>
      <c r="AT247" s="802"/>
      <c r="AU247" s="802"/>
      <c r="AV247" s="802"/>
      <c r="AW247" s="802"/>
    </row>
    <row r="248" spans="29:49">
      <c r="AC248" s="802"/>
      <c r="AD248" s="802"/>
      <c r="AE248" s="802"/>
      <c r="AF248" s="802"/>
      <c r="AG248" s="802"/>
      <c r="AH248" s="802"/>
      <c r="AI248" s="802"/>
      <c r="AJ248" s="802"/>
      <c r="AK248" s="802"/>
      <c r="AL248" s="802"/>
      <c r="AM248" s="802"/>
      <c r="AN248" s="802"/>
      <c r="AO248" s="802"/>
      <c r="AP248" s="802"/>
      <c r="AQ248" s="802"/>
      <c r="AR248" s="802"/>
      <c r="AS248" s="802"/>
      <c r="AT248" s="802"/>
      <c r="AU248" s="802"/>
      <c r="AV248" s="802"/>
      <c r="AW248" s="802"/>
    </row>
    <row r="249" spans="29:49">
      <c r="AC249" s="802"/>
      <c r="AD249" s="802"/>
      <c r="AE249" s="802"/>
      <c r="AF249" s="802"/>
      <c r="AG249" s="802"/>
      <c r="AH249" s="802"/>
      <c r="AI249" s="802"/>
      <c r="AJ249" s="802"/>
      <c r="AK249" s="802"/>
      <c r="AL249" s="802"/>
      <c r="AM249" s="802"/>
      <c r="AN249" s="802"/>
      <c r="AO249" s="802"/>
      <c r="AP249" s="802"/>
      <c r="AQ249" s="802"/>
      <c r="AR249" s="802"/>
      <c r="AS249" s="802"/>
      <c r="AT249" s="802"/>
      <c r="AU249" s="802"/>
      <c r="AV249" s="802"/>
      <c r="AW249" s="802"/>
    </row>
    <row r="250" spans="29:49">
      <c r="AC250" s="802"/>
      <c r="AD250" s="802"/>
      <c r="AE250" s="802"/>
      <c r="AF250" s="802"/>
      <c r="AG250" s="802"/>
      <c r="AH250" s="802"/>
      <c r="AI250" s="802"/>
      <c r="AJ250" s="802"/>
      <c r="AK250" s="802"/>
      <c r="AL250" s="802"/>
      <c r="AM250" s="802"/>
      <c r="AN250" s="802"/>
      <c r="AO250" s="802"/>
      <c r="AP250" s="802"/>
      <c r="AQ250" s="802"/>
      <c r="AR250" s="802"/>
      <c r="AS250" s="802"/>
      <c r="AT250" s="802"/>
      <c r="AU250" s="802"/>
      <c r="AV250" s="802"/>
      <c r="AW250" s="802"/>
    </row>
    <row r="251" spans="29:49">
      <c r="AC251" s="802"/>
      <c r="AD251" s="802"/>
      <c r="AE251" s="802"/>
      <c r="AF251" s="802"/>
      <c r="AG251" s="802"/>
      <c r="AH251" s="802"/>
      <c r="AI251" s="802"/>
      <c r="AJ251" s="802"/>
      <c r="AK251" s="802"/>
      <c r="AL251" s="802"/>
      <c r="AM251" s="802"/>
      <c r="AN251" s="802"/>
      <c r="AO251" s="802"/>
      <c r="AP251" s="802"/>
      <c r="AQ251" s="802"/>
      <c r="AR251" s="802"/>
      <c r="AS251" s="802"/>
      <c r="AT251" s="802"/>
      <c r="AU251" s="802"/>
      <c r="AV251" s="802"/>
      <c r="AW251" s="802"/>
    </row>
    <row r="252" spans="29:49">
      <c r="AC252" s="802"/>
      <c r="AD252" s="802"/>
      <c r="AE252" s="802"/>
      <c r="AF252" s="802"/>
      <c r="AG252" s="802"/>
      <c r="AH252" s="802"/>
      <c r="AI252" s="802"/>
      <c r="AJ252" s="802"/>
      <c r="AK252" s="802"/>
      <c r="AL252" s="802"/>
      <c r="AM252" s="802"/>
      <c r="AN252" s="802"/>
      <c r="AO252" s="802"/>
      <c r="AP252" s="802"/>
      <c r="AQ252" s="802"/>
      <c r="AR252" s="802"/>
      <c r="AS252" s="802"/>
      <c r="AT252" s="802"/>
      <c r="AU252" s="802"/>
      <c r="AV252" s="802"/>
      <c r="AW252" s="802"/>
    </row>
    <row r="253" spans="29:49">
      <c r="AC253" s="802"/>
      <c r="AD253" s="802"/>
      <c r="AE253" s="802"/>
      <c r="AF253" s="802"/>
      <c r="AG253" s="802"/>
      <c r="AH253" s="802"/>
      <c r="AI253" s="802"/>
      <c r="AJ253" s="802"/>
      <c r="AK253" s="802"/>
      <c r="AL253" s="802"/>
      <c r="AM253" s="802"/>
      <c r="AN253" s="802"/>
      <c r="AO253" s="802"/>
      <c r="AP253" s="802"/>
      <c r="AQ253" s="802"/>
      <c r="AR253" s="802"/>
      <c r="AS253" s="802"/>
      <c r="AT253" s="802"/>
      <c r="AU253" s="802"/>
      <c r="AV253" s="802"/>
      <c r="AW253" s="802"/>
    </row>
    <row r="254" spans="29:49">
      <c r="AC254" s="802"/>
      <c r="AD254" s="802"/>
      <c r="AE254" s="802"/>
      <c r="AF254" s="802"/>
      <c r="AG254" s="802"/>
      <c r="AH254" s="802"/>
      <c r="AI254" s="802"/>
      <c r="AJ254" s="802"/>
      <c r="AK254" s="802"/>
      <c r="AL254" s="802"/>
      <c r="AM254" s="802"/>
      <c r="AN254" s="802"/>
      <c r="AO254" s="802"/>
      <c r="AP254" s="802"/>
      <c r="AQ254" s="802"/>
      <c r="AR254" s="802"/>
      <c r="AS254" s="802"/>
      <c r="AT254" s="802"/>
      <c r="AU254" s="802"/>
      <c r="AV254" s="802"/>
      <c r="AW254" s="802"/>
    </row>
    <row r="255" spans="29:49">
      <c r="AC255" s="802"/>
      <c r="AD255" s="802"/>
      <c r="AE255" s="802"/>
      <c r="AF255" s="802"/>
      <c r="AG255" s="802"/>
      <c r="AH255" s="802"/>
      <c r="AI255" s="802"/>
      <c r="AJ255" s="802"/>
      <c r="AK255" s="802"/>
      <c r="AL255" s="802"/>
      <c r="AM255" s="802"/>
      <c r="AN255" s="802"/>
      <c r="AO255" s="802"/>
      <c r="AP255" s="802"/>
      <c r="AQ255" s="802"/>
      <c r="AR255" s="802"/>
      <c r="AS255" s="802"/>
      <c r="AT255" s="802"/>
      <c r="AU255" s="802"/>
      <c r="AV255" s="802"/>
      <c r="AW255" s="802"/>
    </row>
    <row r="256" spans="29:49">
      <c r="AC256" s="802"/>
      <c r="AD256" s="802"/>
      <c r="AE256" s="802"/>
      <c r="AF256" s="802"/>
      <c r="AG256" s="802"/>
      <c r="AH256" s="802"/>
      <c r="AI256" s="802"/>
      <c r="AJ256" s="802"/>
      <c r="AK256" s="802"/>
      <c r="AL256" s="802"/>
      <c r="AM256" s="802"/>
      <c r="AN256" s="802"/>
      <c r="AO256" s="802"/>
      <c r="AP256" s="802"/>
      <c r="AQ256" s="802"/>
      <c r="AR256" s="802"/>
      <c r="AS256" s="802"/>
      <c r="AT256" s="802"/>
      <c r="AU256" s="802"/>
      <c r="AV256" s="802"/>
      <c r="AW256" s="802"/>
    </row>
    <row r="257" spans="29:49">
      <c r="AC257" s="802"/>
      <c r="AD257" s="802"/>
      <c r="AE257" s="802"/>
      <c r="AF257" s="802"/>
      <c r="AG257" s="802"/>
      <c r="AH257" s="802"/>
      <c r="AI257" s="802"/>
      <c r="AJ257" s="802"/>
      <c r="AK257" s="802"/>
      <c r="AL257" s="802"/>
      <c r="AM257" s="802"/>
      <c r="AN257" s="802"/>
      <c r="AO257" s="802"/>
      <c r="AP257" s="802"/>
      <c r="AQ257" s="802"/>
      <c r="AR257" s="802"/>
      <c r="AS257" s="802"/>
      <c r="AT257" s="802"/>
      <c r="AU257" s="802"/>
      <c r="AV257" s="802"/>
      <c r="AW257" s="802"/>
    </row>
    <row r="258" spans="29:49">
      <c r="AC258" s="802"/>
      <c r="AD258" s="802"/>
      <c r="AE258" s="802"/>
      <c r="AF258" s="802"/>
      <c r="AG258" s="802"/>
      <c r="AH258" s="802"/>
      <c r="AI258" s="802"/>
      <c r="AJ258" s="802"/>
      <c r="AK258" s="802"/>
      <c r="AL258" s="802"/>
      <c r="AM258" s="802"/>
      <c r="AN258" s="802"/>
      <c r="AO258" s="802"/>
      <c r="AP258" s="802"/>
      <c r="AQ258" s="802"/>
      <c r="AR258" s="802"/>
      <c r="AS258" s="802"/>
      <c r="AT258" s="802"/>
      <c r="AU258" s="802"/>
      <c r="AV258" s="802"/>
      <c r="AW258" s="802"/>
    </row>
    <row r="259" spans="29:49">
      <c r="AC259" s="802"/>
      <c r="AD259" s="802"/>
      <c r="AE259" s="802"/>
      <c r="AF259" s="802"/>
      <c r="AG259" s="802"/>
      <c r="AH259" s="802"/>
      <c r="AI259" s="802"/>
      <c r="AJ259" s="802"/>
      <c r="AK259" s="802"/>
      <c r="AL259" s="802"/>
      <c r="AM259" s="802"/>
      <c r="AN259" s="802"/>
      <c r="AO259" s="802"/>
      <c r="AP259" s="802"/>
      <c r="AQ259" s="802"/>
      <c r="AR259" s="802"/>
      <c r="AS259" s="802"/>
      <c r="AT259" s="802"/>
      <c r="AU259" s="802"/>
      <c r="AV259" s="802"/>
      <c r="AW259" s="802"/>
    </row>
    <row r="260" spans="29:49">
      <c r="AC260" s="802"/>
      <c r="AD260" s="802"/>
      <c r="AE260" s="802"/>
      <c r="AF260" s="802"/>
      <c r="AG260" s="802"/>
      <c r="AH260" s="802"/>
      <c r="AI260" s="802"/>
      <c r="AJ260" s="802"/>
      <c r="AK260" s="802"/>
      <c r="AL260" s="802"/>
      <c r="AM260" s="802"/>
      <c r="AN260" s="802"/>
      <c r="AO260" s="802"/>
      <c r="AP260" s="802"/>
      <c r="AQ260" s="802"/>
      <c r="AR260" s="802"/>
      <c r="AS260" s="802"/>
      <c r="AT260" s="802"/>
      <c r="AU260" s="802"/>
      <c r="AV260" s="802"/>
      <c r="AW260" s="802"/>
    </row>
    <row r="261" spans="29:49">
      <c r="AC261" s="802"/>
      <c r="AD261" s="802"/>
      <c r="AE261" s="802"/>
      <c r="AF261" s="802"/>
      <c r="AG261" s="802"/>
      <c r="AH261" s="802"/>
      <c r="AI261" s="802"/>
      <c r="AJ261" s="802"/>
      <c r="AK261" s="802"/>
      <c r="AL261" s="802"/>
      <c r="AM261" s="802"/>
      <c r="AN261" s="802"/>
      <c r="AO261" s="802"/>
      <c r="AP261" s="802"/>
      <c r="AQ261" s="802"/>
      <c r="AR261" s="802"/>
      <c r="AS261" s="802"/>
      <c r="AT261" s="802"/>
      <c r="AU261" s="802"/>
      <c r="AV261" s="802"/>
      <c r="AW261" s="802"/>
    </row>
    <row r="262" spans="29:49">
      <c r="AC262" s="802"/>
      <c r="AD262" s="802"/>
      <c r="AE262" s="802"/>
      <c r="AF262" s="802"/>
      <c r="AG262" s="802"/>
      <c r="AH262" s="802"/>
      <c r="AI262" s="802"/>
      <c r="AJ262" s="802"/>
      <c r="AK262" s="802"/>
      <c r="AL262" s="802"/>
      <c r="AM262" s="802"/>
      <c r="AN262" s="802"/>
      <c r="AO262" s="802"/>
      <c r="AP262" s="802"/>
      <c r="AQ262" s="802"/>
      <c r="AR262" s="802"/>
      <c r="AS262" s="802"/>
      <c r="AT262" s="802"/>
      <c r="AU262" s="802"/>
      <c r="AV262" s="802"/>
      <c r="AW262" s="802"/>
    </row>
    <row r="263" spans="29:49">
      <c r="AC263" s="802"/>
      <c r="AD263" s="802"/>
      <c r="AE263" s="802"/>
      <c r="AF263" s="802"/>
      <c r="AG263" s="802"/>
      <c r="AH263" s="802"/>
      <c r="AI263" s="802"/>
      <c r="AJ263" s="802"/>
      <c r="AK263" s="802"/>
      <c r="AL263" s="802"/>
      <c r="AM263" s="802"/>
      <c r="AN263" s="802"/>
      <c r="AO263" s="802"/>
      <c r="AP263" s="802"/>
      <c r="AQ263" s="802"/>
      <c r="AR263" s="802"/>
      <c r="AS263" s="802"/>
      <c r="AT263" s="802"/>
      <c r="AU263" s="802"/>
      <c r="AV263" s="802"/>
      <c r="AW263" s="802"/>
    </row>
    <row r="264" spans="29:49">
      <c r="AC264" s="802"/>
      <c r="AD264" s="802"/>
      <c r="AE264" s="802"/>
      <c r="AF264" s="802"/>
      <c r="AG264" s="802"/>
      <c r="AH264" s="802"/>
      <c r="AI264" s="802"/>
      <c r="AJ264" s="802"/>
      <c r="AK264" s="802"/>
      <c r="AL264" s="802"/>
      <c r="AM264" s="802"/>
      <c r="AN264" s="802"/>
      <c r="AO264" s="802"/>
      <c r="AP264" s="802"/>
      <c r="AQ264" s="802"/>
      <c r="AR264" s="802"/>
      <c r="AS264" s="802"/>
      <c r="AT264" s="802"/>
      <c r="AU264" s="802"/>
      <c r="AV264" s="802"/>
      <c r="AW264" s="802"/>
    </row>
    <row r="265" spans="29:49">
      <c r="AC265" s="802"/>
      <c r="AD265" s="802"/>
      <c r="AE265" s="802"/>
      <c r="AF265" s="802"/>
      <c r="AG265" s="802"/>
      <c r="AH265" s="802"/>
      <c r="AI265" s="802"/>
      <c r="AJ265" s="802"/>
      <c r="AK265" s="802"/>
      <c r="AL265" s="802"/>
      <c r="AM265" s="802"/>
      <c r="AN265" s="802"/>
      <c r="AO265" s="802"/>
      <c r="AP265" s="802"/>
      <c r="AQ265" s="802"/>
      <c r="AR265" s="802"/>
      <c r="AS265" s="802"/>
      <c r="AT265" s="802"/>
      <c r="AU265" s="802"/>
      <c r="AV265" s="802"/>
      <c r="AW265" s="802"/>
    </row>
    <row r="266" spans="29:49">
      <c r="AC266" s="802"/>
      <c r="AD266" s="802"/>
      <c r="AE266" s="802"/>
      <c r="AF266" s="802"/>
      <c r="AG266" s="802"/>
      <c r="AH266" s="802"/>
      <c r="AI266" s="802"/>
      <c r="AJ266" s="802"/>
      <c r="AK266" s="802"/>
      <c r="AL266" s="802"/>
      <c r="AM266" s="802"/>
      <c r="AN266" s="802"/>
      <c r="AO266" s="802"/>
      <c r="AP266" s="802"/>
      <c r="AQ266" s="802"/>
      <c r="AR266" s="802"/>
      <c r="AS266" s="802"/>
      <c r="AT266" s="802"/>
      <c r="AU266" s="802"/>
      <c r="AV266" s="802"/>
      <c r="AW266" s="802"/>
    </row>
    <row r="267" spans="29:49">
      <c r="AC267" s="802"/>
      <c r="AD267" s="802"/>
      <c r="AE267" s="802"/>
      <c r="AF267" s="802"/>
      <c r="AG267" s="802"/>
      <c r="AH267" s="802"/>
      <c r="AI267" s="802"/>
      <c r="AJ267" s="802"/>
      <c r="AK267" s="802"/>
      <c r="AL267" s="802"/>
      <c r="AM267" s="802"/>
      <c r="AN267" s="802"/>
      <c r="AO267" s="802"/>
      <c r="AP267" s="802"/>
      <c r="AQ267" s="802"/>
      <c r="AR267" s="802"/>
      <c r="AS267" s="802"/>
      <c r="AT267" s="802"/>
      <c r="AU267" s="802"/>
      <c r="AV267" s="802"/>
      <c r="AW267" s="802"/>
    </row>
    <row r="268" spans="29:49">
      <c r="AC268" s="802"/>
      <c r="AD268" s="802"/>
      <c r="AE268" s="802"/>
      <c r="AF268" s="802"/>
      <c r="AG268" s="802"/>
      <c r="AH268" s="802"/>
      <c r="AI268" s="802"/>
      <c r="AJ268" s="802"/>
      <c r="AK268" s="802"/>
      <c r="AL268" s="802"/>
      <c r="AM268" s="802"/>
      <c r="AN268" s="802"/>
      <c r="AO268" s="802"/>
      <c r="AP268" s="802"/>
      <c r="AQ268" s="802"/>
      <c r="AR268" s="802"/>
      <c r="AS268" s="802"/>
      <c r="AT268" s="802"/>
      <c r="AU268" s="802"/>
      <c r="AV268" s="802"/>
      <c r="AW268" s="802"/>
    </row>
    <row r="269" spans="29:49">
      <c r="AC269" s="802"/>
      <c r="AD269" s="802"/>
      <c r="AE269" s="802"/>
      <c r="AF269" s="802"/>
      <c r="AG269" s="802"/>
      <c r="AH269" s="802"/>
      <c r="AI269" s="802"/>
      <c r="AJ269" s="802"/>
      <c r="AK269" s="802"/>
      <c r="AL269" s="802"/>
      <c r="AM269" s="802"/>
      <c r="AN269" s="802"/>
      <c r="AO269" s="802"/>
      <c r="AP269" s="802"/>
      <c r="AQ269" s="802"/>
      <c r="AR269" s="802"/>
      <c r="AS269" s="802"/>
      <c r="AT269" s="802"/>
      <c r="AU269" s="802"/>
      <c r="AV269" s="802"/>
      <c r="AW269" s="802"/>
    </row>
    <row r="270" spans="29:49">
      <c r="AC270" s="802"/>
      <c r="AD270" s="802"/>
      <c r="AE270" s="802"/>
      <c r="AF270" s="802"/>
      <c r="AG270" s="802"/>
      <c r="AH270" s="802"/>
      <c r="AI270" s="802"/>
      <c r="AJ270" s="802"/>
      <c r="AK270" s="802"/>
      <c r="AL270" s="802"/>
      <c r="AM270" s="802"/>
      <c r="AN270" s="802"/>
      <c r="AO270" s="802"/>
      <c r="AP270" s="802"/>
      <c r="AQ270" s="802"/>
      <c r="AR270" s="802"/>
      <c r="AS270" s="802"/>
      <c r="AT270" s="802"/>
      <c r="AU270" s="802"/>
      <c r="AV270" s="802"/>
      <c r="AW270" s="802"/>
    </row>
    <row r="271" spans="29:49">
      <c r="AC271" s="802"/>
      <c r="AD271" s="802"/>
      <c r="AE271" s="802"/>
      <c r="AF271" s="802"/>
      <c r="AG271" s="802"/>
      <c r="AH271" s="802"/>
      <c r="AI271" s="802"/>
      <c r="AJ271" s="802"/>
      <c r="AK271" s="802"/>
      <c r="AL271" s="802"/>
      <c r="AM271" s="802"/>
      <c r="AN271" s="802"/>
      <c r="AO271" s="802"/>
      <c r="AP271" s="802"/>
      <c r="AQ271" s="802"/>
      <c r="AR271" s="802"/>
      <c r="AS271" s="802"/>
      <c r="AT271" s="802"/>
      <c r="AU271" s="802"/>
      <c r="AV271" s="802"/>
      <c r="AW271" s="802"/>
    </row>
    <row r="272" spans="29:49">
      <c r="AC272" s="802"/>
      <c r="AD272" s="802"/>
      <c r="AE272" s="802"/>
      <c r="AF272" s="802"/>
      <c r="AG272" s="802"/>
      <c r="AH272" s="802"/>
      <c r="AI272" s="802"/>
      <c r="AJ272" s="802"/>
      <c r="AK272" s="802"/>
      <c r="AL272" s="802"/>
      <c r="AM272" s="802"/>
      <c r="AN272" s="802"/>
      <c r="AO272" s="802"/>
      <c r="AP272" s="802"/>
      <c r="AQ272" s="802"/>
      <c r="AR272" s="802"/>
      <c r="AS272" s="802"/>
      <c r="AT272" s="802"/>
      <c r="AU272" s="802"/>
      <c r="AV272" s="802"/>
      <c r="AW272" s="802"/>
    </row>
    <row r="273" spans="29:49">
      <c r="AC273" s="802"/>
      <c r="AD273" s="802"/>
      <c r="AE273" s="802"/>
      <c r="AF273" s="802"/>
      <c r="AG273" s="802"/>
      <c r="AH273" s="802"/>
      <c r="AI273" s="802"/>
      <c r="AJ273" s="802"/>
      <c r="AK273" s="802"/>
      <c r="AL273" s="802"/>
      <c r="AM273" s="802"/>
      <c r="AN273" s="802"/>
      <c r="AO273" s="802"/>
      <c r="AP273" s="802"/>
      <c r="AQ273" s="802"/>
      <c r="AR273" s="802"/>
      <c r="AS273" s="802"/>
      <c r="AT273" s="802"/>
      <c r="AU273" s="802"/>
      <c r="AV273" s="802"/>
      <c r="AW273" s="802"/>
    </row>
    <row r="274" spans="29:49">
      <c r="AC274" s="802"/>
      <c r="AD274" s="802"/>
      <c r="AE274" s="802"/>
      <c r="AF274" s="802"/>
      <c r="AG274" s="802"/>
      <c r="AH274" s="802"/>
      <c r="AI274" s="802"/>
      <c r="AJ274" s="802"/>
      <c r="AK274" s="802"/>
      <c r="AL274" s="802"/>
      <c r="AM274" s="802"/>
      <c r="AN274" s="802"/>
      <c r="AO274" s="802"/>
      <c r="AP274" s="802"/>
      <c r="AQ274" s="802"/>
      <c r="AR274" s="802"/>
      <c r="AS274" s="802"/>
      <c r="AT274" s="802"/>
      <c r="AU274" s="802"/>
      <c r="AV274" s="802"/>
      <c r="AW274" s="802"/>
    </row>
    <row r="275" spans="29:49">
      <c r="AC275" s="802"/>
      <c r="AD275" s="802"/>
      <c r="AE275" s="802"/>
      <c r="AF275" s="802"/>
      <c r="AG275" s="802"/>
      <c r="AH275" s="802"/>
      <c r="AI275" s="802"/>
      <c r="AJ275" s="802"/>
      <c r="AK275" s="802"/>
      <c r="AL275" s="802"/>
      <c r="AM275" s="802"/>
      <c r="AN275" s="802"/>
      <c r="AO275" s="802"/>
      <c r="AP275" s="802"/>
      <c r="AQ275" s="802"/>
      <c r="AR275" s="802"/>
      <c r="AS275" s="802"/>
      <c r="AT275" s="802"/>
      <c r="AU275" s="802"/>
      <c r="AV275" s="802"/>
      <c r="AW275" s="802"/>
    </row>
    <row r="276" spans="29:49">
      <c r="AC276" s="802"/>
      <c r="AD276" s="802"/>
      <c r="AE276" s="802"/>
      <c r="AF276" s="802"/>
      <c r="AG276" s="802"/>
      <c r="AH276" s="802"/>
      <c r="AI276" s="802"/>
      <c r="AJ276" s="802"/>
      <c r="AK276" s="802"/>
      <c r="AL276" s="802"/>
      <c r="AM276" s="802"/>
      <c r="AN276" s="802"/>
      <c r="AO276" s="802"/>
      <c r="AP276" s="802"/>
      <c r="AQ276" s="802"/>
      <c r="AR276" s="802"/>
      <c r="AS276" s="802"/>
      <c r="AT276" s="802"/>
      <c r="AU276" s="802"/>
      <c r="AV276" s="802"/>
      <c r="AW276" s="802"/>
    </row>
    <row r="277" spans="29:49">
      <c r="AC277" s="802"/>
      <c r="AD277" s="802"/>
      <c r="AE277" s="802"/>
      <c r="AF277" s="802"/>
      <c r="AG277" s="802"/>
      <c r="AH277" s="802"/>
      <c r="AI277" s="802"/>
      <c r="AJ277" s="802"/>
      <c r="AK277" s="802"/>
      <c r="AL277" s="802"/>
      <c r="AM277" s="802"/>
      <c r="AN277" s="802"/>
      <c r="AO277" s="802"/>
      <c r="AP277" s="802"/>
      <c r="AQ277" s="802"/>
      <c r="AR277" s="802"/>
      <c r="AS277" s="802"/>
      <c r="AT277" s="802"/>
      <c r="AU277" s="802"/>
      <c r="AV277" s="802"/>
      <c r="AW277" s="802"/>
    </row>
    <row r="278" spans="29:49">
      <c r="AC278" s="802"/>
      <c r="AD278" s="802"/>
      <c r="AE278" s="802"/>
      <c r="AF278" s="802"/>
      <c r="AG278" s="802"/>
      <c r="AH278" s="802"/>
      <c r="AI278" s="802"/>
      <c r="AJ278" s="802"/>
      <c r="AK278" s="802"/>
      <c r="AL278" s="802"/>
      <c r="AM278" s="802"/>
      <c r="AN278" s="802"/>
      <c r="AO278" s="802"/>
      <c r="AP278" s="802"/>
      <c r="AQ278" s="802"/>
      <c r="AR278" s="802"/>
      <c r="AS278" s="802"/>
      <c r="AT278" s="802"/>
      <c r="AU278" s="802"/>
      <c r="AV278" s="802"/>
      <c r="AW278" s="802"/>
    </row>
    <row r="279" spans="29:49">
      <c r="AC279" s="802"/>
      <c r="AD279" s="802"/>
      <c r="AE279" s="802"/>
      <c r="AF279" s="802"/>
      <c r="AG279" s="802"/>
      <c r="AH279" s="802"/>
      <c r="AI279" s="802"/>
      <c r="AJ279" s="802"/>
      <c r="AK279" s="802"/>
      <c r="AL279" s="802"/>
      <c r="AM279" s="802"/>
      <c r="AN279" s="802"/>
      <c r="AO279" s="802"/>
      <c r="AP279" s="802"/>
      <c r="AQ279" s="802"/>
      <c r="AR279" s="802"/>
      <c r="AS279" s="802"/>
      <c r="AT279" s="802"/>
      <c r="AU279" s="802"/>
      <c r="AV279" s="802"/>
      <c r="AW279" s="802"/>
    </row>
    <row r="280" spans="29:49">
      <c r="AC280" s="802"/>
      <c r="AD280" s="802"/>
      <c r="AE280" s="802"/>
      <c r="AF280" s="802"/>
      <c r="AG280" s="802"/>
      <c r="AH280" s="802"/>
      <c r="AI280" s="802"/>
      <c r="AJ280" s="802"/>
      <c r="AK280" s="802"/>
      <c r="AL280" s="802"/>
      <c r="AM280" s="802"/>
      <c r="AN280" s="802"/>
      <c r="AO280" s="802"/>
      <c r="AP280" s="802"/>
      <c r="AQ280" s="802"/>
      <c r="AR280" s="802"/>
      <c r="AS280" s="802"/>
      <c r="AT280" s="802"/>
      <c r="AU280" s="802"/>
      <c r="AV280" s="802"/>
      <c r="AW280" s="802"/>
    </row>
    <row r="281" spans="29:49">
      <c r="AC281" s="802"/>
      <c r="AD281" s="802"/>
      <c r="AE281" s="802"/>
      <c r="AF281" s="802"/>
      <c r="AG281" s="802"/>
      <c r="AH281" s="802"/>
      <c r="AI281" s="802"/>
      <c r="AJ281" s="802"/>
      <c r="AK281" s="802"/>
      <c r="AL281" s="802"/>
      <c r="AM281" s="802"/>
      <c r="AN281" s="802"/>
      <c r="AO281" s="802"/>
      <c r="AP281" s="802"/>
      <c r="AQ281" s="802"/>
      <c r="AR281" s="802"/>
      <c r="AS281" s="802"/>
      <c r="AT281" s="802"/>
      <c r="AU281" s="802"/>
      <c r="AV281" s="802"/>
      <c r="AW281" s="802"/>
    </row>
    <row r="282" spans="29:49">
      <c r="AC282" s="802"/>
      <c r="AD282" s="802"/>
      <c r="AE282" s="802"/>
      <c r="AF282" s="802"/>
      <c r="AG282" s="802"/>
      <c r="AH282" s="802"/>
      <c r="AI282" s="802"/>
      <c r="AJ282" s="802"/>
      <c r="AK282" s="802"/>
      <c r="AL282" s="802"/>
      <c r="AM282" s="802"/>
      <c r="AN282" s="802"/>
      <c r="AO282" s="802"/>
      <c r="AP282" s="802"/>
      <c r="AQ282" s="802"/>
      <c r="AR282" s="802"/>
      <c r="AS282" s="802"/>
      <c r="AT282" s="802"/>
      <c r="AU282" s="802"/>
      <c r="AV282" s="802"/>
      <c r="AW282" s="802"/>
    </row>
    <row r="283" spans="29:49">
      <c r="AC283" s="802"/>
      <c r="AD283" s="802"/>
      <c r="AE283" s="802"/>
      <c r="AF283" s="802"/>
      <c r="AG283" s="802"/>
      <c r="AH283" s="802"/>
      <c r="AI283" s="802"/>
      <c r="AJ283" s="802"/>
      <c r="AK283" s="802"/>
      <c r="AL283" s="802"/>
      <c r="AM283" s="802"/>
      <c r="AN283" s="802"/>
      <c r="AO283" s="802"/>
      <c r="AP283" s="802"/>
      <c r="AQ283" s="802"/>
      <c r="AR283" s="802"/>
      <c r="AS283" s="802"/>
      <c r="AT283" s="802"/>
      <c r="AU283" s="802"/>
      <c r="AV283" s="802"/>
      <c r="AW283" s="802"/>
    </row>
    <row r="284" spans="29:49">
      <c r="AC284" s="802"/>
      <c r="AD284" s="802"/>
      <c r="AE284" s="802"/>
      <c r="AF284" s="802"/>
      <c r="AG284" s="802"/>
      <c r="AH284" s="802"/>
      <c r="AI284" s="802"/>
      <c r="AJ284" s="802"/>
      <c r="AK284" s="802"/>
      <c r="AL284" s="802"/>
      <c r="AM284" s="802"/>
      <c r="AN284" s="802"/>
      <c r="AO284" s="802"/>
      <c r="AP284" s="802"/>
      <c r="AQ284" s="802"/>
      <c r="AR284" s="802"/>
      <c r="AS284" s="802"/>
      <c r="AT284" s="802"/>
      <c r="AU284" s="802"/>
      <c r="AV284" s="802"/>
      <c r="AW284" s="802"/>
    </row>
    <row r="285" spans="29:49">
      <c r="AC285" s="802"/>
      <c r="AD285" s="802"/>
      <c r="AE285" s="802"/>
      <c r="AF285" s="802"/>
      <c r="AG285" s="802"/>
      <c r="AH285" s="802"/>
      <c r="AI285" s="802"/>
      <c r="AJ285" s="802"/>
      <c r="AK285" s="802"/>
      <c r="AL285" s="802"/>
      <c r="AM285" s="802"/>
      <c r="AN285" s="802"/>
      <c r="AO285" s="802"/>
      <c r="AP285" s="802"/>
      <c r="AQ285" s="802"/>
      <c r="AR285" s="802"/>
      <c r="AS285" s="802"/>
      <c r="AT285" s="802"/>
      <c r="AU285" s="802"/>
      <c r="AV285" s="802"/>
      <c r="AW285" s="802"/>
    </row>
    <row r="286" spans="29:49">
      <c r="AC286" s="802"/>
      <c r="AD286" s="802"/>
      <c r="AE286" s="802"/>
      <c r="AF286" s="802"/>
      <c r="AG286" s="802"/>
      <c r="AH286" s="802"/>
      <c r="AI286" s="802"/>
      <c r="AJ286" s="802"/>
      <c r="AK286" s="802"/>
      <c r="AL286" s="802"/>
      <c r="AM286" s="802"/>
      <c r="AN286" s="802"/>
      <c r="AO286" s="802"/>
      <c r="AP286" s="802"/>
      <c r="AQ286" s="802"/>
      <c r="AR286" s="802"/>
      <c r="AS286" s="802"/>
      <c r="AT286" s="802"/>
      <c r="AU286" s="802"/>
      <c r="AV286" s="802"/>
      <c r="AW286" s="802"/>
    </row>
    <row r="287" spans="29:49">
      <c r="AC287" s="802"/>
      <c r="AD287" s="802"/>
      <c r="AE287" s="802"/>
      <c r="AF287" s="802"/>
      <c r="AG287" s="802"/>
      <c r="AH287" s="802"/>
      <c r="AI287" s="802"/>
      <c r="AJ287" s="802"/>
      <c r="AK287" s="802"/>
      <c r="AL287" s="802"/>
      <c r="AM287" s="802"/>
      <c r="AN287" s="802"/>
      <c r="AO287" s="802"/>
      <c r="AP287" s="802"/>
      <c r="AQ287" s="802"/>
      <c r="AR287" s="802"/>
      <c r="AS287" s="802"/>
      <c r="AT287" s="802"/>
      <c r="AU287" s="802"/>
      <c r="AV287" s="802"/>
      <c r="AW287" s="802"/>
    </row>
    <row r="288" spans="29:49">
      <c r="AC288" s="802"/>
      <c r="AD288" s="802"/>
      <c r="AE288" s="802"/>
      <c r="AF288" s="802"/>
      <c r="AG288" s="802"/>
      <c r="AH288" s="802"/>
      <c r="AI288" s="802"/>
      <c r="AJ288" s="802"/>
      <c r="AK288" s="802"/>
      <c r="AL288" s="802"/>
      <c r="AM288" s="802"/>
      <c r="AN288" s="802"/>
      <c r="AO288" s="802"/>
      <c r="AP288" s="802"/>
      <c r="AQ288" s="802"/>
      <c r="AR288" s="802"/>
      <c r="AS288" s="802"/>
      <c r="AT288" s="802"/>
      <c r="AU288" s="802"/>
      <c r="AV288" s="802"/>
      <c r="AW288" s="802"/>
    </row>
    <row r="289" spans="29:49">
      <c r="AC289" s="802"/>
      <c r="AD289" s="802"/>
      <c r="AE289" s="802"/>
      <c r="AF289" s="802"/>
      <c r="AG289" s="802"/>
      <c r="AH289" s="802"/>
      <c r="AI289" s="802"/>
      <c r="AJ289" s="802"/>
      <c r="AK289" s="802"/>
      <c r="AL289" s="802"/>
      <c r="AM289" s="802"/>
      <c r="AN289" s="802"/>
      <c r="AO289" s="802"/>
      <c r="AP289" s="802"/>
      <c r="AQ289" s="802"/>
      <c r="AR289" s="802"/>
      <c r="AS289" s="802"/>
      <c r="AT289" s="802"/>
      <c r="AU289" s="802"/>
      <c r="AV289" s="802"/>
      <c r="AW289" s="802"/>
    </row>
    <row r="290" spans="29:49">
      <c r="AC290" s="802"/>
      <c r="AD290" s="802"/>
      <c r="AE290" s="802"/>
      <c r="AF290" s="802"/>
      <c r="AG290" s="802"/>
      <c r="AH290" s="802"/>
      <c r="AI290" s="802"/>
      <c r="AJ290" s="802"/>
      <c r="AK290" s="802"/>
      <c r="AL290" s="802"/>
      <c r="AM290" s="802"/>
      <c r="AN290" s="802"/>
      <c r="AO290" s="802"/>
      <c r="AP290" s="802"/>
      <c r="AQ290" s="802"/>
      <c r="AR290" s="802"/>
      <c r="AS290" s="802"/>
      <c r="AT290" s="802"/>
      <c r="AU290" s="802"/>
      <c r="AV290" s="802"/>
      <c r="AW290" s="802"/>
    </row>
    <row r="291" spans="29:49">
      <c r="AC291" s="802"/>
      <c r="AD291" s="802"/>
      <c r="AE291" s="802"/>
      <c r="AF291" s="802"/>
      <c r="AG291" s="802"/>
      <c r="AH291" s="802"/>
      <c r="AI291" s="802"/>
      <c r="AJ291" s="802"/>
      <c r="AK291" s="802"/>
      <c r="AL291" s="802"/>
      <c r="AM291" s="802"/>
      <c r="AN291" s="802"/>
      <c r="AO291" s="802"/>
      <c r="AP291" s="802"/>
      <c r="AQ291" s="802"/>
      <c r="AR291" s="802"/>
      <c r="AS291" s="802"/>
      <c r="AT291" s="802"/>
      <c r="AU291" s="802"/>
      <c r="AV291" s="802"/>
      <c r="AW291" s="802"/>
    </row>
    <row r="292" spans="29:49">
      <c r="AC292" s="802"/>
      <c r="AD292" s="802"/>
      <c r="AE292" s="802"/>
      <c r="AF292" s="802"/>
      <c r="AG292" s="802"/>
      <c r="AH292" s="802"/>
      <c r="AI292" s="802"/>
      <c r="AJ292" s="802"/>
      <c r="AK292" s="802"/>
      <c r="AL292" s="802"/>
      <c r="AM292" s="802"/>
      <c r="AN292" s="802"/>
      <c r="AO292" s="802"/>
      <c r="AP292" s="802"/>
      <c r="AQ292" s="802"/>
      <c r="AR292" s="802"/>
      <c r="AS292" s="802"/>
      <c r="AT292" s="802"/>
      <c r="AU292" s="802"/>
      <c r="AV292" s="802"/>
      <c r="AW292" s="802"/>
    </row>
    <row r="293" spans="29:49">
      <c r="AC293" s="802"/>
      <c r="AD293" s="802"/>
      <c r="AE293" s="802"/>
      <c r="AF293" s="802"/>
      <c r="AG293" s="802"/>
      <c r="AH293" s="802"/>
      <c r="AI293" s="802"/>
      <c r="AJ293" s="802"/>
      <c r="AK293" s="802"/>
      <c r="AL293" s="802"/>
      <c r="AM293" s="802"/>
      <c r="AN293" s="802"/>
      <c r="AO293" s="802"/>
      <c r="AP293" s="802"/>
      <c r="AQ293" s="802"/>
      <c r="AR293" s="802"/>
      <c r="AS293" s="802"/>
      <c r="AT293" s="802"/>
      <c r="AU293" s="802"/>
      <c r="AV293" s="802"/>
      <c r="AW293" s="802"/>
    </row>
    <row r="294" spans="29:49">
      <c r="AC294" s="802"/>
      <c r="AD294" s="802"/>
      <c r="AE294" s="802"/>
      <c r="AF294" s="802"/>
      <c r="AG294" s="802"/>
      <c r="AH294" s="802"/>
      <c r="AI294" s="802"/>
      <c r="AJ294" s="802"/>
      <c r="AK294" s="802"/>
      <c r="AL294" s="802"/>
      <c r="AM294" s="802"/>
      <c r="AN294" s="802"/>
      <c r="AO294" s="802"/>
      <c r="AP294" s="802"/>
      <c r="AQ294" s="802"/>
      <c r="AR294" s="802"/>
      <c r="AS294" s="802"/>
      <c r="AT294" s="802"/>
      <c r="AU294" s="802"/>
      <c r="AV294" s="802"/>
      <c r="AW294" s="802"/>
    </row>
    <row r="295" spans="29:49">
      <c r="AC295" s="802"/>
      <c r="AD295" s="802"/>
      <c r="AE295" s="802"/>
      <c r="AF295" s="802"/>
      <c r="AG295" s="802"/>
      <c r="AH295" s="802"/>
      <c r="AI295" s="802"/>
      <c r="AJ295" s="802"/>
      <c r="AK295" s="802"/>
      <c r="AL295" s="802"/>
      <c r="AM295" s="802"/>
      <c r="AN295" s="802"/>
      <c r="AO295" s="802"/>
      <c r="AP295" s="802"/>
      <c r="AQ295" s="802"/>
      <c r="AR295" s="802"/>
      <c r="AS295" s="802"/>
      <c r="AT295" s="802"/>
      <c r="AU295" s="802"/>
      <c r="AV295" s="802"/>
      <c r="AW295" s="802"/>
    </row>
    <row r="296" spans="29:49">
      <c r="AC296" s="802"/>
      <c r="AD296" s="802"/>
      <c r="AE296" s="802"/>
      <c r="AF296" s="802"/>
      <c r="AG296" s="802"/>
      <c r="AH296" s="802"/>
      <c r="AI296" s="802"/>
      <c r="AJ296" s="802"/>
      <c r="AK296" s="802"/>
      <c r="AL296" s="802"/>
      <c r="AM296" s="802"/>
      <c r="AN296" s="802"/>
      <c r="AO296" s="802"/>
      <c r="AP296" s="802"/>
      <c r="AQ296" s="802"/>
      <c r="AR296" s="802"/>
      <c r="AS296" s="802"/>
      <c r="AT296" s="802"/>
      <c r="AU296" s="802"/>
      <c r="AV296" s="802"/>
      <c r="AW296" s="802"/>
    </row>
    <row r="297" spans="29:49">
      <c r="AC297" s="802"/>
      <c r="AD297" s="802"/>
      <c r="AE297" s="802"/>
      <c r="AF297" s="802"/>
      <c r="AG297" s="802"/>
      <c r="AH297" s="802"/>
      <c r="AI297" s="802"/>
      <c r="AJ297" s="802"/>
      <c r="AK297" s="802"/>
      <c r="AL297" s="802"/>
      <c r="AM297" s="802"/>
      <c r="AN297" s="802"/>
      <c r="AO297" s="802"/>
      <c r="AP297" s="802"/>
      <c r="AQ297" s="802"/>
      <c r="AR297" s="802"/>
      <c r="AS297" s="802"/>
      <c r="AT297" s="802"/>
      <c r="AU297" s="802"/>
      <c r="AV297" s="802"/>
      <c r="AW297" s="802"/>
    </row>
    <row r="298" spans="29:49">
      <c r="AC298" s="802"/>
      <c r="AD298" s="802"/>
      <c r="AE298" s="802"/>
      <c r="AF298" s="802"/>
      <c r="AG298" s="802"/>
      <c r="AH298" s="802"/>
      <c r="AI298" s="802"/>
      <c r="AJ298" s="802"/>
      <c r="AK298" s="802"/>
      <c r="AL298" s="802"/>
      <c r="AM298" s="802"/>
      <c r="AN298" s="802"/>
      <c r="AO298" s="802"/>
      <c r="AP298" s="802"/>
      <c r="AQ298" s="802"/>
      <c r="AR298" s="802"/>
      <c r="AS298" s="802"/>
      <c r="AT298" s="802"/>
      <c r="AU298" s="802"/>
      <c r="AV298" s="802"/>
      <c r="AW298" s="802"/>
    </row>
    <row r="299" spans="29:49">
      <c r="AC299" s="802"/>
      <c r="AD299" s="802"/>
      <c r="AE299" s="802"/>
      <c r="AF299" s="802"/>
      <c r="AG299" s="802"/>
      <c r="AH299" s="802"/>
      <c r="AI299" s="802"/>
      <c r="AJ299" s="802"/>
      <c r="AK299" s="802"/>
      <c r="AL299" s="802"/>
      <c r="AM299" s="802"/>
      <c r="AN299" s="802"/>
      <c r="AO299" s="802"/>
      <c r="AP299" s="802"/>
      <c r="AQ299" s="802"/>
      <c r="AR299" s="802"/>
      <c r="AS299" s="802"/>
      <c r="AT299" s="802"/>
      <c r="AU299" s="802"/>
      <c r="AV299" s="802"/>
      <c r="AW299" s="802"/>
    </row>
    <row r="300" spans="29:49">
      <c r="AC300" s="802"/>
      <c r="AD300" s="802"/>
      <c r="AE300" s="802"/>
      <c r="AF300" s="802"/>
      <c r="AG300" s="802"/>
      <c r="AH300" s="802"/>
      <c r="AI300" s="802"/>
      <c r="AJ300" s="802"/>
      <c r="AK300" s="802"/>
      <c r="AL300" s="802"/>
      <c r="AM300" s="802"/>
      <c r="AN300" s="802"/>
      <c r="AO300" s="802"/>
      <c r="AP300" s="802"/>
      <c r="AQ300" s="802"/>
      <c r="AR300" s="802"/>
      <c r="AS300" s="802"/>
      <c r="AT300" s="802"/>
      <c r="AU300" s="802"/>
      <c r="AV300" s="802"/>
      <c r="AW300" s="802"/>
    </row>
    <row r="301" spans="29:49">
      <c r="AC301" s="802"/>
      <c r="AD301" s="802"/>
      <c r="AE301" s="802"/>
      <c r="AF301" s="802"/>
      <c r="AG301" s="802"/>
      <c r="AH301" s="802"/>
      <c r="AI301" s="802"/>
      <c r="AJ301" s="802"/>
      <c r="AK301" s="802"/>
      <c r="AL301" s="802"/>
      <c r="AM301" s="802"/>
      <c r="AN301" s="802"/>
      <c r="AO301" s="802"/>
      <c r="AP301" s="802"/>
      <c r="AQ301" s="802"/>
      <c r="AR301" s="802"/>
      <c r="AS301" s="802"/>
      <c r="AT301" s="802"/>
      <c r="AU301" s="802"/>
      <c r="AV301" s="802"/>
      <c r="AW301" s="802"/>
    </row>
    <row r="302" spans="29:49">
      <c r="AC302" s="802"/>
      <c r="AD302" s="802"/>
      <c r="AE302" s="802"/>
      <c r="AF302" s="802"/>
      <c r="AG302" s="802"/>
      <c r="AH302" s="802"/>
      <c r="AI302" s="802"/>
      <c r="AJ302" s="802"/>
      <c r="AK302" s="802"/>
      <c r="AL302" s="802"/>
      <c r="AM302" s="802"/>
      <c r="AN302" s="802"/>
      <c r="AO302" s="802"/>
      <c r="AP302" s="802"/>
      <c r="AQ302" s="802"/>
      <c r="AR302" s="802"/>
      <c r="AS302" s="802"/>
      <c r="AT302" s="802"/>
      <c r="AU302" s="802"/>
      <c r="AV302" s="802"/>
      <c r="AW302" s="802"/>
    </row>
    <row r="303" spans="29:49">
      <c r="AC303" s="802"/>
      <c r="AD303" s="802"/>
      <c r="AE303" s="802"/>
      <c r="AF303" s="802"/>
      <c r="AG303" s="802"/>
      <c r="AH303" s="802"/>
      <c r="AI303" s="802"/>
      <c r="AJ303" s="802"/>
      <c r="AK303" s="802"/>
      <c r="AL303" s="802"/>
      <c r="AM303" s="802"/>
      <c r="AN303" s="802"/>
      <c r="AO303" s="802"/>
      <c r="AP303" s="802"/>
      <c r="AQ303" s="802"/>
      <c r="AR303" s="802"/>
      <c r="AS303" s="802"/>
      <c r="AT303" s="802"/>
      <c r="AU303" s="802"/>
      <c r="AV303" s="802"/>
      <c r="AW303" s="802"/>
    </row>
    <row r="304" spans="29:49">
      <c r="AC304" s="802"/>
      <c r="AD304" s="802"/>
      <c r="AE304" s="802"/>
      <c r="AF304" s="802"/>
      <c r="AG304" s="802"/>
      <c r="AH304" s="802"/>
      <c r="AI304" s="802"/>
      <c r="AJ304" s="802"/>
      <c r="AK304" s="802"/>
      <c r="AL304" s="802"/>
      <c r="AM304" s="802"/>
      <c r="AN304" s="802"/>
      <c r="AO304" s="802"/>
      <c r="AP304" s="802"/>
      <c r="AQ304" s="802"/>
      <c r="AR304" s="802"/>
      <c r="AS304" s="802"/>
      <c r="AT304" s="802"/>
      <c r="AU304" s="802"/>
      <c r="AV304" s="802"/>
      <c r="AW304" s="802"/>
    </row>
    <row r="305" spans="29:49">
      <c r="AC305" s="802"/>
      <c r="AD305" s="802"/>
      <c r="AE305" s="802"/>
      <c r="AF305" s="802"/>
      <c r="AG305" s="802"/>
      <c r="AH305" s="802"/>
      <c r="AI305" s="802"/>
      <c r="AJ305" s="802"/>
      <c r="AK305" s="802"/>
      <c r="AL305" s="802"/>
      <c r="AM305" s="802"/>
      <c r="AN305" s="802"/>
      <c r="AO305" s="802"/>
      <c r="AP305" s="802"/>
      <c r="AQ305" s="802"/>
      <c r="AR305" s="802"/>
      <c r="AS305" s="802"/>
      <c r="AT305" s="802"/>
      <c r="AU305" s="802"/>
      <c r="AV305" s="802"/>
      <c r="AW305" s="802"/>
    </row>
    <row r="306" spans="29:49">
      <c r="AC306" s="802"/>
      <c r="AD306" s="802"/>
      <c r="AE306" s="802"/>
      <c r="AF306" s="802"/>
      <c r="AG306" s="802"/>
      <c r="AH306" s="802"/>
      <c r="AI306" s="802"/>
      <c r="AJ306" s="802"/>
      <c r="AK306" s="802"/>
      <c r="AL306" s="802"/>
      <c r="AM306" s="802"/>
      <c r="AN306" s="802"/>
      <c r="AO306" s="802"/>
      <c r="AP306" s="802"/>
      <c r="AQ306" s="802"/>
      <c r="AR306" s="802"/>
      <c r="AS306" s="802"/>
      <c r="AT306" s="802"/>
      <c r="AU306" s="802"/>
      <c r="AV306" s="802"/>
      <c r="AW306" s="802"/>
    </row>
    <row r="307" spans="29:49">
      <c r="AC307" s="802"/>
      <c r="AD307" s="802"/>
      <c r="AE307" s="802"/>
      <c r="AF307" s="802"/>
      <c r="AG307" s="802"/>
      <c r="AH307" s="802"/>
      <c r="AI307" s="802"/>
      <c r="AJ307" s="802"/>
      <c r="AK307" s="802"/>
      <c r="AL307" s="802"/>
      <c r="AM307" s="802"/>
      <c r="AN307" s="802"/>
      <c r="AO307" s="802"/>
      <c r="AP307" s="802"/>
      <c r="AQ307" s="802"/>
      <c r="AR307" s="802"/>
      <c r="AS307" s="802"/>
      <c r="AT307" s="802"/>
      <c r="AU307" s="802"/>
      <c r="AV307" s="802"/>
      <c r="AW307" s="802"/>
    </row>
    <row r="308" spans="29:49">
      <c r="AC308" s="802"/>
      <c r="AD308" s="802"/>
      <c r="AE308" s="802"/>
      <c r="AF308" s="802"/>
      <c r="AG308" s="802"/>
      <c r="AH308" s="802"/>
      <c r="AI308" s="802"/>
      <c r="AJ308" s="802"/>
      <c r="AK308" s="802"/>
      <c r="AL308" s="802"/>
      <c r="AM308" s="802"/>
      <c r="AN308" s="802"/>
      <c r="AO308" s="802"/>
      <c r="AP308" s="802"/>
      <c r="AQ308" s="802"/>
      <c r="AR308" s="802"/>
      <c r="AS308" s="802"/>
      <c r="AT308" s="802"/>
      <c r="AU308" s="802"/>
      <c r="AV308" s="802"/>
      <c r="AW308" s="802"/>
    </row>
    <row r="309" spans="29:49">
      <c r="AC309" s="802"/>
      <c r="AD309" s="802"/>
      <c r="AE309" s="802"/>
      <c r="AF309" s="802"/>
      <c r="AG309" s="802"/>
      <c r="AH309" s="802"/>
      <c r="AI309" s="802"/>
      <c r="AJ309" s="802"/>
      <c r="AK309" s="802"/>
      <c r="AL309" s="802"/>
      <c r="AM309" s="802"/>
      <c r="AN309" s="802"/>
      <c r="AO309" s="802"/>
      <c r="AP309" s="802"/>
      <c r="AQ309" s="802"/>
      <c r="AR309" s="802"/>
      <c r="AS309" s="802"/>
      <c r="AT309" s="802"/>
      <c r="AU309" s="802"/>
      <c r="AV309" s="802"/>
      <c r="AW309" s="802"/>
    </row>
    <row r="310" spans="29:49">
      <c r="AC310" s="802"/>
      <c r="AD310" s="802"/>
      <c r="AE310" s="802"/>
      <c r="AF310" s="802"/>
      <c r="AG310" s="802"/>
      <c r="AH310" s="802"/>
      <c r="AI310" s="802"/>
      <c r="AJ310" s="802"/>
      <c r="AK310" s="802"/>
      <c r="AL310" s="802"/>
      <c r="AM310" s="802"/>
      <c r="AN310" s="802"/>
      <c r="AO310" s="802"/>
      <c r="AP310" s="802"/>
      <c r="AQ310" s="802"/>
      <c r="AR310" s="802"/>
      <c r="AS310" s="802"/>
      <c r="AT310" s="802"/>
      <c r="AU310" s="802"/>
      <c r="AV310" s="802"/>
      <c r="AW310" s="802"/>
    </row>
    <row r="311" spans="29:49">
      <c r="AC311" s="802"/>
      <c r="AD311" s="802"/>
      <c r="AE311" s="802"/>
      <c r="AF311" s="802"/>
      <c r="AG311" s="802"/>
      <c r="AH311" s="802"/>
      <c r="AI311" s="802"/>
      <c r="AJ311" s="802"/>
      <c r="AK311" s="802"/>
      <c r="AL311" s="802"/>
      <c r="AM311" s="802"/>
      <c r="AN311" s="802"/>
      <c r="AO311" s="802"/>
      <c r="AP311" s="802"/>
      <c r="AQ311" s="802"/>
      <c r="AR311" s="802"/>
      <c r="AS311" s="802"/>
      <c r="AT311" s="802"/>
      <c r="AU311" s="802"/>
      <c r="AV311" s="802"/>
      <c r="AW311" s="802"/>
    </row>
    <row r="312" spans="29:49">
      <c r="AC312" s="802"/>
      <c r="AD312" s="802"/>
      <c r="AE312" s="802"/>
      <c r="AF312" s="802"/>
      <c r="AG312" s="802"/>
      <c r="AH312" s="802"/>
      <c r="AI312" s="802"/>
      <c r="AJ312" s="802"/>
      <c r="AK312" s="802"/>
      <c r="AL312" s="802"/>
      <c r="AM312" s="802"/>
      <c r="AN312" s="802"/>
      <c r="AO312" s="802"/>
      <c r="AP312" s="802"/>
      <c r="AQ312" s="802"/>
      <c r="AR312" s="802"/>
      <c r="AS312" s="802"/>
      <c r="AT312" s="802"/>
      <c r="AU312" s="802"/>
      <c r="AV312" s="802"/>
      <c r="AW312" s="802"/>
    </row>
    <row r="313" spans="29:49">
      <c r="AC313" s="802"/>
      <c r="AD313" s="802"/>
      <c r="AE313" s="802"/>
      <c r="AF313" s="802"/>
      <c r="AG313" s="802"/>
      <c r="AH313" s="802"/>
      <c r="AI313" s="802"/>
      <c r="AJ313" s="802"/>
      <c r="AK313" s="802"/>
      <c r="AL313" s="802"/>
      <c r="AM313" s="802"/>
      <c r="AN313" s="802"/>
      <c r="AO313" s="802"/>
      <c r="AP313" s="802"/>
      <c r="AQ313" s="802"/>
      <c r="AR313" s="802"/>
      <c r="AS313" s="802"/>
      <c r="AT313" s="802"/>
      <c r="AU313" s="802"/>
      <c r="AV313" s="802"/>
      <c r="AW313" s="802"/>
    </row>
    <row r="314" spans="29:49">
      <c r="AC314" s="802"/>
      <c r="AD314" s="802"/>
      <c r="AE314" s="802"/>
      <c r="AF314" s="802"/>
      <c r="AG314" s="802"/>
      <c r="AH314" s="802"/>
      <c r="AI314" s="802"/>
      <c r="AJ314" s="802"/>
      <c r="AK314" s="802"/>
      <c r="AL314" s="802"/>
      <c r="AM314" s="802"/>
      <c r="AN314" s="802"/>
      <c r="AO314" s="802"/>
      <c r="AP314" s="802"/>
      <c r="AQ314" s="802"/>
      <c r="AR314" s="802"/>
      <c r="AS314" s="802"/>
      <c r="AT314" s="802"/>
      <c r="AU314" s="802"/>
      <c r="AV314" s="802"/>
      <c r="AW314" s="802"/>
    </row>
    <row r="315" spans="29:49">
      <c r="AC315" s="802"/>
      <c r="AD315" s="802"/>
      <c r="AE315" s="802"/>
      <c r="AF315" s="802"/>
      <c r="AG315" s="802"/>
      <c r="AH315" s="802"/>
      <c r="AI315" s="802"/>
      <c r="AJ315" s="802"/>
      <c r="AK315" s="802"/>
      <c r="AL315" s="802"/>
      <c r="AM315" s="802"/>
      <c r="AN315" s="802"/>
      <c r="AO315" s="802"/>
      <c r="AP315" s="802"/>
      <c r="AQ315" s="802"/>
      <c r="AR315" s="802"/>
      <c r="AS315" s="802"/>
      <c r="AT315" s="802"/>
      <c r="AU315" s="802"/>
      <c r="AV315" s="802"/>
      <c r="AW315" s="802"/>
    </row>
    <row r="316" spans="29:49">
      <c r="AC316" s="802"/>
      <c r="AD316" s="802"/>
      <c r="AE316" s="802"/>
      <c r="AF316" s="802"/>
      <c r="AG316" s="802"/>
      <c r="AH316" s="802"/>
      <c r="AI316" s="802"/>
      <c r="AJ316" s="802"/>
      <c r="AK316" s="802"/>
      <c r="AL316" s="802"/>
      <c r="AM316" s="802"/>
      <c r="AN316" s="802"/>
      <c r="AO316" s="802"/>
      <c r="AP316" s="802"/>
      <c r="AQ316" s="802"/>
      <c r="AR316" s="802"/>
      <c r="AS316" s="802"/>
      <c r="AT316" s="802"/>
      <c r="AU316" s="802"/>
      <c r="AV316" s="802"/>
      <c r="AW316" s="802"/>
    </row>
    <row r="317" spans="29:49">
      <c r="AC317" s="802"/>
      <c r="AD317" s="802"/>
      <c r="AE317" s="802"/>
      <c r="AF317" s="802"/>
      <c r="AG317" s="802"/>
      <c r="AH317" s="802"/>
      <c r="AI317" s="802"/>
      <c r="AJ317" s="802"/>
      <c r="AK317" s="802"/>
      <c r="AL317" s="802"/>
      <c r="AM317" s="802"/>
      <c r="AN317" s="802"/>
      <c r="AO317" s="802"/>
      <c r="AP317" s="802"/>
      <c r="AQ317" s="802"/>
      <c r="AR317" s="802"/>
      <c r="AS317" s="802"/>
      <c r="AT317" s="802"/>
      <c r="AU317" s="802"/>
      <c r="AV317" s="802"/>
      <c r="AW317" s="802"/>
    </row>
    <row r="318" spans="29:49">
      <c r="AC318" s="802"/>
      <c r="AD318" s="802"/>
      <c r="AE318" s="802"/>
      <c r="AF318" s="802"/>
      <c r="AG318" s="802"/>
      <c r="AH318" s="802"/>
      <c r="AI318" s="802"/>
      <c r="AJ318" s="802"/>
      <c r="AK318" s="802"/>
      <c r="AL318" s="802"/>
      <c r="AM318" s="802"/>
      <c r="AN318" s="802"/>
      <c r="AO318" s="802"/>
      <c r="AP318" s="802"/>
      <c r="AQ318" s="802"/>
      <c r="AR318" s="802"/>
      <c r="AS318" s="802"/>
      <c r="AT318" s="802"/>
      <c r="AU318" s="802"/>
      <c r="AV318" s="802"/>
      <c r="AW318" s="802"/>
    </row>
    <row r="319" spans="29:49">
      <c r="AC319" s="802"/>
      <c r="AD319" s="802"/>
      <c r="AE319" s="802"/>
      <c r="AF319" s="802"/>
      <c r="AG319" s="802"/>
      <c r="AH319" s="802"/>
      <c r="AI319" s="802"/>
      <c r="AJ319" s="802"/>
      <c r="AK319" s="802"/>
      <c r="AL319" s="802"/>
      <c r="AM319" s="802"/>
      <c r="AN319" s="802"/>
      <c r="AO319" s="802"/>
      <c r="AP319" s="802"/>
      <c r="AQ319" s="802"/>
      <c r="AR319" s="802"/>
      <c r="AS319" s="802"/>
      <c r="AT319" s="802"/>
      <c r="AU319" s="802"/>
      <c r="AV319" s="802"/>
      <c r="AW319" s="802"/>
    </row>
    <row r="320" spans="29:49">
      <c r="AC320" s="802"/>
      <c r="AD320" s="802"/>
      <c r="AE320" s="802"/>
      <c r="AF320" s="802"/>
      <c r="AG320" s="802"/>
      <c r="AH320" s="802"/>
      <c r="AI320" s="802"/>
      <c r="AJ320" s="802"/>
      <c r="AK320" s="802"/>
      <c r="AL320" s="802"/>
      <c r="AM320" s="802"/>
      <c r="AN320" s="802"/>
      <c r="AO320" s="802"/>
      <c r="AP320" s="802"/>
      <c r="AQ320" s="802"/>
      <c r="AR320" s="802"/>
      <c r="AS320" s="802"/>
      <c r="AT320" s="802"/>
      <c r="AU320" s="802"/>
      <c r="AV320" s="802"/>
      <c r="AW320" s="802"/>
    </row>
    <row r="321" spans="29:49">
      <c r="AC321" s="802"/>
      <c r="AD321" s="802"/>
      <c r="AE321" s="802"/>
      <c r="AF321" s="802"/>
      <c r="AG321" s="802"/>
      <c r="AH321" s="802"/>
      <c r="AI321" s="802"/>
      <c r="AJ321" s="802"/>
      <c r="AK321" s="802"/>
      <c r="AL321" s="802"/>
      <c r="AM321" s="802"/>
      <c r="AN321" s="802"/>
      <c r="AO321" s="802"/>
      <c r="AP321" s="802"/>
      <c r="AQ321" s="802"/>
      <c r="AR321" s="802"/>
      <c r="AS321" s="802"/>
      <c r="AT321" s="802"/>
      <c r="AU321" s="802"/>
      <c r="AV321" s="802"/>
      <c r="AW321" s="802"/>
    </row>
    <row r="322" spans="29:49">
      <c r="AC322" s="802"/>
      <c r="AD322" s="802"/>
      <c r="AE322" s="802"/>
      <c r="AF322" s="802"/>
      <c r="AG322" s="802"/>
      <c r="AH322" s="802"/>
      <c r="AI322" s="802"/>
      <c r="AJ322" s="802"/>
      <c r="AK322" s="802"/>
      <c r="AL322" s="802"/>
      <c r="AM322" s="802"/>
      <c r="AN322" s="802"/>
      <c r="AO322" s="802"/>
      <c r="AP322" s="802"/>
      <c r="AQ322" s="802"/>
      <c r="AR322" s="802"/>
      <c r="AS322" s="802"/>
      <c r="AT322" s="802"/>
      <c r="AU322" s="802"/>
      <c r="AV322" s="802"/>
      <c r="AW322" s="802"/>
    </row>
    <row r="323" spans="29:49">
      <c r="AC323" s="802"/>
      <c r="AD323" s="802"/>
      <c r="AE323" s="802"/>
      <c r="AF323" s="802"/>
      <c r="AG323" s="802"/>
      <c r="AH323" s="802"/>
      <c r="AI323" s="802"/>
      <c r="AJ323" s="802"/>
      <c r="AK323" s="802"/>
      <c r="AL323" s="802"/>
      <c r="AM323" s="802"/>
      <c r="AN323" s="802"/>
      <c r="AO323" s="802"/>
      <c r="AP323" s="802"/>
      <c r="AQ323" s="802"/>
      <c r="AR323" s="802"/>
      <c r="AS323" s="802"/>
      <c r="AT323" s="802"/>
      <c r="AU323" s="802"/>
      <c r="AV323" s="802"/>
      <c r="AW323" s="802"/>
    </row>
    <row r="324" spans="29:49">
      <c r="AC324" s="802"/>
      <c r="AD324" s="802"/>
      <c r="AE324" s="802"/>
      <c r="AF324" s="802"/>
      <c r="AG324" s="802"/>
      <c r="AH324" s="802"/>
      <c r="AI324" s="802"/>
      <c r="AJ324" s="802"/>
      <c r="AK324" s="802"/>
      <c r="AL324" s="802"/>
      <c r="AM324" s="802"/>
      <c r="AN324" s="802"/>
      <c r="AO324" s="802"/>
      <c r="AP324" s="802"/>
      <c r="AQ324" s="802"/>
      <c r="AR324" s="802"/>
      <c r="AS324" s="802"/>
      <c r="AT324" s="802"/>
      <c r="AU324" s="802"/>
      <c r="AV324" s="802"/>
      <c r="AW324" s="802"/>
    </row>
    <row r="325" spans="29:49">
      <c r="AC325" s="802"/>
      <c r="AD325" s="802"/>
      <c r="AE325" s="802"/>
      <c r="AF325" s="802"/>
      <c r="AG325" s="802"/>
      <c r="AH325" s="802"/>
      <c r="AI325" s="802"/>
      <c r="AJ325" s="802"/>
      <c r="AK325" s="802"/>
      <c r="AL325" s="802"/>
      <c r="AM325" s="802"/>
      <c r="AN325" s="802"/>
      <c r="AO325" s="802"/>
      <c r="AP325" s="802"/>
      <c r="AQ325" s="802"/>
      <c r="AR325" s="802"/>
      <c r="AS325" s="802"/>
      <c r="AT325" s="802"/>
      <c r="AU325" s="802"/>
      <c r="AV325" s="802"/>
      <c r="AW325" s="802"/>
    </row>
    <row r="326" spans="29:49">
      <c r="AC326" s="802"/>
      <c r="AD326" s="802"/>
      <c r="AE326" s="802"/>
      <c r="AF326" s="802"/>
      <c r="AG326" s="802"/>
      <c r="AH326" s="802"/>
      <c r="AI326" s="802"/>
      <c r="AJ326" s="802"/>
      <c r="AK326" s="802"/>
      <c r="AL326" s="802"/>
      <c r="AM326" s="802"/>
      <c r="AN326" s="802"/>
      <c r="AO326" s="802"/>
      <c r="AP326" s="802"/>
      <c r="AQ326" s="802"/>
      <c r="AR326" s="802"/>
      <c r="AS326" s="802"/>
      <c r="AT326" s="802"/>
      <c r="AU326" s="802"/>
      <c r="AV326" s="802"/>
      <c r="AW326" s="802"/>
    </row>
    <row r="327" spans="29:49">
      <c r="AC327" s="802"/>
      <c r="AD327" s="802"/>
      <c r="AE327" s="802"/>
      <c r="AF327" s="802"/>
      <c r="AG327" s="802"/>
      <c r="AH327" s="802"/>
      <c r="AI327" s="802"/>
      <c r="AJ327" s="802"/>
      <c r="AK327" s="802"/>
      <c r="AL327" s="802"/>
      <c r="AM327" s="802"/>
      <c r="AN327" s="802"/>
      <c r="AO327" s="802"/>
      <c r="AP327" s="802"/>
      <c r="AQ327" s="802"/>
      <c r="AR327" s="802"/>
      <c r="AS327" s="802"/>
      <c r="AT327" s="802"/>
      <c r="AU327" s="802"/>
      <c r="AV327" s="802"/>
      <c r="AW327" s="802"/>
    </row>
    <row r="328" spans="29:49">
      <c r="AC328" s="802"/>
      <c r="AD328" s="802"/>
      <c r="AE328" s="802"/>
      <c r="AF328" s="802"/>
      <c r="AG328" s="802"/>
      <c r="AH328" s="802"/>
      <c r="AI328" s="802"/>
      <c r="AJ328" s="802"/>
      <c r="AK328" s="802"/>
      <c r="AL328" s="802"/>
      <c r="AM328" s="802"/>
      <c r="AN328" s="802"/>
      <c r="AO328" s="802"/>
      <c r="AP328" s="802"/>
      <c r="AQ328" s="802"/>
      <c r="AR328" s="802"/>
      <c r="AS328" s="802"/>
      <c r="AT328" s="802"/>
      <c r="AU328" s="802"/>
      <c r="AV328" s="802"/>
      <c r="AW328" s="802"/>
    </row>
    <row r="329" spans="29:49">
      <c r="AC329" s="802"/>
      <c r="AD329" s="802"/>
      <c r="AE329" s="802"/>
      <c r="AF329" s="802"/>
      <c r="AG329" s="802"/>
      <c r="AH329" s="802"/>
      <c r="AI329" s="802"/>
      <c r="AJ329" s="802"/>
      <c r="AK329" s="802"/>
      <c r="AL329" s="802"/>
      <c r="AM329" s="802"/>
      <c r="AN329" s="802"/>
      <c r="AO329" s="802"/>
      <c r="AP329" s="802"/>
      <c r="AQ329" s="802"/>
      <c r="AR329" s="802"/>
      <c r="AS329" s="802"/>
      <c r="AT329" s="802"/>
      <c r="AU329" s="802"/>
      <c r="AV329" s="802"/>
      <c r="AW329" s="802"/>
    </row>
    <row r="330" spans="29:49">
      <c r="AC330" s="802"/>
      <c r="AD330" s="802"/>
      <c r="AE330" s="802"/>
      <c r="AF330" s="802"/>
      <c r="AG330" s="802"/>
      <c r="AH330" s="802"/>
      <c r="AI330" s="802"/>
      <c r="AJ330" s="802"/>
      <c r="AK330" s="802"/>
      <c r="AL330" s="802"/>
      <c r="AM330" s="802"/>
      <c r="AN330" s="802"/>
      <c r="AO330" s="802"/>
      <c r="AP330" s="802"/>
      <c r="AQ330" s="802"/>
      <c r="AR330" s="802"/>
      <c r="AS330" s="802"/>
      <c r="AT330" s="802"/>
      <c r="AU330" s="802"/>
      <c r="AV330" s="802"/>
      <c r="AW330" s="802"/>
    </row>
    <row r="331" spans="29:49">
      <c r="AC331" s="802"/>
      <c r="AD331" s="802"/>
      <c r="AE331" s="802"/>
      <c r="AF331" s="802"/>
      <c r="AG331" s="802"/>
      <c r="AH331" s="802"/>
      <c r="AI331" s="802"/>
      <c r="AJ331" s="802"/>
      <c r="AK331" s="802"/>
      <c r="AL331" s="802"/>
      <c r="AM331" s="802"/>
      <c r="AN331" s="802"/>
      <c r="AO331" s="802"/>
      <c r="AP331" s="802"/>
      <c r="AQ331" s="802"/>
      <c r="AR331" s="802"/>
      <c r="AS331" s="802"/>
      <c r="AT331" s="802"/>
      <c r="AU331" s="802"/>
      <c r="AV331" s="802"/>
      <c r="AW331" s="802"/>
    </row>
    <row r="332" spans="29:49">
      <c r="AC332" s="802"/>
      <c r="AD332" s="802"/>
      <c r="AE332" s="802"/>
      <c r="AF332" s="802"/>
      <c r="AG332" s="802"/>
      <c r="AH332" s="802"/>
      <c r="AI332" s="802"/>
      <c r="AJ332" s="802"/>
      <c r="AK332" s="802"/>
      <c r="AL332" s="802"/>
      <c r="AM332" s="802"/>
      <c r="AN332" s="802"/>
      <c r="AO332" s="802"/>
      <c r="AP332" s="802"/>
      <c r="AQ332" s="802"/>
      <c r="AR332" s="802"/>
      <c r="AS332" s="802"/>
      <c r="AT332" s="802"/>
      <c r="AU332" s="802"/>
      <c r="AV332" s="802"/>
      <c r="AW332" s="802"/>
    </row>
    <row r="333" spans="29:49">
      <c r="AC333" s="802"/>
      <c r="AD333" s="802"/>
      <c r="AE333" s="802"/>
      <c r="AF333" s="802"/>
      <c r="AG333" s="802"/>
      <c r="AH333" s="802"/>
      <c r="AI333" s="802"/>
      <c r="AJ333" s="802"/>
      <c r="AK333" s="802"/>
      <c r="AL333" s="802"/>
      <c r="AM333" s="802"/>
      <c r="AN333" s="802"/>
      <c r="AO333" s="802"/>
      <c r="AP333" s="802"/>
      <c r="AQ333" s="802"/>
      <c r="AR333" s="802"/>
      <c r="AS333" s="802"/>
      <c r="AT333" s="802"/>
      <c r="AU333" s="802"/>
      <c r="AV333" s="802"/>
      <c r="AW333" s="802"/>
    </row>
    <row r="334" spans="29:49">
      <c r="AC334" s="802"/>
      <c r="AD334" s="802"/>
      <c r="AE334" s="802"/>
      <c r="AF334" s="802"/>
      <c r="AG334" s="802"/>
      <c r="AH334" s="802"/>
      <c r="AI334" s="802"/>
      <c r="AJ334" s="802"/>
      <c r="AK334" s="802"/>
      <c r="AL334" s="802"/>
      <c r="AM334" s="802"/>
      <c r="AN334" s="802"/>
      <c r="AO334" s="802"/>
      <c r="AP334" s="802"/>
      <c r="AQ334" s="802"/>
      <c r="AR334" s="802"/>
      <c r="AS334" s="802"/>
      <c r="AT334" s="802"/>
      <c r="AU334" s="802"/>
      <c r="AV334" s="802"/>
      <c r="AW334" s="802"/>
    </row>
    <row r="335" spans="29:49">
      <c r="AC335" s="802"/>
      <c r="AD335" s="802"/>
      <c r="AE335" s="802"/>
      <c r="AF335" s="802"/>
      <c r="AG335" s="802"/>
      <c r="AH335" s="802"/>
      <c r="AI335" s="802"/>
      <c r="AJ335" s="802"/>
      <c r="AK335" s="802"/>
      <c r="AL335" s="802"/>
      <c r="AM335" s="802"/>
      <c r="AN335" s="802"/>
      <c r="AO335" s="802"/>
      <c r="AP335" s="802"/>
      <c r="AQ335" s="802"/>
      <c r="AR335" s="802"/>
      <c r="AS335" s="802"/>
      <c r="AT335" s="802"/>
      <c r="AU335" s="802"/>
      <c r="AV335" s="802"/>
      <c r="AW335" s="802"/>
    </row>
    <row r="336" spans="29:49">
      <c r="AC336" s="802"/>
      <c r="AD336" s="802"/>
      <c r="AE336" s="802"/>
      <c r="AF336" s="802"/>
      <c r="AG336" s="802"/>
      <c r="AH336" s="802"/>
      <c r="AI336" s="802"/>
      <c r="AJ336" s="802"/>
      <c r="AK336" s="802"/>
      <c r="AL336" s="802"/>
      <c r="AM336" s="802"/>
      <c r="AN336" s="802"/>
      <c r="AO336" s="802"/>
      <c r="AP336" s="802"/>
      <c r="AQ336" s="802"/>
      <c r="AR336" s="802"/>
      <c r="AS336" s="802"/>
      <c r="AT336" s="802"/>
      <c r="AU336" s="802"/>
      <c r="AV336" s="802"/>
      <c r="AW336" s="802"/>
    </row>
    <row r="337" spans="29:49">
      <c r="AC337" s="802"/>
      <c r="AD337" s="802"/>
      <c r="AE337" s="802"/>
      <c r="AF337" s="802"/>
      <c r="AG337" s="802"/>
      <c r="AH337" s="802"/>
      <c r="AI337" s="802"/>
      <c r="AJ337" s="802"/>
      <c r="AK337" s="802"/>
      <c r="AL337" s="802"/>
      <c r="AM337" s="802"/>
      <c r="AN337" s="802"/>
      <c r="AO337" s="802"/>
      <c r="AP337" s="802"/>
      <c r="AQ337" s="802"/>
      <c r="AR337" s="802"/>
      <c r="AS337" s="802"/>
      <c r="AT337" s="802"/>
      <c r="AU337" s="802"/>
      <c r="AV337" s="802"/>
      <c r="AW337" s="802"/>
    </row>
    <row r="338" spans="29:49">
      <c r="AC338" s="802"/>
      <c r="AD338" s="802"/>
      <c r="AE338" s="802"/>
      <c r="AF338" s="802"/>
      <c r="AG338" s="802"/>
      <c r="AH338" s="802"/>
      <c r="AI338" s="802"/>
      <c r="AJ338" s="802"/>
      <c r="AK338" s="802"/>
      <c r="AL338" s="802"/>
      <c r="AM338" s="802"/>
      <c r="AN338" s="802"/>
      <c r="AO338" s="802"/>
      <c r="AP338" s="802"/>
      <c r="AQ338" s="802"/>
      <c r="AR338" s="802"/>
      <c r="AS338" s="802"/>
      <c r="AT338" s="802"/>
      <c r="AU338" s="802"/>
      <c r="AV338" s="802"/>
      <c r="AW338" s="802"/>
    </row>
    <row r="339" spans="29:49">
      <c r="AC339" s="802"/>
      <c r="AD339" s="802"/>
      <c r="AE339" s="802"/>
      <c r="AF339" s="802"/>
      <c r="AG339" s="802"/>
      <c r="AH339" s="802"/>
      <c r="AI339" s="802"/>
      <c r="AJ339" s="802"/>
      <c r="AK339" s="802"/>
      <c r="AL339" s="802"/>
      <c r="AM339" s="802"/>
      <c r="AN339" s="802"/>
      <c r="AO339" s="802"/>
      <c r="AP339" s="802"/>
      <c r="AQ339" s="802"/>
      <c r="AR339" s="802"/>
      <c r="AS339" s="802"/>
      <c r="AT339" s="802"/>
      <c r="AU339" s="802"/>
      <c r="AV339" s="802"/>
      <c r="AW339" s="802"/>
    </row>
    <row r="340" spans="29:49">
      <c r="AC340" s="802"/>
      <c r="AD340" s="802"/>
      <c r="AE340" s="802"/>
      <c r="AF340" s="802"/>
      <c r="AG340" s="802"/>
      <c r="AH340" s="802"/>
      <c r="AI340" s="802"/>
      <c r="AJ340" s="802"/>
      <c r="AK340" s="802"/>
      <c r="AL340" s="802"/>
      <c r="AM340" s="802"/>
      <c r="AN340" s="802"/>
      <c r="AO340" s="802"/>
      <c r="AP340" s="802"/>
      <c r="AQ340" s="802"/>
      <c r="AR340" s="802"/>
      <c r="AS340" s="802"/>
      <c r="AT340" s="802"/>
      <c r="AU340" s="802"/>
      <c r="AV340" s="802"/>
      <c r="AW340" s="802"/>
    </row>
    <row r="341" spans="29:49">
      <c r="AC341" s="802"/>
      <c r="AD341" s="802"/>
      <c r="AE341" s="802"/>
      <c r="AF341" s="802"/>
      <c r="AG341" s="802"/>
      <c r="AH341" s="802"/>
      <c r="AI341" s="802"/>
      <c r="AJ341" s="802"/>
      <c r="AK341" s="802"/>
      <c r="AL341" s="802"/>
      <c r="AM341" s="802"/>
      <c r="AN341" s="802"/>
      <c r="AO341" s="802"/>
      <c r="AP341" s="802"/>
      <c r="AQ341" s="802"/>
      <c r="AR341" s="802"/>
      <c r="AS341" s="802"/>
      <c r="AT341" s="802"/>
      <c r="AU341" s="802"/>
      <c r="AV341" s="802"/>
      <c r="AW341" s="802"/>
    </row>
    <row r="342" spans="29:49">
      <c r="AC342" s="802"/>
      <c r="AD342" s="802"/>
      <c r="AE342" s="802"/>
      <c r="AF342" s="802"/>
      <c r="AG342" s="802"/>
      <c r="AH342" s="802"/>
      <c r="AI342" s="802"/>
      <c r="AJ342" s="802"/>
      <c r="AK342" s="802"/>
      <c r="AL342" s="802"/>
      <c r="AM342" s="802"/>
      <c r="AN342" s="802"/>
      <c r="AO342" s="802"/>
      <c r="AP342" s="802"/>
      <c r="AQ342" s="802"/>
      <c r="AR342" s="802"/>
      <c r="AS342" s="802"/>
      <c r="AT342" s="802"/>
      <c r="AU342" s="802"/>
      <c r="AV342" s="802"/>
      <c r="AW342" s="802"/>
    </row>
    <row r="343" spans="29:49">
      <c r="AC343" s="802"/>
      <c r="AD343" s="802"/>
      <c r="AE343" s="802"/>
      <c r="AF343" s="802"/>
      <c r="AG343" s="802"/>
      <c r="AH343" s="802"/>
      <c r="AI343" s="802"/>
      <c r="AJ343" s="802"/>
      <c r="AK343" s="802"/>
      <c r="AL343" s="802"/>
      <c r="AM343" s="802"/>
      <c r="AN343" s="802"/>
      <c r="AO343" s="802"/>
      <c r="AP343" s="802"/>
      <c r="AQ343" s="802"/>
      <c r="AR343" s="802"/>
      <c r="AS343" s="802"/>
      <c r="AT343" s="802"/>
      <c r="AU343" s="802"/>
      <c r="AV343" s="802"/>
      <c r="AW343" s="802"/>
    </row>
    <row r="344" spans="29:49">
      <c r="AC344" s="802"/>
      <c r="AD344" s="802"/>
      <c r="AE344" s="802"/>
      <c r="AF344" s="802"/>
      <c r="AG344" s="802"/>
      <c r="AH344" s="802"/>
      <c r="AI344" s="802"/>
      <c r="AJ344" s="802"/>
      <c r="AK344" s="802"/>
      <c r="AL344" s="802"/>
      <c r="AM344" s="802"/>
      <c r="AN344" s="802"/>
      <c r="AO344" s="802"/>
      <c r="AP344" s="802"/>
      <c r="AQ344" s="802"/>
      <c r="AR344" s="802"/>
      <c r="AS344" s="802"/>
      <c r="AT344" s="802"/>
      <c r="AU344" s="802"/>
      <c r="AV344" s="802"/>
      <c r="AW344" s="802"/>
    </row>
    <row r="345" spans="29:49">
      <c r="AC345" s="802"/>
      <c r="AD345" s="802"/>
      <c r="AE345" s="802"/>
      <c r="AF345" s="802"/>
      <c r="AG345" s="802"/>
      <c r="AH345" s="802"/>
      <c r="AI345" s="802"/>
      <c r="AJ345" s="802"/>
      <c r="AK345" s="802"/>
      <c r="AL345" s="802"/>
      <c r="AM345" s="802"/>
      <c r="AN345" s="802"/>
      <c r="AO345" s="802"/>
      <c r="AP345" s="802"/>
      <c r="AQ345" s="802"/>
      <c r="AR345" s="802"/>
      <c r="AS345" s="802"/>
      <c r="AT345" s="802"/>
      <c r="AU345" s="802"/>
      <c r="AV345" s="802"/>
      <c r="AW345" s="802"/>
    </row>
    <row r="346" spans="29:49">
      <c r="AC346" s="802"/>
      <c r="AD346" s="802"/>
      <c r="AE346" s="802"/>
      <c r="AF346" s="802"/>
      <c r="AG346" s="802"/>
      <c r="AH346" s="802"/>
      <c r="AI346" s="802"/>
      <c r="AJ346" s="802"/>
      <c r="AK346" s="802"/>
      <c r="AL346" s="802"/>
      <c r="AM346" s="802"/>
      <c r="AN346" s="802"/>
      <c r="AO346" s="802"/>
      <c r="AP346" s="802"/>
      <c r="AQ346" s="802"/>
      <c r="AR346" s="802"/>
      <c r="AS346" s="802"/>
      <c r="AT346" s="802"/>
      <c r="AU346" s="802"/>
      <c r="AV346" s="802"/>
      <c r="AW346" s="802"/>
    </row>
    <row r="347" spans="29:49">
      <c r="AC347" s="802"/>
      <c r="AD347" s="802"/>
      <c r="AE347" s="802"/>
      <c r="AF347" s="802"/>
      <c r="AG347" s="802"/>
      <c r="AH347" s="802"/>
      <c r="AI347" s="802"/>
      <c r="AJ347" s="802"/>
      <c r="AK347" s="802"/>
      <c r="AL347" s="802"/>
      <c r="AM347" s="802"/>
      <c r="AN347" s="802"/>
      <c r="AO347" s="802"/>
      <c r="AP347" s="802"/>
      <c r="AQ347" s="802"/>
      <c r="AR347" s="802"/>
      <c r="AS347" s="802"/>
      <c r="AT347" s="802"/>
      <c r="AU347" s="802"/>
      <c r="AV347" s="802"/>
      <c r="AW347" s="802"/>
    </row>
    <row r="348" spans="29:49">
      <c r="AC348" s="802"/>
      <c r="AD348" s="802"/>
      <c r="AE348" s="802"/>
      <c r="AF348" s="802"/>
      <c r="AG348" s="802"/>
      <c r="AH348" s="802"/>
      <c r="AI348" s="802"/>
      <c r="AJ348" s="802"/>
      <c r="AK348" s="802"/>
      <c r="AL348" s="802"/>
      <c r="AM348" s="802"/>
      <c r="AN348" s="802"/>
      <c r="AO348" s="802"/>
      <c r="AP348" s="802"/>
      <c r="AQ348" s="802"/>
      <c r="AR348" s="802"/>
      <c r="AS348" s="802"/>
      <c r="AT348" s="802"/>
      <c r="AU348" s="802"/>
      <c r="AV348" s="802"/>
      <c r="AW348" s="802"/>
    </row>
    <row r="349" spans="29:49">
      <c r="AC349" s="802"/>
      <c r="AD349" s="802"/>
      <c r="AE349" s="802"/>
      <c r="AF349" s="802"/>
      <c r="AG349" s="802"/>
      <c r="AH349" s="802"/>
      <c r="AI349" s="802"/>
      <c r="AJ349" s="802"/>
      <c r="AK349" s="802"/>
      <c r="AL349" s="802"/>
      <c r="AM349" s="802"/>
      <c r="AN349" s="802"/>
      <c r="AO349" s="802"/>
      <c r="AP349" s="802"/>
      <c r="AQ349" s="802"/>
      <c r="AR349" s="802"/>
      <c r="AS349" s="802"/>
      <c r="AT349" s="802"/>
      <c r="AU349" s="802"/>
      <c r="AV349" s="802"/>
    </row>
    <row r="350" spans="29:49">
      <c r="AC350" s="802"/>
      <c r="AD350" s="802"/>
      <c r="AE350" s="802"/>
      <c r="AF350" s="802"/>
      <c r="AG350" s="802"/>
      <c r="AH350" s="802"/>
      <c r="AI350" s="802"/>
      <c r="AJ350" s="802"/>
      <c r="AK350" s="802"/>
      <c r="AL350" s="802"/>
      <c r="AM350" s="802"/>
      <c r="AN350" s="802"/>
      <c r="AO350" s="802"/>
      <c r="AP350" s="802"/>
      <c r="AQ350" s="802"/>
      <c r="AR350" s="802"/>
      <c r="AS350" s="802"/>
      <c r="AT350" s="802"/>
      <c r="AU350" s="802"/>
      <c r="AV350" s="802"/>
    </row>
    <row r="351" spans="29:49">
      <c r="AC351" s="802"/>
      <c r="AD351" s="802"/>
      <c r="AE351" s="802"/>
      <c r="AF351" s="802"/>
      <c r="AG351" s="802"/>
      <c r="AH351" s="802"/>
      <c r="AI351" s="802"/>
      <c r="AJ351" s="802"/>
      <c r="AK351" s="802"/>
      <c r="AL351" s="802"/>
      <c r="AM351" s="802"/>
      <c r="AN351" s="802"/>
      <c r="AO351" s="802"/>
      <c r="AP351" s="802"/>
      <c r="AQ351" s="802"/>
      <c r="AR351" s="802"/>
      <c r="AS351" s="802"/>
      <c r="AT351" s="802"/>
      <c r="AU351" s="802"/>
      <c r="AV351" s="802"/>
    </row>
    <row r="352" spans="29:49">
      <c r="AC352" s="802"/>
      <c r="AD352" s="802"/>
      <c r="AE352" s="802"/>
      <c r="AF352" s="802"/>
      <c r="AG352" s="802"/>
      <c r="AH352" s="802"/>
      <c r="AI352" s="802"/>
      <c r="AJ352" s="802"/>
      <c r="AK352" s="802"/>
      <c r="AL352" s="802"/>
      <c r="AM352" s="802"/>
      <c r="AN352" s="802"/>
      <c r="AO352" s="802"/>
      <c r="AP352" s="802"/>
      <c r="AQ352" s="802"/>
      <c r="AR352" s="802"/>
      <c r="AS352" s="802"/>
      <c r="AT352" s="802"/>
      <c r="AU352" s="802"/>
      <c r="AV352" s="802"/>
    </row>
    <row r="353" spans="29:48">
      <c r="AC353" s="802"/>
      <c r="AD353" s="802"/>
      <c r="AE353" s="802"/>
      <c r="AF353" s="802"/>
      <c r="AG353" s="802"/>
      <c r="AH353" s="802"/>
      <c r="AI353" s="802"/>
      <c r="AJ353" s="802"/>
      <c r="AK353" s="802"/>
      <c r="AL353" s="802"/>
      <c r="AM353" s="802"/>
      <c r="AN353" s="802"/>
      <c r="AO353" s="802"/>
      <c r="AP353" s="802"/>
      <c r="AQ353" s="802"/>
      <c r="AR353" s="802"/>
      <c r="AS353" s="802"/>
      <c r="AT353" s="802"/>
      <c r="AU353" s="802"/>
      <c r="AV353" s="802"/>
    </row>
    <row r="354" spans="29:48">
      <c r="AC354" s="802"/>
      <c r="AD354" s="802"/>
      <c r="AE354" s="802"/>
      <c r="AF354" s="802"/>
      <c r="AG354" s="802"/>
      <c r="AH354" s="802"/>
      <c r="AI354" s="802"/>
      <c r="AJ354" s="802"/>
      <c r="AK354" s="802"/>
      <c r="AL354" s="802"/>
      <c r="AM354" s="802"/>
      <c r="AN354" s="802"/>
      <c r="AO354" s="802"/>
      <c r="AP354" s="802"/>
      <c r="AQ354" s="802"/>
      <c r="AR354" s="802"/>
      <c r="AS354" s="802"/>
      <c r="AT354" s="802"/>
      <c r="AU354" s="802"/>
      <c r="AV354" s="802"/>
    </row>
    <row r="355" spans="29:48">
      <c r="AC355" s="802"/>
      <c r="AD355" s="802"/>
      <c r="AE355" s="802"/>
      <c r="AF355" s="802"/>
      <c r="AG355" s="802"/>
      <c r="AH355" s="802"/>
      <c r="AI355" s="802"/>
      <c r="AJ355" s="802"/>
      <c r="AK355" s="802"/>
      <c r="AL355" s="802"/>
      <c r="AM355" s="802"/>
      <c r="AN355" s="802"/>
      <c r="AO355" s="802"/>
      <c r="AP355" s="802"/>
      <c r="AQ355" s="802"/>
      <c r="AR355" s="802"/>
      <c r="AS355" s="802"/>
      <c r="AT355" s="802"/>
      <c r="AU355" s="802"/>
      <c r="AV355" s="802"/>
    </row>
    <row r="356" spans="29:48">
      <c r="AC356" s="802"/>
      <c r="AD356" s="802"/>
      <c r="AE356" s="802"/>
      <c r="AF356" s="802"/>
      <c r="AG356" s="802"/>
      <c r="AH356" s="802"/>
      <c r="AI356" s="802"/>
      <c r="AJ356" s="802"/>
      <c r="AK356" s="802"/>
      <c r="AL356" s="802"/>
      <c r="AM356" s="802"/>
      <c r="AN356" s="802"/>
      <c r="AO356" s="802"/>
      <c r="AP356" s="802"/>
      <c r="AQ356" s="802"/>
      <c r="AR356" s="802"/>
      <c r="AS356" s="802"/>
      <c r="AT356" s="802"/>
      <c r="AU356" s="802"/>
      <c r="AV356" s="802"/>
    </row>
    <row r="357" spans="29:48">
      <c r="AC357" s="802"/>
      <c r="AD357" s="802"/>
      <c r="AE357" s="802"/>
      <c r="AF357" s="802"/>
      <c r="AG357" s="802"/>
      <c r="AH357" s="802"/>
      <c r="AI357" s="802"/>
      <c r="AJ357" s="802"/>
      <c r="AK357" s="802"/>
      <c r="AL357" s="802"/>
      <c r="AM357" s="802"/>
      <c r="AN357" s="802"/>
      <c r="AO357" s="802"/>
      <c r="AP357" s="802"/>
      <c r="AQ357" s="802"/>
      <c r="AR357" s="802"/>
      <c r="AS357" s="802"/>
      <c r="AT357" s="802"/>
      <c r="AU357" s="802"/>
      <c r="AV357" s="802"/>
    </row>
    <row r="358" spans="29:48">
      <c r="AC358" s="802"/>
      <c r="AD358" s="802"/>
      <c r="AE358" s="802"/>
      <c r="AF358" s="802"/>
      <c r="AG358" s="802"/>
      <c r="AH358" s="802"/>
      <c r="AI358" s="802"/>
      <c r="AJ358" s="802"/>
      <c r="AK358" s="802"/>
      <c r="AL358" s="802"/>
      <c r="AM358" s="802"/>
      <c r="AN358" s="802"/>
      <c r="AO358" s="802"/>
      <c r="AP358" s="802"/>
      <c r="AQ358" s="802"/>
      <c r="AR358" s="802"/>
      <c r="AS358" s="802"/>
      <c r="AT358" s="802"/>
      <c r="AU358" s="802"/>
      <c r="AV358" s="802"/>
    </row>
    <row r="359" spans="29:48">
      <c r="AC359" s="802"/>
      <c r="AD359" s="802"/>
      <c r="AE359" s="802"/>
      <c r="AF359" s="802"/>
      <c r="AG359" s="802"/>
      <c r="AH359" s="802"/>
      <c r="AI359" s="802"/>
      <c r="AJ359" s="802"/>
      <c r="AK359" s="802"/>
      <c r="AL359" s="802"/>
      <c r="AM359" s="802"/>
      <c r="AN359" s="802"/>
      <c r="AO359" s="802"/>
      <c r="AP359" s="802"/>
      <c r="AQ359" s="802"/>
      <c r="AR359" s="802"/>
      <c r="AS359" s="802"/>
      <c r="AT359" s="802"/>
      <c r="AU359" s="802"/>
      <c r="AV359" s="802"/>
    </row>
    <row r="360" spans="29:48">
      <c r="AC360" s="802"/>
      <c r="AD360" s="802"/>
      <c r="AE360" s="802"/>
      <c r="AF360" s="802"/>
      <c r="AG360" s="802"/>
      <c r="AH360" s="802"/>
      <c r="AI360" s="802"/>
      <c r="AJ360" s="802"/>
      <c r="AK360" s="802"/>
      <c r="AL360" s="802"/>
      <c r="AM360" s="802"/>
      <c r="AN360" s="802"/>
      <c r="AO360" s="802"/>
      <c r="AP360" s="802"/>
      <c r="AQ360" s="802"/>
      <c r="AR360" s="802"/>
      <c r="AS360" s="802"/>
      <c r="AT360" s="802"/>
      <c r="AU360" s="802"/>
      <c r="AV360" s="802"/>
    </row>
  </sheetData>
  <pageMargins left="0.7" right="0.7" top="0.75" bottom="0.75" header="0.3" footer="0.3"/>
  <pageSetup paperSize="9" scale="36" orientation="portrait" r:id="rId1"/>
  <rowBreaks count="1" manualBreakCount="1">
    <brk id="91" max="16383" man="1"/>
  </rowBreaks>
  <colBreaks count="1" manualBreakCount="1">
    <brk id="34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7030A0"/>
  </sheetPr>
  <dimension ref="B2:BB351"/>
  <sheetViews>
    <sheetView topLeftCell="AD21" zoomScale="70" zoomScaleNormal="70" workbookViewId="0">
      <selection activeCell="AK44" sqref="AK44:AK51"/>
    </sheetView>
  </sheetViews>
  <sheetFormatPr defaultColWidth="8.796875" defaultRowHeight="14.25"/>
  <cols>
    <col min="1" max="4" width="8.796875" style="613"/>
    <col min="5" max="5" width="18.8984375" style="713" customWidth="1"/>
    <col min="6" max="6" width="32.5" style="613" bestFit="1" customWidth="1"/>
    <col min="7" max="7" width="13" style="613" customWidth="1"/>
    <col min="8" max="8" width="8.796875" style="613"/>
    <col min="9" max="9" width="7.09765625" style="613" customWidth="1"/>
    <col min="10" max="10" width="18.3984375" style="613" customWidth="1"/>
    <col min="11" max="11" width="18.69921875" style="613" customWidth="1"/>
    <col min="12" max="13" width="15.69921875" style="613" customWidth="1"/>
    <col min="14" max="14" width="17.09765625" style="613" customWidth="1"/>
    <col min="15" max="22" width="15.69921875" style="613" customWidth="1"/>
    <col min="23" max="23" width="7.296875" style="613" customWidth="1"/>
    <col min="24" max="28" width="15.69921875" style="613" customWidth="1"/>
    <col min="29" max="29" width="8.796875" style="613"/>
    <col min="30" max="30" width="15" style="613" customWidth="1"/>
    <col min="31" max="31" width="8.796875" style="613"/>
    <col min="32" max="32" width="17.19921875" style="613" bestFit="1" customWidth="1"/>
    <col min="33" max="33" width="26.8984375" style="613" bestFit="1" customWidth="1"/>
    <col min="34" max="34" width="35.296875" style="613" bestFit="1" customWidth="1"/>
    <col min="35" max="35" width="8.796875" style="613"/>
    <col min="36" max="36" width="12.8984375" style="613" customWidth="1"/>
    <col min="37" max="37" width="15.69921875" style="613" customWidth="1"/>
    <col min="38" max="38" width="35.296875" style="613" bestFit="1" customWidth="1"/>
    <col min="39" max="39" width="11.69921875" style="613" bestFit="1" customWidth="1"/>
    <col min="40" max="40" width="23.69921875" style="613" customWidth="1"/>
    <col min="41" max="41" width="27.69921875" style="613" customWidth="1"/>
    <col min="42" max="42" width="34.09765625" style="613" bestFit="1" customWidth="1"/>
    <col min="43" max="43" width="10.5" style="613" customWidth="1"/>
    <col min="44" max="44" width="8.796875" style="613"/>
    <col min="45" max="45" width="27.69921875" style="613" customWidth="1"/>
    <col min="46" max="46" width="34.09765625" style="613" bestFit="1" customWidth="1"/>
    <col min="47" max="48" width="8.796875" style="613"/>
    <col min="49" max="49" width="12.796875" style="613" bestFit="1" customWidth="1"/>
    <col min="50" max="50" width="24.296875" style="613" bestFit="1" customWidth="1"/>
    <col min="51" max="53" width="8.796875" style="613"/>
    <col min="54" max="54" width="24.3984375" style="613" bestFit="1" customWidth="1"/>
    <col min="55" max="16384" width="8.796875" style="613"/>
  </cols>
  <sheetData>
    <row r="2" spans="2:46" ht="15" thickBot="1">
      <c r="D2" s="719" t="s">
        <v>6545</v>
      </c>
      <c r="E2" s="719"/>
    </row>
    <row r="3" spans="2:46">
      <c r="B3" s="628" t="s">
        <v>6808</v>
      </c>
      <c r="D3" s="555"/>
      <c r="E3" s="600"/>
      <c r="F3" s="600"/>
      <c r="G3" s="600"/>
      <c r="H3" s="600"/>
      <c r="I3" s="600"/>
      <c r="J3" s="599" t="str">
        <f>"Variance Tracker Table - "&amp;nmCh3</f>
        <v>Variance Tracker Table - Convenience</v>
      </c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561"/>
      <c r="AD3" s="628" t="s">
        <v>6809</v>
      </c>
      <c r="AE3" s="612" t="s">
        <v>6566</v>
      </c>
    </row>
    <row r="4" spans="2:46" ht="29.25" customHeight="1" thickBot="1">
      <c r="D4" s="554"/>
      <c r="E4" s="553" t="str">
        <f>nmCh3</f>
        <v>Convenience</v>
      </c>
      <c r="F4" s="617"/>
      <c r="G4" s="720"/>
      <c r="H4" s="720"/>
      <c r="I4" s="720"/>
      <c r="J4" s="720"/>
      <c r="K4" s="720"/>
      <c r="L4" s="704" t="str">
        <f>nmCh3</f>
        <v>Convenience</v>
      </c>
      <c r="M4" s="598" t="str">
        <f>nmProd2</f>
        <v>Harken</v>
      </c>
      <c r="N4" s="598" t="str">
        <f>nmProd2&amp;" Slot 1"</f>
        <v>Harken Slot 1</v>
      </c>
      <c r="O4" s="598" t="str">
        <f>nmProd2&amp;" Slot 2"</f>
        <v>Harken Slot 2</v>
      </c>
      <c r="P4" s="598" t="str">
        <f>nmProd2&amp;" Slot 3"</f>
        <v>Harken Slot 3</v>
      </c>
      <c r="Q4" s="598" t="str">
        <f>nmProd3</f>
        <v>Kara</v>
      </c>
      <c r="R4" s="598" t="str">
        <f>nmProd3&amp;" Slot 1"</f>
        <v>Kara Slot 1</v>
      </c>
      <c r="S4" s="598" t="str">
        <f>nmProd3&amp;" Slot 2"</f>
        <v>Kara Slot 2</v>
      </c>
      <c r="T4" s="598" t="str">
        <f>nmProd3&amp;" Slot 3"</f>
        <v>Kara Slot 3</v>
      </c>
      <c r="U4" s="598" t="str">
        <f>nmProd1</f>
        <v>Greenborg</v>
      </c>
      <c r="V4" s="598" t="str">
        <f>nmProd1&amp;" Slot 1"</f>
        <v>Greenborg Slot 1</v>
      </c>
      <c r="W4" s="598" t="str">
        <f>nmProd1&amp;" Slot 2"</f>
        <v>Greenborg Slot 2</v>
      </c>
      <c r="X4" s="598" t="str">
        <f>nmProd1&amp;" Slot 3"</f>
        <v>Greenborg Slot 3</v>
      </c>
      <c r="Y4" s="598" t="str">
        <f>nmProd4</f>
        <v>Brew Master</v>
      </c>
      <c r="Z4" s="598" t="str">
        <f>nmProd4&amp;" Slot 1"</f>
        <v>Brew Master Slot 1</v>
      </c>
      <c r="AA4" s="598" t="str">
        <f>nmProd4&amp;" Slot 2"</f>
        <v>Brew Master Slot 2</v>
      </c>
      <c r="AB4" s="597" t="str">
        <f>nmProd4&amp;" Slot 3"</f>
        <v>Brew Master Slot 3</v>
      </c>
      <c r="AE4" s="702" t="str">
        <f>nmEmp1&amp;" Gauge"</f>
        <v>MTUs Gauge</v>
      </c>
      <c r="AI4" s="702" t="s">
        <v>6570</v>
      </c>
      <c r="AM4" s="702" t="s">
        <v>6571</v>
      </c>
    </row>
    <row r="5" spans="2:46" ht="15">
      <c r="D5" s="554"/>
      <c r="E5" s="585">
        <f t="shared" ref="E5:E17" si="0">INDEX(L5:AB5,,calcCh3VtCode)/1000</f>
        <v>228893.04370000001</v>
      </c>
      <c r="F5" s="720" t="s">
        <v>4918</v>
      </c>
      <c r="G5" s="552"/>
      <c r="H5" s="720"/>
      <c r="I5" s="720"/>
      <c r="J5" s="551" t="s">
        <v>3760</v>
      </c>
      <c r="K5" s="608" t="s">
        <v>1394</v>
      </c>
      <c r="L5" s="706">
        <f t="shared" ref="L5:L17" si="1">U5+M5+Q5+Y5</f>
        <v>1398572805.95</v>
      </c>
      <c r="M5" s="706">
        <f>N5+O5+P5</f>
        <v>576578679.70000005</v>
      </c>
      <c r="N5" s="706">
        <f>INDEX(finPNLCh3Prod2Slot1Turn,xxIndexTeam)</f>
        <v>228893043.70000002</v>
      </c>
      <c r="O5" s="706">
        <f>INDEX(finPNLCh3Prod2Slot2Turn,xxIndexTeam)</f>
        <v>347685636</v>
      </c>
      <c r="P5" s="706">
        <f>INDEX(finPNLCh3Prod2Slot3Turn,xxIndexTeam)</f>
        <v>0</v>
      </c>
      <c r="Q5" s="706">
        <f>R5+S5+T5</f>
        <v>550502257</v>
      </c>
      <c r="R5" s="706">
        <f>INDEX(finPNLCh3Prod3Slot1Turn,xxIndexTeam)</f>
        <v>550502257</v>
      </c>
      <c r="S5" s="706">
        <f>INDEX(finPNLCh3Prod3Slot2Turn,xxIndexTeam)</f>
        <v>0</v>
      </c>
      <c r="T5" s="706">
        <f>INDEX(finPNLCh3Prod3Slot3Turn,xxIndexTeam)</f>
        <v>0</v>
      </c>
      <c r="U5" s="706">
        <f>V5+W5+X5</f>
        <v>271491869.25</v>
      </c>
      <c r="V5" s="706">
        <f>INDEX(finPNLCh3Prod1Slot1Turn,xxIndexTeam)</f>
        <v>271491869.25</v>
      </c>
      <c r="W5" s="706">
        <f>INDEX(finPNLCh3Prod1Slot2Turn,xxIndexTeam)</f>
        <v>0</v>
      </c>
      <c r="X5" s="706">
        <f>INDEX(finPNLCh3Prod1Slot3Turn,xxIndexTeam)</f>
        <v>0</v>
      </c>
      <c r="Y5" s="706">
        <f>Z5+AA5+AB5</f>
        <v>0</v>
      </c>
      <c r="Z5" s="706">
        <f>INDEX(finPNLCh3Prod4Slot1Turn,xxIndexTeam)</f>
        <v>0</v>
      </c>
      <c r="AA5" s="706">
        <f>INDEX(finPNLCh3Prod4Slot2Turn,xxIndexTeam)</f>
        <v>0</v>
      </c>
      <c r="AB5" s="596">
        <f>INDEX(finPNLCh3Prod4Slot3Turn,xxIndexTeam)</f>
        <v>0</v>
      </c>
      <c r="AC5" s="701"/>
      <c r="AE5" s="555"/>
      <c r="AF5" s="600" t="s">
        <v>6569</v>
      </c>
      <c r="AG5" s="600">
        <f>INDEX(CalcEmp1Unassigned,,xxIndexTeam)</f>
        <v>62</v>
      </c>
      <c r="AH5" s="561" t="s">
        <v>6810</v>
      </c>
      <c r="AI5" s="555"/>
      <c r="AJ5" s="600" t="s">
        <v>6569</v>
      </c>
      <c r="AK5" s="600">
        <f>INDEX(calcCh3AddSlotAvailable,,xxIndexTeam)</f>
        <v>0</v>
      </c>
      <c r="AL5" s="561" t="s">
        <v>6811</v>
      </c>
      <c r="AM5" s="555"/>
      <c r="AN5" s="600" t="s">
        <v>6569</v>
      </c>
      <c r="AO5" s="600">
        <f>INDEX(calcCh3PromoWeeksAvail,,xxIndexTeam)</f>
        <v>1</v>
      </c>
      <c r="AP5" s="561" t="s">
        <v>6812</v>
      </c>
    </row>
    <row r="6" spans="2:46" ht="15">
      <c r="D6" s="554"/>
      <c r="E6" s="585">
        <f t="shared" si="0"/>
        <v>69537.127200000003</v>
      </c>
      <c r="F6" s="720" t="s">
        <v>4919</v>
      </c>
      <c r="G6" s="720"/>
      <c r="H6" s="720"/>
      <c r="I6" s="720"/>
      <c r="J6" s="551" t="s">
        <v>3761</v>
      </c>
      <c r="K6" s="608" t="s">
        <v>1395</v>
      </c>
      <c r="L6" s="706">
        <f t="shared" si="1"/>
        <v>449277325</v>
      </c>
      <c r="M6" s="706">
        <f t="shared" ref="M6:M17" si="2">N6+O6+P6</f>
        <v>173842818</v>
      </c>
      <c r="N6" s="706">
        <f>INDEX(finPNLCh3Prod2Slot1Excise,xxIndexTeam)</f>
        <v>69537127.200000003</v>
      </c>
      <c r="O6" s="706">
        <f>INDEX(finPNLCh3Prod2Slot2Excise,xxIndexTeam)</f>
        <v>104305690.8</v>
      </c>
      <c r="P6" s="706">
        <f>INDEX(finPNLCh3Prod2Slot3Excise,xxIndexTeam)</f>
        <v>0</v>
      </c>
      <c r="Q6" s="706">
        <f t="shared" ref="Q6:Q17" si="3">R6+S6+T6</f>
        <v>181086268.75</v>
      </c>
      <c r="R6" s="706">
        <f>INDEX(finPNLCh3Prod3Slot1Excise,xxIndexTeam)</f>
        <v>181086268.75</v>
      </c>
      <c r="S6" s="706">
        <f>INDEX(finPNLCh3Prod3Slot2Excise,xxIndexTeam)</f>
        <v>0</v>
      </c>
      <c r="T6" s="706">
        <f>INDEX(finPNLCh3Prod3Slot3Excise,xxIndexTeam)</f>
        <v>0</v>
      </c>
      <c r="U6" s="706">
        <f t="shared" ref="U6:U17" si="4">V6+W6+X6</f>
        <v>94348238.25</v>
      </c>
      <c r="V6" s="706">
        <f>INDEX(finPNLCh3Prod1Slot1Excise,xxIndexTeam)</f>
        <v>94348238.25</v>
      </c>
      <c r="W6" s="706">
        <f>INDEX(finPNLCh3Prod1Slot2Excise,xxIndexTeam)</f>
        <v>0</v>
      </c>
      <c r="X6" s="706">
        <f>INDEX(finPNLCh3Prod1Slot3Excise,xxIndexTeam)</f>
        <v>0</v>
      </c>
      <c r="Y6" s="706">
        <f t="shared" ref="Y6:Y17" si="5">Z6+AA6+AB6</f>
        <v>0</v>
      </c>
      <c r="Z6" s="706">
        <f>INDEX(finPNLCh3Prod4Slot1Excise,xxIndexTeam)</f>
        <v>0</v>
      </c>
      <c r="AA6" s="706">
        <f>INDEX(finPNLCh3Prod4Slot2Excise,xxIndexTeam)</f>
        <v>0</v>
      </c>
      <c r="AB6" s="596">
        <f>INDEX(finPNLCh3Prod4Slot3Excise,xxIndexTeam)</f>
        <v>0</v>
      </c>
      <c r="AC6" s="701"/>
      <c r="AE6" s="554"/>
      <c r="AF6" s="720" t="s">
        <v>6568</v>
      </c>
      <c r="AG6" s="720">
        <v>0</v>
      </c>
      <c r="AH6" s="584" t="s">
        <v>6813</v>
      </c>
      <c r="AI6" s="554"/>
      <c r="AJ6" s="720" t="s">
        <v>6568</v>
      </c>
      <c r="AK6" s="720">
        <v>0</v>
      </c>
      <c r="AL6" s="584" t="s">
        <v>6814</v>
      </c>
      <c r="AM6" s="554"/>
      <c r="AN6" s="720" t="s">
        <v>6568</v>
      </c>
      <c r="AO6" s="720">
        <f>INDEX(calcCh3PromoWeeksAvail,,xxIndexTeam)</f>
        <v>1</v>
      </c>
      <c r="AP6" s="584" t="s">
        <v>6815</v>
      </c>
    </row>
    <row r="7" spans="2:46" ht="15.75" thickBot="1">
      <c r="D7" s="554"/>
      <c r="E7" s="585">
        <f t="shared" si="0"/>
        <v>159355.91649999999</v>
      </c>
      <c r="F7" s="720" t="s">
        <v>4920</v>
      </c>
      <c r="G7" s="720"/>
      <c r="H7" s="720"/>
      <c r="I7" s="720"/>
      <c r="J7" s="720"/>
      <c r="K7" s="608" t="s">
        <v>694</v>
      </c>
      <c r="L7" s="706">
        <f t="shared" si="1"/>
        <v>949295480.95000005</v>
      </c>
      <c r="M7" s="706">
        <f t="shared" si="2"/>
        <v>402735861.69999999</v>
      </c>
      <c r="N7" s="706">
        <f>INDEX(finPNLCh3Prod2Slot1GrossSales,xxIndexTeam)</f>
        <v>159355916.5</v>
      </c>
      <c r="O7" s="706">
        <f>INDEX(finPNLCh3Prod2Slot2GrossSales,xxIndexTeam)</f>
        <v>243379945.19999999</v>
      </c>
      <c r="P7" s="706">
        <f>INDEX(finPNLCh3Prod2Slot3GrossSales,xxIndexTeam)</f>
        <v>0</v>
      </c>
      <c r="Q7" s="706">
        <f t="shared" si="3"/>
        <v>369415988.25</v>
      </c>
      <c r="R7" s="706">
        <f>INDEX(finPNLCh3Prod3Slot1GrossSales,xxIndexTeam)</f>
        <v>369415988.25</v>
      </c>
      <c r="S7" s="706">
        <f>INDEX(finPNLCh3Prod3Slot2GrossSales,xxIndexTeam)</f>
        <v>0</v>
      </c>
      <c r="T7" s="706">
        <f>INDEX(finPNLCh3Prod3Slot3GrossSales,xxIndexTeam)</f>
        <v>0</v>
      </c>
      <c r="U7" s="706">
        <f t="shared" si="4"/>
        <v>177143631</v>
      </c>
      <c r="V7" s="706">
        <f>INDEX(finPNLCh3Prod1Slot1GrossSales,xxIndexTeam)</f>
        <v>177143631</v>
      </c>
      <c r="W7" s="706">
        <f>INDEX(finPNLCh3Prod1Slot2GrossSales,xxIndexTeam)</f>
        <v>0</v>
      </c>
      <c r="X7" s="706">
        <f>INDEX(finPNLCh3Prod1Slot3GrossSales,xxIndexTeam)</f>
        <v>0</v>
      </c>
      <c r="Y7" s="706">
        <f t="shared" si="5"/>
        <v>0</v>
      </c>
      <c r="Z7" s="706">
        <f>INDEX(finPNLCh3Prod4Slot1GrossSales,xxIndexTeam)</f>
        <v>0</v>
      </c>
      <c r="AA7" s="706">
        <f>INDEX(finPNLCh3Prod4Slot2GrossSales,xxIndexTeam)</f>
        <v>0</v>
      </c>
      <c r="AB7" s="596">
        <f>INDEX(finPNLCh3Prod4Slot3GrossSales,xxIndexTeam)</f>
        <v>0</v>
      </c>
      <c r="AC7" s="701"/>
      <c r="AE7" s="546"/>
      <c r="AF7" s="544" t="s">
        <v>6567</v>
      </c>
      <c r="AG7" s="544">
        <v>150</v>
      </c>
      <c r="AH7" s="733" t="s">
        <v>6816</v>
      </c>
      <c r="AI7" s="546"/>
      <c r="AJ7" s="544" t="s">
        <v>6567</v>
      </c>
      <c r="AK7" s="544">
        <v>3</v>
      </c>
      <c r="AL7" s="733" t="s">
        <v>6817</v>
      </c>
      <c r="AM7" s="546"/>
      <c r="AN7" s="544" t="s">
        <v>6567</v>
      </c>
      <c r="AO7" s="544">
        <f>INDEX(calcCh3PromoWeeks,,xxIndexTeam)</f>
        <v>10</v>
      </c>
      <c r="AP7" s="733" t="s">
        <v>6818</v>
      </c>
    </row>
    <row r="8" spans="2:46" ht="15">
      <c r="D8" s="554"/>
      <c r="E8" s="585">
        <f t="shared" si="0"/>
        <v>15863.700474009656</v>
      </c>
      <c r="F8" s="720" t="s">
        <v>4921</v>
      </c>
      <c r="G8" s="720"/>
      <c r="H8" s="720"/>
      <c r="I8" s="720"/>
      <c r="J8" s="720"/>
      <c r="K8" s="608" t="s">
        <v>1396</v>
      </c>
      <c r="L8" s="706">
        <f t="shared" si="1"/>
        <v>109173301.43178159</v>
      </c>
      <c r="M8" s="706">
        <f t="shared" si="2"/>
        <v>30579417.444569573</v>
      </c>
      <c r="N8" s="706">
        <f>INDEX(finPNLCh3Prod2Slot1Discounts,xxIndexTeam)</f>
        <v>15863700.474009655</v>
      </c>
      <c r="O8" s="706">
        <f>INDEX(finPNLCh3Prod2Slot2Discounts,xxIndexTeam)</f>
        <v>14715716.970559917</v>
      </c>
      <c r="P8" s="706">
        <f>INDEX(finPNLCh3Prod2Slot3Discounts,xxIndexTeam)</f>
        <v>0</v>
      </c>
      <c r="Q8" s="706">
        <f t="shared" si="3"/>
        <v>64379048.276284344</v>
      </c>
      <c r="R8" s="706">
        <f>INDEX(finPNLCh3Prod3Slot1Discounts,xxIndexTeam)</f>
        <v>64379048.276284344</v>
      </c>
      <c r="S8" s="706">
        <f>INDEX(finPNLCh3Prod3Slot2Discounts,xxIndexTeam)</f>
        <v>0</v>
      </c>
      <c r="T8" s="706">
        <f>INDEX(finPNLCh3Prod3Slot3Discounts,xxIndexTeam)</f>
        <v>0</v>
      </c>
      <c r="U8" s="706">
        <f t="shared" si="4"/>
        <v>14214835.710927671</v>
      </c>
      <c r="V8" s="706">
        <f>INDEX(finPNLCh3Prod1Slot1Discounts,xxIndexTeam)</f>
        <v>14214835.710927671</v>
      </c>
      <c r="W8" s="706">
        <f>INDEX(finPNLCh3Prod1Slot2Discounts,xxIndexTeam)</f>
        <v>0</v>
      </c>
      <c r="X8" s="706">
        <f>INDEX(finPNLCh3Prod1Slot3Discounts,xxIndexTeam)</f>
        <v>0</v>
      </c>
      <c r="Y8" s="706">
        <f t="shared" si="5"/>
        <v>0</v>
      </c>
      <c r="Z8" s="706">
        <f>INDEX(finPNLCh3Prod4Slot1Discounts,xxIndexTeam)</f>
        <v>0</v>
      </c>
      <c r="AA8" s="706">
        <f>INDEX(finPNLCh3Prod4Slot2Discounts,xxIndexTeam)</f>
        <v>0</v>
      </c>
      <c r="AB8" s="596">
        <f>INDEX(finPNLCh3Prod4Slot3Discounts,xxIndexTeam)</f>
        <v>0</v>
      </c>
      <c r="AC8" s="701"/>
    </row>
    <row r="9" spans="2:46" ht="15">
      <c r="D9" s="554"/>
      <c r="E9" s="585">
        <f t="shared" si="0"/>
        <v>143492.21602599035</v>
      </c>
      <c r="F9" s="720" t="s">
        <v>4922</v>
      </c>
      <c r="G9" s="720"/>
      <c r="H9" s="720"/>
      <c r="I9" s="720"/>
      <c r="J9" s="720"/>
      <c r="K9" s="608" t="s">
        <v>1397</v>
      </c>
      <c r="L9" s="706">
        <f t="shared" si="1"/>
        <v>840122179.5182184</v>
      </c>
      <c r="M9" s="706">
        <f t="shared" si="2"/>
        <v>372156444.2554304</v>
      </c>
      <c r="N9" s="706">
        <f>INDEX(finPNLCh3Prod2Slot1TotalRev,xxIndexTeam)</f>
        <v>143492216.02599034</v>
      </c>
      <c r="O9" s="706">
        <f>INDEX(finPNLCh3Prod2Slot2TotalRev,xxIndexTeam)</f>
        <v>228664228.22944006</v>
      </c>
      <c r="P9" s="706">
        <f>INDEX(finPNLCh3Prod2Slot3TotalRev,xxIndexTeam)</f>
        <v>0</v>
      </c>
      <c r="Q9" s="706">
        <f t="shared" si="3"/>
        <v>305036939.97371566</v>
      </c>
      <c r="R9" s="706">
        <f>INDEX(finPNLCh3Prod3Slot1TotalRev,xxIndexTeam)</f>
        <v>305036939.97371566</v>
      </c>
      <c r="S9" s="706">
        <f>INDEX(finPNLCh3Prod3Slot2TotalRev,xxIndexTeam)</f>
        <v>0</v>
      </c>
      <c r="T9" s="706">
        <f>INDEX(finPNLCh3Prod3Slot3TotalRev,xxIndexTeam)</f>
        <v>0</v>
      </c>
      <c r="U9" s="706">
        <f t="shared" si="4"/>
        <v>162928795.28907233</v>
      </c>
      <c r="V9" s="706">
        <f>INDEX(finPNLCh3Prod1Slot1TotalRev,xxIndexTeam)</f>
        <v>162928795.28907233</v>
      </c>
      <c r="W9" s="706">
        <f>INDEX(finPNLCh3Prod1Slot2TotalRev,xxIndexTeam)</f>
        <v>0</v>
      </c>
      <c r="X9" s="706">
        <f>INDEX(finPNLCh3Prod1Slot3TotalRev,xxIndexTeam)</f>
        <v>0</v>
      </c>
      <c r="Y9" s="706">
        <f t="shared" si="5"/>
        <v>0</v>
      </c>
      <c r="Z9" s="706">
        <f>INDEX(finPNLCh3Prod4Slot1TotalRev,xxIndexTeam)</f>
        <v>0</v>
      </c>
      <c r="AA9" s="706">
        <f>INDEX(finPNLCh3Prod4Slot2TotalRev,xxIndexTeam)</f>
        <v>0</v>
      </c>
      <c r="AB9" s="596">
        <f>INDEX(finPNLCh3Prod4Slot3TotalRev,xxIndexTeam)</f>
        <v>0</v>
      </c>
      <c r="AC9" s="701"/>
      <c r="AD9" s="628" t="s">
        <v>6819</v>
      </c>
      <c r="AE9" s="612" t="s">
        <v>6549</v>
      </c>
      <c r="AG9" s="722"/>
    </row>
    <row r="10" spans="2:46" ht="15.75" thickBot="1">
      <c r="D10" s="554"/>
      <c r="E10" s="585">
        <f t="shared" si="0"/>
        <v>46912.214577135608</v>
      </c>
      <c r="F10" s="720" t="s">
        <v>4923</v>
      </c>
      <c r="G10" s="720"/>
      <c r="H10" s="720"/>
      <c r="I10" s="720"/>
      <c r="J10" s="720"/>
      <c r="K10" s="608" t="s">
        <v>1398</v>
      </c>
      <c r="L10" s="706">
        <f t="shared" si="1"/>
        <v>299530981.10614145</v>
      </c>
      <c r="M10" s="706">
        <f t="shared" si="2"/>
        <v>113015789.66309944</v>
      </c>
      <c r="N10" s="706">
        <f>INDEX(finPNLCh3Prod2Slot1MatExp,xxIndexTeam)</f>
        <v>46912214.577135608</v>
      </c>
      <c r="O10" s="706">
        <f>INDEX(finPNLCh3Prod2Slot2MatExp,xxIndexTeam)</f>
        <v>66103575.085963823</v>
      </c>
      <c r="P10" s="706">
        <f>INDEX(finPNLCh3Prod2Slot3MatExp,xxIndexTeam)</f>
        <v>0</v>
      </c>
      <c r="Q10" s="706">
        <f t="shared" si="3"/>
        <v>127942403.392188</v>
      </c>
      <c r="R10" s="706">
        <f>INDEX(finPNLCh3Prod3Slot1MatExp,xxIndexTeam)</f>
        <v>127942403.392188</v>
      </c>
      <c r="S10" s="706">
        <f>INDEX(finPNLCh3Prod3Slot2MatExp,xxIndexTeam)</f>
        <v>0</v>
      </c>
      <c r="T10" s="706">
        <f>INDEX(finPNLCh3Prod3Slot3MatExp,xxIndexTeam)</f>
        <v>0</v>
      </c>
      <c r="U10" s="706">
        <f t="shared" si="4"/>
        <v>58572788.05085402</v>
      </c>
      <c r="V10" s="706">
        <f>INDEX(finPNLCh3Prod1Slot1MatExp,xxIndexTeam)</f>
        <v>58572788.05085402</v>
      </c>
      <c r="W10" s="706">
        <f>INDEX(finPNLCh3Prod1Slot2MatExp,xxIndexTeam)</f>
        <v>0</v>
      </c>
      <c r="X10" s="706">
        <f>INDEX(finPNLCh3Prod1Slot3MatExp,xxIndexTeam)</f>
        <v>0</v>
      </c>
      <c r="Y10" s="706">
        <f t="shared" si="5"/>
        <v>0</v>
      </c>
      <c r="Z10" s="706">
        <f>INDEX(finPNLCh3Prod4Slot1MatExp,xxIndexTeam)</f>
        <v>0</v>
      </c>
      <c r="AA10" s="706">
        <f>INDEX(finPNLCh3Prod4Slot2MatExp,xxIndexTeam)</f>
        <v>0</v>
      </c>
      <c r="AB10" s="596">
        <f>INDEX(finPNLCh3Prod4Slot3MatExp,xxIndexTeam)</f>
        <v>0</v>
      </c>
      <c r="AC10" s="701"/>
      <c r="AE10" s="702" t="s">
        <v>1408</v>
      </c>
      <c r="AI10" s="702" t="s">
        <v>1409</v>
      </c>
      <c r="AM10" s="702" t="s">
        <v>6550</v>
      </c>
      <c r="AQ10" s="702" t="s">
        <v>14</v>
      </c>
    </row>
    <row r="11" spans="2:46" ht="15">
      <c r="D11" s="554"/>
      <c r="E11" s="585">
        <f t="shared" si="0"/>
        <v>6898.8550848728837</v>
      </c>
      <c r="F11" s="720" t="s">
        <v>4924</v>
      </c>
      <c r="G11" s="720"/>
      <c r="H11" s="720"/>
      <c r="I11" s="720"/>
      <c r="J11" s="720"/>
      <c r="K11" s="608" t="s">
        <v>575</v>
      </c>
      <c r="L11" s="706">
        <f t="shared" si="1"/>
        <v>44048673.692079619</v>
      </c>
      <c r="M11" s="706">
        <f t="shared" si="2"/>
        <v>16619969.068102855</v>
      </c>
      <c r="N11" s="706">
        <f>INDEX(finPNLCh3Prod2Slot1LabourExp,xxIndexTeam)</f>
        <v>6898855.0848728837</v>
      </c>
      <c r="O11" s="706">
        <f>INDEX(finPNLCh3Prod2Slot2LabourExp,xxIndexTeam)</f>
        <v>9721113.9832299724</v>
      </c>
      <c r="P11" s="706">
        <f>INDEX(finPNLCh3Prod2Slot3LabourExp,xxIndexTeam)</f>
        <v>0</v>
      </c>
      <c r="Q11" s="706">
        <f t="shared" si="3"/>
        <v>18815059.322380587</v>
      </c>
      <c r="R11" s="706">
        <f>INDEX(finPNLCh3Prod3Slot1LabourExp,xxIndexTeam)</f>
        <v>18815059.322380587</v>
      </c>
      <c r="S11" s="706">
        <f>INDEX(finPNLCh3Prod3Slot2LabourExp,xxIndexTeam)</f>
        <v>0</v>
      </c>
      <c r="T11" s="706">
        <f>INDEX(finPNLCh3Prod3Slot3LabourExp,xxIndexTeam)</f>
        <v>0</v>
      </c>
      <c r="U11" s="706">
        <f t="shared" si="4"/>
        <v>8613645.3015961777</v>
      </c>
      <c r="V11" s="706">
        <f>INDEX(finPNLCh3Prod1Slot1LabourExp,xxIndexTeam)</f>
        <v>8613645.3015961777</v>
      </c>
      <c r="W11" s="706">
        <f>INDEX(finPNLCh3Prod1Slot2LabourExp,xxIndexTeam)</f>
        <v>0</v>
      </c>
      <c r="X11" s="706">
        <f>INDEX(finPNLCh3Prod1Slot3LabourExp,xxIndexTeam)</f>
        <v>0</v>
      </c>
      <c r="Y11" s="706">
        <f t="shared" si="5"/>
        <v>0</v>
      </c>
      <c r="Z11" s="706">
        <f>INDEX(finPNLCh3Prod4Slot1LabourExp,xxIndexTeam)</f>
        <v>0</v>
      </c>
      <c r="AA11" s="706">
        <f>INDEX(finPNLCh3Prod4Slot2LabourExp,xxIndexTeam)</f>
        <v>0</v>
      </c>
      <c r="AB11" s="596">
        <f>INDEX(finPNLCh3Prod4Slot3LabourExp,xxIndexTeam)</f>
        <v>0</v>
      </c>
      <c r="AC11" s="701"/>
      <c r="AE11" s="728" t="str">
        <f>"Column 1 ("&amp;nmProd2&amp;")"</f>
        <v>Column 1 (Harken)</v>
      </c>
      <c r="AF11" s="600"/>
      <c r="AG11" s="600"/>
      <c r="AH11" s="561"/>
      <c r="AI11" s="728" t="str">
        <f>"Column 3 ("&amp;nmProd1&amp;")"</f>
        <v>Column 3 (Greenborg)</v>
      </c>
      <c r="AJ11" s="600"/>
      <c r="AK11" s="600"/>
      <c r="AL11" s="561"/>
      <c r="AM11" s="728" t="str">
        <f>"Column 4 ("&amp;nmProd4&amp;")"</f>
        <v>Column 4 (Brew Master)</v>
      </c>
      <c r="AN11" s="600"/>
      <c r="AO11" s="600"/>
      <c r="AP11" s="561"/>
      <c r="AQ11" s="728" t="s">
        <v>6551</v>
      </c>
      <c r="AR11" s="600"/>
      <c r="AS11" s="600"/>
      <c r="AT11" s="561"/>
    </row>
    <row r="12" spans="2:46" ht="15">
      <c r="D12" s="554"/>
      <c r="E12" s="585">
        <f t="shared" si="0"/>
        <v>5651.2823275440005</v>
      </c>
      <c r="F12" s="720" t="s">
        <v>4925</v>
      </c>
      <c r="G12" s="720"/>
      <c r="H12" s="720"/>
      <c r="I12" s="720"/>
      <c r="J12" s="720"/>
      <c r="K12" s="608" t="s">
        <v>1399</v>
      </c>
      <c r="L12" s="706">
        <f t="shared" si="1"/>
        <v>46659262.714344002</v>
      </c>
      <c r="M12" s="706">
        <f t="shared" si="2"/>
        <v>18465236.442324001</v>
      </c>
      <c r="N12" s="706">
        <f>INDEX(finPNLCh3Prod2Slot1MachExp,xxIndexTeam)</f>
        <v>5651282.3275440009</v>
      </c>
      <c r="O12" s="706">
        <f>INDEX(finPNLCh3Prod2Slot2MachExp,xxIndexTeam)</f>
        <v>12813954.114780001</v>
      </c>
      <c r="P12" s="706">
        <f>INDEX(finPNLCh3Prod2Slot3MachExp,xxIndexTeam)</f>
        <v>0</v>
      </c>
      <c r="Q12" s="706">
        <f t="shared" si="3"/>
        <v>15442457.522940002</v>
      </c>
      <c r="R12" s="706">
        <f>INDEX(finPNLCh3Prod3Slot1MachExp,xxIndexTeam)</f>
        <v>15442457.522940002</v>
      </c>
      <c r="S12" s="706">
        <f>INDEX(finPNLCh3Prod3Slot2MachExp,xxIndexTeam)</f>
        <v>0</v>
      </c>
      <c r="T12" s="706">
        <f>INDEX(finPNLCh3Prod3Slot3MachExp,xxIndexTeam)</f>
        <v>0</v>
      </c>
      <c r="U12" s="706">
        <f t="shared" si="4"/>
        <v>12751568.74908</v>
      </c>
      <c r="V12" s="706">
        <f>INDEX(finPNLCh3Prod1Slot1MachExp,xxIndexTeam)</f>
        <v>12751568.74908</v>
      </c>
      <c r="W12" s="706">
        <f>INDEX(finPNLCh3Prod1Slot2MachExp,xxIndexTeam)</f>
        <v>0</v>
      </c>
      <c r="X12" s="706">
        <f>INDEX(finPNLCh3Prod1Slot3MachExp,xxIndexTeam)</f>
        <v>0</v>
      </c>
      <c r="Y12" s="706">
        <f t="shared" si="5"/>
        <v>0</v>
      </c>
      <c r="Z12" s="706">
        <f>INDEX(finPNLCh3Prod4Slot1MachExp,xxIndexTeam)</f>
        <v>0</v>
      </c>
      <c r="AA12" s="706">
        <f>INDEX(finPNLCh3Prod4Slot2MachExp,xxIndexTeam)</f>
        <v>0</v>
      </c>
      <c r="AB12" s="596">
        <f>INDEX(finPNLCh3Prod4Slot3MachExp,xxIndexTeam)</f>
        <v>0</v>
      </c>
      <c r="AC12" s="701"/>
      <c r="AE12" s="554"/>
      <c r="AF12" s="720" t="s">
        <v>3328</v>
      </c>
      <c r="AG12" s="729">
        <f>INDEX(dataCh3Prod2n3MarketVolume,,4+xxRound)</f>
        <v>724345075</v>
      </c>
      <c r="AH12" s="584" t="s">
        <v>4976</v>
      </c>
      <c r="AI12" s="554"/>
      <c r="AJ12" s="720" t="s">
        <v>3328</v>
      </c>
      <c r="AK12" s="585">
        <f>INDEX(dataCh3Prod1MarketVolume,,4+xxRound)</f>
        <v>192547425</v>
      </c>
      <c r="AL12" s="584" t="s">
        <v>4970</v>
      </c>
      <c r="AM12" s="554"/>
      <c r="AN12" s="720" t="s">
        <v>3328</v>
      </c>
      <c r="AO12" s="585">
        <f>VLOOKUP(3,dataCh3Prod4MarketVolume,xxRound+2,FALSE)</f>
        <v>56700000</v>
      </c>
      <c r="AP12" s="584" t="s">
        <v>4991</v>
      </c>
      <c r="AQ12" s="554"/>
      <c r="AR12" s="720" t="s">
        <v>3328</v>
      </c>
      <c r="AS12" s="585">
        <f>tlOutputCh3Prod1MktSize+tlOutputCh3Prod2n3MktSize+tlOutputCh3Prod4MktSize</f>
        <v>973592500</v>
      </c>
      <c r="AT12" s="584" t="s">
        <v>4999</v>
      </c>
    </row>
    <row r="13" spans="2:46" ht="15">
      <c r="D13" s="554"/>
      <c r="E13" s="585">
        <f t="shared" si="0"/>
        <v>2515.1629010729234</v>
      </c>
      <c r="F13" s="720" t="s">
        <v>4926</v>
      </c>
      <c r="G13" s="720"/>
      <c r="H13" s="720"/>
      <c r="I13" s="720"/>
      <c r="J13" s="720"/>
      <c r="K13" s="608" t="s">
        <v>398</v>
      </c>
      <c r="L13" s="706">
        <f t="shared" si="1"/>
        <v>20766197.788163759</v>
      </c>
      <c r="M13" s="706">
        <f t="shared" si="2"/>
        <v>8218148.5488545522</v>
      </c>
      <c r="N13" s="706">
        <f>INDEX(finPNLCh3Prod2Slot1DeprExp,xxIndexTeam)</f>
        <v>2515162.9010729236</v>
      </c>
      <c r="O13" s="706">
        <f>INDEX(finPNLCh3Prod2Slot2DeprExp,xxIndexTeam)</f>
        <v>5702985.6477816291</v>
      </c>
      <c r="P13" s="706">
        <f>INDEX(finPNLCh3Prod2Slot3DeprExp,xxIndexTeam)</f>
        <v>0</v>
      </c>
      <c r="Q13" s="706">
        <f t="shared" si="3"/>
        <v>6872828.8575829891</v>
      </c>
      <c r="R13" s="706">
        <f>INDEX(finPNLCh3Prod3Slot1DeprExp,xxIndexTeam)</f>
        <v>6872828.8575829891</v>
      </c>
      <c r="S13" s="706">
        <f>INDEX(finPNLCh3Prod3Slot2DeprExp,xxIndexTeam)</f>
        <v>0</v>
      </c>
      <c r="T13" s="706">
        <f>INDEX(finPNLCh3Prod3Slot3DeprExp,xxIndexTeam)</f>
        <v>0</v>
      </c>
      <c r="U13" s="706">
        <f t="shared" si="4"/>
        <v>5675220.3817262165</v>
      </c>
      <c r="V13" s="706">
        <f>INDEX(finPNLCh3Prod1Slot1DeprExp,xxIndexTeam)</f>
        <v>5675220.3817262165</v>
      </c>
      <c r="W13" s="706">
        <f>INDEX(finPNLCh3Prod1Slot2DeprExp,xxIndexTeam)</f>
        <v>0</v>
      </c>
      <c r="X13" s="706">
        <f>INDEX(finPNLCh3Prod1Slot3DeprExp,xxIndexTeam)</f>
        <v>0</v>
      </c>
      <c r="Y13" s="706">
        <f t="shared" si="5"/>
        <v>0</v>
      </c>
      <c r="Z13" s="706">
        <f>INDEX(finPNLCh3Prod4Slot1DeprExp,xxIndexTeam)</f>
        <v>0</v>
      </c>
      <c r="AA13" s="706">
        <f>INDEX(finPNLCh3Prod4Slot2DeprExp,xxIndexTeam)</f>
        <v>0</v>
      </c>
      <c r="AB13" s="596">
        <f>INDEX(finPNLCh3Prod4Slot3DeprExp,xxIndexTeam)</f>
        <v>0</v>
      </c>
      <c r="AC13" s="701"/>
      <c r="AE13" s="554"/>
      <c r="AF13" s="720" t="s">
        <v>1392</v>
      </c>
      <c r="AG13" s="585">
        <f>INDEX(calcCh3Prod2VolForecastProd,,xxIndexTeam)</f>
        <v>72434507.5</v>
      </c>
      <c r="AH13" s="584" t="s">
        <v>4977</v>
      </c>
      <c r="AI13" s="554"/>
      <c r="AJ13" s="720" t="s">
        <v>1392</v>
      </c>
      <c r="AK13" s="585">
        <f>INDEX(calcCh3Prod1VolForecastProd,,xxIndexTeam)</f>
        <v>38509485</v>
      </c>
      <c r="AL13" s="584" t="s">
        <v>4971</v>
      </c>
      <c r="AM13" s="554"/>
      <c r="AN13" s="720" t="s">
        <v>1392</v>
      </c>
      <c r="AO13" s="604">
        <f>INDEX(calcCh3Prod4VolForecastProd,,xxIndexTeam)/tlOutputCh3Prod4MktSize</f>
        <v>0</v>
      </c>
      <c r="AP13" s="584" t="s">
        <v>4992</v>
      </c>
      <c r="AQ13" s="554"/>
      <c r="AR13" s="720" t="s">
        <v>1392</v>
      </c>
      <c r="AS13" s="585">
        <f>tlOutputCh3Prod1VolForcast+tlOutputCh3Prod2VolForcast+tlOutputCh3Prod3VolForcast+tlOutputCh3Prod4VolForcast</f>
        <v>183378500</v>
      </c>
      <c r="AT13" s="584" t="s">
        <v>5000</v>
      </c>
    </row>
    <row r="14" spans="2:46" ht="15">
      <c r="D14" s="554"/>
      <c r="E14" s="585">
        <f t="shared" si="0"/>
        <v>61977.514890625425</v>
      </c>
      <c r="F14" s="720" t="s">
        <v>4927</v>
      </c>
      <c r="G14" s="720"/>
      <c r="H14" s="720"/>
      <c r="I14" s="720"/>
      <c r="J14" s="720"/>
      <c r="K14" s="608" t="s">
        <v>157</v>
      </c>
      <c r="L14" s="706">
        <f t="shared" si="1"/>
        <v>411005115.30072886</v>
      </c>
      <c r="M14" s="706">
        <f t="shared" si="2"/>
        <v>156319143.72238085</v>
      </c>
      <c r="N14" s="706">
        <f>INDEX(finPNLCh3Prod2Slot1TotalCOGs,xxIndexTeam)</f>
        <v>61977514.890625425</v>
      </c>
      <c r="O14" s="706">
        <f>INDEX(finPNLCh3Prod2Slot2TotalCOGs,xxIndexTeam)</f>
        <v>94341628.831755415</v>
      </c>
      <c r="P14" s="706">
        <f>INDEX(finPNLCh3Prod2Slot3TotalCOGs,xxIndexTeam)</f>
        <v>0</v>
      </c>
      <c r="Q14" s="706">
        <f t="shared" si="3"/>
        <v>169072749.09509158</v>
      </c>
      <c r="R14" s="706">
        <f>INDEX(finPNLCh3Prod3Slot1TotalCOGs,xxIndexTeam)</f>
        <v>169072749.09509158</v>
      </c>
      <c r="S14" s="706">
        <f>INDEX(finPNLCh3Prod3Slot2TotalCOGs,xxIndexTeam)</f>
        <v>0</v>
      </c>
      <c r="T14" s="706">
        <f>INDEX(finPNLCh3Prod3Slot3TotalCOGs,xxIndexTeam)</f>
        <v>0</v>
      </c>
      <c r="U14" s="706">
        <f t="shared" si="4"/>
        <v>85613222.483256415</v>
      </c>
      <c r="V14" s="706">
        <f>INDEX(finPNLCh3Prod1Slot1TotalCOGs,xxIndexTeam)</f>
        <v>85613222.483256415</v>
      </c>
      <c r="W14" s="706">
        <f>INDEX(finPNLCh3Prod1Slot2TotalCOGs,xxIndexTeam)</f>
        <v>0</v>
      </c>
      <c r="X14" s="706">
        <f>INDEX(finPNLCh3Prod1Slot3TotalCOGs,xxIndexTeam)</f>
        <v>0</v>
      </c>
      <c r="Y14" s="706">
        <f t="shared" si="5"/>
        <v>0</v>
      </c>
      <c r="Z14" s="706">
        <f>INDEX(finPNLCh3Prod4Slot1TotalCOGs,xxIndexTeam)</f>
        <v>0</v>
      </c>
      <c r="AA14" s="706">
        <f>INDEX(finPNLCh3Prod4Slot2TotalCOGs,xxIndexTeam)</f>
        <v>0</v>
      </c>
      <c r="AB14" s="596">
        <f>INDEX(finPNLCh3Prod4Slot3TotalCOGs,xxIndexTeam)</f>
        <v>0</v>
      </c>
      <c r="AC14" s="701"/>
      <c r="AE14" s="554"/>
      <c r="AF14" s="720" t="s">
        <v>1397</v>
      </c>
      <c r="AG14" s="585">
        <f>INDEX(finPNLCh3Prod2Slot1TotalRev,,xxIndexTeam)+INDEX(finPNLCh3Prod2Slot2TotalRev,,xxIndexTeam)+INDEX(finPNLCh3Prod2Slot3TotalRev,,xxIndexTeam)</f>
        <v>372156444.2554304</v>
      </c>
      <c r="AH14" s="584" t="s">
        <v>4978</v>
      </c>
      <c r="AI14" s="554"/>
      <c r="AJ14" s="720" t="s">
        <v>1397</v>
      </c>
      <c r="AK14" s="585">
        <f>INDEX(finPNLCh3Prod1Slot1TotalRev,,xxIndexTeam)+INDEX(finPNLCh3Prod1Slot2TotalRev,,xxIndexTeam)+INDEX(finPNLCh3Prod1Slot3TotalRev,,xxIndexTeam)</f>
        <v>162928795.28907233</v>
      </c>
      <c r="AL14" s="584" t="s">
        <v>4972</v>
      </c>
      <c r="AM14" s="554"/>
      <c r="AN14" s="720" t="s">
        <v>1397</v>
      </c>
      <c r="AO14" s="585">
        <f>INDEX(finPNLCh3Prod4Slot1TotalRev,,xxIndexTeam)+INDEX(finPNLCh3Prod4Slot2TotalRev,,xxIndexTeam)+INDEX(finPNLCh3Prod4Slot3TotalRev,,xxIndexTeam)</f>
        <v>0</v>
      </c>
      <c r="AP14" s="584" t="s">
        <v>4993</v>
      </c>
      <c r="AQ14" s="554"/>
      <c r="AR14" s="720" t="s">
        <v>1397</v>
      </c>
      <c r="AS14" s="585">
        <f>tlOutputCh3Prod1NetSales+tlOutputCh3Prod2NetSales+tlOutputCh3Prod3NetSales+tlOutputCh3Prod4NetSales</f>
        <v>840122179.5182184</v>
      </c>
      <c r="AT14" s="584" t="s">
        <v>5001</v>
      </c>
    </row>
    <row r="15" spans="2:46" ht="15">
      <c r="D15" s="554"/>
      <c r="E15" s="585">
        <f t="shared" si="0"/>
        <v>81514.701135364914</v>
      </c>
      <c r="F15" s="720" t="s">
        <v>4928</v>
      </c>
      <c r="G15" s="720"/>
      <c r="H15" s="720"/>
      <c r="I15" s="720"/>
      <c r="J15" s="720"/>
      <c r="K15" s="608" t="s">
        <v>160</v>
      </c>
      <c r="L15" s="706">
        <f t="shared" si="1"/>
        <v>429117064.21748954</v>
      </c>
      <c r="M15" s="706">
        <f t="shared" si="2"/>
        <v>215837300.53304955</v>
      </c>
      <c r="N15" s="706">
        <f>INDEX(finPNLCh3Prod2Slot1GP,xxIndexTeam)</f>
        <v>81514701.13536492</v>
      </c>
      <c r="O15" s="706">
        <f>INDEX(finPNLCh3Prod2Slot2GP,xxIndexTeam)</f>
        <v>134322599.39768463</v>
      </c>
      <c r="P15" s="706">
        <f>INDEX(finPNLCh3Prod2Slot3GP,xxIndexTeam)</f>
        <v>0</v>
      </c>
      <c r="Q15" s="706">
        <f t="shared" si="3"/>
        <v>135964190.87862408</v>
      </c>
      <c r="R15" s="706">
        <f>INDEX(finPNLCh3Prod3Slot1GP,xxIndexTeam)</f>
        <v>135964190.87862408</v>
      </c>
      <c r="S15" s="706">
        <f>INDEX(finPNLCh3Prod3Slot2GP,xxIndexTeam)</f>
        <v>0</v>
      </c>
      <c r="T15" s="706">
        <f>INDEX(finPNLCh3Prod3Slot3GP,xxIndexTeam)</f>
        <v>0</v>
      </c>
      <c r="U15" s="706">
        <f t="shared" si="4"/>
        <v>77315572.80581592</v>
      </c>
      <c r="V15" s="706">
        <f>INDEX(finPNLCh3Prod1Slot1GP,xxIndexTeam)</f>
        <v>77315572.80581592</v>
      </c>
      <c r="W15" s="706">
        <f>INDEX(finPNLCh3Prod1Slot2GP,xxIndexTeam)</f>
        <v>0</v>
      </c>
      <c r="X15" s="706">
        <f>INDEX(finPNLCh3Prod1Slot3GP,xxIndexTeam)</f>
        <v>0</v>
      </c>
      <c r="Y15" s="706">
        <f t="shared" si="5"/>
        <v>0</v>
      </c>
      <c r="Z15" s="706">
        <f>INDEX(finPNLCh3Prod4Slot1GP,xxIndexTeam)</f>
        <v>0</v>
      </c>
      <c r="AA15" s="706">
        <f>INDEX(finPNLCh3Prod4Slot2GP,xxIndexTeam)</f>
        <v>0</v>
      </c>
      <c r="AB15" s="596">
        <f>INDEX(finPNLCh3Prod4Slot3GP,xxIndexTeam)</f>
        <v>0</v>
      </c>
      <c r="AC15" s="701"/>
      <c r="AE15" s="554"/>
      <c r="AF15" s="720" t="s">
        <v>521</v>
      </c>
      <c r="AG15" s="585">
        <f>INDEX(finPNLCh3Prod2Slot1GPaL,,xxIndexTeam)+INDEX(finPNLCh3Prod2Slot2GPaL,,xxIndexTeam)+INDEX(finPNLCh3Prod2Slot3GPaL,,xxIndexTeam)</f>
        <v>196634073.87944955</v>
      </c>
      <c r="AH15" s="584" t="s">
        <v>4979</v>
      </c>
      <c r="AI15" s="554"/>
      <c r="AJ15" s="720" t="s">
        <v>521</v>
      </c>
      <c r="AK15" s="585">
        <f>INDEX(finPNLCh3Prod1Slot1GPaL,,xxIndexTeam)+INDEX(finPNLCh3Prod1Slot2GPaL,,xxIndexTeam)+INDEX(finPNLCh3Prod1Slot3GPaL,,xxIndexTeam)</f>
        <v>67363100.429815918</v>
      </c>
      <c r="AL15" s="584" t="s">
        <v>4973</v>
      </c>
      <c r="AM15" s="554"/>
      <c r="AN15" s="720" t="s">
        <v>521</v>
      </c>
      <c r="AO15" s="585">
        <f>INDEX(finPNLCh3Prod4Slot1GPaL,,xxIndexTeam)+INDEX(finPNLCh3Prod4Slot2GPaL,,xxIndexTeam)+INDEX(finPNLCh3Prod4Slot3GPaL,,xxIndexTeam)</f>
        <v>0</v>
      </c>
      <c r="AP15" s="584" t="s">
        <v>4994</v>
      </c>
      <c r="AQ15" s="554"/>
      <c r="AR15" s="720" t="s">
        <v>521</v>
      </c>
      <c r="AS15" s="585">
        <f>tlOutputCh3Prod1GPaL+tlOutputCh3Prod2GPaL+tlOutputCh3Prod3GPaL+tlOutputCh3Prod4GPaL</f>
        <v>378221863.31588954</v>
      </c>
      <c r="AT15" s="584" t="s">
        <v>5002</v>
      </c>
    </row>
    <row r="16" spans="2:46" ht="15">
      <c r="D16" s="554"/>
      <c r="E16" s="585">
        <f t="shared" si="0"/>
        <v>7971.1506864000012</v>
      </c>
      <c r="F16" s="720" t="s">
        <v>4929</v>
      </c>
      <c r="G16" s="720"/>
      <c r="H16" s="720"/>
      <c r="I16" s="720"/>
      <c r="J16" s="720"/>
      <c r="K16" s="608" t="s">
        <v>519</v>
      </c>
      <c r="L16" s="706">
        <f t="shared" si="1"/>
        <v>50895200.901600003</v>
      </c>
      <c r="M16" s="706">
        <f t="shared" si="2"/>
        <v>19203226.653600004</v>
      </c>
      <c r="N16" s="706">
        <f>INDEX(finPNLCh3Prod2Slot1LogExp,xxIndexTeam)</f>
        <v>7971150.6864000009</v>
      </c>
      <c r="O16" s="706">
        <f>INDEX(finPNLCh3Prod2Slot2LogExp,xxIndexTeam)</f>
        <v>11232075.967200002</v>
      </c>
      <c r="P16" s="706">
        <f>INDEX(finPNLCh3Prod2Slot3LogExp,xxIndexTeam)</f>
        <v>0</v>
      </c>
      <c r="Q16" s="706">
        <f t="shared" si="3"/>
        <v>21739501.872000001</v>
      </c>
      <c r="R16" s="706">
        <f>INDEX(finPNLCh3Prod3Slot1LogExp,xxIndexTeam)</f>
        <v>21739501.872000001</v>
      </c>
      <c r="S16" s="706">
        <f>INDEX(finPNLCh3Prod3Slot2LogExp,xxIndexTeam)</f>
        <v>0</v>
      </c>
      <c r="T16" s="706">
        <f>INDEX(finPNLCh3Prod3Slot3LogExp,xxIndexTeam)</f>
        <v>0</v>
      </c>
      <c r="U16" s="706">
        <f t="shared" si="4"/>
        <v>9952472.3760000002</v>
      </c>
      <c r="V16" s="706">
        <f>INDEX(finPNLCh3Prod1Slot1LogExp,xxIndexTeam)</f>
        <v>9952472.3760000002</v>
      </c>
      <c r="W16" s="706">
        <f>INDEX(finPNLCh3Prod1Slot2LogExp,xxIndexTeam)</f>
        <v>0</v>
      </c>
      <c r="X16" s="706">
        <f>INDEX(finPNLCh3Prod1Slot3LogExp,xxIndexTeam)</f>
        <v>0</v>
      </c>
      <c r="Y16" s="706">
        <f t="shared" si="5"/>
        <v>0</v>
      </c>
      <c r="Z16" s="706">
        <f>INDEX(finPNLCh3Prod4Slot1LogExp,xxIndexTeam)</f>
        <v>0</v>
      </c>
      <c r="AA16" s="706">
        <f>INDEX(finPNLCh3Prod4Slot2LogExp,xxIndexTeam)</f>
        <v>0</v>
      </c>
      <c r="AB16" s="596">
        <f>INDEX(finPNLCh3Prod4Slot3LogExp,xxIndexTeam)</f>
        <v>0</v>
      </c>
      <c r="AC16" s="701"/>
      <c r="AE16" s="554"/>
      <c r="AF16" s="720" t="s">
        <v>517</v>
      </c>
      <c r="AG16" s="730">
        <f>INDEX(calcCh3Prod2CustProfitTot,,xxIndexTeam)</f>
        <v>189197484.89985004</v>
      </c>
      <c r="AH16" s="584" t="s">
        <v>4980</v>
      </c>
      <c r="AI16" s="554"/>
      <c r="AJ16" s="720" t="s">
        <v>517</v>
      </c>
      <c r="AK16" s="730">
        <f>INDEX(calcCh3Prod1CustProfitTot,,xxIndexTeam)</f>
        <v>77375182.736250043</v>
      </c>
      <c r="AL16" s="584" t="s">
        <v>4974</v>
      </c>
      <c r="AM16" s="554"/>
      <c r="AN16" s="720" t="s">
        <v>517</v>
      </c>
      <c r="AO16" s="730">
        <f>INDEX(calcCh3Prod4CustProfitTot,,xxIndexTeam)</f>
        <v>0</v>
      </c>
      <c r="AP16" s="584" t="s">
        <v>4995</v>
      </c>
      <c r="AQ16" s="554"/>
      <c r="AR16" s="720" t="s">
        <v>517</v>
      </c>
      <c r="AS16" s="585">
        <f>tlOutputCh3Prod1CustProfit+tlOutputCh3Prod2CustProfit+tlOutputCh3Prod3CustProfit+tlOutputCh3Prod4CustProfit</f>
        <v>427256018.9205451</v>
      </c>
      <c r="AT16" s="584" t="s">
        <v>5003</v>
      </c>
    </row>
    <row r="17" spans="4:46" ht="15">
      <c r="D17" s="554"/>
      <c r="E17" s="585">
        <f t="shared" si="0"/>
        <v>73543.550448964917</v>
      </c>
      <c r="F17" s="720" t="s">
        <v>4930</v>
      </c>
      <c r="G17" s="720"/>
      <c r="H17" s="720"/>
      <c r="I17" s="720"/>
      <c r="J17" s="720"/>
      <c r="K17" s="608" t="s">
        <v>521</v>
      </c>
      <c r="L17" s="706">
        <f t="shared" si="1"/>
        <v>378221863.31588954</v>
      </c>
      <c r="M17" s="706">
        <f t="shared" si="2"/>
        <v>196634073.87944955</v>
      </c>
      <c r="N17" s="706">
        <f>INDEX(finPNLCh3Prod2Slot1GPaL,xxIndexTeam)</f>
        <v>73543550.448964924</v>
      </c>
      <c r="O17" s="706">
        <f>INDEX(finPNLCh3Prod2Slot2GPaL,xxIndexTeam)</f>
        <v>123090523.43048464</v>
      </c>
      <c r="P17" s="706">
        <f>INDEX(finPNLCh3Prod2Slot3GPaL,xxIndexTeam)</f>
        <v>0</v>
      </c>
      <c r="Q17" s="706">
        <f t="shared" si="3"/>
        <v>114224689.00662407</v>
      </c>
      <c r="R17" s="706">
        <f>INDEX(finPNLCh3Prod3Slot1GPaL,xxIndexTeam)</f>
        <v>114224689.00662407</v>
      </c>
      <c r="S17" s="706">
        <f>INDEX(finPNLCh3Prod3Slot2GPaL,xxIndexTeam)</f>
        <v>0</v>
      </c>
      <c r="T17" s="706">
        <f>INDEX(finPNLCh3Prod3Slot3GPaL,xxIndexTeam)</f>
        <v>0</v>
      </c>
      <c r="U17" s="706">
        <f t="shared" si="4"/>
        <v>67363100.429815918</v>
      </c>
      <c r="V17" s="706">
        <f>INDEX(finPNLCh3Prod1Slot1GPaL,xxIndexTeam)</f>
        <v>67363100.429815918</v>
      </c>
      <c r="W17" s="706">
        <f>INDEX(finPNLCh3Prod1Slot2GPaL,xxIndexTeam)</f>
        <v>0</v>
      </c>
      <c r="X17" s="706">
        <f>INDEX(finPNLCh3Prod1Slot3GPaL,xxIndexTeam)</f>
        <v>0</v>
      </c>
      <c r="Y17" s="706">
        <f t="shared" si="5"/>
        <v>0</v>
      </c>
      <c r="Z17" s="706">
        <f>INDEX(finPNLCh3Prod4Slot1GPaL,xxIndexTeam)</f>
        <v>0</v>
      </c>
      <c r="AA17" s="706">
        <f>INDEX(finPNLCh3Prod4Slot2GPaL,xxIndexTeam)</f>
        <v>0</v>
      </c>
      <c r="AB17" s="596">
        <f>INDEX(finPNLCh3Prod4Slot3GPaL,xxIndexTeam)</f>
        <v>0</v>
      </c>
      <c r="AC17" s="701"/>
      <c r="AE17" s="731" t="str">
        <f>"Column 2 ("&amp;nmProd3&amp;")"</f>
        <v>Column 2 (Kara)</v>
      </c>
      <c r="AF17" s="720"/>
      <c r="AG17" s="720"/>
      <c r="AH17" s="584"/>
      <c r="AI17" s="554"/>
      <c r="AJ17" s="720"/>
      <c r="AK17" s="720"/>
      <c r="AL17" s="584"/>
      <c r="AM17" s="554"/>
      <c r="AN17" s="720"/>
      <c r="AO17" s="720"/>
      <c r="AP17" s="584"/>
      <c r="AQ17" s="554"/>
      <c r="AR17" s="720"/>
      <c r="AS17" s="720"/>
      <c r="AT17" s="584"/>
    </row>
    <row r="18" spans="4:46" ht="15">
      <c r="D18" s="554"/>
      <c r="E18" s="604" t="str">
        <f t="shared" ref="E18:E56" si="6">INDEX(L18:AB18,,calcCh3VtCode)</f>
        <v/>
      </c>
      <c r="F18" s="720" t="s">
        <v>4931</v>
      </c>
      <c r="G18" s="720"/>
      <c r="H18" s="720"/>
      <c r="I18" s="720"/>
      <c r="J18" s="551" t="s">
        <v>3762</v>
      </c>
      <c r="K18" s="608" t="s">
        <v>1394</v>
      </c>
      <c r="L18" s="703" t="str">
        <f>""</f>
        <v/>
      </c>
      <c r="M18" s="703" t="str">
        <f>""</f>
        <v/>
      </c>
      <c r="N18" s="703" t="str">
        <f>""</f>
        <v/>
      </c>
      <c r="O18" s="703" t="str">
        <f>""</f>
        <v/>
      </c>
      <c r="P18" s="703" t="str">
        <f>""</f>
        <v/>
      </c>
      <c r="Q18" s="703" t="str">
        <f>""</f>
        <v/>
      </c>
      <c r="R18" s="703" t="str">
        <f>""</f>
        <v/>
      </c>
      <c r="S18" s="703" t="str">
        <f>""</f>
        <v/>
      </c>
      <c r="T18" s="703" t="str">
        <f>""</f>
        <v/>
      </c>
      <c r="U18" s="703" t="str">
        <f>""</f>
        <v/>
      </c>
      <c r="V18" s="703" t="str">
        <f>""</f>
        <v/>
      </c>
      <c r="W18" s="703" t="str">
        <f>""</f>
        <v/>
      </c>
      <c r="X18" s="703" t="str">
        <f>""</f>
        <v/>
      </c>
      <c r="Y18" s="703" t="str">
        <f>""</f>
        <v/>
      </c>
      <c r="Z18" s="703" t="str">
        <f>""</f>
        <v/>
      </c>
      <c r="AA18" s="703" t="str">
        <f>""</f>
        <v/>
      </c>
      <c r="AB18" s="550" t="str">
        <f>""</f>
        <v/>
      </c>
      <c r="AC18" s="701"/>
      <c r="AE18" s="554"/>
      <c r="AF18" s="720" t="s">
        <v>1392</v>
      </c>
      <c r="AG18" s="585">
        <f>INDEX(calcCh3Prod3VolForecastProd,,xxIndexTeam)</f>
        <v>72434507.5</v>
      </c>
      <c r="AH18" s="584" t="s">
        <v>4986</v>
      </c>
      <c r="AI18" s="554"/>
      <c r="AJ18" s="720"/>
      <c r="AK18" s="720"/>
      <c r="AL18" s="584"/>
      <c r="AM18" s="554"/>
      <c r="AN18" s="720"/>
      <c r="AO18" s="720"/>
      <c r="AP18" s="584"/>
      <c r="AQ18" s="554"/>
      <c r="AR18" s="720"/>
      <c r="AS18" s="720"/>
      <c r="AT18" s="584"/>
    </row>
    <row r="19" spans="4:46" ht="15">
      <c r="D19" s="554"/>
      <c r="E19" s="604" t="str">
        <f t="shared" si="6"/>
        <v/>
      </c>
      <c r="F19" s="720" t="s">
        <v>4932</v>
      </c>
      <c r="G19" s="720"/>
      <c r="H19" s="720"/>
      <c r="I19" s="720"/>
      <c r="J19" s="551" t="s">
        <v>3763</v>
      </c>
      <c r="K19" s="608" t="s">
        <v>1395</v>
      </c>
      <c r="L19" s="703" t="str">
        <f>""</f>
        <v/>
      </c>
      <c r="M19" s="703" t="str">
        <f>""</f>
        <v/>
      </c>
      <c r="N19" s="703" t="str">
        <f>""</f>
        <v/>
      </c>
      <c r="O19" s="703" t="str">
        <f>""</f>
        <v/>
      </c>
      <c r="P19" s="703" t="str">
        <f>""</f>
        <v/>
      </c>
      <c r="Q19" s="703" t="str">
        <f>""</f>
        <v/>
      </c>
      <c r="R19" s="703" t="str">
        <f>""</f>
        <v/>
      </c>
      <c r="S19" s="703" t="str">
        <f>""</f>
        <v/>
      </c>
      <c r="T19" s="703" t="str">
        <f>""</f>
        <v/>
      </c>
      <c r="U19" s="703" t="str">
        <f>""</f>
        <v/>
      </c>
      <c r="V19" s="703" t="str">
        <f>""</f>
        <v/>
      </c>
      <c r="W19" s="703" t="str">
        <f>""</f>
        <v/>
      </c>
      <c r="X19" s="703" t="str">
        <f>""</f>
        <v/>
      </c>
      <c r="Y19" s="703" t="str">
        <f>""</f>
        <v/>
      </c>
      <c r="Z19" s="703" t="str">
        <f>""</f>
        <v/>
      </c>
      <c r="AA19" s="703" t="str">
        <f>""</f>
        <v/>
      </c>
      <c r="AB19" s="550" t="str">
        <f>""</f>
        <v/>
      </c>
      <c r="AC19" s="701"/>
      <c r="AE19" s="554"/>
      <c r="AF19" s="720" t="s">
        <v>1397</v>
      </c>
      <c r="AG19" s="585">
        <f>INDEX(finPNLCh3Prod3Slot1TotalRev,,xxIndexTeam)+INDEX(finPNLCh3Prod3Slot2TotalRev,,xxIndexTeam)+INDEX(finPNLCh3Prod3Slot3TotalRev,,xxIndexTeam)</f>
        <v>305036939.97371566</v>
      </c>
      <c r="AH19" s="584" t="s">
        <v>4987</v>
      </c>
      <c r="AI19" s="554"/>
      <c r="AJ19" s="720"/>
      <c r="AK19" s="720"/>
      <c r="AL19" s="584"/>
      <c r="AM19" s="554"/>
      <c r="AN19" s="720"/>
      <c r="AO19" s="720"/>
      <c r="AP19" s="584"/>
      <c r="AQ19" s="554"/>
      <c r="AR19" s="720"/>
      <c r="AS19" s="720"/>
      <c r="AT19" s="584"/>
    </row>
    <row r="20" spans="4:46" ht="15">
      <c r="D20" s="554"/>
      <c r="E20" s="604" t="str">
        <f t="shared" si="6"/>
        <v/>
      </c>
      <c r="F20" s="720" t="s">
        <v>4933</v>
      </c>
      <c r="G20" s="720"/>
      <c r="H20" s="720"/>
      <c r="I20" s="720"/>
      <c r="J20" s="720"/>
      <c r="K20" s="608" t="s">
        <v>694</v>
      </c>
      <c r="L20" s="703" t="str">
        <f>""</f>
        <v/>
      </c>
      <c r="M20" s="703" t="str">
        <f>""</f>
        <v/>
      </c>
      <c r="N20" s="703" t="str">
        <f>""</f>
        <v/>
      </c>
      <c r="O20" s="703" t="str">
        <f>""</f>
        <v/>
      </c>
      <c r="P20" s="703" t="str">
        <f>""</f>
        <v/>
      </c>
      <c r="Q20" s="703" t="str">
        <f>""</f>
        <v/>
      </c>
      <c r="R20" s="703" t="str">
        <f>""</f>
        <v/>
      </c>
      <c r="S20" s="703" t="str">
        <f>""</f>
        <v/>
      </c>
      <c r="T20" s="703" t="str">
        <f>""</f>
        <v/>
      </c>
      <c r="U20" s="703" t="str">
        <f>""</f>
        <v/>
      </c>
      <c r="V20" s="703" t="str">
        <f>""</f>
        <v/>
      </c>
      <c r="W20" s="703" t="str">
        <f>""</f>
        <v/>
      </c>
      <c r="X20" s="703" t="str">
        <f>""</f>
        <v/>
      </c>
      <c r="Y20" s="703" t="str">
        <f>""</f>
        <v/>
      </c>
      <c r="Z20" s="703" t="str">
        <f>""</f>
        <v/>
      </c>
      <c r="AA20" s="703" t="str">
        <f>""</f>
        <v/>
      </c>
      <c r="AB20" s="550" t="str">
        <f>""</f>
        <v/>
      </c>
      <c r="AC20" s="701"/>
      <c r="AE20" s="554"/>
      <c r="AF20" s="720" t="s">
        <v>521</v>
      </c>
      <c r="AG20" s="585">
        <f>INDEX(finPNLCh3Prod3Slot1GPaL,,xxIndexTeam)+INDEX(finPNLCh3Prod3Slot2GPaL,,xxIndexTeam)+INDEX(finPNLCh3Prod3Slot3GPaL,,xxIndexTeam)</f>
        <v>114224689.00662407</v>
      </c>
      <c r="AH20" s="584" t="s">
        <v>4988</v>
      </c>
      <c r="AI20" s="554"/>
      <c r="AJ20" s="720"/>
      <c r="AK20" s="720"/>
      <c r="AL20" s="584"/>
      <c r="AM20" s="554"/>
      <c r="AN20" s="720"/>
      <c r="AO20" s="720"/>
      <c r="AP20" s="584"/>
      <c r="AQ20" s="554"/>
      <c r="AR20" s="720"/>
      <c r="AS20" s="720"/>
      <c r="AT20" s="584"/>
    </row>
    <row r="21" spans="4:46" ht="15.75" thickBot="1">
      <c r="D21" s="554"/>
      <c r="E21" s="604" t="str">
        <f t="shared" si="6"/>
        <v/>
      </c>
      <c r="F21" s="720" t="s">
        <v>4934</v>
      </c>
      <c r="G21" s="720"/>
      <c r="H21" s="720"/>
      <c r="I21" s="720"/>
      <c r="J21" s="720"/>
      <c r="K21" s="608" t="s">
        <v>1396</v>
      </c>
      <c r="L21" s="703" t="str">
        <f>""</f>
        <v/>
      </c>
      <c r="M21" s="703" t="str">
        <f>""</f>
        <v/>
      </c>
      <c r="N21" s="703" t="str">
        <f>""</f>
        <v/>
      </c>
      <c r="O21" s="703" t="str">
        <f>""</f>
        <v/>
      </c>
      <c r="P21" s="703" t="str">
        <f>""</f>
        <v/>
      </c>
      <c r="Q21" s="703" t="str">
        <f>""</f>
        <v/>
      </c>
      <c r="R21" s="703" t="str">
        <f>""</f>
        <v/>
      </c>
      <c r="S21" s="703" t="str">
        <f>""</f>
        <v/>
      </c>
      <c r="T21" s="703" t="str">
        <f>""</f>
        <v/>
      </c>
      <c r="U21" s="703" t="str">
        <f>""</f>
        <v/>
      </c>
      <c r="V21" s="703" t="str">
        <f>""</f>
        <v/>
      </c>
      <c r="W21" s="703" t="str">
        <f>""</f>
        <v/>
      </c>
      <c r="X21" s="703" t="str">
        <f>""</f>
        <v/>
      </c>
      <c r="Y21" s="703" t="str">
        <f>""</f>
        <v/>
      </c>
      <c r="Z21" s="703" t="str">
        <f>""</f>
        <v/>
      </c>
      <c r="AA21" s="703" t="str">
        <f>""</f>
        <v/>
      </c>
      <c r="AB21" s="550" t="str">
        <f>""</f>
        <v/>
      </c>
      <c r="AC21" s="701"/>
      <c r="AE21" s="546"/>
      <c r="AF21" s="544" t="s">
        <v>517</v>
      </c>
      <c r="AG21" s="732">
        <f>INDEX(calcCh3Prod3CustProfitTot,,xxIndexTeam)</f>
        <v>160683351.28444505</v>
      </c>
      <c r="AH21" s="733" t="s">
        <v>4989</v>
      </c>
      <c r="AI21" s="546"/>
      <c r="AJ21" s="544"/>
      <c r="AK21" s="544"/>
      <c r="AL21" s="733"/>
      <c r="AM21" s="546"/>
      <c r="AN21" s="544"/>
      <c r="AO21" s="544"/>
      <c r="AP21" s="733"/>
      <c r="AQ21" s="546"/>
      <c r="AR21" s="544"/>
      <c r="AS21" s="544"/>
      <c r="AT21" s="733"/>
    </row>
    <row r="22" spans="4:46" ht="15">
      <c r="D22" s="554"/>
      <c r="E22" s="604">
        <f t="shared" si="6"/>
        <v>1</v>
      </c>
      <c r="F22" s="720" t="s">
        <v>4935</v>
      </c>
      <c r="G22" s="720"/>
      <c r="H22" s="720"/>
      <c r="I22" s="720"/>
      <c r="J22" s="720"/>
      <c r="K22" s="608" t="s">
        <v>1397</v>
      </c>
      <c r="L22" s="705">
        <f t="shared" ref="L22:AB30" si="7">IF(L$9=0,0%,L9/L$9)</f>
        <v>1</v>
      </c>
      <c r="M22" s="705">
        <f t="shared" si="7"/>
        <v>1</v>
      </c>
      <c r="N22" s="705">
        <f t="shared" si="7"/>
        <v>1</v>
      </c>
      <c r="O22" s="705">
        <f t="shared" si="7"/>
        <v>1</v>
      </c>
      <c r="P22" s="705">
        <f t="shared" si="7"/>
        <v>0</v>
      </c>
      <c r="Q22" s="705">
        <f t="shared" si="7"/>
        <v>1</v>
      </c>
      <c r="R22" s="705">
        <f t="shared" si="7"/>
        <v>1</v>
      </c>
      <c r="S22" s="705">
        <f t="shared" si="7"/>
        <v>0</v>
      </c>
      <c r="T22" s="705">
        <f t="shared" si="7"/>
        <v>0</v>
      </c>
      <c r="U22" s="705">
        <f t="shared" si="7"/>
        <v>1</v>
      </c>
      <c r="V22" s="705">
        <f t="shared" si="7"/>
        <v>1</v>
      </c>
      <c r="W22" s="705">
        <f t="shared" si="7"/>
        <v>0</v>
      </c>
      <c r="X22" s="705">
        <f t="shared" si="7"/>
        <v>0</v>
      </c>
      <c r="Y22" s="705">
        <f t="shared" si="7"/>
        <v>0</v>
      </c>
      <c r="Z22" s="705">
        <f t="shared" si="7"/>
        <v>0</v>
      </c>
      <c r="AA22" s="705">
        <f t="shared" si="7"/>
        <v>0</v>
      </c>
      <c r="AB22" s="549">
        <f t="shared" si="7"/>
        <v>0</v>
      </c>
      <c r="AC22" s="701"/>
    </row>
    <row r="23" spans="4:46" ht="15.75" thickBot="1">
      <c r="D23" s="554"/>
      <c r="E23" s="604">
        <f t="shared" si="6"/>
        <v>0.32693212131199179</v>
      </c>
      <c r="F23" s="720" t="s">
        <v>4936</v>
      </c>
      <c r="G23" s="720"/>
      <c r="H23" s="720"/>
      <c r="I23" s="720"/>
      <c r="J23" s="720"/>
      <c r="K23" s="608" t="s">
        <v>1398</v>
      </c>
      <c r="L23" s="705">
        <f t="shared" si="7"/>
        <v>0.35653264299951265</v>
      </c>
      <c r="M23" s="705">
        <f t="shared" si="7"/>
        <v>0.30367817461607838</v>
      </c>
      <c r="N23" s="705">
        <f t="shared" si="7"/>
        <v>0.32693212131199179</v>
      </c>
      <c r="O23" s="705">
        <f t="shared" si="7"/>
        <v>0.28908577260994212</v>
      </c>
      <c r="P23" s="705">
        <f t="shared" si="7"/>
        <v>0</v>
      </c>
      <c r="Q23" s="705">
        <f t="shared" si="7"/>
        <v>0.4194324903836647</v>
      </c>
      <c r="R23" s="705">
        <f t="shared" si="7"/>
        <v>0.4194324903836647</v>
      </c>
      <c r="S23" s="705">
        <f t="shared" si="7"/>
        <v>0</v>
      </c>
      <c r="T23" s="705">
        <f t="shared" si="7"/>
        <v>0</v>
      </c>
      <c r="U23" s="705">
        <f t="shared" si="7"/>
        <v>0.35949930119432061</v>
      </c>
      <c r="V23" s="705">
        <f t="shared" si="7"/>
        <v>0.35949930119432061</v>
      </c>
      <c r="W23" s="705">
        <f t="shared" si="7"/>
        <v>0</v>
      </c>
      <c r="X23" s="705">
        <f t="shared" si="7"/>
        <v>0</v>
      </c>
      <c r="Y23" s="705">
        <f t="shared" si="7"/>
        <v>0</v>
      </c>
      <c r="Z23" s="705">
        <f t="shared" si="7"/>
        <v>0</v>
      </c>
      <c r="AA23" s="705">
        <f t="shared" si="7"/>
        <v>0</v>
      </c>
      <c r="AB23" s="549">
        <f t="shared" si="7"/>
        <v>0</v>
      </c>
      <c r="AC23" s="701"/>
      <c r="AD23" s="628" t="s">
        <v>6819</v>
      </c>
      <c r="AE23" s="612" t="s">
        <v>1303</v>
      </c>
    </row>
    <row r="24" spans="4:46" ht="15">
      <c r="D24" s="554"/>
      <c r="E24" s="604">
        <f t="shared" si="6"/>
        <v>4.8078253134116442E-2</v>
      </c>
      <c r="F24" s="720" t="s">
        <v>4937</v>
      </c>
      <c r="G24" s="720"/>
      <c r="H24" s="720"/>
      <c r="I24" s="720"/>
      <c r="J24" s="720"/>
      <c r="K24" s="608" t="s">
        <v>575</v>
      </c>
      <c r="L24" s="705">
        <f t="shared" si="7"/>
        <v>5.2431271029340087E-2</v>
      </c>
      <c r="M24" s="705">
        <f t="shared" si="7"/>
        <v>4.4658555090599752E-2</v>
      </c>
      <c r="N24" s="705">
        <f t="shared" si="7"/>
        <v>4.8078253134116442E-2</v>
      </c>
      <c r="O24" s="705">
        <f t="shared" si="7"/>
        <v>4.251261361910913E-2</v>
      </c>
      <c r="P24" s="705">
        <f t="shared" si="7"/>
        <v>0</v>
      </c>
      <c r="Q24" s="705">
        <f t="shared" si="7"/>
        <v>6.1681248585833043E-2</v>
      </c>
      <c r="R24" s="705">
        <f t="shared" si="7"/>
        <v>6.1681248585833043E-2</v>
      </c>
      <c r="S24" s="705">
        <f t="shared" si="7"/>
        <v>0</v>
      </c>
      <c r="T24" s="705">
        <f t="shared" si="7"/>
        <v>0</v>
      </c>
      <c r="U24" s="705">
        <f t="shared" si="7"/>
        <v>5.2867544293282435E-2</v>
      </c>
      <c r="V24" s="705">
        <f t="shared" si="7"/>
        <v>5.2867544293282435E-2</v>
      </c>
      <c r="W24" s="705">
        <f t="shared" si="7"/>
        <v>0</v>
      </c>
      <c r="X24" s="705">
        <f t="shared" si="7"/>
        <v>0</v>
      </c>
      <c r="Y24" s="705">
        <f t="shared" si="7"/>
        <v>0</v>
      </c>
      <c r="Z24" s="705">
        <f t="shared" si="7"/>
        <v>0</v>
      </c>
      <c r="AA24" s="705">
        <f t="shared" si="7"/>
        <v>0</v>
      </c>
      <c r="AB24" s="549">
        <f t="shared" si="7"/>
        <v>0</v>
      </c>
      <c r="AC24" s="701"/>
      <c r="AE24" s="555"/>
      <c r="AF24" s="600" t="s">
        <v>1293</v>
      </c>
      <c r="AG24" s="734">
        <f>INDEX(calcCh3ValDriv1Emp1Req,xxIndexTeam)</f>
        <v>1</v>
      </c>
      <c r="AH24" s="561" t="s">
        <v>6820</v>
      </c>
    </row>
    <row r="25" spans="4:46" ht="15">
      <c r="D25" s="554"/>
      <c r="E25" s="604">
        <f t="shared" si="6"/>
        <v>3.9383894709106734E-2</v>
      </c>
      <c r="F25" s="720" t="s">
        <v>4938</v>
      </c>
      <c r="G25" s="720"/>
      <c r="H25" s="720"/>
      <c r="I25" s="720"/>
      <c r="J25" s="720"/>
      <c r="K25" s="608" t="s">
        <v>1399</v>
      </c>
      <c r="L25" s="705">
        <f t="shared" si="7"/>
        <v>5.5538663127667344E-2</v>
      </c>
      <c r="M25" s="705">
        <f t="shared" si="7"/>
        <v>4.9616866044781813E-2</v>
      </c>
      <c r="N25" s="705">
        <f t="shared" si="7"/>
        <v>3.9383894709106734E-2</v>
      </c>
      <c r="O25" s="705">
        <f t="shared" si="7"/>
        <v>5.6038297787105423E-2</v>
      </c>
      <c r="P25" s="705">
        <f t="shared" si="7"/>
        <v>0</v>
      </c>
      <c r="Q25" s="705">
        <f t="shared" si="7"/>
        <v>5.0624876856785427E-2</v>
      </c>
      <c r="R25" s="705">
        <f t="shared" si="7"/>
        <v>5.0624876856785427E-2</v>
      </c>
      <c r="S25" s="705">
        <f t="shared" si="7"/>
        <v>0</v>
      </c>
      <c r="T25" s="705">
        <f t="shared" si="7"/>
        <v>0</v>
      </c>
      <c r="U25" s="705">
        <f t="shared" si="7"/>
        <v>7.8264672162191157E-2</v>
      </c>
      <c r="V25" s="705">
        <f t="shared" si="7"/>
        <v>7.8264672162191157E-2</v>
      </c>
      <c r="W25" s="705">
        <f t="shared" si="7"/>
        <v>0</v>
      </c>
      <c r="X25" s="705">
        <f t="shared" si="7"/>
        <v>0</v>
      </c>
      <c r="Y25" s="705">
        <f t="shared" si="7"/>
        <v>0</v>
      </c>
      <c r="Z25" s="705">
        <f t="shared" si="7"/>
        <v>0</v>
      </c>
      <c r="AA25" s="705">
        <f t="shared" si="7"/>
        <v>0</v>
      </c>
      <c r="AB25" s="549">
        <f t="shared" si="7"/>
        <v>0</v>
      </c>
      <c r="AC25" s="701"/>
      <c r="AE25" s="554"/>
      <c r="AF25" s="720"/>
      <c r="AG25" s="585">
        <f>INDEX(calcCh3ValDriv1Exp,xxIndexTeam)</f>
        <v>300000</v>
      </c>
      <c r="AH25" s="584" t="s">
        <v>4975</v>
      </c>
    </row>
    <row r="26" spans="4:46" ht="15">
      <c r="D26" s="554"/>
      <c r="E26" s="604">
        <f t="shared" si="6"/>
        <v>1.7528218399089742E-2</v>
      </c>
      <c r="F26" s="720" t="s">
        <v>4939</v>
      </c>
      <c r="G26" s="720"/>
      <c r="H26" s="720"/>
      <c r="I26" s="720"/>
      <c r="J26" s="720"/>
      <c r="K26" s="608" t="s">
        <v>398</v>
      </c>
      <c r="L26" s="705">
        <f t="shared" si="7"/>
        <v>2.4718068745753708E-2</v>
      </c>
      <c r="M26" s="705">
        <f t="shared" si="7"/>
        <v>2.2082510395047755E-2</v>
      </c>
      <c r="N26" s="705">
        <f t="shared" si="7"/>
        <v>1.7528218399089742E-2</v>
      </c>
      <c r="O26" s="705">
        <f t="shared" si="7"/>
        <v>2.4940436429170258E-2</v>
      </c>
      <c r="P26" s="705">
        <f t="shared" si="7"/>
        <v>0</v>
      </c>
      <c r="Q26" s="705">
        <f t="shared" si="7"/>
        <v>2.2531136255743992E-2</v>
      </c>
      <c r="R26" s="705">
        <f t="shared" si="7"/>
        <v>2.2531136255743992E-2</v>
      </c>
      <c r="S26" s="705">
        <f t="shared" si="7"/>
        <v>0</v>
      </c>
      <c r="T26" s="705">
        <f t="shared" si="7"/>
        <v>0</v>
      </c>
      <c r="U26" s="705">
        <f t="shared" si="7"/>
        <v>3.4832519148362322E-2</v>
      </c>
      <c r="V26" s="705">
        <f t="shared" si="7"/>
        <v>3.4832519148362322E-2</v>
      </c>
      <c r="W26" s="705">
        <f t="shared" si="7"/>
        <v>0</v>
      </c>
      <c r="X26" s="705">
        <f t="shared" si="7"/>
        <v>0</v>
      </c>
      <c r="Y26" s="705">
        <f t="shared" si="7"/>
        <v>0</v>
      </c>
      <c r="Z26" s="705">
        <f t="shared" si="7"/>
        <v>0</v>
      </c>
      <c r="AA26" s="705">
        <f t="shared" si="7"/>
        <v>0</v>
      </c>
      <c r="AB26" s="549">
        <f t="shared" si="7"/>
        <v>0</v>
      </c>
      <c r="AC26" s="701"/>
      <c r="AE26" s="554"/>
      <c r="AF26" s="720" t="s">
        <v>1411</v>
      </c>
      <c r="AG26" s="553">
        <f>INDEX(calcCh3ValDriv2Emp1Req,xxIndexTeam)</f>
        <v>1</v>
      </c>
      <c r="AH26" s="584" t="s">
        <v>6821</v>
      </c>
    </row>
    <row r="27" spans="4:46" ht="15">
      <c r="D27" s="554"/>
      <c r="E27" s="604">
        <f t="shared" si="6"/>
        <v>0.43192248755430479</v>
      </c>
      <c r="F27" s="720" t="s">
        <v>4940</v>
      </c>
      <c r="G27" s="720"/>
      <c r="H27" s="720"/>
      <c r="I27" s="720"/>
      <c r="J27" s="720"/>
      <c r="K27" s="608" t="s">
        <v>157</v>
      </c>
      <c r="L27" s="705">
        <f t="shared" si="7"/>
        <v>0.48922064590227382</v>
      </c>
      <c r="M27" s="705">
        <f t="shared" si="7"/>
        <v>0.42003610614650772</v>
      </c>
      <c r="N27" s="705">
        <f t="shared" si="7"/>
        <v>0.43192248755430479</v>
      </c>
      <c r="O27" s="705">
        <f t="shared" si="7"/>
        <v>0.41257712044532691</v>
      </c>
      <c r="P27" s="705">
        <f t="shared" si="7"/>
        <v>0</v>
      </c>
      <c r="Q27" s="705">
        <f t="shared" si="7"/>
        <v>0.55426975208202711</v>
      </c>
      <c r="R27" s="705">
        <f t="shared" si="7"/>
        <v>0.55426975208202711</v>
      </c>
      <c r="S27" s="705">
        <f t="shared" si="7"/>
        <v>0</v>
      </c>
      <c r="T27" s="705">
        <f t="shared" si="7"/>
        <v>0</v>
      </c>
      <c r="U27" s="705">
        <f t="shared" si="7"/>
        <v>0.52546403679815656</v>
      </c>
      <c r="V27" s="705">
        <f t="shared" si="7"/>
        <v>0.52546403679815656</v>
      </c>
      <c r="W27" s="705">
        <f t="shared" si="7"/>
        <v>0</v>
      </c>
      <c r="X27" s="705">
        <f t="shared" si="7"/>
        <v>0</v>
      </c>
      <c r="Y27" s="705">
        <f t="shared" si="7"/>
        <v>0</v>
      </c>
      <c r="Z27" s="705">
        <f t="shared" si="7"/>
        <v>0</v>
      </c>
      <c r="AA27" s="705">
        <f t="shared" si="7"/>
        <v>0</v>
      </c>
      <c r="AB27" s="549">
        <f t="shared" si="7"/>
        <v>0</v>
      </c>
      <c r="AC27" s="701"/>
      <c r="AE27" s="554"/>
      <c r="AF27" s="720"/>
      <c r="AG27" s="585">
        <f>INDEX(calcCh3ValDriv2Exp,xxIndexTeam)</f>
        <v>300000</v>
      </c>
      <c r="AH27" s="584" t="s">
        <v>4981</v>
      </c>
    </row>
    <row r="28" spans="4:46" ht="15">
      <c r="D28" s="554"/>
      <c r="E28" s="604">
        <f t="shared" si="6"/>
        <v>0.56807751244569527</v>
      </c>
      <c r="F28" s="720" t="s">
        <v>4941</v>
      </c>
      <c r="G28" s="720"/>
      <c r="H28" s="720"/>
      <c r="I28" s="720"/>
      <c r="J28" s="720"/>
      <c r="K28" s="608" t="s">
        <v>160</v>
      </c>
      <c r="L28" s="705">
        <f t="shared" si="7"/>
        <v>0.51077935409772612</v>
      </c>
      <c r="M28" s="705">
        <f t="shared" si="7"/>
        <v>0.57996389385349223</v>
      </c>
      <c r="N28" s="705">
        <f t="shared" si="7"/>
        <v>0.56807751244569527</v>
      </c>
      <c r="O28" s="705">
        <f t="shared" si="7"/>
        <v>0.58742287955467298</v>
      </c>
      <c r="P28" s="705">
        <f t="shared" si="7"/>
        <v>0</v>
      </c>
      <c r="Q28" s="705">
        <f t="shared" si="7"/>
        <v>0.44573024791797283</v>
      </c>
      <c r="R28" s="705">
        <f t="shared" si="7"/>
        <v>0.44573024791797283</v>
      </c>
      <c r="S28" s="705">
        <f t="shared" si="7"/>
        <v>0</v>
      </c>
      <c r="T28" s="705">
        <f t="shared" si="7"/>
        <v>0</v>
      </c>
      <c r="U28" s="705">
        <f t="shared" si="7"/>
        <v>0.47453596320184349</v>
      </c>
      <c r="V28" s="705">
        <f t="shared" si="7"/>
        <v>0.47453596320184349</v>
      </c>
      <c r="W28" s="705">
        <f t="shared" si="7"/>
        <v>0</v>
      </c>
      <c r="X28" s="705">
        <f t="shared" si="7"/>
        <v>0</v>
      </c>
      <c r="Y28" s="705">
        <f t="shared" si="7"/>
        <v>0</v>
      </c>
      <c r="Z28" s="705">
        <f t="shared" si="7"/>
        <v>0</v>
      </c>
      <c r="AA28" s="705">
        <f t="shared" si="7"/>
        <v>0</v>
      </c>
      <c r="AB28" s="549">
        <f t="shared" si="7"/>
        <v>0</v>
      </c>
      <c r="AC28" s="701"/>
      <c r="AE28" s="554"/>
      <c r="AF28" s="720" t="s">
        <v>1294</v>
      </c>
      <c r="AG28" s="553">
        <f>INDEX(calcCh3ValDriv3Emp1Req,xxIndexTeam)</f>
        <v>1</v>
      </c>
      <c r="AH28" s="584" t="s">
        <v>6822</v>
      </c>
    </row>
    <row r="29" spans="4:46" ht="15">
      <c r="D29" s="554"/>
      <c r="E29" s="604">
        <f t="shared" si="6"/>
        <v>5.555110170544867E-2</v>
      </c>
      <c r="F29" s="720" t="s">
        <v>4942</v>
      </c>
      <c r="G29" s="720"/>
      <c r="H29" s="720"/>
      <c r="I29" s="720"/>
      <c r="J29" s="720"/>
      <c r="K29" s="608" t="s">
        <v>519</v>
      </c>
      <c r="L29" s="705">
        <f t="shared" si="7"/>
        <v>6.0580713308612658E-2</v>
      </c>
      <c r="M29" s="705">
        <f t="shared" si="7"/>
        <v>5.1599876745436195E-2</v>
      </c>
      <c r="N29" s="705">
        <f t="shared" si="7"/>
        <v>5.555110170544867E-2</v>
      </c>
      <c r="O29" s="705">
        <f t="shared" si="7"/>
        <v>4.9120389551835876E-2</v>
      </c>
      <c r="P29" s="705">
        <f t="shared" si="7"/>
        <v>0</v>
      </c>
      <c r="Q29" s="705">
        <f t="shared" si="7"/>
        <v>7.1268423666567216E-2</v>
      </c>
      <c r="R29" s="705">
        <f t="shared" si="7"/>
        <v>7.1268423666567216E-2</v>
      </c>
      <c r="S29" s="705">
        <f t="shared" si="7"/>
        <v>0</v>
      </c>
      <c r="T29" s="705">
        <f t="shared" si="7"/>
        <v>0</v>
      </c>
      <c r="U29" s="705">
        <f t="shared" si="7"/>
        <v>6.1084796940541267E-2</v>
      </c>
      <c r="V29" s="705">
        <f t="shared" si="7"/>
        <v>6.1084796940541267E-2</v>
      </c>
      <c r="W29" s="705">
        <f t="shared" si="7"/>
        <v>0</v>
      </c>
      <c r="X29" s="705">
        <f t="shared" si="7"/>
        <v>0</v>
      </c>
      <c r="Y29" s="705">
        <f t="shared" si="7"/>
        <v>0</v>
      </c>
      <c r="Z29" s="705">
        <f t="shared" si="7"/>
        <v>0</v>
      </c>
      <c r="AA29" s="705">
        <f t="shared" si="7"/>
        <v>0</v>
      </c>
      <c r="AB29" s="549">
        <f t="shared" si="7"/>
        <v>0</v>
      </c>
      <c r="AC29" s="701"/>
      <c r="AE29" s="554"/>
      <c r="AF29" s="720"/>
      <c r="AG29" s="585">
        <f>INDEX(calcCh3ValDriv3Exp,xxIndexTeam)</f>
        <v>300000</v>
      </c>
      <c r="AH29" s="584" t="s">
        <v>4990</v>
      </c>
    </row>
    <row r="30" spans="4:46" ht="15">
      <c r="D30" s="554"/>
      <c r="E30" s="604">
        <f t="shared" si="6"/>
        <v>0.51252641074024663</v>
      </c>
      <c r="F30" s="720" t="s">
        <v>4943</v>
      </c>
      <c r="G30" s="720"/>
      <c r="H30" s="720"/>
      <c r="I30" s="720"/>
      <c r="J30" s="720"/>
      <c r="K30" s="608" t="s">
        <v>521</v>
      </c>
      <c r="L30" s="705">
        <f t="shared" si="7"/>
        <v>0.45019864078911348</v>
      </c>
      <c r="M30" s="705">
        <f t="shared" si="7"/>
        <v>0.52836401710805603</v>
      </c>
      <c r="N30" s="705">
        <f t="shared" si="7"/>
        <v>0.51252641074024663</v>
      </c>
      <c r="O30" s="705">
        <f t="shared" si="7"/>
        <v>0.53830249000283714</v>
      </c>
      <c r="P30" s="705">
        <f t="shared" si="7"/>
        <v>0</v>
      </c>
      <c r="Q30" s="705">
        <f t="shared" si="7"/>
        <v>0.37446182425140562</v>
      </c>
      <c r="R30" s="705">
        <f t="shared" si="7"/>
        <v>0.37446182425140562</v>
      </c>
      <c r="S30" s="705">
        <f t="shared" si="7"/>
        <v>0</v>
      </c>
      <c r="T30" s="705">
        <f t="shared" si="7"/>
        <v>0</v>
      </c>
      <c r="U30" s="705">
        <f t="shared" si="7"/>
        <v>0.41345116626130218</v>
      </c>
      <c r="V30" s="705">
        <f t="shared" si="7"/>
        <v>0.41345116626130218</v>
      </c>
      <c r="W30" s="705">
        <f t="shared" si="7"/>
        <v>0</v>
      </c>
      <c r="X30" s="705">
        <f t="shared" si="7"/>
        <v>0</v>
      </c>
      <c r="Y30" s="705">
        <f t="shared" si="7"/>
        <v>0</v>
      </c>
      <c r="Z30" s="705">
        <f t="shared" si="7"/>
        <v>0</v>
      </c>
      <c r="AA30" s="705">
        <f t="shared" si="7"/>
        <v>0</v>
      </c>
      <c r="AB30" s="549">
        <f t="shared" si="7"/>
        <v>0</v>
      </c>
      <c r="AC30" s="701"/>
      <c r="AE30" s="554"/>
      <c r="AF30" s="720" t="s">
        <v>5196</v>
      </c>
      <c r="AG30" s="553">
        <f>INDEX(calcCh3ValDriv4Emp1Req,xxIndexTeam)</f>
        <v>1</v>
      </c>
      <c r="AH30" s="584" t="s">
        <v>6823</v>
      </c>
    </row>
    <row r="31" spans="4:46" ht="15">
      <c r="D31" s="554"/>
      <c r="E31" s="548">
        <f t="shared" si="6"/>
        <v>7.9</v>
      </c>
      <c r="F31" s="720" t="s">
        <v>4944</v>
      </c>
      <c r="G31" s="720"/>
      <c r="H31" s="720"/>
      <c r="I31" s="720"/>
      <c r="J31" s="551" t="s">
        <v>3760</v>
      </c>
      <c r="K31" s="608" t="s">
        <v>1394</v>
      </c>
      <c r="L31" s="708">
        <f t="shared" ref="L31:L43" si="8">IF(L5=0,0,L5/INDEX(finCalcCh3VolSold,,xxIndexTeam))</f>
        <v>7.6267000000000005</v>
      </c>
      <c r="M31" s="708">
        <f t="shared" ref="M31:M43" si="9">IF(M5=0,0,M5/INDEX(finCalcCh3Prod2VolSold,,xxIndexTeam))</f>
        <v>7.9600000000000009</v>
      </c>
      <c r="N31" s="708">
        <f t="shared" ref="N31:N43" si="10">IF(N5=0,0,N5/INDEX(finCalcCh3Prod2Slot1VolSold,,xxIndexTeam))</f>
        <v>7.9</v>
      </c>
      <c r="O31" s="708">
        <f t="shared" ref="O31:O43" si="11">IF(O5=0,0,O5/INDEX(finCalcCh3Prod2Slot2VolSold,,xxIndexTeam))</f>
        <v>8</v>
      </c>
      <c r="P31" s="708">
        <f t="shared" ref="P31:P43" si="12">IF(P5=0,0,P5/INDEX(finCalcCh3Prod2Slot3VolSold,,xxIndexTeam))</f>
        <v>0</v>
      </c>
      <c r="Q31" s="708">
        <f t="shared" ref="Q31:Q43" si="13">IF(Q5=0,0,Q5/INDEX(finCalcCh3Prod3VolSold,,xxIndexTeam))</f>
        <v>7.6</v>
      </c>
      <c r="R31" s="708">
        <f t="shared" ref="R31:R43" si="14">IF(R5=0,0,R5/INDEX(finCalcCh3Prod3Slot1VolSold,,xxIndexTeam))</f>
        <v>7.6</v>
      </c>
      <c r="S31" s="708">
        <f t="shared" ref="S31:S43" si="15">IF(S5=0,0,S5/INDEX(finCalcCh3Prod3Slot2VolSold,,xxIndexTeam))</f>
        <v>0</v>
      </c>
      <c r="T31" s="708">
        <f t="shared" ref="T31:T43" si="16">IF(T5=0,0,T5/INDEX(finCalcCh3Prod3Slot3VolSold,,xxIndexTeam))</f>
        <v>0</v>
      </c>
      <c r="U31" s="708">
        <f t="shared" ref="U31:U43" si="17">IF(U5=0,0,U5/INDEX(finCalcCh3Prod1VolSold,,xxIndexTeam))</f>
        <v>7.05</v>
      </c>
      <c r="V31" s="708">
        <f t="shared" ref="V31:V43" si="18">IF(V5=0,0,V5/INDEX(finCalcCh3Prod1Slot1VolSold,,xxIndexTeam))</f>
        <v>7.05</v>
      </c>
      <c r="W31" s="708">
        <f t="shared" ref="W31:W43" si="19">IF(W5=0,0,W5/INDEX(finCalcCh3Prod1Slot2VolSold,,xxIndexTeam))</f>
        <v>0</v>
      </c>
      <c r="X31" s="708">
        <f t="shared" ref="X31:X43" si="20">IF(X5=0,0,X5/INDEX(finCalcCh3Prod1Slot3VolSold,,xxIndexTeam))</f>
        <v>0</v>
      </c>
      <c r="Y31" s="708">
        <f t="shared" ref="Y31:Y43" si="21">IF(Y5=0,0,Y5/INDEX(finCalcCh3Prod4VolSold,,xxIndexTeam))</f>
        <v>0</v>
      </c>
      <c r="Z31" s="708">
        <f t="shared" ref="Z31:Z43" si="22">IF(Z5=0,0,Z5/INDEX(finCalcCh3Prod4Slot1VolSold,,xxIndexTeam))</f>
        <v>0</v>
      </c>
      <c r="AA31" s="708">
        <f t="shared" ref="AA31:AA43" si="23">IF(AA5=0,0,AA5/INDEX(finCalcCh3Prod4Slot2VolSold,,xxIndexTeam))</f>
        <v>0</v>
      </c>
      <c r="AB31" s="547">
        <f t="shared" ref="AB31:AB43" si="24">IF(AB5=0,0,AB5/INDEX(finCalcCh3Prod4Slot3VolSold,,xxIndexTeam))</f>
        <v>0</v>
      </c>
      <c r="AC31" s="701"/>
      <c r="AE31" s="554"/>
      <c r="AF31" s="720"/>
      <c r="AG31" s="585">
        <f>INDEX(calcCh3ValDriv4Exp,xxIndexTeam)</f>
        <v>300000</v>
      </c>
      <c r="AH31" s="584" t="s">
        <v>4996</v>
      </c>
    </row>
    <row r="32" spans="4:46" ht="15">
      <c r="D32" s="554"/>
      <c r="E32" s="548">
        <f t="shared" si="6"/>
        <v>2.4</v>
      </c>
      <c r="F32" s="720" t="s">
        <v>4945</v>
      </c>
      <c r="G32" s="720"/>
      <c r="H32" s="720"/>
      <c r="I32" s="720"/>
      <c r="J32" s="551" t="s">
        <v>1400</v>
      </c>
      <c r="K32" s="608" t="s">
        <v>1395</v>
      </c>
      <c r="L32" s="708">
        <f t="shared" si="8"/>
        <v>2.4500000000000002</v>
      </c>
      <c r="M32" s="708">
        <f t="shared" si="9"/>
        <v>2.4</v>
      </c>
      <c r="N32" s="708">
        <f t="shared" si="10"/>
        <v>2.4</v>
      </c>
      <c r="O32" s="708">
        <f t="shared" si="11"/>
        <v>2.4</v>
      </c>
      <c r="P32" s="708">
        <f t="shared" si="12"/>
        <v>0</v>
      </c>
      <c r="Q32" s="708">
        <f t="shared" si="13"/>
        <v>2.5</v>
      </c>
      <c r="R32" s="708">
        <f t="shared" si="14"/>
        <v>2.5</v>
      </c>
      <c r="S32" s="708">
        <f t="shared" si="15"/>
        <v>0</v>
      </c>
      <c r="T32" s="708">
        <f t="shared" si="16"/>
        <v>0</v>
      </c>
      <c r="U32" s="708">
        <f t="shared" si="17"/>
        <v>2.4500000000000002</v>
      </c>
      <c r="V32" s="708">
        <f t="shared" si="18"/>
        <v>2.4500000000000002</v>
      </c>
      <c r="W32" s="708">
        <f t="shared" si="19"/>
        <v>0</v>
      </c>
      <c r="X32" s="708">
        <f t="shared" si="20"/>
        <v>0</v>
      </c>
      <c r="Y32" s="708">
        <f t="shared" si="21"/>
        <v>0</v>
      </c>
      <c r="Z32" s="708">
        <f t="shared" si="22"/>
        <v>0</v>
      </c>
      <c r="AA32" s="708">
        <f t="shared" si="23"/>
        <v>0</v>
      </c>
      <c r="AB32" s="547">
        <f t="shared" si="24"/>
        <v>0</v>
      </c>
      <c r="AC32" s="701"/>
      <c r="AE32" s="554"/>
      <c r="AF32" s="720" t="s">
        <v>812</v>
      </c>
      <c r="AG32" s="553">
        <f>INDEX(calcCh3ValDriv5Emp1Req,xxIndexTeam)</f>
        <v>1</v>
      </c>
      <c r="AH32" s="584" t="s">
        <v>6824</v>
      </c>
    </row>
    <row r="33" spans="4:38" ht="15">
      <c r="D33" s="554"/>
      <c r="E33" s="548">
        <f t="shared" si="6"/>
        <v>5.5</v>
      </c>
      <c r="F33" s="720" t="s">
        <v>4946</v>
      </c>
      <c r="G33" s="720"/>
      <c r="H33" s="720"/>
      <c r="I33" s="720"/>
      <c r="J33" s="720"/>
      <c r="K33" s="608" t="s">
        <v>694</v>
      </c>
      <c r="L33" s="708">
        <f t="shared" si="8"/>
        <v>5.1767000000000003</v>
      </c>
      <c r="M33" s="708">
        <f t="shared" si="9"/>
        <v>5.56</v>
      </c>
      <c r="N33" s="708">
        <f t="shared" si="10"/>
        <v>5.5</v>
      </c>
      <c r="O33" s="708">
        <f t="shared" si="11"/>
        <v>5.6</v>
      </c>
      <c r="P33" s="708">
        <f t="shared" si="12"/>
        <v>0</v>
      </c>
      <c r="Q33" s="708">
        <f t="shared" si="13"/>
        <v>5.0999999999999996</v>
      </c>
      <c r="R33" s="708">
        <f t="shared" si="14"/>
        <v>5.0999999999999996</v>
      </c>
      <c r="S33" s="708">
        <f t="shared" si="15"/>
        <v>0</v>
      </c>
      <c r="T33" s="708">
        <f t="shared" si="16"/>
        <v>0</v>
      </c>
      <c r="U33" s="708">
        <f t="shared" si="17"/>
        <v>4.5999999999999996</v>
      </c>
      <c r="V33" s="708">
        <f t="shared" si="18"/>
        <v>4.5999999999999996</v>
      </c>
      <c r="W33" s="708">
        <f t="shared" si="19"/>
        <v>0</v>
      </c>
      <c r="X33" s="708">
        <f t="shared" si="20"/>
        <v>0</v>
      </c>
      <c r="Y33" s="708">
        <f t="shared" si="21"/>
        <v>0</v>
      </c>
      <c r="Z33" s="708">
        <f t="shared" si="22"/>
        <v>0</v>
      </c>
      <c r="AA33" s="708">
        <f t="shared" si="23"/>
        <v>0</v>
      </c>
      <c r="AB33" s="547">
        <f t="shared" si="24"/>
        <v>0</v>
      </c>
      <c r="AC33" s="701"/>
      <c r="AE33" s="554"/>
      <c r="AF33" s="720"/>
      <c r="AG33" s="585">
        <f>INDEX(calcCh3ValDriv5Exp,xxIndexTeam)</f>
        <v>300000</v>
      </c>
      <c r="AH33" s="584" t="s">
        <v>4997</v>
      </c>
    </row>
    <row r="34" spans="4:38" ht="15">
      <c r="D34" s="554"/>
      <c r="E34" s="548">
        <f t="shared" si="6"/>
        <v>0.54751875250928073</v>
      </c>
      <c r="F34" s="720" t="s">
        <v>4947</v>
      </c>
      <c r="G34" s="720"/>
      <c r="H34" s="720"/>
      <c r="I34" s="720"/>
      <c r="J34" s="720"/>
      <c r="K34" s="608" t="s">
        <v>1396</v>
      </c>
      <c r="L34" s="708">
        <f t="shared" si="8"/>
        <v>0.59534406395396189</v>
      </c>
      <c r="M34" s="708">
        <f t="shared" si="9"/>
        <v>0.4221664300619366</v>
      </c>
      <c r="N34" s="708">
        <f t="shared" si="10"/>
        <v>0.54751875250928073</v>
      </c>
      <c r="O34" s="708">
        <f t="shared" si="11"/>
        <v>0.33859821509704052</v>
      </c>
      <c r="P34" s="708">
        <f t="shared" si="12"/>
        <v>0</v>
      </c>
      <c r="Q34" s="708">
        <f t="shared" si="13"/>
        <v>0.88878975640559643</v>
      </c>
      <c r="R34" s="708">
        <f t="shared" si="14"/>
        <v>0.88878975640559643</v>
      </c>
      <c r="S34" s="708">
        <f t="shared" si="15"/>
        <v>0</v>
      </c>
      <c r="T34" s="708">
        <f t="shared" si="16"/>
        <v>0</v>
      </c>
      <c r="U34" s="708">
        <f t="shared" si="17"/>
        <v>0.36912557285374425</v>
      </c>
      <c r="V34" s="708">
        <f t="shared" si="18"/>
        <v>0.36912557285374425</v>
      </c>
      <c r="W34" s="708">
        <f t="shared" si="19"/>
        <v>0</v>
      </c>
      <c r="X34" s="708">
        <f t="shared" si="20"/>
        <v>0</v>
      </c>
      <c r="Y34" s="708">
        <f t="shared" si="21"/>
        <v>0</v>
      </c>
      <c r="Z34" s="708">
        <f t="shared" si="22"/>
        <v>0</v>
      </c>
      <c r="AA34" s="708">
        <f t="shared" si="23"/>
        <v>0</v>
      </c>
      <c r="AB34" s="547">
        <f t="shared" si="24"/>
        <v>0</v>
      </c>
      <c r="AC34" s="701"/>
      <c r="AE34" s="554"/>
      <c r="AF34" s="720" t="s">
        <v>14</v>
      </c>
      <c r="AG34" s="585">
        <f>INDEX(calcCh3ValDrivEmp1ReqTot,,xxIndexTeam)</f>
        <v>5</v>
      </c>
      <c r="AH34" s="584" t="s">
        <v>6825</v>
      </c>
    </row>
    <row r="35" spans="4:38" ht="15">
      <c r="D35" s="554"/>
      <c r="E35" s="548">
        <f t="shared" si="6"/>
        <v>4.9524812474907192</v>
      </c>
      <c r="F35" s="720" t="s">
        <v>4948</v>
      </c>
      <c r="G35" s="720"/>
      <c r="H35" s="720"/>
      <c r="I35" s="720"/>
      <c r="J35" s="720"/>
      <c r="K35" s="608" t="s">
        <v>1397</v>
      </c>
      <c r="L35" s="708">
        <f t="shared" si="8"/>
        <v>4.5813559360460383</v>
      </c>
      <c r="M35" s="708">
        <f t="shared" si="9"/>
        <v>5.1378335699380626</v>
      </c>
      <c r="N35" s="708">
        <f t="shared" si="10"/>
        <v>4.9524812474907192</v>
      </c>
      <c r="O35" s="708">
        <f t="shared" si="11"/>
        <v>5.2614017849029588</v>
      </c>
      <c r="P35" s="708">
        <f t="shared" si="12"/>
        <v>0</v>
      </c>
      <c r="Q35" s="708">
        <f t="shared" si="13"/>
        <v>4.2112102435944037</v>
      </c>
      <c r="R35" s="708">
        <f t="shared" si="14"/>
        <v>4.2112102435944037</v>
      </c>
      <c r="S35" s="708">
        <f t="shared" si="15"/>
        <v>0</v>
      </c>
      <c r="T35" s="708">
        <f t="shared" si="16"/>
        <v>0</v>
      </c>
      <c r="U35" s="708">
        <f t="shared" si="17"/>
        <v>4.2308744271462562</v>
      </c>
      <c r="V35" s="708">
        <f t="shared" si="18"/>
        <v>4.2308744271462562</v>
      </c>
      <c r="W35" s="708">
        <f t="shared" si="19"/>
        <v>0</v>
      </c>
      <c r="X35" s="708">
        <f t="shared" si="20"/>
        <v>0</v>
      </c>
      <c r="Y35" s="708">
        <f t="shared" si="21"/>
        <v>0</v>
      </c>
      <c r="Z35" s="708">
        <f t="shared" si="22"/>
        <v>0</v>
      </c>
      <c r="AA35" s="708">
        <f t="shared" si="23"/>
        <v>0</v>
      </c>
      <c r="AB35" s="547">
        <f t="shared" si="24"/>
        <v>0</v>
      </c>
      <c r="AC35" s="701"/>
      <c r="AE35" s="554"/>
      <c r="AF35" s="720"/>
      <c r="AG35" s="585">
        <f>INDEX(calcCh3ValDrivExpTot,,xxIndexTeam)</f>
        <v>1500000</v>
      </c>
      <c r="AH35" s="584" t="s">
        <v>6458</v>
      </c>
    </row>
    <row r="36" spans="4:38" ht="15">
      <c r="D36" s="554"/>
      <c r="E36" s="548">
        <f t="shared" si="6"/>
        <v>1.6191252000000003</v>
      </c>
      <c r="F36" s="720" t="s">
        <v>4949</v>
      </c>
      <c r="G36" s="720"/>
      <c r="H36" s="720"/>
      <c r="I36" s="720"/>
      <c r="J36" s="720"/>
      <c r="K36" s="608" t="s">
        <v>1398</v>
      </c>
      <c r="L36" s="708">
        <f t="shared" si="8"/>
        <v>1.6334029404000003</v>
      </c>
      <c r="M36" s="708">
        <f t="shared" si="9"/>
        <v>1.5602479200000006</v>
      </c>
      <c r="N36" s="708">
        <f t="shared" si="10"/>
        <v>1.6191252000000003</v>
      </c>
      <c r="O36" s="708">
        <f t="shared" si="11"/>
        <v>1.5209964000000005</v>
      </c>
      <c r="P36" s="708">
        <f t="shared" si="12"/>
        <v>0</v>
      </c>
      <c r="Q36" s="708">
        <f t="shared" si="13"/>
        <v>1.7663184000000001</v>
      </c>
      <c r="R36" s="708">
        <f t="shared" si="14"/>
        <v>1.7663184000000001</v>
      </c>
      <c r="S36" s="708">
        <f t="shared" si="15"/>
        <v>0</v>
      </c>
      <c r="T36" s="708">
        <f t="shared" si="16"/>
        <v>0</v>
      </c>
      <c r="U36" s="708">
        <f t="shared" si="17"/>
        <v>1.5209964000000005</v>
      </c>
      <c r="V36" s="708">
        <f t="shared" si="18"/>
        <v>1.5209964000000005</v>
      </c>
      <c r="W36" s="708">
        <f t="shared" si="19"/>
        <v>0</v>
      </c>
      <c r="X36" s="708">
        <f t="shared" si="20"/>
        <v>0</v>
      </c>
      <c r="Y36" s="708">
        <f t="shared" si="21"/>
        <v>0</v>
      </c>
      <c r="Z36" s="708">
        <f t="shared" si="22"/>
        <v>0</v>
      </c>
      <c r="AA36" s="708">
        <f t="shared" si="23"/>
        <v>0</v>
      </c>
      <c r="AB36" s="547">
        <f t="shared" si="24"/>
        <v>0</v>
      </c>
      <c r="AC36" s="701"/>
      <c r="AE36" s="554"/>
      <c r="AF36" s="720" t="s">
        <v>1410</v>
      </c>
      <c r="AG36" s="553">
        <f>INDEX(calcCh3ValDrivCondEmp1Req,xxIndexTeam)</f>
        <v>0</v>
      </c>
      <c r="AH36" s="584" t="s">
        <v>6826</v>
      </c>
    </row>
    <row r="37" spans="4:38" ht="15.75" thickBot="1">
      <c r="D37" s="554"/>
      <c r="E37" s="548">
        <f t="shared" si="6"/>
        <v>0.23810664705882359</v>
      </c>
      <c r="F37" s="720" t="s">
        <v>4950</v>
      </c>
      <c r="G37" s="720"/>
      <c r="H37" s="720"/>
      <c r="I37" s="720"/>
      <c r="J37" s="720"/>
      <c r="K37" s="608" t="s">
        <v>575</v>
      </c>
      <c r="L37" s="708">
        <f t="shared" si="8"/>
        <v>0.24020631476470589</v>
      </c>
      <c r="M37" s="708">
        <f t="shared" si="9"/>
        <v>0.2294482235294118</v>
      </c>
      <c r="N37" s="708">
        <f t="shared" si="10"/>
        <v>0.23810664705882359</v>
      </c>
      <c r="O37" s="708">
        <f t="shared" si="11"/>
        <v>0.22367594117647063</v>
      </c>
      <c r="P37" s="708">
        <f t="shared" si="12"/>
        <v>0</v>
      </c>
      <c r="Q37" s="708">
        <f t="shared" si="13"/>
        <v>0.25975270588235294</v>
      </c>
      <c r="R37" s="708">
        <f t="shared" si="14"/>
        <v>0.25975270588235294</v>
      </c>
      <c r="S37" s="708">
        <f t="shared" si="15"/>
        <v>0</v>
      </c>
      <c r="T37" s="708">
        <f t="shared" si="16"/>
        <v>0</v>
      </c>
      <c r="U37" s="708">
        <f t="shared" si="17"/>
        <v>0.22367594117647063</v>
      </c>
      <c r="V37" s="708">
        <f t="shared" si="18"/>
        <v>0.22367594117647063</v>
      </c>
      <c r="W37" s="708">
        <f t="shared" si="19"/>
        <v>0</v>
      </c>
      <c r="X37" s="708">
        <f t="shared" si="20"/>
        <v>0</v>
      </c>
      <c r="Y37" s="708">
        <f t="shared" si="21"/>
        <v>0</v>
      </c>
      <c r="Z37" s="708">
        <f t="shared" si="22"/>
        <v>0</v>
      </c>
      <c r="AA37" s="708">
        <f t="shared" si="23"/>
        <v>0</v>
      </c>
      <c r="AB37" s="547">
        <f t="shared" si="24"/>
        <v>0</v>
      </c>
      <c r="AC37" s="701"/>
      <c r="AE37" s="546"/>
      <c r="AF37" s="544"/>
      <c r="AG37" s="574">
        <f>INDEX(calcCh3ValDrivCondExp,xxIndexTeam)</f>
        <v>0</v>
      </c>
      <c r="AH37" s="733" t="s">
        <v>4998</v>
      </c>
    </row>
    <row r="38" spans="4:38" ht="15">
      <c r="D38" s="554"/>
      <c r="E38" s="548">
        <f t="shared" si="6"/>
        <v>0.19504800000000003</v>
      </c>
      <c r="F38" s="720" t="s">
        <v>4951</v>
      </c>
      <c r="G38" s="720"/>
      <c r="H38" s="720"/>
      <c r="I38" s="720"/>
      <c r="J38" s="720"/>
      <c r="K38" s="608" t="s">
        <v>1399</v>
      </c>
      <c r="L38" s="708">
        <f t="shared" si="8"/>
        <v>0.25444238400000002</v>
      </c>
      <c r="M38" s="708">
        <f t="shared" si="9"/>
        <v>0.25492320000000002</v>
      </c>
      <c r="N38" s="708">
        <f t="shared" si="10"/>
        <v>0.19504800000000003</v>
      </c>
      <c r="O38" s="708">
        <f t="shared" si="11"/>
        <v>0.29484000000000005</v>
      </c>
      <c r="P38" s="708">
        <f t="shared" si="12"/>
        <v>0</v>
      </c>
      <c r="Q38" s="708">
        <f t="shared" si="13"/>
        <v>0.21319200000000002</v>
      </c>
      <c r="R38" s="708">
        <f t="shared" si="14"/>
        <v>0.21319200000000002</v>
      </c>
      <c r="S38" s="708">
        <f t="shared" si="15"/>
        <v>0</v>
      </c>
      <c r="T38" s="708">
        <f t="shared" si="16"/>
        <v>0</v>
      </c>
      <c r="U38" s="708">
        <f t="shared" si="17"/>
        <v>0.33112800000000003</v>
      </c>
      <c r="V38" s="708">
        <f t="shared" si="18"/>
        <v>0.33112800000000003</v>
      </c>
      <c r="W38" s="708">
        <f t="shared" si="19"/>
        <v>0</v>
      </c>
      <c r="X38" s="708">
        <f t="shared" si="20"/>
        <v>0</v>
      </c>
      <c r="Y38" s="708">
        <f t="shared" si="21"/>
        <v>0</v>
      </c>
      <c r="Z38" s="708">
        <f t="shared" si="22"/>
        <v>0</v>
      </c>
      <c r="AA38" s="708">
        <f t="shared" si="23"/>
        <v>0</v>
      </c>
      <c r="AB38" s="547">
        <f t="shared" si="24"/>
        <v>0</v>
      </c>
      <c r="AC38" s="701"/>
    </row>
    <row r="39" spans="4:38" ht="15.75" thickBot="1">
      <c r="D39" s="554"/>
      <c r="E39" s="548">
        <f t="shared" si="6"/>
        <v>8.6808172923413737E-2</v>
      </c>
      <c r="F39" s="720" t="s">
        <v>4952</v>
      </c>
      <c r="G39" s="720"/>
      <c r="H39" s="720"/>
      <c r="I39" s="720"/>
      <c r="J39" s="720"/>
      <c r="K39" s="608" t="s">
        <v>398</v>
      </c>
      <c r="L39" s="708">
        <f t="shared" si="8"/>
        <v>0.1132422709759528</v>
      </c>
      <c r="M39" s="708">
        <f t="shared" si="9"/>
        <v>0.11345626321618259</v>
      </c>
      <c r="N39" s="708">
        <f t="shared" si="10"/>
        <v>8.6808172923413737E-2</v>
      </c>
      <c r="O39" s="708">
        <f t="shared" si="11"/>
        <v>0.13122165674469519</v>
      </c>
      <c r="P39" s="708">
        <f t="shared" si="12"/>
        <v>0</v>
      </c>
      <c r="Q39" s="708">
        <f t="shared" si="13"/>
        <v>9.4883351800010368E-2</v>
      </c>
      <c r="R39" s="708">
        <f t="shared" si="14"/>
        <v>9.4883351800010368E-2</v>
      </c>
      <c r="S39" s="708">
        <f t="shared" si="15"/>
        <v>0</v>
      </c>
      <c r="T39" s="708">
        <f t="shared" si="16"/>
        <v>0</v>
      </c>
      <c r="U39" s="708">
        <f t="shared" si="17"/>
        <v>0.14737201449788842</v>
      </c>
      <c r="V39" s="708">
        <f t="shared" si="18"/>
        <v>0.14737201449788842</v>
      </c>
      <c r="W39" s="708">
        <f t="shared" si="19"/>
        <v>0</v>
      </c>
      <c r="X39" s="708">
        <f t="shared" si="20"/>
        <v>0</v>
      </c>
      <c r="Y39" s="708">
        <f t="shared" si="21"/>
        <v>0</v>
      </c>
      <c r="Z39" s="708">
        <f t="shared" si="22"/>
        <v>0</v>
      </c>
      <c r="AA39" s="708">
        <f t="shared" si="23"/>
        <v>0</v>
      </c>
      <c r="AB39" s="547">
        <f t="shared" si="24"/>
        <v>0</v>
      </c>
      <c r="AC39" s="701"/>
      <c r="AD39" s="628" t="s">
        <v>6819</v>
      </c>
      <c r="AE39" s="612" t="s">
        <v>786</v>
      </c>
    </row>
    <row r="40" spans="4:38" ht="15">
      <c r="D40" s="554"/>
      <c r="E40" s="548">
        <f t="shared" si="6"/>
        <v>2.1390880199822377</v>
      </c>
      <c r="F40" s="720" t="s">
        <v>4953</v>
      </c>
      <c r="G40" s="720"/>
      <c r="H40" s="720"/>
      <c r="I40" s="720"/>
      <c r="J40" s="720"/>
      <c r="K40" s="608" t="s">
        <v>157</v>
      </c>
      <c r="L40" s="708">
        <f t="shared" si="8"/>
        <v>2.241293910140659</v>
      </c>
      <c r="M40" s="708">
        <f t="shared" si="9"/>
        <v>2.1580756067455948</v>
      </c>
      <c r="N40" s="708">
        <f t="shared" si="10"/>
        <v>2.1390880199822377</v>
      </c>
      <c r="O40" s="708">
        <f t="shared" si="11"/>
        <v>2.1707339979211659</v>
      </c>
      <c r="P40" s="708">
        <f t="shared" si="12"/>
        <v>0</v>
      </c>
      <c r="Q40" s="708">
        <f t="shared" si="13"/>
        <v>2.3341464576823632</v>
      </c>
      <c r="R40" s="708">
        <f t="shared" si="14"/>
        <v>2.3341464576823632</v>
      </c>
      <c r="S40" s="708">
        <f t="shared" si="15"/>
        <v>0</v>
      </c>
      <c r="T40" s="708">
        <f t="shared" si="16"/>
        <v>0</v>
      </c>
      <c r="U40" s="708">
        <f t="shared" si="17"/>
        <v>2.2231723556743597</v>
      </c>
      <c r="V40" s="708">
        <f t="shared" si="18"/>
        <v>2.2231723556743597</v>
      </c>
      <c r="W40" s="708">
        <f t="shared" si="19"/>
        <v>0</v>
      </c>
      <c r="X40" s="708">
        <f t="shared" si="20"/>
        <v>0</v>
      </c>
      <c r="Y40" s="708">
        <f t="shared" si="21"/>
        <v>0</v>
      </c>
      <c r="Z40" s="708">
        <f t="shared" si="22"/>
        <v>0</v>
      </c>
      <c r="AA40" s="708">
        <f t="shared" si="23"/>
        <v>0</v>
      </c>
      <c r="AB40" s="547">
        <f t="shared" si="24"/>
        <v>0</v>
      </c>
      <c r="AC40" s="701"/>
      <c r="AE40" s="555"/>
      <c r="AF40" s="600" t="s">
        <v>749</v>
      </c>
      <c r="AG40" s="734">
        <f>INDEX(calcCh3MarkPlanEmp1Req,xxIndexTeam)</f>
        <v>0</v>
      </c>
      <c r="AH40" s="561" t="s">
        <v>6827</v>
      </c>
    </row>
    <row r="41" spans="4:38" ht="15.75" thickBot="1">
      <c r="D41" s="554"/>
      <c r="E41" s="548">
        <f t="shared" si="6"/>
        <v>2.8133932275084814</v>
      </c>
      <c r="F41" s="720" t="s">
        <v>4954</v>
      </c>
      <c r="G41" s="720"/>
      <c r="H41" s="720"/>
      <c r="I41" s="720"/>
      <c r="J41" s="720"/>
      <c r="K41" s="608" t="s">
        <v>160</v>
      </c>
      <c r="L41" s="708">
        <f t="shared" si="8"/>
        <v>2.3400620259053788</v>
      </c>
      <c r="M41" s="708">
        <f t="shared" si="9"/>
        <v>2.9797579631924682</v>
      </c>
      <c r="N41" s="708">
        <f t="shared" si="10"/>
        <v>2.8133932275084814</v>
      </c>
      <c r="O41" s="708">
        <f t="shared" si="11"/>
        <v>3.0906677869817925</v>
      </c>
      <c r="P41" s="708">
        <f t="shared" si="12"/>
        <v>0</v>
      </c>
      <c r="Q41" s="708">
        <f t="shared" si="13"/>
        <v>1.8770637859120403</v>
      </c>
      <c r="R41" s="708">
        <f t="shared" si="14"/>
        <v>1.8770637859120403</v>
      </c>
      <c r="S41" s="708">
        <f t="shared" si="15"/>
        <v>0</v>
      </c>
      <c r="T41" s="708">
        <f t="shared" si="16"/>
        <v>0</v>
      </c>
      <c r="U41" s="708">
        <f t="shared" si="17"/>
        <v>2.0077020714718965</v>
      </c>
      <c r="V41" s="708">
        <f t="shared" si="18"/>
        <v>2.0077020714718965</v>
      </c>
      <c r="W41" s="708">
        <f t="shared" si="19"/>
        <v>0</v>
      </c>
      <c r="X41" s="708">
        <f t="shared" si="20"/>
        <v>0</v>
      </c>
      <c r="Y41" s="708">
        <f t="shared" si="21"/>
        <v>0</v>
      </c>
      <c r="Z41" s="708">
        <f t="shared" si="22"/>
        <v>0</v>
      </c>
      <c r="AA41" s="708">
        <f t="shared" si="23"/>
        <v>0</v>
      </c>
      <c r="AB41" s="547">
        <f t="shared" si="24"/>
        <v>0</v>
      </c>
      <c r="AC41" s="701"/>
      <c r="AE41" s="546"/>
      <c r="AF41" s="544" t="s">
        <v>748</v>
      </c>
      <c r="AG41" s="574">
        <f>INDEX(calcCh3MarkPlanExp,xxIndexTeam)</f>
        <v>0</v>
      </c>
      <c r="AH41" s="733" t="s">
        <v>6828</v>
      </c>
    </row>
    <row r="42" spans="4:38" ht="15">
      <c r="D42" s="554"/>
      <c r="E42" s="548">
        <f t="shared" si="6"/>
        <v>0.27511578947368426</v>
      </c>
      <c r="F42" s="720" t="s">
        <v>4955</v>
      </c>
      <c r="G42" s="720"/>
      <c r="H42" s="720"/>
      <c r="I42" s="720"/>
      <c r="J42" s="720"/>
      <c r="K42" s="608" t="s">
        <v>519</v>
      </c>
      <c r="L42" s="708">
        <f t="shared" si="8"/>
        <v>0.27754181052631582</v>
      </c>
      <c r="M42" s="708">
        <f t="shared" si="9"/>
        <v>0.26511157894736848</v>
      </c>
      <c r="N42" s="708">
        <f t="shared" si="10"/>
        <v>0.27511578947368426</v>
      </c>
      <c r="O42" s="708">
        <f t="shared" si="11"/>
        <v>0.25844210526315792</v>
      </c>
      <c r="P42" s="708">
        <f t="shared" si="12"/>
        <v>0</v>
      </c>
      <c r="Q42" s="708">
        <f t="shared" si="13"/>
        <v>0.30012631578947369</v>
      </c>
      <c r="R42" s="708">
        <f t="shared" si="14"/>
        <v>0.30012631578947369</v>
      </c>
      <c r="S42" s="708">
        <f t="shared" si="15"/>
        <v>0</v>
      </c>
      <c r="T42" s="708">
        <f t="shared" si="16"/>
        <v>0</v>
      </c>
      <c r="U42" s="708">
        <f t="shared" si="17"/>
        <v>0.25844210526315792</v>
      </c>
      <c r="V42" s="708">
        <f t="shared" si="18"/>
        <v>0.25844210526315792</v>
      </c>
      <c r="W42" s="708">
        <f t="shared" si="19"/>
        <v>0</v>
      </c>
      <c r="X42" s="708">
        <f t="shared" si="20"/>
        <v>0</v>
      </c>
      <c r="Y42" s="708">
        <f t="shared" si="21"/>
        <v>0</v>
      </c>
      <c r="Z42" s="708">
        <f t="shared" si="22"/>
        <v>0</v>
      </c>
      <c r="AA42" s="708">
        <f t="shared" si="23"/>
        <v>0</v>
      </c>
      <c r="AB42" s="547">
        <f t="shared" si="24"/>
        <v>0</v>
      </c>
      <c r="AC42" s="701"/>
    </row>
    <row r="43" spans="4:38" ht="15.75" thickBot="1">
      <c r="D43" s="554"/>
      <c r="E43" s="548">
        <f t="shared" si="6"/>
        <v>2.5382774380347972</v>
      </c>
      <c r="F43" s="720" t="s">
        <v>4956</v>
      </c>
      <c r="G43" s="720"/>
      <c r="H43" s="720"/>
      <c r="I43" s="720"/>
      <c r="J43" s="720"/>
      <c r="K43" s="608" t="s">
        <v>521</v>
      </c>
      <c r="L43" s="708">
        <f t="shared" si="8"/>
        <v>2.0625202153790632</v>
      </c>
      <c r="M43" s="708">
        <f t="shared" si="9"/>
        <v>2.7146463842450994</v>
      </c>
      <c r="N43" s="708">
        <f t="shared" si="10"/>
        <v>2.5382774380347972</v>
      </c>
      <c r="O43" s="708">
        <f t="shared" si="11"/>
        <v>2.8322256817186346</v>
      </c>
      <c r="P43" s="708">
        <f t="shared" si="12"/>
        <v>0</v>
      </c>
      <c r="Q43" s="708">
        <f t="shared" si="13"/>
        <v>1.5769374701225665</v>
      </c>
      <c r="R43" s="708">
        <f t="shared" si="14"/>
        <v>1.5769374701225665</v>
      </c>
      <c r="S43" s="708">
        <f t="shared" si="15"/>
        <v>0</v>
      </c>
      <c r="T43" s="708">
        <f t="shared" si="16"/>
        <v>0</v>
      </c>
      <c r="U43" s="708">
        <f t="shared" si="17"/>
        <v>1.7492599662087385</v>
      </c>
      <c r="V43" s="708">
        <f t="shared" si="18"/>
        <v>1.7492599662087385</v>
      </c>
      <c r="W43" s="708">
        <f t="shared" si="19"/>
        <v>0</v>
      </c>
      <c r="X43" s="708">
        <f t="shared" si="20"/>
        <v>0</v>
      </c>
      <c r="Y43" s="708">
        <f t="shared" si="21"/>
        <v>0</v>
      </c>
      <c r="Z43" s="708">
        <f t="shared" si="22"/>
        <v>0</v>
      </c>
      <c r="AA43" s="708">
        <f t="shared" si="23"/>
        <v>0</v>
      </c>
      <c r="AB43" s="547">
        <f t="shared" si="24"/>
        <v>0</v>
      </c>
      <c r="AC43" s="701"/>
      <c r="AD43" s="628" t="s">
        <v>6808</v>
      </c>
      <c r="AE43" s="612" t="s">
        <v>6585</v>
      </c>
      <c r="AI43" s="801" t="s">
        <v>10266</v>
      </c>
      <c r="AJ43" s="802"/>
      <c r="AK43" s="802"/>
      <c r="AL43" s="802"/>
    </row>
    <row r="44" spans="4:38" ht="15">
      <c r="D44" s="554"/>
      <c r="E44" s="553" t="str">
        <f t="shared" si="6"/>
        <v/>
      </c>
      <c r="F44" s="720" t="s">
        <v>4957</v>
      </c>
      <c r="G44" s="720"/>
      <c r="H44" s="720"/>
      <c r="I44" s="720"/>
      <c r="J44" s="551" t="s">
        <v>3762</v>
      </c>
      <c r="K44" s="608" t="s">
        <v>1394</v>
      </c>
      <c r="L44" s="703" t="str">
        <f>""</f>
        <v/>
      </c>
      <c r="M44" s="703" t="str">
        <f>""</f>
        <v/>
      </c>
      <c r="N44" s="703" t="str">
        <f>""</f>
        <v/>
      </c>
      <c r="O44" s="703" t="str">
        <f>""</f>
        <v/>
      </c>
      <c r="P44" s="703" t="str">
        <f>""</f>
        <v/>
      </c>
      <c r="Q44" s="703" t="str">
        <f>""</f>
        <v/>
      </c>
      <c r="R44" s="703" t="str">
        <f>""</f>
        <v/>
      </c>
      <c r="S44" s="703" t="str">
        <f>""</f>
        <v/>
      </c>
      <c r="T44" s="703" t="str">
        <f>""</f>
        <v/>
      </c>
      <c r="U44" s="703" t="str">
        <f>""</f>
        <v/>
      </c>
      <c r="V44" s="703" t="str">
        <f>""</f>
        <v/>
      </c>
      <c r="W44" s="703" t="str">
        <f>""</f>
        <v/>
      </c>
      <c r="X44" s="703" t="str">
        <f>""</f>
        <v/>
      </c>
      <c r="Y44" s="703" t="str">
        <f>""</f>
        <v/>
      </c>
      <c r="Z44" s="703" t="str">
        <f>""</f>
        <v/>
      </c>
      <c r="AA44" s="703" t="str">
        <f>""</f>
        <v/>
      </c>
      <c r="AB44" s="550" t="str">
        <f>""</f>
        <v/>
      </c>
      <c r="AC44" s="701"/>
      <c r="AE44" s="555"/>
      <c r="AF44" s="600"/>
      <c r="AG44" s="734">
        <f>INDEX(calcCh3Prod1SlotsNextEmp1Req,,xxIndexTeam)</f>
        <v>5</v>
      </c>
      <c r="AH44" s="561" t="s">
        <v>6829</v>
      </c>
      <c r="AI44" s="555"/>
      <c r="AJ44" s="600"/>
      <c r="AK44" s="734">
        <f>IF(AND(SUM(INDEX(calcCh3Prod1Slot1Active,,xxIndexTeam)+INDEX(calcCh3Prod1Slot2Active,,xxIndexTeam)+INDEX(calcCh3Prod1Slot3Active,,xxIndexTeam))&lt;tlOutputCh3NewSlotAvailGaugeMax,tlOutputCh3NewSlotAvailGaugeValue&gt;0),1,0)</f>
        <v>0</v>
      </c>
      <c r="AL44" s="561" t="s">
        <v>10291</v>
      </c>
    </row>
    <row r="45" spans="4:38" ht="15">
      <c r="D45" s="554"/>
      <c r="E45" s="553" t="str">
        <f t="shared" si="6"/>
        <v/>
      </c>
      <c r="F45" s="720" t="s">
        <v>4958</v>
      </c>
      <c r="G45" s="720"/>
      <c r="H45" s="720"/>
      <c r="I45" s="720"/>
      <c r="J45" s="551" t="s">
        <v>3764</v>
      </c>
      <c r="K45" s="608" t="s">
        <v>1395</v>
      </c>
      <c r="L45" s="703" t="str">
        <f>""</f>
        <v/>
      </c>
      <c r="M45" s="703" t="str">
        <f>""</f>
        <v/>
      </c>
      <c r="N45" s="703" t="str">
        <f>""</f>
        <v/>
      </c>
      <c r="O45" s="703" t="str">
        <f>""</f>
        <v/>
      </c>
      <c r="P45" s="703" t="str">
        <f>""</f>
        <v/>
      </c>
      <c r="Q45" s="703" t="str">
        <f>""</f>
        <v/>
      </c>
      <c r="R45" s="703" t="str">
        <f>""</f>
        <v/>
      </c>
      <c r="S45" s="703" t="str">
        <f>""</f>
        <v/>
      </c>
      <c r="T45" s="703" t="str">
        <f>""</f>
        <v/>
      </c>
      <c r="U45" s="703" t="str">
        <f>""</f>
        <v/>
      </c>
      <c r="V45" s="703" t="str">
        <f>""</f>
        <v/>
      </c>
      <c r="W45" s="703" t="str">
        <f>""</f>
        <v/>
      </c>
      <c r="X45" s="703" t="str">
        <f>""</f>
        <v/>
      </c>
      <c r="Y45" s="703" t="str">
        <f>""</f>
        <v/>
      </c>
      <c r="Z45" s="703" t="str">
        <f>""</f>
        <v/>
      </c>
      <c r="AA45" s="703" t="str">
        <f>""</f>
        <v/>
      </c>
      <c r="AB45" s="550" t="str">
        <f>""</f>
        <v/>
      </c>
      <c r="AC45" s="701"/>
      <c r="AE45" s="554"/>
      <c r="AF45" s="720"/>
      <c r="AG45" s="553">
        <f>INDEX(calcCh3Prod2SlotsNextEmp1Req,,xxIndexTeam)</f>
        <v>4</v>
      </c>
      <c r="AH45" s="584" t="s">
        <v>6830</v>
      </c>
      <c r="AI45" s="554"/>
      <c r="AJ45" s="720"/>
      <c r="AK45" s="553">
        <f>IF((SUM(INDEX(calcCh3Prod1Slot1Active,,xxIndexTeam)+INDEX(calcCh3Prod1Slot2Active,,xxIndexTeam)+INDEX(calcCh3Prod1Slot3Active,,xxIndexTeam)))&gt;(SUM(INDEX(obalCh3Prod1Slot1Active,,xxIndexTeam)+INDEX(obalCh3Prod1Slot2Active,,xxIndexTeam)+INDEX(obalCh3Prod1Slot3Active,,xxIndexTeam))),1,0)</f>
        <v>0</v>
      </c>
      <c r="AL45" s="584" t="s">
        <v>10292</v>
      </c>
    </row>
    <row r="46" spans="4:38" ht="15">
      <c r="D46" s="554"/>
      <c r="E46" s="553" t="str">
        <f t="shared" si="6"/>
        <v/>
      </c>
      <c r="F46" s="720" t="s">
        <v>4959</v>
      </c>
      <c r="G46" s="720"/>
      <c r="H46" s="720"/>
      <c r="I46" s="720"/>
      <c r="J46" s="720"/>
      <c r="K46" s="608" t="s">
        <v>694</v>
      </c>
      <c r="L46" s="703" t="str">
        <f>""</f>
        <v/>
      </c>
      <c r="M46" s="703" t="str">
        <f>""</f>
        <v/>
      </c>
      <c r="N46" s="703" t="str">
        <f>""</f>
        <v/>
      </c>
      <c r="O46" s="703" t="str">
        <f>""</f>
        <v/>
      </c>
      <c r="P46" s="703" t="str">
        <f>""</f>
        <v/>
      </c>
      <c r="Q46" s="703" t="str">
        <f>""</f>
        <v/>
      </c>
      <c r="R46" s="703" t="str">
        <f>""</f>
        <v/>
      </c>
      <c r="S46" s="703" t="str">
        <f>""</f>
        <v/>
      </c>
      <c r="T46" s="703" t="str">
        <f>""</f>
        <v/>
      </c>
      <c r="U46" s="703" t="str">
        <f>""</f>
        <v/>
      </c>
      <c r="V46" s="703" t="str">
        <f>""</f>
        <v/>
      </c>
      <c r="W46" s="703" t="str">
        <f>""</f>
        <v/>
      </c>
      <c r="X46" s="703" t="str">
        <f>""</f>
        <v/>
      </c>
      <c r="Y46" s="703" t="str">
        <f>""</f>
        <v/>
      </c>
      <c r="Z46" s="703" t="str">
        <f>""</f>
        <v/>
      </c>
      <c r="AA46" s="703" t="str">
        <f>""</f>
        <v/>
      </c>
      <c r="AB46" s="550" t="str">
        <f>""</f>
        <v/>
      </c>
      <c r="AC46" s="701"/>
      <c r="AE46" s="554"/>
      <c r="AF46" s="720"/>
      <c r="AG46" s="553">
        <f>INDEX(calcCh3Prod3SlotsNextEmp1Req,,xxIndexTeam)</f>
        <v>5</v>
      </c>
      <c r="AH46" s="584" t="s">
        <v>6831</v>
      </c>
      <c r="AI46" s="554"/>
      <c r="AJ46" s="720"/>
      <c r="AK46" s="553">
        <f>IF(AND(SUM(INDEX(calcCh3Prod2Slot1Active,,xxIndexTeam)+INDEX(calcCh3Prod2Slot2Active,,xxIndexTeam)+INDEX(calcCh3Prod2Slot3Active,,xxIndexTeam))&lt;tlOutputCh3NewSlotAvailGaugeMax,tlOutputCh3NewSlotAvailGaugeValue&gt;0),1,0)</f>
        <v>0</v>
      </c>
      <c r="AL46" s="584" t="s">
        <v>10293</v>
      </c>
    </row>
    <row r="47" spans="4:38" ht="15">
      <c r="D47" s="554"/>
      <c r="E47" s="553" t="str">
        <f t="shared" si="6"/>
        <v/>
      </c>
      <c r="F47" s="720" t="s">
        <v>4960</v>
      </c>
      <c r="G47" s="720"/>
      <c r="H47" s="720"/>
      <c r="I47" s="720"/>
      <c r="J47" s="720"/>
      <c r="K47" s="608" t="s">
        <v>1396</v>
      </c>
      <c r="L47" s="703" t="str">
        <f>""</f>
        <v/>
      </c>
      <c r="M47" s="703" t="str">
        <f>""</f>
        <v/>
      </c>
      <c r="N47" s="703" t="str">
        <f>""</f>
        <v/>
      </c>
      <c r="O47" s="703" t="str">
        <f>""</f>
        <v/>
      </c>
      <c r="P47" s="703" t="str">
        <f>""</f>
        <v/>
      </c>
      <c r="Q47" s="703" t="str">
        <f>""</f>
        <v/>
      </c>
      <c r="R47" s="703" t="str">
        <f>""</f>
        <v/>
      </c>
      <c r="S47" s="703" t="str">
        <f>""</f>
        <v/>
      </c>
      <c r="T47" s="703" t="str">
        <f>""</f>
        <v/>
      </c>
      <c r="U47" s="703" t="str">
        <f>""</f>
        <v/>
      </c>
      <c r="V47" s="703" t="str">
        <f>""</f>
        <v/>
      </c>
      <c r="W47" s="703" t="str">
        <f>""</f>
        <v/>
      </c>
      <c r="X47" s="703" t="str">
        <f>""</f>
        <v/>
      </c>
      <c r="Y47" s="703" t="str">
        <f>""</f>
        <v/>
      </c>
      <c r="Z47" s="703" t="str">
        <f>""</f>
        <v/>
      </c>
      <c r="AA47" s="703" t="str">
        <f>""</f>
        <v/>
      </c>
      <c r="AB47" s="550" t="str">
        <f>""</f>
        <v/>
      </c>
      <c r="AC47" s="701"/>
      <c r="AE47" s="554"/>
      <c r="AF47" s="720"/>
      <c r="AG47" s="553">
        <f>INDEX(calcCh3Prod4SlotsNextEmp1Req,,xxIndexTeam)</f>
        <v>6</v>
      </c>
      <c r="AH47" s="584" t="s">
        <v>6832</v>
      </c>
      <c r="AI47" s="554"/>
      <c r="AJ47" s="720"/>
      <c r="AK47" s="553">
        <f>IF((SUM(INDEX(calcCh3Prod2Slot1Active,,xxIndexTeam)+INDEX(calcCh3Prod2Slot2Active,,xxIndexTeam)+INDEX(calcCh3Prod2Slot3Active,,xxIndexTeam)))&gt;(SUM(INDEX(obalCh3Prod2Slot1Active,,xxIndexTeam)+INDEX(obalCh3Prod2Slot2Active,,xxIndexTeam)+INDEX(obalCh3Prod2Slot3Active,,xxIndexTeam))),1,0)</f>
        <v>0</v>
      </c>
      <c r="AL47" s="584" t="s">
        <v>10294</v>
      </c>
    </row>
    <row r="48" spans="4:38" ht="15">
      <c r="D48" s="554"/>
      <c r="E48" s="604">
        <f t="shared" si="6"/>
        <v>1</v>
      </c>
      <c r="F48" s="720" t="s">
        <v>4961</v>
      </c>
      <c r="G48" s="720"/>
      <c r="H48" s="720"/>
      <c r="I48" s="720"/>
      <c r="J48" s="720"/>
      <c r="K48" s="608" t="s">
        <v>1397</v>
      </c>
      <c r="L48" s="705">
        <f t="shared" ref="L48:AB56" si="25">IF(L$35=0,0%,L35/L$35)</f>
        <v>1</v>
      </c>
      <c r="M48" s="705">
        <f t="shared" si="25"/>
        <v>1</v>
      </c>
      <c r="N48" s="705">
        <f t="shared" si="25"/>
        <v>1</v>
      </c>
      <c r="O48" s="705">
        <f t="shared" si="25"/>
        <v>1</v>
      </c>
      <c r="P48" s="705">
        <f t="shared" si="25"/>
        <v>0</v>
      </c>
      <c r="Q48" s="705">
        <f t="shared" si="25"/>
        <v>1</v>
      </c>
      <c r="R48" s="705">
        <f t="shared" si="25"/>
        <v>1</v>
      </c>
      <c r="S48" s="705">
        <f t="shared" si="25"/>
        <v>0</v>
      </c>
      <c r="T48" s="705">
        <f t="shared" si="25"/>
        <v>0</v>
      </c>
      <c r="U48" s="705">
        <f t="shared" si="25"/>
        <v>1</v>
      </c>
      <c r="V48" s="705">
        <f t="shared" si="25"/>
        <v>1</v>
      </c>
      <c r="W48" s="705">
        <f t="shared" si="25"/>
        <v>0</v>
      </c>
      <c r="X48" s="705">
        <f t="shared" si="25"/>
        <v>0</v>
      </c>
      <c r="Y48" s="705">
        <f t="shared" si="25"/>
        <v>0</v>
      </c>
      <c r="Z48" s="705">
        <f t="shared" si="25"/>
        <v>0</v>
      </c>
      <c r="AA48" s="705">
        <f t="shared" si="25"/>
        <v>0</v>
      </c>
      <c r="AB48" s="549">
        <f t="shared" si="25"/>
        <v>0</v>
      </c>
      <c r="AC48" s="701"/>
      <c r="AE48" s="554"/>
      <c r="AF48" s="720"/>
      <c r="AG48" s="585">
        <f>INDEX(calcCh3Prod1SlotsNextExp,,xxIndexTeam)</f>
        <v>5000000</v>
      </c>
      <c r="AH48" s="584" t="s">
        <v>4982</v>
      </c>
      <c r="AI48" s="554"/>
      <c r="AJ48" s="720"/>
      <c r="AK48" s="585">
        <f>IF(AND(SUM(INDEX(calcCh3Prod3Slot1Active,,xxIndexTeam)+INDEX(calcCh3Prod3Slot2Active,,xxIndexTeam)+INDEX(calcCh3Prod3Slot3Active,,xxIndexTeam))&lt;tlOutputCh3NewSlotAvailGaugeMax,tlOutputCh3NewSlotAvailGaugeValue&gt;0),1,0)</f>
        <v>0</v>
      </c>
      <c r="AL48" s="584" t="s">
        <v>10295</v>
      </c>
    </row>
    <row r="49" spans="4:38" ht="15">
      <c r="D49" s="554"/>
      <c r="E49" s="604">
        <f t="shared" si="6"/>
        <v>0.32693212131199179</v>
      </c>
      <c r="F49" s="720" t="s">
        <v>4962</v>
      </c>
      <c r="G49" s="720"/>
      <c r="H49" s="720"/>
      <c r="I49" s="720"/>
      <c r="J49" s="720"/>
      <c r="K49" s="608" t="s">
        <v>1398</v>
      </c>
      <c r="L49" s="705">
        <f t="shared" si="25"/>
        <v>0.35653264299951265</v>
      </c>
      <c r="M49" s="705">
        <f t="shared" si="25"/>
        <v>0.30367817461607843</v>
      </c>
      <c r="N49" s="705">
        <f t="shared" si="25"/>
        <v>0.32693212131199179</v>
      </c>
      <c r="O49" s="705">
        <f t="shared" si="25"/>
        <v>0.28908577260994212</v>
      </c>
      <c r="P49" s="705">
        <f t="shared" si="25"/>
        <v>0</v>
      </c>
      <c r="Q49" s="705">
        <f t="shared" si="25"/>
        <v>0.4194324903836647</v>
      </c>
      <c r="R49" s="705">
        <f t="shared" si="25"/>
        <v>0.4194324903836647</v>
      </c>
      <c r="S49" s="705">
        <f t="shared" si="25"/>
        <v>0</v>
      </c>
      <c r="T49" s="705">
        <f t="shared" si="25"/>
        <v>0</v>
      </c>
      <c r="U49" s="705">
        <f t="shared" si="25"/>
        <v>0.35949930119432055</v>
      </c>
      <c r="V49" s="705">
        <f t="shared" si="25"/>
        <v>0.35949930119432055</v>
      </c>
      <c r="W49" s="705">
        <f t="shared" si="25"/>
        <v>0</v>
      </c>
      <c r="X49" s="705">
        <f t="shared" si="25"/>
        <v>0</v>
      </c>
      <c r="Y49" s="705">
        <f t="shared" si="25"/>
        <v>0</v>
      </c>
      <c r="Z49" s="705">
        <f t="shared" si="25"/>
        <v>0</v>
      </c>
      <c r="AA49" s="705">
        <f t="shared" si="25"/>
        <v>0</v>
      </c>
      <c r="AB49" s="549">
        <f t="shared" si="25"/>
        <v>0</v>
      </c>
      <c r="AC49" s="701"/>
      <c r="AE49" s="554"/>
      <c r="AF49" s="720"/>
      <c r="AG49" s="585">
        <f>INDEX(calcCh3Prod2SlotsNextExp,,xxIndexTeam)</f>
        <v>4000000</v>
      </c>
      <c r="AH49" s="584" t="s">
        <v>4983</v>
      </c>
      <c r="AI49" s="554"/>
      <c r="AJ49" s="720"/>
      <c r="AK49" s="553">
        <f>IF((SUM(INDEX(calcCh3Prod3Slot1Active,,xxIndexTeam)+INDEX(calcCh3Prod3Slot2Active,,xxIndexTeam)+INDEX(calcCh3Prod3Slot3Active,,xxIndexTeam)))&gt;(SUM(INDEX(obalCh3Prod3Slot1Active,,xxIndexTeam)+INDEX(obalCh3Prod3Slot2Active,,xxIndexTeam)+INDEX(obalCh3Prod3Slot3Active,,xxIndexTeam))),1,0)</f>
        <v>0</v>
      </c>
      <c r="AL49" s="584" t="s">
        <v>10296</v>
      </c>
    </row>
    <row r="50" spans="4:38" ht="15">
      <c r="D50" s="554"/>
      <c r="E50" s="604">
        <f t="shared" si="6"/>
        <v>4.8078253134116442E-2</v>
      </c>
      <c r="F50" s="720" t="s">
        <v>4963</v>
      </c>
      <c r="G50" s="720"/>
      <c r="H50" s="720"/>
      <c r="I50" s="720"/>
      <c r="J50" s="720"/>
      <c r="K50" s="608" t="s">
        <v>575</v>
      </c>
      <c r="L50" s="705">
        <f t="shared" si="25"/>
        <v>5.2431271029340087E-2</v>
      </c>
      <c r="M50" s="705">
        <f t="shared" si="25"/>
        <v>4.4658555090599759E-2</v>
      </c>
      <c r="N50" s="705">
        <f t="shared" si="25"/>
        <v>4.8078253134116442E-2</v>
      </c>
      <c r="O50" s="705">
        <f t="shared" si="25"/>
        <v>4.2512613619109137E-2</v>
      </c>
      <c r="P50" s="705">
        <f t="shared" si="25"/>
        <v>0</v>
      </c>
      <c r="Q50" s="705">
        <f t="shared" si="25"/>
        <v>6.1681248585833043E-2</v>
      </c>
      <c r="R50" s="705">
        <f t="shared" si="25"/>
        <v>6.1681248585833043E-2</v>
      </c>
      <c r="S50" s="705">
        <f t="shared" si="25"/>
        <v>0</v>
      </c>
      <c r="T50" s="705">
        <f t="shared" si="25"/>
        <v>0</v>
      </c>
      <c r="U50" s="705">
        <f t="shared" si="25"/>
        <v>5.2867544293282429E-2</v>
      </c>
      <c r="V50" s="705">
        <f t="shared" si="25"/>
        <v>5.2867544293282429E-2</v>
      </c>
      <c r="W50" s="705">
        <f t="shared" si="25"/>
        <v>0</v>
      </c>
      <c r="X50" s="705">
        <f t="shared" si="25"/>
        <v>0</v>
      </c>
      <c r="Y50" s="705">
        <f t="shared" si="25"/>
        <v>0</v>
      </c>
      <c r="Z50" s="705">
        <f t="shared" si="25"/>
        <v>0</v>
      </c>
      <c r="AA50" s="705">
        <f t="shared" si="25"/>
        <v>0</v>
      </c>
      <c r="AB50" s="549">
        <f t="shared" si="25"/>
        <v>0</v>
      </c>
      <c r="AC50" s="701"/>
      <c r="AE50" s="554"/>
      <c r="AF50" s="720"/>
      <c r="AG50" s="585">
        <f>INDEX(calcCh3Prod3SlotsNextExp,,xxIndexTeam)</f>
        <v>5000000</v>
      </c>
      <c r="AH50" s="584" t="s">
        <v>4984</v>
      </c>
      <c r="AI50" s="554"/>
      <c r="AJ50" s="720"/>
      <c r="AK50" s="585">
        <f>IF(AND(SUM(INDEX(calcCh3Prod4Slot1Active,,xxIndexTeam)+INDEX(calcCh3Prod4Slot2Active,,xxIndexTeam)+INDEX(calcCh3Prod4Slot3Active,,xxIndexTeam))&lt;tlOutputCh3NewSlotAvailGaugeMax,tlOutputCh3NewSlotAvailGaugeValue&gt;0),1,0)</f>
        <v>0</v>
      </c>
      <c r="AL50" s="584" t="s">
        <v>10297</v>
      </c>
    </row>
    <row r="51" spans="4:38" ht="15.75" thickBot="1">
      <c r="D51" s="554"/>
      <c r="E51" s="604">
        <f t="shared" si="6"/>
        <v>3.9383894709106727E-2</v>
      </c>
      <c r="F51" s="720" t="s">
        <v>4964</v>
      </c>
      <c r="G51" s="720"/>
      <c r="H51" s="720"/>
      <c r="I51" s="720"/>
      <c r="J51" s="720"/>
      <c r="K51" s="608" t="s">
        <v>1399</v>
      </c>
      <c r="L51" s="705">
        <f t="shared" si="25"/>
        <v>5.5538663127667344E-2</v>
      </c>
      <c r="M51" s="705">
        <f t="shared" si="25"/>
        <v>4.961686604478182E-2</v>
      </c>
      <c r="N51" s="705">
        <f t="shared" si="25"/>
        <v>3.9383894709106727E-2</v>
      </c>
      <c r="O51" s="705">
        <f t="shared" si="25"/>
        <v>5.603829778710543E-2</v>
      </c>
      <c r="P51" s="705">
        <f t="shared" si="25"/>
        <v>0</v>
      </c>
      <c r="Q51" s="705">
        <f t="shared" si="25"/>
        <v>5.062487685678542E-2</v>
      </c>
      <c r="R51" s="705">
        <f t="shared" si="25"/>
        <v>5.062487685678542E-2</v>
      </c>
      <c r="S51" s="705">
        <f t="shared" si="25"/>
        <v>0</v>
      </c>
      <c r="T51" s="705">
        <f t="shared" si="25"/>
        <v>0</v>
      </c>
      <c r="U51" s="705">
        <f t="shared" si="25"/>
        <v>7.8264672162191157E-2</v>
      </c>
      <c r="V51" s="705">
        <f t="shared" si="25"/>
        <v>7.8264672162191157E-2</v>
      </c>
      <c r="W51" s="705">
        <f t="shared" si="25"/>
        <v>0</v>
      </c>
      <c r="X51" s="705">
        <f t="shared" si="25"/>
        <v>0</v>
      </c>
      <c r="Y51" s="705">
        <f t="shared" si="25"/>
        <v>0</v>
      </c>
      <c r="Z51" s="705">
        <f t="shared" si="25"/>
        <v>0</v>
      </c>
      <c r="AA51" s="705">
        <f t="shared" si="25"/>
        <v>0</v>
      </c>
      <c r="AB51" s="549">
        <f t="shared" si="25"/>
        <v>0</v>
      </c>
      <c r="AC51" s="701"/>
      <c r="AE51" s="546"/>
      <c r="AF51" s="544"/>
      <c r="AG51" s="574">
        <f>INDEX(calcCh3Prod4SlotsNextExp,,xxIndexTeam)</f>
        <v>15000000</v>
      </c>
      <c r="AH51" s="733" t="s">
        <v>4985</v>
      </c>
      <c r="AI51" s="546"/>
      <c r="AJ51" s="544"/>
      <c r="AK51" s="574">
        <f>IF((SUM(INDEX(calcCh3Prod4Slot1Active,,xxIndexTeam)+INDEX(calcCh3Prod4Slot2Active,,xxIndexTeam)+INDEX(calcCh3Prod4Slot3Active,,xxIndexTeam)))&gt;(SUM(INDEX(obalCh3Prod4Slot1Active,,xxIndexTeam)+INDEX(obalCh3Prod4Slot2Active,,xxIndexTeam)+INDEX(obalCh3Prod4Slot3Active,,xxIndexTeam))),1,0)</f>
        <v>0</v>
      </c>
      <c r="AL51" s="733" t="s">
        <v>10298</v>
      </c>
    </row>
    <row r="52" spans="4:38" ht="15">
      <c r="D52" s="554"/>
      <c r="E52" s="604">
        <f t="shared" si="6"/>
        <v>1.7528218399089742E-2</v>
      </c>
      <c r="F52" s="720" t="s">
        <v>4965</v>
      </c>
      <c r="G52" s="720"/>
      <c r="H52" s="720"/>
      <c r="I52" s="720"/>
      <c r="J52" s="720"/>
      <c r="K52" s="608" t="s">
        <v>398</v>
      </c>
      <c r="L52" s="705">
        <f t="shared" si="25"/>
        <v>2.4718068745753708E-2</v>
      </c>
      <c r="M52" s="705">
        <f t="shared" si="25"/>
        <v>2.2082510395047755E-2</v>
      </c>
      <c r="N52" s="705">
        <f t="shared" si="25"/>
        <v>1.7528218399089742E-2</v>
      </c>
      <c r="O52" s="705">
        <f t="shared" si="25"/>
        <v>2.4940436429170262E-2</v>
      </c>
      <c r="P52" s="705">
        <f t="shared" si="25"/>
        <v>0</v>
      </c>
      <c r="Q52" s="705">
        <f t="shared" si="25"/>
        <v>2.2531136255743996E-2</v>
      </c>
      <c r="R52" s="705">
        <f t="shared" si="25"/>
        <v>2.2531136255743996E-2</v>
      </c>
      <c r="S52" s="705">
        <f t="shared" si="25"/>
        <v>0</v>
      </c>
      <c r="T52" s="705">
        <f t="shared" si="25"/>
        <v>0</v>
      </c>
      <c r="U52" s="705">
        <f t="shared" si="25"/>
        <v>3.4832519148362315E-2</v>
      </c>
      <c r="V52" s="705">
        <f t="shared" si="25"/>
        <v>3.4832519148362315E-2</v>
      </c>
      <c r="W52" s="705">
        <f t="shared" si="25"/>
        <v>0</v>
      </c>
      <c r="X52" s="705">
        <f t="shared" si="25"/>
        <v>0</v>
      </c>
      <c r="Y52" s="705">
        <f t="shared" si="25"/>
        <v>0</v>
      </c>
      <c r="Z52" s="705">
        <f t="shared" si="25"/>
        <v>0</v>
      </c>
      <c r="AA52" s="705">
        <f t="shared" si="25"/>
        <v>0</v>
      </c>
      <c r="AB52" s="549">
        <f t="shared" si="25"/>
        <v>0</v>
      </c>
      <c r="AC52" s="701"/>
    </row>
    <row r="53" spans="4:38" ht="15.75" thickBot="1">
      <c r="D53" s="554"/>
      <c r="E53" s="604">
        <f t="shared" si="6"/>
        <v>0.43192248755430473</v>
      </c>
      <c r="F53" s="720" t="s">
        <v>4966</v>
      </c>
      <c r="G53" s="720"/>
      <c r="H53" s="720"/>
      <c r="I53" s="720"/>
      <c r="J53" s="720"/>
      <c r="K53" s="608" t="s">
        <v>157</v>
      </c>
      <c r="L53" s="705">
        <f t="shared" si="25"/>
        <v>0.48922064590227382</v>
      </c>
      <c r="M53" s="705">
        <f t="shared" si="25"/>
        <v>0.42003610614650772</v>
      </c>
      <c r="N53" s="705">
        <f t="shared" si="25"/>
        <v>0.43192248755430473</v>
      </c>
      <c r="O53" s="705">
        <f t="shared" si="25"/>
        <v>0.41257712044532691</v>
      </c>
      <c r="P53" s="705">
        <f t="shared" si="25"/>
        <v>0</v>
      </c>
      <c r="Q53" s="705">
        <f t="shared" si="25"/>
        <v>0.55426975208202711</v>
      </c>
      <c r="R53" s="705">
        <f t="shared" si="25"/>
        <v>0.55426975208202711</v>
      </c>
      <c r="S53" s="705">
        <f t="shared" si="25"/>
        <v>0</v>
      </c>
      <c r="T53" s="705">
        <f t="shared" si="25"/>
        <v>0</v>
      </c>
      <c r="U53" s="705">
        <f t="shared" si="25"/>
        <v>0.52546403679815645</v>
      </c>
      <c r="V53" s="705">
        <f t="shared" si="25"/>
        <v>0.52546403679815645</v>
      </c>
      <c r="W53" s="705">
        <f t="shared" si="25"/>
        <v>0</v>
      </c>
      <c r="X53" s="705">
        <f t="shared" si="25"/>
        <v>0</v>
      </c>
      <c r="Y53" s="705">
        <f t="shared" si="25"/>
        <v>0</v>
      </c>
      <c r="Z53" s="705">
        <f t="shared" si="25"/>
        <v>0</v>
      </c>
      <c r="AA53" s="705">
        <f t="shared" si="25"/>
        <v>0</v>
      </c>
      <c r="AB53" s="549">
        <f t="shared" si="25"/>
        <v>0</v>
      </c>
      <c r="AC53" s="701"/>
      <c r="AD53" s="628" t="s">
        <v>6808</v>
      </c>
      <c r="AE53" s="612" t="s">
        <v>6600</v>
      </c>
    </row>
    <row r="54" spans="4:38" ht="15">
      <c r="D54" s="554"/>
      <c r="E54" s="604">
        <f t="shared" si="6"/>
        <v>0.56807751244569527</v>
      </c>
      <c r="F54" s="720" t="s">
        <v>4967</v>
      </c>
      <c r="G54" s="720"/>
      <c r="H54" s="720"/>
      <c r="I54" s="720"/>
      <c r="J54" s="720"/>
      <c r="K54" s="608" t="s">
        <v>160</v>
      </c>
      <c r="L54" s="705">
        <f t="shared" si="25"/>
        <v>0.51077935409772612</v>
      </c>
      <c r="M54" s="705">
        <f t="shared" si="25"/>
        <v>0.57996389385349234</v>
      </c>
      <c r="N54" s="705">
        <f t="shared" si="25"/>
        <v>0.56807751244569527</v>
      </c>
      <c r="O54" s="705">
        <f t="shared" si="25"/>
        <v>0.58742287955467298</v>
      </c>
      <c r="P54" s="705">
        <f t="shared" si="25"/>
        <v>0</v>
      </c>
      <c r="Q54" s="705">
        <f t="shared" si="25"/>
        <v>0.44573024791797283</v>
      </c>
      <c r="R54" s="705">
        <f t="shared" si="25"/>
        <v>0.44573024791797283</v>
      </c>
      <c r="S54" s="705">
        <f t="shared" si="25"/>
        <v>0</v>
      </c>
      <c r="T54" s="705">
        <f t="shared" si="25"/>
        <v>0</v>
      </c>
      <c r="U54" s="705">
        <f t="shared" si="25"/>
        <v>0.47453596320184349</v>
      </c>
      <c r="V54" s="705">
        <f t="shared" si="25"/>
        <v>0.47453596320184349</v>
      </c>
      <c r="W54" s="705">
        <f t="shared" si="25"/>
        <v>0</v>
      </c>
      <c r="X54" s="705">
        <f t="shared" si="25"/>
        <v>0</v>
      </c>
      <c r="Y54" s="705">
        <f t="shared" si="25"/>
        <v>0</v>
      </c>
      <c r="Z54" s="705">
        <f t="shared" si="25"/>
        <v>0</v>
      </c>
      <c r="AA54" s="705">
        <f t="shared" si="25"/>
        <v>0</v>
      </c>
      <c r="AB54" s="549">
        <f t="shared" si="25"/>
        <v>0</v>
      </c>
      <c r="AC54" s="701"/>
      <c r="AE54" s="555"/>
      <c r="AF54" s="600" t="s">
        <v>749</v>
      </c>
      <c r="AG54" s="734">
        <f>INDEX(paramCh3ReportsEmp1Req,,xxIndexTeam)</f>
        <v>1</v>
      </c>
      <c r="AH54" s="561" t="s">
        <v>6833</v>
      </c>
    </row>
    <row r="55" spans="4:38" ht="15.75" thickBot="1">
      <c r="D55" s="554"/>
      <c r="E55" s="604">
        <f t="shared" si="6"/>
        <v>5.555110170544867E-2</v>
      </c>
      <c r="F55" s="720" t="s">
        <v>4968</v>
      </c>
      <c r="G55" s="720"/>
      <c r="H55" s="720"/>
      <c r="I55" s="720"/>
      <c r="J55" s="720"/>
      <c r="K55" s="608" t="s">
        <v>519</v>
      </c>
      <c r="L55" s="705">
        <f t="shared" si="25"/>
        <v>6.0580713308612658E-2</v>
      </c>
      <c r="M55" s="705">
        <f t="shared" si="25"/>
        <v>5.1599876745436195E-2</v>
      </c>
      <c r="N55" s="705">
        <f t="shared" si="25"/>
        <v>5.555110170544867E-2</v>
      </c>
      <c r="O55" s="705">
        <f t="shared" si="25"/>
        <v>4.9120389551835876E-2</v>
      </c>
      <c r="P55" s="705">
        <f t="shared" si="25"/>
        <v>0</v>
      </c>
      <c r="Q55" s="705">
        <f t="shared" si="25"/>
        <v>7.1268423666567216E-2</v>
      </c>
      <c r="R55" s="705">
        <f t="shared" si="25"/>
        <v>7.1268423666567216E-2</v>
      </c>
      <c r="S55" s="705">
        <f t="shared" si="25"/>
        <v>0</v>
      </c>
      <c r="T55" s="705">
        <f t="shared" si="25"/>
        <v>0</v>
      </c>
      <c r="U55" s="705">
        <f t="shared" si="25"/>
        <v>6.1084796940541267E-2</v>
      </c>
      <c r="V55" s="705">
        <f t="shared" si="25"/>
        <v>6.1084796940541267E-2</v>
      </c>
      <c r="W55" s="705">
        <f t="shared" si="25"/>
        <v>0</v>
      </c>
      <c r="X55" s="705">
        <f t="shared" si="25"/>
        <v>0</v>
      </c>
      <c r="Y55" s="705">
        <f t="shared" si="25"/>
        <v>0</v>
      </c>
      <c r="Z55" s="705">
        <f t="shared" si="25"/>
        <v>0</v>
      </c>
      <c r="AA55" s="705">
        <f t="shared" si="25"/>
        <v>0</v>
      </c>
      <c r="AB55" s="549">
        <f t="shared" si="25"/>
        <v>0</v>
      </c>
      <c r="AC55" s="701"/>
      <c r="AE55" s="546"/>
      <c r="AF55" s="544" t="s">
        <v>748</v>
      </c>
      <c r="AG55" s="574">
        <f>INDEX(paramCh3ReportsExp,,xxIndexTeam)</f>
        <v>1000000</v>
      </c>
      <c r="AH55" s="733" t="s">
        <v>6834</v>
      </c>
    </row>
    <row r="56" spans="4:38" ht="15.75" thickBot="1">
      <c r="D56" s="554"/>
      <c r="E56" s="604">
        <f t="shared" si="6"/>
        <v>0.51252641074024663</v>
      </c>
      <c r="F56" s="720" t="s">
        <v>4969</v>
      </c>
      <c r="G56" s="720"/>
      <c r="H56" s="720"/>
      <c r="I56" s="720"/>
      <c r="J56" s="720"/>
      <c r="K56" s="608" t="s">
        <v>521</v>
      </c>
      <c r="L56" s="705">
        <f t="shared" si="25"/>
        <v>0.45019864078911348</v>
      </c>
      <c r="M56" s="705">
        <f t="shared" si="25"/>
        <v>0.52836401710805614</v>
      </c>
      <c r="N56" s="705">
        <f t="shared" si="25"/>
        <v>0.51252641074024663</v>
      </c>
      <c r="O56" s="705">
        <f t="shared" si="25"/>
        <v>0.53830249000283714</v>
      </c>
      <c r="P56" s="705">
        <f t="shared" si="25"/>
        <v>0</v>
      </c>
      <c r="Q56" s="705">
        <f t="shared" si="25"/>
        <v>0.37446182425140556</v>
      </c>
      <c r="R56" s="705">
        <f t="shared" si="25"/>
        <v>0.37446182425140556</v>
      </c>
      <c r="S56" s="705">
        <f t="shared" si="25"/>
        <v>0</v>
      </c>
      <c r="T56" s="705">
        <f t="shared" si="25"/>
        <v>0</v>
      </c>
      <c r="U56" s="705">
        <f t="shared" si="25"/>
        <v>0.41345116626130218</v>
      </c>
      <c r="V56" s="705">
        <f t="shared" si="25"/>
        <v>0.41345116626130218</v>
      </c>
      <c r="W56" s="705">
        <f t="shared" si="25"/>
        <v>0</v>
      </c>
      <c r="X56" s="705">
        <f t="shared" si="25"/>
        <v>0</v>
      </c>
      <c r="Y56" s="705">
        <f t="shared" si="25"/>
        <v>0</v>
      </c>
      <c r="Z56" s="705">
        <f t="shared" si="25"/>
        <v>0</v>
      </c>
      <c r="AA56" s="705">
        <f t="shared" si="25"/>
        <v>0</v>
      </c>
      <c r="AB56" s="549">
        <f t="shared" si="25"/>
        <v>0</v>
      </c>
      <c r="AC56" s="701"/>
    </row>
    <row r="57" spans="4:38" ht="15">
      <c r="D57" s="555"/>
      <c r="E57" s="562">
        <f>INDEX(L57:AB57,,calcCh3VtCode)/1000</f>
        <v>28973.803</v>
      </c>
      <c r="F57" s="600" t="s">
        <v>6835</v>
      </c>
      <c r="G57" s="600"/>
      <c r="H57" s="600"/>
      <c r="I57" s="600"/>
      <c r="J57" s="600"/>
      <c r="K57" s="749" t="s">
        <v>4394</v>
      </c>
      <c r="L57" s="750">
        <f>U57+M57+Q57+Y57</f>
        <v>183378500</v>
      </c>
      <c r="M57" s="750">
        <f>N57+O57+P57</f>
        <v>72434507.5</v>
      </c>
      <c r="N57" s="750">
        <f>INDEX(calcCh3Prod2Slot1VolForecastSlot,,xxIndexTeam)</f>
        <v>28973803</v>
      </c>
      <c r="O57" s="750">
        <f>INDEX(calcCh3Prod2Slot2VolForecastSlot,,xxIndexTeam)</f>
        <v>43460704.5</v>
      </c>
      <c r="P57" s="750">
        <f>INDEX(calcCh3Prod2Slot3VolForecastSlot,,xxIndexTeam)</f>
        <v>0</v>
      </c>
      <c r="Q57" s="750">
        <f>R57+S57+T57</f>
        <v>72434507.5</v>
      </c>
      <c r="R57" s="750">
        <f>INDEX(calcCh3Prod3Slot1VolForecastSlot,,xxIndexTeam)</f>
        <v>72434507.5</v>
      </c>
      <c r="S57" s="750">
        <f>INDEX(calcCh3Prod3Slot2VolForecastSlot,,xxIndexTeam)</f>
        <v>0</v>
      </c>
      <c r="T57" s="750">
        <f>INDEX(calcCh3Prod3Slot3VolForecastSlot,,xxIndexTeam)</f>
        <v>0</v>
      </c>
      <c r="U57" s="750">
        <f>V57+W57+X57</f>
        <v>38509485</v>
      </c>
      <c r="V57" s="750">
        <f>INDEX(calcCh3Prod1Slot1VolForecastSlot,,xxIndexTeam)</f>
        <v>38509485</v>
      </c>
      <c r="W57" s="750">
        <f>INDEX(calcCh3Prod1Slot2VolForecastSlot,,xxIndexTeam)</f>
        <v>0</v>
      </c>
      <c r="X57" s="750">
        <f>INDEX(calcCh3Prod1Slot3VolForecastSlot,,xxIndexTeam)</f>
        <v>0</v>
      </c>
      <c r="Y57" s="750">
        <f>Z57+AA57+AB57</f>
        <v>0</v>
      </c>
      <c r="Z57" s="750">
        <f>INDEX(calcCh3Prod4Slot1VolForecastSlot,,xxIndexTeam)</f>
        <v>0</v>
      </c>
      <c r="AA57" s="750">
        <f>INDEX(calcCh3Prod4Slot2VolForecastSlot,,xxIndexTeam)</f>
        <v>0</v>
      </c>
      <c r="AB57" s="751">
        <f>INDEX(calcCh3Prod4Slot3VolForecastSlot,,xxIndexTeam)</f>
        <v>0</v>
      </c>
      <c r="AC57" s="701"/>
    </row>
    <row r="58" spans="4:38" ht="15">
      <c r="D58" s="554"/>
      <c r="E58" s="585">
        <f>INDEX(L58:AB58,,calcCh3VtCode)/1000</f>
        <v>87799.40303030303</v>
      </c>
      <c r="F58" s="720" t="s">
        <v>6836</v>
      </c>
      <c r="G58" s="720"/>
      <c r="H58" s="720"/>
      <c r="I58" s="720"/>
      <c r="J58" s="720"/>
      <c r="K58" s="608" t="s">
        <v>811</v>
      </c>
      <c r="L58" s="706">
        <f t="shared" ref="L58:L59" si="26">U58+M58+Q58+Y58</f>
        <v>334110070.07575756</v>
      </c>
      <c r="M58" s="706">
        <f t="shared" ref="M58:M59" si="27">N58+O58+P58</f>
        <v>109749253.78787878</v>
      </c>
      <c r="N58" s="706">
        <f>INDEX(finCalcCh3Prod2Slot1UnitSold,,xxIndexTeam)</f>
        <v>87799403.030303031</v>
      </c>
      <c r="O58" s="706">
        <f>INDEX(finCalcCh3Prod2Slot2UnitSold,,xxIndexTeam)</f>
        <v>21949850.757575758</v>
      </c>
      <c r="P58" s="706">
        <f>INDEX(finCalcCh3Prod2Slot3UnitSold,,xxIndexTeam)</f>
        <v>0</v>
      </c>
      <c r="Q58" s="706">
        <f t="shared" ref="Q58:Q59" si="28">R58+S58+T58</f>
        <v>219498507.57575756</v>
      </c>
      <c r="R58" s="706">
        <f>INDEX(finCalcCh3Prod3Slot1UnitSold,,xxIndexTeam)</f>
        <v>219498507.57575756</v>
      </c>
      <c r="S58" s="706">
        <f>INDEX(finCalcCh3Prod3Slot2UnitSold,,xxIndexTeam)</f>
        <v>0</v>
      </c>
      <c r="T58" s="706">
        <f>INDEX(finCalcCh3Prod3Slot3UnitSold,,xxIndexTeam)</f>
        <v>0</v>
      </c>
      <c r="U58" s="706">
        <f t="shared" ref="U58:U59" si="29">V58+W58+X58</f>
        <v>4862308.7121212119</v>
      </c>
      <c r="V58" s="706">
        <f>INDEX(finCalcCh3Prod1Slot1UnitSold,,xxIndexTeam)</f>
        <v>4862308.7121212119</v>
      </c>
      <c r="W58" s="706">
        <f>INDEX(finCalcCh3Prod1Slot2UnitSold,,xxIndexTeam)</f>
        <v>0</v>
      </c>
      <c r="X58" s="706">
        <f>INDEX(finCalcCh3Prod1Slot3UnitSold,,xxIndexTeam)</f>
        <v>0</v>
      </c>
      <c r="Y58" s="706">
        <f t="shared" ref="Y58" si="30">Z58+AA58+AB58</f>
        <v>0</v>
      </c>
      <c r="Z58" s="706">
        <f>INDEX(finCalcCh3Prod4Slot1UnitSold,,xxIndexTeam)</f>
        <v>0</v>
      </c>
      <c r="AA58" s="706">
        <f>INDEX(finCalcCh3Prod4Slot2UnitSold,,xxIndexTeam)</f>
        <v>0</v>
      </c>
      <c r="AB58" s="596">
        <f>INDEX(finCalcCh3Prod4Slot3UnitSold,,xxIndexTeam)</f>
        <v>0</v>
      </c>
      <c r="AC58" s="701"/>
    </row>
    <row r="59" spans="4:38" ht="15">
      <c r="D59" s="554"/>
      <c r="E59" s="585">
        <f>INDEX(L59:AB59,,calcCh3VtCode)</f>
        <v>208084585.18181828</v>
      </c>
      <c r="F59" s="720" t="s">
        <v>6837</v>
      </c>
      <c r="G59" s="720"/>
      <c r="H59" s="720"/>
      <c r="I59" s="720"/>
      <c r="J59" s="720"/>
      <c r="K59" s="608" t="s">
        <v>517</v>
      </c>
      <c r="L59" s="706">
        <f t="shared" si="26"/>
        <v>821550266.92613661</v>
      </c>
      <c r="M59" s="706">
        <f t="shared" si="27"/>
        <v>260764227.00000012</v>
      </c>
      <c r="N59" s="706">
        <f>tloutputCh3Prod2Slot1CM*N58</f>
        <v>208084585.18181828</v>
      </c>
      <c r="O59" s="706">
        <f>tloutputCh3Prod2Slot2CM*O58</f>
        <v>52679641.818181828</v>
      </c>
      <c r="P59" s="706">
        <f>tloutputCh3Prod2Slot3CM*P58</f>
        <v>0</v>
      </c>
      <c r="Q59" s="706">
        <f t="shared" si="28"/>
        <v>550502257.00000012</v>
      </c>
      <c r="R59" s="706">
        <f>tloutputCh3Prod3Slot1CM*R58</f>
        <v>550502257.00000012</v>
      </c>
      <c r="S59" s="706">
        <f>tloutputCh3Prod3Slot2CM*S58</f>
        <v>0</v>
      </c>
      <c r="T59" s="706">
        <f>tloutputCh3Prod3Slot3CM*T58</f>
        <v>0</v>
      </c>
      <c r="U59" s="706">
        <f t="shared" si="29"/>
        <v>10283782.926136369</v>
      </c>
      <c r="V59" s="706">
        <f>tloutputCh3Prod1Slot1CM*V58</f>
        <v>10283782.926136369</v>
      </c>
      <c r="W59" s="706">
        <f>tloutputCh3Prod1Slot2CM*W58</f>
        <v>0</v>
      </c>
      <c r="X59" s="706">
        <f>tloutputCh3Prod1Slot3CM*X58</f>
        <v>0</v>
      </c>
      <c r="Y59" s="706">
        <f>Z59+AA59+AB59</f>
        <v>0</v>
      </c>
      <c r="Z59" s="706">
        <f>tloutputCh3Prod4Slot1CM*Z58</f>
        <v>0</v>
      </c>
      <c r="AA59" s="706">
        <f>tloutputCh3Prod4Slot2CM*AA58</f>
        <v>0</v>
      </c>
      <c r="AB59" s="596">
        <f>tloutputCh3Prod4Slot3CM*AB58</f>
        <v>0</v>
      </c>
      <c r="AC59" s="701"/>
    </row>
    <row r="60" spans="4:38" ht="15.75" thickBot="1">
      <c r="D60" s="546"/>
      <c r="E60" s="545">
        <f>INDEX(L60:AB60,,calcCh3VtCode)</f>
        <v>0.48857142857142849</v>
      </c>
      <c r="F60" s="544" t="s">
        <v>6838</v>
      </c>
      <c r="G60" s="544"/>
      <c r="H60" s="544"/>
      <c r="I60" s="544"/>
      <c r="J60" s="544"/>
      <c r="K60" s="543" t="s">
        <v>3674</v>
      </c>
      <c r="L60" s="542" t="str">
        <f>""</f>
        <v/>
      </c>
      <c r="M60" s="542" t="str">
        <f>""</f>
        <v/>
      </c>
      <c r="N60" s="752">
        <f>INDEX(calcCh3Prod2Slot1WD,,xxIndexTeam)</f>
        <v>0.48857142857142849</v>
      </c>
      <c r="O60" s="752">
        <f>INDEX(calcCh3Prod2Slot2WD,,xxIndexTeam)</f>
        <v>0.68857142857142861</v>
      </c>
      <c r="P60" s="752">
        <f>INDEX(calcCh3Prod2Slot3WD,,xxIndexTeam)</f>
        <v>0.06</v>
      </c>
      <c r="Q60" s="542" t="str">
        <f>""</f>
        <v/>
      </c>
      <c r="R60" s="752">
        <f>INDEX(calcCh3Prod3Slot1WD,,xxIndexTeam)</f>
        <v>0.73142857142857154</v>
      </c>
      <c r="S60" s="752">
        <f>INDEX(calcCh3Prod3Slot2WD,,xxIndexTeam)</f>
        <v>0.06</v>
      </c>
      <c r="T60" s="752">
        <f>INDEX(calcCh3Prod3Slot3WD,,xxIndexTeam)</f>
        <v>0.06</v>
      </c>
      <c r="U60" s="542" t="str">
        <f>""</f>
        <v/>
      </c>
      <c r="V60" s="752">
        <f>INDEX(calcCh3Prod1Slot1WD,,xxIndexTeam)</f>
        <v>0.38857142857142857</v>
      </c>
      <c r="W60" s="752">
        <f>INDEX(calcCh3Prod1Slot2WD,,xxIndexTeam)</f>
        <v>0.06</v>
      </c>
      <c r="X60" s="752">
        <f>INDEX(calcCh3Prod1Slot3WD,,xxIndexTeam)</f>
        <v>0.06</v>
      </c>
      <c r="Y60" s="542" t="str">
        <f>""</f>
        <v/>
      </c>
      <c r="Z60" s="752">
        <f>INDEX(calcCh3Prod4Slot1WD,,xxIndexTeam)</f>
        <v>0.06</v>
      </c>
      <c r="AA60" s="752">
        <f>INDEX(calcCh3Prod4Slot2WD,,xxIndexTeam)</f>
        <v>0.06</v>
      </c>
      <c r="AB60" s="753">
        <f>INDEX(calcCh3Prod4Slot3WD,,xxIndexTeam)</f>
        <v>0.06</v>
      </c>
      <c r="AC60" s="701"/>
    </row>
    <row r="61" spans="4:38" ht="15">
      <c r="E61" s="707"/>
      <c r="L61" s="613" t="str">
        <f>nmCh3</f>
        <v>Convenience</v>
      </c>
      <c r="M61" s="613" t="str">
        <f>nmProd2</f>
        <v>Harken</v>
      </c>
      <c r="N61" s="613" t="str">
        <f>nmProd2&amp;" Slot 1"</f>
        <v>Harken Slot 1</v>
      </c>
      <c r="O61" s="613" t="str">
        <f>nmProd2&amp;" Slot 2"</f>
        <v>Harken Slot 2</v>
      </c>
      <c r="P61" s="613" t="str">
        <f>nmProd2&amp;" Slot 3"</f>
        <v>Harken Slot 3</v>
      </c>
      <c r="Q61" s="613" t="str">
        <f>nmProd3</f>
        <v>Kara</v>
      </c>
      <c r="R61" s="613" t="str">
        <f>nmProd3&amp;" Slot 1"</f>
        <v>Kara Slot 1</v>
      </c>
      <c r="S61" s="613" t="str">
        <f>nmProd3&amp;" Slot 2"</f>
        <v>Kara Slot 2</v>
      </c>
      <c r="T61" s="613" t="str">
        <f>nmProd3&amp;" Slot 3"</f>
        <v>Kara Slot 3</v>
      </c>
      <c r="U61" s="613" t="str">
        <f>nmProd1</f>
        <v>Greenborg</v>
      </c>
      <c r="V61" s="613" t="str">
        <f>nmProd1&amp;" Slot 1"</f>
        <v>Greenborg Slot 1</v>
      </c>
      <c r="W61" s="613" t="str">
        <f>nmProd1&amp;" Slot 2"</f>
        <v>Greenborg Slot 2</v>
      </c>
      <c r="X61" s="613" t="str">
        <f>nmProd1&amp;" Slot 3"</f>
        <v>Greenborg Slot 3</v>
      </c>
      <c r="Y61" s="613" t="str">
        <f>nmProd4</f>
        <v>Brew Master</v>
      </c>
      <c r="Z61" s="613" t="str">
        <f>nmProd4&amp;" Slot 1"</f>
        <v>Brew Master Slot 1</v>
      </c>
      <c r="AA61" s="613" t="str">
        <f>nmProd4&amp;" Slot 2"</f>
        <v>Brew Master Slot 2</v>
      </c>
      <c r="AB61" s="613" t="str">
        <f>nmProd4&amp;" Slot 3"</f>
        <v>Brew Master Slot 3</v>
      </c>
    </row>
    <row r="62" spans="4:38" ht="15.75" thickBot="1">
      <c r="D62" s="702" t="s">
        <v>6546</v>
      </c>
      <c r="E62" s="707"/>
      <c r="F62" s="802"/>
      <c r="G62" s="802"/>
      <c r="H62" s="802"/>
      <c r="I62" s="802"/>
      <c r="J62" s="802"/>
      <c r="K62" s="802"/>
      <c r="L62" s="802"/>
      <c r="M62" s="802"/>
      <c r="N62" s="802"/>
      <c r="O62" s="802"/>
      <c r="P62" s="802"/>
      <c r="Q62" s="802"/>
      <c r="R62" s="802"/>
      <c r="S62" s="802"/>
      <c r="T62" s="802"/>
      <c r="U62" s="802"/>
      <c r="V62" s="802"/>
      <c r="W62" s="802"/>
      <c r="X62" s="802"/>
      <c r="Y62" s="802"/>
      <c r="Z62" s="802"/>
      <c r="AA62" s="802"/>
      <c r="AB62" s="802"/>
    </row>
    <row r="63" spans="4:38" ht="28.5">
      <c r="D63" s="555"/>
      <c r="E63" s="541"/>
      <c r="F63" s="600"/>
      <c r="G63" s="600"/>
      <c r="H63" s="600"/>
      <c r="I63" s="600"/>
      <c r="J63" s="600"/>
      <c r="K63" s="600"/>
      <c r="L63" s="607" t="str">
        <f>nmCh3</f>
        <v>Convenience</v>
      </c>
      <c r="M63" s="595" t="str">
        <f>nmProd2</f>
        <v>Harken</v>
      </c>
      <c r="N63" s="595" t="str">
        <f>nmProd2&amp;" Slot 1"</f>
        <v>Harken Slot 1</v>
      </c>
      <c r="O63" s="595" t="str">
        <f>nmProd2&amp;" Slot 2"</f>
        <v>Harken Slot 2</v>
      </c>
      <c r="P63" s="595" t="str">
        <f>nmProd2&amp;" Slot 3"</f>
        <v>Harken Slot 3</v>
      </c>
      <c r="Q63" s="595" t="str">
        <f>nmProd3</f>
        <v>Kara</v>
      </c>
      <c r="R63" s="595" t="str">
        <f>nmProd3&amp;" Slot 1"</f>
        <v>Kara Slot 1</v>
      </c>
      <c r="S63" s="595" t="str">
        <f>nmProd3&amp;" Slot 2"</f>
        <v>Kara Slot 2</v>
      </c>
      <c r="T63" s="595" t="str">
        <f>nmProd3&amp;" Slot 3"</f>
        <v>Kara Slot 3</v>
      </c>
      <c r="U63" s="595" t="str">
        <f>nmProd1</f>
        <v>Greenborg</v>
      </c>
      <c r="V63" s="595" t="str">
        <f>nmProd1&amp;" Slot 1"</f>
        <v>Greenborg Slot 1</v>
      </c>
      <c r="W63" s="595" t="str">
        <f>nmProd1&amp;" Slot 2"</f>
        <v>Greenborg Slot 2</v>
      </c>
      <c r="X63" s="595" t="str">
        <f>nmProd1&amp;" Slot 3"</f>
        <v>Greenborg Slot 3</v>
      </c>
      <c r="Y63" s="595" t="str">
        <f>nmProd4</f>
        <v>Brew Master</v>
      </c>
      <c r="Z63" s="595" t="str">
        <f>nmProd4&amp;" Slot 1"</f>
        <v>Brew Master Slot 1</v>
      </c>
      <c r="AA63" s="595" t="str">
        <f>nmProd4&amp;" Slot 2"</f>
        <v>Brew Master Slot 2</v>
      </c>
      <c r="AB63" s="594" t="str">
        <f>nmProd4&amp;" Slot 3"</f>
        <v>Brew Master Slot 3</v>
      </c>
      <c r="AC63" s="701"/>
    </row>
    <row r="64" spans="4:38" ht="18" customHeight="1">
      <c r="D64" s="554"/>
      <c r="E64" s="604"/>
      <c r="F64" s="720"/>
      <c r="G64" s="720"/>
      <c r="H64" s="720"/>
      <c r="I64" s="720"/>
      <c r="J64" s="720"/>
      <c r="K64" s="608" t="s">
        <v>4405</v>
      </c>
      <c r="L64" s="887">
        <f>M64+Q64+U64+Y64</f>
        <v>183378500</v>
      </c>
      <c r="M64" s="887">
        <f>SUM(N64:P64)</f>
        <v>72434507.5</v>
      </c>
      <c r="N64" s="888">
        <f>INDEX(finCalcCh3Prod2Slot1VolSold,,xxIndexTeam)</f>
        <v>28973803</v>
      </c>
      <c r="O64" s="888">
        <f>INDEX(finCalcCh3Prod2Slot2VolSold,,xxIndexTeam)</f>
        <v>43460704.5</v>
      </c>
      <c r="P64" s="888">
        <f>INDEX(finCalcCh3Prod2Slot3VolSold,,xxIndexTeam)</f>
        <v>0</v>
      </c>
      <c r="Q64" s="887">
        <f>SUM(R64:T64)</f>
        <v>72434507.5</v>
      </c>
      <c r="R64" s="888">
        <f>INDEX(finCalcCh3Prod3Slot1VolSold,,xxIndexTeam)</f>
        <v>72434507.5</v>
      </c>
      <c r="S64" s="888">
        <f>INDEX(finCalcCh3Prod3Slot2VolSold,,xxIndexTeam)</f>
        <v>0</v>
      </c>
      <c r="T64" s="888">
        <f>INDEX(finCalcCh3Prod3Slot3VolSold,,xxIndexTeam)</f>
        <v>0</v>
      </c>
      <c r="U64" s="887">
        <f>SUM(V64:X64)</f>
        <v>38509485</v>
      </c>
      <c r="V64" s="888">
        <f>INDEX(finCalcCh3Prod1Slot1VolSold,,xxIndexTeam)</f>
        <v>38509485</v>
      </c>
      <c r="W64" s="888">
        <f>INDEX(finCalcCh3Prod1Slot2VolSold,,xxIndexTeam)</f>
        <v>0</v>
      </c>
      <c r="X64" s="888">
        <f>INDEX(finCalcCh3Prod1Slot3VolSold,,xxIndexTeam)</f>
        <v>0</v>
      </c>
      <c r="Y64" s="887">
        <f>SUM(Z64:AB64)</f>
        <v>0</v>
      </c>
      <c r="Z64" s="888">
        <f>INDEX(finCalcCh3Prod4Slot1VolSold,,xxIndexTeam)</f>
        <v>0</v>
      </c>
      <c r="AA64" s="888">
        <f>INDEX(finCalcCh3Prod4Slot2VolSold,,xxIndexTeam)</f>
        <v>0</v>
      </c>
      <c r="AB64" s="888">
        <f>INDEX(finCalcCh3Prod4Slot3VolSold,,xxIndexTeam)</f>
        <v>0</v>
      </c>
      <c r="AC64" s="701"/>
      <c r="AD64" s="628" t="s">
        <v>6808</v>
      </c>
      <c r="AE64" s="612" t="s">
        <v>6591</v>
      </c>
    </row>
    <row r="65" spans="4:54" ht="15.75" thickBot="1">
      <c r="D65" s="554"/>
      <c r="E65" s="540"/>
      <c r="F65" s="876" t="s">
        <v>9737</v>
      </c>
      <c r="G65" s="876" t="s">
        <v>9062</v>
      </c>
      <c r="H65" s="720"/>
      <c r="I65" s="720"/>
      <c r="J65" s="720"/>
      <c r="K65" s="608" t="s">
        <v>9059</v>
      </c>
      <c r="L65" s="887">
        <f>M65+Q65+U65+Y65</f>
        <v>401666033.31411469</v>
      </c>
      <c r="M65" s="887">
        <f>INDEX(obalCh3Prod2Slot1GPaL,,xxIndexTeam)+INDEX(obalCh3Prod2Slot2GPaL,,xxIndexTeam)+INDEX(obalCh3Prod2Slot3GPaL,,xxIndexTeam)</f>
        <v>205169523.56065607</v>
      </c>
      <c r="N65" s="888">
        <f>IF(INDEX(obalCh3Prod2Slot1Pack,,xxIndexTeam)=INDEX(cbalCh3Prod2Slot1Pack,,xxIndexTeam),INDEX(obalCh3Prod2Slot1GPaL,,xxIndexTeam),0)</f>
        <v>78440440.819043785</v>
      </c>
      <c r="O65" s="888">
        <f>IF(INDEX(obalCh3Prod2Slot2Pack,,xxIndexTeam)=INDEX(cbalCh3Prod2Slot2Pack,,xxIndexTeam),INDEX(obalCh3Prod2Slot2GPaL,,xxIndexTeam),0)</f>
        <v>126729082.74161227</v>
      </c>
      <c r="P65" s="888">
        <f>IF(INDEX(obalCh3Prod2Slot3Pack,,xxIndexTeam)=INDEX(cbalCh3Prod2Slot3Pack,,xxIndexTeam),INDEX(obalCh3Prod2Slot3GPaL,,xxIndexTeam),0)</f>
        <v>0</v>
      </c>
      <c r="Q65" s="887">
        <f>INDEX(obalCh3Prod3Slot1GPaL,,xxIndexTeam)+INDEX(obalCh3Prod3Slot2GPaL,,xxIndexTeam)+INDEX(obalCh3Prod3Slot3GPaL,,xxIndexTeam)</f>
        <v>121601820.88654259</v>
      </c>
      <c r="R65" s="888">
        <f>IF(INDEX(obalCh3Prod3Slot1Pack,,xxIndexTeam)=INDEX(cbalCh3Prod3Slot1Pack,,xxIndexTeam),INDEX(obalCh3Prod3Slot1GPaL,,xxIndexTeam),0)</f>
        <v>121601820.88654259</v>
      </c>
      <c r="S65" s="888">
        <f>IF(INDEX(obalCh3Prod3Slot2Pack,,xxIndexTeam)=INDEX(cbalCh3Prod3Slot2Pack,,xxIndexTeam),INDEX(obalCh3Prod3Slot2GPaL,,xxIndexTeam),0)</f>
        <v>0</v>
      </c>
      <c r="T65" s="888">
        <f>IF(INDEX(obalCh3Prod3Slot3Pack,,xxIndexTeam)=INDEX(cbalCh3Prod3Slot3Pack,,xxIndexTeam),INDEX(obalCh3Prod3Slot3GPaL,,xxIndexTeam),0)</f>
        <v>0</v>
      </c>
      <c r="U65" s="887">
        <f>INDEX(obalCh3Prod1Slot1GPaL,,xxIndexTeam)+INDEX(obalCh3Prod1Slot2GPaL,,xxIndexTeam)+INDEX(obalCh3Prod1Slot3GPaL,,xxIndexTeam)</f>
        <v>74894688.866916031</v>
      </c>
      <c r="V65" s="888">
        <f>IF(INDEX(obalCh3Prod1Slot1Pack,,xxIndexTeam)=INDEX(cbalCh3Prod1Slot1Pack,,xxIndexTeam),INDEX(obalCh3Prod1Slot1GPaL,,xxIndexTeam),0)</f>
        <v>74894688.866916031</v>
      </c>
      <c r="W65" s="888">
        <f>IF(INDEX(obalCh3Prod1Slot2Pack,,xxIndexTeam)=INDEX(cbalCh3Prod1Slot2Pack,,xxIndexTeam),INDEX(obalCh3Prod1Slot2GPaL,,xxIndexTeam),0)</f>
        <v>0</v>
      </c>
      <c r="X65" s="888">
        <f>IF(INDEX(obalCh3Prod1Slot3Pack,,xxIndexTeam)=INDEX(cbalCh3Prod1Slot3Pack,,xxIndexTeam),INDEX(obalCh3Prod1Slot3GPaL,,xxIndexTeam),0)</f>
        <v>0</v>
      </c>
      <c r="Y65" s="887">
        <f>INDEX(obalCh3Prod4Slot1GPaL,,xxIndexTeam)+INDEX(obalCh3Prod4Slot2GPaL,,xxIndexTeam)+INDEX(obalCh3Prod4Slot3GPaL,,xxIndexTeam)</f>
        <v>0</v>
      </c>
      <c r="Z65" s="888">
        <f>IF(INDEX(obalCh3Prod4Slot1Pack,,xxIndexTeam)=INDEX(cbalCh3Prod4Slot1Pack,,xxIndexTeam),INDEX(obalCh3Prod4Slot1GPaL,,xxIndexTeam),0)</f>
        <v>0</v>
      </c>
      <c r="AA65" s="888">
        <f>IF(INDEX(obalCh3Prod4Slot2Pack,,xxIndexTeam)=INDEX(cbalCh3Prod4Slot2Pack,,xxIndexTeam),INDEX(obalCh3Prod4Slot2GPaL,,xxIndexTeam),0)</f>
        <v>0</v>
      </c>
      <c r="AB65" s="888">
        <f>IF(INDEX(obalCh3Prod4Slot3Pack,,xxIndexTeam)=INDEX(cbalCh3Prod4Slot3Pack,,xxIndexTeam),INDEX(obalCh3Prod4Slot3GPaL,,xxIndexTeam),0)</f>
        <v>0</v>
      </c>
      <c r="AC65" s="701"/>
      <c r="AE65" s="702" t="s">
        <v>6592</v>
      </c>
    </row>
    <row r="66" spans="4:54" ht="15">
      <c r="D66" s="554"/>
      <c r="E66" s="540"/>
      <c r="F66" s="876" t="s">
        <v>6839</v>
      </c>
      <c r="G66" s="876" t="s">
        <v>9062</v>
      </c>
      <c r="H66" s="720"/>
      <c r="I66" s="720"/>
      <c r="J66" s="720"/>
      <c r="K66" s="608" t="s">
        <v>295</v>
      </c>
      <c r="L66" s="887">
        <f t="shared" ref="L66:L70" si="31">M66+Q66+U66+Y66</f>
        <v>-5568397.2430412229</v>
      </c>
      <c r="M66" s="887">
        <f>SUM(N66:P66)</f>
        <v>-4720900.6433822475</v>
      </c>
      <c r="N66" s="889">
        <f>IFERROR(IF(INDEX(obalCh3Prod2Slot1Pack,,xxIndexTeam)=INDEX(cbalCh3Prod2Slot1Pack,,xxIndexTeam),N77,0),0)</f>
        <v>-6788975.6545716254</v>
      </c>
      <c r="O66" s="889">
        <f>IFERROR(IF(INDEX(obalCh3Prod2Slot2Pack,,xxIndexTeam)=INDEX(cbalCh3Prod2Slot2Pack,,xxIndexTeam),O77,0),0)</f>
        <v>2068075.0111893776</v>
      </c>
      <c r="P66" s="889">
        <f>IFERROR(IF(INDEX(obalCh3Prod2Slot3Pack,,xxIndexTeam)=INDEX(cbalCh3Prod2Slot3Pack,,xxIndexTeam),P77,0),0)</f>
        <v>0</v>
      </c>
      <c r="Q66" s="887">
        <f>SUM(R66:T66)</f>
        <v>165515.27680498103</v>
      </c>
      <c r="R66" s="889">
        <f>IFERROR(IF(INDEX(obalCh3Prod3Slot1Pack,,xxIndexTeam)=INDEX(cbalCh3Prod3Slot1Pack,,xxIndexTeam),R77,0),0)</f>
        <v>165515.27680498103</v>
      </c>
      <c r="S66" s="889">
        <f>IFERROR(IF(INDEX(obalCh3Prod3Slot2Pack,,xxIndexTeam)=INDEX(cbalCh3Prod3Slot2Pack,,xxIndexTeam),S77,0),0)</f>
        <v>0</v>
      </c>
      <c r="T66" s="889">
        <f>IFERROR(IF(INDEX(obalCh3Prod3Slot3Pack,,xxIndexTeam)=INDEX(cbalCh3Prod3Slot3Pack,,xxIndexTeam),T77,0),0)</f>
        <v>0</v>
      </c>
      <c r="U66" s="887">
        <f>SUM(V66:X66)</f>
        <v>-1013011.8764639559</v>
      </c>
      <c r="V66" s="889">
        <f>IFERROR(IF(INDEX(obalCh3Prod1Slot1Pack,,xxIndexTeam)=INDEX(cbalCh3Prod1Slot1Pack,,xxIndexTeam),V77,0),0)</f>
        <v>-1013011.8764639559</v>
      </c>
      <c r="W66" s="889">
        <f>IFERROR(IF(INDEX(obalCh3Prod1Slot2Pack,,xxIndexTeam)=INDEX(cbalCh3Prod1Slot2Pack,,xxIndexTeam),W77,0),0)</f>
        <v>0</v>
      </c>
      <c r="X66" s="889">
        <f>IFERROR(IF(INDEX(obalCh3Prod1Slot3Pack,,xxIndexTeam)=INDEX(cbalCh3Prod1Slot3Pack,,xxIndexTeam),X77,0),0)</f>
        <v>0</v>
      </c>
      <c r="Y66" s="887">
        <f>SUM(Z66:AB66)</f>
        <v>0</v>
      </c>
      <c r="Z66" s="889">
        <f>IFERROR(IF(INDEX(obalCh3Prod4Slot1Pack,,xxIndexTeam)=INDEX(cbalCh3Prod4Slot1Pack,,xxIndexTeam),Z77,0),0)</f>
        <v>0</v>
      </c>
      <c r="AA66" s="889">
        <f>IFERROR(IF(INDEX(obalCh3Prod4Slot2Pack,,xxIndexTeam)=INDEX(cbalCh3Prod4Slot2Pack,,xxIndexTeam),AA77,0),0)</f>
        <v>0</v>
      </c>
      <c r="AB66" s="889">
        <f>IFERROR(IF(INDEX(obalCh3Prod4Slot3Pack,,xxIndexTeam)=INDEX(cbalCh3Prod4Slot3Pack,,xxIndexTeam),AB77,0),0)</f>
        <v>0</v>
      </c>
      <c r="AC66" s="701"/>
      <c r="AE66" s="555" t="str">
        <f>nmProd1</f>
        <v>Greenborg</v>
      </c>
      <c r="AF66" s="600"/>
      <c r="AG66" s="600"/>
      <c r="AH66" s="561"/>
      <c r="AI66" s="555"/>
      <c r="AJ66" s="600"/>
      <c r="AK66" s="600"/>
      <c r="AL66" s="561"/>
      <c r="AM66" s="555"/>
      <c r="AN66" s="600"/>
      <c r="AO66" s="600"/>
      <c r="AP66" s="561"/>
      <c r="AQ66" s="555"/>
      <c r="AR66" s="600"/>
      <c r="AS66" s="600"/>
      <c r="AT66" s="561"/>
      <c r="AU66" s="555"/>
      <c r="AV66" s="600"/>
      <c r="AW66" s="600"/>
      <c r="AX66" s="561"/>
      <c r="AY66" s="555"/>
      <c r="AZ66" s="600"/>
      <c r="BA66" s="600"/>
      <c r="BB66" s="561"/>
    </row>
    <row r="67" spans="4:54" ht="15">
      <c r="D67" s="554"/>
      <c r="E67" s="540"/>
      <c r="F67" s="876" t="s">
        <v>6840</v>
      </c>
      <c r="G67" s="876" t="s">
        <v>9062</v>
      </c>
      <c r="H67" s="720"/>
      <c r="I67" s="720"/>
      <c r="J67" s="720"/>
      <c r="K67" s="608" t="s">
        <v>151</v>
      </c>
      <c r="L67" s="887">
        <f t="shared" si="31"/>
        <v>-14429986.658874417</v>
      </c>
      <c r="M67" s="887">
        <f>SUM(N67:P67)</f>
        <v>-2791082.4801333146</v>
      </c>
      <c r="N67" s="889">
        <f>IFERROR(IF(INDEX(obalCh3Prod2Slot1Pack,,xxIndexTeam)=INDEX(cbalCh3Prod2Slot1Pack,,xxIndexTeam),N78,0),0)-N69</f>
        <v>1631577.0494787272</v>
      </c>
      <c r="O67" s="889">
        <f>IFERROR(IF(INDEX(obalCh3Prod2Slot2Pack,,xxIndexTeam)=INDEX(cbalCh3Prod2Slot2Pack,,xxIndexTeam),O78,0),0)-O69</f>
        <v>-4422659.529612042</v>
      </c>
      <c r="P67" s="889">
        <f>IFERROR(IF(INDEX(obalCh3Prod2Slot3Pack,,xxIndexTeam)=INDEX(cbalCh3Prod2Slot3Pack,,xxIndexTeam),P78,0),0)-P69</f>
        <v>0</v>
      </c>
      <c r="Q67" s="887">
        <f>SUM(R67:T67)</f>
        <v>-6774914.4841199229</v>
      </c>
      <c r="R67" s="889">
        <f>IFERROR(IF(INDEX(obalCh3Prod3Slot1Pack,,xxIndexTeam)=INDEX(cbalCh3Prod3Slot1Pack,,xxIndexTeam),R78,0),0)-R69</f>
        <v>-6774914.4841199229</v>
      </c>
      <c r="S67" s="889">
        <f>IFERROR(IF(INDEX(obalCh3Prod3Slot2Pack,,xxIndexTeam)=INDEX(cbalCh3Prod3Slot2Pack,,xxIndexTeam),S78,0),0)-S69</f>
        <v>0</v>
      </c>
      <c r="T67" s="889">
        <f>IFERROR(IF(INDEX(obalCh3Prod3Slot3Pack,,xxIndexTeam)=INDEX(cbalCh3Prod3Slot3Pack,,xxIndexTeam),T78,0),0)-T69</f>
        <v>0</v>
      </c>
      <c r="U67" s="887">
        <f>SUM(V67:X67)</f>
        <v>-4863989.6946211793</v>
      </c>
      <c r="V67" s="889">
        <f>IFERROR(IF(INDEX(obalCh3Prod1Slot1Pack,,xxIndexTeam)=INDEX(cbalCh3Prod1Slot1Pack,,xxIndexTeam),V78,0),0)-V69</f>
        <v>-4863989.6946211793</v>
      </c>
      <c r="W67" s="889">
        <f>IFERROR(IF(INDEX(obalCh3Prod1Slot2Pack,,xxIndexTeam)=INDEX(cbalCh3Prod1Slot2Pack,,xxIndexTeam),W78,0),0)-W69</f>
        <v>0</v>
      </c>
      <c r="X67" s="889">
        <f>IFERROR(IF(INDEX(obalCh3Prod1Slot3Pack,,xxIndexTeam)=INDEX(cbalCh3Prod1Slot3Pack,,xxIndexTeam),X78,0),0)-X69</f>
        <v>0</v>
      </c>
      <c r="Y67" s="887">
        <f>SUM(Z67:AB67)</f>
        <v>0</v>
      </c>
      <c r="Z67" s="889">
        <f>IFERROR(IF(INDEX(obalCh3Prod4Slot1Pack,,xxIndexTeam)=INDEX(cbalCh3Prod4Slot1Pack,,xxIndexTeam),Z78,0),0)-Z69</f>
        <v>0</v>
      </c>
      <c r="AA67" s="889">
        <f>IFERROR(IF(INDEX(obalCh3Prod4Slot2Pack,,xxIndexTeam)=INDEX(cbalCh3Prod4Slot2Pack,,xxIndexTeam),AA78,0),0)-AA69</f>
        <v>0</v>
      </c>
      <c r="AB67" s="889">
        <f>IFERROR(IF(INDEX(obalCh3Prod4Slot3Pack,,xxIndexTeam)=INDEX(cbalCh3Prod4Slot3Pack,,xxIndexTeam),AB78,0),0)-AB69</f>
        <v>0</v>
      </c>
      <c r="AC67" s="701"/>
      <c r="AE67" s="554"/>
      <c r="AF67" s="720"/>
      <c r="AG67" s="548">
        <f>tlinputCh3Prod1Slot1CustPrice*(1+VLOOKUP(tlOutputProd1,dataCustomerMargin,4,FALSE))</f>
        <v>9.1650000000000009</v>
      </c>
      <c r="AH67" s="584" t="s">
        <v>6842</v>
      </c>
      <c r="AI67" s="554"/>
      <c r="AJ67" s="720"/>
      <c r="AK67" s="548">
        <f>tlOutputCh3Prod1Slot1SP-tlinputCh3Prod1Slot1CustPrice</f>
        <v>2.1150000000000011</v>
      </c>
      <c r="AL67" s="584" t="s">
        <v>5004</v>
      </c>
      <c r="AM67" s="554"/>
      <c r="AN67" s="720"/>
      <c r="AO67" s="548">
        <f>tlinputCh3Prod1Slot1CustPrice*(1-tloutputCh3Prod1Slot1AvgPromoDis)</f>
        <v>5.6400000000000006</v>
      </c>
      <c r="AP67" s="584" t="s">
        <v>5028</v>
      </c>
      <c r="AQ67" s="554"/>
      <c r="AR67" s="720"/>
      <c r="AS67" s="548">
        <f>INDEX(calcCh3Prod1Slot1AvgSalePrice,,xxIndexTeam)</f>
        <v>6.6974999999999998</v>
      </c>
      <c r="AT67" s="584" t="s">
        <v>5040</v>
      </c>
      <c r="AU67" s="554"/>
      <c r="AV67" s="720"/>
      <c r="AW67" s="548">
        <f>ROUND(VLOOKUP(tlinputCh3Prod1Slot1Pack,dataPackPrice,4,FALSE)*0.8,2)</f>
        <v>6.08</v>
      </c>
      <c r="AX67" s="584" t="s">
        <v>8558</v>
      </c>
      <c r="AY67" s="554"/>
      <c r="AZ67" s="720"/>
      <c r="BA67" s="548">
        <f>ROUND(VLOOKUP(tlinputCh3Prod1Slot1Pack,dataPackPrice,4,FALSE)*1.2,2)</f>
        <v>9.1199999999999992</v>
      </c>
      <c r="BB67" s="584" t="s">
        <v>8559</v>
      </c>
    </row>
    <row r="68" spans="4:54" ht="15">
      <c r="D68" s="554"/>
      <c r="E68" s="540"/>
      <c r="F68" s="876" t="s">
        <v>6841</v>
      </c>
      <c r="G68" s="876" t="s">
        <v>9062</v>
      </c>
      <c r="H68" s="720"/>
      <c r="I68" s="720"/>
      <c r="J68" s="720"/>
      <c r="K68" s="608" t="s">
        <v>9060</v>
      </c>
      <c r="L68" s="887">
        <f t="shared" si="31"/>
        <v>-4.4703483581542969E-8</v>
      </c>
      <c r="M68" s="887">
        <f>(M65+M66+M67+M69-M70)*-1</f>
        <v>-2.9802322387695313E-8</v>
      </c>
      <c r="N68" s="887">
        <v>0</v>
      </c>
      <c r="O68" s="887">
        <v>0</v>
      </c>
      <c r="P68" s="887">
        <v>0</v>
      </c>
      <c r="Q68" s="887">
        <f>(Q65+Q66+Q67+Q69-Q70)*-1</f>
        <v>0</v>
      </c>
      <c r="R68" s="887">
        <v>0</v>
      </c>
      <c r="S68" s="887">
        <v>0</v>
      </c>
      <c r="T68" s="887">
        <v>0</v>
      </c>
      <c r="U68" s="887">
        <f>(U65+U66+U67+U69-U70)*-1</f>
        <v>-1.4901161193847656E-8</v>
      </c>
      <c r="V68" s="887">
        <v>0</v>
      </c>
      <c r="W68" s="887">
        <v>0</v>
      </c>
      <c r="X68" s="887">
        <v>0</v>
      </c>
      <c r="Y68" s="887">
        <f>(Y65+Y66+Y67+Y69-Y70)*-1</f>
        <v>0</v>
      </c>
      <c r="Z68" s="887">
        <v>0</v>
      </c>
      <c r="AA68" s="887">
        <v>0</v>
      </c>
      <c r="AB68" s="887">
        <v>0</v>
      </c>
      <c r="AC68" s="701"/>
      <c r="AE68" s="554"/>
      <c r="AF68" s="720"/>
      <c r="AG68" s="548">
        <f>tlinputCh3Prod1Slot2CustPrice*(1+VLOOKUP(tlOutputProd1,dataCustomerMargin,4,FALSE))</f>
        <v>0</v>
      </c>
      <c r="AH68" s="584" t="s">
        <v>6844</v>
      </c>
      <c r="AI68" s="554"/>
      <c r="AJ68" s="720"/>
      <c r="AK68" s="548">
        <f>tlOutputCh3Prod1Slot2SP-tlinputCh3Prod1Slot2CustPrice</f>
        <v>0</v>
      </c>
      <c r="AL68" s="584" t="s">
        <v>5005</v>
      </c>
      <c r="AM68" s="554"/>
      <c r="AN68" s="720"/>
      <c r="AO68" s="548">
        <f>tlinputCh3Prod1Slot2CustPrice*(1-tloutputCh3Prod1Slot1AvgPromoDis)</f>
        <v>0</v>
      </c>
      <c r="AP68" s="584" t="s">
        <v>5029</v>
      </c>
      <c r="AQ68" s="554"/>
      <c r="AR68" s="720"/>
      <c r="AS68" s="548">
        <f>INDEX(calcCh3Prod1Slot2AvgSalePrice,,xxIndexTeam)</f>
        <v>0</v>
      </c>
      <c r="AT68" s="584" t="s">
        <v>5041</v>
      </c>
      <c r="AU68" s="554"/>
      <c r="AV68" s="720"/>
      <c r="AW68" s="548">
        <f>ROUND(VLOOKUP(tlinputCh3Prod1Slot2Pack,dataPackPrice,4,FALSE)*0.8,2)</f>
        <v>0</v>
      </c>
      <c r="AX68" s="584" t="s">
        <v>8560</v>
      </c>
      <c r="AY68" s="554"/>
      <c r="AZ68" s="720"/>
      <c r="BA68" s="548">
        <f>ROUND(VLOOKUP(tlinputCh3Prod1Slot2Pack,dataPackPrice,4,FALSE)*1.2,2)</f>
        <v>0</v>
      </c>
      <c r="BB68" s="584" t="s">
        <v>8561</v>
      </c>
    </row>
    <row r="69" spans="4:54" ht="15">
      <c r="D69" s="554"/>
      <c r="E69" s="540"/>
      <c r="F69" s="876" t="s">
        <v>6843</v>
      </c>
      <c r="G69" s="876" t="s">
        <v>9062</v>
      </c>
      <c r="H69" s="720"/>
      <c r="I69" s="720"/>
      <c r="J69" s="720"/>
      <c r="K69" s="608" t="s">
        <v>157</v>
      </c>
      <c r="L69" s="887">
        <f>M69+Q69+U69+Y69</f>
        <v>-3445786.0963094793</v>
      </c>
      <c r="M69" s="887">
        <f>SUM(N69:P69)</f>
        <v>-1023466.55769093</v>
      </c>
      <c r="N69" s="889">
        <f>IFERROR(IF(INDEX(obalCh3Prod2Slot1Pack,,xxIndexTeam)=INDEX(cbalCh3Prod2Slot1Pack,,xxIndexTeam),N79,0),0)</f>
        <v>260508.23501404133</v>
      </c>
      <c r="O69" s="889">
        <f>IFERROR(IF(INDEX(obalCh3Prod2Slot2Pack,,xxIndexTeam)=INDEX(cbalCh3Prod2Slot2Pack,,xxIndexTeam),O79,0),0)</f>
        <v>-1283974.7927049713</v>
      </c>
      <c r="P69" s="889">
        <f>IFERROR(IF(INDEX(obalCh3Prod2Slot3Pack,,xxIndexTeam)=INDEX(cbalCh3Prod2Slot3Pack,,xxIndexTeam),P79,0),0)</f>
        <v>0</v>
      </c>
      <c r="Q69" s="887">
        <f>SUM(R69:T69)</f>
        <v>-767732.67260357738</v>
      </c>
      <c r="R69" s="889">
        <f>IFERROR(IF(INDEX(obalCh3Prod3Slot1Pack,,xxIndexTeam)=INDEX(cbalCh3Prod3Slot1Pack,,xxIndexTeam),R79,0),0)</f>
        <v>-767732.67260357738</v>
      </c>
      <c r="S69" s="889">
        <f>IFERROR(IF(INDEX(obalCh3Prod3Slot2Pack,,xxIndexTeam)=INDEX(cbalCh3Prod3Slot2Pack,,xxIndexTeam),S79,0),0)</f>
        <v>0</v>
      </c>
      <c r="T69" s="889">
        <f>IFERROR(IF(INDEX(obalCh3Prod3Slot3Pack,,xxIndexTeam)=INDEX(cbalCh3Prod3Slot3Pack,,xxIndexTeam),T79,0),0)</f>
        <v>0</v>
      </c>
      <c r="U69" s="887">
        <f>SUM(V69:X69)</f>
        <v>-1654586.8660149719</v>
      </c>
      <c r="V69" s="889">
        <f>IFERROR(IF(INDEX(obalCh3Prod1Slot1Pack,,xxIndexTeam)=INDEX(cbalCh3Prod1Slot1Pack,,xxIndexTeam),V79,0),0)</f>
        <v>-1654586.8660149719</v>
      </c>
      <c r="W69" s="889">
        <f>IFERROR(IF(INDEX(obalCh3Prod1Slot2Pack,,xxIndexTeam)=INDEX(cbalCh3Prod1Slot2Pack,,xxIndexTeam),W79,0),0)</f>
        <v>0</v>
      </c>
      <c r="X69" s="889">
        <f>IFERROR(IF(INDEX(obalCh3Prod1Slot3Pack,,xxIndexTeam)=INDEX(cbalCh3Prod1Slot3Pack,,xxIndexTeam),X79,0),0)</f>
        <v>0</v>
      </c>
      <c r="Y69" s="887">
        <f>SUM(Z69:AB69)</f>
        <v>0</v>
      </c>
      <c r="Z69" s="889">
        <f>IFERROR(IF(INDEX(obalCh3Prod4Slot1Pack,,xxIndexTeam)=INDEX(cbalCh3Prod4Slot1Pack,,xxIndexTeam),Z79,0),0)</f>
        <v>0</v>
      </c>
      <c r="AA69" s="889">
        <f>IFERROR(IF(INDEX(obalCh3Prod4Slot2Pack,,xxIndexTeam)=INDEX(cbalCh3Prod4Slot2Pack,,xxIndexTeam),AA79,0),0)</f>
        <v>0</v>
      </c>
      <c r="AB69" s="889">
        <f>IFERROR(IF(INDEX(obalCh3Prod4Slot3Pack,,xxIndexTeam)=INDEX(cbalCh3Prod4Slot3Pack,,xxIndexTeam),AB79,0),0)</f>
        <v>0</v>
      </c>
      <c r="AC69" s="701"/>
      <c r="AE69" s="554"/>
      <c r="AF69" s="720"/>
      <c r="AG69" s="548">
        <f>tlinputCh3Prod1Slot3CustPrice*(1+VLOOKUP(tlOutputProd1,dataCustomerMargin,4,FALSE))</f>
        <v>0</v>
      </c>
      <c r="AH69" s="584" t="s">
        <v>6845</v>
      </c>
      <c r="AI69" s="554"/>
      <c r="AJ69" s="720"/>
      <c r="AK69" s="548">
        <f>tlOutputCh3Prod1Slot3SP-tlinputCh3Prod1Slot3CustPrice</f>
        <v>0</v>
      </c>
      <c r="AL69" s="584" t="s">
        <v>5006</v>
      </c>
      <c r="AM69" s="554"/>
      <c r="AN69" s="720"/>
      <c r="AO69" s="548">
        <f>tlinputCh3Prod1Slot3CustPrice*(1-tloutputCh3Prod1Slot1AvgPromoDis)</f>
        <v>0</v>
      </c>
      <c r="AP69" s="584" t="s">
        <v>5030</v>
      </c>
      <c r="AQ69" s="554"/>
      <c r="AR69" s="720"/>
      <c r="AS69" s="548">
        <f>INDEX(calcCh3Prod1Slot3AvgSalePrice,,xxIndexTeam)</f>
        <v>0</v>
      </c>
      <c r="AT69" s="584" t="s">
        <v>5042</v>
      </c>
      <c r="AU69" s="554"/>
      <c r="AV69" s="720"/>
      <c r="AW69" s="548">
        <f>ROUND(VLOOKUP(tlinputCh3Prod1Slot3Pack,dataPackPrice,4,FALSE)*0.8,2)</f>
        <v>0</v>
      </c>
      <c r="AX69" s="584" t="s">
        <v>8562</v>
      </c>
      <c r="AY69" s="554"/>
      <c r="AZ69" s="720"/>
      <c r="BA69" s="548">
        <f>ROUND(VLOOKUP(tlinputCh3Prod1Slot3Pack,dataPackPrice,4,FALSE)*1.2,2)</f>
        <v>0</v>
      </c>
      <c r="BB69" s="584" t="s">
        <v>8563</v>
      </c>
    </row>
    <row r="70" spans="4:54" ht="15.75" thickBot="1">
      <c r="D70" s="546"/>
      <c r="E70" s="539"/>
      <c r="F70" s="877" t="s">
        <v>9738</v>
      </c>
      <c r="G70" s="877" t="s">
        <v>9062</v>
      </c>
      <c r="H70" s="544"/>
      <c r="I70" s="544"/>
      <c r="J70" s="544"/>
      <c r="K70" s="543" t="s">
        <v>9058</v>
      </c>
      <c r="L70" s="891">
        <f t="shared" si="31"/>
        <v>378221863.31588948</v>
      </c>
      <c r="M70" s="891">
        <f>INDEX(cbalCh3Prod2Slot1GPaL,,xxIndexTeam)+INDEX(cbalCh3Prod2Slot2GPaL,,xxIndexTeam)+INDEX(cbalCh3Prod2Slot3GPaL,,xxIndexTeam)</f>
        <v>196634073.87944955</v>
      </c>
      <c r="N70" s="892">
        <f>IF(AND(INDEX(obalCh3Prod2Slot1Pack,,xxIndexTeam)=INDEX(cbalCh3Prod2Slot1Pack,,xxIndexTeam),INDEX(cbalCh3Prod2Slot1Active,,xxIndexTeam)=1),INDEX(cbalCh3Prod2Slot1GPaL,,xxIndexTeam),0)</f>
        <v>73543550.448964924</v>
      </c>
      <c r="O70" s="892">
        <f>IF(AND(INDEX(obalCh3Prod2Slot2Pack,,xxIndexTeam)=INDEX(cbalCh3Prod2Slot2Pack,,xxIndexTeam),INDEX(cbalCh3Prod2Slot2Active,,xxIndexTeam)=1),INDEX(cbalCh3Prod2Slot2GPaL,,xxIndexTeam),0)</f>
        <v>123090523.43048464</v>
      </c>
      <c r="P70" s="892">
        <f>IF(AND(INDEX(obalCh3Prod2Slot3Pack,,xxIndexTeam)=INDEX(cbalCh3Prod2Slot3Pack,,xxIndexTeam),INDEX(cbalCh3Prod2Slot3Active,,xxIndexTeam)=1),INDEX(cbalCh3Prod2Slot3GPaL,,xxIndexTeam),0)</f>
        <v>0</v>
      </c>
      <c r="Q70" s="891">
        <f>INDEX(cbalCh3Prod3Slot1GPaL,,xxIndexTeam)+INDEX(cbalCh3Prod3Slot2GPaL,,xxIndexTeam)+INDEX(cbalCh3Prod3Slot3GPaL,,xxIndexTeam)</f>
        <v>114224689.00662407</v>
      </c>
      <c r="R70" s="892">
        <f>IF(AND(INDEX(obalCh3Prod3Slot1Pack,,xxIndexTeam)=INDEX(cbalCh3Prod3Slot1Pack,,xxIndexTeam),INDEX(cbalCh3Prod3Slot1Active,,xxIndexTeam)=1),INDEX(cbalCh3Prod3Slot1GPaL,,xxIndexTeam),0)</f>
        <v>114224689.00662407</v>
      </c>
      <c r="S70" s="892">
        <f>IF(AND(INDEX(obalCh3Prod3Slot2Pack,,xxIndexTeam)=INDEX(cbalCh3Prod3Slot2Pack,,xxIndexTeam),INDEX(cbalCh3Prod3Slot2Active,,xxIndexTeam)=1),INDEX(cbalCh3Prod3Slot2GPaL,,xxIndexTeam),0)</f>
        <v>0</v>
      </c>
      <c r="T70" s="892">
        <f>IF(AND(INDEX(obalCh3Prod3Slot3Pack,,xxIndexTeam)=INDEX(cbalCh3Prod3Slot3Pack,,xxIndexTeam),INDEX(cbalCh3Prod3Slot3Active,,xxIndexTeam)=1),INDEX(cbalCh3Prod3Slot3GPaL,,xxIndexTeam),0)</f>
        <v>0</v>
      </c>
      <c r="U70" s="891">
        <f>INDEX(cbalCh3Prod1Slot1GPaL,,xxIndexTeam)+INDEX(cbalCh3Prod1Slot2GPaL,,xxIndexTeam)+INDEX(cbalCh3Prod1Slot3GPaL,,xxIndexTeam)</f>
        <v>67363100.429815918</v>
      </c>
      <c r="V70" s="892">
        <f>IF(AND(INDEX(obalCh3Prod1Slot1Pack,,xxIndexTeam)=INDEX(cbalCh3Prod1Slot1Pack,,xxIndexTeam),INDEX(cbalCh3Prod1Slot1Active,,xxIndexTeam)=1),INDEX(cbalCh3Prod1Slot1GPaL,,xxIndexTeam),0)</f>
        <v>67363100.429815918</v>
      </c>
      <c r="W70" s="892">
        <f>IF(AND(INDEX(obalCh3Prod1Slot2Pack,,xxIndexTeam)=INDEX(cbalCh3Prod1Slot2Pack,,xxIndexTeam),INDEX(cbalCh3Prod1Slot2Active,,xxIndexTeam)=1),INDEX(cbalCh3Prod1Slot2GPaL,,xxIndexTeam),0)</f>
        <v>0</v>
      </c>
      <c r="X70" s="892">
        <f>IF(AND(INDEX(obalCh3Prod1Slot3Pack,,xxIndexTeam)=INDEX(cbalCh3Prod1Slot3Pack,,xxIndexTeam),INDEX(cbalCh3Prod1Slot3Active,,xxIndexTeam)=1),INDEX(cbalCh3Prod1Slot3GPaL,,xxIndexTeam),0)</f>
        <v>0</v>
      </c>
      <c r="Y70" s="891">
        <f>INDEX(cbalCh3Prod4Slot1GPaL,,xxIndexTeam)+INDEX(cbalCh3Prod4Slot2GPaL,,xxIndexTeam)+INDEX(cbalCh3Prod4Slot3GPaL,,xxIndexTeam)</f>
        <v>0</v>
      </c>
      <c r="Z70" s="892">
        <f>IF(AND(INDEX(obalCh3Prod4Slot1Pack,,xxIndexTeam)=INDEX(cbalCh3Prod4Slot1Pack,,xxIndexTeam),INDEX(cbalCh3Prod4Slot1Active,,xxIndexTeam)=1),INDEX(cbalCh3Prod4Slot1GPaL,,xxIndexTeam),0)</f>
        <v>0</v>
      </c>
      <c r="AA70" s="892">
        <f>IF(AND(INDEX(obalCh3Prod4Slot2Pack,,xxIndexTeam)=INDEX(cbalCh3Prod4Slot2Pack,,xxIndexTeam),INDEX(cbalCh3Prod4Slot2Active,,xxIndexTeam)=1),INDEX(cbalCh3Prod4Slot2GPaL,,xxIndexTeam),0)</f>
        <v>0</v>
      </c>
      <c r="AB70" s="892">
        <f>IF(AND(INDEX(obalCh3Prod4Slot3Pack,,xxIndexTeam)=INDEX(cbalCh3Prod4Slot3Pack,,xxIndexTeam),INDEX(cbalCh3Prod4Slot3Active,,xxIndexTeam)=1),INDEX(cbalCh3Prod4Slot3GPaL,,xxIndexTeam),0)</f>
        <v>0</v>
      </c>
      <c r="AC70" s="701"/>
      <c r="AE70" s="554" t="str">
        <f>nmProd2</f>
        <v>Harken</v>
      </c>
      <c r="AF70" s="720"/>
      <c r="AG70" s="720"/>
      <c r="AH70" s="584"/>
      <c r="AI70" s="554"/>
      <c r="AJ70" s="720"/>
      <c r="AK70" s="720"/>
      <c r="AL70" s="584"/>
      <c r="AM70" s="554"/>
      <c r="AN70" s="720"/>
      <c r="AO70" s="720"/>
      <c r="AP70" s="584"/>
      <c r="AQ70" s="554"/>
      <c r="AR70" s="720"/>
      <c r="AS70" s="720"/>
      <c r="AT70" s="584"/>
      <c r="AU70" s="554"/>
      <c r="AV70" s="720"/>
      <c r="AW70" s="548">
        <f>ROUND(VLOOKUP(tlinputCh3Prod2Slot1Pack,dataPackPrice,4,FALSE)*0.8,2)</f>
        <v>6.48</v>
      </c>
      <c r="AX70" s="584" t="s">
        <v>8564</v>
      </c>
      <c r="AY70" s="554"/>
      <c r="AZ70" s="720"/>
      <c r="BA70" s="548">
        <f>ROUND(VLOOKUP(tlinputCh3Prod2Slot1Pack,dataPackPrice,4,FALSE)*1.2,2)</f>
        <v>9.7200000000000006</v>
      </c>
      <c r="BB70" s="584" t="s">
        <v>8565</v>
      </c>
    </row>
    <row r="71" spans="4:54" ht="15">
      <c r="K71" s="802"/>
      <c r="L71" s="802"/>
      <c r="M71" s="890"/>
      <c r="N71" s="890"/>
      <c r="O71" s="802"/>
      <c r="P71" s="802"/>
      <c r="Q71" s="802"/>
      <c r="R71" s="802"/>
      <c r="S71" s="802"/>
      <c r="T71" s="802"/>
      <c r="U71" s="802"/>
      <c r="V71" s="802"/>
      <c r="W71" s="802"/>
      <c r="X71" s="802"/>
      <c r="Y71" s="802"/>
      <c r="Z71" s="802"/>
      <c r="AA71" s="802"/>
      <c r="AB71" s="802"/>
      <c r="AE71" s="554"/>
      <c r="AF71" s="720"/>
      <c r="AG71" s="548">
        <f>tlinputCh3Prod2Slot1CustPrice*(1+VLOOKUP(tlOutputProd2,dataCustomerMargin,4,FALSE))</f>
        <v>10.270000000000001</v>
      </c>
      <c r="AH71" s="584" t="s">
        <v>6846</v>
      </c>
      <c r="AI71" s="554"/>
      <c r="AJ71" s="720"/>
      <c r="AK71" s="548">
        <f>tlOutputCh3Prod2Slot1SP-tlinputCh3Prod2Slot1CustPrice</f>
        <v>2.370000000000001</v>
      </c>
      <c r="AL71" s="584" t="s">
        <v>5007</v>
      </c>
      <c r="AM71" s="554"/>
      <c r="AN71" s="720"/>
      <c r="AO71" s="548">
        <f>tlinputCh3Prod2Slot1CustPrice*(1-tloutputCh3Prod2Slot1AvgPromoDis)</f>
        <v>5.2929999999999993</v>
      </c>
      <c r="AP71" s="584" t="s">
        <v>5031</v>
      </c>
      <c r="AQ71" s="554"/>
      <c r="AR71" s="720"/>
      <c r="AS71" s="548">
        <f>INDEX(calcCh3Prod2Slot1AvgSalePrice,,xxIndexTeam)</f>
        <v>7.3786000000000005</v>
      </c>
      <c r="AT71" s="584" t="s">
        <v>5043</v>
      </c>
      <c r="AU71" s="554"/>
      <c r="AV71" s="720"/>
      <c r="AW71" s="548">
        <f>ROUND(VLOOKUP(tlinputCh3Prod2Slot2Pack,dataPackPrice,4,FALSE)*0.8,2)</f>
        <v>6.24</v>
      </c>
      <c r="AX71" s="584" t="s">
        <v>8566</v>
      </c>
      <c r="AY71" s="554"/>
      <c r="AZ71" s="720"/>
      <c r="BA71" s="548">
        <f>ROUND(VLOOKUP(tlinputCh3Prod2Slot2Pack,dataPackPrice,4,FALSE)*1.2,2)</f>
        <v>9.36</v>
      </c>
      <c r="BB71" s="584" t="s">
        <v>8567</v>
      </c>
    </row>
    <row r="72" spans="4:54" ht="15">
      <c r="K72" s="802"/>
      <c r="L72" s="886">
        <f>L73-L70</f>
        <v>0</v>
      </c>
      <c r="M72" s="886">
        <f>M73-M70</f>
        <v>0</v>
      </c>
      <c r="N72" s="886">
        <f>N73-N70</f>
        <v>0</v>
      </c>
      <c r="O72" s="886">
        <f>O73-O70</f>
        <v>0</v>
      </c>
      <c r="P72" s="886">
        <f t="shared" ref="P72:AB72" si="32">P73-P70</f>
        <v>0</v>
      </c>
      <c r="Q72" s="886">
        <f t="shared" si="32"/>
        <v>0</v>
      </c>
      <c r="R72" s="930">
        <f t="shared" si="32"/>
        <v>0</v>
      </c>
      <c r="S72" s="930">
        <f t="shared" si="32"/>
        <v>0</v>
      </c>
      <c r="T72" s="886">
        <f t="shared" si="32"/>
        <v>0</v>
      </c>
      <c r="U72" s="886">
        <f t="shared" si="32"/>
        <v>0</v>
      </c>
      <c r="V72" s="886">
        <f t="shared" si="32"/>
        <v>0</v>
      </c>
      <c r="W72" s="886">
        <f t="shared" si="32"/>
        <v>0</v>
      </c>
      <c r="X72" s="886">
        <f t="shared" si="32"/>
        <v>0</v>
      </c>
      <c r="Y72" s="886">
        <f t="shared" si="32"/>
        <v>0</v>
      </c>
      <c r="Z72" s="886">
        <f t="shared" si="32"/>
        <v>0</v>
      </c>
      <c r="AA72" s="886">
        <f t="shared" si="32"/>
        <v>0</v>
      </c>
      <c r="AB72" s="886">
        <f t="shared" si="32"/>
        <v>0</v>
      </c>
      <c r="AE72" s="554"/>
      <c r="AF72" s="720"/>
      <c r="AG72" s="548">
        <f>tlinputCh3Prod2Slot2CustPrice*(1+VLOOKUP(tlOutputProd2,dataCustomerMargin,4,FALSE))</f>
        <v>10.4</v>
      </c>
      <c r="AH72" s="584" t="s">
        <v>6847</v>
      </c>
      <c r="AI72" s="554"/>
      <c r="AJ72" s="720"/>
      <c r="AK72" s="548">
        <f>tlOutputCh3Prod2Slot2SP-tlinputCh3Prod2Slot2CustPrice</f>
        <v>2.4000000000000004</v>
      </c>
      <c r="AL72" s="584" t="s">
        <v>5008</v>
      </c>
      <c r="AM72" s="554"/>
      <c r="AN72" s="720"/>
      <c r="AO72" s="548">
        <f>tlinputCh3Prod2Slot2CustPrice*(1-tloutputCh3Prod2Slot1AvgPromoDis)</f>
        <v>5.3599999999999994</v>
      </c>
      <c r="AP72" s="584" t="s">
        <v>5032</v>
      </c>
      <c r="AQ72" s="554"/>
      <c r="AR72" s="720"/>
      <c r="AS72" s="548">
        <f>INDEX(calcCh3Prod2Slot2AvgSalePrice,,xxIndexTeam)</f>
        <v>7.6800000000000006</v>
      </c>
      <c r="AT72" s="584" t="s">
        <v>5044</v>
      </c>
      <c r="AU72" s="554"/>
      <c r="AV72" s="720"/>
      <c r="AW72" s="548">
        <f>ROUND(VLOOKUP(tlinputCh3Prod2Slot3Pack,dataPackPrice,4,FALSE)*0.8,2)</f>
        <v>0</v>
      </c>
      <c r="AX72" s="584" t="s">
        <v>8568</v>
      </c>
      <c r="AY72" s="554"/>
      <c r="AZ72" s="720"/>
      <c r="BA72" s="548">
        <f>ROUND(VLOOKUP(tlinputCh3Prod2Slot3Pack,dataPackPrice,4,FALSE)*1.2,2)</f>
        <v>0</v>
      </c>
      <c r="BB72" s="584" t="s">
        <v>8569</v>
      </c>
    </row>
    <row r="73" spans="4:54" ht="15.75" thickBot="1">
      <c r="D73" s="702" t="s">
        <v>6586</v>
      </c>
      <c r="E73" s="613"/>
      <c r="K73" s="802"/>
      <c r="L73" s="890">
        <f>L65+L66+L67+L68+L69</f>
        <v>378221863.31588954</v>
      </c>
      <c r="M73" s="890">
        <f t="shared" ref="M73:AB73" si="33">M65+M66+M67+M68+M69</f>
        <v>196634073.87944955</v>
      </c>
      <c r="N73" s="890">
        <f t="shared" si="33"/>
        <v>73543550.448964924</v>
      </c>
      <c r="O73" s="890">
        <f t="shared" si="33"/>
        <v>123090523.43048462</v>
      </c>
      <c r="P73" s="890">
        <f t="shared" si="33"/>
        <v>0</v>
      </c>
      <c r="Q73" s="890">
        <f t="shared" si="33"/>
        <v>114224689.00662407</v>
      </c>
      <c r="R73" s="890">
        <f t="shared" si="33"/>
        <v>114224689.00662407</v>
      </c>
      <c r="S73" s="890">
        <f t="shared" si="33"/>
        <v>0</v>
      </c>
      <c r="T73" s="890">
        <f t="shared" si="33"/>
        <v>0</v>
      </c>
      <c r="U73" s="890">
        <f>U65+U66+U67+U68+U69</f>
        <v>67363100.429815918</v>
      </c>
      <c r="V73" s="890">
        <f>V65+V66+V67+V68+V69</f>
        <v>67363100.429815933</v>
      </c>
      <c r="W73" s="890">
        <f t="shared" si="33"/>
        <v>0</v>
      </c>
      <c r="X73" s="890">
        <f t="shared" si="33"/>
        <v>0</v>
      </c>
      <c r="Y73" s="890">
        <f t="shared" si="33"/>
        <v>0</v>
      </c>
      <c r="Z73" s="890">
        <f t="shared" si="33"/>
        <v>0</v>
      </c>
      <c r="AA73" s="890">
        <f t="shared" si="33"/>
        <v>0</v>
      </c>
      <c r="AB73" s="890">
        <f t="shared" si="33"/>
        <v>0</v>
      </c>
      <c r="AE73" s="554"/>
      <c r="AF73" s="720"/>
      <c r="AG73" s="548">
        <f>tlinputCh3Prod2Slot3CustPrice*(1+VLOOKUP(tlOutputProd2,dataCustomerMargin,4,FALSE))</f>
        <v>0</v>
      </c>
      <c r="AH73" s="584" t="s">
        <v>6848</v>
      </c>
      <c r="AI73" s="554"/>
      <c r="AJ73" s="720"/>
      <c r="AK73" s="548">
        <f>tlOutputCh3Prod2Slot3SP-tlinputCh3Prod2Slot3CustPrice</f>
        <v>0</v>
      </c>
      <c r="AL73" s="584" t="s">
        <v>5009</v>
      </c>
      <c r="AM73" s="554"/>
      <c r="AN73" s="720"/>
      <c r="AO73" s="548">
        <f>tlinputCh3Prod2Slot3CustPrice*(1-tloutputCh3Prod2Slot1AvgPromoDis)</f>
        <v>0</v>
      </c>
      <c r="AP73" s="584" t="s">
        <v>5033</v>
      </c>
      <c r="AQ73" s="554"/>
      <c r="AR73" s="720"/>
      <c r="AS73" s="548">
        <f>INDEX(calcCh3Prod2Slot3AvgSalePrice,,xxIndexTeam)</f>
        <v>0</v>
      </c>
      <c r="AT73" s="584" t="s">
        <v>5045</v>
      </c>
      <c r="AU73" s="554"/>
      <c r="AV73" s="720"/>
      <c r="AW73" s="548">
        <f>ROUND(VLOOKUP(tlinputCh3Prod3Slot1Pack,dataPackPrice,4,FALSE)*0.8,2)</f>
        <v>6.64</v>
      </c>
      <c r="AX73" s="584" t="s">
        <v>8570</v>
      </c>
      <c r="AY73" s="554"/>
      <c r="AZ73" s="720"/>
      <c r="BA73" s="548">
        <f>ROUND(VLOOKUP(tlinputCh3Prod3Slot1Pack,dataPackPrice,4,FALSE)*1.2,2)</f>
        <v>9.9600000000000009</v>
      </c>
      <c r="BB73" s="584" t="s">
        <v>8571</v>
      </c>
    </row>
    <row r="74" spans="4:54" ht="15">
      <c r="D74" s="555"/>
      <c r="E74" s="859">
        <f>VLOOKUP(INDEX(decCh3Prod1Slot1Promo1,,xxIndexTeam),dataPromoPlanDisc,4,FALSE)</f>
        <v>0.2</v>
      </c>
      <c r="F74" s="600" t="s">
        <v>5016</v>
      </c>
      <c r="G74" s="561"/>
      <c r="K74" s="802"/>
      <c r="L74" s="802" t="b">
        <f>L73=L70</f>
        <v>0</v>
      </c>
      <c r="M74" s="802" t="b">
        <f>M73=M70</f>
        <v>1</v>
      </c>
      <c r="N74" s="802" t="b">
        <f t="shared" ref="N74:AB74" si="34">N73=N70</f>
        <v>1</v>
      </c>
      <c r="O74" s="802" t="b">
        <f>O73=O70</f>
        <v>1</v>
      </c>
      <c r="P74" s="802" t="b">
        <f t="shared" si="34"/>
        <v>1</v>
      </c>
      <c r="Q74" s="802" t="b">
        <f t="shared" si="34"/>
        <v>1</v>
      </c>
      <c r="R74" s="802" t="b">
        <f t="shared" si="34"/>
        <v>1</v>
      </c>
      <c r="S74" s="802" t="b">
        <f t="shared" si="34"/>
        <v>1</v>
      </c>
      <c r="T74" s="802" t="b">
        <f t="shared" si="34"/>
        <v>1</v>
      </c>
      <c r="U74" s="802" t="b">
        <f>U73=U70</f>
        <v>1</v>
      </c>
      <c r="V74" s="802" t="b">
        <f>V73=V70</f>
        <v>1</v>
      </c>
      <c r="W74" s="802" t="b">
        <f t="shared" si="34"/>
        <v>1</v>
      </c>
      <c r="X74" s="802" t="b">
        <f t="shared" si="34"/>
        <v>1</v>
      </c>
      <c r="Y74" s="802" t="b">
        <f t="shared" si="34"/>
        <v>1</v>
      </c>
      <c r="Z74" s="802" t="b">
        <f t="shared" si="34"/>
        <v>1</v>
      </c>
      <c r="AA74" s="802" t="b">
        <f t="shared" si="34"/>
        <v>1</v>
      </c>
      <c r="AB74" s="802" t="b">
        <f t="shared" si="34"/>
        <v>1</v>
      </c>
      <c r="AE74" s="554" t="str">
        <f>nmProd3</f>
        <v>Kara</v>
      </c>
      <c r="AF74" s="720"/>
      <c r="AG74" s="720"/>
      <c r="AH74" s="584"/>
      <c r="AI74" s="554"/>
      <c r="AJ74" s="720"/>
      <c r="AK74" s="720"/>
      <c r="AL74" s="584"/>
      <c r="AM74" s="554"/>
      <c r="AN74" s="720"/>
      <c r="AO74" s="720"/>
      <c r="AP74" s="584"/>
      <c r="AQ74" s="554"/>
      <c r="AR74" s="720"/>
      <c r="AS74" s="720"/>
      <c r="AT74" s="584"/>
      <c r="AU74" s="554"/>
      <c r="AV74" s="720"/>
      <c r="AW74" s="548">
        <f>ROUND(VLOOKUP(tlinputCh3Prod3Slot2Pack,dataPackPrice,4,FALSE)*0.8,2)</f>
        <v>0</v>
      </c>
      <c r="AX74" s="584" t="s">
        <v>8572</v>
      </c>
      <c r="AY74" s="554"/>
      <c r="AZ74" s="720"/>
      <c r="BA74" s="548">
        <f>ROUND(VLOOKUP(tlinputCh3Prod3Slot2Pack,dataPackPrice,4,FALSE)*1.2,2)</f>
        <v>0</v>
      </c>
      <c r="BB74" s="584" t="s">
        <v>8573</v>
      </c>
    </row>
    <row r="75" spans="4:54" ht="15">
      <c r="D75" s="554"/>
      <c r="E75" s="735">
        <f>VLOOKUP(INDEX(decCh3Prod1Slot2Promo1,,xxIndexTeam),dataPromoPlanDisc,4,FALSE)</f>
        <v>0</v>
      </c>
      <c r="F75" s="720" t="s">
        <v>5017</v>
      </c>
      <c r="G75" s="584"/>
      <c r="K75" s="802"/>
      <c r="L75" s="802"/>
      <c r="M75" s="802"/>
      <c r="N75" s="802"/>
      <c r="O75" s="802"/>
      <c r="P75" s="802"/>
      <c r="Q75" s="802"/>
      <c r="R75" s="802"/>
      <c r="S75" s="802"/>
      <c r="T75" s="802"/>
      <c r="U75" s="802"/>
      <c r="V75" s="974"/>
      <c r="W75" s="802"/>
      <c r="X75" s="802"/>
      <c r="Y75" s="802"/>
      <c r="Z75" s="802"/>
      <c r="AA75" s="802"/>
      <c r="AB75" s="802"/>
      <c r="AE75" s="554"/>
      <c r="AF75" s="720"/>
      <c r="AG75" s="548">
        <f>tlinputCh3Prod3Slot1CustPrice*(1+VLOOKUP(tlOutputProd3,dataCustomerMargin,4,FALSE))</f>
        <v>10.108000000000001</v>
      </c>
      <c r="AH75" s="584" t="s">
        <v>6849</v>
      </c>
      <c r="AI75" s="554"/>
      <c r="AJ75" s="720"/>
      <c r="AK75" s="548">
        <f>tlOutputCh3Prod3Slot1SP-tlinputCh3Prod3Slot1CustPrice</f>
        <v>2.5080000000000009</v>
      </c>
      <c r="AL75" s="584" t="s">
        <v>5010</v>
      </c>
      <c r="AM75" s="554"/>
      <c r="AN75" s="720"/>
      <c r="AO75" s="548">
        <f>tlinputCh3Prod3Slot1CustPrice*(1-tloutputCh3Prod3Slot1AvgPromoDis)</f>
        <v>5.0919999999999996</v>
      </c>
      <c r="AP75" s="584" t="s">
        <v>5034</v>
      </c>
      <c r="AQ75" s="554"/>
      <c r="AR75" s="720"/>
      <c r="AS75" s="548">
        <f>INDEX(calcCh3Prod3Slot1AvgSalePrice,,xxIndexTeam)</f>
        <v>6.7221999999999991</v>
      </c>
      <c r="AT75" s="584" t="s">
        <v>5046</v>
      </c>
      <c r="AU75" s="554"/>
      <c r="AV75" s="720"/>
      <c r="AW75" s="548">
        <f>ROUND(VLOOKUP(tlinputCh3Prod3Slot3Pack,dataPackPrice,4,FALSE)*0.8,2)</f>
        <v>0</v>
      </c>
      <c r="AX75" s="584" t="s">
        <v>8574</v>
      </c>
      <c r="AY75" s="554"/>
      <c r="AZ75" s="720"/>
      <c r="BA75" s="548">
        <f>ROUND(VLOOKUP(tlinputCh3Prod3Slot3Pack,dataPackPrice,4,FALSE)*1.2,2)</f>
        <v>0</v>
      </c>
      <c r="BB75" s="584" t="s">
        <v>8575</v>
      </c>
    </row>
    <row r="76" spans="4:54" ht="15">
      <c r="D76" s="554"/>
      <c r="E76" s="735">
        <f>VLOOKUP(INDEX(decCh3Prod1Slot3Promo1,,xxIndexTeam),dataPromoPlanDisc,4,FALSE)</f>
        <v>0</v>
      </c>
      <c r="F76" s="720" t="s">
        <v>5018</v>
      </c>
      <c r="G76" s="584"/>
      <c r="K76" s="702" t="s">
        <v>10567</v>
      </c>
      <c r="L76" s="802"/>
      <c r="M76" s="802"/>
      <c r="N76" s="802"/>
      <c r="O76" s="931"/>
      <c r="P76" s="802"/>
      <c r="Q76" s="802"/>
      <c r="R76" s="802"/>
      <c r="S76" s="802"/>
      <c r="T76" s="802"/>
      <c r="U76" s="802"/>
      <c r="V76" s="802"/>
      <c r="W76" s="802"/>
      <c r="X76" s="802"/>
      <c r="Y76" s="802"/>
      <c r="Z76" s="802"/>
      <c r="AA76" s="802"/>
      <c r="AB76" s="802"/>
      <c r="AE76" s="554"/>
      <c r="AF76" s="720"/>
      <c r="AG76" s="548">
        <f>tlinputCh3Prod3Slot2CustPrice*(1+VLOOKUP(tlOutputProd3,dataCustomerMargin,4,FALSE))</f>
        <v>0</v>
      </c>
      <c r="AH76" s="584" t="s">
        <v>6850</v>
      </c>
      <c r="AI76" s="554"/>
      <c r="AJ76" s="720"/>
      <c r="AK76" s="548">
        <f>tlOutputCh3Prod3Slot2SP-tlinputCh3Prod3Slot2CustPrice</f>
        <v>0</v>
      </c>
      <c r="AL76" s="584" t="s">
        <v>5011</v>
      </c>
      <c r="AM76" s="554"/>
      <c r="AN76" s="720"/>
      <c r="AO76" s="548">
        <f>tlinputCh3Prod3Slot2CustPrice*(1-tloutputCh3Prod3Slot1AvgPromoDis)</f>
        <v>0</v>
      </c>
      <c r="AP76" s="584" t="s">
        <v>5035</v>
      </c>
      <c r="AQ76" s="554"/>
      <c r="AR76" s="720"/>
      <c r="AS76" s="548">
        <f>INDEX(calcCh3Prod3Slot2AvgSalePrice,,xxIndexTeam)</f>
        <v>0</v>
      </c>
      <c r="AT76" s="584" t="s">
        <v>5047</v>
      </c>
      <c r="AU76" s="554"/>
      <c r="AV76" s="720"/>
      <c r="AW76" s="548">
        <f>ROUND(VLOOKUP(tlinputCh3Prod4Slot1Pack,dataPackPrice,4,FALSE)*0.8,2)</f>
        <v>0</v>
      </c>
      <c r="AX76" s="584" t="s">
        <v>8576</v>
      </c>
      <c r="AY76" s="554"/>
      <c r="AZ76" s="720"/>
      <c r="BA76" s="548">
        <f>ROUND(VLOOKUP(tlinputCh3Prod4Slot1Pack,dataPackPrice,4,FALSE)*1.2,2)</f>
        <v>0</v>
      </c>
      <c r="BB76" s="584" t="s">
        <v>8577</v>
      </c>
    </row>
    <row r="77" spans="4:54" ht="15">
      <c r="D77" s="554"/>
      <c r="E77" s="735">
        <f>VLOOKUP(INDEX(decCh3Prod2Slot1Promo1,,xxIndexTeam),dataPromoPlanDisc,4,FALSE)</f>
        <v>0.33</v>
      </c>
      <c r="F77" s="720" t="s">
        <v>5019</v>
      </c>
      <c r="G77" s="584"/>
      <c r="K77" s="802" t="s">
        <v>295</v>
      </c>
      <c r="L77" s="802"/>
      <c r="M77" s="802"/>
      <c r="N77" s="802">
        <f>(INDEX(cbalCh3Prod2Slot1SoldVol,,xxIndexTeam)-INDEX(obalCh3Prod2Slot1SoldVol,,xxIndexTeam))*INDEX(obalCh3Prod2Slot1GPaLPerLitre,,xxIndexTeam)</f>
        <v>-6788975.6545716254</v>
      </c>
      <c r="O77" s="802">
        <f>(INDEX(cbalCh3Prod2Slot2SoldVol,,xxIndexTeam)-INDEX(obalCh3Prod2Slot2SoldVol,,xxIndexTeam))*INDEX(obalCh3Prod2Slot2GPaLPerLitre,,xxIndexTeam)</f>
        <v>2068075.0111893776</v>
      </c>
      <c r="P77" s="802" t="e">
        <f>(INDEX(cbalCh3Prod2Slot3SoldVol,,xxIndexTeam)-INDEX(obalCh3Prod2Slot3SoldVol,,xxIndexTeam))*INDEX(obalCh3Prod2Slot3GPaLPerLitre,,xxIndexTeam)</f>
        <v>#VALUE!</v>
      </c>
      <c r="Q77" s="802"/>
      <c r="R77" s="802">
        <f>(INDEX(cbalCh3Prod3Slot1SoldVol,,xxIndexTeam)-INDEX(obalCh3Prod3Slot1SoldVol,,xxIndexTeam))*INDEX(obalCh3Prod3Slot1GPaLPerLitre,,xxIndexTeam)</f>
        <v>165515.27680498103</v>
      </c>
      <c r="S77" s="802" t="e">
        <f>(INDEX(cbalCh3Prod3Slot2SoldVol,,xxIndexTeam)-INDEX(obalCh3Prod3Slot2SoldVol,,xxIndexTeam))*INDEX(obalCh3Prod3Slot2GPaLPerLitre,,xxIndexTeam)</f>
        <v>#VALUE!</v>
      </c>
      <c r="T77" s="802" t="e">
        <f>(INDEX(cbalCh3Prod3Slot3SoldVol,,xxIndexTeam)-INDEX(obalCh3Prod3Slot3SoldVol,,xxIndexTeam))*INDEX(obalCh3Prod3Slot3GPaLPerLitre,,xxIndexTeam)</f>
        <v>#VALUE!</v>
      </c>
      <c r="U77" s="802"/>
      <c r="V77" s="802">
        <f>(INDEX(cbalCh3Prod1Slot1SoldVol,,xxIndexTeam)-INDEX(obalCh3Prod1Slot1SoldVol,,xxIndexTeam))*INDEX(obalCh3Prod1Slot1GPaLPerLitre,,xxIndexTeam)</f>
        <v>-1013011.8764639559</v>
      </c>
      <c r="W77" s="802" t="e">
        <f>(INDEX(cbalCh3Prod1Slot2SoldVol,,xxIndexTeam)-INDEX(obalCh3Prod1Slot2SoldVol,,xxIndexTeam))*INDEX(obalCh3Prod1Slot2GPaLPerLitre,,xxIndexTeam)</f>
        <v>#VALUE!</v>
      </c>
      <c r="X77" s="802" t="e">
        <f>(INDEX(cbalCh3Prod1Slot3SoldVol,,xxIndexTeam)-INDEX(obalCh3Prod1Slot3SoldVol,,xxIndexTeam))*INDEX(obalCh3Prod1Slot3GPaLPerLitre,,xxIndexTeam)</f>
        <v>#VALUE!</v>
      </c>
      <c r="Y77" s="802"/>
      <c r="Z77" s="802" t="e">
        <f>(INDEX(cbalCh3Prod4Slot1SoldVol,,xxIndexTeam)-INDEX(obalCh3Prod4Slot1SoldVol,,xxIndexTeam))*INDEX(obalCh3Prod4Slot1GPaLPerLitre,,xxIndexTeam)</f>
        <v>#VALUE!</v>
      </c>
      <c r="AA77" s="802" t="e">
        <f>(INDEX(cbalCh3Prod4Slot2SoldVol,,xxIndexTeam)-INDEX(obalCh3Prod4Slot2SoldVol,,xxIndexTeam))*INDEX(obalCh3Prod4Slot2GPaLPerLitre,,xxIndexTeam)</f>
        <v>#VALUE!</v>
      </c>
      <c r="AB77" s="802" t="e">
        <f>(INDEX(cbalCh3Prod4Slot3SoldVol,,xxIndexTeam)-INDEX(obalCh3Prod4Slot3SoldVol,,xxIndexTeam))*INDEX(obalCh3Prod4Slot3GPaLPerLitre,,xxIndexTeam)</f>
        <v>#VALUE!</v>
      </c>
      <c r="AE77" s="554"/>
      <c r="AF77" s="720"/>
      <c r="AG77" s="548">
        <f>tlinputCh3Prod3Slot3CustPrice*(1+VLOOKUP(tlOutputProd3,dataCustomerMargin,4,FALSE))</f>
        <v>0</v>
      </c>
      <c r="AH77" s="584" t="s">
        <v>6851</v>
      </c>
      <c r="AI77" s="554"/>
      <c r="AJ77" s="720"/>
      <c r="AK77" s="548">
        <f>tlOutputCh3Prod3Slot3SP-tlinputCh3Prod3Slot3CustPrice</f>
        <v>0</v>
      </c>
      <c r="AL77" s="584" t="s">
        <v>5012</v>
      </c>
      <c r="AM77" s="554"/>
      <c r="AN77" s="720"/>
      <c r="AO77" s="548">
        <f>tlinputCh3Prod3Slot3CustPrice*(1-tloutputCh3Prod3Slot1AvgPromoDis)</f>
        <v>0</v>
      </c>
      <c r="AP77" s="584" t="s">
        <v>5036</v>
      </c>
      <c r="AQ77" s="554"/>
      <c r="AR77" s="720"/>
      <c r="AS77" s="548">
        <f>INDEX(calcCh3Prod3Slot3AvgSalePrice,,xxIndexTeam)</f>
        <v>0</v>
      </c>
      <c r="AT77" s="584" t="s">
        <v>5048</v>
      </c>
      <c r="AU77" s="554"/>
      <c r="AV77" s="720"/>
      <c r="AW77" s="548">
        <f>ROUND(VLOOKUP(tlinputCh3Prod4Slot2Pack,dataPackPrice,4,FALSE)*0.8,2)</f>
        <v>0</v>
      </c>
      <c r="AX77" s="584" t="s">
        <v>8578</v>
      </c>
      <c r="AY77" s="554"/>
      <c r="AZ77" s="720"/>
      <c r="BA77" s="548">
        <f>ROUND(VLOOKUP(tlinputCh3Prod4Slot2Pack,dataPackPrice,4,FALSE)*1.2,2)</f>
        <v>0</v>
      </c>
      <c r="BB77" s="584" t="s">
        <v>8579</v>
      </c>
    </row>
    <row r="78" spans="4:54" ht="15">
      <c r="D78" s="554"/>
      <c r="E78" s="735">
        <f>VLOOKUP(INDEX(decCh3Prod2Slot2Promo1,,xxIndexTeam),dataPromoPlanDisc,4,FALSE)</f>
        <v>0.2</v>
      </c>
      <c r="F78" s="720" t="s">
        <v>5020</v>
      </c>
      <c r="G78" s="584"/>
      <c r="K78" s="802" t="s">
        <v>151</v>
      </c>
      <c r="L78" s="802"/>
      <c r="M78" s="802"/>
      <c r="N78" s="802">
        <f>(INDEX(cbalCh3Prod2Slot1GPaLPerLitre,,xxIndexTeam)-INDEX(obalCh3Prod2Slot1GPaLPerLitre,xxIndexTeam))*INDEX(cbalCh3Prod2Slot1SoldVol,,xxIndexTeam)</f>
        <v>1892085.2844927686</v>
      </c>
      <c r="O78" s="802">
        <f>(INDEX(cbalCh3Prod2Slot2GPaLPerLitre,,xxIndexTeam)-INDEX(obalCh3Prod2Slot2GPaLPerLitre,xxIndexTeam))*INDEX(cbalCh3Prod2Slot2SoldVol,,xxIndexTeam)</f>
        <v>-5706634.3223170135</v>
      </c>
      <c r="P78" s="802" t="e">
        <f>(INDEX(cbalCh3Prod2Slot3GPaLPerLitre,,xxIndexTeam)-INDEX(obalCh3Prod2Slot3GPaLPerLitre,xxIndexTeam))*INDEX(cbalCh3Prod2Slot3SoldVol,,xxIndexTeam)</f>
        <v>#VALUE!</v>
      </c>
      <c r="Q78" s="802"/>
      <c r="R78" s="802">
        <f>(INDEX(cbalCh3Prod3Slot1GPaLPerLitre,,xxIndexTeam)-INDEX(obalCh3Prod3Slot1GPaLPerLitre,xxIndexTeam))*INDEX(cbalCh3Prod3Slot1SoldVol,,xxIndexTeam)</f>
        <v>-7542647.1567235002</v>
      </c>
      <c r="S78" s="802" t="e">
        <f>(INDEX(cbalCh3Prod3Slot2GPaLPerLitre,,xxIndexTeam)-INDEX(obalCh3Prod3Slot2GPaLPerLitre,xxIndexTeam))*INDEX(cbalCh3Prod3Slot2SoldVol,,xxIndexTeam)</f>
        <v>#VALUE!</v>
      </c>
      <c r="T78" s="802" t="e">
        <f>(INDEX(cbalCh3Prod3Slot3GPaLPerLitre,,xxIndexTeam)-INDEX(obalCh3Prod3Slot3GPaLPerLitre,xxIndexTeam))*INDEX(cbalCh3Prod3Slot3SoldVol,,xxIndexTeam)</f>
        <v>#VALUE!</v>
      </c>
      <c r="U78" s="802"/>
      <c r="V78" s="802">
        <f>(INDEX(cbalCh3Prod1Slot1GPaLPerLitre,,xxIndexTeam)-INDEX(obalCh3Prod1Slot1GPaLPerLitre,xxIndexTeam))*INDEX(cbalCh3Prod1Slot1SoldVol,,xxIndexTeam)</f>
        <v>-6518576.5606361516</v>
      </c>
      <c r="W78" s="802" t="e">
        <f>(INDEX(cbalCh3Prod1Slot2GPaLPerLitre,,xxIndexTeam)-INDEX(obalCh3Prod1Slot2GPaLPerLitre,xxIndexTeam))*INDEX(cbalCh3Prod1Slot2SoldVol,,xxIndexTeam)</f>
        <v>#VALUE!</v>
      </c>
      <c r="X78" s="802" t="e">
        <f>(INDEX(cbalCh3Prod1Slot3GPaLPerLitre,,xxIndexTeam)-INDEX(obalCh3Prod1Slot3GPaLPerLitre,xxIndexTeam))*INDEX(cbalCh3Prod1Slot3SoldVol,,xxIndexTeam)</f>
        <v>#VALUE!</v>
      </c>
      <c r="Y78" s="802"/>
      <c r="Z78" s="802" t="e">
        <f>(INDEX(cbalCh3Prod4Slot1GPaLPerLitre,,xxIndexTeam)-INDEX(obalCh3Prod4Slot1GPaLPerLitre,xxIndexTeam))*INDEX(cbalCh3Prod4Slot1SoldVol,,xxIndexTeam)</f>
        <v>#VALUE!</v>
      </c>
      <c r="AA78" s="802" t="e">
        <f>(INDEX(cbalCh3Prod4Slot2GPaLPerLitre,,xxIndexTeam)-INDEX(obalCh3Prod4Slot2GPaLPerLitre,xxIndexTeam))*INDEX(cbalCh3Prod4Slot2SoldVol,,xxIndexTeam)</f>
        <v>#VALUE!</v>
      </c>
      <c r="AB78" s="802" t="e">
        <f>(INDEX(cbalCh3Prod4Slot3GPaLPerLitre,,xxIndexTeam)-INDEX(obalCh3Prod4Slot3GPaLPerLitre,xxIndexTeam))*INDEX(cbalCh3Prod4Slot3SoldVol,,xxIndexTeam)</f>
        <v>#VALUE!</v>
      </c>
      <c r="AE78" s="554" t="str">
        <f>nmProd4</f>
        <v>Brew Master</v>
      </c>
      <c r="AF78" s="720"/>
      <c r="AG78" s="720"/>
      <c r="AH78" s="584"/>
      <c r="AI78" s="554"/>
      <c r="AJ78" s="720"/>
      <c r="AK78" s="720"/>
      <c r="AL78" s="584"/>
      <c r="AM78" s="554"/>
      <c r="AN78" s="720"/>
      <c r="AO78" s="720"/>
      <c r="AP78" s="584"/>
      <c r="AQ78" s="554"/>
      <c r="AR78" s="720"/>
      <c r="AS78" s="720"/>
      <c r="AT78" s="584"/>
      <c r="AU78" s="554"/>
      <c r="AV78" s="720"/>
      <c r="AW78" s="548">
        <f>ROUND(VLOOKUP(tlinputCh3Prod4Slot3Pack,dataPackPrice,4,FALSE)*0.8,2)</f>
        <v>0</v>
      </c>
      <c r="AX78" s="584" t="s">
        <v>8580</v>
      </c>
      <c r="AY78" s="554"/>
      <c r="AZ78" s="720"/>
      <c r="BA78" s="548">
        <f>ROUND(VLOOKUP(tlinputCh3Prod4Slot3Pack,dataPackPrice,4,FALSE)*1.2,2)</f>
        <v>0</v>
      </c>
      <c r="BB78" s="584" t="s">
        <v>8581</v>
      </c>
    </row>
    <row r="79" spans="4:54" ht="15">
      <c r="D79" s="554"/>
      <c r="E79" s="735">
        <f>VLOOKUP(INDEX(decCh3Prod2Slot3Promo1,,xxIndexTeam),dataPromoPlanDisc,4,FALSE)</f>
        <v>0</v>
      </c>
      <c r="F79" s="720" t="s">
        <v>5021</v>
      </c>
      <c r="G79" s="584"/>
      <c r="K79" s="802" t="s">
        <v>157</v>
      </c>
      <c r="L79" s="802"/>
      <c r="M79" s="802"/>
      <c r="N79" s="802">
        <f>(INDEX(obalCh3Prod2Slot1COGSpL,,xxIndexTeam)-INDEX(cbalCh3Prod2Slot1COGSpL,xxIndexTeam))*INDEX(cbalCh3Prod2Slot1SoldVol,,xxIndexTeam)</f>
        <v>260508.23501404133</v>
      </c>
      <c r="O79" s="802">
        <f>(INDEX(obalCh3Prod2Slot2COGSpL,,xxIndexTeam)-INDEX(cbalCh3Prod2Slot2COGSpL,xxIndexTeam))*INDEX(cbalCh3Prod2Slot2SoldVol,,xxIndexTeam)</f>
        <v>-1283974.7927049713</v>
      </c>
      <c r="P79" s="802" t="e">
        <f>(INDEX(obalCh3Prod2Slot3COGSpL,,xxIndexTeam)-INDEX(cbalCh3Prod2Slot3COGSpL,xxIndexTeam))*INDEX(cbalCh3Prod2Slot3SoldVol,,xxIndexTeam)</f>
        <v>#VALUE!</v>
      </c>
      <c r="Q79" s="802"/>
      <c r="R79" s="802">
        <f>(INDEX(obalCh3Prod3Slot1COGSpL,,xxIndexTeam)-INDEX(cbalCh3Prod3Slot1COGSpL,xxIndexTeam))*INDEX(cbalCh3Prod3Slot1SoldVol,,xxIndexTeam)</f>
        <v>-767732.67260357738</v>
      </c>
      <c r="S79" s="802" t="e">
        <f>(INDEX(obalCh3Prod3Slot2COGSpL,,xxIndexTeam)-INDEX(cbalCh3Prod3Slot2COGSpL,xxIndexTeam))*INDEX(cbalCh3Prod3Slot2SoldVol,,xxIndexTeam)</f>
        <v>#VALUE!</v>
      </c>
      <c r="T79" s="802" t="e">
        <f>(INDEX(obalCh3Prod3Slot3COGSpL,,xxIndexTeam)-INDEX(cbalCh3Prod3Slot3COGSpL,xxIndexTeam))*INDEX(cbalCh3Prod3Slot3SoldVol,,xxIndexTeam)</f>
        <v>#VALUE!</v>
      </c>
      <c r="U79" s="802"/>
      <c r="V79" s="802">
        <f>(INDEX(obalCh3Prod1Slot1COGSpL,,xxIndexTeam)-INDEX(cbalCh3Prod1Slot1COGSpL,xxIndexTeam))*INDEX(cbalCh3Prod1Slot1SoldVol,,xxIndexTeam)</f>
        <v>-1654586.8660149719</v>
      </c>
      <c r="W79" s="802" t="e">
        <f>(INDEX(obalCh3Prod1Slot2COGSpL,,xxIndexTeam)-INDEX(cbalCh3Prod1Slot2COGSpL,xxIndexTeam))*INDEX(cbalCh3Prod1Slot2SoldVol,,xxIndexTeam)</f>
        <v>#VALUE!</v>
      </c>
      <c r="X79" s="802" t="e">
        <f>(INDEX(obalCh3Prod1Slot3COGSpL,,xxIndexTeam)-INDEX(cbalCh3Prod1Slot3COGSpL,xxIndexTeam))*INDEX(cbalCh3Prod1Slot3SoldVol,,xxIndexTeam)</f>
        <v>#VALUE!</v>
      </c>
      <c r="Y79" s="802"/>
      <c r="Z79" s="802" t="e">
        <f>(INDEX(obalCh3Prod4Slot1COGSpL,,xxIndexTeam)-INDEX(cbalCh3Prod4Slot1COGSpL,xxIndexTeam))*INDEX(cbalCh3Prod4Slot1SoldVol,,xxIndexTeam)</f>
        <v>#VALUE!</v>
      </c>
      <c r="AA79" s="802" t="e">
        <f>(INDEX(obalCh3Prod4Slot2COGSpL,,xxIndexTeam)-INDEX(cbalCh3Prod4Slot2COGSpL,xxIndexTeam))*INDEX(cbalCh3Prod4Slot2SoldVol,,xxIndexTeam)</f>
        <v>#VALUE!</v>
      </c>
      <c r="AB79" s="802" t="e">
        <f>(INDEX(obalCh3Prod4Slot3COGSpL,,xxIndexTeam)-INDEX(cbalCh3Prod4Slot3COGSpL,xxIndexTeam))*INDEX(cbalCh3Prod4Slot3SoldVol,,xxIndexTeam)</f>
        <v>#VALUE!</v>
      </c>
      <c r="AE79" s="554"/>
      <c r="AF79" s="720"/>
      <c r="AG79" s="548">
        <f>tlinputCh3Prod4Slot1CustPrice*(1+VLOOKUP(tlOutputProd4,dataCustomerMargin,4,FALSE))</f>
        <v>0</v>
      </c>
      <c r="AH79" s="584" t="s">
        <v>6852</v>
      </c>
      <c r="AI79" s="554"/>
      <c r="AJ79" s="720"/>
      <c r="AK79" s="548">
        <f>tlOutputCh3Prod4Slot1SP-tlinputCh3Prod4Slot1CustPrice</f>
        <v>0</v>
      </c>
      <c r="AL79" s="584" t="s">
        <v>5013</v>
      </c>
      <c r="AM79" s="554"/>
      <c r="AN79" s="720"/>
      <c r="AO79" s="548">
        <f>tlinputCh3Prod4Slot1CustPrice*(1-tloutputCh3Prod4Slot1AvgPromoDis)</f>
        <v>0</v>
      </c>
      <c r="AP79" s="584" t="s">
        <v>5037</v>
      </c>
      <c r="AQ79" s="554"/>
      <c r="AR79" s="720"/>
      <c r="AS79" s="548">
        <f>INDEX(calcCh3Prod4Slot1AvgSalePrice,,xxIndexTeam)</f>
        <v>0</v>
      </c>
      <c r="AT79" s="584" t="s">
        <v>5049</v>
      </c>
      <c r="AU79" s="554"/>
      <c r="AV79" s="720"/>
      <c r="AW79" s="548"/>
      <c r="AX79" s="584"/>
      <c r="AY79" s="554"/>
      <c r="AZ79" s="720"/>
      <c r="BA79" s="548"/>
      <c r="BB79" s="584"/>
    </row>
    <row r="80" spans="4:54" ht="15">
      <c r="D80" s="554"/>
      <c r="E80" s="735">
        <f>VLOOKUP(INDEX(decCh3Prod3Slot1Promo1,,xxIndexTeam),dataPromoPlanDisc,4,FALSE)</f>
        <v>0.33</v>
      </c>
      <c r="F80" s="720" t="s">
        <v>5022</v>
      </c>
      <c r="G80" s="584"/>
      <c r="AE80" s="554"/>
      <c r="AF80" s="720"/>
      <c r="AG80" s="548">
        <f>tlinputCh3Prod4Slot2CustPrice*(1+VLOOKUP(tlOutputProd4,dataCustomerMargin,4,FALSE))</f>
        <v>0</v>
      </c>
      <c r="AH80" s="584" t="s">
        <v>6853</v>
      </c>
      <c r="AI80" s="554"/>
      <c r="AJ80" s="720"/>
      <c r="AK80" s="548">
        <f>tlOutputCh3Prod4Slot2SP-tlinputCh3Prod4Slot2CustPrice</f>
        <v>0</v>
      </c>
      <c r="AL80" s="584" t="s">
        <v>5014</v>
      </c>
      <c r="AM80" s="554"/>
      <c r="AN80" s="720"/>
      <c r="AO80" s="548">
        <f>tlinputCh3Prod4Slot2CustPrice*(1-tloutputCh3Prod4Slot1AvgPromoDis)</f>
        <v>0</v>
      </c>
      <c r="AP80" s="584" t="s">
        <v>5038</v>
      </c>
      <c r="AQ80" s="554"/>
      <c r="AR80" s="720"/>
      <c r="AS80" s="548">
        <f>INDEX(calcCh3Prod4Slot2AvgSalePrice,,xxIndexTeam)</f>
        <v>0</v>
      </c>
      <c r="AT80" s="584" t="s">
        <v>5050</v>
      </c>
      <c r="AU80" s="554"/>
      <c r="AV80" s="720"/>
      <c r="AW80" s="548"/>
      <c r="AX80" s="584"/>
      <c r="AY80" s="554"/>
      <c r="AZ80" s="720"/>
      <c r="BA80" s="548"/>
      <c r="BB80" s="584"/>
    </row>
    <row r="81" spans="3:54" ht="15.75" thickBot="1">
      <c r="D81" s="554"/>
      <c r="E81" s="735">
        <f>VLOOKUP(INDEX(decCh3Prod3Slot2Promo1,,xxIndexTeam),dataPromoPlanDisc,4,FALSE)</f>
        <v>0</v>
      </c>
      <c r="F81" s="720" t="s">
        <v>5023</v>
      </c>
      <c r="G81" s="584"/>
      <c r="AE81" s="546"/>
      <c r="AF81" s="544"/>
      <c r="AG81" s="755">
        <f>tlinputCh3Prod4Slot3CustPrice*(1+VLOOKUP(tlOutputProd4,dataCustomerMargin,4,FALSE))</f>
        <v>0</v>
      </c>
      <c r="AH81" s="733" t="s">
        <v>6854</v>
      </c>
      <c r="AI81" s="546"/>
      <c r="AJ81" s="544"/>
      <c r="AK81" s="755">
        <f>tlOutputCh3Prod4Slot3SP-tlinputCh3Prod4Slot3CustPrice</f>
        <v>0</v>
      </c>
      <c r="AL81" s="733" t="s">
        <v>5015</v>
      </c>
      <c r="AM81" s="546"/>
      <c r="AN81" s="544"/>
      <c r="AO81" s="755">
        <f>tlinputCh3Prod4Slot3CustPrice*(1-tloutputCh3Prod4Slot1AvgPromoDis)</f>
        <v>0</v>
      </c>
      <c r="AP81" s="733" t="s">
        <v>5039</v>
      </c>
      <c r="AQ81" s="546"/>
      <c r="AR81" s="544"/>
      <c r="AS81" s="755">
        <f>INDEX(calcCh3Prod4Slot3AvgSalePrice,,xxIndexTeam)</f>
        <v>0</v>
      </c>
      <c r="AT81" s="733" t="s">
        <v>5051</v>
      </c>
      <c r="AU81" s="546"/>
      <c r="AV81" s="544"/>
      <c r="AW81" s="755"/>
      <c r="AX81" s="733"/>
      <c r="AY81" s="546"/>
      <c r="AZ81" s="544"/>
      <c r="BA81" s="755"/>
      <c r="BB81" s="733"/>
    </row>
    <row r="82" spans="3:54" ht="15">
      <c r="D82" s="554"/>
      <c r="E82" s="735">
        <f>VLOOKUP(INDEX(decCh3Prod3Slot3Promo1,,xxIndexTeam),dataPromoPlanDisc,4,FALSE)</f>
        <v>0</v>
      </c>
      <c r="F82" s="720" t="s">
        <v>5024</v>
      </c>
      <c r="G82" s="584"/>
    </row>
    <row r="83" spans="3:54" ht="15.75" thickBot="1">
      <c r="D83" s="554"/>
      <c r="E83" s="735">
        <f>VLOOKUP(INDEX(decCh3Prod4Slot1Promo1,,xxIndexTeam),dataPromoPlanDisc,4,FALSE)</f>
        <v>0</v>
      </c>
      <c r="F83" s="720" t="s">
        <v>5025</v>
      </c>
      <c r="G83" s="584"/>
      <c r="AD83" s="628" t="s">
        <v>6808</v>
      </c>
      <c r="AE83" s="612" t="s">
        <v>6695</v>
      </c>
    </row>
    <row r="84" spans="3:54" ht="15">
      <c r="C84" s="802"/>
      <c r="D84" s="554"/>
      <c r="E84" s="735">
        <f>VLOOKUP(INDEX(decCh3Prod4Slot2Promo1,,xxIndexTeam),dataPromoPlanDisc,4,FALSE)</f>
        <v>0</v>
      </c>
      <c r="F84" s="720" t="s">
        <v>5026</v>
      </c>
      <c r="G84" s="584"/>
      <c r="H84" s="802"/>
      <c r="I84" s="802"/>
      <c r="J84" s="802"/>
      <c r="AE84" s="555"/>
      <c r="AF84" s="600"/>
      <c r="AG84" s="734">
        <f>INDEX(calcCh3Prod1Slot1Promo1PlanEmp1Req,,xxIndexTeam)+INDEX(calcCh3Prod1Slot2Promo1PlanEmp1Req,,xxIndexTeam)+INDEX(calcCh3Prod1Slot3Promo1PlanEmp1Req,,xxIndexTeam)</f>
        <v>1</v>
      </c>
      <c r="AH84" s="561" t="s">
        <v>6855</v>
      </c>
    </row>
    <row r="85" spans="3:54" ht="15.75" thickBot="1">
      <c r="C85" s="802"/>
      <c r="D85" s="546"/>
      <c r="E85" s="736">
        <f>VLOOKUP(INDEX(decCh3Prod4Slot3Promo1,,xxIndexTeam),dataPromoPlanDisc,4,FALSE)</f>
        <v>0</v>
      </c>
      <c r="F85" s="544" t="s">
        <v>5027</v>
      </c>
      <c r="G85" s="733"/>
      <c r="H85" s="802"/>
      <c r="I85" s="802"/>
      <c r="J85" s="802"/>
      <c r="AE85" s="554"/>
      <c r="AF85" s="720"/>
      <c r="AG85" s="553">
        <f>INDEX(calcCh3Prod2Slot1Promo1PlanEmp1Req,,xxIndexTeam)+INDEX(calcCh3Prod2Slot2Promo1PlanEmp1Req,,xxIndexTeam)+INDEX(calcCh3Prod2Slot3Promo1PlanEmp1Req,,xxIndexTeam)</f>
        <v>2</v>
      </c>
      <c r="AH85" s="584" t="s">
        <v>6856</v>
      </c>
    </row>
    <row r="86" spans="3:54" ht="15">
      <c r="C86" s="802"/>
      <c r="D86" s="802"/>
      <c r="E86" s="802"/>
      <c r="F86" s="802"/>
      <c r="G86" s="802"/>
      <c r="H86" s="802"/>
      <c r="I86" s="802"/>
      <c r="J86" s="802"/>
      <c r="AE86" s="554"/>
      <c r="AF86" s="720"/>
      <c r="AG86" s="553">
        <f>INDEX(calcCh3Prod3Slot1Promo1PlanEmp1Req,,xxIndexTeam)+INDEX(calcCh3Prod3Slot2Promo1PlanEmp1Req,,xxIndexTeam)+INDEX(calcCh3Prod3Slot3Promo1PlanEmp1Req,,xxIndexTeam)</f>
        <v>1</v>
      </c>
      <c r="AH86" s="584" t="s">
        <v>6857</v>
      </c>
    </row>
    <row r="87" spans="3:54" ht="15">
      <c r="C87" s="802"/>
      <c r="D87" s="802"/>
      <c r="E87" s="802"/>
      <c r="F87" s="802"/>
      <c r="G87" s="802"/>
      <c r="H87" s="802"/>
      <c r="I87" s="802"/>
      <c r="J87" s="802"/>
      <c r="AE87" s="554"/>
      <c r="AF87" s="720"/>
      <c r="AG87" s="553">
        <f>INDEX(calcCh3Prod4Slot1Promo1PlanEmp1Req,,xxIndexTeam)+INDEX(calcCh3Prod4Slot2Promo1PlanEmp1Req,,xxIndexTeam)+INDEX(calcCh3Prod4Slot3Promo1PlanEmp1Req,,xxIndexTeam)</f>
        <v>0</v>
      </c>
      <c r="AH87" s="584" t="s">
        <v>6858</v>
      </c>
    </row>
    <row r="88" spans="3:54" ht="15">
      <c r="C88" s="802"/>
      <c r="D88" s="802"/>
      <c r="E88" s="802"/>
      <c r="F88" s="802"/>
      <c r="G88" s="802"/>
      <c r="H88" s="802"/>
      <c r="I88" s="802"/>
      <c r="J88" s="802"/>
      <c r="U88" s="802"/>
      <c r="AE88" s="554"/>
      <c r="AF88" s="720"/>
      <c r="AG88" s="585">
        <f>INDEX(calcCh3Prod1Slot1Promo1PlanExp,,xxIndexTeam)+INDEX(calcCh3Prod1Slot2Promo1PlanExp,,xxIndexTeam)+INDEX(calcCh3Prod1Slot3Promo1PlanExp,,xxIndexTeam)</f>
        <v>400000</v>
      </c>
      <c r="AH88" s="584" t="s">
        <v>6859</v>
      </c>
    </row>
    <row r="89" spans="3:54" ht="15">
      <c r="C89" s="802"/>
      <c r="D89" s="802"/>
      <c r="E89" s="802"/>
      <c r="F89" s="802"/>
      <c r="G89" s="802"/>
      <c r="H89" s="802"/>
      <c r="I89" s="802"/>
      <c r="J89" s="802"/>
      <c r="U89" s="802"/>
      <c r="AE89" s="554"/>
      <c r="AF89" s="720"/>
      <c r="AG89" s="585">
        <f>INDEX(calcCh3Prod2Slot1Promo1PlanExp,,xxIndexTeam)+INDEX(calcCh3Prod2Slot2Promo1PlanExp,,xxIndexTeam)+INDEX(calcCh3Prod2Slot3Promo1PlanExp,,xxIndexTeam)</f>
        <v>800000</v>
      </c>
      <c r="AH89" s="584" t="s">
        <v>6860</v>
      </c>
    </row>
    <row r="90" spans="3:54" ht="15">
      <c r="C90" s="802"/>
      <c r="D90" s="802"/>
      <c r="E90" s="802"/>
      <c r="F90" s="802"/>
      <c r="G90" s="802"/>
      <c r="H90" s="802"/>
      <c r="I90" s="802"/>
      <c r="J90" s="802"/>
      <c r="U90" s="802"/>
      <c r="AE90" s="554"/>
      <c r="AF90" s="720"/>
      <c r="AG90" s="585">
        <f>INDEX(calcCh3Prod3Slot1Promo1PlanExp,,xxIndexTeam)+INDEX(calcCh3Prod3Slot2Promo1PlanExp,,xxIndexTeam)+INDEX(calcCh3Prod3Slot3Promo1PlanExp,,xxIndexTeam)</f>
        <v>600000</v>
      </c>
      <c r="AH90" s="584" t="s">
        <v>6861</v>
      </c>
    </row>
    <row r="91" spans="3:54" ht="15.75" thickBot="1">
      <c r="C91" s="802"/>
      <c r="D91" s="802"/>
      <c r="E91" s="802"/>
      <c r="F91" s="802"/>
      <c r="G91" s="802"/>
      <c r="H91" s="802"/>
      <c r="I91" s="802"/>
      <c r="J91" s="802"/>
      <c r="U91" s="802"/>
      <c r="AE91" s="546"/>
      <c r="AF91" s="544"/>
      <c r="AG91" s="574">
        <f>INDEX(calcCh3Prod4Slot1Promo1PlanExp,,xxIndexTeam)+INDEX(calcCh3Prod4Slot2Promo1PlanExp,,xxIndexTeam)+INDEX(calcCh3Prod4Slot3Promo1PlanExp,,xxIndexTeam)</f>
        <v>0</v>
      </c>
      <c r="AH91" s="733" t="s">
        <v>6862</v>
      </c>
    </row>
    <row r="92" spans="3:54">
      <c r="C92" s="802"/>
      <c r="D92" s="802"/>
      <c r="E92" s="802"/>
      <c r="F92" s="802"/>
      <c r="G92" s="802"/>
      <c r="H92" s="802"/>
      <c r="I92" s="802"/>
      <c r="J92" s="802"/>
      <c r="U92" s="802"/>
    </row>
    <row r="93" spans="3:54">
      <c r="C93" s="802"/>
      <c r="D93" s="802"/>
      <c r="E93" s="802"/>
      <c r="F93" s="802"/>
      <c r="G93" s="802"/>
      <c r="H93" s="802"/>
      <c r="I93" s="802"/>
      <c r="J93" s="802"/>
      <c r="U93" s="802"/>
    </row>
    <row r="94" spans="3:54">
      <c r="C94" s="802"/>
      <c r="D94" s="802"/>
      <c r="E94" s="802"/>
      <c r="F94" s="802"/>
      <c r="G94" s="802"/>
      <c r="H94" s="802"/>
      <c r="I94" s="802"/>
      <c r="J94" s="802"/>
      <c r="AD94" s="628" t="s">
        <v>6808</v>
      </c>
      <c r="AE94" s="702" t="s">
        <v>6704</v>
      </c>
      <c r="AI94" s="628" t="s">
        <v>6819</v>
      </c>
      <c r="AJ94" s="773" t="s">
        <v>6728</v>
      </c>
      <c r="AM94" s="628" t="s">
        <v>6819</v>
      </c>
      <c r="AN94" s="773" t="s">
        <v>6732</v>
      </c>
    </row>
    <row r="95" spans="3:54">
      <c r="C95" s="802"/>
      <c r="D95" s="802"/>
      <c r="E95" s="802"/>
      <c r="F95" s="802"/>
      <c r="G95" s="802"/>
      <c r="H95" s="802"/>
      <c r="I95" s="802"/>
      <c r="J95" s="802"/>
    </row>
    <row r="96" spans="3:54" ht="15" thickBot="1">
      <c r="C96" s="802"/>
      <c r="D96" s="802"/>
      <c r="E96" s="802"/>
      <c r="F96" s="802"/>
      <c r="G96" s="802"/>
      <c r="H96" s="802"/>
      <c r="I96" s="802"/>
      <c r="J96" s="802"/>
      <c r="AE96" s="773" t="str">
        <f>nmCh3&amp;" - Variance Tracker (Excel Only)"</f>
        <v>Convenience - Variance Tracker (Excel Only)</v>
      </c>
      <c r="AF96" s="720"/>
      <c r="AG96" s="720"/>
      <c r="AH96" s="720"/>
      <c r="AI96" s="720"/>
      <c r="AN96" s="720"/>
      <c r="AO96" s="720"/>
      <c r="AP96" s="720"/>
      <c r="AQ96" s="720"/>
      <c r="AR96" s="720"/>
      <c r="AS96" s="720"/>
    </row>
    <row r="97" spans="3:49">
      <c r="C97" s="802"/>
      <c r="D97" s="802"/>
      <c r="E97" s="802"/>
      <c r="F97" s="802"/>
      <c r="G97" s="802"/>
      <c r="H97" s="802"/>
      <c r="I97" s="802"/>
      <c r="J97" s="802"/>
      <c r="AE97" s="728" t="s">
        <v>6705</v>
      </c>
      <c r="AF97" s="600"/>
      <c r="AG97" s="600"/>
      <c r="AH97" s="561"/>
      <c r="AJ97" s="778" t="s">
        <v>6729</v>
      </c>
      <c r="AK97" s="600" t="str">
        <f>nmCh3&amp;" - Trade Terms Conditionality"</f>
        <v>Convenience - Trade Terms Conditionality</v>
      </c>
      <c r="AL97" s="561" t="s">
        <v>6863</v>
      </c>
      <c r="AN97" s="778"/>
      <c r="AO97" s="779" t="s">
        <v>4432</v>
      </c>
      <c r="AP97" s="780" t="s">
        <v>6864</v>
      </c>
      <c r="AQ97" s="780"/>
      <c r="AR97" s="780"/>
      <c r="AS97" s="781"/>
    </row>
    <row r="98" spans="3:49">
      <c r="AE98" s="554"/>
      <c r="AF98" s="720" t="s">
        <v>6708</v>
      </c>
      <c r="AG98" s="775" t="s">
        <v>521</v>
      </c>
      <c r="AH98" s="584" t="s">
        <v>8332</v>
      </c>
      <c r="AJ98" s="554" t="s">
        <v>1402</v>
      </c>
      <c r="AK98" s="720">
        <f>INDEX(calcCh3CondShare,,xxIndexTeam)*INDEX(calcCh3ValDrivExpTot,,xxIndexTeam)</f>
        <v>480000</v>
      </c>
      <c r="AL98" s="584" t="s">
        <v>6865</v>
      </c>
      <c r="AN98" s="782"/>
      <c r="AO98" s="783"/>
      <c r="AP98" s="783"/>
      <c r="AQ98" s="783"/>
      <c r="AR98" s="783"/>
      <c r="AS98" s="784"/>
    </row>
    <row r="99" spans="3:49">
      <c r="AE99" s="554"/>
      <c r="AF99" s="720" t="s">
        <v>6709</v>
      </c>
      <c r="AG99" s="775" t="s">
        <v>295</v>
      </c>
      <c r="AH99" s="584" t="s">
        <v>8333</v>
      </c>
      <c r="AJ99" s="554" t="s">
        <v>1403</v>
      </c>
      <c r="AK99" s="720">
        <f>(1-INDEX(calcCh3CondShare,,xxIndexTeam))*INDEX(calcCh3ValDrivExpTot,,xxIndexTeam)</f>
        <v>1019999.9999999999</v>
      </c>
      <c r="AL99" s="584" t="s">
        <v>6866</v>
      </c>
      <c r="AN99" s="782"/>
      <c r="AO99" s="785" t="str">
        <f>tlOutputProd1</f>
        <v>Greenborg</v>
      </c>
      <c r="AP99" s="785" t="str">
        <f>tlOutputProd2</f>
        <v>Harken</v>
      </c>
      <c r="AQ99" s="785" t="str">
        <f>tlOutputProd3</f>
        <v>Kara</v>
      </c>
      <c r="AR99" s="785" t="str">
        <f>tlOutputProd4</f>
        <v>Brew Master</v>
      </c>
      <c r="AS99" s="784"/>
    </row>
    <row r="100" spans="3:49">
      <c r="AE100" s="554"/>
      <c r="AF100" s="720" t="s">
        <v>6710</v>
      </c>
      <c r="AG100" s="608" t="s">
        <v>151</v>
      </c>
      <c r="AH100" s="584" t="s">
        <v>8334</v>
      </c>
      <c r="AJ100" s="554"/>
      <c r="AK100" s="720"/>
      <c r="AL100" s="584"/>
      <c r="AM100" s="720"/>
      <c r="AN100" s="786"/>
      <c r="AO100" s="785" t="s">
        <v>6581</v>
      </c>
      <c r="AP100" s="785" t="s">
        <v>6582</v>
      </c>
      <c r="AQ100" s="785" t="s">
        <v>6583</v>
      </c>
      <c r="AR100" s="785" t="s">
        <v>6584</v>
      </c>
      <c r="AS100" s="784"/>
    </row>
    <row r="101" spans="3:49">
      <c r="AE101" s="554"/>
      <c r="AF101" s="720" t="s">
        <v>6711</v>
      </c>
      <c r="AG101" s="608" t="s">
        <v>9060</v>
      </c>
      <c r="AH101" s="584" t="s">
        <v>8335</v>
      </c>
      <c r="AJ101" s="554"/>
      <c r="AK101" s="720"/>
      <c r="AL101" s="584"/>
      <c r="AM101" s="720"/>
      <c r="AN101" s="786" t="s">
        <v>157</v>
      </c>
      <c r="AO101" s="787">
        <f>INDEX(finPNLCh3Prod2Slot1TotalCOGs,,xxIndexTeam)+INDEX(finPNLCh3Prod2Slot2TotalCOGs,,xxIndexTeam)+INDEX(finPNLCh3Prod2Slot3TotalCOGs,,xxIndexTeam)</f>
        <v>156319143.72238085</v>
      </c>
      <c r="AP101" s="787">
        <f>INDEX(finPNLCh3Prod3Slot1TotalCOGs,,xxIndexTeam)+INDEX(finPNLCh3Prod3Slot2TotalCOGs,,xxIndexTeam)+INDEX(finPNLCh3Prod3Slot3TotalCOGs,,xxIndexTeam)</f>
        <v>169072749.09509158</v>
      </c>
      <c r="AQ101" s="787">
        <f>INDEX(finPNLCh3Prod1Slot1TotalCOGs,,xxIndexTeam)+INDEX(finPNLCh3Prod1Slot2TotalCOGs,,xxIndexTeam)+INDEX(finPNLCh3Prod1Slot3TotalCOGs,,xxIndexTeam)</f>
        <v>85613222.483256415</v>
      </c>
      <c r="AR101" s="787">
        <f>INDEX(finPNLCh3Prod4Slot1TotalCOGs,,xxIndexTeam)+INDEX(finPNLCh3Prod4Slot2TotalCOGs,,xxIndexTeam)+INDEX(finPNLCh3Prod4Slot3TotalCOGs,,xxIndexTeam)</f>
        <v>0</v>
      </c>
      <c r="AS101" s="784"/>
    </row>
    <row r="102" spans="3:49">
      <c r="AE102" s="554"/>
      <c r="AF102" s="720" t="s">
        <v>6712</v>
      </c>
      <c r="AG102" s="608" t="s">
        <v>9061</v>
      </c>
      <c r="AH102" s="584" t="s">
        <v>8336</v>
      </c>
      <c r="AJ102" s="554"/>
      <c r="AK102" s="720"/>
      <c r="AL102" s="584"/>
      <c r="AM102" s="720"/>
      <c r="AN102" s="782"/>
      <c r="AO102" s="783" t="s">
        <v>6867</v>
      </c>
      <c r="AP102" s="783" t="s">
        <v>6868</v>
      </c>
      <c r="AQ102" s="783" t="s">
        <v>6869</v>
      </c>
      <c r="AR102" s="783" t="s">
        <v>6870</v>
      </c>
      <c r="AS102" s="784"/>
    </row>
    <row r="103" spans="3:49">
      <c r="AE103" s="554"/>
      <c r="AF103" s="720" t="s">
        <v>6713</v>
      </c>
      <c r="AG103" s="608" t="s">
        <v>521</v>
      </c>
      <c r="AH103" s="584" t="s">
        <v>8337</v>
      </c>
      <c r="AJ103" s="554"/>
      <c r="AK103" s="720"/>
      <c r="AL103" s="584"/>
      <c r="AM103" s="720"/>
      <c r="AN103" s="786" t="s">
        <v>519</v>
      </c>
      <c r="AO103" s="787">
        <f>INDEX(finPNLCh3Prod2Slot1LogExp,,xxIndexTeam)+INDEX(finPNLCh3Prod2Slot2LogExp,,xxIndexTeam)+INDEX(finPNLCh3Prod2Slot3LogExp,,xxIndexTeam)</f>
        <v>19203226.653600004</v>
      </c>
      <c r="AP103" s="787">
        <f>INDEX(finPNLCh3Prod3Slot1LogExp,,xxIndexTeam)+INDEX(finPNLCh3Prod3Slot2LogExp,,xxIndexTeam)+INDEX(finPNLCh3Prod3Slot3LogExp,,xxIndexTeam)</f>
        <v>21739501.872000001</v>
      </c>
      <c r="AQ103" s="787">
        <f>INDEX(finPNLCh3Prod1Slot1LogExp,,xxIndexTeam)+INDEX(finPNLCh3Prod1Slot2LogExp,,xxIndexTeam)+INDEX(finPNLCh3Prod1Slot3LogExp,,xxIndexTeam)</f>
        <v>9952472.3760000002</v>
      </c>
      <c r="AR103" s="787">
        <f>INDEX(finPNLCh3Prod4Slot1LogExp,,xxIndexTeam)+INDEX(finPNLCh3Prod4Slot2LogExp,,xxIndexTeam)+INDEX(finPNLCh3Prod4Slot3LogExp,,xxIndexTeam)</f>
        <v>0</v>
      </c>
      <c r="AS103" s="784"/>
    </row>
    <row r="104" spans="3:49">
      <c r="E104" s="530"/>
      <c r="F104" s="720"/>
      <c r="G104" s="720"/>
      <c r="H104" s="720"/>
      <c r="I104" s="720"/>
      <c r="J104" s="720"/>
      <c r="K104" s="720"/>
      <c r="L104" s="720"/>
      <c r="M104" s="720"/>
      <c r="N104" s="720"/>
      <c r="O104" s="720"/>
      <c r="P104" s="720"/>
      <c r="Q104" s="720"/>
      <c r="R104" s="720"/>
      <c r="S104" s="720"/>
      <c r="T104" s="720"/>
      <c r="U104" s="720"/>
      <c r="V104" s="720"/>
      <c r="W104" s="720"/>
      <c r="X104" s="720"/>
      <c r="Y104" s="720"/>
      <c r="Z104" s="720"/>
      <c r="AA104" s="720"/>
      <c r="AB104" s="720"/>
      <c r="AC104" s="720"/>
      <c r="AD104" s="720"/>
      <c r="AE104" s="731" t="s">
        <v>6706</v>
      </c>
      <c r="AF104" s="720"/>
      <c r="AG104" s="720"/>
      <c r="AH104" s="584"/>
      <c r="AJ104" s="554"/>
      <c r="AK104" s="720"/>
      <c r="AL104" s="584"/>
      <c r="AM104" s="720"/>
      <c r="AN104" s="782"/>
      <c r="AO104" s="783" t="s">
        <v>6871</v>
      </c>
      <c r="AP104" s="783" t="s">
        <v>6872</v>
      </c>
      <c r="AQ104" s="783" t="s">
        <v>6873</v>
      </c>
      <c r="AR104" s="783" t="s">
        <v>6874</v>
      </c>
      <c r="AS104" s="784"/>
      <c r="AT104" s="720"/>
      <c r="AU104" s="720"/>
      <c r="AV104" s="720"/>
      <c r="AW104" s="720"/>
    </row>
    <row r="105" spans="3:49">
      <c r="E105" s="530"/>
      <c r="K105" s="720"/>
      <c r="L105" s="720"/>
      <c r="M105" s="720"/>
      <c r="N105" s="720"/>
      <c r="O105" s="720"/>
      <c r="P105" s="720"/>
      <c r="Q105" s="720"/>
      <c r="AB105" s="720"/>
      <c r="AC105" s="720"/>
      <c r="AD105" s="720"/>
      <c r="AE105" s="554"/>
      <c r="AF105" s="720" t="s">
        <v>6725</v>
      </c>
      <c r="AG105" s="774" t="s">
        <v>157</v>
      </c>
      <c r="AH105" s="584"/>
      <c r="AJ105" s="554"/>
      <c r="AK105" s="720"/>
      <c r="AL105" s="584"/>
      <c r="AM105" s="720"/>
      <c r="AN105" s="786" t="s">
        <v>4411</v>
      </c>
      <c r="AO105" s="787">
        <f>INDEX(finPNLCh3Prod2Slot1GPaL,,xxIndexTeam)+INDEX(finPNLCh3Prod2Slot2GPaL,,xxIndexTeam)+INDEX(finPNLCh3Prod2Slot3GPaL,,xxIndexTeam)</f>
        <v>196634073.87944955</v>
      </c>
      <c r="AP105" s="787">
        <f>INDEX(finPNLCh3Prod3Slot1GPaL,,xxIndexTeam)+INDEX(finPNLCh3Prod3Slot2GPaL,,xxIndexTeam)+INDEX(finPNLCh3Prod3Slot3GPaL,,xxIndexTeam)</f>
        <v>114224689.00662407</v>
      </c>
      <c r="AQ105" s="787">
        <f>INDEX(finPNLCh3Prod1Slot1GPaL,,xxIndexTeam)+INDEX(finPNLCh3Prod1Slot2GPaL,,xxIndexTeam)+INDEX(finPNLCh3Prod1Slot3GPaL,,xxIndexTeam)</f>
        <v>67363100.429815918</v>
      </c>
      <c r="AR105" s="787">
        <f>INDEX(finPNLCh3Prod4Slot1GPaL,,xxIndexTeam)+INDEX(finPNLCh3Prod4Slot2GPaL,,xxIndexTeam)+INDEX(finPNLCh3Prod4Slot3GPaL,,xxIndexTeam)</f>
        <v>0</v>
      </c>
      <c r="AS105" s="784"/>
      <c r="AT105" s="720"/>
      <c r="AU105" s="720"/>
      <c r="AV105" s="720"/>
      <c r="AW105" s="720"/>
    </row>
    <row r="106" spans="3:49">
      <c r="E106" s="530"/>
      <c r="K106" s="720"/>
      <c r="Q106" s="720"/>
      <c r="AB106" s="720"/>
      <c r="AC106" s="720"/>
      <c r="AD106" s="720"/>
      <c r="AE106" s="554"/>
      <c r="AF106" s="720" t="s">
        <v>6714</v>
      </c>
      <c r="AG106" s="776">
        <f>tlOutputCh3VtTotalCOGsPVol+tlOutputCh3VtLogExpPVol</f>
        <v>2.4142038094559219</v>
      </c>
      <c r="AH106" s="584" t="s">
        <v>8338</v>
      </c>
      <c r="AJ106" s="554"/>
      <c r="AK106" s="720"/>
      <c r="AL106" s="584"/>
      <c r="AM106" s="720"/>
      <c r="AN106" s="782"/>
      <c r="AO106" s="783" t="s">
        <v>6875</v>
      </c>
      <c r="AP106" s="783" t="s">
        <v>6876</v>
      </c>
      <c r="AQ106" s="783" t="s">
        <v>6877</v>
      </c>
      <c r="AR106" s="783" t="s">
        <v>6878</v>
      </c>
      <c r="AS106" s="784"/>
      <c r="AT106" s="720"/>
      <c r="AU106" s="720"/>
      <c r="AV106" s="720"/>
      <c r="AW106" s="720"/>
    </row>
    <row r="107" spans="3:49">
      <c r="E107" s="530"/>
      <c r="K107" s="720"/>
      <c r="Q107" s="720"/>
      <c r="AB107" s="720"/>
      <c r="AC107" s="720"/>
      <c r="AD107" s="720"/>
      <c r="AE107" s="554"/>
      <c r="AF107" s="720" t="s">
        <v>6720</v>
      </c>
      <c r="AG107" s="776">
        <f>SUM(tlOutputCh3WaterfallInvisible1+tlOutputCh3WaterfallVisible1)-AG115</f>
        <v>-2.4</v>
      </c>
      <c r="AH107" s="584" t="s">
        <v>8339</v>
      </c>
      <c r="AJ107" s="554"/>
      <c r="AK107" s="720"/>
      <c r="AL107" s="584"/>
      <c r="AM107" s="720"/>
      <c r="AN107" s="786" t="s">
        <v>4431</v>
      </c>
      <c r="AO107" s="788">
        <f>(INDEX(finPNLCh3Prod2Slot1GPaL,,xxIndexTeam)+INDEX(finPNLCh3Prod2Slot2GPaL,,xxIndexTeam)+INDEX(finPNLCh3Prod2Slot3GPaL,,xxIndexTeam))/(INDEX(finPNLCh3Prod2Slot1TotalRev,,xxIndexTeam)+INDEX(finPNLCh3Prod2Slot2TotalRev,,xxIndexTeam)+INDEX(finPNLCh3Prod2Slot3TotalRev,,xxIndexTeam))</f>
        <v>0.52836401710805603</v>
      </c>
      <c r="AP107" s="788">
        <f>(INDEX(finPNLCh3Prod3Slot1GPaL,,xxIndexTeam)+INDEX(finPNLCh3Prod3Slot2GPaL,,xxIndexTeam)+INDEX(finPNLCh3Prod3Slot3GPaL,,xxIndexTeam))/(INDEX(finPNLCh3Prod3Slot1TotalRev,,xxIndexTeam)+INDEX(finPNLCh3Prod3Slot2TotalRev,,xxIndexTeam)+INDEX(finPNLCh3Prod3Slot3TotalRev,,xxIndexTeam))</f>
        <v>0.37446182425140562</v>
      </c>
      <c r="AQ107" s="788">
        <f>(INDEX(finPNLCh3Prod1Slot1GPaL,,xxIndexTeam)+INDEX(finPNLCh3Prod1Slot2GPaL,,xxIndexTeam)+INDEX(finPNLCh3Prod1Slot3GPaL,,xxIndexTeam))/(INDEX(finPNLCh3Prod1Slot1TotalRev,,xxIndexTeam)+INDEX(finPNLCh3Prod1Slot2TotalRev,,xxIndexTeam)+INDEX(finPNLCh3Prod1Slot3TotalRev,,xxIndexTeam))</f>
        <v>0.41345116626130218</v>
      </c>
      <c r="AR107" s="788">
        <f>IF(AND(INDEX(calcCh3Prod4Slot1Active,,xxIndexTeam)=1,INDEX(calcCh3Prod4Slot1VolForecastSlot,,xxIndexTeam)&lt;&gt;0),(INDEX(finPNLCh3Prod4Slot1GPaL,,xxIndexTeam)+INDEX(finPNLCh3Prod4Slot2GPaL,,xxIndexTeam)+INDEX(finPNLCh3Prod4Slot3GPaL,,xxIndexTeam))/(INDEX(finPNLCh3Prod4Slot1TotalRev,,xxIndexTeam)+INDEX(finPNLCh3Prod4Slot2TotalRev,,xxIndexTeam)+INDEX(finPNLCh3Prod4Slot3TotalRev,,xxIndexTeam)),0)</f>
        <v>0</v>
      </c>
      <c r="AS107" s="784"/>
      <c r="AT107" s="720"/>
      <c r="AU107" s="720"/>
      <c r="AV107" s="720"/>
      <c r="AW107" s="720"/>
    </row>
    <row r="108" spans="3:49">
      <c r="E108" s="530"/>
      <c r="K108" s="720"/>
      <c r="Q108" s="720"/>
      <c r="AB108" s="720"/>
      <c r="AC108" s="720"/>
      <c r="AD108" s="720"/>
      <c r="AE108" s="554"/>
      <c r="AF108" s="720" t="s">
        <v>6721</v>
      </c>
      <c r="AG108" s="776">
        <f>IF(tlOutputCh3Vtstaple1-tlOutputCh3Vtstaple2&lt;0,AG107,AG107-AG116)</f>
        <v>-2.4</v>
      </c>
      <c r="AH108" s="584" t="s">
        <v>8340</v>
      </c>
      <c r="AJ108" s="554"/>
      <c r="AK108" s="720"/>
      <c r="AL108" s="584"/>
      <c r="AM108" s="720"/>
      <c r="AN108" s="782"/>
      <c r="AO108" s="783" t="s">
        <v>6879</v>
      </c>
      <c r="AP108" s="783" t="s">
        <v>6880</v>
      </c>
      <c r="AQ108" s="783" t="s">
        <v>6881</v>
      </c>
      <c r="AR108" s="783" t="s">
        <v>6882</v>
      </c>
      <c r="AS108" s="784"/>
      <c r="AT108" s="720"/>
      <c r="AU108" s="720"/>
      <c r="AV108" s="720"/>
      <c r="AW108" s="720"/>
    </row>
    <row r="109" spans="3:49">
      <c r="E109" s="530"/>
      <c r="K109" s="720"/>
      <c r="Q109" s="720"/>
      <c r="AB109" s="720"/>
      <c r="AC109" s="720"/>
      <c r="AD109" s="720"/>
      <c r="AE109" s="554"/>
      <c r="AF109" s="720" t="s">
        <v>6722</v>
      </c>
      <c r="AG109" s="776">
        <f>IF(tlOutputCh3Vtstaple2-tlOutputCh3Vtstaple3&lt;0,AG108,AG108-AG117)</f>
        <v>-2.4</v>
      </c>
      <c r="AH109" s="584" t="s">
        <v>8341</v>
      </c>
      <c r="AJ109" s="554"/>
      <c r="AK109" s="720"/>
      <c r="AL109" s="584"/>
      <c r="AM109" s="720"/>
      <c r="AN109" s="782"/>
      <c r="AO109" s="783"/>
      <c r="AP109" s="783"/>
      <c r="AQ109" s="783"/>
      <c r="AR109" s="783"/>
      <c r="AS109" s="784"/>
      <c r="AT109" s="720"/>
      <c r="AU109" s="720"/>
      <c r="AV109" s="720"/>
      <c r="AW109" s="720"/>
    </row>
    <row r="110" spans="3:49">
      <c r="E110" s="530"/>
      <c r="K110" s="720"/>
      <c r="Q110" s="720"/>
      <c r="AB110" s="720"/>
      <c r="AC110" s="720"/>
      <c r="AD110" s="720"/>
      <c r="AE110" s="554"/>
      <c r="AF110" s="720" t="s">
        <v>6723</v>
      </c>
      <c r="AG110" s="776">
        <f>AG109-AG118</f>
        <v>-2.9475187525092807</v>
      </c>
      <c r="AH110" s="584" t="s">
        <v>8342</v>
      </c>
      <c r="AJ110" s="554"/>
      <c r="AK110" s="720"/>
      <c r="AL110" s="584"/>
      <c r="AM110" s="720"/>
      <c r="AN110" s="782"/>
      <c r="AO110" s="783"/>
      <c r="AP110" s="783"/>
      <c r="AQ110" s="783"/>
      <c r="AR110" s="783"/>
      <c r="AS110" s="784"/>
      <c r="AT110" s="720"/>
      <c r="AU110" s="720"/>
      <c r="AV110" s="720"/>
      <c r="AW110" s="720"/>
    </row>
    <row r="111" spans="3:49" ht="15" thickBot="1">
      <c r="E111" s="530"/>
      <c r="K111" s="720"/>
      <c r="Q111" s="720"/>
      <c r="AB111" s="720"/>
      <c r="AC111" s="720"/>
      <c r="AD111" s="720"/>
      <c r="AE111" s="554"/>
      <c r="AF111" s="720" t="s">
        <v>6719</v>
      </c>
      <c r="AG111" s="776">
        <f>tlOutputCh3VtTotalCOGsPVol+tlOutputCh3VtLogExpPVol</f>
        <v>2.4142038094559219</v>
      </c>
      <c r="AH111" s="584" t="s">
        <v>8343</v>
      </c>
      <c r="AJ111" s="546"/>
      <c r="AK111" s="544"/>
      <c r="AL111" s="733"/>
      <c r="AM111" s="720"/>
      <c r="AN111" s="782"/>
      <c r="AO111" s="783"/>
      <c r="AP111" s="783"/>
      <c r="AQ111" s="783"/>
      <c r="AR111" s="783"/>
      <c r="AS111" s="784"/>
      <c r="AT111" s="720"/>
      <c r="AU111" s="720"/>
      <c r="AV111" s="720"/>
      <c r="AW111" s="720"/>
    </row>
    <row r="112" spans="3:49">
      <c r="E112" s="530"/>
      <c r="K112" s="720"/>
      <c r="Q112" s="720"/>
      <c r="AB112" s="720"/>
      <c r="AC112" s="720"/>
      <c r="AD112" s="720"/>
      <c r="AE112" s="731" t="s">
        <v>6707</v>
      </c>
      <c r="AF112" s="720"/>
      <c r="AG112" s="720"/>
      <c r="AH112" s="584"/>
      <c r="AK112" s="720"/>
      <c r="AL112" s="720"/>
      <c r="AM112" s="720"/>
      <c r="AN112" s="554"/>
      <c r="AO112" s="720"/>
      <c r="AP112" s="720"/>
      <c r="AQ112" s="720"/>
      <c r="AR112" s="720"/>
      <c r="AS112" s="584"/>
      <c r="AT112" s="720"/>
      <c r="AU112" s="720"/>
      <c r="AV112" s="720"/>
      <c r="AW112" s="720"/>
    </row>
    <row r="113" spans="5:49" ht="15" thickBot="1">
      <c r="E113" s="530"/>
      <c r="F113" s="530"/>
      <c r="G113" s="530"/>
      <c r="H113" s="530"/>
      <c r="I113" s="530"/>
      <c r="J113" s="530"/>
      <c r="K113" s="720"/>
      <c r="Q113" s="720"/>
      <c r="AB113" s="720"/>
      <c r="AC113" s="720"/>
      <c r="AD113" s="720"/>
      <c r="AE113" s="554"/>
      <c r="AF113" s="720" t="s">
        <v>6724</v>
      </c>
      <c r="AG113" s="774" t="s">
        <v>521</v>
      </c>
      <c r="AH113" s="584"/>
      <c r="AJ113" s="702" t="s">
        <v>8491</v>
      </c>
      <c r="AK113" s="720"/>
      <c r="AL113" s="720"/>
      <c r="AM113" s="720"/>
      <c r="AN113" s="554"/>
      <c r="AO113" s="720"/>
      <c r="AP113" s="720"/>
      <c r="AQ113" s="720"/>
      <c r="AR113" s="720"/>
      <c r="AS113" s="584"/>
      <c r="AT113" s="720"/>
      <c r="AU113" s="720"/>
      <c r="AV113" s="720"/>
      <c r="AW113" s="720"/>
    </row>
    <row r="114" spans="5:49">
      <c r="E114" s="530"/>
      <c r="F114" s="530"/>
      <c r="G114" s="530"/>
      <c r="H114" s="530"/>
      <c r="I114" s="530"/>
      <c r="J114" s="530"/>
      <c r="K114" s="720"/>
      <c r="Q114" s="720"/>
      <c r="AB114" s="720"/>
      <c r="AC114" s="720"/>
      <c r="AD114" s="720"/>
      <c r="AE114" s="554"/>
      <c r="AF114" s="720" t="s">
        <v>6714</v>
      </c>
      <c r="AG114" s="777">
        <f>tlOutputCh3Vtstaple1-tlOutputCh3VtTotalCOGsPVol-tlOutputCh3VtLogExpPVol</f>
        <v>-2.4142038094559219</v>
      </c>
      <c r="AH114" s="584" t="s">
        <v>8344</v>
      </c>
      <c r="AJ114" s="555" t="s">
        <v>8479</v>
      </c>
      <c r="AK114" s="861">
        <f t="shared" ref="AK114:AK119" si="35">INDEX(L65:AB65,,INDEX(calcCh3VtCode,,xxIndexTeam))</f>
        <v>78440440.819043785</v>
      </c>
      <c r="AL114" s="561" t="s">
        <v>8498</v>
      </c>
      <c r="AM114" s="720"/>
      <c r="AN114" s="554"/>
      <c r="AO114" s="720"/>
      <c r="AP114" s="720"/>
      <c r="AQ114" s="720"/>
      <c r="AR114" s="720"/>
      <c r="AS114" s="584"/>
      <c r="AT114" s="720"/>
      <c r="AU114" s="720"/>
      <c r="AV114" s="720"/>
      <c r="AW114" s="720"/>
    </row>
    <row r="115" spans="5:49">
      <c r="E115" s="530"/>
      <c r="F115" s="530"/>
      <c r="G115" s="530"/>
      <c r="H115" s="530"/>
      <c r="I115" s="530"/>
      <c r="J115" s="530"/>
      <c r="K115" s="720"/>
      <c r="Q115" s="720"/>
      <c r="AB115" s="720"/>
      <c r="AC115" s="720"/>
      <c r="AD115" s="720"/>
      <c r="AE115" s="554"/>
      <c r="AF115" s="720" t="s">
        <v>6715</v>
      </c>
      <c r="AG115" s="777">
        <f>tlOutputCh3VtExcisePVol</f>
        <v>2.4</v>
      </c>
      <c r="AH115" s="584" t="s">
        <v>8345</v>
      </c>
      <c r="AJ115" s="554" t="s">
        <v>8480</v>
      </c>
      <c r="AK115" s="862">
        <f t="shared" si="35"/>
        <v>-6788975.6545716254</v>
      </c>
      <c r="AL115" s="584" t="s">
        <v>8499</v>
      </c>
      <c r="AM115" s="720"/>
      <c r="AN115" s="554"/>
      <c r="AO115" s="720"/>
      <c r="AP115" s="720"/>
      <c r="AQ115" s="720"/>
      <c r="AR115" s="720"/>
      <c r="AS115" s="584"/>
      <c r="AT115" s="720"/>
      <c r="AU115" s="720"/>
      <c r="AV115" s="720"/>
      <c r="AW115" s="720"/>
    </row>
    <row r="116" spans="5:49">
      <c r="E116" s="530"/>
      <c r="F116" s="530"/>
      <c r="G116" s="530"/>
      <c r="H116" s="530"/>
      <c r="I116" s="530"/>
      <c r="J116" s="530"/>
      <c r="K116" s="720"/>
      <c r="Q116" s="720"/>
      <c r="AB116" s="720"/>
      <c r="AC116" s="720"/>
      <c r="AD116" s="720"/>
      <c r="AE116" s="554"/>
      <c r="AF116" s="720" t="s">
        <v>6716</v>
      </c>
      <c r="AG116" s="777">
        <f>IF(tlOutputCh3Vtstaple1-tlOutputCh3Vtstaple2&lt;0,tlOutputCh3Vtstaple2-tlOutputCh3Vtstaple1,tlOutputCh3Vtstaple1-tlOutputCh3Vtstaple2)</f>
        <v>0</v>
      </c>
      <c r="AH116" s="584" t="s">
        <v>8346</v>
      </c>
      <c r="AJ116" s="554" t="s">
        <v>8481</v>
      </c>
      <c r="AK116" s="862">
        <f t="shared" si="35"/>
        <v>1631577.0494787272</v>
      </c>
      <c r="AL116" s="584" t="s">
        <v>8500</v>
      </c>
      <c r="AM116" s="720"/>
      <c r="AN116" s="554"/>
      <c r="AO116" s="720"/>
      <c r="AP116" s="720"/>
      <c r="AQ116" s="720"/>
      <c r="AR116" s="720"/>
      <c r="AS116" s="584"/>
      <c r="AT116" s="720"/>
      <c r="AU116" s="720"/>
      <c r="AV116" s="720"/>
      <c r="AW116" s="720"/>
    </row>
    <row r="117" spans="5:49">
      <c r="E117" s="530"/>
      <c r="F117" s="530"/>
      <c r="G117" s="530"/>
      <c r="H117" s="530"/>
      <c r="I117" s="530"/>
      <c r="J117" s="530"/>
      <c r="K117" s="720"/>
      <c r="Q117" s="720"/>
      <c r="AB117" s="720"/>
      <c r="AC117" s="720"/>
      <c r="AD117" s="720"/>
      <c r="AE117" s="554"/>
      <c r="AF117" s="720" t="s">
        <v>6717</v>
      </c>
      <c r="AG117" s="777">
        <f>IF(tlOutputCh3Vtstaple1-tlOutputCh3Vtstaple3&lt;0,tlOutputCh3Vtstaple3-tlOutputCh3Vtstaple2,tlOutputCh3Vtstaple2-tlOutputCh3Vtstaple3)</f>
        <v>0</v>
      </c>
      <c r="AH117" s="584" t="s">
        <v>8347</v>
      </c>
      <c r="AJ117" s="554" t="s">
        <v>8482</v>
      </c>
      <c r="AK117" s="862">
        <f t="shared" si="35"/>
        <v>0</v>
      </c>
      <c r="AL117" s="584" t="s">
        <v>8501</v>
      </c>
      <c r="AM117" s="720"/>
      <c r="AN117" s="554"/>
      <c r="AO117" s="720"/>
      <c r="AP117" s="720"/>
      <c r="AQ117" s="720"/>
      <c r="AR117" s="720"/>
      <c r="AS117" s="584"/>
      <c r="AT117" s="720"/>
      <c r="AU117" s="720"/>
      <c r="AV117" s="720"/>
      <c r="AW117" s="720"/>
    </row>
    <row r="118" spans="5:49">
      <c r="E118" s="530"/>
      <c r="F118" s="530"/>
      <c r="G118" s="530"/>
      <c r="H118" s="530"/>
      <c r="I118" s="530"/>
      <c r="J118" s="530"/>
      <c r="K118" s="720"/>
      <c r="Q118" s="720"/>
      <c r="AB118" s="720"/>
      <c r="AC118" s="720"/>
      <c r="AD118" s="720"/>
      <c r="AE118" s="554"/>
      <c r="AF118" s="720" t="s">
        <v>6718</v>
      </c>
      <c r="AG118" s="777">
        <f>tlOutputCh3VtDiscountsPVol</f>
        <v>0.54751875250928073</v>
      </c>
      <c r="AH118" s="584" t="s">
        <v>8348</v>
      </c>
      <c r="AJ118" s="554" t="s">
        <v>8483</v>
      </c>
      <c r="AK118" s="862">
        <f t="shared" si="35"/>
        <v>260508.23501404133</v>
      </c>
      <c r="AL118" s="584" t="s">
        <v>8502</v>
      </c>
      <c r="AM118" s="720"/>
      <c r="AN118" s="554"/>
      <c r="AO118" s="720"/>
      <c r="AP118" s="720"/>
      <c r="AQ118" s="720"/>
      <c r="AR118" s="720"/>
      <c r="AS118" s="584"/>
      <c r="AT118" s="720"/>
      <c r="AU118" s="720"/>
      <c r="AV118" s="720"/>
      <c r="AW118" s="720"/>
    </row>
    <row r="119" spans="5:49">
      <c r="E119" s="530"/>
      <c r="F119" s="530"/>
      <c r="G119" s="530"/>
      <c r="H119" s="530"/>
      <c r="I119" s="530"/>
      <c r="J119" s="530"/>
      <c r="K119" s="720"/>
      <c r="Q119" s="720"/>
      <c r="AB119" s="720"/>
      <c r="AC119" s="720"/>
      <c r="AD119" s="720"/>
      <c r="AE119" s="554"/>
      <c r="AF119" s="720" t="s">
        <v>6719</v>
      </c>
      <c r="AG119" s="777">
        <f>AG110-AG111</f>
        <v>-5.3617225619652027</v>
      </c>
      <c r="AH119" s="584" t="s">
        <v>8349</v>
      </c>
      <c r="AJ119" s="554" t="s">
        <v>8484</v>
      </c>
      <c r="AK119" s="862">
        <f t="shared" si="35"/>
        <v>73543550.448964924</v>
      </c>
      <c r="AL119" s="584" t="s">
        <v>8503</v>
      </c>
      <c r="AN119" s="554"/>
      <c r="AO119" s="720"/>
      <c r="AP119" s="720"/>
      <c r="AQ119" s="720"/>
      <c r="AR119" s="720"/>
      <c r="AS119" s="584"/>
      <c r="AT119" s="720"/>
      <c r="AU119" s="720"/>
      <c r="AV119" s="720"/>
      <c r="AW119" s="720"/>
    </row>
    <row r="120" spans="5:49">
      <c r="E120" s="530"/>
      <c r="F120" s="530"/>
      <c r="G120" s="530"/>
      <c r="H120" s="530"/>
      <c r="I120" s="530"/>
      <c r="J120" s="530"/>
      <c r="K120" s="720"/>
      <c r="Q120" s="720"/>
      <c r="AB120" s="720"/>
      <c r="AC120" s="720"/>
      <c r="AD120" s="720"/>
      <c r="AE120" s="554"/>
      <c r="AF120" s="720"/>
      <c r="AG120" s="720"/>
      <c r="AH120" s="584"/>
      <c r="AJ120" s="554"/>
      <c r="AK120" s="862"/>
      <c r="AL120" s="584"/>
      <c r="AN120" s="554"/>
      <c r="AO120" s="720"/>
      <c r="AP120" s="720"/>
      <c r="AQ120" s="720"/>
      <c r="AR120" s="720"/>
      <c r="AS120" s="584"/>
      <c r="AT120" s="720"/>
      <c r="AU120" s="720"/>
      <c r="AV120" s="720"/>
      <c r="AW120" s="720"/>
    </row>
    <row r="121" spans="5:49" ht="15" thickBot="1">
      <c r="E121" s="530"/>
      <c r="F121" s="530"/>
      <c r="G121" s="530"/>
      <c r="H121" s="530"/>
      <c r="I121" s="530"/>
      <c r="J121" s="530"/>
      <c r="K121" s="720"/>
      <c r="Q121" s="720"/>
      <c r="AB121" s="720"/>
      <c r="AC121" s="720"/>
      <c r="AD121" s="720"/>
      <c r="AE121" s="554"/>
      <c r="AF121" s="720"/>
      <c r="AG121" s="720"/>
      <c r="AH121" s="584"/>
      <c r="AJ121" s="546"/>
      <c r="AK121" s="544"/>
      <c r="AL121" s="733"/>
      <c r="AN121" s="554"/>
      <c r="AO121" s="720"/>
      <c r="AP121" s="720"/>
      <c r="AQ121" s="720"/>
      <c r="AR121" s="720"/>
      <c r="AS121" s="584"/>
      <c r="AT121" s="720"/>
      <c r="AU121" s="720"/>
      <c r="AV121" s="720"/>
      <c r="AW121" s="720"/>
    </row>
    <row r="122" spans="5:49">
      <c r="E122" s="530"/>
      <c r="F122" s="530"/>
      <c r="G122" s="530"/>
      <c r="H122" s="530"/>
      <c r="I122" s="530"/>
      <c r="J122" s="530"/>
      <c r="K122" s="720"/>
      <c r="Q122" s="720"/>
      <c r="AB122" s="720"/>
      <c r="AC122" s="720"/>
      <c r="AD122" s="720"/>
      <c r="AE122" s="554"/>
      <c r="AF122" s="720"/>
      <c r="AG122" s="720"/>
      <c r="AH122" s="584"/>
      <c r="AN122" s="554"/>
      <c r="AO122" s="720"/>
      <c r="AP122" s="720"/>
      <c r="AQ122" s="720"/>
      <c r="AR122" s="720"/>
      <c r="AS122" s="584"/>
      <c r="AT122" s="720"/>
      <c r="AU122" s="720"/>
      <c r="AV122" s="720"/>
      <c r="AW122" s="720"/>
    </row>
    <row r="123" spans="5:49">
      <c r="E123" s="530"/>
      <c r="F123" s="530"/>
      <c r="G123" s="530"/>
      <c r="H123" s="530"/>
      <c r="I123" s="530"/>
      <c r="J123" s="530"/>
      <c r="K123" s="720"/>
      <c r="Q123" s="720"/>
      <c r="AB123" s="720"/>
      <c r="AC123" s="720"/>
      <c r="AD123" s="720"/>
      <c r="AE123" s="554"/>
      <c r="AF123" s="720"/>
      <c r="AG123" s="720"/>
      <c r="AH123" s="584"/>
      <c r="AN123" s="554"/>
      <c r="AO123" s="720"/>
      <c r="AP123" s="720"/>
      <c r="AQ123" s="720"/>
      <c r="AR123" s="720"/>
      <c r="AS123" s="584"/>
      <c r="AT123" s="720"/>
      <c r="AU123" s="720"/>
      <c r="AV123" s="720"/>
      <c r="AW123" s="720"/>
    </row>
    <row r="124" spans="5:49">
      <c r="E124" s="530"/>
      <c r="F124" s="530"/>
      <c r="G124" s="530"/>
      <c r="H124" s="530"/>
      <c r="I124" s="530"/>
      <c r="J124" s="530"/>
      <c r="K124" s="720"/>
      <c r="Q124" s="720"/>
      <c r="AB124" s="720"/>
      <c r="AC124" s="720"/>
      <c r="AD124" s="720"/>
      <c r="AE124" s="554"/>
      <c r="AF124" s="720"/>
      <c r="AG124" s="720"/>
      <c r="AH124" s="584"/>
      <c r="AN124" s="554"/>
      <c r="AO124" s="720"/>
      <c r="AP124" s="720"/>
      <c r="AQ124" s="720"/>
      <c r="AR124" s="720"/>
      <c r="AS124" s="584"/>
      <c r="AT124" s="720"/>
      <c r="AU124" s="720"/>
      <c r="AV124" s="720"/>
      <c r="AW124" s="720"/>
    </row>
    <row r="125" spans="5:49">
      <c r="E125" s="530"/>
      <c r="F125" s="530"/>
      <c r="G125" s="530"/>
      <c r="H125" s="530"/>
      <c r="I125" s="530"/>
      <c r="J125" s="530"/>
      <c r="K125" s="720"/>
      <c r="Q125" s="720"/>
      <c r="AB125" s="720"/>
      <c r="AC125" s="720"/>
      <c r="AD125" s="720"/>
      <c r="AE125" s="554"/>
      <c r="AF125" s="720"/>
      <c r="AG125" s="720"/>
      <c r="AH125" s="584"/>
      <c r="AN125" s="554"/>
      <c r="AO125" s="720"/>
      <c r="AP125" s="720"/>
      <c r="AQ125" s="720"/>
      <c r="AR125" s="720"/>
      <c r="AS125" s="584"/>
      <c r="AT125" s="720"/>
      <c r="AU125" s="720"/>
      <c r="AV125" s="720"/>
      <c r="AW125" s="720"/>
    </row>
    <row r="126" spans="5:49">
      <c r="E126" s="530"/>
      <c r="F126" s="530"/>
      <c r="G126" s="530"/>
      <c r="H126" s="530"/>
      <c r="I126" s="530"/>
      <c r="J126" s="530"/>
      <c r="K126" s="720"/>
      <c r="Q126" s="720"/>
      <c r="AB126" s="720"/>
      <c r="AC126" s="720"/>
      <c r="AD126" s="720"/>
      <c r="AE126" s="554"/>
      <c r="AF126" s="720"/>
      <c r="AG126" s="720"/>
      <c r="AH126" s="584"/>
      <c r="AN126" s="554"/>
      <c r="AO126" s="720"/>
      <c r="AP126" s="720"/>
      <c r="AQ126" s="720"/>
      <c r="AR126" s="720"/>
      <c r="AS126" s="584"/>
      <c r="AT126" s="720"/>
      <c r="AU126" s="720"/>
      <c r="AV126" s="720"/>
      <c r="AW126" s="720"/>
    </row>
    <row r="127" spans="5:49">
      <c r="E127" s="530"/>
      <c r="F127" s="530"/>
      <c r="G127" s="530"/>
      <c r="H127" s="530"/>
      <c r="I127" s="530"/>
      <c r="J127" s="530"/>
      <c r="K127" s="720"/>
      <c r="Q127" s="720"/>
      <c r="AB127" s="720"/>
      <c r="AC127" s="720"/>
      <c r="AD127" s="720"/>
      <c r="AE127" s="554"/>
      <c r="AF127" s="720"/>
      <c r="AG127" s="720"/>
      <c r="AH127" s="584"/>
      <c r="AN127" s="554"/>
      <c r="AO127" s="720"/>
      <c r="AP127" s="720"/>
      <c r="AQ127" s="720"/>
      <c r="AR127" s="720"/>
      <c r="AS127" s="584"/>
      <c r="AT127" s="720"/>
      <c r="AU127" s="720"/>
      <c r="AV127" s="720"/>
      <c r="AW127" s="720"/>
    </row>
    <row r="128" spans="5:49">
      <c r="E128" s="530"/>
      <c r="F128" s="530"/>
      <c r="G128" s="530"/>
      <c r="H128" s="530"/>
      <c r="I128" s="530"/>
      <c r="J128" s="530"/>
      <c r="K128" s="720"/>
      <c r="L128" s="720"/>
      <c r="M128" s="720"/>
      <c r="N128" s="720"/>
      <c r="O128" s="720"/>
      <c r="P128" s="720"/>
      <c r="Q128" s="720"/>
      <c r="AB128" s="720"/>
      <c r="AC128" s="720"/>
      <c r="AD128" s="720"/>
      <c r="AE128" s="554"/>
      <c r="AF128" s="720"/>
      <c r="AG128" s="720"/>
      <c r="AH128" s="584"/>
      <c r="AN128" s="554"/>
      <c r="AO128" s="720"/>
      <c r="AP128" s="720"/>
      <c r="AQ128" s="720"/>
      <c r="AR128" s="720"/>
      <c r="AS128" s="584"/>
      <c r="AT128" s="720"/>
      <c r="AU128" s="720"/>
      <c r="AV128" s="720"/>
      <c r="AW128" s="720"/>
    </row>
    <row r="129" spans="5:45">
      <c r="E129" s="530"/>
      <c r="F129" s="720"/>
      <c r="G129" s="720"/>
      <c r="H129" s="720"/>
      <c r="I129" s="720"/>
      <c r="J129" s="720"/>
      <c r="K129" s="720"/>
      <c r="L129" s="720"/>
      <c r="M129" s="720"/>
      <c r="N129" s="720"/>
      <c r="O129" s="720"/>
      <c r="P129" s="720"/>
      <c r="Q129" s="720"/>
      <c r="AB129" s="720"/>
      <c r="AC129" s="720"/>
      <c r="AD129" s="720"/>
      <c r="AE129" s="554"/>
      <c r="AF129" s="720"/>
      <c r="AG129" s="720"/>
      <c r="AH129" s="584"/>
      <c r="AN129" s="554"/>
      <c r="AO129" s="720"/>
      <c r="AP129" s="720"/>
      <c r="AQ129" s="720"/>
      <c r="AR129" s="720"/>
      <c r="AS129" s="584"/>
    </row>
    <row r="130" spans="5:45">
      <c r="E130" s="530"/>
      <c r="F130" s="720"/>
      <c r="G130" s="720"/>
      <c r="H130" s="720"/>
      <c r="I130" s="720"/>
      <c r="J130" s="720"/>
      <c r="K130" s="720"/>
      <c r="L130" s="720"/>
      <c r="M130" s="720"/>
      <c r="N130" s="720"/>
      <c r="O130" s="720"/>
      <c r="P130" s="720"/>
      <c r="Q130" s="720"/>
      <c r="AB130" s="720"/>
      <c r="AC130" s="720"/>
      <c r="AD130" s="720"/>
      <c r="AE130" s="554"/>
      <c r="AF130" s="720"/>
      <c r="AG130" s="720"/>
      <c r="AH130" s="584"/>
      <c r="AN130" s="554"/>
      <c r="AO130" s="720"/>
      <c r="AP130" s="720"/>
      <c r="AQ130" s="720"/>
      <c r="AR130" s="720"/>
      <c r="AS130" s="584"/>
    </row>
    <row r="131" spans="5:45">
      <c r="E131" s="530"/>
      <c r="F131" s="720"/>
      <c r="G131" s="720"/>
      <c r="H131" s="720"/>
      <c r="I131" s="720"/>
      <c r="J131" s="720"/>
      <c r="K131" s="720"/>
      <c r="L131" s="720"/>
      <c r="M131" s="720"/>
      <c r="N131" s="720"/>
      <c r="O131" s="720"/>
      <c r="P131" s="720"/>
      <c r="Q131" s="720"/>
      <c r="AB131" s="720"/>
      <c r="AC131" s="720"/>
      <c r="AD131" s="720"/>
      <c r="AE131" s="554"/>
      <c r="AF131" s="720"/>
      <c r="AG131" s="720"/>
      <c r="AH131" s="584"/>
      <c r="AN131" s="554"/>
      <c r="AO131" s="720"/>
      <c r="AP131" s="720"/>
      <c r="AQ131" s="720"/>
      <c r="AR131" s="720"/>
      <c r="AS131" s="584"/>
    </row>
    <row r="132" spans="5:45">
      <c r="E132" s="530"/>
      <c r="F132" s="720"/>
      <c r="G132" s="720"/>
      <c r="H132" s="720"/>
      <c r="I132" s="720"/>
      <c r="J132" s="720"/>
      <c r="K132" s="720"/>
      <c r="L132" s="720"/>
      <c r="M132" s="720"/>
      <c r="N132" s="720"/>
      <c r="O132" s="720"/>
      <c r="P132" s="720"/>
      <c r="Q132" s="720"/>
      <c r="AB132" s="720"/>
      <c r="AC132" s="720"/>
      <c r="AD132" s="720"/>
      <c r="AE132" s="554"/>
      <c r="AF132" s="720"/>
      <c r="AG132" s="720"/>
      <c r="AH132" s="584"/>
      <c r="AN132" s="554"/>
      <c r="AO132" s="720"/>
      <c r="AP132" s="720"/>
      <c r="AQ132" s="720"/>
      <c r="AR132" s="720"/>
      <c r="AS132" s="584"/>
    </row>
    <row r="133" spans="5:45">
      <c r="E133" s="530"/>
      <c r="F133" s="720"/>
      <c r="G133" s="720"/>
      <c r="H133" s="720"/>
      <c r="I133" s="720"/>
      <c r="J133" s="720"/>
      <c r="K133" s="720"/>
      <c r="L133" s="720"/>
      <c r="M133" s="720"/>
      <c r="N133" s="720"/>
      <c r="O133" s="720"/>
      <c r="P133" s="720"/>
      <c r="Q133" s="720"/>
      <c r="AB133" s="720"/>
      <c r="AC133" s="720"/>
      <c r="AD133" s="720"/>
      <c r="AE133" s="554"/>
      <c r="AF133" s="720"/>
      <c r="AG133" s="720"/>
      <c r="AH133" s="584"/>
      <c r="AN133" s="554"/>
      <c r="AO133" s="720"/>
      <c r="AP133" s="720"/>
      <c r="AQ133" s="720"/>
      <c r="AR133" s="720"/>
      <c r="AS133" s="584"/>
    </row>
    <row r="134" spans="5:45" ht="15" thickBot="1">
      <c r="E134" s="530"/>
      <c r="F134" s="720"/>
      <c r="G134" s="720"/>
      <c r="H134" s="720"/>
      <c r="I134" s="720"/>
      <c r="J134" s="720"/>
      <c r="K134" s="720"/>
      <c r="L134" s="720"/>
      <c r="M134" s="720"/>
      <c r="N134" s="720"/>
      <c r="O134" s="720"/>
      <c r="P134" s="720"/>
      <c r="Q134" s="720"/>
      <c r="AB134" s="720"/>
      <c r="AC134" s="720"/>
      <c r="AD134" s="720"/>
      <c r="AE134" s="554"/>
      <c r="AF134" s="720"/>
      <c r="AG134" s="720"/>
      <c r="AH134" s="584"/>
      <c r="AN134" s="546"/>
      <c r="AO134" s="544"/>
      <c r="AP134" s="544"/>
      <c r="AQ134" s="544"/>
      <c r="AR134" s="544"/>
      <c r="AS134" s="733"/>
    </row>
    <row r="135" spans="5:45">
      <c r="E135" s="530"/>
      <c r="F135" s="720"/>
      <c r="G135" s="720"/>
      <c r="H135" s="720"/>
      <c r="I135" s="720"/>
      <c r="J135" s="720"/>
      <c r="K135" s="720"/>
      <c r="L135" s="720"/>
      <c r="M135" s="720"/>
      <c r="N135" s="720"/>
      <c r="O135" s="720"/>
      <c r="P135" s="720"/>
      <c r="Q135" s="720"/>
      <c r="AB135" s="720"/>
      <c r="AC135" s="720"/>
      <c r="AD135" s="720"/>
      <c r="AE135" s="554"/>
      <c r="AF135" s="720"/>
      <c r="AG135" s="720"/>
      <c r="AH135" s="584"/>
    </row>
    <row r="136" spans="5:45">
      <c r="E136" s="530"/>
      <c r="F136" s="720"/>
      <c r="G136" s="720"/>
      <c r="H136" s="720"/>
      <c r="I136" s="720"/>
      <c r="J136" s="720"/>
      <c r="K136" s="720"/>
      <c r="L136" s="720"/>
      <c r="M136" s="720"/>
      <c r="N136" s="720"/>
      <c r="O136" s="720"/>
      <c r="P136" s="720"/>
      <c r="Q136" s="720"/>
      <c r="AB136" s="720"/>
      <c r="AC136" s="720"/>
      <c r="AD136" s="720"/>
      <c r="AE136" s="554"/>
      <c r="AF136" s="720"/>
      <c r="AG136" s="720"/>
      <c r="AH136" s="584"/>
    </row>
    <row r="137" spans="5:45">
      <c r="E137" s="530"/>
      <c r="F137" s="720"/>
      <c r="G137" s="720"/>
      <c r="H137" s="720"/>
      <c r="I137" s="720"/>
      <c r="J137" s="720"/>
      <c r="K137" s="720"/>
      <c r="L137" s="720"/>
      <c r="M137" s="720"/>
      <c r="N137" s="720"/>
      <c r="O137" s="720"/>
      <c r="P137" s="720"/>
      <c r="Q137" s="720"/>
      <c r="R137" s="720"/>
      <c r="S137" s="720"/>
      <c r="T137" s="720"/>
      <c r="U137" s="720"/>
      <c r="V137" s="720"/>
      <c r="W137" s="720"/>
      <c r="X137" s="720"/>
      <c r="Y137" s="720"/>
      <c r="Z137" s="720"/>
      <c r="AA137" s="720"/>
      <c r="AB137" s="720"/>
      <c r="AC137" s="720"/>
      <c r="AD137" s="720"/>
      <c r="AE137" s="554"/>
      <c r="AF137" s="720"/>
      <c r="AG137" s="720"/>
      <c r="AH137" s="584"/>
    </row>
    <row r="138" spans="5:45">
      <c r="E138" s="530"/>
      <c r="F138" s="720"/>
      <c r="G138" s="720"/>
      <c r="H138" s="720"/>
      <c r="I138" s="720"/>
      <c r="J138" s="720"/>
      <c r="K138" s="720"/>
      <c r="L138" s="720"/>
      <c r="M138" s="720"/>
      <c r="N138" s="720"/>
      <c r="O138" s="720"/>
      <c r="P138" s="720"/>
      <c r="Q138" s="720"/>
      <c r="R138" s="720"/>
      <c r="S138" s="720"/>
      <c r="T138" s="720"/>
      <c r="U138" s="720"/>
      <c r="V138" s="720"/>
      <c r="W138" s="720"/>
      <c r="X138" s="720"/>
      <c r="Y138" s="720"/>
      <c r="Z138" s="720"/>
      <c r="AA138" s="720"/>
      <c r="AB138" s="720"/>
      <c r="AC138" s="720"/>
      <c r="AD138" s="720"/>
      <c r="AE138" s="554"/>
      <c r="AF138" s="720"/>
      <c r="AG138" s="720"/>
      <c r="AH138" s="584"/>
    </row>
    <row r="139" spans="5:45">
      <c r="E139" s="530"/>
      <c r="F139" s="720"/>
      <c r="G139" s="720"/>
      <c r="H139" s="720"/>
      <c r="I139" s="720"/>
      <c r="J139" s="720"/>
      <c r="K139" s="720"/>
      <c r="L139" s="720"/>
      <c r="M139" s="720"/>
      <c r="N139" s="720"/>
      <c r="O139" s="720"/>
      <c r="P139" s="720"/>
      <c r="Q139" s="720"/>
      <c r="R139" s="720"/>
      <c r="S139" s="720"/>
      <c r="T139" s="720"/>
      <c r="U139" s="720"/>
      <c r="V139" s="720"/>
      <c r="W139" s="720"/>
      <c r="X139" s="720"/>
      <c r="Y139" s="720"/>
      <c r="Z139" s="720"/>
      <c r="AA139" s="720"/>
      <c r="AB139" s="720"/>
      <c r="AC139" s="720"/>
      <c r="AD139" s="720"/>
      <c r="AE139" s="554"/>
      <c r="AF139" s="720"/>
      <c r="AG139" s="720"/>
      <c r="AH139" s="584"/>
    </row>
    <row r="140" spans="5:45" ht="15" thickBot="1">
      <c r="E140" s="530"/>
      <c r="F140" s="720"/>
      <c r="G140" s="720"/>
      <c r="H140" s="720"/>
      <c r="I140" s="720"/>
      <c r="J140" s="720"/>
      <c r="K140" s="720"/>
      <c r="L140" s="720"/>
      <c r="M140" s="720"/>
      <c r="N140" s="720"/>
      <c r="O140" s="720"/>
      <c r="P140" s="720"/>
      <c r="Q140" s="720"/>
      <c r="R140" s="720"/>
      <c r="S140" s="720"/>
      <c r="T140" s="720"/>
      <c r="U140" s="720"/>
      <c r="V140" s="720"/>
      <c r="W140" s="720"/>
      <c r="X140" s="720"/>
      <c r="Y140" s="720"/>
      <c r="Z140" s="720"/>
      <c r="AA140" s="720"/>
      <c r="AB140" s="720"/>
      <c r="AC140" s="720"/>
      <c r="AD140" s="720"/>
      <c r="AE140" s="546"/>
      <c r="AF140" s="544"/>
      <c r="AG140" s="544"/>
      <c r="AH140" s="733"/>
    </row>
    <row r="146" spans="30:47" ht="15" thickBot="1">
      <c r="AD146" s="804" t="s">
        <v>7547</v>
      </c>
      <c r="AE146" s="801" t="s">
        <v>6988</v>
      </c>
      <c r="AF146" s="800"/>
      <c r="AG146" s="800"/>
      <c r="AH146" s="800"/>
      <c r="AI146" s="801" t="s">
        <v>6991</v>
      </c>
      <c r="AJ146" s="800"/>
      <c r="AK146" s="800"/>
      <c r="AL146" s="800"/>
      <c r="AM146" s="801" t="s">
        <v>6996</v>
      </c>
      <c r="AN146" s="802"/>
      <c r="AO146" s="802"/>
      <c r="AP146" s="802"/>
      <c r="AQ146" s="801" t="s">
        <v>6987</v>
      </c>
      <c r="AR146" s="802"/>
      <c r="AS146" s="802"/>
      <c r="AT146" s="802"/>
      <c r="AU146" s="802"/>
    </row>
    <row r="147" spans="30:47">
      <c r="AD147" s="800"/>
      <c r="AE147" s="807"/>
      <c r="AF147" s="813"/>
      <c r="AG147" s="796" t="s">
        <v>6986</v>
      </c>
      <c r="AH147" s="812" t="s">
        <v>7548</v>
      </c>
      <c r="AI147" s="807"/>
      <c r="AJ147" s="813"/>
      <c r="AK147" s="796" t="s">
        <v>6991</v>
      </c>
      <c r="AL147" s="812" t="s">
        <v>7549</v>
      </c>
      <c r="AM147" s="555"/>
      <c r="AN147" s="600"/>
      <c r="AO147" s="600"/>
      <c r="AP147" s="561"/>
      <c r="AQ147" s="807"/>
      <c r="AR147" s="813"/>
      <c r="AS147" s="796" t="s">
        <v>6994</v>
      </c>
      <c r="AT147" s="812" t="s">
        <v>7723</v>
      </c>
      <c r="AU147" s="802"/>
    </row>
    <row r="148" spans="30:47">
      <c r="AD148" s="800"/>
      <c r="AE148" s="797" t="s">
        <v>6990</v>
      </c>
      <c r="AF148" s="814"/>
      <c r="AG148" s="814"/>
      <c r="AH148" s="811"/>
      <c r="AI148" s="797" t="s">
        <v>6990</v>
      </c>
      <c r="AJ148" s="814"/>
      <c r="AK148" s="814"/>
      <c r="AL148" s="811"/>
      <c r="AM148" s="832" t="str">
        <f>nmSeg1</f>
        <v>Making a Statement</v>
      </c>
      <c r="AN148" s="720"/>
      <c r="AO148" s="720"/>
      <c r="AP148" s="833"/>
      <c r="AQ148" s="797"/>
      <c r="AR148" s="814"/>
      <c r="AS148" s="814"/>
      <c r="AT148" s="811"/>
      <c r="AU148" s="802"/>
    </row>
    <row r="149" spans="30:47" ht="15" thickBot="1">
      <c r="AD149" s="800"/>
      <c r="AE149" s="810"/>
      <c r="AF149" s="814" t="str">
        <f>nmProd2</f>
        <v>Harken</v>
      </c>
      <c r="AG149" s="793" t="str">
        <f>nmProd2</f>
        <v>Harken</v>
      </c>
      <c r="AH149" s="811" t="s">
        <v>7550</v>
      </c>
      <c r="AI149" s="810"/>
      <c r="AJ149" s="814" t="str">
        <f>nmProd2</f>
        <v>Harken</v>
      </c>
      <c r="AK149" s="793" t="str">
        <f>nmProd2</f>
        <v>Harken</v>
      </c>
      <c r="AL149" s="811" t="s">
        <v>7551</v>
      </c>
      <c r="AM149" s="554"/>
      <c r="AN149" s="720"/>
      <c r="AO149" s="530" t="s">
        <v>295</v>
      </c>
      <c r="AP149" s="584"/>
      <c r="AQ149" s="810"/>
      <c r="AR149" s="814" t="str">
        <f>nmProd2&amp;" Slot1"</f>
        <v>Harken Slot1</v>
      </c>
      <c r="AS149" s="793" t="str">
        <f>IF(INDEX(obalCh3Prod2Slot1Active,,xxIndexTeam)=1,nmProd2&amp;" - "&amp;INDEX(obalCh3Prod2Slot1Pack,,xxIndexTeam),"")</f>
        <v>Harken - 33cl Can</v>
      </c>
      <c r="AT149" s="811" t="s">
        <v>7727</v>
      </c>
      <c r="AU149" s="802"/>
    </row>
    <row r="150" spans="30:47">
      <c r="AD150" s="800"/>
      <c r="AE150" s="810"/>
      <c r="AF150" s="814" t="str">
        <f>nmProd3</f>
        <v>Kara</v>
      </c>
      <c r="AG150" s="793" t="str">
        <f>nmProd3</f>
        <v>Kara</v>
      </c>
      <c r="AH150" s="811" t="s">
        <v>7552</v>
      </c>
      <c r="AI150" s="810"/>
      <c r="AJ150" s="814" t="str">
        <f>nmProd3</f>
        <v>Kara</v>
      </c>
      <c r="AK150" s="793" t="str">
        <f>nmProd3</f>
        <v>Kara</v>
      </c>
      <c r="AL150" s="811" t="s">
        <v>7553</v>
      </c>
      <c r="AM150" s="554" t="str">
        <f>nmProd1</f>
        <v>Greenborg</v>
      </c>
      <c r="AN150" s="720" t="s">
        <v>4409</v>
      </c>
      <c r="AO150" s="822">
        <v>97000000</v>
      </c>
      <c r="AP150" s="584" t="s">
        <v>7554</v>
      </c>
      <c r="AQ150" s="810"/>
      <c r="AR150" s="720"/>
      <c r="AS150" s="817">
        <f>IF(INDEX(obalCh3Prod2Slot1Active,,xxIndexTeam)=1,INDEX(obalCh3Prod2Slot1CustPrice,,xxIndexTeam),"")</f>
        <v>7.9</v>
      </c>
      <c r="AT150" s="584" t="s">
        <v>7731</v>
      </c>
      <c r="AU150" s="802"/>
    </row>
    <row r="151" spans="30:47">
      <c r="AD151" s="800"/>
      <c r="AE151" s="810"/>
      <c r="AF151" s="814" t="str">
        <f>nmProd1</f>
        <v>Greenborg</v>
      </c>
      <c r="AG151" s="793" t="str">
        <f>nmProd1</f>
        <v>Greenborg</v>
      </c>
      <c r="AH151" s="811" t="s">
        <v>7555</v>
      </c>
      <c r="AI151" s="810"/>
      <c r="AJ151" s="814" t="str">
        <f>nmProd1</f>
        <v>Greenborg</v>
      </c>
      <c r="AK151" s="793" t="str">
        <f>nmProd1</f>
        <v>Greenborg</v>
      </c>
      <c r="AL151" s="811" t="s">
        <v>7556</v>
      </c>
      <c r="AM151" s="554"/>
      <c r="AN151" s="720" t="s">
        <v>4408</v>
      </c>
      <c r="AO151" s="826">
        <f>AO150*0.2</f>
        <v>19400000</v>
      </c>
      <c r="AP151" s="584" t="s">
        <v>7557</v>
      </c>
      <c r="AQ151" s="810"/>
      <c r="AR151" s="720"/>
      <c r="AS151" s="817">
        <f>IF(INDEX(obalCh3Prod2Slot1Active,,xxIndexTeam)=1,INDEX(obalCh3Prod2Slot1AvgPrice,,xxIndexTeam),"")</f>
        <v>7.3223555528989142</v>
      </c>
      <c r="AT151" s="584" t="s">
        <v>7735</v>
      </c>
      <c r="AU151" s="802"/>
    </row>
    <row r="152" spans="30:47">
      <c r="AD152" s="800"/>
      <c r="AE152" s="810"/>
      <c r="AF152" s="814" t="str">
        <f>nmProd4</f>
        <v>Brew Master</v>
      </c>
      <c r="AG152" s="793" t="str">
        <f>nmProd4</f>
        <v>Brew Master</v>
      </c>
      <c r="AH152" s="811" t="s">
        <v>7558</v>
      </c>
      <c r="AI152" s="810"/>
      <c r="AJ152" s="814" t="str">
        <f>nmProd4</f>
        <v>Brew Master</v>
      </c>
      <c r="AK152" s="793" t="str">
        <f>nmProd4</f>
        <v>Brew Master</v>
      </c>
      <c r="AL152" s="811" t="s">
        <v>7559</v>
      </c>
      <c r="AM152" s="554" t="str">
        <f>nmProd2</f>
        <v>Harken</v>
      </c>
      <c r="AN152" s="720" t="s">
        <v>4409</v>
      </c>
      <c r="AO152" s="826">
        <v>145500000</v>
      </c>
      <c r="AP152" s="584" t="s">
        <v>7560</v>
      </c>
      <c r="AQ152" s="810"/>
      <c r="AR152" s="720"/>
      <c r="AS152" s="817">
        <f>IF(INDEX(obalCh3Prod2Slot1Active,,xxIndexTeam)=1,INDEX(obalCh3Prod2Slot1Promo1Price,,xxIndexTeam),"")</f>
        <v>5.2929999999999993</v>
      </c>
      <c r="AT152" s="584" t="s">
        <v>7738</v>
      </c>
      <c r="AU152" s="802"/>
    </row>
    <row r="153" spans="30:47">
      <c r="AD153" s="800"/>
      <c r="AE153" s="797" t="s">
        <v>6989</v>
      </c>
      <c r="AF153" s="814"/>
      <c r="AG153" s="814"/>
      <c r="AH153" s="811"/>
      <c r="AI153" s="797" t="s">
        <v>6989</v>
      </c>
      <c r="AJ153" s="814"/>
      <c r="AK153" s="814"/>
      <c r="AL153" s="811"/>
      <c r="AM153" s="554"/>
      <c r="AN153" s="720" t="s">
        <v>4408</v>
      </c>
      <c r="AO153" s="826">
        <f>AO152*0.2</f>
        <v>29100000</v>
      </c>
      <c r="AP153" s="584" t="s">
        <v>7561</v>
      </c>
      <c r="AQ153" s="810"/>
      <c r="AR153" s="814" t="str">
        <f>nmProd2&amp;" Slot2"</f>
        <v>Harken Slot2</v>
      </c>
      <c r="AS153" s="818" t="str">
        <f>IF(INDEX(obalCh3Prod2Slot2Active,,xxIndexTeam)=1,nmProd2&amp;" - "&amp;INDEX(obalCh3Prod2Slot2Pack,,xxIndexTeam),"")</f>
        <v>Harken - 6 x 33cl Can</v>
      </c>
      <c r="AT153" s="811" t="s">
        <v>7742</v>
      </c>
      <c r="AU153" s="802"/>
    </row>
    <row r="154" spans="30:47">
      <c r="AD154" s="800"/>
      <c r="AE154" s="810"/>
      <c r="AF154" s="814" t="str">
        <f>nmProd2</f>
        <v>Harken</v>
      </c>
      <c r="AG154" s="793" t="str">
        <f>IF(INDEX(obalCh3Prod2Slot1Active,,xxIndexTeam)=1,INDEX(obalCh3Prod2Slot1Pack,,xxIndexTeam),"")</f>
        <v>33cl Can</v>
      </c>
      <c r="AH154" s="811" t="s">
        <v>7562</v>
      </c>
      <c r="AI154" s="810"/>
      <c r="AJ154" s="814" t="str">
        <f>nmProd2</f>
        <v>Harken</v>
      </c>
      <c r="AK154" s="793" t="str">
        <f>IF(INDEX(obalCh3Prod2Slot1Active,,xxIndexTeam)=1,INDEX(obalCh3Prod2Slot1Pack,,xxIndexTeam),"")</f>
        <v>33cl Can</v>
      </c>
      <c r="AL154" s="811" t="s">
        <v>7563</v>
      </c>
      <c r="AM154" s="554" t="str">
        <f>nmProd3</f>
        <v>Kara</v>
      </c>
      <c r="AN154" s="720" t="s">
        <v>4409</v>
      </c>
      <c r="AO154" s="826">
        <v>97000000</v>
      </c>
      <c r="AP154" s="584" t="s">
        <v>7564</v>
      </c>
      <c r="AQ154" s="810"/>
      <c r="AR154" s="720"/>
      <c r="AS154" s="817">
        <f>IF(INDEX(obalCh3Prod2Slot2Active,,xxIndexTeam)=1,INDEX(obalCh3Prod2Slot2CustPrice,,xxIndexTeam),"")</f>
        <v>8</v>
      </c>
      <c r="AT154" s="584" t="s">
        <v>7744</v>
      </c>
      <c r="AU154" s="802"/>
    </row>
    <row r="155" spans="30:47">
      <c r="AD155" s="800"/>
      <c r="AE155" s="810"/>
      <c r="AF155" s="814" t="str">
        <f>nmProd2</f>
        <v>Harken</v>
      </c>
      <c r="AG155" s="793" t="str">
        <f>IF(INDEX(obalCh3Prod2Slot2Active,,xxIndexTeam)=1,INDEX(obalCh3Prod2Slot2Pack,,xxIndexTeam),"")</f>
        <v>6 x 33cl Can</v>
      </c>
      <c r="AH155" s="811" t="s">
        <v>7565</v>
      </c>
      <c r="AI155" s="810"/>
      <c r="AJ155" s="814" t="str">
        <f>nmProd2</f>
        <v>Harken</v>
      </c>
      <c r="AK155" s="793" t="str">
        <f>IF(INDEX(obalCh3Prod2Slot2Active,,xxIndexTeam)=1,INDEX(obalCh3Prod2Slot2Pack,,xxIndexTeam),"")</f>
        <v>6 x 33cl Can</v>
      </c>
      <c r="AL155" s="811" t="s">
        <v>7566</v>
      </c>
      <c r="AM155" s="554"/>
      <c r="AN155" s="720" t="s">
        <v>4408</v>
      </c>
      <c r="AO155" s="826">
        <f>AO154*0.2</f>
        <v>19400000</v>
      </c>
      <c r="AP155" s="584" t="s">
        <v>7567</v>
      </c>
      <c r="AQ155" s="810"/>
      <c r="AR155" s="720"/>
      <c r="AS155" s="817">
        <f>IF(INDEX(obalCh3Prod2Slot2Active,,xxIndexTeam)=1,INDEX(obalCh3Prod2Slot2AvgPrice,,xxIndexTeam),"")</f>
        <v>7.7846942736142406</v>
      </c>
      <c r="AT155" s="584" t="s">
        <v>7748</v>
      </c>
      <c r="AU155" s="802"/>
    </row>
    <row r="156" spans="30:47">
      <c r="AD156" s="800"/>
      <c r="AE156" s="810"/>
      <c r="AF156" s="814" t="str">
        <f>nmProd2</f>
        <v>Harken</v>
      </c>
      <c r="AG156" s="793" t="str">
        <f>IF(INDEX(obalCh3Prod2Slot3Active,,xxIndexTeam)=1,INDEX(obalCh3Prod2Slot3Pack,,xxIndexTeam),"")</f>
        <v/>
      </c>
      <c r="AH156" s="811" t="s">
        <v>7568</v>
      </c>
      <c r="AI156" s="810"/>
      <c r="AJ156" s="814" t="str">
        <f>nmProd2</f>
        <v>Harken</v>
      </c>
      <c r="AK156" s="793" t="str">
        <f>IF(INDEX(obalCh3Prod2Slot3Active,,xxIndexTeam)=1,INDEX(obalCh3Prod2Slot3Pack,,xxIndexTeam),"")</f>
        <v/>
      </c>
      <c r="AL156" s="811" t="s">
        <v>7569</v>
      </c>
      <c r="AM156" s="554" t="str">
        <f>nmProd4</f>
        <v>Brew Master</v>
      </c>
      <c r="AN156" s="720" t="s">
        <v>4409</v>
      </c>
      <c r="AO156" s="826">
        <v>194000000</v>
      </c>
      <c r="AP156" s="584" t="s">
        <v>7570</v>
      </c>
      <c r="AQ156" s="810"/>
      <c r="AR156" s="720"/>
      <c r="AS156" s="817">
        <f>IF(INDEX(obalCh3Prod2Slot2Active,,xxIndexTeam)=1,INDEX(obalCh3Prod2Slot2Promo1Price,,xxIndexTeam),"")</f>
        <v>6.4</v>
      </c>
      <c r="AT156" s="584" t="s">
        <v>7752</v>
      </c>
      <c r="AU156" s="802"/>
    </row>
    <row r="157" spans="30:47" ht="15" thickBot="1">
      <c r="AD157" s="800"/>
      <c r="AE157" s="810"/>
      <c r="AF157" s="814" t="str">
        <f>nmProd3</f>
        <v>Kara</v>
      </c>
      <c r="AG157" s="793" t="str">
        <f>IF(INDEX(obalCh3Prod3Slot1Active,,xxIndexTeam)=1,INDEX(obalCh3Prod3Slot1Pack,,xxIndexTeam),"")</f>
        <v>33cl Bottle</v>
      </c>
      <c r="AH157" s="811" t="s">
        <v>7571</v>
      </c>
      <c r="AI157" s="810"/>
      <c r="AJ157" s="814" t="str">
        <f>nmProd3</f>
        <v>Kara</v>
      </c>
      <c r="AK157" s="793" t="str">
        <f>IF(INDEX(obalCh3Prod3Slot1Active,,xxIndexTeam)=1,INDEX(obalCh3Prod3Slot1Pack,,xxIndexTeam),"")</f>
        <v>33cl Bottle</v>
      </c>
      <c r="AL157" s="811" t="s">
        <v>7572</v>
      </c>
      <c r="AM157" s="554"/>
      <c r="AN157" s="720" t="s">
        <v>4408</v>
      </c>
      <c r="AO157" s="829">
        <f>AO156*0.2</f>
        <v>38800000</v>
      </c>
      <c r="AP157" s="584" t="s">
        <v>7573</v>
      </c>
      <c r="AQ157" s="810"/>
      <c r="AR157" s="814" t="str">
        <f>nmProd2&amp;" Slot3"</f>
        <v>Harken Slot3</v>
      </c>
      <c r="AS157" s="818" t="str">
        <f>IF(INDEX(calcCh3Prod2Slot3Active,,xxIndexTeam)=1,nmProd2&amp;" - "&amp;INDEX(obalCh3Prod2Slot3Pack,,xxIndexTeam),"")</f>
        <v/>
      </c>
      <c r="AT157" s="811" t="s">
        <v>7756</v>
      </c>
      <c r="AU157" s="802"/>
    </row>
    <row r="158" spans="30:47">
      <c r="AD158" s="800"/>
      <c r="AE158" s="810"/>
      <c r="AF158" s="814" t="str">
        <f>nmProd3</f>
        <v>Kara</v>
      </c>
      <c r="AG158" s="793" t="str">
        <f>IF(INDEX(obalCh3Prod3Slot2Active,,xxIndexTeam)=1,INDEX(obalCh3Prod3Slot2Pack,,xxIndexTeam),"")</f>
        <v/>
      </c>
      <c r="AH158" s="811" t="s">
        <v>7574</v>
      </c>
      <c r="AI158" s="810"/>
      <c r="AJ158" s="814" t="str">
        <f>nmProd3</f>
        <v>Kara</v>
      </c>
      <c r="AK158" s="793" t="str">
        <f>IF(INDEX(obalCh3Prod3Slot2Active,,xxIndexTeam)=1,INDEX(obalCh3Prod3Slot2Pack,,xxIndexTeam),"")</f>
        <v/>
      </c>
      <c r="AL158" s="811" t="s">
        <v>7575</v>
      </c>
      <c r="AM158" s="554"/>
      <c r="AN158" s="720"/>
      <c r="AO158" s="720"/>
      <c r="AP158" s="584"/>
      <c r="AQ158" s="810"/>
      <c r="AR158" s="720"/>
      <c r="AS158" s="817" t="str">
        <f>IF(INDEX(obalCh3Prod2Slot3Active,,xxIndexTeam)=1,INDEX(obalCh3Prod2Slot3CustPrice,,xxIndexTeam),"")</f>
        <v/>
      </c>
      <c r="AT158" s="584" t="s">
        <v>7760</v>
      </c>
      <c r="AU158" s="802"/>
    </row>
    <row r="159" spans="30:47" ht="15" thickBot="1">
      <c r="AD159" s="800"/>
      <c r="AE159" s="810"/>
      <c r="AF159" s="814" t="str">
        <f>nmProd3</f>
        <v>Kara</v>
      </c>
      <c r="AG159" s="793" t="str">
        <f>IF(INDEX(obalCh3Prod3Slot3Active,,xxIndexTeam)=1,INDEX(obalCh3Prod3Slot3Pack,,xxIndexTeam),"")</f>
        <v/>
      </c>
      <c r="AH159" s="811" t="s">
        <v>7576</v>
      </c>
      <c r="AI159" s="810"/>
      <c r="AJ159" s="814" t="str">
        <f>nmProd3</f>
        <v>Kara</v>
      </c>
      <c r="AK159" s="793" t="str">
        <f>IF(INDEX(obalCh3Prod3Slot3Active,,xxIndexTeam)=1,INDEX(obalCh3Prod3Slot3Pack,,xxIndexTeam),"")</f>
        <v/>
      </c>
      <c r="AL159" s="811" t="s">
        <v>7577</v>
      </c>
      <c r="AM159" s="554"/>
      <c r="AN159" s="720"/>
      <c r="AO159" s="530" t="s">
        <v>6997</v>
      </c>
      <c r="AP159" s="584"/>
      <c r="AQ159" s="810"/>
      <c r="AR159" s="720"/>
      <c r="AS159" s="817" t="str">
        <f>IF(INDEX(obalCh3Prod2Slot3Active,,xxIndexTeam)=1,INDEX(obalCh3Prod2Slot3AvgSalePrice,,xxIndexTeam),"")</f>
        <v/>
      </c>
      <c r="AT159" s="584" t="s">
        <v>7764</v>
      </c>
      <c r="AU159" s="802"/>
    </row>
    <row r="160" spans="30:47">
      <c r="AD160" s="800"/>
      <c r="AE160" s="810"/>
      <c r="AF160" s="814" t="str">
        <f>nmProd1</f>
        <v>Greenborg</v>
      </c>
      <c r="AG160" s="793" t="str">
        <f>IF(INDEX(obalCh3Prod1Slot1Active,,xxIndexTeam)=1,INDEX(obalCh3Prod1Slot1Pack,,xxIndexTeam),"")</f>
        <v>24 x 33cl Can</v>
      </c>
      <c r="AH160" s="811" t="s">
        <v>7578</v>
      </c>
      <c r="AI160" s="810"/>
      <c r="AJ160" s="814" t="str">
        <f>nmProd1</f>
        <v>Greenborg</v>
      </c>
      <c r="AK160" s="793" t="str">
        <f>IF(INDEX(obalCh3Prod1Slot1Active,,xxIndexTeam)=1,INDEX(obalCh3Prod1Slot1Pack,,xxIndexTeam),"")</f>
        <v>24 x 33cl Can</v>
      </c>
      <c r="AL160" s="811" t="s">
        <v>7579</v>
      </c>
      <c r="AM160" s="554" t="str">
        <f>nmProd1</f>
        <v>Greenborg</v>
      </c>
      <c r="AN160" s="720" t="s">
        <v>4409</v>
      </c>
      <c r="AO160" s="823">
        <v>0.02</v>
      </c>
      <c r="AP160" s="584" t="s">
        <v>7580</v>
      </c>
      <c r="AQ160" s="810"/>
      <c r="AR160" s="720"/>
      <c r="AS160" s="817" t="str">
        <f>IF(INDEX(obalCh3Prod2Slot3Active,,xxIndexTeam)=1,INDEX(obalCh3Prod2Slot3Promo1Price,,xxIndexTeam),"")</f>
        <v/>
      </c>
      <c r="AT160" s="584" t="s">
        <v>7768</v>
      </c>
      <c r="AU160" s="802"/>
    </row>
    <row r="161" spans="30:47">
      <c r="AD161" s="800"/>
      <c r="AE161" s="810"/>
      <c r="AF161" s="814" t="str">
        <f>nmProd1</f>
        <v>Greenborg</v>
      </c>
      <c r="AG161" s="793" t="str">
        <f>IF(INDEX(obalCh3Prod1Slot2Active,,xxIndexTeam)=1,INDEX(obalCh3Prod1Slot2Pack,,xxIndexTeam),"")</f>
        <v/>
      </c>
      <c r="AH161" s="811" t="s">
        <v>7581</v>
      </c>
      <c r="AI161" s="810"/>
      <c r="AJ161" s="814" t="str">
        <f>nmProd1</f>
        <v>Greenborg</v>
      </c>
      <c r="AK161" s="793" t="str">
        <f>IF(INDEX(obalCh3Prod1Slot2Active,,xxIndexTeam)=1,INDEX(obalCh3Prod1Slot2Pack,,xxIndexTeam),"")</f>
        <v/>
      </c>
      <c r="AL161" s="811" t="s">
        <v>7582</v>
      </c>
      <c r="AM161" s="554"/>
      <c r="AN161" s="720" t="s">
        <v>4408</v>
      </c>
      <c r="AO161" s="827">
        <v>0.02</v>
      </c>
      <c r="AP161" s="584" t="s">
        <v>7583</v>
      </c>
      <c r="AQ161" s="554"/>
      <c r="AR161" s="814" t="str">
        <f>nmProd3&amp;" Slot1"</f>
        <v>Kara Slot1</v>
      </c>
      <c r="AS161" s="818" t="str">
        <f>IF(INDEX(obalCh3Prod3Slot1Active,,xxIndexTeam)=1,nmProd3&amp;" - "&amp;INDEX(obalCh3Prod3Slot1Pack,,xxIndexTeam),"")</f>
        <v>Kara - 33cl Bottle</v>
      </c>
      <c r="AT161" s="811" t="s">
        <v>7772</v>
      </c>
      <c r="AU161" s="802"/>
    </row>
    <row r="162" spans="30:47">
      <c r="AD162" s="800"/>
      <c r="AE162" s="810"/>
      <c r="AF162" s="814" t="str">
        <f>nmProd1</f>
        <v>Greenborg</v>
      </c>
      <c r="AG162" s="793" t="str">
        <f>IF(INDEX(obalCh3Prod1Slot3Active,,xxIndexTeam)=1,INDEX(obalCh3Prod1Slot3Pack,,xxIndexTeam),"")</f>
        <v/>
      </c>
      <c r="AH162" s="811" t="s">
        <v>7584</v>
      </c>
      <c r="AI162" s="810"/>
      <c r="AJ162" s="814" t="str">
        <f>nmProd1</f>
        <v>Greenborg</v>
      </c>
      <c r="AK162" s="793" t="str">
        <f>IF(INDEX(obalCh3Prod1Slot3Active,,xxIndexTeam)=1,INDEX(obalCh3Prod1Slot3Pack,,xxIndexTeam),"")</f>
        <v/>
      </c>
      <c r="AL162" s="811" t="s">
        <v>7585</v>
      </c>
      <c r="AM162" s="554" t="str">
        <f>nmProd2</f>
        <v>Harken</v>
      </c>
      <c r="AN162" s="720" t="s">
        <v>4409</v>
      </c>
      <c r="AO162" s="827">
        <v>0.03</v>
      </c>
      <c r="AP162" s="584" t="s">
        <v>7586</v>
      </c>
      <c r="AQ162" s="554"/>
      <c r="AR162" s="720"/>
      <c r="AS162" s="817">
        <f>IF(INDEX(obalCh3Prod3Slot1Active,,xxIndexTeam)=1,INDEX(obalCh3Prod3Slot1CustPrice,,xxIndexTeam),"")</f>
        <v>7.6</v>
      </c>
      <c r="AT162" s="584" t="s">
        <v>7776</v>
      </c>
      <c r="AU162" s="802"/>
    </row>
    <row r="163" spans="30:47">
      <c r="AD163" s="800"/>
      <c r="AE163" s="810"/>
      <c r="AF163" s="814" t="str">
        <f>nmProd4</f>
        <v>Brew Master</v>
      </c>
      <c r="AG163" s="793" t="str">
        <f>IF(INDEX(obalCh3Prod4Slot1Active,,xxIndexTeam)=1,INDEX(obalCh3Prod4Slot1Pack,,xxIndexTeam),"")</f>
        <v/>
      </c>
      <c r="AH163" s="811" t="s">
        <v>7587</v>
      </c>
      <c r="AI163" s="810"/>
      <c r="AJ163" s="814" t="str">
        <f>nmProd4</f>
        <v>Brew Master</v>
      </c>
      <c r="AK163" s="793" t="str">
        <f>IF(INDEX(obalCh3Prod4Slot1Active,,xxIndexTeam)=1,INDEX(obalCh3Prod4Slot1Pack,,xxIndexTeam),"")</f>
        <v/>
      </c>
      <c r="AL163" s="811" t="s">
        <v>7588</v>
      </c>
      <c r="AM163" s="554"/>
      <c r="AN163" s="720" t="s">
        <v>4408</v>
      </c>
      <c r="AO163" s="827">
        <v>0.03</v>
      </c>
      <c r="AP163" s="584" t="s">
        <v>7589</v>
      </c>
      <c r="AQ163" s="554"/>
      <c r="AR163" s="720"/>
      <c r="AS163" s="817">
        <f>IF(INDEX(obalCh3Prod3Slot1Active,,xxIndexTeam)=1,INDEX(obalCh3Prod3Slot1AvgPrice,,xxIndexTeam),"")</f>
        <v>6.8185793620351163</v>
      </c>
      <c r="AT163" s="584" t="s">
        <v>7780</v>
      </c>
      <c r="AU163" s="802"/>
    </row>
    <row r="164" spans="30:47">
      <c r="AD164" s="800"/>
      <c r="AE164" s="810"/>
      <c r="AF164" s="814" t="str">
        <f>nmProd4</f>
        <v>Brew Master</v>
      </c>
      <c r="AG164" s="793" t="str">
        <f>IF(INDEX(obalCh3Prod4Slot2Active,,xxIndexTeam)=1,INDEX(obalCh3Prod4Slot2Pack,,xxIndexTeam),"")</f>
        <v/>
      </c>
      <c r="AH164" s="811" t="s">
        <v>7590</v>
      </c>
      <c r="AI164" s="810"/>
      <c r="AJ164" s="814" t="str">
        <f>nmProd4</f>
        <v>Brew Master</v>
      </c>
      <c r="AK164" s="793" t="str">
        <f>IF(INDEX(obalCh3Prod4Slot2Active,,xxIndexTeam)=1,INDEX(obalCh3Prod4Slot2Pack,,xxIndexTeam),"")</f>
        <v/>
      </c>
      <c r="AL164" s="811" t="s">
        <v>7591</v>
      </c>
      <c r="AM164" s="554" t="str">
        <f>nmProd3</f>
        <v>Kara</v>
      </c>
      <c r="AN164" s="720" t="s">
        <v>4409</v>
      </c>
      <c r="AO164" s="827">
        <v>0.02</v>
      </c>
      <c r="AP164" s="584" t="s">
        <v>7592</v>
      </c>
      <c r="AQ164" s="554"/>
      <c r="AR164" s="720"/>
      <c r="AS164" s="817">
        <f>IF(INDEX(obalCh3Prod3Slot1Active,,xxIndexTeam)=1,INDEX(obalCh3Prod3Slot1Promo1Price,,xxIndexTeam),"")</f>
        <v>5.0919999999999996</v>
      </c>
      <c r="AT164" s="584" t="s">
        <v>7784</v>
      </c>
      <c r="AU164" s="802"/>
    </row>
    <row r="165" spans="30:47">
      <c r="AD165" s="800"/>
      <c r="AE165" s="810"/>
      <c r="AF165" s="814" t="str">
        <f>nmProd4</f>
        <v>Brew Master</v>
      </c>
      <c r="AG165" s="793" t="str">
        <f>IF(INDEX(obalCh3Prod4Slot3Active,,xxIndexTeam)=1,INDEX(obalCh3Prod4Slot3Pack,,xxIndexTeam),"")</f>
        <v/>
      </c>
      <c r="AH165" s="811" t="s">
        <v>7593</v>
      </c>
      <c r="AI165" s="810"/>
      <c r="AJ165" s="814" t="str">
        <f>nmProd4</f>
        <v>Brew Master</v>
      </c>
      <c r="AK165" s="793" t="str">
        <f>IF(INDEX(obalCh3Prod4Slot3Active,,xxIndexTeam)=1,INDEX(obalCh3Prod4Slot3Pack,,xxIndexTeam),"")</f>
        <v/>
      </c>
      <c r="AL165" s="811" t="s">
        <v>7594</v>
      </c>
      <c r="AM165" s="554"/>
      <c r="AN165" s="720" t="s">
        <v>4408</v>
      </c>
      <c r="AO165" s="827">
        <v>0.02</v>
      </c>
      <c r="AP165" s="584" t="s">
        <v>7595</v>
      </c>
      <c r="AQ165" s="554"/>
      <c r="AR165" s="814" t="str">
        <f>nmProd3&amp;" Slot2"</f>
        <v>Kara Slot2</v>
      </c>
      <c r="AS165" s="818" t="str">
        <f>IF(INDEX(obalCh3Prod3Slot2Active,,xxIndexTeam)=1,nmProd3&amp;" - "&amp;INDEX(obalCh3Prod3Slot2Pack,,xxIndexTeam),"")</f>
        <v/>
      </c>
      <c r="AT165" s="811" t="s">
        <v>7787</v>
      </c>
      <c r="AU165" s="802"/>
    </row>
    <row r="166" spans="30:47">
      <c r="AD166" s="800"/>
      <c r="AE166" s="810"/>
      <c r="AF166" s="814"/>
      <c r="AG166" s="793"/>
      <c r="AH166" s="811"/>
      <c r="AI166" s="810"/>
      <c r="AJ166" s="814"/>
      <c r="AK166" s="793"/>
      <c r="AL166" s="811"/>
      <c r="AM166" s="554" t="str">
        <f>nmProd4</f>
        <v>Brew Master</v>
      </c>
      <c r="AN166" s="720" t="s">
        <v>4409</v>
      </c>
      <c r="AO166" s="827">
        <v>0.04</v>
      </c>
      <c r="AP166" s="584" t="s">
        <v>7596</v>
      </c>
      <c r="AQ166" s="554"/>
      <c r="AR166" s="720"/>
      <c r="AS166" s="817" t="str">
        <f>IF(INDEX(obalCh3Prod3Slot2Active,,xxIndexTeam)=1,INDEX(obalCh3Prod3Slot2CustPrice,,xxIndexTeam),"")</f>
        <v/>
      </c>
      <c r="AT166" s="584" t="s">
        <v>7791</v>
      </c>
      <c r="AU166" s="802"/>
    </row>
    <row r="167" spans="30:47" ht="15" thickBot="1">
      <c r="AD167" s="800"/>
      <c r="AE167" s="797" t="s">
        <v>3674</v>
      </c>
      <c r="AF167" s="814"/>
      <c r="AG167" s="814"/>
      <c r="AH167" s="811"/>
      <c r="AI167" s="797" t="s">
        <v>295</v>
      </c>
      <c r="AJ167" s="814"/>
      <c r="AK167" s="814"/>
      <c r="AL167" s="811"/>
      <c r="AM167" s="554"/>
      <c r="AN167" s="720" t="s">
        <v>4408</v>
      </c>
      <c r="AO167" s="830">
        <v>0.04</v>
      </c>
      <c r="AP167" s="584" t="s">
        <v>7597</v>
      </c>
      <c r="AQ167" s="554"/>
      <c r="AR167" s="720"/>
      <c r="AS167" s="817" t="str">
        <f>IF(INDEX(obalCh3Prod3Slot2Active,,xxIndexTeam)=1,INDEX(obalCh3Prod3Slot2AvgPrice,,xxIndexTeam),"")</f>
        <v/>
      </c>
      <c r="AT167" s="584" t="s">
        <v>7793</v>
      </c>
      <c r="AU167" s="802"/>
    </row>
    <row r="168" spans="30:47">
      <c r="AD168" s="800"/>
      <c r="AE168" s="810"/>
      <c r="AF168" s="802"/>
      <c r="AG168" s="793" t="s">
        <v>1406</v>
      </c>
      <c r="AH168" s="811" t="s">
        <v>7598</v>
      </c>
      <c r="AI168" s="810"/>
      <c r="AJ168" s="802"/>
      <c r="AK168" s="793" t="s">
        <v>295</v>
      </c>
      <c r="AL168" s="811" t="s">
        <v>7599</v>
      </c>
      <c r="AM168" s="832" t="str">
        <f>nmSeg2</f>
        <v>Celebrating &amp; Fun</v>
      </c>
      <c r="AN168" s="720"/>
      <c r="AO168" s="720"/>
      <c r="AP168" s="584"/>
      <c r="AQ168" s="554"/>
      <c r="AR168" s="720"/>
      <c r="AS168" s="817" t="str">
        <f>IF(INDEX(obalCh3Prod3Slot2Active,,xxIndexTeam)=1,INDEX(obalCh3Prod3Slot2Promo1Price,,xxIndexTeam),"")</f>
        <v/>
      </c>
      <c r="AT168" s="584" t="s">
        <v>7795</v>
      </c>
      <c r="AU168" s="802"/>
    </row>
    <row r="169" spans="30:47" ht="15" thickBot="1">
      <c r="AD169" s="800"/>
      <c r="AE169" s="810"/>
      <c r="AF169" s="814" t="str">
        <f>nmProd2</f>
        <v>Harken</v>
      </c>
      <c r="AG169" s="794">
        <f>IF(INDEX(obalCh3Prod2Slot1Active,,xxIndexTeam)=1,INDEX(obalCh3Prod2Slot1WD,,xxIndexTeam),"")</f>
        <v>0.45857142857142852</v>
      </c>
      <c r="AH169" s="811" t="s">
        <v>7600</v>
      </c>
      <c r="AI169" s="810"/>
      <c r="AJ169" s="814" t="str">
        <f>nmProd2</f>
        <v>Harken</v>
      </c>
      <c r="AK169" s="799">
        <f>IF(INDEX(obalCh3Prod2Slot1Active,,xxIndexTeam)=1,INDEX(obalCh3Prod2Slot1SoldVol,,xxIndexTeam),"")</f>
        <v>31719070.56341736</v>
      </c>
      <c r="AL169" s="811" t="s">
        <v>7601</v>
      </c>
      <c r="AM169" s="554"/>
      <c r="AN169" s="720"/>
      <c r="AO169" s="530" t="s">
        <v>295</v>
      </c>
      <c r="AP169" s="584"/>
      <c r="AQ169" s="554"/>
      <c r="AR169" s="814" t="str">
        <f>nmProd3&amp;" Slot3"</f>
        <v>Kara Slot3</v>
      </c>
      <c r="AS169" s="818" t="str">
        <f>IF(INDEX(obalCh3Prod3Slot3Active,,xxIndexTeam)=1,nmProd3&amp;" - "&amp;INDEX(obalCh3Prod3Slot3Pack,,xxIndexTeam),"")</f>
        <v/>
      </c>
      <c r="AT169" s="811" t="s">
        <v>7799</v>
      </c>
      <c r="AU169" s="802"/>
    </row>
    <row r="170" spans="30:47">
      <c r="AD170" s="800"/>
      <c r="AE170" s="810"/>
      <c r="AF170" s="814" t="str">
        <f>nmProd2</f>
        <v>Harken</v>
      </c>
      <c r="AG170" s="794">
        <f>IF(INDEX(obalCh3Prod2Slot2Active,,xxIndexTeam)=1,INDEX(obalCh3Prod2Slot2WD,,xxIndexTeam),"")</f>
        <v>0.6585714285714287</v>
      </c>
      <c r="AH170" s="811" t="s">
        <v>7602</v>
      </c>
      <c r="AI170" s="810"/>
      <c r="AJ170" s="814" t="str">
        <f>nmProd2</f>
        <v>Harken</v>
      </c>
      <c r="AK170" s="799">
        <f>IF(INDEX(obalCh3Prod2Slot2Active,,xxIndexTeam)=1,INDEX(obalCh3Prod2Slot2SoldVol,,xxIndexTeam),"")</f>
        <v>42762863.037398465</v>
      </c>
      <c r="AL170" s="811" t="s">
        <v>7603</v>
      </c>
      <c r="AM170" s="554" t="str">
        <f>nmProd1</f>
        <v>Greenborg</v>
      </c>
      <c r="AN170" s="720" t="s">
        <v>4409</v>
      </c>
      <c r="AO170" s="824">
        <v>291000000</v>
      </c>
      <c r="AP170" s="584" t="s">
        <v>7604</v>
      </c>
      <c r="AQ170" s="554"/>
      <c r="AR170" s="720"/>
      <c r="AS170" s="817" t="str">
        <f>IF(INDEX(obalCh3Prod3Slot3Active,,xxIndexTeam)=1,INDEX(obalCh3Prod1Slot3CustPrice,,xxIndexTeam),"")</f>
        <v/>
      </c>
      <c r="AT170" s="584" t="s">
        <v>7803</v>
      </c>
      <c r="AU170" s="802"/>
    </row>
    <row r="171" spans="30:47">
      <c r="AD171" s="800"/>
      <c r="AE171" s="810"/>
      <c r="AF171" s="814" t="str">
        <f>nmProd2</f>
        <v>Harken</v>
      </c>
      <c r="AG171" s="794" t="str">
        <f>IF(INDEX(obalCh3Prod2Slot3Active,,xxIndexTeam)=1,INDEX(obalCh3Prod2Slot3WD,,xxIndexTeam),"")</f>
        <v/>
      </c>
      <c r="AH171" s="811" t="s">
        <v>7605</v>
      </c>
      <c r="AI171" s="810"/>
      <c r="AJ171" s="814" t="str">
        <f>nmProd2</f>
        <v>Harken</v>
      </c>
      <c r="AK171" s="799" t="str">
        <f>IF(INDEX(obalCh3Prod2Slot3Active,,xxIndexTeam)=1,INDEX(obalCh3Prod2Slot3SoldVol,,xxIndexTeam),"")</f>
        <v/>
      </c>
      <c r="AL171" s="811" t="s">
        <v>7606</v>
      </c>
      <c r="AM171" s="554"/>
      <c r="AN171" s="720" t="s">
        <v>4408</v>
      </c>
      <c r="AO171" s="815">
        <f>AO170*0.2</f>
        <v>58200000</v>
      </c>
      <c r="AP171" s="584" t="s">
        <v>7607</v>
      </c>
      <c r="AQ171" s="554"/>
      <c r="AR171" s="720"/>
      <c r="AS171" s="817" t="str">
        <f>IF(INDEX(obalCh3Prod3Slot3Active,,xxIndexTeam)=1,INDEX(obalCh3Prod3Slot3AvgPrice,,xxIndexTeam),"")</f>
        <v/>
      </c>
      <c r="AT171" s="584" t="s">
        <v>7807</v>
      </c>
      <c r="AU171" s="802"/>
    </row>
    <row r="172" spans="30:47">
      <c r="AD172" s="800"/>
      <c r="AE172" s="810"/>
      <c r="AF172" s="814" t="str">
        <f>nmProd3</f>
        <v>Kara</v>
      </c>
      <c r="AG172" s="794">
        <f>IF(INDEX(obalCh3Prod3Slot1Active,,xxIndexTeam)=1,INDEX(obalCh3Prod3Slot1WD,,xxIndexTeam),"")</f>
        <v>0.70142857142857151</v>
      </c>
      <c r="AH172" s="811" t="s">
        <v>7608</v>
      </c>
      <c r="AI172" s="810"/>
      <c r="AJ172" s="814" t="str">
        <f>nmProd3</f>
        <v>Kara</v>
      </c>
      <c r="AK172" s="799">
        <f>IF(INDEX(obalCh3Prod3Slot1Active,,xxIndexTeam)=1,INDEX(obalCh3Prod3Slot1SoldVol,,xxIndexTeam),"")</f>
        <v>72336049.096155047</v>
      </c>
      <c r="AL172" s="811" t="s">
        <v>7609</v>
      </c>
      <c r="AM172" s="554" t="str">
        <f>nmProd2</f>
        <v>Harken</v>
      </c>
      <c r="AN172" s="720" t="s">
        <v>4409</v>
      </c>
      <c r="AO172" s="815">
        <v>145500000</v>
      </c>
      <c r="AP172" s="584" t="s">
        <v>7610</v>
      </c>
      <c r="AQ172" s="554"/>
      <c r="AR172" s="720"/>
      <c r="AS172" s="817" t="str">
        <f>IF(INDEX(obalCh3Prod3Slot3Active,,xxIndexTeam)=1,INDEX(obalCh3Prod3Slot3Promo1Price,,xxIndexTeam),"")</f>
        <v/>
      </c>
      <c r="AT172" s="584" t="s">
        <v>7811</v>
      </c>
      <c r="AU172" s="802"/>
    </row>
    <row r="173" spans="30:47">
      <c r="AD173" s="800"/>
      <c r="AE173" s="810"/>
      <c r="AF173" s="814" t="str">
        <f>nmProd3</f>
        <v>Kara</v>
      </c>
      <c r="AG173" s="794" t="str">
        <f>IF(INDEX(obalCh3Prod3Slot2Active,,xxIndexTeam)=1,INDEX(obalCh3Prod3Slot2WD,,xxIndexTeam),"")</f>
        <v/>
      </c>
      <c r="AH173" s="811" t="s">
        <v>7611</v>
      </c>
      <c r="AI173" s="810"/>
      <c r="AJ173" s="814" t="str">
        <f>nmProd3</f>
        <v>Kara</v>
      </c>
      <c r="AK173" s="799" t="str">
        <f>IF(INDEX(obalCh3Prod3Slot2Active,,xxIndexTeam)=1,INDEX(obalCh3Prod3Slot1SoldVol,,xxIndexTeam),"")</f>
        <v/>
      </c>
      <c r="AL173" s="811" t="s">
        <v>7612</v>
      </c>
      <c r="AM173" s="554"/>
      <c r="AN173" s="720" t="s">
        <v>4408</v>
      </c>
      <c r="AO173" s="815">
        <f>AO172*0.2</f>
        <v>29100000</v>
      </c>
      <c r="AP173" s="584" t="s">
        <v>7613</v>
      </c>
      <c r="AQ173" s="554"/>
      <c r="AR173" s="814" t="str">
        <f>nmProd1&amp;" Slot1"</f>
        <v>Greenborg Slot1</v>
      </c>
      <c r="AS173" s="818" t="str">
        <f>IF(INDEX(obalCh3Prod1Slot1Active,,xxIndexTeam)=1,nmProd1&amp;" - "&amp;INDEX(obalCh3Prod1Slot1Pack,,xxIndexTeam),0)</f>
        <v>Greenborg - 24 x 33cl Can</v>
      </c>
      <c r="AT173" s="811" t="s">
        <v>7815</v>
      </c>
      <c r="AU173" s="802"/>
    </row>
    <row r="174" spans="30:47">
      <c r="AD174" s="800"/>
      <c r="AE174" s="810"/>
      <c r="AF174" s="814" t="str">
        <f>nmProd3</f>
        <v>Kara</v>
      </c>
      <c r="AG174" s="794" t="str">
        <f>IF(INDEX(obalCh3Prod3Slot3Active,,xxIndexTeam)=1,INDEX(obalCh3Prod3Slot3WD,,xxIndexTeam),"")</f>
        <v/>
      </c>
      <c r="AH174" s="811" t="s">
        <v>7614</v>
      </c>
      <c r="AI174" s="810"/>
      <c r="AJ174" s="814" t="str">
        <f>nmProd3</f>
        <v>Kara</v>
      </c>
      <c r="AK174" s="799" t="str">
        <f>IF(INDEX(obalCh3Prod3Slot3Active,,xxIndexTeam)=1,INDEX(obalCh3Prod3Slot3SoldVol,,xxIndexTeam),"")</f>
        <v/>
      </c>
      <c r="AL174" s="811" t="s">
        <v>7615</v>
      </c>
      <c r="AM174" s="554" t="str">
        <f>nmProd3</f>
        <v>Kara</v>
      </c>
      <c r="AN174" s="720" t="s">
        <v>4409</v>
      </c>
      <c r="AO174" s="815">
        <v>242500000</v>
      </c>
      <c r="AP174" s="584" t="s">
        <v>7616</v>
      </c>
      <c r="AQ174" s="554"/>
      <c r="AR174" s="720"/>
      <c r="AS174" s="817">
        <f>IF(INDEX(obalCh3Prod1Slot1Active,,xxIndexTeam)=1,INDEX(obalCh3Prod1Slot1CustPrice,,xxIndexTeam),"")</f>
        <v>7.05</v>
      </c>
      <c r="AT174" s="584" t="s">
        <v>7819</v>
      </c>
      <c r="AU174" s="802"/>
    </row>
    <row r="175" spans="30:47">
      <c r="AD175" s="800"/>
      <c r="AE175" s="810"/>
      <c r="AF175" s="814" t="str">
        <f>nmProd1</f>
        <v>Greenborg</v>
      </c>
      <c r="AG175" s="794">
        <f>IF(INDEX(obalCh3Prod1Slot1Active,,xxIndexTeam)=1,INDEX(obalCh3Prod1Slot1WD,,xxIndexTeam),"")</f>
        <v>0.35857142857142854</v>
      </c>
      <c r="AH175" s="811" t="s">
        <v>7617</v>
      </c>
      <c r="AI175" s="810"/>
      <c r="AJ175" s="814" t="str">
        <f>nmProd1</f>
        <v>Greenborg</v>
      </c>
      <c r="AK175" s="799">
        <f>IF(INDEX(obalCh3Prod1Slot1Active,,xxIndexTeam)=1,INDEX(obalCh3Prod1Slot1SoldVol,,xxIndexTeam),"")</f>
        <v>39037499.07941176</v>
      </c>
      <c r="AL175" s="811" t="s">
        <v>7618</v>
      </c>
      <c r="AM175" s="554"/>
      <c r="AN175" s="720" t="s">
        <v>4408</v>
      </c>
      <c r="AO175" s="815">
        <f>AO174*0.2</f>
        <v>48500000</v>
      </c>
      <c r="AP175" s="584" t="s">
        <v>7619</v>
      </c>
      <c r="AQ175" s="554"/>
      <c r="AR175" s="720"/>
      <c r="AS175" s="817">
        <f>IF(INDEX(obalCh3Prod1Slot1Active,,xxIndexTeam)=1,INDEX(obalCh3Prod1Slot1AvgPrice,,xxIndexTeam),"")</f>
        <v>6.8236168691856829</v>
      </c>
      <c r="AT175" s="584" t="s">
        <v>7823</v>
      </c>
      <c r="AU175" s="802"/>
    </row>
    <row r="176" spans="30:47">
      <c r="AD176" s="800"/>
      <c r="AE176" s="810"/>
      <c r="AF176" s="814" t="str">
        <f>nmProd1</f>
        <v>Greenborg</v>
      </c>
      <c r="AG176" s="794" t="str">
        <f>IF(INDEX(obalCh3Prod1Slot2Active,,xxIndexTeam)=1,INDEX(obalCh3Prod1Slot2WD,,xxIndexTeam),"")</f>
        <v/>
      </c>
      <c r="AH176" s="811" t="s">
        <v>7620</v>
      </c>
      <c r="AI176" s="810"/>
      <c r="AJ176" s="814" t="str">
        <f>nmProd1</f>
        <v>Greenborg</v>
      </c>
      <c r="AK176" s="799" t="str">
        <f>IF(INDEX(obalCh3Prod1Slot2Active,,xxIndexTeam)=1,INDEX(obalCh3Prod1Slot2SoldVol,,xxIndexTeam),"")</f>
        <v/>
      </c>
      <c r="AL176" s="811" t="s">
        <v>7621</v>
      </c>
      <c r="AM176" s="554" t="str">
        <f>nmProd4</f>
        <v>Brew Master</v>
      </c>
      <c r="AN176" s="720" t="s">
        <v>4409</v>
      </c>
      <c r="AO176" s="815">
        <v>291000000</v>
      </c>
      <c r="AP176" s="584" t="s">
        <v>7622</v>
      </c>
      <c r="AQ176" s="554"/>
      <c r="AR176" s="720"/>
      <c r="AS176" s="817">
        <f>IF(INDEX(obalCh3Prod1Slot1Active,,xxIndexTeam)=1,INDEX(obalCh3Prod1Slot1Promo1Price,,xxIndexTeam),"")</f>
        <v>5.6400000000000006</v>
      </c>
      <c r="AT176" s="584" t="s">
        <v>7827</v>
      </c>
      <c r="AU176" s="802"/>
    </row>
    <row r="177" spans="30:47" ht="15" thickBot="1">
      <c r="AD177" s="800"/>
      <c r="AE177" s="810"/>
      <c r="AF177" s="814" t="str">
        <f>nmProd1</f>
        <v>Greenborg</v>
      </c>
      <c r="AG177" s="794" t="str">
        <f>IF(INDEX(obalCh3Prod1Slot3Active,,xxIndexTeam)=1,INDEX(obalCh3Prod1Slot3WD,,xxIndexTeam),"")</f>
        <v/>
      </c>
      <c r="AH177" s="811" t="s">
        <v>7623</v>
      </c>
      <c r="AI177" s="810"/>
      <c r="AJ177" s="814" t="str">
        <f>nmProd1</f>
        <v>Greenborg</v>
      </c>
      <c r="AK177" s="799" t="str">
        <f>IF(INDEX(obalCh3Prod1Slot3Active,,xxIndexTeam)=1,INDEX(obalCh3Prod1Slot3SoldVol,,xxIndexTeam),"")</f>
        <v/>
      </c>
      <c r="AL177" s="811" t="s">
        <v>7624</v>
      </c>
      <c r="AM177" s="554"/>
      <c r="AN177" s="720" t="s">
        <v>4408</v>
      </c>
      <c r="AO177" s="816">
        <f>AO176*0.2</f>
        <v>58200000</v>
      </c>
      <c r="AP177" s="584" t="s">
        <v>7625</v>
      </c>
      <c r="AQ177" s="554"/>
      <c r="AR177" s="814" t="str">
        <f>nmProd1&amp;" Slot2"</f>
        <v>Greenborg Slot2</v>
      </c>
      <c r="AS177" s="818" t="str">
        <f>IF(INDEX(obalCh3Prod1Slot2Active,,xxIndexTeam)=1,nmProd1&amp;" - "&amp;INDEX(obalCh3Prod1Slot2Pack,,xxIndexTeam),"")</f>
        <v/>
      </c>
      <c r="AT177" s="811" t="s">
        <v>7831</v>
      </c>
      <c r="AU177" s="802"/>
    </row>
    <row r="178" spans="30:47">
      <c r="AD178" s="800"/>
      <c r="AE178" s="810"/>
      <c r="AF178" s="814" t="str">
        <f>nmProd4</f>
        <v>Brew Master</v>
      </c>
      <c r="AG178" s="794" t="str">
        <f>IF(INDEX(obalCh3Prod4Slot1Active,,xxIndexTeam)=1,INDEX(obalCh3Prod4Slot1WD,,xxIndexTeam),"")</f>
        <v/>
      </c>
      <c r="AH178" s="811" t="s">
        <v>7626</v>
      </c>
      <c r="AI178" s="810"/>
      <c r="AJ178" s="814" t="str">
        <f>nmProd4</f>
        <v>Brew Master</v>
      </c>
      <c r="AK178" s="799" t="str">
        <f>IF(INDEX(obalCh3Prod4Slot1Active,,xxIndexTeam)=1,INDEX(obalCh3Prod4Slot1SoldVol,,xxIndexTeam),"")</f>
        <v/>
      </c>
      <c r="AL178" s="811" t="s">
        <v>7627</v>
      </c>
      <c r="AM178" s="554"/>
      <c r="AN178" s="720"/>
      <c r="AO178" s="720"/>
      <c r="AP178" s="584"/>
      <c r="AQ178" s="554"/>
      <c r="AR178" s="720"/>
      <c r="AS178" s="817" t="str">
        <f>IF(INDEX(obalCh3Prod1Slot2Active,,xxIndexTeam)=1,INDEX(obalCh3Prod1Slot2CustPrice,,xxIndexTeam),"")</f>
        <v/>
      </c>
      <c r="AT178" s="584" t="s">
        <v>7834</v>
      </c>
      <c r="AU178" s="802"/>
    </row>
    <row r="179" spans="30:47" ht="15" thickBot="1">
      <c r="AD179" s="800"/>
      <c r="AE179" s="810"/>
      <c r="AF179" s="814" t="str">
        <f>nmProd4</f>
        <v>Brew Master</v>
      </c>
      <c r="AG179" s="794" t="str">
        <f>IF(INDEX(obalCh3Prod4Slot2Active,,xxIndexTeam)=1,INDEX(obalCh3Prod4Slot2WD,,xxIndexTeam),"")</f>
        <v/>
      </c>
      <c r="AH179" s="811" t="s">
        <v>7628</v>
      </c>
      <c r="AI179" s="810"/>
      <c r="AJ179" s="814" t="str">
        <f>nmProd4</f>
        <v>Brew Master</v>
      </c>
      <c r="AK179" s="799" t="str">
        <f>IF(INDEX(obalCh3Prod4Slot2Active,,xxIndexTeam)=1,INDEX(obalCh3Prod4Slot2SoldVol,,xxIndexTeam),"")</f>
        <v/>
      </c>
      <c r="AL179" s="811" t="s">
        <v>7629</v>
      </c>
      <c r="AM179" s="554"/>
      <c r="AN179" s="720"/>
      <c r="AO179" s="530" t="s">
        <v>6997</v>
      </c>
      <c r="AP179" s="584"/>
      <c r="AQ179" s="554"/>
      <c r="AR179" s="720"/>
      <c r="AS179" s="817" t="str">
        <f>IF(INDEX(obalCh3Prod1Slot2Active,,xxIndexTeam)=1,INDEX(obalCh3Prod1Slot2AvgPrice,,xxIndexTeam),"")</f>
        <v/>
      </c>
      <c r="AT179" s="584" t="s">
        <v>7838</v>
      </c>
      <c r="AU179" s="802"/>
    </row>
    <row r="180" spans="30:47">
      <c r="AD180" s="800"/>
      <c r="AE180" s="810"/>
      <c r="AF180" s="814" t="str">
        <f>nmProd4</f>
        <v>Brew Master</v>
      </c>
      <c r="AG180" s="794" t="str">
        <f>IF(INDEX(obalCh3Prod4Slot3Active,,xxIndexTeam)=1,INDEX(obalCh3Prod4Slot3WD,,xxIndexTeam),"")</f>
        <v/>
      </c>
      <c r="AH180" s="811" t="s">
        <v>7630</v>
      </c>
      <c r="AI180" s="810"/>
      <c r="AJ180" s="814" t="str">
        <f>nmProd4</f>
        <v>Brew Master</v>
      </c>
      <c r="AK180" s="799" t="str">
        <f>IF(INDEX(obalCh3Prod4Slot3Active,,xxIndexTeam)=1,INDEX(obalCh3Prod4Slot3SoldVol,,xxIndexTeam),"")</f>
        <v/>
      </c>
      <c r="AL180" s="811" t="s">
        <v>7631</v>
      </c>
      <c r="AM180" s="554" t="str">
        <f>nmProd1</f>
        <v>Greenborg</v>
      </c>
      <c r="AN180" s="720" t="s">
        <v>4409</v>
      </c>
      <c r="AO180" s="823">
        <v>0.06</v>
      </c>
      <c r="AP180" s="584" t="s">
        <v>7632</v>
      </c>
      <c r="AQ180" s="554"/>
      <c r="AR180" s="720"/>
      <c r="AS180" s="817" t="str">
        <f>IF(INDEX(obalCh3Prod1Slot2Active,,xxIndexTeam)=1,INDEX(obalCh3Prod1Slot2Promo1Price,,xxIndexTeam),"")</f>
        <v/>
      </c>
      <c r="AT180" s="584" t="s">
        <v>7842</v>
      </c>
      <c r="AU180" s="802"/>
    </row>
    <row r="181" spans="30:47">
      <c r="AD181" s="800"/>
      <c r="AE181" s="810"/>
      <c r="AF181" s="814"/>
      <c r="AG181" s="794"/>
      <c r="AH181" s="811"/>
      <c r="AI181" s="810"/>
      <c r="AJ181" s="814"/>
      <c r="AK181" s="794"/>
      <c r="AL181" s="811"/>
      <c r="AM181" s="554"/>
      <c r="AN181" s="720" t="s">
        <v>4408</v>
      </c>
      <c r="AO181" s="827">
        <v>0.06</v>
      </c>
      <c r="AP181" s="584" t="s">
        <v>7633</v>
      </c>
      <c r="AQ181" s="554"/>
      <c r="AR181" s="814" t="str">
        <f>nmProd1&amp;" Slot3"</f>
        <v>Greenborg Slot3</v>
      </c>
      <c r="AS181" s="818" t="str">
        <f>IF(INDEX(obalCh3Prod1Slot3Active,,xxIndexTeam)=1,nmProd1&amp;" - "&amp;INDEX(obalCh3Prod1Slot3Pack,,xxIndexTeam),"")</f>
        <v/>
      </c>
      <c r="AT181" s="811" t="s">
        <v>7846</v>
      </c>
      <c r="AU181" s="802"/>
    </row>
    <row r="182" spans="30:47">
      <c r="AD182" s="800"/>
      <c r="AE182" s="797" t="s">
        <v>4407</v>
      </c>
      <c r="AF182" s="814"/>
      <c r="AG182" s="795"/>
      <c r="AH182" s="811"/>
      <c r="AI182" s="797" t="s">
        <v>151</v>
      </c>
      <c r="AJ182" s="814"/>
      <c r="AK182" s="795"/>
      <c r="AL182" s="811"/>
      <c r="AM182" s="554" t="str">
        <f>nmProd2</f>
        <v>Harken</v>
      </c>
      <c r="AN182" s="720" t="s">
        <v>4409</v>
      </c>
      <c r="AO182" s="827">
        <v>0.03</v>
      </c>
      <c r="AP182" s="584" t="s">
        <v>7634</v>
      </c>
      <c r="AQ182" s="554"/>
      <c r="AR182" s="720"/>
      <c r="AS182" s="817" t="str">
        <f>IF(INDEX(obalCh3Prod1Slot3Active,,xxIndexTeam)=1,INDEX(calcCh3Prod1Slot3CustPrice,,xxIndexTeam),"")</f>
        <v/>
      </c>
      <c r="AT182" s="584" t="s">
        <v>7848</v>
      </c>
      <c r="AU182" s="802"/>
    </row>
    <row r="183" spans="30:47">
      <c r="AD183" s="800"/>
      <c r="AE183" s="810"/>
      <c r="AF183" s="802"/>
      <c r="AG183" s="793" t="s">
        <v>4407</v>
      </c>
      <c r="AH183" s="811" t="s">
        <v>7635</v>
      </c>
      <c r="AI183" s="810"/>
      <c r="AJ183" s="802"/>
      <c r="AK183" s="793" t="s">
        <v>151</v>
      </c>
      <c r="AL183" s="811" t="s">
        <v>7636</v>
      </c>
      <c r="AM183" s="554"/>
      <c r="AN183" s="720" t="s">
        <v>4408</v>
      </c>
      <c r="AO183" s="827">
        <v>0.03</v>
      </c>
      <c r="AP183" s="584" t="s">
        <v>7637</v>
      </c>
      <c r="AQ183" s="554"/>
      <c r="AR183" s="720"/>
      <c r="AS183" s="817" t="str">
        <f>IF(INDEX(obalCh3Prod1Slot3Active,,xxIndexTeam)=1,INDEX(obalCh3Prod1Slot3AvgPrice,,xxIndexTeam),"")</f>
        <v/>
      </c>
      <c r="AT183" s="584" t="s">
        <v>7850</v>
      </c>
      <c r="AU183" s="802"/>
    </row>
    <row r="184" spans="30:47">
      <c r="AD184" s="800"/>
      <c r="AE184" s="810"/>
      <c r="AF184" s="814" t="str">
        <f>nmProd2</f>
        <v>Harken</v>
      </c>
      <c r="AG184" s="798">
        <f>IF(INDEX(obalCh3Prod2Slot1Active,,xxIndexTeam)=1,INDEX(obalCh3Prod2Slot1GPaL,,xxIndexTeam)/tlOutputCh3Analytic1Chart1XValue1,"")</f>
        <v>171053920.78919208</v>
      </c>
      <c r="AH184" s="811" t="s">
        <v>7638</v>
      </c>
      <c r="AI184" s="810"/>
      <c r="AJ184" s="814" t="str">
        <f>nmProd2</f>
        <v>Harken</v>
      </c>
      <c r="AK184" s="533">
        <f>INDEX(calcCh3Prod2Slot1PriceDif,,xxIndexTeam)</f>
        <v>-7.5615928252061815E-2</v>
      </c>
      <c r="AL184" s="811" t="s">
        <v>7639</v>
      </c>
      <c r="AM184" s="554" t="str">
        <f>nmProd3</f>
        <v>Kara</v>
      </c>
      <c r="AN184" s="720" t="s">
        <v>4409</v>
      </c>
      <c r="AO184" s="827">
        <v>0.05</v>
      </c>
      <c r="AP184" s="584" t="s">
        <v>7640</v>
      </c>
      <c r="AQ184" s="554"/>
      <c r="AR184" s="720"/>
      <c r="AS184" s="817" t="str">
        <f>IF(INDEX(obalCh3Prod1Slot3Active,,xxIndexTeam)=1,INDEX(obalCh3Prod1Slot3Promo1Price,,xxIndexTeam),"")</f>
        <v/>
      </c>
      <c r="AT184" s="584" t="s">
        <v>7854</v>
      </c>
      <c r="AU184" s="802"/>
    </row>
    <row r="185" spans="30:47">
      <c r="AD185" s="800"/>
      <c r="AE185" s="810"/>
      <c r="AF185" s="814" t="str">
        <f>nmProd2</f>
        <v>Harken</v>
      </c>
      <c r="AG185" s="798">
        <f>IF(INDEX(obalCh3Prod2Slot2Active,,xxIndexTeam)=1,INDEX(obalCh3Prod2Slot2GPaL,,xxIndexTeam)/tlOutputCh3Analytic1Chart1XValue2,"")</f>
        <v>192430277.48184073</v>
      </c>
      <c r="AH185" s="811" t="s">
        <v>7641</v>
      </c>
      <c r="AI185" s="810"/>
      <c r="AJ185" s="814" t="str">
        <f>nmProd2</f>
        <v>Harken</v>
      </c>
      <c r="AK185" s="533" t="str">
        <f>INDEX(calcCh3Prod2Slot2PriceDif,,xxIndexTeam)</f>
        <v/>
      </c>
      <c r="AL185" s="811" t="s">
        <v>7642</v>
      </c>
      <c r="AM185" s="554"/>
      <c r="AN185" s="720" t="s">
        <v>4408</v>
      </c>
      <c r="AO185" s="827">
        <v>0.05</v>
      </c>
      <c r="AP185" s="584" t="s">
        <v>7643</v>
      </c>
      <c r="AQ185" s="554"/>
      <c r="AR185" s="814" t="str">
        <f>nmProd4&amp;" Slot1"</f>
        <v>Brew Master Slot1</v>
      </c>
      <c r="AS185" s="818" t="str">
        <f>IF(INDEX(obalCh3Prod4Slot1Active,,xxIndexTeam)=1,nmProd4&amp;" - "&amp;INDEX(obalCh3Prod4Slot1Pack,,xxIndexTeam),"")</f>
        <v/>
      </c>
      <c r="AT185" s="811" t="s">
        <v>7858</v>
      </c>
      <c r="AU185" s="802"/>
    </row>
    <row r="186" spans="30:47">
      <c r="AD186" s="800"/>
      <c r="AE186" s="810"/>
      <c r="AF186" s="814" t="str">
        <f>nmProd2</f>
        <v>Harken</v>
      </c>
      <c r="AG186" s="798" t="str">
        <f>IF(INDEX(obalCh3Prod2Slot3Active,,xxIndexTeam)=1,INDEX(obalCh3Prod2Slot3GPaL,,xxIndexTeam)/tlOutputCh3Analytic1Chart1XValue3,"")</f>
        <v/>
      </c>
      <c r="AH186" s="811" t="s">
        <v>7644</v>
      </c>
      <c r="AI186" s="810"/>
      <c r="AJ186" s="814" t="str">
        <f>nmProd2</f>
        <v>Harken</v>
      </c>
      <c r="AK186" s="533" t="str">
        <f>INDEX(calcCh3Prod2Slot3PriceDif,,xxIndexTeam)</f>
        <v/>
      </c>
      <c r="AL186" s="811" t="s">
        <v>7645</v>
      </c>
      <c r="AM186" s="554" t="str">
        <f>nmProd4</f>
        <v>Brew Master</v>
      </c>
      <c r="AN186" s="720" t="s">
        <v>4409</v>
      </c>
      <c r="AO186" s="827">
        <v>0.06</v>
      </c>
      <c r="AP186" s="584" t="s">
        <v>7646</v>
      </c>
      <c r="AQ186" s="554"/>
      <c r="AR186" s="720"/>
      <c r="AS186" s="817" t="str">
        <f>IF(INDEX(obalCh3Prod4Slot1Active,,xxIndexTeam)=1,INDEX(obalCh3Prod4Slot1CustPrice,,xxIndexTeam),"")</f>
        <v/>
      </c>
      <c r="AT186" s="584" t="s">
        <v>7862</v>
      </c>
      <c r="AU186" s="802"/>
    </row>
    <row r="187" spans="30:47" ht="15" thickBot="1">
      <c r="AD187" s="800"/>
      <c r="AE187" s="810"/>
      <c r="AF187" s="814" t="str">
        <f>nmProd3</f>
        <v>Kara</v>
      </c>
      <c r="AG187" s="798">
        <f>IF(INDEX(obalCh3Prod3Slot1Active,,xxIndexTeam)=1,INDEX(obalCh3Prod3Slot1GPaL,,xxIndexTeam)/tlOutputCh3Analytic1Chart1XValue4,"")</f>
        <v>173363084.76696497</v>
      </c>
      <c r="AH187" s="811" t="s">
        <v>7647</v>
      </c>
      <c r="AI187" s="810"/>
      <c r="AJ187" s="814" t="str">
        <f>nmProd3</f>
        <v>Kara</v>
      </c>
      <c r="AK187" s="533">
        <f>INDEX(calcCh3Prod3Slot1PriceDif,,xxIndexTeam)</f>
        <v>3.5834633589888261E-2</v>
      </c>
      <c r="AL187" s="811" t="s">
        <v>7648</v>
      </c>
      <c r="AM187" s="554"/>
      <c r="AN187" s="720" t="s">
        <v>4408</v>
      </c>
      <c r="AO187" s="830">
        <v>0.06</v>
      </c>
      <c r="AP187" s="584" t="s">
        <v>7649</v>
      </c>
      <c r="AQ187" s="554"/>
      <c r="AR187" s="720"/>
      <c r="AS187" s="817" t="str">
        <f>IF(INDEX(obalCh3Prod4Slot1Active,,xxIndexTeam)=1,INDEX(obalCh3Prod4Slot1AvgPrice,,xxIndexTeam),"")</f>
        <v/>
      </c>
      <c r="AT187" s="584" t="s">
        <v>7866</v>
      </c>
      <c r="AU187" s="802"/>
    </row>
    <row r="188" spans="30:47">
      <c r="AD188" s="800"/>
      <c r="AE188" s="810"/>
      <c r="AF188" s="814" t="str">
        <f>nmProd3</f>
        <v>Kara</v>
      </c>
      <c r="AG188" s="798" t="str">
        <f>IF(INDEX(obalCh3Prod3Slot2Active,,xxIndexTeam)=1,INDEX(obalCh3Prod3Slot2GPaL,,xxIndexTeam)/tlOutputCh3Analytic1Chart1XValue5,"")</f>
        <v/>
      </c>
      <c r="AH188" s="811" t="s">
        <v>7650</v>
      </c>
      <c r="AI188" s="810"/>
      <c r="AJ188" s="814" t="str">
        <f>nmProd3</f>
        <v>Kara</v>
      </c>
      <c r="AK188" s="533">
        <f>INDEX(calcCh3Prod3Slot2PriceDif,,xxIndexTeam)</f>
        <v>4.8946464394823502E-2</v>
      </c>
      <c r="AL188" s="811" t="s">
        <v>7651</v>
      </c>
      <c r="AM188" s="832" t="str">
        <f>nmSeg3</f>
        <v>Relax &amp; Unwind</v>
      </c>
      <c r="AN188" s="720"/>
      <c r="AO188" s="720"/>
      <c r="AP188" s="584"/>
      <c r="AQ188" s="554"/>
      <c r="AR188" s="720"/>
      <c r="AS188" s="817" t="str">
        <f>IF(INDEX(obalCh3Prod4Slot1Active,,xxIndexTeam)=1,INDEX(obalCh3Prod4Slot1Promo1Price,,xxIndexTeam),"")</f>
        <v/>
      </c>
      <c r="AT188" s="584" t="s">
        <v>7870</v>
      </c>
      <c r="AU188" s="802"/>
    </row>
    <row r="189" spans="30:47" ht="15" thickBot="1">
      <c r="AD189" s="800"/>
      <c r="AE189" s="810"/>
      <c r="AF189" s="814" t="str">
        <f>nmProd3</f>
        <v>Kara</v>
      </c>
      <c r="AG189" s="798" t="str">
        <f>IF(INDEX(obalCh3Prod3Slot3Active,,xxIndexTeam)=1,INDEX(obalCh3Prod3Slot3GPaL,,xxIndexTeam)/tlOutputCh3Analytic1Chart1XValue6,"")</f>
        <v/>
      </c>
      <c r="AH189" s="811" t="s">
        <v>7652</v>
      </c>
      <c r="AI189" s="810"/>
      <c r="AJ189" s="814" t="str">
        <f>nmProd3</f>
        <v>Kara</v>
      </c>
      <c r="AK189" s="533" t="str">
        <f>INDEX(calcCh3Prod3Slot3PriceDif,,xxIndexTeam)</f>
        <v/>
      </c>
      <c r="AL189" s="811" t="s">
        <v>7653</v>
      </c>
      <c r="AM189" s="554"/>
      <c r="AN189" s="720"/>
      <c r="AO189" s="530" t="s">
        <v>295</v>
      </c>
      <c r="AP189" s="584"/>
      <c r="AQ189" s="554"/>
      <c r="AR189" s="814" t="str">
        <f>nmProd4&amp;" Slot2"</f>
        <v>Brew Master Slot2</v>
      </c>
      <c r="AS189" s="818" t="str">
        <f>IF(INDEX(obalCh3Prod4Slot2Active,,xxIndexTeam)=1,nmProd4&amp;" - "&amp;INDEX(obalCh3Prod4Slot2Pack,,xxIndexTeam),"")</f>
        <v/>
      </c>
      <c r="AT189" s="811" t="s">
        <v>7874</v>
      </c>
      <c r="AU189" s="802"/>
    </row>
    <row r="190" spans="30:47">
      <c r="AD190" s="800"/>
      <c r="AE190" s="810"/>
      <c r="AF190" s="814" t="str">
        <f>nmProd1</f>
        <v>Greenborg</v>
      </c>
      <c r="AG190" s="798">
        <f>IF(INDEX(obalCh3Prod1Slot1Active,,xxIndexTeam)=1,INDEX(obalCh3Prod1Slot1GPaL,,xxIndexTeam)/tlOutputCh3Analytic1Chart1XValue7,"")</f>
        <v>208869650.22645906</v>
      </c>
      <c r="AH190" s="811" t="s">
        <v>7654</v>
      </c>
      <c r="AI190" s="810"/>
      <c r="AJ190" s="814" t="str">
        <f>nmProd1</f>
        <v>Greenborg</v>
      </c>
      <c r="AK190" s="533">
        <f>INDEX(calcCh3Prod1Slot1PriceDif,,xxIndexTeam)</f>
        <v>-3.5008588249177165E-3</v>
      </c>
      <c r="AL190" s="811" t="s">
        <v>7655</v>
      </c>
      <c r="AM190" s="554" t="str">
        <f>nmProd1</f>
        <v>Greenborg</v>
      </c>
      <c r="AN190" s="720" t="s">
        <v>4409</v>
      </c>
      <c r="AO190" s="824">
        <v>291000000</v>
      </c>
      <c r="AP190" s="584" t="s">
        <v>7656</v>
      </c>
      <c r="AQ190" s="554"/>
      <c r="AR190" s="720"/>
      <c r="AS190" s="817" t="str">
        <f>IF(INDEX(obalCh3Prod4Slot2Active,,xxIndexTeam)=1,INDEX(obalCh3Prod4Slot2CustPrice,,xxIndexTeam),"")</f>
        <v/>
      </c>
      <c r="AT190" s="584" t="s">
        <v>7878</v>
      </c>
      <c r="AU190" s="802"/>
    </row>
    <row r="191" spans="30:47">
      <c r="AD191" s="800"/>
      <c r="AE191" s="810"/>
      <c r="AF191" s="814" t="str">
        <f>nmProd1</f>
        <v>Greenborg</v>
      </c>
      <c r="AG191" s="798" t="str">
        <f>IF(INDEX(obalCh3Prod1Slot2Active,,xxIndexTeam)=1,INDEX(obalCh3Prod1Slot2GPaL,,xxIndexTeam)/tlOutputCh3Analytic1Chart1XValue8,"")</f>
        <v/>
      </c>
      <c r="AH191" s="811" t="s">
        <v>7657</v>
      </c>
      <c r="AI191" s="810"/>
      <c r="AJ191" s="814" t="str">
        <f>nmProd1</f>
        <v>Greenborg</v>
      </c>
      <c r="AK191" s="533" t="str">
        <f>INDEX(calcCh3Prod1Slot2PriceDif,,xxIndexTeam)</f>
        <v/>
      </c>
      <c r="AL191" s="811" t="s">
        <v>7658</v>
      </c>
      <c r="AM191" s="554"/>
      <c r="AN191" s="720" t="s">
        <v>4408</v>
      </c>
      <c r="AO191" s="815">
        <f>AO190*0.2</f>
        <v>58200000</v>
      </c>
      <c r="AP191" s="584" t="s">
        <v>7659</v>
      </c>
      <c r="AQ191" s="554"/>
      <c r="AR191" s="720"/>
      <c r="AS191" s="817" t="str">
        <f>IF(INDEX(obalCh3Prod4Slot2Active,,xxIndexTeam)=1,INDEX(obalCh3Prod4Slot2AvgPrice,,xxIndexTeam),"")</f>
        <v/>
      </c>
      <c r="AT191" s="584" t="s">
        <v>7881</v>
      </c>
      <c r="AU191" s="802"/>
    </row>
    <row r="192" spans="30:47">
      <c r="AD192" s="800"/>
      <c r="AE192" s="810"/>
      <c r="AF192" s="814" t="str">
        <f>nmProd1</f>
        <v>Greenborg</v>
      </c>
      <c r="AG192" s="798" t="str">
        <f>IF(INDEX(obalCh3Prod1Slot3Active,,xxIndexTeam)=1,INDEX(obalCh3Prod1Slot3GPaL,,xxIndexTeam)/tlOutputCh3Analytic1Chart1XValue9,"")</f>
        <v/>
      </c>
      <c r="AH192" s="811" t="s">
        <v>7660</v>
      </c>
      <c r="AI192" s="810"/>
      <c r="AJ192" s="814" t="str">
        <f>nmProd1</f>
        <v>Greenborg</v>
      </c>
      <c r="AK192" s="533" t="str">
        <f>INDEX(calcCh3Prod1Slot3PriceDif,,xxIndexTeam)</f>
        <v/>
      </c>
      <c r="AL192" s="811" t="s">
        <v>7661</v>
      </c>
      <c r="AM192" s="554" t="str">
        <f>nmProd2</f>
        <v>Harken</v>
      </c>
      <c r="AN192" s="720" t="s">
        <v>4409</v>
      </c>
      <c r="AO192" s="815">
        <v>727500000</v>
      </c>
      <c r="AP192" s="584" t="s">
        <v>7662</v>
      </c>
      <c r="AQ192" s="554"/>
      <c r="AR192" s="720"/>
      <c r="AS192" s="817" t="str">
        <f>IF(INDEX(obalCh3Prod4Slot2Active,,xxIndexTeam)=1,INDEX(obalCh3Prod4Slot2Promo1Price,,xxIndexTeam),"")</f>
        <v/>
      </c>
      <c r="AT192" s="584" t="s">
        <v>7884</v>
      </c>
      <c r="AU192" s="802"/>
    </row>
    <row r="193" spans="30:47">
      <c r="AD193" s="800"/>
      <c r="AE193" s="810"/>
      <c r="AF193" s="814" t="str">
        <f>nmProd4</f>
        <v>Brew Master</v>
      </c>
      <c r="AG193" s="798" t="str">
        <f>IF(INDEX(obalCh3Prod4Slot1Active,,xxIndexTeam)=1,INDEX(obalCh3Prod4Slot1GPaL,,xxIndexTeam)/tlOutputCh3Analytic1Chart1XValue10,"")</f>
        <v/>
      </c>
      <c r="AH193" s="811" t="s">
        <v>7663</v>
      </c>
      <c r="AI193" s="810"/>
      <c r="AJ193" s="814" t="str">
        <f>nmProd4</f>
        <v>Brew Master</v>
      </c>
      <c r="AK193" s="533" t="str">
        <f>INDEX(calcCh3Prod4Slot1PriceDif,,xxIndexTeam)</f>
        <v/>
      </c>
      <c r="AL193" s="811" t="s">
        <v>7664</v>
      </c>
      <c r="AM193" s="554"/>
      <c r="AN193" s="720" t="s">
        <v>4408</v>
      </c>
      <c r="AO193" s="815">
        <f>AO192*0.2</f>
        <v>145500000</v>
      </c>
      <c r="AP193" s="584" t="s">
        <v>7665</v>
      </c>
      <c r="AQ193" s="554"/>
      <c r="AR193" s="814" t="str">
        <f>nmProd4&amp;" Slot3"</f>
        <v>Brew Master Slot3</v>
      </c>
      <c r="AS193" s="818" t="str">
        <f>IF(INDEX(obalCh3Prod4Slot3Active,,xxIndexTeam)=1,nmProd4&amp;" - "&amp;INDEX(obalCh3Prod4Slot3Pack,,xxIndexTeam),"")</f>
        <v/>
      </c>
      <c r="AT193" s="811" t="s">
        <v>7887</v>
      </c>
      <c r="AU193" s="802"/>
    </row>
    <row r="194" spans="30:47">
      <c r="AD194" s="800"/>
      <c r="AE194" s="810"/>
      <c r="AF194" s="814" t="str">
        <f>nmProd4</f>
        <v>Brew Master</v>
      </c>
      <c r="AG194" s="798" t="str">
        <f>IF(INDEX(obalCh3Prod4Slot2Active,,xxIndexTeam)=1,INDEX(obalCh3Prod4Slot2GPaL,,xxIndexTeam)/tlOutputCh3Analytic1Chart1XValue11,"")</f>
        <v/>
      </c>
      <c r="AH194" s="811" t="s">
        <v>7666</v>
      </c>
      <c r="AI194" s="810"/>
      <c r="AJ194" s="814" t="str">
        <f>nmProd4</f>
        <v>Brew Master</v>
      </c>
      <c r="AK194" s="533" t="str">
        <f>INDEX(calcCh3Prod4Slot2PriceDif,,xxIndexTeam)</f>
        <v/>
      </c>
      <c r="AL194" s="811" t="s">
        <v>7667</v>
      </c>
      <c r="AM194" s="554" t="str">
        <f>nmProd3</f>
        <v>Kara</v>
      </c>
      <c r="AN194" s="720" t="s">
        <v>4409</v>
      </c>
      <c r="AO194" s="815">
        <v>533500000</v>
      </c>
      <c r="AP194" s="584" t="s">
        <v>7668</v>
      </c>
      <c r="AQ194" s="554"/>
      <c r="AR194" s="720"/>
      <c r="AS194" s="817" t="str">
        <f>IF(INDEX(obalCh3Prod4Slot3Active,,xxIndexTeam)=1,INDEX(obalCh3Prod4Slot3CustPrice,,xxIndexTeam),"")</f>
        <v/>
      </c>
      <c r="AT194" s="584" t="s">
        <v>7890</v>
      </c>
      <c r="AU194" s="802"/>
    </row>
    <row r="195" spans="30:47">
      <c r="AD195" s="800"/>
      <c r="AE195" s="810"/>
      <c r="AF195" s="814" t="str">
        <f>nmProd4</f>
        <v>Brew Master</v>
      </c>
      <c r="AG195" s="798" t="str">
        <f>IF(INDEX(obalCh3Prod4Slot3Active,,xxIndexTeam)=1,INDEX(obalCh3Prod4Slot3GPaL,,xxIndexTeam)/tlOutputCh3Analytic1Chart1XValue12,"")</f>
        <v/>
      </c>
      <c r="AH195" s="811" t="s">
        <v>7669</v>
      </c>
      <c r="AI195" s="810"/>
      <c r="AJ195" s="814" t="str">
        <f>nmProd4</f>
        <v>Brew Master</v>
      </c>
      <c r="AK195" s="533" t="str">
        <f>INDEX(calcCh3Prod4Slot3PriceDif,,xxIndexTeam)</f>
        <v/>
      </c>
      <c r="AL195" s="811" t="s">
        <v>7670</v>
      </c>
      <c r="AM195" s="554"/>
      <c r="AN195" s="720" t="s">
        <v>4408</v>
      </c>
      <c r="AO195" s="815">
        <f>AO194*0.2</f>
        <v>106700000</v>
      </c>
      <c r="AP195" s="584" t="s">
        <v>7671</v>
      </c>
      <c r="AQ195" s="554"/>
      <c r="AR195" s="720"/>
      <c r="AS195" s="817" t="str">
        <f>IF(INDEX(obalCh3Prod4Slot3Active,,xxIndexTeam)=1,INDEX(obalCh3Prod4Slot3AvgPrice,,xxIndexTeam),"")</f>
        <v/>
      </c>
      <c r="AT195" s="584" t="s">
        <v>7893</v>
      </c>
      <c r="AU195" s="802"/>
    </row>
    <row r="196" spans="30:47">
      <c r="AD196" s="800"/>
      <c r="AE196" s="810"/>
      <c r="AF196" s="814"/>
      <c r="AG196" s="814"/>
      <c r="AH196" s="811"/>
      <c r="AI196" s="810"/>
      <c r="AJ196" s="814"/>
      <c r="AK196" s="814"/>
      <c r="AL196" s="811"/>
      <c r="AM196" s="554" t="str">
        <f>nmProd4</f>
        <v>Brew Master</v>
      </c>
      <c r="AN196" s="720" t="s">
        <v>4409</v>
      </c>
      <c r="AO196" s="815">
        <v>485000000</v>
      </c>
      <c r="AP196" s="584" t="s">
        <v>7672</v>
      </c>
      <c r="AQ196" s="554"/>
      <c r="AR196" s="720"/>
      <c r="AS196" s="817" t="str">
        <f>IF(INDEX(obalCh3Prod4Slot3Active,,xxIndexTeam)=1,INDEX(obalCh3Prod4Slot3Promo1Price,,xxIndexTeam),"")</f>
        <v/>
      </c>
      <c r="AT196" s="584" t="s">
        <v>7896</v>
      </c>
      <c r="AU196" s="802"/>
    </row>
    <row r="197" spans="30:47" ht="15" thickBot="1">
      <c r="AD197" s="800"/>
      <c r="AE197" s="797" t="s">
        <v>295</v>
      </c>
      <c r="AF197" s="814"/>
      <c r="AG197" s="814"/>
      <c r="AH197" s="811"/>
      <c r="AI197" s="797" t="s">
        <v>6992</v>
      </c>
      <c r="AJ197" s="814"/>
      <c r="AK197" s="814"/>
      <c r="AL197" s="811"/>
      <c r="AM197" s="554"/>
      <c r="AN197" s="720" t="s">
        <v>4408</v>
      </c>
      <c r="AO197" s="816">
        <f>AO196*0.2</f>
        <v>97000000</v>
      </c>
      <c r="AP197" s="584" t="s">
        <v>7673</v>
      </c>
      <c r="AQ197" s="554"/>
      <c r="AR197" s="720"/>
      <c r="AS197" s="720"/>
      <c r="AT197" s="584"/>
      <c r="AU197" s="802"/>
    </row>
    <row r="198" spans="30:47">
      <c r="AD198" s="800"/>
      <c r="AE198" s="810"/>
      <c r="AF198" s="814" t="str">
        <f>nmProd2</f>
        <v>Harken</v>
      </c>
      <c r="AG198" s="799">
        <f>IF(INDEX(obalCh3Prod2Slot1Active,,xxIndexTeam)=1,INDEX(obalCh3Prod2Slot1SoldVol,,xxIndexTeam),"")</f>
        <v>31719070.56341736</v>
      </c>
      <c r="AH198" s="811" t="s">
        <v>7674</v>
      </c>
      <c r="AI198" s="810"/>
      <c r="AJ198" s="814" t="str">
        <f>nmProd2</f>
        <v>Harken</v>
      </c>
      <c r="AK198" s="799">
        <f>IF(INDEX(obalCh3Prod2Slot1Active,,xxIndexTeam)=1,100,"")</f>
        <v>100</v>
      </c>
      <c r="AL198" s="811" t="s">
        <v>7675</v>
      </c>
      <c r="AM198" s="554"/>
      <c r="AN198" s="720"/>
      <c r="AO198" s="720"/>
      <c r="AP198" s="584"/>
      <c r="AQ198" s="554"/>
      <c r="AR198" s="720"/>
      <c r="AS198" s="720"/>
      <c r="AT198" s="584"/>
      <c r="AU198" s="802"/>
    </row>
    <row r="199" spans="30:47" ht="15" thickBot="1">
      <c r="AD199" s="800"/>
      <c r="AE199" s="810"/>
      <c r="AF199" s="814" t="str">
        <f>nmProd2</f>
        <v>Harken</v>
      </c>
      <c r="AG199" s="799">
        <f>IF(INDEX(obalCh3Prod2Slot2Active,,xxIndexTeam)=1,INDEX(obalCh3Prod2Slot2SoldVol,,xxIndexTeam),"")</f>
        <v>42762863.037398465</v>
      </c>
      <c r="AH199" s="811" t="s">
        <v>7676</v>
      </c>
      <c r="AI199" s="810"/>
      <c r="AJ199" s="814" t="str">
        <f>nmProd2</f>
        <v>Harken</v>
      </c>
      <c r="AK199" s="799">
        <f>IF(INDEX(obalCh3Prod2Slot2Active,,xxIndexTeam)=1,100,"")</f>
        <v>100</v>
      </c>
      <c r="AL199" s="811" t="s">
        <v>7677</v>
      </c>
      <c r="AM199" s="554"/>
      <c r="AN199" s="720"/>
      <c r="AO199" s="530" t="s">
        <v>6997</v>
      </c>
      <c r="AP199" s="584"/>
      <c r="AQ199" s="554"/>
      <c r="AR199" s="720"/>
      <c r="AS199" s="720"/>
      <c r="AT199" s="584"/>
      <c r="AU199" s="802"/>
    </row>
    <row r="200" spans="30:47">
      <c r="AD200" s="800"/>
      <c r="AE200" s="810"/>
      <c r="AF200" s="814" t="str">
        <f>nmProd2</f>
        <v>Harken</v>
      </c>
      <c r="AG200" s="799" t="str">
        <f>IF(INDEX(obalCh3Prod2Slot3Active,,xxIndexTeam)=1,INDEX(obalCh3Prod2Slot3SoldVol,,xxIndexTeam),"")</f>
        <v/>
      </c>
      <c r="AH200" s="811" t="s">
        <v>7678</v>
      </c>
      <c r="AI200" s="810"/>
      <c r="AJ200" s="814" t="str">
        <f>nmProd2</f>
        <v>Harken</v>
      </c>
      <c r="AK200" s="799" t="str">
        <f>IF(INDEX(obalCh3Prod2Slot3Active,,xxIndexTeam)=1,100,"")</f>
        <v/>
      </c>
      <c r="AL200" s="811" t="s">
        <v>7679</v>
      </c>
      <c r="AM200" s="554" t="str">
        <f>nmProd1</f>
        <v>Greenborg</v>
      </c>
      <c r="AN200" s="720" t="s">
        <v>4409</v>
      </c>
      <c r="AO200" s="825">
        <v>0.06</v>
      </c>
      <c r="AP200" s="584" t="s">
        <v>7680</v>
      </c>
      <c r="AQ200" s="554"/>
      <c r="AR200" s="720"/>
      <c r="AS200" s="720"/>
      <c r="AT200" s="584"/>
      <c r="AU200" s="802"/>
    </row>
    <row r="201" spans="30:47">
      <c r="AD201" s="800"/>
      <c r="AE201" s="810"/>
      <c r="AF201" s="814" t="str">
        <f>nmProd3</f>
        <v>Kara</v>
      </c>
      <c r="AG201" s="799">
        <f>IF(INDEX(obalCh3Prod3Slot1Active,,xxIndexTeam)=1,INDEX(obalCh3Prod3Slot1SoldVol,,xxIndexTeam),"")</f>
        <v>72336049.096155047</v>
      </c>
      <c r="AH201" s="811" t="s">
        <v>7681</v>
      </c>
      <c r="AI201" s="810"/>
      <c r="AJ201" s="814" t="str">
        <f>nmProd3</f>
        <v>Kara</v>
      </c>
      <c r="AK201" s="799">
        <f>IF(INDEX(obalCh3Prod3Slot1Active,,xxIndexTeam)=1,100,"")</f>
        <v>100</v>
      </c>
      <c r="AL201" s="811" t="s">
        <v>7682</v>
      </c>
      <c r="AM201" s="554"/>
      <c r="AN201" s="720" t="s">
        <v>4408</v>
      </c>
      <c r="AO201" s="828">
        <v>0.06</v>
      </c>
      <c r="AP201" s="584" t="s">
        <v>7683</v>
      </c>
      <c r="AQ201" s="554"/>
      <c r="AR201" s="720"/>
      <c r="AS201" s="720"/>
      <c r="AT201" s="584"/>
      <c r="AU201" s="802"/>
    </row>
    <row r="202" spans="30:47">
      <c r="AD202" s="800"/>
      <c r="AE202" s="810"/>
      <c r="AF202" s="814" t="str">
        <f>nmProd3</f>
        <v>Kara</v>
      </c>
      <c r="AG202" s="799" t="str">
        <f>IF(INDEX(obalCh3Prod3Slot2Active,,xxIndexTeam)=1,INDEX(obalCh3Prod3Slot2SoldVol,,xxIndexTeam),"")</f>
        <v/>
      </c>
      <c r="AH202" s="811" t="s">
        <v>7684</v>
      </c>
      <c r="AI202" s="810"/>
      <c r="AJ202" s="814" t="str">
        <f>nmProd3</f>
        <v>Kara</v>
      </c>
      <c r="AK202" s="799" t="str">
        <f>IF(INDEX(obalCh3Prod3Slot2Active,,xxIndexTeam)=1,100,"")</f>
        <v/>
      </c>
      <c r="AL202" s="811" t="s">
        <v>7685</v>
      </c>
      <c r="AM202" s="554" t="str">
        <f>nmProd2</f>
        <v>Harken</v>
      </c>
      <c r="AN202" s="720" t="s">
        <v>4409</v>
      </c>
      <c r="AO202" s="828">
        <v>0.15</v>
      </c>
      <c r="AP202" s="584" t="s">
        <v>7686</v>
      </c>
      <c r="AQ202" s="554"/>
      <c r="AR202" s="720"/>
      <c r="AS202" s="720"/>
      <c r="AT202" s="584"/>
      <c r="AU202" s="802"/>
    </row>
    <row r="203" spans="30:47">
      <c r="AD203" s="800"/>
      <c r="AE203" s="810"/>
      <c r="AF203" s="814" t="str">
        <f>nmProd3</f>
        <v>Kara</v>
      </c>
      <c r="AG203" s="799" t="str">
        <f>IF(INDEX(obalCh3Prod3Slot3Active,,xxIndexTeam)=1,INDEX(obalCh3Prod3Slot3SoldVol,,xxIndexTeam),"")</f>
        <v/>
      </c>
      <c r="AH203" s="811" t="s">
        <v>7687</v>
      </c>
      <c r="AI203" s="810"/>
      <c r="AJ203" s="814" t="str">
        <f>nmProd3</f>
        <v>Kara</v>
      </c>
      <c r="AK203" s="799" t="str">
        <f>IF(INDEX(obalCh3Prod3Slot3Active,,xxIndexTeam)=1,100,"")</f>
        <v/>
      </c>
      <c r="AL203" s="811" t="s">
        <v>7688</v>
      </c>
      <c r="AM203" s="554"/>
      <c r="AN203" s="720" t="s">
        <v>4408</v>
      </c>
      <c r="AO203" s="828">
        <v>0.15</v>
      </c>
      <c r="AP203" s="584" t="s">
        <v>7689</v>
      </c>
      <c r="AQ203" s="554"/>
      <c r="AR203" s="720"/>
      <c r="AS203" s="720"/>
      <c r="AT203" s="584"/>
      <c r="AU203" s="802"/>
    </row>
    <row r="204" spans="30:47">
      <c r="AD204" s="800"/>
      <c r="AE204" s="810"/>
      <c r="AF204" s="814" t="str">
        <f>nmProd1</f>
        <v>Greenborg</v>
      </c>
      <c r="AG204" s="799">
        <f>IF(INDEX(obalCh3Prod1Slot1Active,,xxIndexTeam)=1,INDEX(obalCh3Prod1Slot1SoldVol,,xxIndexTeam),"")</f>
        <v>39037499.07941176</v>
      </c>
      <c r="AH204" s="811" t="s">
        <v>7690</v>
      </c>
      <c r="AI204" s="810"/>
      <c r="AJ204" s="814" t="str">
        <f>nmProd1</f>
        <v>Greenborg</v>
      </c>
      <c r="AK204" s="799">
        <f>IF(INDEX(obalCh3Prod1Slot1Active,,xxIndexTeam)=1,100,"")</f>
        <v>100</v>
      </c>
      <c r="AL204" s="811" t="s">
        <v>7691</v>
      </c>
      <c r="AM204" s="554" t="str">
        <f>nmProd3</f>
        <v>Kara</v>
      </c>
      <c r="AN204" s="720" t="s">
        <v>4409</v>
      </c>
      <c r="AO204" s="828">
        <v>0.11</v>
      </c>
      <c r="AP204" s="584" t="s">
        <v>7692</v>
      </c>
      <c r="AQ204" s="554"/>
      <c r="AR204" s="720"/>
      <c r="AS204" s="720"/>
      <c r="AT204" s="584"/>
      <c r="AU204" s="802"/>
    </row>
    <row r="205" spans="30:47">
      <c r="AD205" s="800"/>
      <c r="AE205" s="810"/>
      <c r="AF205" s="814" t="str">
        <f>nmProd1</f>
        <v>Greenborg</v>
      </c>
      <c r="AG205" s="799" t="str">
        <f>IF(INDEX(obalCh3Prod1Slot2Active,,xxIndexTeam)=1,INDEX(obalCh3Prod1Slot2SoldVol,,xxIndexTeam),"")</f>
        <v/>
      </c>
      <c r="AH205" s="811" t="s">
        <v>7693</v>
      </c>
      <c r="AI205" s="810"/>
      <c r="AJ205" s="814" t="str">
        <f>nmProd1</f>
        <v>Greenborg</v>
      </c>
      <c r="AK205" s="799" t="str">
        <f>IF(INDEX(obalCh3Prod1Slot2Active,,xxIndexTeam)=1,100,"")</f>
        <v/>
      </c>
      <c r="AL205" s="811" t="s">
        <v>7694</v>
      </c>
      <c r="AM205" s="554"/>
      <c r="AN205" s="720" t="s">
        <v>4408</v>
      </c>
      <c r="AO205" s="828">
        <v>0.11</v>
      </c>
      <c r="AP205" s="584" t="s">
        <v>7695</v>
      </c>
      <c r="AQ205" s="554"/>
      <c r="AR205" s="720"/>
      <c r="AS205" s="720"/>
      <c r="AT205" s="584"/>
      <c r="AU205" s="802"/>
    </row>
    <row r="206" spans="30:47">
      <c r="AD206" s="800"/>
      <c r="AE206" s="810"/>
      <c r="AF206" s="814" t="str">
        <f>nmProd1</f>
        <v>Greenborg</v>
      </c>
      <c r="AG206" s="799" t="str">
        <f>IF(INDEX(obalCh3Prod1Slot3Active,,xxIndexTeam)=1,INDEX(obalCh3Prod1Slot3SoldVol,,xxIndexTeam),"")</f>
        <v/>
      </c>
      <c r="AH206" s="811" t="s">
        <v>7696</v>
      </c>
      <c r="AI206" s="810"/>
      <c r="AJ206" s="814" t="str">
        <f>nmProd1</f>
        <v>Greenborg</v>
      </c>
      <c r="AK206" s="799" t="str">
        <f>IF(INDEX(obalCh3Prod1Slot3Active,,xxIndexTeam)=1,100,"")</f>
        <v/>
      </c>
      <c r="AL206" s="811" t="s">
        <v>7697</v>
      </c>
      <c r="AM206" s="554" t="str">
        <f>nmProd4</f>
        <v>Brew Master</v>
      </c>
      <c r="AN206" s="720" t="s">
        <v>4409</v>
      </c>
      <c r="AO206" s="828">
        <v>0.01</v>
      </c>
      <c r="AP206" s="584" t="s">
        <v>7698</v>
      </c>
      <c r="AQ206" s="554"/>
      <c r="AR206" s="720"/>
      <c r="AS206" s="720"/>
      <c r="AT206" s="584"/>
      <c r="AU206" s="802"/>
    </row>
    <row r="207" spans="30:47" ht="15" thickBot="1">
      <c r="AD207" s="800"/>
      <c r="AE207" s="810"/>
      <c r="AF207" s="814" t="str">
        <f>nmProd4</f>
        <v>Brew Master</v>
      </c>
      <c r="AG207" s="799" t="str">
        <f>IF(INDEX(obalCh3Prod4Slot1Active,,xxIndexTeam)=1,INDEX(obalCh3Prod4Slot1SoldVol,,xxIndexTeam),"")</f>
        <v/>
      </c>
      <c r="AH207" s="811" t="s">
        <v>7699</v>
      </c>
      <c r="AI207" s="810"/>
      <c r="AJ207" s="814" t="str">
        <f>nmProd4</f>
        <v>Brew Master</v>
      </c>
      <c r="AK207" s="799" t="str">
        <f>IF(INDEX(obalCh3Prod4Slot1Active,,xxIndexTeam)=1,100,"")</f>
        <v/>
      </c>
      <c r="AL207" s="811" t="s">
        <v>7700</v>
      </c>
      <c r="AM207" s="554"/>
      <c r="AN207" s="720" t="s">
        <v>4408</v>
      </c>
      <c r="AO207" s="831">
        <v>0.01</v>
      </c>
      <c r="AP207" s="584" t="s">
        <v>7701</v>
      </c>
      <c r="AQ207" s="554"/>
      <c r="AR207" s="720"/>
      <c r="AS207" s="720"/>
      <c r="AT207" s="584"/>
      <c r="AU207" s="802"/>
    </row>
    <row r="208" spans="30:47">
      <c r="AD208" s="800"/>
      <c r="AE208" s="810"/>
      <c r="AF208" s="814" t="str">
        <f>nmProd4</f>
        <v>Brew Master</v>
      </c>
      <c r="AG208" s="799" t="str">
        <f>IF(INDEX(obalCh3Prod4Slot2Active,,xxIndexTeam)=1,INDEX(obalCh3Prod4Slot2SoldVol,,xxIndexTeam),"")</f>
        <v/>
      </c>
      <c r="AH208" s="811" t="s">
        <v>7702</v>
      </c>
      <c r="AI208" s="810"/>
      <c r="AJ208" s="814" t="str">
        <f>nmProd4</f>
        <v>Brew Master</v>
      </c>
      <c r="AK208" s="799" t="str">
        <f>IF(INDEX(obalCh3Prod4Slot2Active,,xxIndexTeam)=1,100,"")</f>
        <v/>
      </c>
      <c r="AL208" s="811" t="s">
        <v>7703</v>
      </c>
      <c r="AM208" s="832" t="str">
        <f>nmSeg4</f>
        <v>Connecting &amp; Bonding</v>
      </c>
      <c r="AN208" s="720"/>
      <c r="AO208" s="720"/>
      <c r="AP208" s="584"/>
      <c r="AQ208" s="554"/>
      <c r="AR208" s="720"/>
      <c r="AS208" s="720"/>
      <c r="AT208" s="584"/>
      <c r="AU208" s="802"/>
    </row>
    <row r="209" spans="30:47" ht="15" thickBot="1">
      <c r="AD209" s="800"/>
      <c r="AE209" s="809"/>
      <c r="AF209" s="814" t="str">
        <f>nmProd4</f>
        <v>Brew Master</v>
      </c>
      <c r="AG209" s="799" t="str">
        <f>IF(INDEX(obalCh3Prod4Slot3Active,,xxIndexTeam)=1,INDEX(obalCh3Prod4Slot3SoldVol,,xxIndexTeam),"")</f>
        <v/>
      </c>
      <c r="AH209" s="808" t="s">
        <v>7704</v>
      </c>
      <c r="AI209" s="809"/>
      <c r="AJ209" s="814" t="str">
        <f>nmProd4</f>
        <v>Brew Master</v>
      </c>
      <c r="AK209" s="799" t="str">
        <f>IF(INDEX(obalCh3Prod4Slot3Active,,xxIndexTeam)=1,100,"")</f>
        <v/>
      </c>
      <c r="AL209" s="808" t="s">
        <v>7705</v>
      </c>
      <c r="AM209" s="554"/>
      <c r="AN209" s="720"/>
      <c r="AO209" s="530" t="s">
        <v>295</v>
      </c>
      <c r="AP209" s="584"/>
      <c r="AQ209" s="554"/>
      <c r="AR209" s="720"/>
      <c r="AS209" s="720"/>
      <c r="AT209" s="584"/>
      <c r="AU209" s="802"/>
    </row>
    <row r="210" spans="30:47">
      <c r="AD210" s="800"/>
      <c r="AE210" s="807"/>
      <c r="AF210" s="813"/>
      <c r="AG210" s="813"/>
      <c r="AH210" s="812"/>
      <c r="AI210" s="807"/>
      <c r="AJ210" s="813"/>
      <c r="AK210" s="813"/>
      <c r="AL210" s="812"/>
      <c r="AM210" s="554" t="str">
        <f>nmProd1</f>
        <v>Greenborg</v>
      </c>
      <c r="AN210" s="720" t="s">
        <v>4409</v>
      </c>
      <c r="AO210" s="824">
        <v>291000000</v>
      </c>
      <c r="AP210" s="584" t="s">
        <v>7706</v>
      </c>
      <c r="AQ210" s="554"/>
      <c r="AR210" s="720"/>
      <c r="AS210" s="720"/>
      <c r="AT210" s="584"/>
      <c r="AU210" s="802"/>
    </row>
    <row r="211" spans="30:47">
      <c r="AD211" s="800"/>
      <c r="AE211" s="810"/>
      <c r="AF211" s="814"/>
      <c r="AG211" s="814"/>
      <c r="AH211" s="811"/>
      <c r="AI211" s="810"/>
      <c r="AJ211" s="814"/>
      <c r="AK211" s="814"/>
      <c r="AL211" s="811"/>
      <c r="AM211" s="554"/>
      <c r="AN211" s="720" t="s">
        <v>4408</v>
      </c>
      <c r="AO211" s="815">
        <f>AO210*0.2</f>
        <v>58200000</v>
      </c>
      <c r="AP211" s="584" t="s">
        <v>7707</v>
      </c>
      <c r="AQ211" s="554"/>
      <c r="AR211" s="720"/>
      <c r="AS211" s="720"/>
      <c r="AT211" s="584"/>
      <c r="AU211" s="802"/>
    </row>
    <row r="212" spans="30:47">
      <c r="AD212" s="800"/>
      <c r="AE212" s="810"/>
      <c r="AF212" s="814"/>
      <c r="AG212" s="814"/>
      <c r="AH212" s="811"/>
      <c r="AI212" s="810"/>
      <c r="AJ212" s="814"/>
      <c r="AK212" s="814"/>
      <c r="AL212" s="811"/>
      <c r="AM212" s="554" t="str">
        <f>nmProd2</f>
        <v>Harken</v>
      </c>
      <c r="AN212" s="720" t="s">
        <v>4409</v>
      </c>
      <c r="AO212" s="815">
        <v>727500000</v>
      </c>
      <c r="AP212" s="584" t="s">
        <v>7708</v>
      </c>
      <c r="AQ212" s="554"/>
      <c r="AR212" s="720"/>
      <c r="AS212" s="720"/>
      <c r="AT212" s="584"/>
      <c r="AU212" s="802"/>
    </row>
    <row r="213" spans="30:47">
      <c r="AD213" s="800"/>
      <c r="AE213" s="810"/>
      <c r="AF213" s="814"/>
      <c r="AG213" s="814"/>
      <c r="AH213" s="811"/>
      <c r="AI213" s="810"/>
      <c r="AJ213" s="814"/>
      <c r="AK213" s="814"/>
      <c r="AL213" s="811"/>
      <c r="AM213" s="554"/>
      <c r="AN213" s="720" t="s">
        <v>4408</v>
      </c>
      <c r="AO213" s="815">
        <f>AO212*0.2</f>
        <v>145500000</v>
      </c>
      <c r="AP213" s="584" t="s">
        <v>7709</v>
      </c>
      <c r="AQ213" s="554"/>
      <c r="AR213" s="720"/>
      <c r="AS213" s="720"/>
      <c r="AT213" s="584"/>
      <c r="AU213" s="802"/>
    </row>
    <row r="214" spans="30:47">
      <c r="AD214" s="800"/>
      <c r="AE214" s="810"/>
      <c r="AF214" s="814"/>
      <c r="AG214" s="814"/>
      <c r="AH214" s="811"/>
      <c r="AI214" s="810"/>
      <c r="AJ214" s="814"/>
      <c r="AK214" s="814"/>
      <c r="AL214" s="811"/>
      <c r="AM214" s="554" t="str">
        <f>nmProd3</f>
        <v>Kara</v>
      </c>
      <c r="AN214" s="720" t="s">
        <v>4409</v>
      </c>
      <c r="AO214" s="815">
        <v>533500000</v>
      </c>
      <c r="AP214" s="584" t="s">
        <v>7710</v>
      </c>
      <c r="AQ214" s="554"/>
      <c r="AR214" s="720"/>
      <c r="AS214" s="720"/>
      <c r="AT214" s="584"/>
      <c r="AU214" s="802"/>
    </row>
    <row r="215" spans="30:47">
      <c r="AD215" s="800"/>
      <c r="AE215" s="810"/>
      <c r="AF215" s="814"/>
      <c r="AG215" s="814"/>
      <c r="AH215" s="811"/>
      <c r="AI215" s="810"/>
      <c r="AJ215" s="814"/>
      <c r="AK215" s="814"/>
      <c r="AL215" s="811"/>
      <c r="AM215" s="554"/>
      <c r="AN215" s="720" t="s">
        <v>4408</v>
      </c>
      <c r="AO215" s="815">
        <f>AO214*0.2</f>
        <v>106700000</v>
      </c>
      <c r="AP215" s="584" t="s">
        <v>7711</v>
      </c>
      <c r="AQ215" s="554"/>
      <c r="AR215" s="720"/>
      <c r="AS215" s="720"/>
      <c r="AT215" s="584"/>
      <c r="AU215" s="802"/>
    </row>
    <row r="216" spans="30:47">
      <c r="AD216" s="800"/>
      <c r="AE216" s="810"/>
      <c r="AF216" s="814"/>
      <c r="AG216" s="814"/>
      <c r="AH216" s="811"/>
      <c r="AI216" s="810"/>
      <c r="AJ216" s="814"/>
      <c r="AK216" s="814"/>
      <c r="AL216" s="811"/>
      <c r="AM216" s="554" t="str">
        <f>nmProd4</f>
        <v>Brew Master</v>
      </c>
      <c r="AN216" s="720" t="s">
        <v>4409</v>
      </c>
      <c r="AO216" s="815">
        <v>485000000</v>
      </c>
      <c r="AP216" s="584" t="s">
        <v>7712</v>
      </c>
      <c r="AQ216" s="554"/>
      <c r="AR216" s="720"/>
      <c r="AS216" s="720"/>
      <c r="AT216" s="584"/>
      <c r="AU216" s="802"/>
    </row>
    <row r="217" spans="30:47" ht="15" thickBot="1">
      <c r="AD217" s="800"/>
      <c r="AE217" s="810"/>
      <c r="AF217" s="814"/>
      <c r="AG217" s="814"/>
      <c r="AH217" s="811"/>
      <c r="AI217" s="810"/>
      <c r="AJ217" s="814"/>
      <c r="AK217" s="814"/>
      <c r="AL217" s="811"/>
      <c r="AM217" s="554"/>
      <c r="AN217" s="720" t="s">
        <v>4408</v>
      </c>
      <c r="AO217" s="816">
        <f>AO216*0.2</f>
        <v>97000000</v>
      </c>
      <c r="AP217" s="584" t="s">
        <v>7713</v>
      </c>
      <c r="AQ217" s="554"/>
      <c r="AR217" s="720"/>
      <c r="AS217" s="720"/>
      <c r="AT217" s="584"/>
      <c r="AU217" s="802"/>
    </row>
    <row r="218" spans="30:47">
      <c r="AD218" s="800"/>
      <c r="AE218" s="810"/>
      <c r="AF218" s="814"/>
      <c r="AG218" s="814"/>
      <c r="AH218" s="811"/>
      <c r="AI218" s="810"/>
      <c r="AJ218" s="814"/>
      <c r="AK218" s="814"/>
      <c r="AL218" s="811"/>
      <c r="AM218" s="554"/>
      <c r="AN218" s="720"/>
      <c r="AO218" s="720"/>
      <c r="AP218" s="584"/>
      <c r="AQ218" s="554"/>
      <c r="AR218" s="720"/>
      <c r="AS218" s="720"/>
      <c r="AT218" s="584"/>
      <c r="AU218" s="802"/>
    </row>
    <row r="219" spans="30:47" ht="15" thickBot="1">
      <c r="AD219" s="800"/>
      <c r="AE219" s="810"/>
      <c r="AF219" s="814"/>
      <c r="AG219" s="814"/>
      <c r="AH219" s="811"/>
      <c r="AI219" s="810"/>
      <c r="AJ219" s="814"/>
      <c r="AK219" s="814"/>
      <c r="AL219" s="811"/>
      <c r="AM219" s="554"/>
      <c r="AN219" s="720"/>
      <c r="AO219" s="530" t="s">
        <v>6997</v>
      </c>
      <c r="AP219" s="584"/>
      <c r="AQ219" s="554"/>
      <c r="AR219" s="720"/>
      <c r="AS219" s="720"/>
      <c r="AT219" s="584"/>
      <c r="AU219" s="802"/>
    </row>
    <row r="220" spans="30:47">
      <c r="AD220" s="800"/>
      <c r="AE220" s="810"/>
      <c r="AF220" s="814"/>
      <c r="AG220" s="814"/>
      <c r="AH220" s="811"/>
      <c r="AI220" s="810"/>
      <c r="AJ220" s="814"/>
      <c r="AK220" s="814"/>
      <c r="AL220" s="811"/>
      <c r="AM220" s="554" t="str">
        <f>nmProd1</f>
        <v>Greenborg</v>
      </c>
      <c r="AN220" s="720" t="s">
        <v>4409</v>
      </c>
      <c r="AO220" s="825">
        <v>0.06</v>
      </c>
      <c r="AP220" s="584" t="s">
        <v>7714</v>
      </c>
      <c r="AQ220" s="554"/>
      <c r="AR220" s="720"/>
      <c r="AS220" s="720"/>
      <c r="AT220" s="584"/>
      <c r="AU220" s="802"/>
    </row>
    <row r="221" spans="30:47">
      <c r="AD221" s="800"/>
      <c r="AE221" s="810"/>
      <c r="AF221" s="814"/>
      <c r="AG221" s="814"/>
      <c r="AH221" s="811"/>
      <c r="AI221" s="810"/>
      <c r="AJ221" s="814"/>
      <c r="AK221" s="814"/>
      <c r="AL221" s="811"/>
      <c r="AM221" s="554"/>
      <c r="AN221" s="720" t="s">
        <v>4408</v>
      </c>
      <c r="AO221" s="828">
        <v>0.06</v>
      </c>
      <c r="AP221" s="584" t="s">
        <v>7715</v>
      </c>
      <c r="AQ221" s="554"/>
      <c r="AR221" s="720"/>
      <c r="AS221" s="720"/>
      <c r="AT221" s="584"/>
      <c r="AU221" s="802"/>
    </row>
    <row r="222" spans="30:47" ht="15" thickBot="1">
      <c r="AD222" s="800"/>
      <c r="AE222" s="810"/>
      <c r="AF222" s="814"/>
      <c r="AG222" s="814"/>
      <c r="AH222" s="811"/>
      <c r="AI222" s="810"/>
      <c r="AJ222" s="814"/>
      <c r="AK222" s="814"/>
      <c r="AL222" s="811"/>
      <c r="AM222" s="554" t="str">
        <f>nmProd2</f>
        <v>Harken</v>
      </c>
      <c r="AN222" s="720" t="s">
        <v>4409</v>
      </c>
      <c r="AO222" s="828">
        <v>0.15</v>
      </c>
      <c r="AP222" s="584" t="s">
        <v>7716</v>
      </c>
      <c r="AQ222" s="546"/>
      <c r="AR222" s="544"/>
      <c r="AS222" s="544"/>
      <c r="AT222" s="733"/>
      <c r="AU222" s="802"/>
    </row>
    <row r="223" spans="30:47">
      <c r="AD223" s="800"/>
      <c r="AE223" s="810"/>
      <c r="AF223" s="814"/>
      <c r="AG223" s="814"/>
      <c r="AH223" s="811"/>
      <c r="AI223" s="810"/>
      <c r="AJ223" s="814"/>
      <c r="AK223" s="814"/>
      <c r="AL223" s="811"/>
      <c r="AM223" s="554"/>
      <c r="AN223" s="720" t="s">
        <v>4408</v>
      </c>
      <c r="AO223" s="828">
        <v>0.15</v>
      </c>
      <c r="AP223" s="584" t="s">
        <v>7717</v>
      </c>
      <c r="AQ223" s="802"/>
      <c r="AR223" s="802"/>
      <c r="AS223" s="802"/>
      <c r="AT223" s="802"/>
      <c r="AU223" s="802"/>
    </row>
    <row r="224" spans="30:47">
      <c r="AD224" s="800"/>
      <c r="AE224" s="810"/>
      <c r="AF224" s="814"/>
      <c r="AG224" s="814"/>
      <c r="AH224" s="811"/>
      <c r="AI224" s="810"/>
      <c r="AJ224" s="814"/>
      <c r="AK224" s="814"/>
      <c r="AL224" s="811"/>
      <c r="AM224" s="554" t="str">
        <f>nmProd3</f>
        <v>Kara</v>
      </c>
      <c r="AN224" s="720" t="s">
        <v>4409</v>
      </c>
      <c r="AO224" s="828">
        <v>0.11</v>
      </c>
      <c r="AP224" s="584" t="s">
        <v>7718</v>
      </c>
      <c r="AQ224" s="802"/>
      <c r="AR224" s="802"/>
      <c r="AS224" s="802"/>
      <c r="AT224" s="802"/>
      <c r="AU224" s="802"/>
    </row>
    <row r="225" spans="30:47">
      <c r="AD225" s="800"/>
      <c r="AE225" s="810"/>
      <c r="AF225" s="814"/>
      <c r="AG225" s="814"/>
      <c r="AH225" s="811"/>
      <c r="AI225" s="810"/>
      <c r="AJ225" s="814"/>
      <c r="AK225" s="814"/>
      <c r="AL225" s="811"/>
      <c r="AM225" s="554"/>
      <c r="AN225" s="720" t="s">
        <v>4408</v>
      </c>
      <c r="AO225" s="828">
        <v>0.11</v>
      </c>
      <c r="AP225" s="584" t="s">
        <v>7719</v>
      </c>
      <c r="AQ225" s="802"/>
      <c r="AR225" s="802"/>
      <c r="AS225" s="802"/>
      <c r="AT225" s="802"/>
      <c r="AU225" s="802"/>
    </row>
    <row r="226" spans="30:47">
      <c r="AD226" s="800"/>
      <c r="AE226" s="810"/>
      <c r="AF226" s="814"/>
      <c r="AG226" s="814"/>
      <c r="AH226" s="811"/>
      <c r="AI226" s="810"/>
      <c r="AJ226" s="814"/>
      <c r="AK226" s="814"/>
      <c r="AL226" s="811"/>
      <c r="AM226" s="554" t="str">
        <f>nmProd4</f>
        <v>Brew Master</v>
      </c>
      <c r="AN226" s="720" t="s">
        <v>4409</v>
      </c>
      <c r="AO226" s="828">
        <v>0.01</v>
      </c>
      <c r="AP226" s="584" t="s">
        <v>7720</v>
      </c>
      <c r="AQ226" s="802"/>
      <c r="AR226" s="802"/>
      <c r="AS226" s="802"/>
      <c r="AT226" s="802"/>
      <c r="AU226" s="802"/>
    </row>
    <row r="227" spans="30:47" ht="15" thickBot="1">
      <c r="AD227" s="800"/>
      <c r="AE227" s="810"/>
      <c r="AF227" s="814"/>
      <c r="AG227" s="814"/>
      <c r="AH227" s="811"/>
      <c r="AI227" s="810"/>
      <c r="AJ227" s="814"/>
      <c r="AK227" s="814"/>
      <c r="AL227" s="811"/>
      <c r="AM227" s="554"/>
      <c r="AN227" s="720" t="s">
        <v>4408</v>
      </c>
      <c r="AO227" s="831">
        <v>0.01</v>
      </c>
      <c r="AP227" s="584" t="s">
        <v>7721</v>
      </c>
      <c r="AQ227" s="802"/>
      <c r="AR227" s="802"/>
      <c r="AS227" s="802"/>
      <c r="AT227" s="802"/>
      <c r="AU227" s="802"/>
    </row>
    <row r="228" spans="30:47">
      <c r="AD228" s="800"/>
      <c r="AE228" s="810"/>
      <c r="AF228" s="814"/>
      <c r="AG228" s="814"/>
      <c r="AH228" s="811"/>
      <c r="AI228" s="810"/>
      <c r="AJ228" s="814"/>
      <c r="AK228" s="814"/>
      <c r="AL228" s="811"/>
      <c r="AM228" s="554"/>
      <c r="AN228" s="720"/>
      <c r="AO228" s="720"/>
      <c r="AP228" s="584"/>
      <c r="AQ228" s="802"/>
      <c r="AR228" s="802"/>
      <c r="AS228" s="802"/>
      <c r="AT228" s="802"/>
      <c r="AU228" s="802"/>
    </row>
    <row r="229" spans="30:47">
      <c r="AD229" s="800"/>
      <c r="AE229" s="810"/>
      <c r="AF229" s="814"/>
      <c r="AG229" s="814"/>
      <c r="AH229" s="811"/>
      <c r="AI229" s="810"/>
      <c r="AJ229" s="814"/>
      <c r="AK229" s="814"/>
      <c r="AL229" s="811"/>
      <c r="AM229" s="554"/>
      <c r="AN229" s="720"/>
      <c r="AO229" s="720"/>
      <c r="AP229" s="584"/>
      <c r="AQ229" s="802"/>
      <c r="AR229" s="802"/>
      <c r="AS229" s="802"/>
      <c r="AT229" s="802"/>
      <c r="AU229" s="802"/>
    </row>
    <row r="230" spans="30:47">
      <c r="AD230" s="800"/>
      <c r="AE230" s="810"/>
      <c r="AF230" s="814"/>
      <c r="AG230" s="814"/>
      <c r="AH230" s="811"/>
      <c r="AI230" s="810"/>
      <c r="AJ230" s="814"/>
      <c r="AK230" s="814"/>
      <c r="AL230" s="811"/>
      <c r="AM230" s="554"/>
      <c r="AN230" s="720"/>
      <c r="AO230" s="720"/>
      <c r="AP230" s="584"/>
      <c r="AQ230" s="802"/>
      <c r="AR230" s="802"/>
      <c r="AS230" s="802"/>
      <c r="AT230" s="802"/>
      <c r="AU230" s="802"/>
    </row>
    <row r="231" spans="30:47">
      <c r="AD231" s="800"/>
      <c r="AE231" s="810"/>
      <c r="AF231" s="814"/>
      <c r="AG231" s="814"/>
      <c r="AH231" s="811"/>
      <c r="AI231" s="810"/>
      <c r="AJ231" s="814"/>
      <c r="AK231" s="814"/>
      <c r="AL231" s="811"/>
      <c r="AM231" s="554"/>
      <c r="AN231" s="720"/>
      <c r="AO231" s="720"/>
      <c r="AP231" s="584"/>
      <c r="AQ231" s="802"/>
      <c r="AR231" s="802"/>
      <c r="AS231" s="802"/>
      <c r="AT231" s="802"/>
      <c r="AU231" s="802"/>
    </row>
    <row r="232" spans="30:47">
      <c r="AD232" s="800"/>
      <c r="AE232" s="810"/>
      <c r="AF232" s="814"/>
      <c r="AG232" s="814"/>
      <c r="AH232" s="811"/>
      <c r="AI232" s="810"/>
      <c r="AJ232" s="814"/>
      <c r="AK232" s="814"/>
      <c r="AL232" s="811"/>
      <c r="AM232" s="554"/>
      <c r="AN232" s="720"/>
      <c r="AO232" s="720"/>
      <c r="AP232" s="584"/>
      <c r="AQ232" s="802"/>
      <c r="AR232" s="802"/>
      <c r="AS232" s="802"/>
      <c r="AT232" s="802"/>
      <c r="AU232" s="802"/>
    </row>
    <row r="233" spans="30:47">
      <c r="AD233" s="800"/>
      <c r="AE233" s="810"/>
      <c r="AF233" s="814"/>
      <c r="AG233" s="814"/>
      <c r="AH233" s="811"/>
      <c r="AI233" s="810"/>
      <c r="AJ233" s="814"/>
      <c r="AK233" s="814"/>
      <c r="AL233" s="811"/>
      <c r="AM233" s="554"/>
      <c r="AN233" s="720"/>
      <c r="AO233" s="720"/>
      <c r="AP233" s="584"/>
      <c r="AQ233" s="802"/>
      <c r="AR233" s="802"/>
      <c r="AS233" s="802"/>
      <c r="AT233" s="802"/>
      <c r="AU233" s="802"/>
    </row>
    <row r="234" spans="30:47">
      <c r="AD234" s="800"/>
      <c r="AE234" s="810"/>
      <c r="AF234" s="814"/>
      <c r="AG234" s="814"/>
      <c r="AH234" s="811"/>
      <c r="AI234" s="810"/>
      <c r="AJ234" s="814"/>
      <c r="AK234" s="814"/>
      <c r="AL234" s="811"/>
      <c r="AM234" s="554"/>
      <c r="AN234" s="720"/>
      <c r="AO234" s="720"/>
      <c r="AP234" s="584"/>
      <c r="AQ234" s="802"/>
      <c r="AR234" s="802"/>
      <c r="AS234" s="802"/>
      <c r="AT234" s="802"/>
      <c r="AU234" s="802"/>
    </row>
    <row r="235" spans="30:47">
      <c r="AD235" s="800"/>
      <c r="AE235" s="810"/>
      <c r="AF235" s="814"/>
      <c r="AG235" s="814"/>
      <c r="AH235" s="811"/>
      <c r="AI235" s="810"/>
      <c r="AJ235" s="814"/>
      <c r="AK235" s="814"/>
      <c r="AL235" s="811"/>
      <c r="AM235" s="554"/>
      <c r="AN235" s="720"/>
      <c r="AO235" s="720"/>
      <c r="AP235" s="584"/>
      <c r="AQ235" s="802"/>
      <c r="AR235" s="802"/>
      <c r="AS235" s="802"/>
      <c r="AT235" s="802"/>
      <c r="AU235" s="802"/>
    </row>
    <row r="236" spans="30:47">
      <c r="AD236" s="800"/>
      <c r="AE236" s="810"/>
      <c r="AF236" s="814"/>
      <c r="AG236" s="814"/>
      <c r="AH236" s="811"/>
      <c r="AI236" s="810"/>
      <c r="AJ236" s="814"/>
      <c r="AK236" s="814"/>
      <c r="AL236" s="811"/>
      <c r="AM236" s="554"/>
      <c r="AN236" s="720"/>
      <c r="AO236" s="720"/>
      <c r="AP236" s="584"/>
      <c r="AQ236" s="802"/>
      <c r="AR236" s="802"/>
      <c r="AS236" s="802"/>
      <c r="AT236" s="802"/>
      <c r="AU236" s="802"/>
    </row>
    <row r="237" spans="30:47">
      <c r="AD237" s="800"/>
      <c r="AE237" s="810"/>
      <c r="AF237" s="814"/>
      <c r="AG237" s="814"/>
      <c r="AH237" s="811"/>
      <c r="AI237" s="810"/>
      <c r="AJ237" s="814"/>
      <c r="AK237" s="814"/>
      <c r="AL237" s="811"/>
      <c r="AM237" s="554"/>
      <c r="AN237" s="720"/>
      <c r="AO237" s="720"/>
      <c r="AP237" s="584"/>
      <c r="AQ237" s="802"/>
      <c r="AR237" s="802"/>
      <c r="AS237" s="802"/>
      <c r="AT237" s="802"/>
      <c r="AU237" s="802"/>
    </row>
    <row r="238" spans="30:47">
      <c r="AD238" s="800"/>
      <c r="AE238" s="810"/>
      <c r="AF238" s="814"/>
      <c r="AG238" s="814"/>
      <c r="AH238" s="811"/>
      <c r="AI238" s="810"/>
      <c r="AJ238" s="814"/>
      <c r="AK238" s="814"/>
      <c r="AL238" s="811"/>
      <c r="AM238" s="554"/>
      <c r="AN238" s="720"/>
      <c r="AO238" s="720"/>
      <c r="AP238" s="584"/>
      <c r="AQ238" s="802"/>
      <c r="AR238" s="802"/>
      <c r="AS238" s="802"/>
      <c r="AT238" s="802"/>
      <c r="AU238" s="802"/>
    </row>
    <row r="239" spans="30:47">
      <c r="AD239" s="800"/>
      <c r="AE239" s="810"/>
      <c r="AF239" s="814"/>
      <c r="AG239" s="814"/>
      <c r="AH239" s="811"/>
      <c r="AI239" s="810"/>
      <c r="AJ239" s="814"/>
      <c r="AK239" s="814"/>
      <c r="AL239" s="811"/>
      <c r="AM239" s="554"/>
      <c r="AN239" s="720"/>
      <c r="AO239" s="720"/>
      <c r="AP239" s="584"/>
      <c r="AQ239" s="802"/>
      <c r="AR239" s="802"/>
      <c r="AS239" s="802"/>
      <c r="AT239" s="802"/>
      <c r="AU239" s="802"/>
    </row>
    <row r="240" spans="30:47">
      <c r="AD240" s="800"/>
      <c r="AE240" s="810"/>
      <c r="AF240" s="814"/>
      <c r="AG240" s="814"/>
      <c r="AH240" s="811"/>
      <c r="AI240" s="810"/>
      <c r="AJ240" s="814"/>
      <c r="AK240" s="814"/>
      <c r="AL240" s="811"/>
      <c r="AM240" s="554"/>
      <c r="AN240" s="720"/>
      <c r="AO240" s="720"/>
      <c r="AP240" s="584"/>
      <c r="AQ240" s="802"/>
      <c r="AR240" s="802"/>
      <c r="AS240" s="802"/>
      <c r="AT240" s="802"/>
      <c r="AU240" s="802"/>
    </row>
    <row r="241" spans="30:47">
      <c r="AD241" s="800"/>
      <c r="AE241" s="810"/>
      <c r="AF241" s="814"/>
      <c r="AG241" s="814"/>
      <c r="AH241" s="811"/>
      <c r="AI241" s="810"/>
      <c r="AJ241" s="814"/>
      <c r="AK241" s="814"/>
      <c r="AL241" s="811"/>
      <c r="AM241" s="554"/>
      <c r="AN241" s="720"/>
      <c r="AO241" s="720"/>
      <c r="AP241" s="584"/>
      <c r="AQ241" s="802"/>
      <c r="AR241" s="802"/>
      <c r="AS241" s="802"/>
      <c r="AT241" s="802"/>
      <c r="AU241" s="802"/>
    </row>
    <row r="242" spans="30:47">
      <c r="AD242" s="800"/>
      <c r="AE242" s="810"/>
      <c r="AF242" s="814"/>
      <c r="AG242" s="814"/>
      <c r="AH242" s="811"/>
      <c r="AI242" s="810"/>
      <c r="AJ242" s="814"/>
      <c r="AK242" s="814"/>
      <c r="AL242" s="811"/>
      <c r="AM242" s="554"/>
      <c r="AN242" s="720"/>
      <c r="AO242" s="720"/>
      <c r="AP242" s="584"/>
      <c r="AQ242" s="802"/>
      <c r="AR242" s="802"/>
      <c r="AS242" s="802"/>
      <c r="AT242" s="802"/>
      <c r="AU242" s="802"/>
    </row>
    <row r="243" spans="30:47">
      <c r="AD243" s="800"/>
      <c r="AE243" s="810"/>
      <c r="AF243" s="814"/>
      <c r="AG243" s="814"/>
      <c r="AH243" s="811"/>
      <c r="AI243" s="810"/>
      <c r="AJ243" s="814"/>
      <c r="AK243" s="814"/>
      <c r="AL243" s="811"/>
      <c r="AM243" s="554"/>
      <c r="AN243" s="720"/>
      <c r="AO243" s="720"/>
      <c r="AP243" s="584"/>
      <c r="AQ243" s="802"/>
      <c r="AR243" s="802"/>
      <c r="AS243" s="802"/>
      <c r="AT243" s="802"/>
      <c r="AU243" s="802"/>
    </row>
    <row r="244" spans="30:47">
      <c r="AD244" s="800"/>
      <c r="AE244" s="810"/>
      <c r="AF244" s="814"/>
      <c r="AG244" s="814"/>
      <c r="AH244" s="811"/>
      <c r="AI244" s="810"/>
      <c r="AJ244" s="814"/>
      <c r="AK244" s="814"/>
      <c r="AL244" s="811"/>
      <c r="AM244" s="554"/>
      <c r="AN244" s="720"/>
      <c r="AO244" s="720"/>
      <c r="AP244" s="584"/>
      <c r="AQ244" s="802"/>
      <c r="AR244" s="802"/>
      <c r="AS244" s="802"/>
      <c r="AT244" s="802"/>
      <c r="AU244" s="802"/>
    </row>
    <row r="245" spans="30:47" ht="15" thickBot="1">
      <c r="AD245" s="800"/>
      <c r="AE245" s="809"/>
      <c r="AF245" s="806"/>
      <c r="AG245" s="806"/>
      <c r="AH245" s="808"/>
      <c r="AI245" s="809"/>
      <c r="AJ245" s="806"/>
      <c r="AK245" s="806"/>
      <c r="AL245" s="808"/>
      <c r="AM245" s="546"/>
      <c r="AN245" s="544"/>
      <c r="AO245" s="544"/>
      <c r="AP245" s="733"/>
      <c r="AQ245" s="802"/>
      <c r="AR245" s="802"/>
      <c r="AS245" s="802"/>
      <c r="AT245" s="802"/>
      <c r="AU245" s="802"/>
    </row>
    <row r="246" spans="30:47">
      <c r="AD246" s="800"/>
      <c r="AE246" s="800"/>
      <c r="AF246" s="800"/>
      <c r="AG246" s="800"/>
      <c r="AH246" s="800"/>
      <c r="AI246" s="800"/>
      <c r="AJ246" s="802"/>
      <c r="AK246" s="802"/>
      <c r="AL246" s="802"/>
      <c r="AM246" s="802"/>
      <c r="AN246" s="802"/>
      <c r="AO246" s="802"/>
      <c r="AP246" s="802"/>
      <c r="AQ246" s="802"/>
      <c r="AR246" s="802"/>
      <c r="AS246" s="802"/>
      <c r="AT246" s="802"/>
      <c r="AU246" s="802"/>
    </row>
    <row r="247" spans="30:47">
      <c r="AD247" s="802"/>
      <c r="AE247" s="802"/>
      <c r="AF247" s="802"/>
      <c r="AG247" s="802"/>
      <c r="AH247" s="802"/>
      <c r="AI247" s="802"/>
      <c r="AJ247" s="802"/>
      <c r="AK247" s="802"/>
      <c r="AL247" s="802"/>
      <c r="AM247" s="802"/>
      <c r="AN247" s="802"/>
      <c r="AO247" s="802"/>
      <c r="AP247" s="802"/>
      <c r="AQ247" s="802"/>
      <c r="AR247" s="802"/>
      <c r="AS247" s="802"/>
      <c r="AT247" s="802"/>
      <c r="AU247" s="802"/>
    </row>
    <row r="248" spans="30:47" ht="15" thickBot="1">
      <c r="AD248" s="804" t="s">
        <v>7722</v>
      </c>
      <c r="AE248" s="801" t="s">
        <v>2975</v>
      </c>
      <c r="AF248" s="802"/>
      <c r="AG248" s="802"/>
      <c r="AH248" s="802"/>
      <c r="AI248" s="801" t="s">
        <v>5195</v>
      </c>
      <c r="AJ248" s="800"/>
      <c r="AK248" s="800"/>
      <c r="AL248" s="800"/>
      <c r="AM248" s="801" t="s">
        <v>4412</v>
      </c>
      <c r="AN248" s="800"/>
      <c r="AO248" s="800"/>
      <c r="AP248" s="800"/>
      <c r="AQ248" s="801" t="s">
        <v>4412</v>
      </c>
      <c r="AR248" s="800"/>
      <c r="AS248" s="800"/>
      <c r="AT248" s="800"/>
      <c r="AU248" s="802"/>
    </row>
    <row r="249" spans="30:47">
      <c r="AD249" s="800"/>
      <c r="AE249" s="807"/>
      <c r="AF249" s="813" t="s">
        <v>6729</v>
      </c>
      <c r="AG249" s="796" t="s">
        <v>2975</v>
      </c>
      <c r="AH249" s="812" t="s">
        <v>7724</v>
      </c>
      <c r="AI249" s="807"/>
      <c r="AJ249" s="813"/>
      <c r="AK249" s="796" t="s">
        <v>5195</v>
      </c>
      <c r="AL249" s="812" t="s">
        <v>7726</v>
      </c>
      <c r="AM249" s="807"/>
      <c r="AN249" s="813"/>
      <c r="AO249" s="796" t="s">
        <v>4413</v>
      </c>
      <c r="AP249" s="812" t="s">
        <v>7725</v>
      </c>
      <c r="AQ249" s="807"/>
      <c r="AR249" s="813"/>
      <c r="AS249" s="796" t="s">
        <v>11388</v>
      </c>
      <c r="AT249" s="812" t="s">
        <v>11444</v>
      </c>
      <c r="AU249" s="802"/>
    </row>
    <row r="250" spans="30:47">
      <c r="AD250" s="800"/>
      <c r="AE250" s="819"/>
      <c r="AF250" s="814"/>
      <c r="AG250" s="814"/>
      <c r="AH250" s="811"/>
      <c r="AI250" s="797" t="s">
        <v>6990</v>
      </c>
      <c r="AJ250" s="814"/>
      <c r="AK250" s="814"/>
      <c r="AL250" s="811"/>
      <c r="AM250" s="797" t="s">
        <v>6990</v>
      </c>
      <c r="AN250" s="814"/>
      <c r="AO250" s="814"/>
      <c r="AP250" s="811"/>
      <c r="AQ250" s="797" t="s">
        <v>6990</v>
      </c>
      <c r="AR250" s="814"/>
      <c r="AS250" s="814"/>
      <c r="AT250" s="811"/>
      <c r="AU250" s="802"/>
    </row>
    <row r="251" spans="30:47">
      <c r="AD251" s="800"/>
      <c r="AE251" s="810"/>
      <c r="AF251" s="795" t="s">
        <v>6995</v>
      </c>
      <c r="AG251" s="802" t="s">
        <v>6993</v>
      </c>
      <c r="AH251" s="811" t="s">
        <v>7728</v>
      </c>
      <c r="AI251" s="810"/>
      <c r="AJ251" s="814" t="str">
        <f>nmProd2</f>
        <v>Harken</v>
      </c>
      <c r="AK251" s="793" t="str">
        <f>nmProd2</f>
        <v>Harken</v>
      </c>
      <c r="AL251" s="811" t="s">
        <v>7730</v>
      </c>
      <c r="AM251" s="810"/>
      <c r="AN251" s="814" t="str">
        <f>nmProd2</f>
        <v>Harken</v>
      </c>
      <c r="AO251" s="793" t="str">
        <f>nmProd2</f>
        <v>Harken</v>
      </c>
      <c r="AP251" s="811" t="s">
        <v>7729</v>
      </c>
      <c r="AQ251" s="810"/>
      <c r="AR251" s="814" t="str">
        <f>nmProd2</f>
        <v>Harken</v>
      </c>
      <c r="AS251" s="793" t="str">
        <f>nmProd2</f>
        <v>Harken</v>
      </c>
      <c r="AT251" s="811" t="s">
        <v>11445</v>
      </c>
      <c r="AU251" s="802"/>
    </row>
    <row r="252" spans="30:47">
      <c r="AD252" s="800"/>
      <c r="AE252" s="810"/>
      <c r="AF252" s="795" t="s">
        <v>6995</v>
      </c>
      <c r="AG252" s="802" t="s">
        <v>4396</v>
      </c>
      <c r="AH252" s="811" t="s">
        <v>7732</v>
      </c>
      <c r="AI252" s="810"/>
      <c r="AJ252" s="814" t="str">
        <f>nmProd3</f>
        <v>Kara</v>
      </c>
      <c r="AK252" s="793" t="str">
        <f>nmProd3</f>
        <v>Kara</v>
      </c>
      <c r="AL252" s="811" t="s">
        <v>7734</v>
      </c>
      <c r="AM252" s="810"/>
      <c r="AN252" s="814" t="str">
        <f>nmProd3</f>
        <v>Kara</v>
      </c>
      <c r="AO252" s="793" t="str">
        <f>nmProd3</f>
        <v>Kara</v>
      </c>
      <c r="AP252" s="811" t="s">
        <v>7733</v>
      </c>
      <c r="AQ252" s="810"/>
      <c r="AR252" s="814" t="str">
        <f>nmProd3</f>
        <v>Kara</v>
      </c>
      <c r="AS252" s="793" t="str">
        <f>nmProd3</f>
        <v>Kara</v>
      </c>
      <c r="AT252" s="811" t="s">
        <v>11446</v>
      </c>
      <c r="AU252" s="802"/>
    </row>
    <row r="253" spans="30:47">
      <c r="AD253" s="800"/>
      <c r="AE253" s="810"/>
      <c r="AF253" s="795"/>
      <c r="AG253" s="802"/>
      <c r="AH253" s="811"/>
      <c r="AI253" s="810"/>
      <c r="AJ253" s="814" t="str">
        <f>nmProd1</f>
        <v>Greenborg</v>
      </c>
      <c r="AK253" s="793" t="str">
        <f>nmProd1</f>
        <v>Greenborg</v>
      </c>
      <c r="AL253" s="811" t="s">
        <v>7737</v>
      </c>
      <c r="AM253" s="810"/>
      <c r="AN253" s="814" t="str">
        <f>nmProd1</f>
        <v>Greenborg</v>
      </c>
      <c r="AO253" s="793" t="str">
        <f>nmProd1</f>
        <v>Greenborg</v>
      </c>
      <c r="AP253" s="811" t="s">
        <v>7736</v>
      </c>
      <c r="AQ253" s="810"/>
      <c r="AR253" s="814" t="str">
        <f>nmProd1</f>
        <v>Greenborg</v>
      </c>
      <c r="AS253" s="793" t="str">
        <f>nmProd1</f>
        <v>Greenborg</v>
      </c>
      <c r="AT253" s="811" t="s">
        <v>11447</v>
      </c>
      <c r="AU253" s="802"/>
    </row>
    <row r="254" spans="30:47">
      <c r="AD254" s="800"/>
      <c r="AE254" s="810"/>
      <c r="AF254" s="795"/>
      <c r="AG254" s="793" t="str">
        <f>IF(INDEX(obalCh3Prod2Slot1Active,,xxIndexTeam)=1,nmProd2&amp;" - "&amp;INDEX(obalCh3Prod2Slot1Pack,,xxIndexTeam),"")</f>
        <v>Harken - 33cl Can</v>
      </c>
      <c r="AH254" s="811" t="s">
        <v>7739</v>
      </c>
      <c r="AI254" s="810"/>
      <c r="AJ254" s="814" t="str">
        <f>nmProd4</f>
        <v>Brew Master</v>
      </c>
      <c r="AK254" s="793" t="str">
        <f>nmProd4</f>
        <v>Brew Master</v>
      </c>
      <c r="AL254" s="811" t="s">
        <v>7741</v>
      </c>
      <c r="AM254" s="810"/>
      <c r="AN254" s="814" t="str">
        <f>nmProd4</f>
        <v>Brew Master</v>
      </c>
      <c r="AO254" s="793" t="str">
        <f>nmProd4</f>
        <v>Brew Master</v>
      </c>
      <c r="AP254" s="811" t="s">
        <v>7740</v>
      </c>
      <c r="AQ254" s="810"/>
      <c r="AR254" s="814" t="str">
        <f>nmProd4</f>
        <v>Brew Master</v>
      </c>
      <c r="AS254" s="793" t="str">
        <f>nmProd4</f>
        <v>Brew Master</v>
      </c>
      <c r="AT254" s="811" t="s">
        <v>11448</v>
      </c>
      <c r="AU254" s="802"/>
    </row>
    <row r="255" spans="30:47">
      <c r="AD255" s="800"/>
      <c r="AE255" s="810"/>
      <c r="AF255" s="795"/>
      <c r="AG255" s="793" t="str">
        <f>IF(INDEX(obalCh3Prod2Slot2Active,,xxIndexTeam)=1,nmProd2&amp;" - "&amp;INDEX(obalCh3Prod2Slot2Pack,,xxIndexTeam),"")</f>
        <v>Harken - 6 x 33cl Can</v>
      </c>
      <c r="AH255" s="811" t="s">
        <v>7743</v>
      </c>
      <c r="AI255" s="797" t="s">
        <v>6989</v>
      </c>
      <c r="AJ255" s="814"/>
      <c r="AK255" s="814"/>
      <c r="AL255" s="811"/>
      <c r="AM255" s="797" t="s">
        <v>6989</v>
      </c>
      <c r="AN255" s="814"/>
      <c r="AO255" s="814"/>
      <c r="AP255" s="811"/>
      <c r="AQ255" s="797" t="s">
        <v>6989</v>
      </c>
      <c r="AR255" s="814"/>
      <c r="AS255" s="814"/>
      <c r="AT255" s="811"/>
      <c r="AU255" s="802"/>
    </row>
    <row r="256" spans="30:47">
      <c r="AD256" s="800"/>
      <c r="AE256" s="810"/>
      <c r="AF256" s="795"/>
      <c r="AG256" s="793" t="str">
        <f>IF(INDEX(obalCh3Prod2Slot3Active,,xxIndexTeam)=1,nmProd2&amp;" - "&amp;INDEX(obalCh3Prod2Slot3Pack,,xxIndexTeam),"")</f>
        <v/>
      </c>
      <c r="AH256" s="811" t="s">
        <v>7745</v>
      </c>
      <c r="AI256" s="810"/>
      <c r="AJ256" s="814" t="str">
        <f>nmProd2</f>
        <v>Harken</v>
      </c>
      <c r="AK256" s="793" t="str">
        <f>IF(AND(INDEX(obalCh3Prod2Slot1Active,,xxIndexTeam)=1,NOT(INDEX(obalCh3Prod2Slot1Promo1,,xxIndexTeam)="No Promotion")),INDEX(obalCh3Prod2Slot1Pack,,xxIndexTeam)&amp; " - "&amp;INDEX(obalCh3Prod2Slot1Promo1,,xxIndexTeam)&amp;" - "&amp;INDEX(obalCh3Prod2Slot1Promo1Weeks,,xxIndexTeam)&amp;"Ws","")</f>
        <v>33cl Can - TPR 33% - 2Ws</v>
      </c>
      <c r="AL256" s="811" t="s">
        <v>7747</v>
      </c>
      <c r="AM256" s="810"/>
      <c r="AN256" s="814" t="str">
        <f>nmProd2</f>
        <v>Harken</v>
      </c>
      <c r="AO256" s="793" t="str">
        <f>IF(AND(INDEX(obalCh3Prod2Slot1Active,,xxIndexTeam)=1,NOT(INDEX(obalCh3Prod2Slot1Promo1,,xxIndexTeam)="No Promotion")),INDEX(obalCh3Prod2Slot1Pack,,xxIndexTeam)&amp; " - "&amp;INDEX(obalCh3Prod2Slot1Promo1,,xxIndexTeam)&amp;" - "&amp;INDEX(obalCh3Prod2Slot1Promo1Weeks,,xxIndexTeam)&amp;"Ws","")</f>
        <v>33cl Can - TPR 33% - 2Ws</v>
      </c>
      <c r="AP256" s="811" t="s">
        <v>7746</v>
      </c>
      <c r="AQ256" s="810"/>
      <c r="AR256" s="814" t="str">
        <f>nmProd2</f>
        <v>Harken</v>
      </c>
      <c r="AS256" s="793" t="str">
        <f>IF(AND(INDEX(obalCh3Prod2Slot1Active,,xxIndexTeam)=1,NOT(INDEX(obalCh3Prod2Slot1Promo1,,xxIndexTeam)="No Promotion")),INDEX(obalCh3Prod2Slot1Pack,,xxIndexTeam)&amp; " - "&amp;INDEX(obalCh3Prod2Slot1Promo1,,xxIndexTeam)&amp;" - "&amp;INDEX(obalCh3Prod2Slot1Promo1Weeks,,xxIndexTeam)&amp;"Ws","")</f>
        <v>33cl Can - TPR 33% - 2Ws</v>
      </c>
      <c r="AT256" s="811" t="s">
        <v>11449</v>
      </c>
      <c r="AU256" s="802"/>
    </row>
    <row r="257" spans="30:47">
      <c r="AD257" s="800"/>
      <c r="AE257" s="554"/>
      <c r="AF257" s="720"/>
      <c r="AG257" s="793" t="str">
        <f>IF(INDEX(obalCh3Prod3Slot1Active,,xxIndexTeam)=1,nmProd3&amp;" - "&amp;INDEX(obalCh3Prod3Slot1Pack,,xxIndexTeam),"")</f>
        <v>Kara - 33cl Bottle</v>
      </c>
      <c r="AH257" s="811" t="s">
        <v>7749</v>
      </c>
      <c r="AI257" s="810"/>
      <c r="AJ257" s="814" t="str">
        <f>nmProd2</f>
        <v>Harken</v>
      </c>
      <c r="AK257" s="793" t="str">
        <f>IF(AND(INDEX(obalCh3Prod2Slot2Active,,xxIndexTeam)=1,NOT(INDEX(obalCh3Prod2Slot2Promo1,,xxIndexTeam)="No Promotion")),INDEX(obalCh3Prod2Slot2Pack,,xxIndexTeam)&amp; " - "&amp;INDEX(obalCh3Prod2Slot2Promo1,,xxIndexTeam)&amp;" - "&amp;INDEX(obalCh3Prod2Slot2Promo1Weeks,,xxIndexTeam)&amp;"Ws","")</f>
        <v>6 x 33cl Can - TPR 20% - 2Ws</v>
      </c>
      <c r="AL257" s="811" t="s">
        <v>7751</v>
      </c>
      <c r="AM257" s="810"/>
      <c r="AN257" s="814" t="str">
        <f>nmProd2</f>
        <v>Harken</v>
      </c>
      <c r="AO257" s="793" t="str">
        <f>IF(AND(INDEX(obalCh3Prod2Slot2Active,,xxIndexTeam)=1,NOT(INDEX(obalCh3Prod2Slot2Promo1,,xxIndexTeam)="No Promotion")),INDEX(obalCh3Prod2Slot2Pack,,xxIndexTeam)&amp; " - "&amp;INDEX(obalCh3Prod2Slot2Promo1,,xxIndexTeam)&amp;" - "&amp;INDEX(obalCh3Prod2Slot2Promo1Weeks,,xxIndexTeam)&amp;"Ws","")</f>
        <v>6 x 33cl Can - TPR 20% - 2Ws</v>
      </c>
      <c r="AP257" s="811" t="s">
        <v>7750</v>
      </c>
      <c r="AQ257" s="810"/>
      <c r="AR257" s="814" t="str">
        <f>nmProd2</f>
        <v>Harken</v>
      </c>
      <c r="AS257" s="793" t="str">
        <f>IF(AND(INDEX(obalCh3Prod2Slot2Active,,xxIndexTeam)=1,NOT(INDEX(obalCh3Prod2Slot2Promo1,,xxIndexTeam)="No Promotion")),INDEX(obalCh3Prod2Slot2Pack,,xxIndexTeam)&amp; " - "&amp;INDEX(obalCh3Prod2Slot2Promo1,,xxIndexTeam)&amp;" - "&amp;INDEX(obalCh3Prod2Slot2Promo1Weeks,,xxIndexTeam)&amp;"Ws","")</f>
        <v>6 x 33cl Can - TPR 20% - 2Ws</v>
      </c>
      <c r="AT257" s="811" t="s">
        <v>11450</v>
      </c>
      <c r="AU257" s="802"/>
    </row>
    <row r="258" spans="30:47">
      <c r="AD258" s="800"/>
      <c r="AE258" s="554"/>
      <c r="AF258" s="720"/>
      <c r="AG258" s="793" t="str">
        <f>IF(INDEX(obalCh3Prod3Slot2Active,,xxIndexTeam)=1,nmProd3&amp;" - "&amp;INDEX(obalCh3Prod3Slot2Pack,,xxIndexTeam),"")</f>
        <v/>
      </c>
      <c r="AH258" s="811" t="s">
        <v>7753</v>
      </c>
      <c r="AI258" s="810"/>
      <c r="AJ258" s="814" t="str">
        <f>nmProd2</f>
        <v>Harken</v>
      </c>
      <c r="AK258" s="793" t="str">
        <f>IF(AND(INDEX(obalCh3Prod2Slot3Active,,xxIndexTeam)=1,NOT(INDEX(obalCh3Prod2Slot3Promo1,,xxIndexTeam)="No Promotion")),INDEX(obalCh3Prod2Slot3Pack,,xxIndexTeam)&amp; " - "&amp;INDEX(obalCh3Prod2Slot3Promo1,,xxIndexTeam)&amp;" - "&amp;INDEX(obalCh3Prod2Slot3Promo1Weeks,,xxIndexTeam)&amp;"Ws","")</f>
        <v/>
      </c>
      <c r="AL258" s="811" t="s">
        <v>7755</v>
      </c>
      <c r="AM258" s="810"/>
      <c r="AN258" s="814" t="str">
        <f>nmProd2</f>
        <v>Harken</v>
      </c>
      <c r="AO258" s="793" t="str">
        <f>IF(AND(INDEX(obalCh3Prod2Slot3Active,,xxIndexTeam)=1,NOT(INDEX(obalCh3Prod2Slot3Promo1,,xxIndexTeam)="No Promotion")),INDEX(obalCh3Prod2Slot3Pack,,xxIndexTeam)&amp; " - "&amp;INDEX(obalCh3Prod2Slot3Promo1,,xxIndexTeam)&amp;" - "&amp;INDEX(obalCh3Prod2Slot3Promo1Weeks,,xxIndexTeam)&amp;"Ws","")</f>
        <v/>
      </c>
      <c r="AP258" s="811" t="s">
        <v>7754</v>
      </c>
      <c r="AQ258" s="810"/>
      <c r="AR258" s="814" t="str">
        <f>nmProd2</f>
        <v>Harken</v>
      </c>
      <c r="AS258" s="793" t="str">
        <f>IF(AND(INDEX(obalCh3Prod2Slot3Active,,xxIndexTeam)=1,NOT(INDEX(obalCh3Prod2Slot3Promo1,,xxIndexTeam)="No Promotion")),INDEX(obalCh3Prod2Slot3Pack,,xxIndexTeam)&amp; " - "&amp;INDEX(obalCh3Prod2Slot3Promo1,,xxIndexTeam)&amp;" - "&amp;INDEX(obalCh3Prod2Slot3Promo1Weeks,,xxIndexTeam)&amp;"Ws","")</f>
        <v/>
      </c>
      <c r="AT258" s="811" t="s">
        <v>11451</v>
      </c>
      <c r="AU258" s="802"/>
    </row>
    <row r="259" spans="30:47">
      <c r="AD259" s="800"/>
      <c r="AE259" s="810"/>
      <c r="AF259" s="814"/>
      <c r="AG259" s="793" t="str">
        <f>IF(INDEX(obalCh3Prod3Slot3Active,,xxIndexTeam)=1,nmProd3&amp;" - "&amp;INDEX(obalCh3Prod3Slot3Pack,,xxIndexTeam),"")</f>
        <v/>
      </c>
      <c r="AH259" s="811" t="s">
        <v>7757</v>
      </c>
      <c r="AI259" s="810"/>
      <c r="AJ259" s="814" t="str">
        <f>nmProd3</f>
        <v>Kara</v>
      </c>
      <c r="AK259" s="793" t="str">
        <f>IF(AND(INDEX(obalCh3Prod3Slot1Active,,xxIndexTeam)=1,NOT(INDEX(obalCh3Prod3Slot1Promo1,,xxIndexTeam)="No Promotion")),INDEX(obalCh3Prod3Slot1Pack,,xxIndexTeam)&amp; " - "&amp;INDEX(obalCh3Prod3Slot1Promo1,,xxIndexTeam)&amp;" - "&amp;INDEX(obalCh3Prod3Slot1Promo1Weeks,,xxIndexTeam)&amp;"Ws","")</f>
        <v>33cl Bottle - 3/2 - 3Ws</v>
      </c>
      <c r="AL259" s="811" t="s">
        <v>7759</v>
      </c>
      <c r="AM259" s="810"/>
      <c r="AN259" s="814" t="str">
        <f>nmProd3</f>
        <v>Kara</v>
      </c>
      <c r="AO259" s="793" t="str">
        <f>IF(AND(INDEX(obalCh3Prod3Slot1Active,,xxIndexTeam)=1,NOT(INDEX(obalCh3Prod3Slot1Promo1,,xxIndexTeam)="No Promotion")),INDEX(obalCh3Prod3Slot1Pack,,xxIndexTeam)&amp; " - "&amp;INDEX(obalCh3Prod3Slot1Promo1,,xxIndexTeam)&amp;" - "&amp;INDEX(obalCh3Prod3Slot1Promo1Weeks,,xxIndexTeam)&amp;"Ws","")</f>
        <v>33cl Bottle - 3/2 - 3Ws</v>
      </c>
      <c r="AP259" s="811" t="s">
        <v>7758</v>
      </c>
      <c r="AQ259" s="810"/>
      <c r="AR259" s="814" t="str">
        <f>nmProd3</f>
        <v>Kara</v>
      </c>
      <c r="AS259" s="793" t="str">
        <f>IF(AND(INDEX(obalCh3Prod3Slot1Active,,xxIndexTeam)=1,NOT(INDEX(obalCh3Prod3Slot1Promo1,,xxIndexTeam)="No Promotion")),INDEX(obalCh3Prod3Slot1Pack,,xxIndexTeam)&amp; " - "&amp;INDEX(obalCh3Prod3Slot1Promo1,,xxIndexTeam)&amp;" - "&amp;INDEX(obalCh3Prod3Slot1Promo1Weeks,,xxIndexTeam)&amp;"Ws","")</f>
        <v>33cl Bottle - 3/2 - 3Ws</v>
      </c>
      <c r="AT259" s="811" t="s">
        <v>11452</v>
      </c>
      <c r="AU259" s="802"/>
    </row>
    <row r="260" spans="30:47">
      <c r="AD260" s="800"/>
      <c r="AE260" s="810"/>
      <c r="AF260" s="814"/>
      <c r="AG260" s="793" t="str">
        <f>IF(INDEX(obalCh3Prod1Slot1Active,,xxIndexTeam)=1,nmProd1&amp;" - "&amp;INDEX(obalCh3Prod1Slot1Pack,,xxIndexTeam),"")</f>
        <v>Greenborg - 24 x 33cl Can</v>
      </c>
      <c r="AH260" s="811" t="s">
        <v>7761</v>
      </c>
      <c r="AI260" s="810"/>
      <c r="AJ260" s="814" t="str">
        <f>nmProd3</f>
        <v>Kara</v>
      </c>
      <c r="AK260" s="793" t="str">
        <f>IF(AND(INDEX(obalCh3Prod3Slot2Active,,xxIndexTeam)=1,NOT(INDEX(obalCh3Prod3Slot2Promo1,,xxIndexTeam)="No Promotion")),INDEX(obalCh3Prod3Slot2Pack,,xxIndexTeam)&amp; " - "&amp;INDEX(obalCh3Prod3Slot2Promo1,,xxIndexTeam)&amp;" - "&amp;INDEX(obalCh3Prod3Slot2Promo1Weeks,,xxIndexTeam)&amp;"Ws","")</f>
        <v/>
      </c>
      <c r="AL260" s="811" t="s">
        <v>7763</v>
      </c>
      <c r="AM260" s="810"/>
      <c r="AN260" s="814" t="str">
        <f>nmProd3</f>
        <v>Kara</v>
      </c>
      <c r="AO260" s="793" t="str">
        <f>IF(AND(INDEX(obalCh3Prod3Slot2Active,,xxIndexTeam)=1,NOT(INDEX(obalCh3Prod3Slot2Promo1,,xxIndexTeam)="No Promotion")),INDEX(obalCh3Prod3Slot2Pack,,xxIndexTeam)&amp; " - "&amp;INDEX(obalCh3Prod3Slot2Promo1,,xxIndexTeam)&amp;" - "&amp;INDEX(obalCh3Prod3Slot2Promo1Weeks,,xxIndexTeam)&amp;"Ws","")</f>
        <v/>
      </c>
      <c r="AP260" s="811" t="s">
        <v>7762</v>
      </c>
      <c r="AQ260" s="810"/>
      <c r="AR260" s="814" t="str">
        <f>nmProd3</f>
        <v>Kara</v>
      </c>
      <c r="AS260" s="793" t="str">
        <f>IF(AND(INDEX(obalCh3Prod3Slot2Active,,xxIndexTeam)=1,NOT(INDEX(obalCh3Prod3Slot2Promo1,,xxIndexTeam)="No Promotion")),INDEX(obalCh3Prod3Slot2Pack,,xxIndexTeam)&amp; " - "&amp;INDEX(obalCh3Prod3Slot2Promo1,,xxIndexTeam)&amp;" - "&amp;INDEX(obalCh3Prod3Slot2Promo1Weeks,,xxIndexTeam)&amp;"Ws","")</f>
        <v/>
      </c>
      <c r="AT260" s="811" t="s">
        <v>11453</v>
      </c>
      <c r="AU260" s="802"/>
    </row>
    <row r="261" spans="30:47">
      <c r="AD261" s="800"/>
      <c r="AE261" s="810"/>
      <c r="AF261" s="814"/>
      <c r="AG261" s="793" t="str">
        <f>IF(INDEX(obalCh3Prod1Slot2Active,,xxIndexTeam)=1,nmProd1&amp;" - "&amp;INDEX(obalCh3Prod1Slot2Pack,,xxIndexTeam),"")</f>
        <v/>
      </c>
      <c r="AH261" s="811" t="s">
        <v>7765</v>
      </c>
      <c r="AI261" s="810"/>
      <c r="AJ261" s="814" t="str">
        <f>nmProd3</f>
        <v>Kara</v>
      </c>
      <c r="AK261" s="793" t="str">
        <f>IF(AND(INDEX(obalCh3Prod3Slot3Active,,xxIndexTeam)=1,NOT(INDEX(obalCh3Prod3Slot3Promo1,,xxIndexTeam)="No Promotion")),INDEX(obalCh3Prod3Slot3Pack,,xxIndexTeam)&amp; " - "&amp;INDEX(obalCh3Prod3Slot3Promo1,,xxIndexTeam)&amp;" - "&amp;INDEX(obalCh3Prod3Slot3Promo1Weeks,,xxIndexTeam)&amp;"Ws","")</f>
        <v/>
      </c>
      <c r="AL261" s="811" t="s">
        <v>7767</v>
      </c>
      <c r="AM261" s="810"/>
      <c r="AN261" s="814" t="str">
        <f>nmProd3</f>
        <v>Kara</v>
      </c>
      <c r="AO261" s="793" t="str">
        <f>IF(AND(INDEX(obalCh3Prod3Slot3Active,,xxIndexTeam)=1,NOT(INDEX(obalCh3Prod3Slot3Promo1,,xxIndexTeam)="No Promotion")),INDEX(obalCh3Prod3Slot3Pack,,xxIndexTeam)&amp; " - "&amp;INDEX(obalCh3Prod3Slot3Promo1,,xxIndexTeam)&amp;" - "&amp;INDEX(obalCh3Prod3Slot3Promo1Weeks,,xxIndexTeam)&amp;"Ws","")</f>
        <v/>
      </c>
      <c r="AP261" s="811" t="s">
        <v>7766</v>
      </c>
      <c r="AQ261" s="810"/>
      <c r="AR261" s="814" t="str">
        <f>nmProd3</f>
        <v>Kara</v>
      </c>
      <c r="AS261" s="793" t="str">
        <f>IF(AND(INDEX(obalCh3Prod3Slot3Active,,xxIndexTeam)=1,NOT(INDEX(obalCh3Prod3Slot3Promo1,,xxIndexTeam)="No Promotion")),INDEX(obalCh3Prod3Slot3Pack,,xxIndexTeam)&amp; " - "&amp;INDEX(obalCh3Prod3Slot3Promo1,,xxIndexTeam)&amp;" - "&amp;INDEX(obalCh3Prod3Slot3Promo1Weeks,,xxIndexTeam)&amp;"Ws","")</f>
        <v/>
      </c>
      <c r="AT261" s="811" t="s">
        <v>11454</v>
      </c>
      <c r="AU261" s="802"/>
    </row>
    <row r="262" spans="30:47">
      <c r="AD262" s="800"/>
      <c r="AE262" s="810"/>
      <c r="AF262" s="814"/>
      <c r="AG262" s="793" t="str">
        <f>IF(INDEX(obalCh3Prod1Slot3Active,,xxIndexTeam)=1,nmProd1&amp;" - "&amp;INDEX(obalCh3Prod1Slot3Pack,,xxIndexTeam),"")</f>
        <v/>
      </c>
      <c r="AH262" s="811" t="s">
        <v>7769</v>
      </c>
      <c r="AI262" s="810"/>
      <c r="AJ262" s="814" t="str">
        <f>nmProd1</f>
        <v>Greenborg</v>
      </c>
      <c r="AK262" s="793" t="str">
        <f>IF(AND(INDEX(obalCh3Prod1Slot1Active,,xxIndexTeam)=1,NOT(INDEX(obalCh3Prod1Slot1Promo1,,xxIndexTeam)="No Promotion")),INDEX(obalCh3Prod1Slot1Pack,,xxIndexTeam)&amp; " - "&amp;INDEX(obalCh3Prod1Slot1Promo1,,xxIndexTeam)&amp;" - "&amp;INDEX(obalCh3Prod1Slot1Promo1Weeks,,xxIndexTeam)&amp;"Ws","")</f>
        <v>24 x 33cl Can - TPR 20% - 2Ws</v>
      </c>
      <c r="AL262" s="811" t="s">
        <v>7771</v>
      </c>
      <c r="AM262" s="810"/>
      <c r="AN262" s="814" t="str">
        <f>nmProd1</f>
        <v>Greenborg</v>
      </c>
      <c r="AO262" s="793" t="str">
        <f>IF(AND(INDEX(obalCh3Prod1Slot1Active,,xxIndexTeam)=1,NOT(INDEX(obalCh3Prod1Slot1Promo1,,xxIndexTeam)="No Promotion")),INDEX(obalCh3Prod1Slot1Pack,,xxIndexTeam)&amp; " - "&amp;INDEX(obalCh3Prod1Slot1Promo1,,xxIndexTeam)&amp;" - "&amp;INDEX(obalCh3Prod1Slot1Promo1Weeks,,xxIndexTeam)&amp;"Ws","")</f>
        <v>24 x 33cl Can - TPR 20% - 2Ws</v>
      </c>
      <c r="AP262" s="811" t="s">
        <v>7770</v>
      </c>
      <c r="AQ262" s="810"/>
      <c r="AR262" s="814" t="str">
        <f>nmProd1</f>
        <v>Greenborg</v>
      </c>
      <c r="AS262" s="793" t="str">
        <f>IF(AND(INDEX(obalCh3Prod1Slot1Active,,xxIndexTeam)=1,NOT(INDEX(obalCh3Prod1Slot1Promo1,,xxIndexTeam)="No Promotion")),INDEX(obalCh3Prod1Slot1Pack,,xxIndexTeam)&amp; " - "&amp;INDEX(obalCh3Prod1Slot1Promo1,,xxIndexTeam)&amp;" - "&amp;INDEX(obalCh3Prod1Slot1Promo1Weeks,,xxIndexTeam)&amp;"Ws","")</f>
        <v>24 x 33cl Can - TPR 20% - 2Ws</v>
      </c>
      <c r="AT262" s="811" t="s">
        <v>11455</v>
      </c>
      <c r="AU262" s="802"/>
    </row>
    <row r="263" spans="30:47">
      <c r="AD263" s="800"/>
      <c r="AE263" s="810"/>
      <c r="AF263" s="814"/>
      <c r="AG263" s="793" t="str">
        <f>IF(INDEX(obalCh3Prod4Slot1Active,,xxIndexTeam)=1,nmProd4&amp;" - "&amp;INDEX(obalCh3Prod4Slot1Pack,,xxIndexTeam),"")</f>
        <v/>
      </c>
      <c r="AH263" s="811" t="s">
        <v>7773</v>
      </c>
      <c r="AI263" s="810"/>
      <c r="AJ263" s="814" t="str">
        <f>nmProd1</f>
        <v>Greenborg</v>
      </c>
      <c r="AK263" s="793" t="str">
        <f>IF(AND(INDEX(obalCh3Prod1Slot2Active,,xxIndexTeam)=1,NOT(INDEX(obalCh3Prod1Slot2Promo1,,xxIndexTeam)="No Promotion")),INDEX(obalCh3Prod1Slot2Pack,,xxIndexTeam)&amp; " - "&amp;INDEX(obalCh3Prod1Slot2Promo1,,xxIndexTeam)&amp;" - "&amp;INDEX(obalCh3Prod1Slot2Promo1Weeks,,xxIndexTeam)&amp;"Ws","")</f>
        <v/>
      </c>
      <c r="AL263" s="811" t="s">
        <v>7775</v>
      </c>
      <c r="AM263" s="810"/>
      <c r="AN263" s="814" t="str">
        <f>nmProd1</f>
        <v>Greenborg</v>
      </c>
      <c r="AO263" s="793" t="str">
        <f>IF(AND(INDEX(obalCh3Prod1Slot2Active,,xxIndexTeam)=1,NOT(INDEX(obalCh3Prod1Slot2Promo1,,xxIndexTeam)="No Promotion")),INDEX(obalCh3Prod1Slot2Pack,,xxIndexTeam)&amp; " - "&amp;INDEX(obalCh3Prod1Slot2Promo1,,xxIndexTeam)&amp;" - "&amp;INDEX(obalCh3Prod1Slot2Promo1Weeks,,xxIndexTeam)&amp;"Ws","")</f>
        <v/>
      </c>
      <c r="AP263" s="811" t="s">
        <v>7774</v>
      </c>
      <c r="AQ263" s="810"/>
      <c r="AR263" s="814" t="str">
        <f>nmProd1</f>
        <v>Greenborg</v>
      </c>
      <c r="AS263" s="793" t="str">
        <f>IF(AND(INDEX(obalCh3Prod1Slot2Active,,xxIndexTeam)=1,NOT(INDEX(obalCh3Prod1Slot2Promo1,,xxIndexTeam)="No Promotion")),INDEX(obalCh3Prod1Slot2Pack,,xxIndexTeam)&amp; " - "&amp;INDEX(obalCh3Prod1Slot2Promo1,,xxIndexTeam)&amp;" - "&amp;INDEX(obalCh3Prod1Slot2Promo1Weeks,,xxIndexTeam)&amp;"Ws","")</f>
        <v/>
      </c>
      <c r="AT263" s="811" t="s">
        <v>11456</v>
      </c>
      <c r="AU263" s="802"/>
    </row>
    <row r="264" spans="30:47">
      <c r="AD264" s="800"/>
      <c r="AE264" s="810"/>
      <c r="AF264" s="814"/>
      <c r="AG264" s="793" t="str">
        <f>IF(INDEX(obalCh3Prod4Slot2Active,,xxIndexTeam)=1,nmProd4&amp;" - "&amp;INDEX(obalCh3Prod4Slot2Pack,,xxIndexTeam),"")</f>
        <v/>
      </c>
      <c r="AH264" s="811" t="s">
        <v>7777</v>
      </c>
      <c r="AI264" s="810"/>
      <c r="AJ264" s="814" t="str">
        <f>nmProd1</f>
        <v>Greenborg</v>
      </c>
      <c r="AK264" s="793" t="str">
        <f>IF(AND(INDEX(obalCh3Prod1Slot3Active,,xxIndexTeam)=1,NOT(INDEX(obalCh3Prod1Slot3Promo1,,xxIndexTeam)="No Promotion")),INDEX(obalCh3Prod1Slot3Pack,,xxIndexTeam)&amp; " - "&amp;INDEX(obalCh3Prod1Slot3Promo1,,xxIndexTeam)&amp;" - "&amp;INDEX(obalCh3Prod1Slot3Promo1Weeks,,xxIndexTeam)&amp;"Ws","")</f>
        <v/>
      </c>
      <c r="AL264" s="811" t="s">
        <v>7779</v>
      </c>
      <c r="AM264" s="810"/>
      <c r="AN264" s="814" t="str">
        <f>nmProd1</f>
        <v>Greenborg</v>
      </c>
      <c r="AO264" s="793" t="str">
        <f>IF(AND(INDEX(obalCh3Prod1Slot3Active,,xxIndexTeam)=1,NOT(INDEX(obalCh3Prod1Slot3Promo1,,xxIndexTeam)="No Promotion")),INDEX(obalCh3Prod1Slot3Pack,,xxIndexTeam)&amp; " - "&amp;INDEX(obalCh3Prod1Slot3Promo1,,xxIndexTeam)&amp;" - "&amp;INDEX(obalCh3Prod1Slot3Promo1Weeks,,xxIndexTeam)&amp;"Ws","")</f>
        <v/>
      </c>
      <c r="AP264" s="811" t="s">
        <v>7778</v>
      </c>
      <c r="AQ264" s="810"/>
      <c r="AR264" s="814" t="str">
        <f>nmProd1</f>
        <v>Greenborg</v>
      </c>
      <c r="AS264" s="793" t="str">
        <f>IF(AND(INDEX(obalCh3Prod1Slot3Active,,xxIndexTeam)=1,NOT(INDEX(obalCh3Prod1Slot3Promo1,,xxIndexTeam)="No Promotion")),INDEX(obalCh3Prod1Slot3Pack,,xxIndexTeam)&amp; " - "&amp;INDEX(obalCh3Prod1Slot3Promo1,,xxIndexTeam)&amp;" - "&amp;INDEX(obalCh3Prod1Slot3Promo1Weeks,,xxIndexTeam)&amp;"Ws","")</f>
        <v/>
      </c>
      <c r="AT264" s="811" t="s">
        <v>11457</v>
      </c>
      <c r="AU264" s="802"/>
    </row>
    <row r="265" spans="30:47">
      <c r="AD265" s="800"/>
      <c r="AE265" s="810"/>
      <c r="AF265" s="814"/>
      <c r="AG265" s="793" t="str">
        <f>IF(INDEX(obalCh3Prod4Slot3Active,,xxIndexTeam)=1,nmProd4&amp;" - "&amp;INDEX(obalCh3Prod4Slot3Pack,,xxIndexTeam),"")</f>
        <v/>
      </c>
      <c r="AH265" s="811" t="s">
        <v>7781</v>
      </c>
      <c r="AI265" s="810"/>
      <c r="AJ265" s="814" t="str">
        <f>nmProd4</f>
        <v>Brew Master</v>
      </c>
      <c r="AK265" s="793" t="str">
        <f>IF(AND(INDEX(obalCh3Prod4Slot1Active,,xxIndexTeam)=1,NOT(INDEX(obalCh3Prod4Slot1Promo1,,xxIndexTeam)="No Promotion")),INDEX(obalCh3Prod4Slot1Pack,,xxIndexTeam)&amp; " - "&amp;INDEX(obalCh3Prod4Slot1Promo1,,xxIndexTeam)&amp;" - "&amp;INDEX(obalCh3Prod4Slot1Promo1Weeks,,xxIndexTeam)&amp;"Ws","")</f>
        <v/>
      </c>
      <c r="AL265" s="811" t="s">
        <v>7783</v>
      </c>
      <c r="AM265" s="810"/>
      <c r="AN265" s="814" t="str">
        <f>nmProd4</f>
        <v>Brew Master</v>
      </c>
      <c r="AO265" s="793" t="str">
        <f>IF(AND(INDEX(obalCh3Prod4Slot1Active,,xxIndexTeam)=1,NOT(INDEX(obalCh3Prod4Slot1Promo1,,xxIndexTeam)="No Promotion")),INDEX(obalCh3Prod4Slot1Pack,,xxIndexTeam)&amp; " - "&amp;INDEX(obalCh3Prod4Slot1Promo1,,xxIndexTeam)&amp;" - "&amp;INDEX(obalCh3Prod4Slot1Promo1Weeks,,xxIndexTeam)&amp;"Ws","")</f>
        <v/>
      </c>
      <c r="AP265" s="811" t="s">
        <v>7782</v>
      </c>
      <c r="AQ265" s="810"/>
      <c r="AR265" s="814" t="str">
        <f>nmProd4</f>
        <v>Brew Master</v>
      </c>
      <c r="AS265" s="793" t="str">
        <f>IF(AND(INDEX(obalCh3Prod4Slot1Active,,xxIndexTeam)=1,NOT(INDEX(obalCh3Prod4Slot1Promo1,,xxIndexTeam)="No Promotion")),INDEX(obalCh3Prod4Slot1Pack,,xxIndexTeam)&amp; " - "&amp;INDEX(obalCh3Prod4Slot1Promo1,,xxIndexTeam)&amp;" - "&amp;INDEX(obalCh3Prod4Slot1Promo1Weeks,,xxIndexTeam)&amp;"Ws","")</f>
        <v/>
      </c>
      <c r="AT265" s="811" t="s">
        <v>11458</v>
      </c>
      <c r="AU265" s="802"/>
    </row>
    <row r="266" spans="30:47">
      <c r="AD266" s="800"/>
      <c r="AE266" s="554"/>
      <c r="AF266" s="720"/>
      <c r="AG266" s="795"/>
      <c r="AH266" s="820"/>
      <c r="AI266" s="810"/>
      <c r="AJ266" s="814" t="str">
        <f>nmProd4</f>
        <v>Brew Master</v>
      </c>
      <c r="AK266" s="793" t="str">
        <f>IF(AND(INDEX(obalCh3Prod4Slot2Active,,xxIndexTeam)=1,NOT(INDEX(obalCh3Prod4Slot2Promo1,,xxIndexTeam)="No Promotion")),INDEX(obalCh3Prod4Slot2Pack,,xxIndexTeam)&amp; " - "&amp;INDEX(obalCh3Prod4Slot2Promo1,,xxIndexTeam)&amp;" - "&amp;INDEX(obalCh3Prod4Slot2Promo1Weeks,,xxIndexTeam)&amp;"Ws","")</f>
        <v/>
      </c>
      <c r="AL266" s="811" t="s">
        <v>7786</v>
      </c>
      <c r="AM266" s="810"/>
      <c r="AN266" s="814" t="str">
        <f>nmProd4</f>
        <v>Brew Master</v>
      </c>
      <c r="AO266" s="793" t="str">
        <f>IF(AND(INDEX(obalCh3Prod4Slot2Active,,xxIndexTeam)=1,NOT(INDEX(obalCh3Prod4Slot2Promo1,,xxIndexTeam)="No Promotion")),INDEX(obalCh3Prod4Slot2Pack,,xxIndexTeam)&amp; " - "&amp;INDEX(obalCh3Prod4Slot2Promo1,,xxIndexTeam)&amp;" - "&amp;INDEX(obalCh3Prod4Slot2Promo1Weeks,,xxIndexTeam)&amp;"Ws","")</f>
        <v/>
      </c>
      <c r="AP266" s="811" t="s">
        <v>7785</v>
      </c>
      <c r="AQ266" s="810"/>
      <c r="AR266" s="814" t="str">
        <f>nmProd4</f>
        <v>Brew Master</v>
      </c>
      <c r="AS266" s="793" t="str">
        <f>IF(AND(INDEX(obalCh3Prod4Slot2Active,,xxIndexTeam)=1,NOT(INDEX(obalCh3Prod4Slot2Promo1,,xxIndexTeam)="No Promotion")),INDEX(obalCh3Prod4Slot2Pack,,xxIndexTeam)&amp; " - "&amp;INDEX(obalCh3Prod4Slot2Promo1,,xxIndexTeam)&amp;" - "&amp;INDEX(obalCh3Prod4Slot2Promo1Weeks,,xxIndexTeam)&amp;"Ws","")</f>
        <v/>
      </c>
      <c r="AT266" s="811" t="s">
        <v>11459</v>
      </c>
      <c r="AU266" s="802"/>
    </row>
    <row r="267" spans="30:47">
      <c r="AD267" s="800"/>
      <c r="AE267" s="554"/>
      <c r="AF267" s="720"/>
      <c r="AG267" s="922">
        <f>IF(INDEX(obalCh3Prod2Slot1Active,,xxIndexTeam)=1,INDEX(obalCh3Prod2Slot1Promo1Share,,xxIndexTeam),"")</f>
        <v>0.22157439474533377</v>
      </c>
      <c r="AH267" s="811" t="s">
        <v>7788</v>
      </c>
      <c r="AI267" s="810"/>
      <c r="AJ267" s="814" t="str">
        <f>nmProd4</f>
        <v>Brew Master</v>
      </c>
      <c r="AK267" s="793" t="str">
        <f>IF(AND(INDEX(obalCh3Prod4Slot3Active,,xxIndexTeam)=1,NOT(INDEX(obalCh3Prod4Slot3Promo1,,xxIndexTeam)="No Promotion")),INDEX(obalCh3Prod4Slot3Pack,,xxIndexTeam)&amp; " - "&amp;INDEX(obalCh3Prod4Slot3Promo1,,xxIndexTeam)&amp;" - "&amp;INDEX(obalCh3Prod4Slot3Promo1Weeks,,xxIndexTeam)&amp;"Ws","")</f>
        <v/>
      </c>
      <c r="AL267" s="811" t="s">
        <v>7790</v>
      </c>
      <c r="AM267" s="810"/>
      <c r="AN267" s="814" t="str">
        <f>nmProd4</f>
        <v>Brew Master</v>
      </c>
      <c r="AO267" s="793" t="str">
        <f>IF(AND(INDEX(obalCh3Prod4Slot3Active,,xxIndexTeam)=1,NOT(INDEX(obalCh3Prod4Slot3Promo1,,xxIndexTeam)="No Promotion")),INDEX(obalCh3Prod4Slot3Pack,,xxIndexTeam)&amp; " - "&amp;INDEX(obalCh3Prod4Slot3Promo1,,xxIndexTeam)&amp;" - "&amp;INDEX(obalCh3Prod4Slot3Promo1Weeks,,xxIndexTeam)&amp;"Ws","")</f>
        <v/>
      </c>
      <c r="AP267" s="811" t="s">
        <v>7789</v>
      </c>
      <c r="AQ267" s="810"/>
      <c r="AR267" s="814" t="str">
        <f>nmProd4</f>
        <v>Brew Master</v>
      </c>
      <c r="AS267" s="793" t="str">
        <f>IF(AND(INDEX(obalCh3Prod4Slot3Active,,xxIndexTeam)=1,NOT(INDEX(obalCh3Prod4Slot3Promo1,,xxIndexTeam)="No Promotion")),INDEX(obalCh3Prod4Slot3Pack,,xxIndexTeam)&amp; " - "&amp;INDEX(obalCh3Prod4Slot3Promo1,,xxIndexTeam)&amp;" - "&amp;INDEX(obalCh3Prod4Slot3Promo1Weeks,,xxIndexTeam)&amp;"Ws","")</f>
        <v/>
      </c>
      <c r="AT267" s="811" t="s">
        <v>11460</v>
      </c>
      <c r="AU267" s="802"/>
    </row>
    <row r="268" spans="30:47">
      <c r="AD268" s="800"/>
      <c r="AE268" s="554"/>
      <c r="AF268" s="720"/>
      <c r="AG268" s="922">
        <f>IF(INDEX(obalCh3Prod2Slot2Active,,xxIndexTeam)=1,INDEX(obalCh3Prod2Slot2Promo1Share,,xxIndexTeam),"")</f>
        <v>0.13456607899109913</v>
      </c>
      <c r="AH268" s="811" t="s">
        <v>7792</v>
      </c>
      <c r="AI268" s="810"/>
      <c r="AJ268" s="814"/>
      <c r="AK268" s="793"/>
      <c r="AL268" s="811"/>
      <c r="AM268" s="810"/>
      <c r="AN268" s="814"/>
      <c r="AO268" s="793"/>
      <c r="AP268" s="811"/>
      <c r="AQ268" s="810"/>
      <c r="AR268" s="814"/>
      <c r="AS268" s="793"/>
      <c r="AT268" s="811"/>
      <c r="AU268" s="802"/>
    </row>
    <row r="269" spans="30:47">
      <c r="AD269" s="800"/>
      <c r="AE269" s="554"/>
      <c r="AF269" s="720"/>
      <c r="AG269" s="922" t="str">
        <f>IF(INDEX(obalCh3Prod2Slot3Active,,xxIndexTeam)=1,INDEX(obalCh3Prod2Slot3Promo1Share,,xxIndexTeam),"")</f>
        <v/>
      </c>
      <c r="AH269" s="811" t="s">
        <v>7794</v>
      </c>
      <c r="AI269" s="797" t="s">
        <v>5195</v>
      </c>
      <c r="AJ269" s="814"/>
      <c r="AK269" s="814"/>
      <c r="AL269" s="811"/>
      <c r="AM269" s="797" t="s">
        <v>4413</v>
      </c>
      <c r="AN269" s="814"/>
      <c r="AO269" s="814"/>
      <c r="AP269" s="811"/>
      <c r="AQ269" s="797" t="s">
        <v>11388</v>
      </c>
      <c r="AR269" s="814"/>
      <c r="AS269" s="814"/>
      <c r="AT269" s="811"/>
      <c r="AU269" s="802"/>
    </row>
    <row r="270" spans="30:47">
      <c r="AD270" s="800"/>
      <c r="AE270" s="554"/>
      <c r="AF270" s="720"/>
      <c r="AG270" s="922">
        <f>IF(INDEX(obalCh3Prod3Slot1Active,,xxIndexTeam)=1,INDEX(obalCh3Prod3Slot1Promo1Share,,xxIndexTeam),"")</f>
        <v>0.31157122725872566</v>
      </c>
      <c r="AH270" s="811" t="s">
        <v>7796</v>
      </c>
      <c r="AI270" s="810"/>
      <c r="AJ270" s="720"/>
      <c r="AK270" s="793" t="s">
        <v>5195</v>
      </c>
      <c r="AL270" s="811" t="s">
        <v>7798</v>
      </c>
      <c r="AM270" s="810"/>
      <c r="AN270" s="802"/>
      <c r="AO270" s="793" t="s">
        <v>4413</v>
      </c>
      <c r="AP270" s="811" t="s">
        <v>7797</v>
      </c>
      <c r="AQ270" s="810"/>
      <c r="AR270" s="802"/>
      <c r="AS270" s="793" t="s">
        <v>11388</v>
      </c>
      <c r="AT270" s="811" t="s">
        <v>11461</v>
      </c>
      <c r="AU270" s="802"/>
    </row>
    <row r="271" spans="30:47">
      <c r="AD271" s="800"/>
      <c r="AE271" s="554"/>
      <c r="AF271" s="720"/>
      <c r="AG271" s="922" t="str">
        <f>IF(INDEX(obalCh3Prod3Slot2Active,,xxIndexTeam)=1,INDEX(obalCh3Prod3Slot2Promo1Share,,xxIndexTeam),"")</f>
        <v/>
      </c>
      <c r="AH271" s="811" t="s">
        <v>7800</v>
      </c>
      <c r="AI271" s="810"/>
      <c r="AJ271" s="814" t="str">
        <f>nmProd2</f>
        <v>Harken</v>
      </c>
      <c r="AK271" s="821">
        <f>IF(INDEX(obalCh3Prod2Slot1Active,,xxIndexTeam)=1,INDEX(obalCh3Prod2Slot1Promo1CustUplift,,xxIndexTeam),"")</f>
        <v>3.8703250594234988</v>
      </c>
      <c r="AL271" s="811" t="s">
        <v>7802</v>
      </c>
      <c r="AM271" s="810"/>
      <c r="AN271" s="814" t="str">
        <f>nmProd2</f>
        <v>Harken</v>
      </c>
      <c r="AO271" s="821">
        <f>IF(INDEX(obalCh3Prod2Slot1Active,,xxIndexTeam)=1,INDEX(obalCh3Prod2Slot1Promo1GPaLUplift,,xxIndexTeam),"")</f>
        <v>7.6093341310249807E-2</v>
      </c>
      <c r="AP271" s="811" t="s">
        <v>7801</v>
      </c>
      <c r="AQ271" s="810"/>
      <c r="AR271" s="814" t="str">
        <f>nmProd2</f>
        <v>Harken</v>
      </c>
      <c r="AS271" s="821">
        <f>IF(INDEX(obalCh3Prod2Slot1Active,,xxIndexTeam)=1,INDEX(obalCh3Prod2Slot1Promo1VolUplift,,xxIndexTeam),"")</f>
        <v>6.1161069615909041</v>
      </c>
      <c r="AT271" s="811" t="s">
        <v>11462</v>
      </c>
      <c r="AU271" s="802"/>
    </row>
    <row r="272" spans="30:47">
      <c r="AD272" s="800"/>
      <c r="AE272" s="554"/>
      <c r="AF272" s="720"/>
      <c r="AG272" s="922" t="str">
        <f>IF(INDEX(obalCh3Prod3Slot3Active,,xxIndexTeam)=1,INDEX(obalCh3Prod3Slot3Promo1Share,,xxIndexTeam),"")</f>
        <v/>
      </c>
      <c r="AH272" s="811" t="s">
        <v>7804</v>
      </c>
      <c r="AI272" s="810"/>
      <c r="AJ272" s="814" t="str">
        <f>nmProd2</f>
        <v>Harken</v>
      </c>
      <c r="AK272" s="821">
        <f>IF(INDEX(obalCh3Prod2Slot2Active,,xxIndexTeam)=1,INDEX(obalCh3Prod2Slot2Promo1CustUplift,,xxIndexTeam),"")</f>
        <v>2.1773465941574304</v>
      </c>
      <c r="AL272" s="811" t="s">
        <v>7806</v>
      </c>
      <c r="AM272" s="810"/>
      <c r="AN272" s="814" t="str">
        <f>nmProd2</f>
        <v>Harken</v>
      </c>
      <c r="AO272" s="821">
        <f>IF(INDEX(obalCh3Prod2Slot2Active,,xxIndexTeam)=1,INDEX(obalCh3Prod2Slot2Promo1GPaLUplift,,xxIndexTeam),"")</f>
        <v>0.94499557412190027</v>
      </c>
      <c r="AP272" s="811" t="s">
        <v>7805</v>
      </c>
      <c r="AQ272" s="810"/>
      <c r="AR272" s="814" t="str">
        <f>nmProd2</f>
        <v>Harken</v>
      </c>
      <c r="AS272" s="821">
        <f>IF(INDEX(obalCh3Prod2Slot2Active,,xxIndexTeam)=1,INDEX(obalCh3Prod2Slot2Promo1VolUplift,,xxIndexTeam),"")</f>
        <v>2.8872430270073473</v>
      </c>
      <c r="AT272" s="811" t="s">
        <v>11463</v>
      </c>
      <c r="AU272" s="802"/>
    </row>
    <row r="273" spans="30:47">
      <c r="AD273" s="800"/>
      <c r="AE273" s="554"/>
      <c r="AF273" s="720"/>
      <c r="AG273" s="922">
        <f>IF(INDEX(obalCh3Prod1Slot1Active,,xxIndexTeam)=1,INDEX(obalCh3Prod1Slot1Promo1Share,,xxIndexTeam),"")</f>
        <v>0.16055541192504727</v>
      </c>
      <c r="AH273" s="811" t="s">
        <v>7808</v>
      </c>
      <c r="AI273" s="810"/>
      <c r="AJ273" s="814" t="str">
        <f>nmProd2</f>
        <v>Harken</v>
      </c>
      <c r="AK273" s="821" t="str">
        <f>IF(INDEX(obalCh3Prod2Slot3Active,,xxIndexTeam)=1,INDEX(obalCh3Prod2Slot3Promo1CustUplift,,xxIndexTeam),"")</f>
        <v/>
      </c>
      <c r="AL273" s="811" t="s">
        <v>7810</v>
      </c>
      <c r="AM273" s="810"/>
      <c r="AN273" s="814" t="str">
        <f>nmProd2</f>
        <v>Harken</v>
      </c>
      <c r="AO273" s="821" t="str">
        <f>IF(INDEX(obalCh3Prod2Slot3Active,,xxIndexTeam)=1,INDEX(obalCh3Prod2Slot3Promo1GPaLUplift,,xxIndexTeam),"")</f>
        <v/>
      </c>
      <c r="AP273" s="811" t="s">
        <v>7809</v>
      </c>
      <c r="AQ273" s="810"/>
      <c r="AR273" s="814" t="str">
        <f>nmProd2</f>
        <v>Harken</v>
      </c>
      <c r="AS273" s="821" t="str">
        <f>IF(INDEX(obalCh3Prod2Slot3Active,,xxIndexTeam)=1,INDEX(obalCh3Prod2Slot3Promo1VolUplift,,xxIndexTeam),"")</f>
        <v/>
      </c>
      <c r="AT273" s="811" t="s">
        <v>11464</v>
      </c>
      <c r="AU273" s="802"/>
    </row>
    <row r="274" spans="30:47">
      <c r="AD274" s="800"/>
      <c r="AE274" s="554"/>
      <c r="AF274" s="720"/>
      <c r="AG274" s="922" t="str">
        <f>IF(INDEX(obalCh3Prod1Slot2Active,,xxIndexTeam)=1,INDEX(obalCh3Prod1Slot2Promo1Share,,xxIndexTeam),"")</f>
        <v/>
      </c>
      <c r="AH274" s="811" t="s">
        <v>7812</v>
      </c>
      <c r="AI274" s="810"/>
      <c r="AJ274" s="814" t="str">
        <f>nmProd3</f>
        <v>Kara</v>
      </c>
      <c r="AK274" s="821">
        <f>IF(INDEX(obalCh3Prod3Slot1Active,,xxIndexTeam)=1,INDEX(obalCh3Prod3Slot1Promo1CustUplift,,xxIndexTeam),"")</f>
        <v>4.0304496290956893</v>
      </c>
      <c r="AL274" s="811" t="s">
        <v>7814</v>
      </c>
      <c r="AM274" s="810"/>
      <c r="AN274" s="814" t="str">
        <f>nmProd3</f>
        <v>Kara</v>
      </c>
      <c r="AO274" s="821">
        <f>IF(INDEX(obalCh3Prod3Slot1Active,,xxIndexTeam)=1,INDEX(obalCh3Prod3Slot1Promo1GPaLUplift,,xxIndexTeam),"")</f>
        <v>-1.0932953928942934</v>
      </c>
      <c r="AP274" s="811" t="s">
        <v>7813</v>
      </c>
      <c r="AQ274" s="810"/>
      <c r="AR274" s="814" t="str">
        <f>nmProd3</f>
        <v>Kara</v>
      </c>
      <c r="AS274" s="821">
        <f>IF(INDEX(obalCh3Prod3Slot1Active,,xxIndexTeam)=1,INDEX(obalCh3Prod3Slot1Promo1VolUplift,,xxIndexTeam),"")</f>
        <v>6.3921906134580864</v>
      </c>
      <c r="AT274" s="811" t="s">
        <v>11465</v>
      </c>
      <c r="AU274" s="802"/>
    </row>
    <row r="275" spans="30:47">
      <c r="AD275" s="800"/>
      <c r="AE275" s="554"/>
      <c r="AF275" s="720"/>
      <c r="AG275" s="922" t="str">
        <f>IF(INDEX(obalCh3Prod1Slot3Active,,xxIndexTeam)=1,INDEX(obalCh3Prod1Slot3Promo1Share,,xxIndexTeam),"")</f>
        <v/>
      </c>
      <c r="AH275" s="811" t="s">
        <v>7816</v>
      </c>
      <c r="AI275" s="810"/>
      <c r="AJ275" s="814" t="str">
        <f>nmProd3</f>
        <v>Kara</v>
      </c>
      <c r="AK275" s="821" t="str">
        <f>IF(INDEX(obalCh3Prod3Slot2Active,,xxIndexTeam)=1,INDEX(obalCh3Prod3Slot2Promo1CustUplift,,xxIndexTeam),"")</f>
        <v/>
      </c>
      <c r="AL275" s="811" t="s">
        <v>7818</v>
      </c>
      <c r="AM275" s="810"/>
      <c r="AN275" s="814" t="str">
        <f>nmProd3</f>
        <v>Kara</v>
      </c>
      <c r="AO275" s="821" t="str">
        <f>IF(INDEX(obalCh3Prod3Slot2Active,,xxIndexTeam)=1,INDEX(obalCh3Prod3Slot2Promo1GPaLUplift,,xxIndexTeam),"")</f>
        <v/>
      </c>
      <c r="AP275" s="811" t="s">
        <v>7817</v>
      </c>
      <c r="AQ275" s="810"/>
      <c r="AR275" s="814" t="str">
        <f>nmProd3</f>
        <v>Kara</v>
      </c>
      <c r="AS275" s="821" t="str">
        <f>IF(INDEX(obalCh3Prod3Slot2Active,,xxIndexTeam)=1,INDEX(obalCh3Prod3Slot2Promo1VolUplift,,xxIndexTeam),"")</f>
        <v/>
      </c>
      <c r="AT275" s="811" t="s">
        <v>11466</v>
      </c>
      <c r="AU275" s="802"/>
    </row>
    <row r="276" spans="30:47">
      <c r="AD276" s="800"/>
      <c r="AE276" s="554"/>
      <c r="AF276" s="720"/>
      <c r="AG276" s="922" t="str">
        <f>IF(INDEX(obalCh3Prod4Slot1Active,,xxIndexTeam)=1,INDEX(obalCh3Prod4Slot1Promo1Share,,xxIndexTeam),"")</f>
        <v/>
      </c>
      <c r="AH276" s="811" t="s">
        <v>7820</v>
      </c>
      <c r="AI276" s="810"/>
      <c r="AJ276" s="814" t="str">
        <f>nmProd3</f>
        <v>Kara</v>
      </c>
      <c r="AK276" s="821" t="str">
        <f>IF(INDEX(obalCh3Prod3Slot3Active,,xxIndexTeam)=1,INDEX(obalCh3Prod3Slot3Promo1CustUplift,,xxIndexTeam),"")</f>
        <v/>
      </c>
      <c r="AL276" s="811" t="s">
        <v>7822</v>
      </c>
      <c r="AM276" s="810"/>
      <c r="AN276" s="814" t="str">
        <f>nmProd3</f>
        <v>Kara</v>
      </c>
      <c r="AO276" s="821" t="str">
        <f>IF(INDEX(obalCh3Prod3Slot3Active,,xxIndexTeam)=1,INDEX(obalCh3Prod3Slot3Promo1GPaLUplift,,xxIndexTeam),"")</f>
        <v/>
      </c>
      <c r="AP276" s="811" t="s">
        <v>7821</v>
      </c>
      <c r="AQ276" s="810"/>
      <c r="AR276" s="814" t="str">
        <f>nmProd3</f>
        <v>Kara</v>
      </c>
      <c r="AS276" s="821" t="str">
        <f>IF(INDEX(obalCh3Prod3Slot3Active,,xxIndexTeam)=1,INDEX(obalCh3Prod3Slot3Promo1VolUplift,,xxIndexTeam),"")</f>
        <v/>
      </c>
      <c r="AT276" s="811" t="s">
        <v>11467</v>
      </c>
      <c r="AU276" s="802"/>
    </row>
    <row r="277" spans="30:47">
      <c r="AD277" s="800"/>
      <c r="AE277" s="554"/>
      <c r="AF277" s="720"/>
      <c r="AG277" s="922" t="str">
        <f>IF(INDEX(obalCh3Prod4Slot2Active,,xxIndexTeam)=1,INDEX(obalCh3Prod4Slot2Promo1Share,,xxIndexTeam),"")</f>
        <v/>
      </c>
      <c r="AH277" s="811" t="s">
        <v>7824</v>
      </c>
      <c r="AI277" s="810"/>
      <c r="AJ277" s="814" t="str">
        <f>nmProd1</f>
        <v>Greenborg</v>
      </c>
      <c r="AK277" s="821">
        <f>IF(INDEX(obalCh3Prod1Slot1Active,,xxIndexTeam)=1,INDEX(obalCh3Prod1Slot1Promo1CustUplift,,xxIndexTeam),"")</f>
        <v>2.9118470826274003</v>
      </c>
      <c r="AL277" s="811" t="s">
        <v>7826</v>
      </c>
      <c r="AM277" s="810"/>
      <c r="AN277" s="814" t="str">
        <f>nmProd1</f>
        <v>Greenborg</v>
      </c>
      <c r="AO277" s="821">
        <f>IF(INDEX(obalCh3Prod1Slot1Active,,xxIndexTeam)=1,INDEX(obalCh3Prod1Slot1Promo1GPaLUplift,,xxIndexTeam),"")</f>
        <v>0.66096081129302831</v>
      </c>
      <c r="AP277" s="811" t="s">
        <v>7825</v>
      </c>
      <c r="AQ277" s="810"/>
      <c r="AR277" s="814" t="str">
        <f>nmProd1</f>
        <v>Greenborg</v>
      </c>
      <c r="AS277" s="821">
        <f>IF(INDEX(obalCh3Prod1Slot1Active,,xxIndexTeam)=1,INDEX(obalCh3Prod1Slot1Promo1VolUplift,,xxIndexTeam),"")</f>
        <v>3.7815964926654431</v>
      </c>
      <c r="AT277" s="811" t="s">
        <v>11468</v>
      </c>
      <c r="AU277" s="802"/>
    </row>
    <row r="278" spans="30:47">
      <c r="AD278" s="800"/>
      <c r="AE278" s="554"/>
      <c r="AF278" s="720"/>
      <c r="AG278" s="922" t="str">
        <f>IF(INDEX(obalCh3Prod4Slot3Active,,xxIndexTeam)=1,INDEX(obalCh3Prod4Slot3Promo1Share,,xxIndexTeam),"")</f>
        <v/>
      </c>
      <c r="AH278" s="811" t="s">
        <v>7828</v>
      </c>
      <c r="AI278" s="810"/>
      <c r="AJ278" s="814" t="str">
        <f>nmProd1</f>
        <v>Greenborg</v>
      </c>
      <c r="AK278" s="821" t="str">
        <f>IF(INDEX(obalCh3Prod1Slot2Active,,xxIndexTeam)=1,INDEX(obalCh3Prod1Slot2Promo1CustUplift,,xxIndexTeam),"")</f>
        <v/>
      </c>
      <c r="AL278" s="811" t="s">
        <v>7830</v>
      </c>
      <c r="AM278" s="810"/>
      <c r="AN278" s="814" t="str">
        <f>nmProd1</f>
        <v>Greenborg</v>
      </c>
      <c r="AO278" s="821" t="str">
        <f>IF(INDEX(obalCh3Prod1Slot2Active,,xxIndexTeam)=1,INDEX(obalCh3Prod1Slot2Promo1GPaLUplift,,xxIndexTeam),"")</f>
        <v/>
      </c>
      <c r="AP278" s="811" t="s">
        <v>7829</v>
      </c>
      <c r="AQ278" s="810"/>
      <c r="AR278" s="814" t="str">
        <f>nmProd1</f>
        <v>Greenborg</v>
      </c>
      <c r="AS278" s="821" t="str">
        <f>IF(INDEX(obalCh3Prod1Slot2Active,,xxIndexTeam)=1,INDEX(obalCh3Prod1Slot2Promo1VolUplift,,xxIndexTeam),"")</f>
        <v/>
      </c>
      <c r="AT278" s="811" t="s">
        <v>11469</v>
      </c>
      <c r="AU278" s="802"/>
    </row>
    <row r="279" spans="30:47">
      <c r="AD279" s="800"/>
      <c r="AE279" s="554"/>
      <c r="AF279" s="720"/>
      <c r="AG279" s="720"/>
      <c r="AH279" s="584"/>
      <c r="AI279" s="810"/>
      <c r="AJ279" s="814" t="str">
        <f>nmProd1</f>
        <v>Greenborg</v>
      </c>
      <c r="AK279" s="821" t="str">
        <f>IF(INDEX(obalCh3Prod1Slot3Active,,xxIndexTeam)=1,INDEX(obalCh3Prod1Slot3Promo1CustUplift,,xxIndexTeam),"")</f>
        <v/>
      </c>
      <c r="AL279" s="811" t="s">
        <v>7833</v>
      </c>
      <c r="AM279" s="810"/>
      <c r="AN279" s="814" t="str">
        <f>nmProd1</f>
        <v>Greenborg</v>
      </c>
      <c r="AO279" s="821" t="str">
        <f>IF(INDEX(obalCh3Prod1Slot3Active,,xxIndexTeam)=1,INDEX(obalCh3Prod1Slot3Promo1GPaLUplift,,xxIndexTeam),"")</f>
        <v/>
      </c>
      <c r="AP279" s="811" t="s">
        <v>7832</v>
      </c>
      <c r="AQ279" s="810"/>
      <c r="AR279" s="814" t="str">
        <f>nmProd1</f>
        <v>Greenborg</v>
      </c>
      <c r="AS279" s="821" t="str">
        <f>IF(INDEX(obalCh3Prod1Slot3Active,,xxIndexTeam)=1,INDEX(obalCh3Prod1Slot3Promo1VolUplift,,xxIndexTeam),"")</f>
        <v/>
      </c>
      <c r="AT279" s="811" t="s">
        <v>11470</v>
      </c>
      <c r="AU279" s="802"/>
    </row>
    <row r="280" spans="30:47">
      <c r="AD280" s="800"/>
      <c r="AE280" s="554"/>
      <c r="AF280" s="720"/>
      <c r="AG280" s="923">
        <f>IF(INDEX(obalCh3Prod2Slot1Active,,xxIndexTeam)=1,1-AG267,"")</f>
        <v>0.7784256052546662</v>
      </c>
      <c r="AH280" s="811" t="s">
        <v>7835</v>
      </c>
      <c r="AI280" s="810"/>
      <c r="AJ280" s="814" t="str">
        <f>nmProd4</f>
        <v>Brew Master</v>
      </c>
      <c r="AK280" s="821" t="str">
        <f>IF(INDEX(obalCh3Prod4Slot1Active,,xxIndexTeam)=1,INDEX(obalCh3Prod4Slot1Promo1CustUplift,,xxIndexTeam),"")</f>
        <v/>
      </c>
      <c r="AL280" s="811" t="s">
        <v>7837</v>
      </c>
      <c r="AM280" s="810"/>
      <c r="AN280" s="814" t="str">
        <f>nmProd4</f>
        <v>Brew Master</v>
      </c>
      <c r="AO280" s="821" t="str">
        <f>IF(INDEX(obalCh3Prod4Slot1Active,,xxIndexTeam)=1,INDEX(obalCh3Prod4Slot1Promo1GPaLUplift,,xxIndexTeam),"")</f>
        <v/>
      </c>
      <c r="AP280" s="811" t="s">
        <v>7836</v>
      </c>
      <c r="AQ280" s="810"/>
      <c r="AR280" s="814" t="str">
        <f>nmProd4</f>
        <v>Brew Master</v>
      </c>
      <c r="AS280" s="821" t="str">
        <f>IF(INDEX(obalCh3Prod4Slot1Active,,xxIndexTeam)=1,INDEX(obalCh3Prod4Slot1Promo1VolUplift,,xxIndexTeam),"")</f>
        <v/>
      </c>
      <c r="AT280" s="811" t="s">
        <v>11471</v>
      </c>
      <c r="AU280" s="802"/>
    </row>
    <row r="281" spans="30:47">
      <c r="AD281" s="800"/>
      <c r="AE281" s="554"/>
      <c r="AF281" s="720"/>
      <c r="AG281" s="923">
        <f>IF(INDEX(obalCh3Prod2Slot2Active,,xxIndexTeam)=1,1-AG268,"")</f>
        <v>0.86543392100890082</v>
      </c>
      <c r="AH281" s="811" t="s">
        <v>7839</v>
      </c>
      <c r="AI281" s="810"/>
      <c r="AJ281" s="814" t="str">
        <f>nmProd4</f>
        <v>Brew Master</v>
      </c>
      <c r="AK281" s="821" t="str">
        <f>IF(INDEX(obalCh3Prod4Slot2Active,,xxIndexTeam)=1,INDEX(obalCh3Prod4Slot2Promo1CustUplift,,xxIndexTeam),"")</f>
        <v/>
      </c>
      <c r="AL281" s="811" t="s">
        <v>7841</v>
      </c>
      <c r="AM281" s="810"/>
      <c r="AN281" s="814" t="str">
        <f>nmProd4</f>
        <v>Brew Master</v>
      </c>
      <c r="AO281" s="821" t="str">
        <f>IF(INDEX(obalCh3Prod4Slot2Active,,xxIndexTeam)=1,INDEX(obalCh3Prod4Slot2Promo1GPaLUplift,,xxIndexTeam),"")</f>
        <v/>
      </c>
      <c r="AP281" s="811" t="s">
        <v>7840</v>
      </c>
      <c r="AQ281" s="810"/>
      <c r="AR281" s="814" t="str">
        <f>nmProd4</f>
        <v>Brew Master</v>
      </c>
      <c r="AS281" s="821" t="str">
        <f>IF(INDEX(obalCh3Prod4Slot2Active,,xxIndexTeam)=1,INDEX(obalCh3Prod4Slot2Promo1VolUplift,,xxIndexTeam),"")</f>
        <v/>
      </c>
      <c r="AT281" s="811" t="s">
        <v>11472</v>
      </c>
      <c r="AU281" s="802"/>
    </row>
    <row r="282" spans="30:47">
      <c r="AD282" s="800"/>
      <c r="AE282" s="554"/>
      <c r="AF282" s="720"/>
      <c r="AG282" s="923" t="str">
        <f>IF(INDEX(obalCh3Prod2Slot3Active,,xxIndexTeam)=1,1-AG269,"")</f>
        <v/>
      </c>
      <c r="AH282" s="811" t="s">
        <v>7843</v>
      </c>
      <c r="AI282" s="810"/>
      <c r="AJ282" s="814" t="str">
        <f>nmProd4</f>
        <v>Brew Master</v>
      </c>
      <c r="AK282" s="821" t="str">
        <f>IF(INDEX(obalCh3Prod4Slot3Active,,xxIndexTeam)=1,INDEX(obalCh3Prod4Slot3Promo1CustUplift,,xxIndexTeam),"")</f>
        <v/>
      </c>
      <c r="AL282" s="811" t="s">
        <v>7845</v>
      </c>
      <c r="AM282" s="810"/>
      <c r="AN282" s="814" t="str">
        <f>nmProd4</f>
        <v>Brew Master</v>
      </c>
      <c r="AO282" s="821" t="str">
        <f>IF(INDEX(obalCh3Prod4Slot3Active,,xxIndexTeam)=1,INDEX(obalCh3Prod4Slot3Promo1GPaLUplift,,xxIndexTeam),"")</f>
        <v/>
      </c>
      <c r="AP282" s="811" t="s">
        <v>7844</v>
      </c>
      <c r="AQ282" s="810"/>
      <c r="AR282" s="814" t="str">
        <f>nmProd4</f>
        <v>Brew Master</v>
      </c>
      <c r="AS282" s="821" t="str">
        <f>IF(INDEX(obalCh3Prod4Slot3Active,,xxIndexTeam)=1,INDEX(obalCh3Prod4Slot3Promo1VolUplift,,xxIndexTeam),"")</f>
        <v/>
      </c>
      <c r="AT282" s="811" t="s">
        <v>11473</v>
      </c>
      <c r="AU282" s="802"/>
    </row>
    <row r="283" spans="30:47">
      <c r="AD283" s="800"/>
      <c r="AE283" s="554"/>
      <c r="AF283" s="720"/>
      <c r="AG283" s="923">
        <f>IF(INDEX(obalCh3Prod3Slot1Active,,xxIndexTeam)=1,1-AG270,"")</f>
        <v>0.68842877274127434</v>
      </c>
      <c r="AH283" s="811" t="s">
        <v>7847</v>
      </c>
      <c r="AI283" s="810"/>
      <c r="AJ283" s="814"/>
      <c r="AK283" s="794"/>
      <c r="AL283" s="811"/>
      <c r="AM283" s="810"/>
      <c r="AN283" s="814"/>
      <c r="AO283" s="794"/>
      <c r="AP283" s="811"/>
      <c r="AQ283" s="810"/>
      <c r="AR283" s="814"/>
      <c r="AS283" s="794"/>
      <c r="AT283" s="811"/>
      <c r="AU283" s="802"/>
    </row>
    <row r="284" spans="30:47">
      <c r="AD284" s="800"/>
      <c r="AE284" s="554"/>
      <c r="AF284" s="720"/>
      <c r="AG284" s="923" t="str">
        <f>IF(INDEX(obalCh3Prod3Slot2Active,,xxIndexTeam)=1,1-AG271,"")</f>
        <v/>
      </c>
      <c r="AH284" s="811" t="s">
        <v>7849</v>
      </c>
      <c r="AI284" s="797" t="s">
        <v>4413</v>
      </c>
      <c r="AJ284" s="814"/>
      <c r="AK284" s="795"/>
      <c r="AL284" s="811"/>
      <c r="AM284" s="797" t="s">
        <v>4414</v>
      </c>
      <c r="AN284" s="814"/>
      <c r="AO284" s="795"/>
      <c r="AP284" s="811"/>
      <c r="AQ284" s="797" t="s">
        <v>4414</v>
      </c>
      <c r="AR284" s="814"/>
      <c r="AS284" s="795"/>
      <c r="AT284" s="811"/>
      <c r="AU284" s="802"/>
    </row>
    <row r="285" spans="30:47">
      <c r="AD285" s="800"/>
      <c r="AE285" s="554"/>
      <c r="AF285" s="720"/>
      <c r="AG285" s="923" t="str">
        <f>IF(INDEX(obalCh3Prod3Slot3Active,,xxIndexTeam)=1,1-AG272,"")</f>
        <v/>
      </c>
      <c r="AH285" s="811" t="s">
        <v>7851</v>
      </c>
      <c r="AI285" s="810"/>
      <c r="AJ285" s="720"/>
      <c r="AK285" s="793"/>
      <c r="AL285" s="811" t="s">
        <v>7853</v>
      </c>
      <c r="AM285" s="810"/>
      <c r="AN285" s="802"/>
      <c r="AO285" s="793" t="s">
        <v>4407</v>
      </c>
      <c r="AP285" s="811" t="s">
        <v>7852</v>
      </c>
      <c r="AQ285" s="810"/>
      <c r="AR285" s="802"/>
      <c r="AS285" s="793" t="s">
        <v>4407</v>
      </c>
      <c r="AT285" s="811" t="s">
        <v>11474</v>
      </c>
      <c r="AU285" s="802"/>
    </row>
    <row r="286" spans="30:47">
      <c r="AD286" s="800"/>
      <c r="AE286" s="554"/>
      <c r="AF286" s="720"/>
      <c r="AG286" s="923">
        <f>IF(INDEX(obalCh3Prod1Slot1Active,,xxIndexTeam)=1,1-AG273,"")</f>
        <v>0.8394445880749527</v>
      </c>
      <c r="AH286" s="811" t="s">
        <v>7855</v>
      </c>
      <c r="AI286" s="810"/>
      <c r="AJ286" s="814" t="str">
        <f>nmProd2</f>
        <v>Harken</v>
      </c>
      <c r="AK286" s="821">
        <f>IF(INDEX(obalCh3Prod2Slot1Active,,xxIndexTeam)=1,INDEX(obalCh3Prod2Slot1Promo1GPaLUplift,,xxIndexTeam),"")</f>
        <v>7.6093341310249807E-2</v>
      </c>
      <c r="AL286" s="811" t="s">
        <v>7857</v>
      </c>
      <c r="AM286" s="810"/>
      <c r="AN286" s="814" t="str">
        <f>nmProd2</f>
        <v>Harken</v>
      </c>
      <c r="AO286" s="821">
        <f>IF(INDEX(obalCh3Prod2Slot1Active,,xxIndexTeam)=1,INDEX(obalCh3Prod2Slot1Promo1ROI,,xxIndexTeam),"")</f>
        <v>0.57707173264739686</v>
      </c>
      <c r="AP286" s="811" t="s">
        <v>7856</v>
      </c>
      <c r="AQ286" s="810"/>
      <c r="AR286" s="814" t="str">
        <f>nmProd2</f>
        <v>Harken</v>
      </c>
      <c r="AS286" s="821">
        <f>IF(INDEX(obalCh3Prod2Slot1Active,,xxIndexTeam)=1,INDEX(obalCh3Prod2Slot1Promo1ROI,,xxIndexTeam),"")</f>
        <v>0.57707173264739686</v>
      </c>
      <c r="AT286" s="811" t="s">
        <v>11475</v>
      </c>
      <c r="AU286" s="802"/>
    </row>
    <row r="287" spans="30:47">
      <c r="AD287" s="800"/>
      <c r="AE287" s="554"/>
      <c r="AF287" s="720"/>
      <c r="AG287" s="923" t="str">
        <f>IF(INDEX(obalCh3Prod1Slot2Active,,xxIndexTeam)=1,1-AG274,"")</f>
        <v/>
      </c>
      <c r="AH287" s="811" t="s">
        <v>7859</v>
      </c>
      <c r="AI287" s="810"/>
      <c r="AJ287" s="814" t="str">
        <f>nmProd2</f>
        <v>Harken</v>
      </c>
      <c r="AK287" s="821">
        <f>IF(INDEX(obalCh3Prod2Slot2Active,,xxIndexTeam)=1,INDEX(obalCh3Prod2Slot2Promo1GPaLUplift,,xxIndexTeam),"")</f>
        <v>0.94499557412190027</v>
      </c>
      <c r="AL287" s="811" t="s">
        <v>7861</v>
      </c>
      <c r="AM287" s="810"/>
      <c r="AN287" s="814" t="str">
        <f>nmProd2</f>
        <v>Harken</v>
      </c>
      <c r="AO287" s="821">
        <f>IF(INDEX(obalCh3Prod2Slot2Active,,xxIndexTeam)=1,INDEX(obalCh3Prod2Slot2Promo1ROI,,xxIndexTeam),"")</f>
        <v>11.199214877779788</v>
      </c>
      <c r="AP287" s="811" t="s">
        <v>7860</v>
      </c>
      <c r="AQ287" s="810"/>
      <c r="AR287" s="814" t="str">
        <f>nmProd2</f>
        <v>Harken</v>
      </c>
      <c r="AS287" s="821">
        <f>IF(INDEX(obalCh3Prod2Slot2Active,,xxIndexTeam)=1,INDEX(obalCh3Prod2Slot2Promo1ROI,,xxIndexTeam),"")</f>
        <v>11.199214877779788</v>
      </c>
      <c r="AT287" s="811" t="s">
        <v>11476</v>
      </c>
      <c r="AU287" s="802"/>
    </row>
    <row r="288" spans="30:47">
      <c r="AD288" s="800"/>
      <c r="AE288" s="554"/>
      <c r="AF288" s="720"/>
      <c r="AG288" s="923" t="str">
        <f>IF(INDEX(obalCh3Prod1Slot3Active,,xxIndexTeam)=1,1-AG275,"")</f>
        <v/>
      </c>
      <c r="AH288" s="811" t="s">
        <v>7863</v>
      </c>
      <c r="AI288" s="810"/>
      <c r="AJ288" s="814" t="str">
        <f>nmProd2</f>
        <v>Harken</v>
      </c>
      <c r="AK288" s="821" t="str">
        <f>IF(INDEX(obalCh3Prod2Slot3Active,,xxIndexTeam)=1,INDEX(obalCh3Prod2Slot3Promo1GPaLUplift,,xxIndexTeam),"")</f>
        <v/>
      </c>
      <c r="AL288" s="811" t="s">
        <v>7865</v>
      </c>
      <c r="AM288" s="810"/>
      <c r="AN288" s="814" t="str">
        <f>nmProd2</f>
        <v>Harken</v>
      </c>
      <c r="AO288" s="821" t="str">
        <f>IF(INDEX(obalCh3Prod2Slot3Active,,xxIndexTeam)=1,INDEX(obalCh3Prod2Slot3Promo1ROI,,xxIndexTeam),"")</f>
        <v/>
      </c>
      <c r="AP288" s="811" t="s">
        <v>7864</v>
      </c>
      <c r="AQ288" s="810"/>
      <c r="AR288" s="814" t="str">
        <f>nmProd2</f>
        <v>Harken</v>
      </c>
      <c r="AS288" s="821" t="str">
        <f>IF(INDEX(obalCh3Prod2Slot3Active,,xxIndexTeam)=1,INDEX(obalCh3Prod2Slot3Promo1ROI,,xxIndexTeam),"")</f>
        <v/>
      </c>
      <c r="AT288" s="811" t="s">
        <v>11477</v>
      </c>
      <c r="AU288" s="802"/>
    </row>
    <row r="289" spans="30:47">
      <c r="AD289" s="800"/>
      <c r="AE289" s="554"/>
      <c r="AF289" s="720"/>
      <c r="AG289" s="923" t="str">
        <f>IF(INDEX(obalCh3Prod4Slot1Active,,xxIndexTeam)=1,1-AG276,"")</f>
        <v/>
      </c>
      <c r="AH289" s="811" t="s">
        <v>7867</v>
      </c>
      <c r="AI289" s="810"/>
      <c r="AJ289" s="814" t="str">
        <f>nmProd3</f>
        <v>Kara</v>
      </c>
      <c r="AK289" s="821">
        <f>IF(INDEX(obalCh3Prod3Slot1Active,,xxIndexTeam)=1,INDEX(obalCh3Prod3Slot1Promo1GPaLUplift,,xxIndexTeam),"")</f>
        <v>-1.0932953928942934</v>
      </c>
      <c r="AL289" s="811" t="s">
        <v>7869</v>
      </c>
      <c r="AM289" s="810"/>
      <c r="AN289" s="814" t="str">
        <f>nmProd3</f>
        <v>Kara</v>
      </c>
      <c r="AO289" s="821">
        <f>IF(INDEX(obalCh3Prod3Slot1Active,,xxIndexTeam)=1,INDEX(obalCh3Prod3Slot1Promo1ROI,,xxIndexTeam),"")</f>
        <v>-13.759603722979733</v>
      </c>
      <c r="AP289" s="811" t="s">
        <v>7868</v>
      </c>
      <c r="AQ289" s="810"/>
      <c r="AR289" s="814" t="str">
        <f>nmProd3</f>
        <v>Kara</v>
      </c>
      <c r="AS289" s="821">
        <f>IF(INDEX(obalCh3Prod3Slot1Active,,xxIndexTeam)=1,INDEX(obalCh3Prod3Slot1Promo1ROI,,xxIndexTeam),"")</f>
        <v>-13.759603722979733</v>
      </c>
      <c r="AT289" s="811" t="s">
        <v>11478</v>
      </c>
      <c r="AU289" s="802"/>
    </row>
    <row r="290" spans="30:47">
      <c r="AD290" s="800"/>
      <c r="AE290" s="554"/>
      <c r="AF290" s="720"/>
      <c r="AG290" s="923" t="str">
        <f>IF(INDEX(obalCh3Prod4Slot2Active,,xxIndexTeam)=1,1-AG277,"")</f>
        <v/>
      </c>
      <c r="AH290" s="811" t="s">
        <v>7871</v>
      </c>
      <c r="AI290" s="810"/>
      <c r="AJ290" s="814" t="str">
        <f>nmProd3</f>
        <v>Kara</v>
      </c>
      <c r="AK290" s="821" t="str">
        <f>IF(INDEX(obalCh3Prod3Slot2Active,,xxIndexTeam)=1,INDEX(obalCh3Prod3Slot2Promo1GPaLUplift,,xxIndexTeam),"")</f>
        <v/>
      </c>
      <c r="AL290" s="811" t="s">
        <v>7873</v>
      </c>
      <c r="AM290" s="810"/>
      <c r="AN290" s="814" t="str">
        <f>nmProd3</f>
        <v>Kara</v>
      </c>
      <c r="AO290" s="821" t="str">
        <f>IF(INDEX(obalCh3Prod3Slot2Active,,xxIndexTeam)=1,INDEX(obalCh3Prod3Slot2Promo1ROI,,xxIndexTeam),"")</f>
        <v/>
      </c>
      <c r="AP290" s="811" t="s">
        <v>7872</v>
      </c>
      <c r="AQ290" s="810"/>
      <c r="AR290" s="814" t="str">
        <f>nmProd3</f>
        <v>Kara</v>
      </c>
      <c r="AS290" s="821" t="str">
        <f>IF(INDEX(obalCh3Prod3Slot2Active,,xxIndexTeam)=1,INDEX(obalCh3Prod3Slot2Promo1ROI,,xxIndexTeam),"")</f>
        <v/>
      </c>
      <c r="AT290" s="811" t="s">
        <v>11479</v>
      </c>
      <c r="AU290" s="802"/>
    </row>
    <row r="291" spans="30:47">
      <c r="AD291" s="800"/>
      <c r="AE291" s="554"/>
      <c r="AF291" s="720"/>
      <c r="AG291" s="923" t="str">
        <f>IF(INDEX(obalCh3Prod4Slot3Active,,xxIndexTeam)=1,1-AG278,"")</f>
        <v/>
      </c>
      <c r="AH291" s="811" t="s">
        <v>7875</v>
      </c>
      <c r="AI291" s="810"/>
      <c r="AJ291" s="814" t="str">
        <f>nmProd3</f>
        <v>Kara</v>
      </c>
      <c r="AK291" s="821" t="str">
        <f>IF(INDEX(obalCh3Prod3Slot3Active,,xxIndexTeam)=1,INDEX(obalCh3Prod3Slot3Promo1GPaLUplift,,xxIndexTeam),"")</f>
        <v/>
      </c>
      <c r="AL291" s="811" t="s">
        <v>7877</v>
      </c>
      <c r="AM291" s="810"/>
      <c r="AN291" s="814" t="str">
        <f>nmProd3</f>
        <v>Kara</v>
      </c>
      <c r="AO291" s="821" t="str">
        <f>IF(INDEX(obalCh3Prod3Slot3Active,,xxIndexTeam)=1,INDEX(obalCh3Prod3Slot3Promo1ROI,,xxIndexTeam),"")</f>
        <v/>
      </c>
      <c r="AP291" s="811" t="s">
        <v>7876</v>
      </c>
      <c r="AQ291" s="810"/>
      <c r="AR291" s="814" t="str">
        <f>nmProd3</f>
        <v>Kara</v>
      </c>
      <c r="AS291" s="821" t="str">
        <f>IF(INDEX(obalCh3Prod3Slot3Active,,xxIndexTeam)=1,INDEX(obalCh3Prod3Slot3Promo1ROI,,xxIndexTeam),"")</f>
        <v/>
      </c>
      <c r="AT291" s="811" t="s">
        <v>11480</v>
      </c>
      <c r="AU291" s="802"/>
    </row>
    <row r="292" spans="30:47">
      <c r="AD292" s="800"/>
      <c r="AE292" s="554"/>
      <c r="AF292" s="720"/>
      <c r="AG292" s="720"/>
      <c r="AH292" s="584"/>
      <c r="AI292" s="810"/>
      <c r="AJ292" s="814" t="str">
        <f>nmProd1</f>
        <v>Greenborg</v>
      </c>
      <c r="AK292" s="821">
        <f>IF(INDEX(obalCh3Prod1Slot1Active,,xxIndexTeam)=1,INDEX(obalCh3Prod1Slot1Promo1GPaLUplift,,xxIndexTeam),"")</f>
        <v>0.66096081129302831</v>
      </c>
      <c r="AL292" s="811" t="s">
        <v>7880</v>
      </c>
      <c r="AM292" s="810"/>
      <c r="AN292" s="814" t="str">
        <f>nmProd1</f>
        <v>Greenborg</v>
      </c>
      <c r="AO292" s="821">
        <f>IF(INDEX(obalCh3Prod1Slot1Active,,xxIndexTeam)=1,INDEX(obalCh3Prod1Slot1Promo1ROI,,xxIndexTeam),"")</f>
        <v>4.6794918826348288</v>
      </c>
      <c r="AP292" s="811" t="s">
        <v>7879</v>
      </c>
      <c r="AQ292" s="810"/>
      <c r="AR292" s="814" t="str">
        <f>nmProd1</f>
        <v>Greenborg</v>
      </c>
      <c r="AS292" s="821">
        <f>IF(INDEX(obalCh3Prod1Slot1Active,,xxIndexTeam)=1,INDEX(obalCh3Prod1Slot1Promo1ROI,,xxIndexTeam),"")</f>
        <v>4.6794918826348288</v>
      </c>
      <c r="AT292" s="811" t="s">
        <v>11481</v>
      </c>
      <c r="AU292" s="802"/>
    </row>
    <row r="293" spans="30:47">
      <c r="AD293" s="800"/>
      <c r="AE293" s="554"/>
      <c r="AF293" s="720"/>
      <c r="AG293" s="720"/>
      <c r="AH293" s="584"/>
      <c r="AI293" s="810"/>
      <c r="AJ293" s="814" t="str">
        <f>nmProd1</f>
        <v>Greenborg</v>
      </c>
      <c r="AK293" s="821" t="str">
        <f>IF(INDEX(obalCh3Prod1Slot2Active,,xxIndexTeam)=1,INDEX(obalCh3Prod1Slot2Promo1GPaLUplift,,xxIndexTeam),"")</f>
        <v/>
      </c>
      <c r="AL293" s="811" t="s">
        <v>7883</v>
      </c>
      <c r="AM293" s="810"/>
      <c r="AN293" s="814" t="str">
        <f>nmProd1</f>
        <v>Greenborg</v>
      </c>
      <c r="AO293" s="821" t="str">
        <f>IF(INDEX(obalCh3Prod1Slot2Active,,xxIndexTeam)=1,INDEX(obalCh3Prod1Slot2Promo1ROI,,xxIndexTeam),"")</f>
        <v/>
      </c>
      <c r="AP293" s="811" t="s">
        <v>7882</v>
      </c>
      <c r="AQ293" s="810"/>
      <c r="AR293" s="814" t="str">
        <f>nmProd1</f>
        <v>Greenborg</v>
      </c>
      <c r="AS293" s="821" t="str">
        <f>IF(INDEX(obalCh3Prod1Slot2Active,,xxIndexTeam)=1,INDEX(obalCh3Prod1Slot2Promo1ROI,,xxIndexTeam),"")</f>
        <v/>
      </c>
      <c r="AT293" s="811" t="s">
        <v>11482</v>
      </c>
      <c r="AU293" s="802"/>
    </row>
    <row r="294" spans="30:47">
      <c r="AD294" s="800"/>
      <c r="AE294" s="554"/>
      <c r="AF294" s="720"/>
      <c r="AG294" s="720"/>
      <c r="AH294" s="584"/>
      <c r="AI294" s="810"/>
      <c r="AJ294" s="814" t="str">
        <f>nmProd1</f>
        <v>Greenborg</v>
      </c>
      <c r="AK294" s="821" t="str">
        <f>IF(INDEX(obalCh3Prod1Slot3Active,,xxIndexTeam)=1,INDEX(obalCh3Prod1Slot3Promo1GPaLUplift,,xxIndexTeam),"")</f>
        <v/>
      </c>
      <c r="AL294" s="811" t="s">
        <v>7886</v>
      </c>
      <c r="AM294" s="810"/>
      <c r="AN294" s="814" t="str">
        <f>nmProd1</f>
        <v>Greenborg</v>
      </c>
      <c r="AO294" s="821" t="str">
        <f>IF(INDEX(obalCh3Prod1Slot3Active,,xxIndexTeam)=1,INDEX(obalCh3Prod1Slot3Promo1ROI,,xxIndexTeam),"")</f>
        <v/>
      </c>
      <c r="AP294" s="811" t="s">
        <v>7885</v>
      </c>
      <c r="AQ294" s="810"/>
      <c r="AR294" s="814" t="str">
        <f>nmProd1</f>
        <v>Greenborg</v>
      </c>
      <c r="AS294" s="821" t="str">
        <f>IF(INDEX(obalCh3Prod1Slot3Active,,xxIndexTeam)=1,INDEX(obalCh3Prod1Slot3Promo1ROI,,xxIndexTeam),"")</f>
        <v/>
      </c>
      <c r="AT294" s="811" t="s">
        <v>11483</v>
      </c>
      <c r="AU294" s="802"/>
    </row>
    <row r="295" spans="30:47">
      <c r="AD295" s="800"/>
      <c r="AE295" s="554"/>
      <c r="AF295" s="720"/>
      <c r="AG295" s="720"/>
      <c r="AH295" s="584"/>
      <c r="AI295" s="810"/>
      <c r="AJ295" s="814" t="str">
        <f>nmProd4</f>
        <v>Brew Master</v>
      </c>
      <c r="AK295" s="821" t="str">
        <f>IF(INDEX(obalCh3Prod4Slot1Active,,xxIndexTeam)=1,INDEX(obalCh3Prod4Slot1Promo1GPaLUplift,,xxIndexTeam),"")</f>
        <v/>
      </c>
      <c r="AL295" s="811" t="s">
        <v>7889</v>
      </c>
      <c r="AM295" s="810"/>
      <c r="AN295" s="814" t="str">
        <f>nmProd4</f>
        <v>Brew Master</v>
      </c>
      <c r="AO295" s="821" t="str">
        <f>IF(INDEX(obalCh3Prod4Slot1Active,,xxIndexTeam)=1,INDEX(obalCh3Prod4Slot1Promo1ROI,,xxIndexTeam),"")</f>
        <v/>
      </c>
      <c r="AP295" s="811" t="s">
        <v>7888</v>
      </c>
      <c r="AQ295" s="810"/>
      <c r="AR295" s="814" t="str">
        <f>nmProd4</f>
        <v>Brew Master</v>
      </c>
      <c r="AS295" s="821" t="str">
        <f>IF(INDEX(obalCh3Prod4Slot1Active,,xxIndexTeam)=1,INDEX(obalCh3Prod4Slot1Promo1ROI,,xxIndexTeam),"")</f>
        <v/>
      </c>
      <c r="AT295" s="811" t="s">
        <v>11484</v>
      </c>
      <c r="AU295" s="802"/>
    </row>
    <row r="296" spans="30:47">
      <c r="AD296" s="800"/>
      <c r="AE296" s="554"/>
      <c r="AF296" s="720"/>
      <c r="AG296" s="720"/>
      <c r="AH296" s="584"/>
      <c r="AI296" s="810"/>
      <c r="AJ296" s="814" t="str">
        <f>nmProd4</f>
        <v>Brew Master</v>
      </c>
      <c r="AK296" s="821" t="str">
        <f>IF(INDEX(obalCh3Prod4Slot2Active,,xxIndexTeam)=1,INDEX(obalCh3Prod4Slot2Promo1GPaLUplift,,xxIndexTeam),"")</f>
        <v/>
      </c>
      <c r="AL296" s="811" t="s">
        <v>7892</v>
      </c>
      <c r="AM296" s="810"/>
      <c r="AN296" s="814" t="str">
        <f>nmProd4</f>
        <v>Brew Master</v>
      </c>
      <c r="AO296" s="821" t="str">
        <f>IF(INDEX(obalCh3Prod4Slot2Active,,xxIndexTeam)=1,INDEX(obalCh3Prod4Slot2Promo1ROI,,xxIndexTeam),"")</f>
        <v/>
      </c>
      <c r="AP296" s="811" t="s">
        <v>7891</v>
      </c>
      <c r="AQ296" s="810"/>
      <c r="AR296" s="814" t="str">
        <f>nmProd4</f>
        <v>Brew Master</v>
      </c>
      <c r="AS296" s="821" t="str">
        <f>IF(INDEX(obalCh3Prod4Slot2Active,,xxIndexTeam)=1,INDEX(obalCh3Prod4Slot2Promo1ROI,,xxIndexTeam),"")</f>
        <v/>
      </c>
      <c r="AT296" s="811" t="s">
        <v>11485</v>
      </c>
      <c r="AU296" s="802"/>
    </row>
    <row r="297" spans="30:47">
      <c r="AD297" s="800"/>
      <c r="AE297" s="554"/>
      <c r="AF297" s="720"/>
      <c r="AG297" s="720"/>
      <c r="AH297" s="584"/>
      <c r="AI297" s="810"/>
      <c r="AJ297" s="814" t="str">
        <f>nmProd4</f>
        <v>Brew Master</v>
      </c>
      <c r="AK297" s="821" t="str">
        <f>IF(INDEX(obalCh3Prod4Slot3Active,,xxIndexTeam)=1,INDEX(obalCh3Prod4Slot3Promo1GPaLUplift,,xxIndexTeam),"")</f>
        <v/>
      </c>
      <c r="AL297" s="811" t="s">
        <v>7895</v>
      </c>
      <c r="AM297" s="810"/>
      <c r="AN297" s="814" t="str">
        <f>nmProd4</f>
        <v>Brew Master</v>
      </c>
      <c r="AO297" s="821" t="str">
        <f>IF(INDEX(obalCh3Prod4Slot3Active,,xxIndexTeam)=1,INDEX(obalCh3Prod4Slot3Promo1ROI,,xxIndexTeam),"")</f>
        <v/>
      </c>
      <c r="AP297" s="811" t="s">
        <v>7894</v>
      </c>
      <c r="AQ297" s="810"/>
      <c r="AR297" s="814" t="str">
        <f>nmProd4</f>
        <v>Brew Master</v>
      </c>
      <c r="AS297" s="821" t="str">
        <f>IF(INDEX(obalCh3Prod4Slot3Active,,xxIndexTeam)=1,INDEX(obalCh3Prod4Slot3Promo1ROI,,xxIndexTeam),"")</f>
        <v/>
      </c>
      <c r="AT297" s="811" t="s">
        <v>11486</v>
      </c>
      <c r="AU297" s="802"/>
    </row>
    <row r="298" spans="30:47">
      <c r="AD298" s="800"/>
      <c r="AE298" s="554"/>
      <c r="AF298" s="720"/>
      <c r="AG298" s="720"/>
      <c r="AH298" s="584"/>
      <c r="AI298" s="810"/>
      <c r="AJ298" s="814"/>
      <c r="AK298" s="814"/>
      <c r="AL298" s="811"/>
      <c r="AM298" s="810"/>
      <c r="AN298" s="814"/>
      <c r="AO298" s="814"/>
      <c r="AP298" s="811"/>
      <c r="AQ298" s="810"/>
      <c r="AR298" s="814"/>
      <c r="AS298" s="814"/>
      <c r="AT298" s="811"/>
      <c r="AU298" s="802"/>
    </row>
    <row r="299" spans="30:47">
      <c r="AD299" s="800"/>
      <c r="AE299" s="554"/>
      <c r="AF299" s="720"/>
      <c r="AG299" s="720"/>
      <c r="AH299" s="584"/>
      <c r="AI299" s="797" t="s">
        <v>6992</v>
      </c>
      <c r="AJ299" s="814"/>
      <c r="AK299" s="814"/>
      <c r="AL299" s="811"/>
      <c r="AM299" s="797" t="s">
        <v>6993</v>
      </c>
      <c r="AN299" s="814"/>
      <c r="AO299" s="814"/>
      <c r="AP299" s="811"/>
      <c r="AQ299" s="797" t="s">
        <v>6993</v>
      </c>
      <c r="AR299" s="814"/>
      <c r="AS299" s="814"/>
      <c r="AT299" s="811"/>
      <c r="AU299" s="802"/>
    </row>
    <row r="300" spans="30:47">
      <c r="AD300" s="800"/>
      <c r="AE300" s="554"/>
      <c r="AF300" s="720"/>
      <c r="AG300" s="720"/>
      <c r="AH300" s="584"/>
      <c r="AI300" s="810"/>
      <c r="AJ300" s="814" t="str">
        <f>nmProd2</f>
        <v>Harken</v>
      </c>
      <c r="AK300" s="729">
        <f>IF(INDEX(obalCh3Prod2Slot1Active,,xxIndexTeam)=1,INDEX(obalCh3Prod2Slot1SoldVol,,xxIndexTeam)*INDEX(obalCh3Prod2Slot1Promo1Share,,xxIndexTeam),"")</f>
        <v>7028133.8619737346</v>
      </c>
      <c r="AL300" s="811" t="s">
        <v>7898</v>
      </c>
      <c r="AM300" s="810"/>
      <c r="AN300" s="814" t="str">
        <f>nmProd2</f>
        <v>Harken</v>
      </c>
      <c r="AO300" s="729">
        <f>IF(INDEX(obalCh3Prod2Slot1Active,,xxIndexTeam)=1,INDEX(obalCh3Prod2Slot1SoldVol,,xxIndexTeam)*INDEX(obalCh3Prod2Slot1Promo1Share,,xxIndexTeam),"")</f>
        <v>7028133.8619737346</v>
      </c>
      <c r="AP300" s="811" t="s">
        <v>7897</v>
      </c>
      <c r="AQ300" s="810"/>
      <c r="AR300" s="814" t="str">
        <f>nmProd2</f>
        <v>Harken</v>
      </c>
      <c r="AS300" s="729">
        <f>IF(INDEX(obalCh3Prod2Slot1Active,,xxIndexTeam)=1,INDEX(obalCh3Prod2Slot1SoldVol,,xxIndexTeam)*INDEX(obalCh3Prod2Slot1Promo1Share,,xxIndexTeam),"")</f>
        <v>7028133.8619737346</v>
      </c>
      <c r="AT300" s="811" t="s">
        <v>11487</v>
      </c>
      <c r="AU300" s="802"/>
    </row>
    <row r="301" spans="30:47">
      <c r="AD301" s="800"/>
      <c r="AE301" s="554"/>
      <c r="AF301" s="720"/>
      <c r="AG301" s="720"/>
      <c r="AH301" s="584"/>
      <c r="AI301" s="810"/>
      <c r="AJ301" s="814" t="str">
        <f>nmProd2</f>
        <v>Harken</v>
      </c>
      <c r="AK301" s="729">
        <f>IF(INDEX(obalCh3Prod2Slot2Active,,xxIndexTeam)=1,INDEX(obalCh3Prod2Slot2SoldVol,,xxIndexTeam)*INDEX(obalCh3Prod2Slot2Promo1Share,,xxIndexTeam),"")</f>
        <v>5754430.8053761153</v>
      </c>
      <c r="AL301" s="811" t="s">
        <v>7900</v>
      </c>
      <c r="AM301" s="810"/>
      <c r="AN301" s="814" t="str">
        <f>nmProd2</f>
        <v>Harken</v>
      </c>
      <c r="AO301" s="729">
        <f>IF(INDEX(obalCh3Prod2Slot2Active,,xxIndexTeam)=1,INDEX(obalCh3Prod2Slot2SoldVol,,xxIndexTeam)*INDEX(obalCh3Prod2Slot2Promo1Share,,xxIndexTeam),"")</f>
        <v>5754430.8053761153</v>
      </c>
      <c r="AP301" s="811" t="s">
        <v>7899</v>
      </c>
      <c r="AQ301" s="810"/>
      <c r="AR301" s="814" t="str">
        <f>nmProd2</f>
        <v>Harken</v>
      </c>
      <c r="AS301" s="729">
        <f>IF(INDEX(obalCh3Prod2Slot2Active,,xxIndexTeam)=1,INDEX(obalCh3Prod2Slot2SoldVol,,xxIndexTeam)*INDEX(obalCh3Prod2Slot2Promo1Share,,xxIndexTeam),"")</f>
        <v>5754430.8053761153</v>
      </c>
      <c r="AT301" s="811" t="s">
        <v>11488</v>
      </c>
      <c r="AU301" s="802"/>
    </row>
    <row r="302" spans="30:47">
      <c r="AD302" s="800"/>
      <c r="AE302" s="554"/>
      <c r="AF302" s="720"/>
      <c r="AG302" s="720"/>
      <c r="AH302" s="584"/>
      <c r="AI302" s="810"/>
      <c r="AJ302" s="814" t="str">
        <f>nmProd2</f>
        <v>Harken</v>
      </c>
      <c r="AK302" s="729" t="str">
        <f>IF(INDEX(obalCh3Prod2Slot3Active,,xxIndexTeam)=1,INDEX(obalCh3Prod2Slot3SoldVol,,xxIndexTeam)*INDEX(obalCh3Prod2Slot3Promo1Share,,xxIndexTeam),"")</f>
        <v/>
      </c>
      <c r="AL302" s="811" t="s">
        <v>7902</v>
      </c>
      <c r="AM302" s="810"/>
      <c r="AN302" s="814" t="str">
        <f>nmProd2</f>
        <v>Harken</v>
      </c>
      <c r="AO302" s="729" t="str">
        <f>IF(INDEX(obalCh3Prod2Slot3Active,,xxIndexTeam)=1,INDEX(obalCh3Prod2Slot3SoldVol,,xxIndexTeam)*INDEX(obalCh3Prod2Slot3Promo1Share,,xxIndexTeam),"")</f>
        <v/>
      </c>
      <c r="AP302" s="811" t="s">
        <v>7901</v>
      </c>
      <c r="AQ302" s="810"/>
      <c r="AR302" s="814" t="str">
        <f>nmProd2</f>
        <v>Harken</v>
      </c>
      <c r="AS302" s="729" t="str">
        <f>IF(INDEX(obalCh3Prod2Slot3Active,,xxIndexTeam)=1,INDEX(obalCh3Prod2Slot3SoldVol,,xxIndexTeam)*INDEX(obalCh3Prod2Slot3Promo1Share,,xxIndexTeam),"")</f>
        <v/>
      </c>
      <c r="AT302" s="811" t="s">
        <v>11489</v>
      </c>
      <c r="AU302" s="802"/>
    </row>
    <row r="303" spans="30:47">
      <c r="AD303" s="800"/>
      <c r="AE303" s="554"/>
      <c r="AF303" s="720"/>
      <c r="AG303" s="720"/>
      <c r="AH303" s="584"/>
      <c r="AI303" s="810"/>
      <c r="AJ303" s="814" t="str">
        <f>nmProd3</f>
        <v>Kara</v>
      </c>
      <c r="AK303" s="729">
        <f>IF(INDEX(obalCh3Prod3Slot1Active,,xxIndexTeam)=1,INDEX(obalCh3Prod3Slot1SoldVol,,xxIndexTeam)*INDEX(obalCh3Prod3Slot1Promo1Share,,xxIndexTeam),"")</f>
        <v>22537831.591936462</v>
      </c>
      <c r="AL303" s="811" t="s">
        <v>7904</v>
      </c>
      <c r="AM303" s="810"/>
      <c r="AN303" s="814" t="str">
        <f>nmProd3</f>
        <v>Kara</v>
      </c>
      <c r="AO303" s="729">
        <f>IF(INDEX(obalCh3Prod3Slot1Active,,xxIndexTeam)=1,INDEX(obalCh3Prod3Slot1SoldVol,,xxIndexTeam)*INDEX(obalCh3Prod3Slot1Promo1Share,,xxIndexTeam),"")</f>
        <v>22537831.591936462</v>
      </c>
      <c r="AP303" s="811" t="s">
        <v>7903</v>
      </c>
      <c r="AQ303" s="810"/>
      <c r="AR303" s="814" t="str">
        <f>nmProd3</f>
        <v>Kara</v>
      </c>
      <c r="AS303" s="729">
        <f>IF(INDEX(obalCh3Prod3Slot1Active,,xxIndexTeam)=1,INDEX(obalCh3Prod3Slot1SoldVol,,xxIndexTeam)*INDEX(obalCh3Prod3Slot1Promo1Share,,xxIndexTeam),"")</f>
        <v>22537831.591936462</v>
      </c>
      <c r="AT303" s="811" t="s">
        <v>11490</v>
      </c>
      <c r="AU303" s="802"/>
    </row>
    <row r="304" spans="30:47">
      <c r="AD304" s="800"/>
      <c r="AE304" s="554"/>
      <c r="AF304" s="720"/>
      <c r="AG304" s="720"/>
      <c r="AH304" s="584"/>
      <c r="AI304" s="810"/>
      <c r="AJ304" s="814" t="str">
        <f>nmProd3</f>
        <v>Kara</v>
      </c>
      <c r="AK304" s="729" t="str">
        <f>IF(INDEX(obalCh3Prod3Slot2Active,,xxIndexTeam)=1,INDEX(obalCh3Prod3Slot2SoldVol,,xxIndexTeam)*INDEX(obalCh3Prod3Slot2Promo1Share,,xxIndexTeam),"")</f>
        <v/>
      </c>
      <c r="AL304" s="811" t="s">
        <v>7906</v>
      </c>
      <c r="AM304" s="810"/>
      <c r="AN304" s="814" t="str">
        <f>nmProd3</f>
        <v>Kara</v>
      </c>
      <c r="AO304" s="729" t="str">
        <f>IF(INDEX(obalCh3Prod3Slot2Active,,xxIndexTeam)=1,INDEX(obalCh3Prod3Slot2SoldVol,,xxIndexTeam)*INDEX(obalCh3Prod3Slot2Promo1Share,,xxIndexTeam),"")</f>
        <v/>
      </c>
      <c r="AP304" s="811" t="s">
        <v>7905</v>
      </c>
      <c r="AQ304" s="810"/>
      <c r="AR304" s="814" t="str">
        <f>nmProd3</f>
        <v>Kara</v>
      </c>
      <c r="AS304" s="729" t="str">
        <f>IF(INDEX(obalCh3Prod3Slot2Active,,xxIndexTeam)=1,INDEX(obalCh3Prod3Slot2SoldVol,,xxIndexTeam)*INDEX(obalCh3Prod3Slot2Promo1Share,,xxIndexTeam),"")</f>
        <v/>
      </c>
      <c r="AT304" s="811" t="s">
        <v>11491</v>
      </c>
      <c r="AU304" s="802"/>
    </row>
    <row r="305" spans="30:47">
      <c r="AD305" s="800"/>
      <c r="AE305" s="554"/>
      <c r="AF305" s="720"/>
      <c r="AG305" s="720"/>
      <c r="AH305" s="584"/>
      <c r="AI305" s="810"/>
      <c r="AJ305" s="814" t="str">
        <f>nmProd3</f>
        <v>Kara</v>
      </c>
      <c r="AK305" s="729" t="str">
        <f>IF(INDEX(obalCh3Prod3Slot3Active,,xxIndexTeam)=1,INDEX(obalCh3Prod3Slot3SoldVol,,xxIndexTeam)*INDEX(obalCh3Prod3Slot3Promo1Share,,xxIndexTeam),"")</f>
        <v/>
      </c>
      <c r="AL305" s="811" t="s">
        <v>7908</v>
      </c>
      <c r="AM305" s="810"/>
      <c r="AN305" s="814" t="str">
        <f>nmProd3</f>
        <v>Kara</v>
      </c>
      <c r="AO305" s="729" t="str">
        <f>IF(INDEX(obalCh3Prod3Slot3Active,,xxIndexTeam)=1,INDEX(obalCh3Prod3Slot3SoldVol,,xxIndexTeam)*INDEX(obalCh3Prod3Slot3Promo1Share,,xxIndexTeam),"")</f>
        <v/>
      </c>
      <c r="AP305" s="811" t="s">
        <v>7907</v>
      </c>
      <c r="AQ305" s="810"/>
      <c r="AR305" s="814" t="str">
        <f>nmProd3</f>
        <v>Kara</v>
      </c>
      <c r="AS305" s="729" t="str">
        <f>IF(INDEX(obalCh3Prod3Slot3Active,,xxIndexTeam)=1,INDEX(obalCh3Prod3Slot3SoldVol,,xxIndexTeam)*INDEX(obalCh3Prod3Slot3Promo1Share,,xxIndexTeam),"")</f>
        <v/>
      </c>
      <c r="AT305" s="811" t="s">
        <v>11492</v>
      </c>
      <c r="AU305" s="802"/>
    </row>
    <row r="306" spans="30:47">
      <c r="AD306" s="800"/>
      <c r="AE306" s="554"/>
      <c r="AF306" s="720"/>
      <c r="AG306" s="720"/>
      <c r="AH306" s="584"/>
      <c r="AI306" s="810"/>
      <c r="AJ306" s="814" t="str">
        <f>nmProd1</f>
        <v>Greenborg</v>
      </c>
      <c r="AK306" s="729">
        <f>IF(INDEX(obalCh3Prod1Slot1Active,,xxIndexTeam)=1,INDEX(obalCh3Prod1Slot1SoldVol,,xxIndexTeam)*INDEX(obalCh3Prod1Slot1Promo1Share,,xxIndexTeam),"")</f>
        <v>6267681.7452186085</v>
      </c>
      <c r="AL306" s="811" t="s">
        <v>7910</v>
      </c>
      <c r="AM306" s="810"/>
      <c r="AN306" s="814" t="str">
        <f>nmProd1</f>
        <v>Greenborg</v>
      </c>
      <c r="AO306" s="729">
        <f>IF(INDEX(obalCh3Prod1Slot1Active,,xxIndexTeam)=1,INDEX(obalCh3Prod1Slot1SoldVol,,xxIndexTeam)*INDEX(obalCh3Prod1Slot1Promo1Share,,xxIndexTeam),"")</f>
        <v>6267681.7452186085</v>
      </c>
      <c r="AP306" s="811" t="s">
        <v>7909</v>
      </c>
      <c r="AQ306" s="810"/>
      <c r="AR306" s="814" t="str">
        <f>nmProd1</f>
        <v>Greenborg</v>
      </c>
      <c r="AS306" s="729">
        <f>IF(INDEX(obalCh3Prod1Slot1Active,,xxIndexTeam)=1,INDEX(obalCh3Prod1Slot1SoldVol,,xxIndexTeam)*INDEX(obalCh3Prod1Slot1Promo1Share,,xxIndexTeam),"")</f>
        <v>6267681.7452186085</v>
      </c>
      <c r="AT306" s="811" t="s">
        <v>11493</v>
      </c>
      <c r="AU306" s="802"/>
    </row>
    <row r="307" spans="30:47">
      <c r="AD307" s="800"/>
      <c r="AE307" s="554"/>
      <c r="AF307" s="720"/>
      <c r="AG307" s="720"/>
      <c r="AH307" s="584"/>
      <c r="AI307" s="810"/>
      <c r="AJ307" s="814" t="str">
        <f>nmProd1</f>
        <v>Greenborg</v>
      </c>
      <c r="AK307" s="729" t="str">
        <f>IF(INDEX(obalCh3Prod1Slot2Active,,xxIndexTeam)=1,INDEX(obalCh3Prod1Slot2SoldVol,,xxIndexTeam)*INDEX(obalCh3Prod1Slot2Promo1Share,,xxIndexTeam),"")</f>
        <v/>
      </c>
      <c r="AL307" s="811" t="s">
        <v>7912</v>
      </c>
      <c r="AM307" s="810"/>
      <c r="AN307" s="814" t="str">
        <f>nmProd1</f>
        <v>Greenborg</v>
      </c>
      <c r="AO307" s="729" t="str">
        <f>IF(INDEX(obalCh3Prod1Slot2Active,,xxIndexTeam)=1,INDEX(obalCh3Prod1Slot2SoldVol,,xxIndexTeam)*INDEX(obalCh3Prod1Slot2Promo1Share,,xxIndexTeam),"")</f>
        <v/>
      </c>
      <c r="AP307" s="811" t="s">
        <v>7911</v>
      </c>
      <c r="AQ307" s="810"/>
      <c r="AR307" s="814" t="str">
        <f>nmProd1</f>
        <v>Greenborg</v>
      </c>
      <c r="AS307" s="729" t="str">
        <f>IF(INDEX(obalCh3Prod1Slot2Active,,xxIndexTeam)=1,INDEX(obalCh3Prod1Slot2SoldVol,,xxIndexTeam)*INDEX(obalCh3Prod1Slot2Promo1Share,,xxIndexTeam),"")</f>
        <v/>
      </c>
      <c r="AT307" s="811" t="s">
        <v>11494</v>
      </c>
      <c r="AU307" s="802"/>
    </row>
    <row r="308" spans="30:47">
      <c r="AD308" s="800"/>
      <c r="AE308" s="554"/>
      <c r="AF308" s="720"/>
      <c r="AG308" s="720"/>
      <c r="AH308" s="584"/>
      <c r="AI308" s="810"/>
      <c r="AJ308" s="814" t="str">
        <f>nmProd1</f>
        <v>Greenborg</v>
      </c>
      <c r="AK308" s="729" t="str">
        <f>IF(INDEX(obalCh3Prod1Slot3Active,,xxIndexTeam)=1,INDEX(obalCh3Prod1Slot3SoldVol,,xxIndexTeam)*INDEX(obalCh3Prod1Slot3Promo1Share,,xxIndexTeam),"")</f>
        <v/>
      </c>
      <c r="AL308" s="811" t="s">
        <v>7914</v>
      </c>
      <c r="AM308" s="810"/>
      <c r="AN308" s="814" t="str">
        <f>nmProd1</f>
        <v>Greenborg</v>
      </c>
      <c r="AO308" s="729" t="str">
        <f>IF(INDEX(obalCh3Prod1Slot3Active,,xxIndexTeam)=1,INDEX(obalCh3Prod1Slot3SoldVol,,xxIndexTeam)*INDEX(obalCh3Prod1Slot3Promo1Share,,xxIndexTeam),"")</f>
        <v/>
      </c>
      <c r="AP308" s="811" t="s">
        <v>7913</v>
      </c>
      <c r="AQ308" s="810"/>
      <c r="AR308" s="814" t="str">
        <f>nmProd1</f>
        <v>Greenborg</v>
      </c>
      <c r="AS308" s="729" t="str">
        <f>IF(INDEX(obalCh3Prod1Slot3Active,,xxIndexTeam)=1,INDEX(obalCh3Prod1Slot3SoldVol,,xxIndexTeam)*INDEX(obalCh3Prod1Slot3Promo1Share,,xxIndexTeam),"")</f>
        <v/>
      </c>
      <c r="AT308" s="811" t="s">
        <v>11495</v>
      </c>
      <c r="AU308" s="802"/>
    </row>
    <row r="309" spans="30:47">
      <c r="AD309" s="800"/>
      <c r="AE309" s="554"/>
      <c r="AF309" s="720"/>
      <c r="AG309" s="720"/>
      <c r="AH309" s="584"/>
      <c r="AI309" s="810"/>
      <c r="AJ309" s="814" t="str">
        <f>nmProd4</f>
        <v>Brew Master</v>
      </c>
      <c r="AK309" s="729" t="str">
        <f>IF(INDEX(obalCh3Prod4Slot1Active,,xxIndexTeam)=1,INDEX(obalCh3Prod4Slot1SoldVol,,xxIndexTeam)*INDEX(obalCh3Prod4Slot1Promo1Share,,xxIndexTeam),"")</f>
        <v/>
      </c>
      <c r="AL309" s="811" t="s">
        <v>7916</v>
      </c>
      <c r="AM309" s="810"/>
      <c r="AN309" s="814" t="str">
        <f>nmProd4</f>
        <v>Brew Master</v>
      </c>
      <c r="AO309" s="729" t="str">
        <f>IF(INDEX(obalCh3Prod4Slot1Active,,xxIndexTeam)=1,INDEX(obalCh3Prod4Slot1SoldVol,,xxIndexTeam)*INDEX(obalCh3Prod4Slot1Promo1Share,,xxIndexTeam),"")</f>
        <v/>
      </c>
      <c r="AP309" s="811" t="s">
        <v>7915</v>
      </c>
      <c r="AQ309" s="810"/>
      <c r="AR309" s="814" t="str">
        <f>nmProd4</f>
        <v>Brew Master</v>
      </c>
      <c r="AS309" s="729" t="str">
        <f>IF(INDEX(obalCh3Prod4Slot1Active,,xxIndexTeam)=1,INDEX(obalCh3Prod4Slot1SoldVol,,xxIndexTeam)*INDEX(obalCh3Prod4Slot1Promo1Share,,xxIndexTeam),"")</f>
        <v/>
      </c>
      <c r="AT309" s="811" t="s">
        <v>11496</v>
      </c>
      <c r="AU309" s="802"/>
    </row>
    <row r="310" spans="30:47">
      <c r="AD310" s="800"/>
      <c r="AE310" s="554"/>
      <c r="AF310" s="720"/>
      <c r="AG310" s="720"/>
      <c r="AH310" s="584"/>
      <c r="AI310" s="810"/>
      <c r="AJ310" s="814" t="str">
        <f>nmProd4</f>
        <v>Brew Master</v>
      </c>
      <c r="AK310" s="729" t="str">
        <f>IF(INDEX(obalCh3Prod4Slot2Active,,xxIndexTeam)=1,INDEX(obalCh3Prod4Slot2SoldVol,,xxIndexTeam)*INDEX(obalCh3Prod4Slot2Promo1Share,,xxIndexTeam),"")</f>
        <v/>
      </c>
      <c r="AL310" s="811" t="s">
        <v>7918</v>
      </c>
      <c r="AM310" s="810"/>
      <c r="AN310" s="814" t="str">
        <f>nmProd4</f>
        <v>Brew Master</v>
      </c>
      <c r="AO310" s="729" t="str">
        <f>IF(INDEX(obalCh3Prod4Slot2Active,,xxIndexTeam)=1,INDEX(obalCh3Prod4Slot2SoldVol,,xxIndexTeam)*INDEX(obalCh3Prod4Slot2Promo1Share,,xxIndexTeam),"")</f>
        <v/>
      </c>
      <c r="AP310" s="811" t="s">
        <v>7917</v>
      </c>
      <c r="AQ310" s="810"/>
      <c r="AR310" s="814" t="str">
        <f>nmProd4</f>
        <v>Brew Master</v>
      </c>
      <c r="AS310" s="729" t="str">
        <f>IF(INDEX(obalCh3Prod4Slot2Active,,xxIndexTeam)=1,INDEX(obalCh3Prod4Slot2SoldVol,,xxIndexTeam)*INDEX(obalCh3Prod4Slot2Promo1Share,,xxIndexTeam),"")</f>
        <v/>
      </c>
      <c r="AT310" s="811" t="s">
        <v>11497</v>
      </c>
      <c r="AU310" s="802"/>
    </row>
    <row r="311" spans="30:47" ht="15" thickBot="1">
      <c r="AD311" s="800"/>
      <c r="AE311" s="554"/>
      <c r="AF311" s="720"/>
      <c r="AG311" s="720"/>
      <c r="AH311" s="584"/>
      <c r="AI311" s="809"/>
      <c r="AJ311" s="806" t="str">
        <f>nmProd4</f>
        <v>Brew Master</v>
      </c>
      <c r="AK311" s="964" t="str">
        <f>IF(INDEX(obalCh3Prod4Slot3Active,,xxIndexTeam)=1,INDEX(obalCh3Prod4Slot3SoldVol,,xxIndexTeam)*INDEX(obalCh3Prod4Slot3Promo1Share,,xxIndexTeam),"")</f>
        <v/>
      </c>
      <c r="AL311" s="808" t="s">
        <v>7920</v>
      </c>
      <c r="AM311" s="809"/>
      <c r="AN311" s="814" t="str">
        <f>nmProd4</f>
        <v>Brew Master</v>
      </c>
      <c r="AO311" s="729" t="str">
        <f>IF(INDEX(obalCh3Prod4Slot3Active,,xxIndexTeam)=1,INDEX(obalCh3Prod4Slot3SoldVol,,xxIndexTeam)*INDEX(obalCh3Prod4Slot3Promo1Share,,xxIndexTeam),"")</f>
        <v/>
      </c>
      <c r="AP311" s="808" t="s">
        <v>7919</v>
      </c>
      <c r="AQ311" s="809"/>
      <c r="AR311" s="814" t="str">
        <f>nmProd4</f>
        <v>Brew Master</v>
      </c>
      <c r="AS311" s="729" t="str">
        <f>IF(INDEX(obalCh3Prod4Slot3Active,,xxIndexTeam)=1,INDEX(obalCh3Prod4Slot3SoldVol,,xxIndexTeam)*INDEX(obalCh3Prod4Slot3Promo1Share,,xxIndexTeam),"")</f>
        <v/>
      </c>
      <c r="AT311" s="808" t="s">
        <v>11498</v>
      </c>
      <c r="AU311" s="802"/>
    </row>
    <row r="312" spans="30:47">
      <c r="AD312" s="800"/>
      <c r="AE312" s="554"/>
      <c r="AF312" s="720"/>
      <c r="AG312" s="720"/>
      <c r="AH312" s="584"/>
      <c r="AI312" s="807"/>
      <c r="AJ312" s="813"/>
      <c r="AK312" s="813"/>
      <c r="AL312" s="812"/>
      <c r="AM312" s="807"/>
      <c r="AN312" s="813"/>
      <c r="AO312" s="813"/>
      <c r="AP312" s="812"/>
      <c r="AQ312" s="807"/>
      <c r="AR312" s="813"/>
      <c r="AS312" s="813"/>
      <c r="AT312" s="812"/>
      <c r="AU312" s="802"/>
    </row>
    <row r="313" spans="30:47">
      <c r="AD313" s="800"/>
      <c r="AE313" s="554"/>
      <c r="AF313" s="720"/>
      <c r="AG313" s="720"/>
      <c r="AH313" s="584"/>
      <c r="AI313" s="810"/>
      <c r="AJ313" s="814"/>
      <c r="AK313" s="814"/>
      <c r="AL313" s="811"/>
      <c r="AM313" s="810"/>
      <c r="AN313" s="814"/>
      <c r="AO313" s="814"/>
      <c r="AP313" s="811"/>
      <c r="AQ313" s="810"/>
      <c r="AR313" s="814"/>
      <c r="AS313" s="814"/>
      <c r="AT313" s="811"/>
      <c r="AU313" s="802"/>
    </row>
    <row r="314" spans="30:47">
      <c r="AD314" s="800"/>
      <c r="AE314" s="554"/>
      <c r="AF314" s="720"/>
      <c r="AG314" s="720"/>
      <c r="AH314" s="584"/>
      <c r="AI314" s="810"/>
      <c r="AJ314" s="814"/>
      <c r="AK314" s="814"/>
      <c r="AL314" s="811"/>
      <c r="AM314" s="810"/>
      <c r="AN314" s="814"/>
      <c r="AO314" s="814"/>
      <c r="AP314" s="811"/>
      <c r="AQ314" s="810"/>
      <c r="AR314" s="814"/>
      <c r="AS314" s="814"/>
      <c r="AT314" s="811"/>
      <c r="AU314" s="802"/>
    </row>
    <row r="315" spans="30:47">
      <c r="AD315" s="800"/>
      <c r="AE315" s="554"/>
      <c r="AF315" s="720"/>
      <c r="AG315" s="720"/>
      <c r="AH315" s="584"/>
      <c r="AI315" s="810"/>
      <c r="AJ315" s="814"/>
      <c r="AK315" s="814"/>
      <c r="AL315" s="811"/>
      <c r="AM315" s="810"/>
      <c r="AN315" s="814"/>
      <c r="AO315" s="814"/>
      <c r="AP315" s="811"/>
      <c r="AQ315" s="810"/>
      <c r="AR315" s="814"/>
      <c r="AS315" s="814"/>
      <c r="AT315" s="811"/>
      <c r="AU315" s="802"/>
    </row>
    <row r="316" spans="30:47">
      <c r="AD316" s="800"/>
      <c r="AE316" s="554"/>
      <c r="AF316" s="720"/>
      <c r="AG316" s="720"/>
      <c r="AH316" s="584"/>
      <c r="AI316" s="810"/>
      <c r="AJ316" s="814"/>
      <c r="AK316" s="814"/>
      <c r="AL316" s="811"/>
      <c r="AM316" s="810"/>
      <c r="AN316" s="814"/>
      <c r="AO316" s="814"/>
      <c r="AP316" s="811"/>
      <c r="AQ316" s="810"/>
      <c r="AR316" s="814"/>
      <c r="AS316" s="814"/>
      <c r="AT316" s="811"/>
      <c r="AU316" s="802"/>
    </row>
    <row r="317" spans="30:47">
      <c r="AD317" s="800"/>
      <c r="AE317" s="554"/>
      <c r="AF317" s="720"/>
      <c r="AG317" s="720"/>
      <c r="AH317" s="584"/>
      <c r="AI317" s="810"/>
      <c r="AJ317" s="814"/>
      <c r="AK317" s="814"/>
      <c r="AL317" s="811"/>
      <c r="AM317" s="810"/>
      <c r="AN317" s="814"/>
      <c r="AO317" s="814"/>
      <c r="AP317" s="811"/>
      <c r="AQ317" s="810"/>
      <c r="AR317" s="814"/>
      <c r="AS317" s="814"/>
      <c r="AT317" s="811"/>
      <c r="AU317" s="802"/>
    </row>
    <row r="318" spans="30:47">
      <c r="AD318" s="800"/>
      <c r="AE318" s="554"/>
      <c r="AF318" s="720"/>
      <c r="AG318" s="720"/>
      <c r="AH318" s="584"/>
      <c r="AI318" s="810"/>
      <c r="AJ318" s="814"/>
      <c r="AK318" s="814"/>
      <c r="AL318" s="811"/>
      <c r="AM318" s="810"/>
      <c r="AN318" s="814"/>
      <c r="AO318" s="814"/>
      <c r="AP318" s="811"/>
      <c r="AQ318" s="810"/>
      <c r="AR318" s="814"/>
      <c r="AS318" s="814"/>
      <c r="AT318" s="811"/>
      <c r="AU318" s="802"/>
    </row>
    <row r="319" spans="30:47">
      <c r="AD319" s="800"/>
      <c r="AE319" s="554"/>
      <c r="AF319" s="720"/>
      <c r="AG319" s="720"/>
      <c r="AH319" s="584"/>
      <c r="AI319" s="810"/>
      <c r="AJ319" s="814"/>
      <c r="AK319" s="814"/>
      <c r="AL319" s="811"/>
      <c r="AM319" s="810"/>
      <c r="AN319" s="814"/>
      <c r="AO319" s="814"/>
      <c r="AP319" s="811"/>
      <c r="AQ319" s="810"/>
      <c r="AR319" s="814"/>
      <c r="AS319" s="814"/>
      <c r="AT319" s="811"/>
      <c r="AU319" s="802"/>
    </row>
    <row r="320" spans="30:47">
      <c r="AD320" s="800"/>
      <c r="AE320" s="554"/>
      <c r="AF320" s="720"/>
      <c r="AG320" s="720"/>
      <c r="AH320" s="584"/>
      <c r="AI320" s="810"/>
      <c r="AJ320" s="814"/>
      <c r="AK320" s="814"/>
      <c r="AL320" s="811"/>
      <c r="AM320" s="810"/>
      <c r="AN320" s="814"/>
      <c r="AO320" s="814"/>
      <c r="AP320" s="811"/>
      <c r="AQ320" s="810"/>
      <c r="AR320" s="814"/>
      <c r="AS320" s="814"/>
      <c r="AT320" s="811"/>
      <c r="AU320" s="802"/>
    </row>
    <row r="321" spans="30:47">
      <c r="AD321" s="800"/>
      <c r="AE321" s="554"/>
      <c r="AF321" s="720"/>
      <c r="AG321" s="720"/>
      <c r="AH321" s="584"/>
      <c r="AI321" s="810"/>
      <c r="AJ321" s="814"/>
      <c r="AK321" s="814"/>
      <c r="AL321" s="811"/>
      <c r="AM321" s="810"/>
      <c r="AN321" s="814"/>
      <c r="AO321" s="814"/>
      <c r="AP321" s="811"/>
      <c r="AQ321" s="810"/>
      <c r="AR321" s="814"/>
      <c r="AS321" s="814"/>
      <c r="AT321" s="811"/>
      <c r="AU321" s="802"/>
    </row>
    <row r="322" spans="30:47">
      <c r="AD322" s="800"/>
      <c r="AE322" s="554"/>
      <c r="AF322" s="720"/>
      <c r="AG322" s="720"/>
      <c r="AH322" s="584"/>
      <c r="AI322" s="810"/>
      <c r="AJ322" s="814"/>
      <c r="AK322" s="814"/>
      <c r="AL322" s="811"/>
      <c r="AM322" s="810"/>
      <c r="AN322" s="814"/>
      <c r="AO322" s="814"/>
      <c r="AP322" s="811"/>
      <c r="AQ322" s="810"/>
      <c r="AR322" s="814"/>
      <c r="AS322" s="814"/>
      <c r="AT322" s="811"/>
      <c r="AU322" s="802"/>
    </row>
    <row r="323" spans="30:47">
      <c r="AD323" s="800"/>
      <c r="AE323" s="554"/>
      <c r="AF323" s="720"/>
      <c r="AG323" s="720"/>
      <c r="AH323" s="584"/>
      <c r="AI323" s="810"/>
      <c r="AJ323" s="814"/>
      <c r="AK323" s="814"/>
      <c r="AL323" s="811"/>
      <c r="AM323" s="810"/>
      <c r="AN323" s="814"/>
      <c r="AO323" s="814"/>
      <c r="AP323" s="811"/>
      <c r="AQ323" s="810"/>
      <c r="AR323" s="814"/>
      <c r="AS323" s="814"/>
      <c r="AT323" s="811"/>
      <c r="AU323" s="802"/>
    </row>
    <row r="324" spans="30:47" ht="15" thickBot="1">
      <c r="AD324" s="800"/>
      <c r="AE324" s="546"/>
      <c r="AF324" s="544"/>
      <c r="AG324" s="544"/>
      <c r="AH324" s="733"/>
      <c r="AI324" s="810"/>
      <c r="AJ324" s="814"/>
      <c r="AK324" s="814"/>
      <c r="AL324" s="811"/>
      <c r="AM324" s="810"/>
      <c r="AN324" s="814"/>
      <c r="AO324" s="814"/>
      <c r="AP324" s="811"/>
      <c r="AQ324" s="810"/>
      <c r="AR324" s="814"/>
      <c r="AS324" s="814"/>
      <c r="AT324" s="811"/>
      <c r="AU324" s="802"/>
    </row>
    <row r="325" spans="30:47">
      <c r="AD325" s="800"/>
      <c r="AE325" s="802"/>
      <c r="AF325" s="802"/>
      <c r="AG325" s="802"/>
      <c r="AH325" s="802"/>
      <c r="AI325" s="810"/>
      <c r="AJ325" s="814"/>
      <c r="AK325" s="814"/>
      <c r="AL325" s="811"/>
      <c r="AM325" s="810"/>
      <c r="AN325" s="814"/>
      <c r="AO325" s="814"/>
      <c r="AP325" s="811"/>
      <c r="AQ325" s="810"/>
      <c r="AR325" s="814"/>
      <c r="AS325" s="814"/>
      <c r="AT325" s="811"/>
      <c r="AU325" s="802"/>
    </row>
    <row r="326" spans="30:47">
      <c r="AD326" s="800"/>
      <c r="AE326" s="802"/>
      <c r="AF326" s="802"/>
      <c r="AG326" s="802"/>
      <c r="AH326" s="802"/>
      <c r="AI326" s="810"/>
      <c r="AJ326" s="814"/>
      <c r="AK326" s="814"/>
      <c r="AL326" s="811"/>
      <c r="AM326" s="810"/>
      <c r="AN326" s="814"/>
      <c r="AO326" s="814"/>
      <c r="AP326" s="811"/>
      <c r="AQ326" s="810"/>
      <c r="AR326" s="814"/>
      <c r="AS326" s="814"/>
      <c r="AT326" s="811"/>
      <c r="AU326" s="802"/>
    </row>
    <row r="327" spans="30:47">
      <c r="AD327" s="800"/>
      <c r="AE327" s="802"/>
      <c r="AF327" s="802"/>
      <c r="AG327" s="802"/>
      <c r="AH327" s="802"/>
      <c r="AI327" s="810"/>
      <c r="AJ327" s="814"/>
      <c r="AK327" s="814"/>
      <c r="AL327" s="811"/>
      <c r="AM327" s="810"/>
      <c r="AN327" s="814"/>
      <c r="AO327" s="814"/>
      <c r="AP327" s="811"/>
      <c r="AQ327" s="810"/>
      <c r="AR327" s="814"/>
      <c r="AS327" s="814"/>
      <c r="AT327" s="811"/>
      <c r="AU327" s="802"/>
    </row>
    <row r="328" spans="30:47">
      <c r="AD328" s="800"/>
      <c r="AE328" s="802"/>
      <c r="AF328" s="802"/>
      <c r="AG328" s="802"/>
      <c r="AH328" s="802"/>
      <c r="AI328" s="810"/>
      <c r="AJ328" s="814"/>
      <c r="AK328" s="814"/>
      <c r="AL328" s="811"/>
      <c r="AM328" s="810"/>
      <c r="AN328" s="814"/>
      <c r="AO328" s="814"/>
      <c r="AP328" s="811"/>
      <c r="AQ328" s="810"/>
      <c r="AR328" s="814"/>
      <c r="AS328" s="814"/>
      <c r="AT328" s="811"/>
      <c r="AU328" s="802"/>
    </row>
    <row r="329" spans="30:47">
      <c r="AD329" s="800"/>
      <c r="AE329" s="802"/>
      <c r="AF329" s="802"/>
      <c r="AG329" s="802"/>
      <c r="AH329" s="802"/>
      <c r="AI329" s="810"/>
      <c r="AJ329" s="814"/>
      <c r="AK329" s="814"/>
      <c r="AL329" s="811"/>
      <c r="AM329" s="810"/>
      <c r="AN329" s="814"/>
      <c r="AO329" s="814"/>
      <c r="AP329" s="811"/>
      <c r="AQ329" s="810"/>
      <c r="AR329" s="814"/>
      <c r="AS329" s="814"/>
      <c r="AT329" s="811"/>
      <c r="AU329" s="802"/>
    </row>
    <row r="330" spans="30:47">
      <c r="AD330" s="800"/>
      <c r="AE330" s="802"/>
      <c r="AF330" s="802"/>
      <c r="AG330" s="802"/>
      <c r="AH330" s="802"/>
      <c r="AI330" s="810"/>
      <c r="AJ330" s="814"/>
      <c r="AK330" s="814"/>
      <c r="AL330" s="811"/>
      <c r="AM330" s="810"/>
      <c r="AN330" s="814"/>
      <c r="AO330" s="814"/>
      <c r="AP330" s="811"/>
      <c r="AQ330" s="810"/>
      <c r="AR330" s="814"/>
      <c r="AS330" s="814"/>
      <c r="AT330" s="811"/>
      <c r="AU330" s="802"/>
    </row>
    <row r="331" spans="30:47">
      <c r="AD331" s="800"/>
      <c r="AE331" s="802"/>
      <c r="AF331" s="802"/>
      <c r="AG331" s="802"/>
      <c r="AH331" s="802"/>
      <c r="AI331" s="810"/>
      <c r="AJ331" s="814"/>
      <c r="AK331" s="814"/>
      <c r="AL331" s="811"/>
      <c r="AM331" s="810"/>
      <c r="AN331" s="814"/>
      <c r="AO331" s="814"/>
      <c r="AP331" s="811"/>
      <c r="AQ331" s="810"/>
      <c r="AR331" s="814"/>
      <c r="AS331" s="814"/>
      <c r="AT331" s="811"/>
      <c r="AU331" s="802"/>
    </row>
    <row r="332" spans="30:47">
      <c r="AD332" s="800"/>
      <c r="AE332" s="802"/>
      <c r="AF332" s="802"/>
      <c r="AG332" s="802"/>
      <c r="AH332" s="802"/>
      <c r="AI332" s="810"/>
      <c r="AJ332" s="814"/>
      <c r="AK332" s="814"/>
      <c r="AL332" s="811"/>
      <c r="AM332" s="810"/>
      <c r="AN332" s="814"/>
      <c r="AO332" s="814"/>
      <c r="AP332" s="811"/>
      <c r="AQ332" s="810"/>
      <c r="AR332" s="814"/>
      <c r="AS332" s="814"/>
      <c r="AT332" s="811"/>
      <c r="AU332" s="802"/>
    </row>
    <row r="333" spans="30:47">
      <c r="AD333" s="800"/>
      <c r="AE333" s="802"/>
      <c r="AF333" s="802"/>
      <c r="AG333" s="802"/>
      <c r="AH333" s="802"/>
      <c r="AI333" s="810"/>
      <c r="AJ333" s="814"/>
      <c r="AK333" s="814"/>
      <c r="AL333" s="811"/>
      <c r="AM333" s="810"/>
      <c r="AN333" s="814"/>
      <c r="AO333" s="814"/>
      <c r="AP333" s="811"/>
      <c r="AQ333" s="810"/>
      <c r="AR333" s="814"/>
      <c r="AS333" s="814"/>
      <c r="AT333" s="811"/>
      <c r="AU333" s="802"/>
    </row>
    <row r="334" spans="30:47">
      <c r="AD334" s="800"/>
      <c r="AE334" s="802"/>
      <c r="AF334" s="802"/>
      <c r="AG334" s="802"/>
      <c r="AH334" s="802"/>
      <c r="AI334" s="810"/>
      <c r="AJ334" s="814"/>
      <c r="AK334" s="814"/>
      <c r="AL334" s="811"/>
      <c r="AM334" s="810"/>
      <c r="AN334" s="814"/>
      <c r="AO334" s="814"/>
      <c r="AP334" s="811"/>
      <c r="AQ334" s="810"/>
      <c r="AR334" s="814"/>
      <c r="AS334" s="814"/>
      <c r="AT334" s="811"/>
      <c r="AU334" s="802"/>
    </row>
    <row r="335" spans="30:47">
      <c r="AD335" s="800"/>
      <c r="AE335" s="802"/>
      <c r="AF335" s="802"/>
      <c r="AG335" s="802"/>
      <c r="AH335" s="802"/>
      <c r="AI335" s="810"/>
      <c r="AJ335" s="814"/>
      <c r="AK335" s="814"/>
      <c r="AL335" s="811"/>
      <c r="AM335" s="810"/>
      <c r="AN335" s="814"/>
      <c r="AO335" s="814"/>
      <c r="AP335" s="811"/>
      <c r="AQ335" s="810"/>
      <c r="AR335" s="814"/>
      <c r="AS335" s="814"/>
      <c r="AT335" s="811"/>
      <c r="AU335" s="802"/>
    </row>
    <row r="336" spans="30:47">
      <c r="AD336" s="800"/>
      <c r="AE336" s="802"/>
      <c r="AF336" s="802"/>
      <c r="AG336" s="802"/>
      <c r="AH336" s="802"/>
      <c r="AI336" s="810"/>
      <c r="AJ336" s="814"/>
      <c r="AK336" s="814"/>
      <c r="AL336" s="811"/>
      <c r="AM336" s="810"/>
      <c r="AN336" s="814"/>
      <c r="AO336" s="814"/>
      <c r="AP336" s="811"/>
      <c r="AQ336" s="810"/>
      <c r="AR336" s="814"/>
      <c r="AS336" s="814"/>
      <c r="AT336" s="811"/>
      <c r="AU336" s="802"/>
    </row>
    <row r="337" spans="30:47">
      <c r="AD337" s="800"/>
      <c r="AE337" s="802"/>
      <c r="AF337" s="802"/>
      <c r="AG337" s="802"/>
      <c r="AH337" s="802"/>
      <c r="AI337" s="810"/>
      <c r="AJ337" s="814"/>
      <c r="AK337" s="814"/>
      <c r="AL337" s="811"/>
      <c r="AM337" s="810"/>
      <c r="AN337" s="814"/>
      <c r="AO337" s="814"/>
      <c r="AP337" s="811"/>
      <c r="AQ337" s="810"/>
      <c r="AR337" s="814"/>
      <c r="AS337" s="814"/>
      <c r="AT337" s="811"/>
      <c r="AU337" s="802"/>
    </row>
    <row r="338" spans="30:47">
      <c r="AD338" s="800"/>
      <c r="AE338" s="802"/>
      <c r="AF338" s="802"/>
      <c r="AG338" s="802"/>
      <c r="AH338" s="802"/>
      <c r="AI338" s="810"/>
      <c r="AJ338" s="814"/>
      <c r="AK338" s="814"/>
      <c r="AL338" s="811"/>
      <c r="AM338" s="810"/>
      <c r="AN338" s="814"/>
      <c r="AO338" s="814"/>
      <c r="AP338" s="811"/>
      <c r="AQ338" s="810"/>
      <c r="AR338" s="814"/>
      <c r="AS338" s="814"/>
      <c r="AT338" s="811"/>
      <c r="AU338" s="802"/>
    </row>
    <row r="339" spans="30:47">
      <c r="AD339" s="800"/>
      <c r="AE339" s="802"/>
      <c r="AF339" s="802"/>
      <c r="AG339" s="802"/>
      <c r="AH339" s="802"/>
      <c r="AI339" s="810"/>
      <c r="AJ339" s="814"/>
      <c r="AK339" s="814"/>
      <c r="AL339" s="811"/>
      <c r="AM339" s="810"/>
      <c r="AN339" s="814"/>
      <c r="AO339" s="814"/>
      <c r="AP339" s="811"/>
      <c r="AQ339" s="810"/>
      <c r="AR339" s="814"/>
      <c r="AS339" s="814"/>
      <c r="AT339" s="811"/>
      <c r="AU339" s="802"/>
    </row>
    <row r="340" spans="30:47">
      <c r="AD340" s="800"/>
      <c r="AE340" s="802"/>
      <c r="AF340" s="802"/>
      <c r="AG340" s="802"/>
      <c r="AH340" s="802"/>
      <c r="AI340" s="810"/>
      <c r="AJ340" s="814"/>
      <c r="AK340" s="814"/>
      <c r="AL340" s="811"/>
      <c r="AM340" s="810"/>
      <c r="AN340" s="814"/>
      <c r="AO340" s="814"/>
      <c r="AP340" s="811"/>
      <c r="AQ340" s="810"/>
      <c r="AR340" s="814"/>
      <c r="AS340" s="814"/>
      <c r="AT340" s="811"/>
      <c r="AU340" s="802"/>
    </row>
    <row r="341" spans="30:47">
      <c r="AD341" s="800"/>
      <c r="AE341" s="802"/>
      <c r="AF341" s="802"/>
      <c r="AG341" s="802"/>
      <c r="AH341" s="802"/>
      <c r="AI341" s="810"/>
      <c r="AJ341" s="814"/>
      <c r="AK341" s="814"/>
      <c r="AL341" s="811"/>
      <c r="AM341" s="810"/>
      <c r="AN341" s="814"/>
      <c r="AO341" s="814"/>
      <c r="AP341" s="811"/>
      <c r="AQ341" s="810"/>
      <c r="AR341" s="814"/>
      <c r="AS341" s="814"/>
      <c r="AT341" s="811"/>
      <c r="AU341" s="802"/>
    </row>
    <row r="342" spans="30:47">
      <c r="AD342" s="800"/>
      <c r="AE342" s="802"/>
      <c r="AF342" s="802"/>
      <c r="AG342" s="802"/>
      <c r="AH342" s="802"/>
      <c r="AI342" s="810"/>
      <c r="AJ342" s="814"/>
      <c r="AK342" s="814"/>
      <c r="AL342" s="811"/>
      <c r="AM342" s="810"/>
      <c r="AN342" s="814"/>
      <c r="AO342" s="814"/>
      <c r="AP342" s="811"/>
      <c r="AQ342" s="810"/>
      <c r="AR342" s="814"/>
      <c r="AS342" s="814"/>
      <c r="AT342" s="811"/>
      <c r="AU342" s="802"/>
    </row>
    <row r="343" spans="30:47">
      <c r="AD343" s="800"/>
      <c r="AE343" s="802"/>
      <c r="AF343" s="802"/>
      <c r="AG343" s="802"/>
      <c r="AH343" s="802"/>
      <c r="AI343" s="810"/>
      <c r="AJ343" s="814"/>
      <c r="AK343" s="814"/>
      <c r="AL343" s="811"/>
      <c r="AM343" s="810"/>
      <c r="AN343" s="814"/>
      <c r="AO343" s="814"/>
      <c r="AP343" s="811"/>
      <c r="AQ343" s="810"/>
      <c r="AR343" s="814"/>
      <c r="AS343" s="814"/>
      <c r="AT343" s="811"/>
      <c r="AU343" s="802"/>
    </row>
    <row r="344" spans="30:47">
      <c r="AD344" s="800"/>
      <c r="AE344" s="802"/>
      <c r="AF344" s="802"/>
      <c r="AG344" s="802"/>
      <c r="AH344" s="802"/>
      <c r="AI344" s="810"/>
      <c r="AJ344" s="814"/>
      <c r="AK344" s="814"/>
      <c r="AL344" s="811"/>
      <c r="AM344" s="810"/>
      <c r="AN344" s="814"/>
      <c r="AO344" s="814"/>
      <c r="AP344" s="811"/>
      <c r="AQ344" s="810"/>
      <c r="AR344" s="814"/>
      <c r="AS344" s="814"/>
      <c r="AT344" s="811"/>
      <c r="AU344" s="802"/>
    </row>
    <row r="345" spans="30:47">
      <c r="AD345" s="800"/>
      <c r="AE345" s="802"/>
      <c r="AF345" s="802"/>
      <c r="AG345" s="802"/>
      <c r="AH345" s="802"/>
      <c r="AI345" s="810"/>
      <c r="AJ345" s="814"/>
      <c r="AK345" s="814"/>
      <c r="AL345" s="811"/>
      <c r="AM345" s="810"/>
      <c r="AN345" s="814"/>
      <c r="AO345" s="814"/>
      <c r="AP345" s="811"/>
      <c r="AQ345" s="810"/>
      <c r="AR345" s="814"/>
      <c r="AS345" s="814"/>
      <c r="AT345" s="811"/>
      <c r="AU345" s="802"/>
    </row>
    <row r="346" spans="30:47">
      <c r="AD346" s="800"/>
      <c r="AE346" s="802"/>
      <c r="AF346" s="802"/>
      <c r="AG346" s="802"/>
      <c r="AH346" s="802"/>
      <c r="AI346" s="810"/>
      <c r="AJ346" s="814"/>
      <c r="AK346" s="814"/>
      <c r="AL346" s="811"/>
      <c r="AM346" s="810"/>
      <c r="AN346" s="814"/>
      <c r="AO346" s="814"/>
      <c r="AP346" s="811"/>
      <c r="AQ346" s="810"/>
      <c r="AR346" s="814"/>
      <c r="AS346" s="814"/>
      <c r="AT346" s="811"/>
      <c r="AU346" s="802"/>
    </row>
    <row r="347" spans="30:47" ht="15" thickBot="1">
      <c r="AD347" s="800"/>
      <c r="AE347" s="800"/>
      <c r="AF347" s="802"/>
      <c r="AG347" s="802"/>
      <c r="AH347" s="802"/>
      <c r="AI347" s="809"/>
      <c r="AJ347" s="806"/>
      <c r="AK347" s="806"/>
      <c r="AL347" s="808"/>
      <c r="AM347" s="809"/>
      <c r="AN347" s="806"/>
      <c r="AO347" s="806"/>
      <c r="AP347" s="808"/>
      <c r="AQ347" s="809"/>
      <c r="AR347" s="806"/>
      <c r="AS347" s="806"/>
      <c r="AT347" s="808"/>
      <c r="AU347" s="802"/>
    </row>
    <row r="348" spans="30:47">
      <c r="AD348" s="802"/>
      <c r="AE348" s="802"/>
      <c r="AF348" s="802"/>
      <c r="AG348" s="802"/>
      <c r="AH348" s="802"/>
      <c r="AI348" s="802"/>
      <c r="AJ348" s="802"/>
      <c r="AK348" s="802"/>
      <c r="AL348" s="802"/>
      <c r="AM348" s="802"/>
      <c r="AN348" s="802"/>
      <c r="AO348" s="802"/>
      <c r="AP348" s="802"/>
      <c r="AU348" s="802"/>
    </row>
    <row r="349" spans="30:47">
      <c r="AD349" s="802"/>
      <c r="AE349" s="802"/>
      <c r="AF349" s="802"/>
      <c r="AG349" s="802"/>
      <c r="AH349" s="802"/>
      <c r="AI349" s="802"/>
      <c r="AJ349" s="802"/>
      <c r="AK349" s="802"/>
      <c r="AL349" s="802"/>
      <c r="AM349" s="802"/>
      <c r="AN349" s="802"/>
      <c r="AO349" s="802"/>
      <c r="AP349" s="802"/>
      <c r="AQ349" s="802"/>
      <c r="AR349" s="802"/>
      <c r="AS349" s="802"/>
      <c r="AT349" s="802"/>
      <c r="AU349" s="802"/>
    </row>
    <row r="350" spans="30:47">
      <c r="AD350" s="802"/>
      <c r="AE350" s="802"/>
      <c r="AF350" s="802"/>
      <c r="AG350" s="802"/>
      <c r="AH350" s="802"/>
      <c r="AI350" s="802"/>
      <c r="AJ350" s="802"/>
      <c r="AK350" s="802"/>
      <c r="AL350" s="802"/>
      <c r="AM350" s="802"/>
      <c r="AN350" s="802"/>
      <c r="AO350" s="802"/>
      <c r="AP350" s="802"/>
      <c r="AQ350" s="802"/>
      <c r="AR350" s="802"/>
      <c r="AS350" s="802"/>
      <c r="AT350" s="802"/>
      <c r="AU350" s="802"/>
    </row>
    <row r="351" spans="30:47">
      <c r="AD351" s="802"/>
      <c r="AE351" s="802"/>
      <c r="AF351" s="802"/>
      <c r="AG351" s="802"/>
      <c r="AH351" s="802"/>
      <c r="AI351" s="802"/>
      <c r="AJ351" s="802"/>
      <c r="AK351" s="802"/>
      <c r="AL351" s="802"/>
      <c r="AM351" s="802"/>
      <c r="AN351" s="802"/>
      <c r="AO351" s="802"/>
      <c r="AP351" s="802"/>
      <c r="AQ351" s="802"/>
      <c r="AR351" s="802"/>
      <c r="AS351" s="802"/>
      <c r="AT351" s="802"/>
      <c r="AU351" s="802"/>
    </row>
  </sheetData>
  <pageMargins left="0.7" right="0.7" top="0.75" bottom="0.75" header="0.3" footer="0.3"/>
  <pageSetup paperSize="9" scale="36" orientation="portrait" r:id="rId1"/>
  <rowBreaks count="1" manualBreakCount="1">
    <brk id="91" max="16383" man="1"/>
  </rowBreaks>
  <colBreaks count="1" manualBreakCount="1">
    <brk id="34" max="1048575" man="1"/>
  </colBreaks>
  <ignoredErrors>
    <ignoredError sqref="T77:T79 W77:X77 Z77:AB77 P78:P79 S78:S79 W78:X78 Z78:AB78 W79:X79 Z79:AB79" evalError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7030A0"/>
  </sheetPr>
  <dimension ref="B2:BB351"/>
  <sheetViews>
    <sheetView topLeftCell="AC19" zoomScale="55" zoomScaleNormal="55" workbookViewId="0">
      <selection activeCell="AK44" sqref="AK44:AK51"/>
    </sheetView>
  </sheetViews>
  <sheetFormatPr defaultColWidth="8.796875" defaultRowHeight="14.25"/>
  <cols>
    <col min="1" max="4" width="8.796875" style="613"/>
    <col min="5" max="5" width="18.8984375" style="713" customWidth="1"/>
    <col min="6" max="6" width="32.5" style="613" bestFit="1" customWidth="1"/>
    <col min="7" max="7" width="13" style="613" customWidth="1"/>
    <col min="8" max="8" width="8.796875" style="613"/>
    <col min="9" max="9" width="7.09765625" style="613" customWidth="1"/>
    <col min="10" max="10" width="18.3984375" style="613" customWidth="1"/>
    <col min="11" max="11" width="18.69921875" style="613" customWidth="1"/>
    <col min="12" max="13" width="15.69921875" style="613" customWidth="1"/>
    <col min="14" max="14" width="17.09765625" style="613" customWidth="1"/>
    <col min="15" max="22" width="15.69921875" style="613" customWidth="1"/>
    <col min="23" max="23" width="7.296875" style="613" customWidth="1"/>
    <col min="24" max="28" width="15.69921875" style="613" customWidth="1"/>
    <col min="29" max="29" width="8.796875" style="613"/>
    <col min="30" max="30" width="15" style="613" customWidth="1"/>
    <col min="31" max="31" width="8.796875" style="613"/>
    <col min="32" max="32" width="17.19921875" style="613" bestFit="1" customWidth="1"/>
    <col min="33" max="33" width="24.3984375" style="613" bestFit="1" customWidth="1"/>
    <col min="34" max="34" width="34.3984375" style="613" customWidth="1"/>
    <col min="35" max="36" width="8.796875" style="613"/>
    <col min="37" max="37" width="33.69921875" style="613" bestFit="1" customWidth="1"/>
    <col min="38" max="38" width="34.296875" style="613" customWidth="1"/>
    <col min="39" max="39" width="11.69921875" style="613" bestFit="1" customWidth="1"/>
    <col min="40" max="40" width="22.5" style="613" bestFit="1" customWidth="1"/>
    <col min="41" max="41" width="27.5" style="613" bestFit="1" customWidth="1"/>
    <col min="42" max="42" width="32.59765625" style="613" bestFit="1" customWidth="1"/>
    <col min="43" max="43" width="10.5" style="613" customWidth="1"/>
    <col min="44" max="44" width="11.19921875" style="613" customWidth="1"/>
    <col min="45" max="45" width="21.3984375" style="613" customWidth="1"/>
    <col min="46" max="46" width="35.3984375" style="613" customWidth="1"/>
    <col min="47" max="48" width="8.796875" style="613"/>
    <col min="49" max="49" width="12.09765625" style="613" bestFit="1" customWidth="1"/>
    <col min="50" max="50" width="24.296875" style="613" bestFit="1" customWidth="1"/>
    <col min="51" max="53" width="8.796875" style="613"/>
    <col min="54" max="54" width="24.3984375" style="613" bestFit="1" customWidth="1"/>
    <col min="55" max="16384" width="8.796875" style="613"/>
  </cols>
  <sheetData>
    <row r="2" spans="2:46" ht="15" thickBot="1">
      <c r="D2" s="719" t="s">
        <v>6545</v>
      </c>
      <c r="E2" s="719"/>
    </row>
    <row r="3" spans="2:46">
      <c r="B3" s="628" t="s">
        <v>6733</v>
      </c>
      <c r="D3" s="555"/>
      <c r="E3" s="600"/>
      <c r="F3" s="600"/>
      <c r="G3" s="600"/>
      <c r="H3" s="600"/>
      <c r="I3" s="600"/>
      <c r="J3" s="599" t="str">
        <f>"Variance Tracker Table - "&amp;nmCh4</f>
        <v>Variance Tracker Table - On-Trade</v>
      </c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561"/>
      <c r="AD3" s="628" t="s">
        <v>6734</v>
      </c>
      <c r="AE3" s="612" t="s">
        <v>6566</v>
      </c>
    </row>
    <row r="4" spans="2:46" ht="29.25" customHeight="1" thickBot="1">
      <c r="D4" s="554"/>
      <c r="E4" s="553" t="str">
        <f>nmCh4</f>
        <v>On-Trade</v>
      </c>
      <c r="F4" s="617"/>
      <c r="G4" s="720"/>
      <c r="H4" s="720"/>
      <c r="I4" s="720"/>
      <c r="J4" s="720"/>
      <c r="K4" s="720"/>
      <c r="L4" s="704" t="str">
        <f>nmCh4</f>
        <v>On-Trade</v>
      </c>
      <c r="M4" s="598" t="str">
        <f>nmProd2</f>
        <v>Harken</v>
      </c>
      <c r="N4" s="598" t="str">
        <f>nmProd2&amp;" Slot 1"</f>
        <v>Harken Slot 1</v>
      </c>
      <c r="O4" s="598" t="str">
        <f>nmProd2&amp;" Slot 2"</f>
        <v>Harken Slot 2</v>
      </c>
      <c r="P4" s="598" t="str">
        <f>nmProd2&amp;" Slot 3"</f>
        <v>Harken Slot 3</v>
      </c>
      <c r="Q4" s="598" t="str">
        <f>nmProd3</f>
        <v>Kara</v>
      </c>
      <c r="R4" s="598" t="str">
        <f>nmProd3&amp;" Slot 1"</f>
        <v>Kara Slot 1</v>
      </c>
      <c r="S4" s="598" t="str">
        <f>nmProd3&amp;" Slot 2"</f>
        <v>Kara Slot 2</v>
      </c>
      <c r="T4" s="598" t="str">
        <f>nmProd3&amp;" Slot 3"</f>
        <v>Kara Slot 3</v>
      </c>
      <c r="U4" s="598" t="str">
        <f>nmProd1</f>
        <v>Greenborg</v>
      </c>
      <c r="V4" s="598" t="str">
        <f>nmProd1&amp;" Slot 1"</f>
        <v>Greenborg Slot 1</v>
      </c>
      <c r="W4" s="598" t="str">
        <f>nmProd1&amp;" Slot 2"</f>
        <v>Greenborg Slot 2</v>
      </c>
      <c r="X4" s="598" t="str">
        <f>nmProd1&amp;" Slot 3"</f>
        <v>Greenborg Slot 3</v>
      </c>
      <c r="Y4" s="598" t="str">
        <f>nmProd4</f>
        <v>Brew Master</v>
      </c>
      <c r="Z4" s="598" t="str">
        <f>nmProd4&amp;" Slot 1"</f>
        <v>Brew Master Slot 1</v>
      </c>
      <c r="AA4" s="598" t="str">
        <f>nmProd4&amp;" Slot 2"</f>
        <v>Brew Master Slot 2</v>
      </c>
      <c r="AB4" s="597" t="str">
        <f>nmProd4&amp;" Slot 3"</f>
        <v>Brew Master Slot 3</v>
      </c>
      <c r="AE4" s="702" t="str">
        <f>nmEmp1&amp;" Gauge"</f>
        <v>MTUs Gauge</v>
      </c>
      <c r="AI4" s="702" t="s">
        <v>6570</v>
      </c>
      <c r="AM4" s="702" t="s">
        <v>6571</v>
      </c>
    </row>
    <row r="5" spans="2:46" ht="15">
      <c r="D5" s="554"/>
      <c r="E5" s="585">
        <f t="shared" ref="E5:E17" si="0">INDEX(L5:AB5,,calcCh4VtCode)/1000</f>
        <v>254315.37599999999</v>
      </c>
      <c r="F5" s="720" t="s">
        <v>5052</v>
      </c>
      <c r="G5" s="552"/>
      <c r="H5" s="720"/>
      <c r="I5" s="720"/>
      <c r="J5" s="551" t="s">
        <v>3760</v>
      </c>
      <c r="K5" s="608" t="s">
        <v>1394</v>
      </c>
      <c r="L5" s="706">
        <f t="shared" ref="L5:L17" si="1">U5+M5+Q5+Y5</f>
        <v>1294963822.5</v>
      </c>
      <c r="M5" s="706">
        <f>N5+O5+P5</f>
        <v>254315376</v>
      </c>
      <c r="N5" s="706">
        <f>INDEX(finPNLCh4Prod2Slot1Turn,xxIndexTeam)</f>
        <v>254315376</v>
      </c>
      <c r="O5" s="706">
        <f>INDEX(finPNLCh4Prod2Slot2Turn,xxIndexTeam)</f>
        <v>0</v>
      </c>
      <c r="P5" s="706">
        <f>INDEX(finPNLCh4Prod2Slot3Turn,xxIndexTeam)</f>
        <v>0</v>
      </c>
      <c r="Q5" s="706">
        <f>R5+S5+T5</f>
        <v>169543584</v>
      </c>
      <c r="R5" s="706">
        <f>INDEX(finPNLCh4Prod3Slot1Turn,xxIndexTeam)</f>
        <v>169543584</v>
      </c>
      <c r="S5" s="706">
        <f>INDEX(finPNLCh4Prod3Slot2Turn,xxIndexTeam)</f>
        <v>0</v>
      </c>
      <c r="T5" s="706">
        <f>INDEX(finPNLCh4Prod3Slot3Turn,xxIndexTeam)</f>
        <v>0</v>
      </c>
      <c r="U5" s="706">
        <f>V5+W5+X5</f>
        <v>365088600</v>
      </c>
      <c r="V5" s="706">
        <f>INDEX(finPNLCh4Prod1Slot1Turn,xxIndexTeam)</f>
        <v>365088600</v>
      </c>
      <c r="W5" s="706">
        <f>INDEX(finPNLCh4Prod1Slot2Turn,xxIndexTeam)</f>
        <v>0</v>
      </c>
      <c r="X5" s="706">
        <f>INDEX(finPNLCh4Prod1Slot3Turn,xxIndexTeam)</f>
        <v>0</v>
      </c>
      <c r="Y5" s="706">
        <f>Z5+AA5+AB5</f>
        <v>506016262.5</v>
      </c>
      <c r="Z5" s="706">
        <f>INDEX(finPNLCh4Prod4Slot1Turn,xxIndexTeam)</f>
        <v>506016262.5</v>
      </c>
      <c r="AA5" s="706">
        <f>INDEX(finPNLCh4Prod4Slot2Turn,xxIndexTeam)</f>
        <v>0</v>
      </c>
      <c r="AB5" s="596">
        <f>INDEX(finPNLCh4Prod4Slot3Turn,xxIndexTeam)</f>
        <v>0</v>
      </c>
      <c r="AC5" s="701"/>
      <c r="AE5" s="555"/>
      <c r="AF5" s="600" t="s">
        <v>6569</v>
      </c>
      <c r="AG5" s="600">
        <f>INDEX(CalcEmp1Unassigned,,xxIndexTeam)</f>
        <v>62</v>
      </c>
      <c r="AH5" s="561" t="s">
        <v>6735</v>
      </c>
      <c r="AI5" s="555"/>
      <c r="AJ5" s="600" t="s">
        <v>6569</v>
      </c>
      <c r="AK5" s="600">
        <f>INDEX(calcCh4AddSlotAvailable,,xxIndexTeam)</f>
        <v>0</v>
      </c>
      <c r="AL5" s="561" t="s">
        <v>6736</v>
      </c>
      <c r="AM5" s="555"/>
      <c r="AN5" s="600" t="s">
        <v>6569</v>
      </c>
      <c r="AO5" s="600">
        <f>INDEX(calcCh4PromoWeeksAvail,,xxIndexTeam)</f>
        <v>2</v>
      </c>
      <c r="AP5" s="561" t="s">
        <v>6737</v>
      </c>
    </row>
    <row r="6" spans="2:46" ht="15">
      <c r="D6" s="554"/>
      <c r="E6" s="585">
        <f t="shared" si="0"/>
        <v>84771.792000000001</v>
      </c>
      <c r="F6" s="720" t="s">
        <v>5053</v>
      </c>
      <c r="G6" s="720"/>
      <c r="H6" s="720"/>
      <c r="I6" s="720"/>
      <c r="J6" s="551" t="s">
        <v>3761</v>
      </c>
      <c r="K6" s="608" t="s">
        <v>1395</v>
      </c>
      <c r="L6" s="706">
        <f t="shared" si="1"/>
        <v>425434579.5</v>
      </c>
      <c r="M6" s="706">
        <f t="shared" ref="M6:M17" si="2">N6+O6+P6</f>
        <v>84771792</v>
      </c>
      <c r="N6" s="706">
        <f>INDEX(finPNLCh4Prod2Slot1Excise,xxIndexTeam)</f>
        <v>84771792</v>
      </c>
      <c r="O6" s="706">
        <f>INDEX(finPNLCh4Prod2Slot2Excise,xxIndexTeam)</f>
        <v>0</v>
      </c>
      <c r="P6" s="706">
        <f>INDEX(finPNLCh4Prod2Slot3Excise,xxIndexTeam)</f>
        <v>0</v>
      </c>
      <c r="Q6" s="706">
        <f t="shared" ref="Q6:Q17" si="3">R6+S6+T6</f>
        <v>58869300</v>
      </c>
      <c r="R6" s="706">
        <f>INDEX(finPNLCh4Prod3Slot1Excise,xxIndexTeam)</f>
        <v>58869300</v>
      </c>
      <c r="S6" s="706">
        <f>INDEX(finPNLCh4Prod3Slot2Excise,xxIndexTeam)</f>
        <v>0</v>
      </c>
      <c r="T6" s="706">
        <f>INDEX(finPNLCh4Prod3Slot3Excise,xxIndexTeam)</f>
        <v>0</v>
      </c>
      <c r="U6" s="706">
        <f t="shared" ref="U6:U17" si="4">V6+W6+X6</f>
        <v>124231537.50000001</v>
      </c>
      <c r="V6" s="706">
        <f>INDEX(finPNLCh4Prod1Slot1Excise,xxIndexTeam)</f>
        <v>124231537.50000001</v>
      </c>
      <c r="W6" s="706">
        <f>INDEX(finPNLCh4Prod1Slot2Excise,xxIndexTeam)</f>
        <v>0</v>
      </c>
      <c r="X6" s="706">
        <f>INDEX(finPNLCh4Prod1Slot3Excise,xxIndexTeam)</f>
        <v>0</v>
      </c>
      <c r="Y6" s="706">
        <f t="shared" ref="Y6:Y17" si="5">Z6+AA6+AB6</f>
        <v>157561950</v>
      </c>
      <c r="Z6" s="706">
        <f>INDEX(finPNLCh4Prod4Slot1Excise,xxIndexTeam)</f>
        <v>157561950</v>
      </c>
      <c r="AA6" s="706">
        <f>INDEX(finPNLCh4Prod4Slot2Excise,xxIndexTeam)</f>
        <v>0</v>
      </c>
      <c r="AB6" s="596">
        <f>INDEX(finPNLCh4Prod4Slot3Excise,xxIndexTeam)</f>
        <v>0</v>
      </c>
      <c r="AC6" s="701"/>
      <c r="AE6" s="554"/>
      <c r="AF6" s="720" t="s">
        <v>6568</v>
      </c>
      <c r="AG6" s="720">
        <v>0</v>
      </c>
      <c r="AH6" s="584" t="s">
        <v>6738</v>
      </c>
      <c r="AI6" s="554"/>
      <c r="AJ6" s="720" t="s">
        <v>6568</v>
      </c>
      <c r="AK6" s="720">
        <v>0</v>
      </c>
      <c r="AL6" s="584" t="s">
        <v>6739</v>
      </c>
      <c r="AM6" s="554"/>
      <c r="AN6" s="720" t="s">
        <v>6568</v>
      </c>
      <c r="AO6" s="720">
        <f>INDEX(calcCh4PromoWeeksAvail,,xxIndexTeam)</f>
        <v>2</v>
      </c>
      <c r="AP6" s="584" t="s">
        <v>6740</v>
      </c>
    </row>
    <row r="7" spans="2:46" ht="15.75" thickBot="1">
      <c r="D7" s="554"/>
      <c r="E7" s="585">
        <f t="shared" si="0"/>
        <v>169543.584</v>
      </c>
      <c r="F7" s="720" t="s">
        <v>5054</v>
      </c>
      <c r="G7" s="720"/>
      <c r="H7" s="720"/>
      <c r="I7" s="720"/>
      <c r="J7" s="720"/>
      <c r="K7" s="608" t="s">
        <v>694</v>
      </c>
      <c r="L7" s="706">
        <f t="shared" si="1"/>
        <v>869529243</v>
      </c>
      <c r="M7" s="706">
        <f t="shared" si="2"/>
        <v>169543584</v>
      </c>
      <c r="N7" s="706">
        <f>INDEX(finPNLCh4Prod2Slot1GrossSales,xxIndexTeam)</f>
        <v>169543584</v>
      </c>
      <c r="O7" s="706">
        <f>INDEX(finPNLCh4Prod2Slot2GrossSales,xxIndexTeam)</f>
        <v>0</v>
      </c>
      <c r="P7" s="706">
        <f>INDEX(finPNLCh4Prod2Slot3GrossSales,xxIndexTeam)</f>
        <v>0</v>
      </c>
      <c r="Q7" s="706">
        <f t="shared" si="3"/>
        <v>110674284</v>
      </c>
      <c r="R7" s="706">
        <f>INDEX(finPNLCh4Prod3Slot1GrossSales,xxIndexTeam)</f>
        <v>110674284</v>
      </c>
      <c r="S7" s="706">
        <f>INDEX(finPNLCh4Prod3Slot2GrossSales,xxIndexTeam)</f>
        <v>0</v>
      </c>
      <c r="T7" s="706">
        <f>INDEX(finPNLCh4Prod3Slot3GrossSales,xxIndexTeam)</f>
        <v>0</v>
      </c>
      <c r="U7" s="706">
        <f t="shared" si="4"/>
        <v>240857062.5</v>
      </c>
      <c r="V7" s="706">
        <f>INDEX(finPNLCh4Prod1Slot1GrossSales,xxIndexTeam)</f>
        <v>240857062.5</v>
      </c>
      <c r="W7" s="706">
        <f>INDEX(finPNLCh4Prod1Slot2GrossSales,xxIndexTeam)</f>
        <v>0</v>
      </c>
      <c r="X7" s="706">
        <f>INDEX(finPNLCh4Prod1Slot3GrossSales,xxIndexTeam)</f>
        <v>0</v>
      </c>
      <c r="Y7" s="706">
        <f t="shared" si="5"/>
        <v>348454312.5</v>
      </c>
      <c r="Z7" s="706">
        <f>INDEX(finPNLCh4Prod4Slot1GrossSales,xxIndexTeam)</f>
        <v>348454312.5</v>
      </c>
      <c r="AA7" s="706">
        <f>INDEX(finPNLCh4Prod4Slot2GrossSales,xxIndexTeam)</f>
        <v>0</v>
      </c>
      <c r="AB7" s="596">
        <f>INDEX(finPNLCh4Prod4Slot3GrossSales,xxIndexTeam)</f>
        <v>0</v>
      </c>
      <c r="AC7" s="701"/>
      <c r="AE7" s="546"/>
      <c r="AF7" s="544" t="s">
        <v>6567</v>
      </c>
      <c r="AG7" s="544">
        <v>150</v>
      </c>
      <c r="AH7" s="733" t="s">
        <v>6741</v>
      </c>
      <c r="AI7" s="546"/>
      <c r="AJ7" s="544" t="s">
        <v>6567</v>
      </c>
      <c r="AK7" s="544">
        <v>3</v>
      </c>
      <c r="AL7" s="733" t="s">
        <v>6742</v>
      </c>
      <c r="AM7" s="546"/>
      <c r="AN7" s="544" t="s">
        <v>6567</v>
      </c>
      <c r="AO7" s="544">
        <f>INDEX(calcCh4PromoWeeks,,xxIndexTeam)</f>
        <v>16</v>
      </c>
      <c r="AP7" s="733" t="s">
        <v>6743</v>
      </c>
    </row>
    <row r="8" spans="2:46" ht="15">
      <c r="D8" s="554"/>
      <c r="E8" s="585">
        <f t="shared" si="0"/>
        <v>56507.407741809671</v>
      </c>
      <c r="F8" s="720" t="s">
        <v>5055</v>
      </c>
      <c r="G8" s="720"/>
      <c r="H8" s="720"/>
      <c r="I8" s="720"/>
      <c r="J8" s="720"/>
      <c r="K8" s="608" t="s">
        <v>1396</v>
      </c>
      <c r="L8" s="706">
        <f t="shared" si="1"/>
        <v>86518442.833021596</v>
      </c>
      <c r="M8" s="706">
        <f t="shared" si="2"/>
        <v>56507407.741809674</v>
      </c>
      <c r="N8" s="706">
        <f>INDEX(finPNLCh4Prod2Slot1Discounts,xxIndexTeam)</f>
        <v>56507407.741809674</v>
      </c>
      <c r="O8" s="706">
        <f>INDEX(finPNLCh4Prod2Slot2Discounts,xxIndexTeam)</f>
        <v>0</v>
      </c>
      <c r="P8" s="706">
        <f>INDEX(finPNLCh4Prod2Slot3Discounts,xxIndexTeam)</f>
        <v>0</v>
      </c>
      <c r="Q8" s="706">
        <f t="shared" si="3"/>
        <v>196037.59278429777</v>
      </c>
      <c r="R8" s="706">
        <f>INDEX(finPNLCh4Prod3Slot1Discounts,xxIndexTeam)</f>
        <v>196037.59278429777</v>
      </c>
      <c r="S8" s="706">
        <f>INDEX(finPNLCh4Prod3Slot2Discounts,xxIndexTeam)</f>
        <v>0</v>
      </c>
      <c r="T8" s="706">
        <f>INDEX(finPNLCh4Prod3Slot3Discounts,xxIndexTeam)</f>
        <v>0</v>
      </c>
      <c r="U8" s="706">
        <f t="shared" si="4"/>
        <v>19294672.248427641</v>
      </c>
      <c r="V8" s="706">
        <f>INDEX(finPNLCh4Prod1Slot1Discounts,xxIndexTeam)</f>
        <v>19294672.248427641</v>
      </c>
      <c r="W8" s="706">
        <f>INDEX(finPNLCh4Prod1Slot2Discounts,xxIndexTeam)</f>
        <v>0</v>
      </c>
      <c r="X8" s="706">
        <f>INDEX(finPNLCh4Prod1Slot3Discounts,xxIndexTeam)</f>
        <v>0</v>
      </c>
      <c r="Y8" s="706">
        <f t="shared" si="5"/>
        <v>10520325.249999989</v>
      </c>
      <c r="Z8" s="706">
        <f>INDEX(finPNLCh4Prod4Slot1Discounts,xxIndexTeam)</f>
        <v>10520325.249999989</v>
      </c>
      <c r="AA8" s="706">
        <f>INDEX(finPNLCh4Prod4Slot2Discounts,xxIndexTeam)</f>
        <v>0</v>
      </c>
      <c r="AB8" s="596">
        <f>INDEX(finPNLCh4Prod4Slot3Discounts,xxIndexTeam)</f>
        <v>0</v>
      </c>
      <c r="AC8" s="701"/>
    </row>
    <row r="9" spans="2:46" ht="15">
      <c r="D9" s="554"/>
      <c r="E9" s="585">
        <f t="shared" si="0"/>
        <v>113036.17625819033</v>
      </c>
      <c r="F9" s="720" t="s">
        <v>5056</v>
      </c>
      <c r="G9" s="720"/>
      <c r="H9" s="720"/>
      <c r="I9" s="720"/>
      <c r="J9" s="720"/>
      <c r="K9" s="608" t="s">
        <v>1397</v>
      </c>
      <c r="L9" s="706">
        <f t="shared" si="1"/>
        <v>783010800.16697836</v>
      </c>
      <c r="M9" s="706">
        <f t="shared" si="2"/>
        <v>113036176.25819033</v>
      </c>
      <c r="N9" s="706">
        <f>INDEX(finPNLCh4Prod2Slot1TotalRev,xxIndexTeam)</f>
        <v>113036176.25819033</v>
      </c>
      <c r="O9" s="706">
        <f>INDEX(finPNLCh4Prod2Slot2TotalRev,xxIndexTeam)</f>
        <v>0</v>
      </c>
      <c r="P9" s="706">
        <f>INDEX(finPNLCh4Prod2Slot3TotalRev,xxIndexTeam)</f>
        <v>0</v>
      </c>
      <c r="Q9" s="706">
        <f t="shared" si="3"/>
        <v>110478246.4072157</v>
      </c>
      <c r="R9" s="706">
        <f>INDEX(finPNLCh4Prod3Slot1TotalRev,xxIndexTeam)</f>
        <v>110478246.4072157</v>
      </c>
      <c r="S9" s="706">
        <f>INDEX(finPNLCh4Prod3Slot2TotalRev,xxIndexTeam)</f>
        <v>0</v>
      </c>
      <c r="T9" s="706">
        <f>INDEX(finPNLCh4Prod3Slot3TotalRev,xxIndexTeam)</f>
        <v>0</v>
      </c>
      <c r="U9" s="706">
        <f t="shared" si="4"/>
        <v>221562390.25157237</v>
      </c>
      <c r="V9" s="706">
        <f>INDEX(finPNLCh4Prod1Slot1TotalRev,xxIndexTeam)</f>
        <v>221562390.25157237</v>
      </c>
      <c r="W9" s="706">
        <f>INDEX(finPNLCh4Prod1Slot2TotalRev,xxIndexTeam)</f>
        <v>0</v>
      </c>
      <c r="X9" s="706">
        <f>INDEX(finPNLCh4Prod1Slot3TotalRev,xxIndexTeam)</f>
        <v>0</v>
      </c>
      <c r="Y9" s="706">
        <f t="shared" si="5"/>
        <v>337933987.25</v>
      </c>
      <c r="Z9" s="706">
        <f>INDEX(finPNLCh4Prod4Slot1TotalRev,xxIndexTeam)</f>
        <v>337933987.25</v>
      </c>
      <c r="AA9" s="706">
        <f>INDEX(finPNLCh4Prod4Slot2TotalRev,xxIndexTeam)</f>
        <v>0</v>
      </c>
      <c r="AB9" s="596">
        <f>INDEX(finPNLCh4Prod4Slot3TotalRev,xxIndexTeam)</f>
        <v>0</v>
      </c>
      <c r="AC9" s="701"/>
      <c r="AD9" s="628" t="s">
        <v>6744</v>
      </c>
      <c r="AE9" s="612" t="s">
        <v>6549</v>
      </c>
      <c r="AG9" s="722"/>
    </row>
    <row r="10" spans="2:46" ht="15.75" thickBot="1">
      <c r="D10" s="554"/>
      <c r="E10" s="585">
        <f t="shared" si="0"/>
        <v>48524.899633056011</v>
      </c>
      <c r="F10" s="720" t="s">
        <v>5057</v>
      </c>
      <c r="G10" s="720"/>
      <c r="H10" s="720"/>
      <c r="I10" s="720"/>
      <c r="J10" s="720"/>
      <c r="K10" s="608" t="s">
        <v>1398</v>
      </c>
      <c r="L10" s="706">
        <f t="shared" si="1"/>
        <v>257576147.91216007</v>
      </c>
      <c r="M10" s="706">
        <f t="shared" si="2"/>
        <v>48524899.633056015</v>
      </c>
      <c r="N10" s="706">
        <f>INDEX(finPNLCh4Prod2Slot1MatExp,xxIndexTeam)</f>
        <v>48524899.633056015</v>
      </c>
      <c r="O10" s="706">
        <f>INDEX(finPNLCh4Prod2Slot2MatExp,xxIndexTeam)</f>
        <v>0</v>
      </c>
      <c r="P10" s="706">
        <f>INDEX(finPNLCh4Prod2Slot3MatExp,xxIndexTeam)</f>
        <v>0</v>
      </c>
      <c r="Q10" s="706">
        <f t="shared" si="3"/>
        <v>32349933.088704012</v>
      </c>
      <c r="R10" s="706">
        <f>INDEX(finPNLCh4Prod3Slot1MatExp,xxIndexTeam)</f>
        <v>32349933.088704012</v>
      </c>
      <c r="S10" s="706">
        <f>INDEX(finPNLCh4Prod3Slot2MatExp,xxIndexTeam)</f>
        <v>0</v>
      </c>
      <c r="T10" s="706">
        <f>INDEX(finPNLCh4Prod3Slot3MatExp,xxIndexTeam)</f>
        <v>0</v>
      </c>
      <c r="U10" s="706">
        <f t="shared" si="4"/>
        <v>69661095.411600024</v>
      </c>
      <c r="V10" s="706">
        <f>INDEX(finPNLCh4Prod1Slot1MatExp,xxIndexTeam)</f>
        <v>69661095.411600024</v>
      </c>
      <c r="W10" s="706">
        <f>INDEX(finPNLCh4Prod1Slot2MatExp,xxIndexTeam)</f>
        <v>0</v>
      </c>
      <c r="X10" s="706">
        <f>INDEX(finPNLCh4Prod1Slot3MatExp,xxIndexTeam)</f>
        <v>0</v>
      </c>
      <c r="Y10" s="706">
        <f t="shared" si="5"/>
        <v>107040219.77880001</v>
      </c>
      <c r="Z10" s="706">
        <f>INDEX(finPNLCh4Prod4Slot1MatExp,xxIndexTeam)</f>
        <v>107040219.77880001</v>
      </c>
      <c r="AA10" s="706">
        <f>INDEX(finPNLCh4Prod4Slot2MatExp,xxIndexTeam)</f>
        <v>0</v>
      </c>
      <c r="AB10" s="596">
        <f>INDEX(finPNLCh4Prod4Slot3MatExp,xxIndexTeam)</f>
        <v>0</v>
      </c>
      <c r="AC10" s="701"/>
      <c r="AE10" s="702" t="s">
        <v>1408</v>
      </c>
      <c r="AI10" s="702" t="s">
        <v>1409</v>
      </c>
      <c r="AM10" s="702" t="s">
        <v>6550</v>
      </c>
      <c r="AQ10" s="702" t="s">
        <v>14</v>
      </c>
    </row>
    <row r="11" spans="2:46" ht="15">
      <c r="D11" s="554"/>
      <c r="E11" s="585">
        <f t="shared" si="0"/>
        <v>7136.0146519200016</v>
      </c>
      <c r="F11" s="720" t="s">
        <v>5058</v>
      </c>
      <c r="G11" s="720"/>
      <c r="H11" s="720"/>
      <c r="I11" s="720"/>
      <c r="J11" s="720"/>
      <c r="K11" s="608" t="s">
        <v>575</v>
      </c>
      <c r="L11" s="706">
        <f t="shared" si="1"/>
        <v>37878845.281200007</v>
      </c>
      <c r="M11" s="706">
        <f t="shared" si="2"/>
        <v>7136014.651920002</v>
      </c>
      <c r="N11" s="706">
        <f>INDEX(finPNLCh4Prod2Slot1LabourExp,xxIndexTeam)</f>
        <v>7136014.651920002</v>
      </c>
      <c r="O11" s="706">
        <f>INDEX(finPNLCh4Prod2Slot2LabourExp,xxIndexTeam)</f>
        <v>0</v>
      </c>
      <c r="P11" s="706">
        <f>INDEX(finPNLCh4Prod2Slot3LabourExp,xxIndexTeam)</f>
        <v>0</v>
      </c>
      <c r="Q11" s="706">
        <f t="shared" si="3"/>
        <v>4757343.101280001</v>
      </c>
      <c r="R11" s="706">
        <f>INDEX(finPNLCh4Prod3Slot1LabourExp,xxIndexTeam)</f>
        <v>4757343.101280001</v>
      </c>
      <c r="S11" s="706">
        <f>INDEX(finPNLCh4Prod3Slot2LabourExp,xxIndexTeam)</f>
        <v>0</v>
      </c>
      <c r="T11" s="706">
        <f>INDEX(finPNLCh4Prod3Slot3LabourExp,xxIndexTeam)</f>
        <v>0</v>
      </c>
      <c r="U11" s="706">
        <f t="shared" si="4"/>
        <v>10244278.737000002</v>
      </c>
      <c r="V11" s="706">
        <f>INDEX(finPNLCh4Prod1Slot1LabourExp,xxIndexTeam)</f>
        <v>10244278.737000002</v>
      </c>
      <c r="W11" s="706">
        <f>INDEX(finPNLCh4Prod1Slot2LabourExp,xxIndexTeam)</f>
        <v>0</v>
      </c>
      <c r="X11" s="706">
        <f>INDEX(finPNLCh4Prod1Slot3LabourExp,xxIndexTeam)</f>
        <v>0</v>
      </c>
      <c r="Y11" s="706">
        <f t="shared" si="5"/>
        <v>15741208.791000001</v>
      </c>
      <c r="Z11" s="706">
        <f>INDEX(finPNLCh4Prod4Slot1LabourExp,xxIndexTeam)</f>
        <v>15741208.791000001</v>
      </c>
      <c r="AA11" s="706">
        <f>INDEX(finPNLCh4Prod4Slot2LabourExp,xxIndexTeam)</f>
        <v>0</v>
      </c>
      <c r="AB11" s="596">
        <f>INDEX(finPNLCh4Prod4Slot3LabourExp,xxIndexTeam)</f>
        <v>0</v>
      </c>
      <c r="AC11" s="701"/>
      <c r="AE11" s="728" t="str">
        <f>"Column 1 ("&amp;nmProd2&amp;")"</f>
        <v>Column 1 (Harken)</v>
      </c>
      <c r="AF11" s="600"/>
      <c r="AG11" s="600"/>
      <c r="AH11" s="561"/>
      <c r="AI11" s="728" t="str">
        <f>"Column 3 ("&amp;nmProd1&amp;")"</f>
        <v>Column 3 (Greenborg)</v>
      </c>
      <c r="AJ11" s="600"/>
      <c r="AK11" s="600"/>
      <c r="AL11" s="561"/>
      <c r="AM11" s="728" t="str">
        <f>"Column 4 ("&amp;nmProd4&amp;")"</f>
        <v>Column 4 (Brew Master)</v>
      </c>
      <c r="AN11" s="600"/>
      <c r="AO11" s="600"/>
      <c r="AP11" s="561"/>
      <c r="AQ11" s="728" t="s">
        <v>6551</v>
      </c>
      <c r="AR11" s="600"/>
      <c r="AS11" s="600"/>
      <c r="AT11" s="561"/>
    </row>
    <row r="12" spans="2:46" ht="15">
      <c r="D12" s="554"/>
      <c r="E12" s="585">
        <f t="shared" si="0"/>
        <v>9452.9025259200025</v>
      </c>
      <c r="F12" s="720" t="s">
        <v>5059</v>
      </c>
      <c r="G12" s="720"/>
      <c r="H12" s="720"/>
      <c r="I12" s="720"/>
      <c r="J12" s="720"/>
      <c r="K12" s="608" t="s">
        <v>1399</v>
      </c>
      <c r="L12" s="706">
        <f t="shared" si="1"/>
        <v>42244775.899200007</v>
      </c>
      <c r="M12" s="706">
        <f t="shared" si="2"/>
        <v>9452902.5259200018</v>
      </c>
      <c r="N12" s="706">
        <f>INDEX(finPNLCh4Prod2Slot1MachExp,xxIndexTeam)</f>
        <v>9452902.5259200018</v>
      </c>
      <c r="O12" s="706">
        <f>INDEX(finPNLCh4Prod2Slot2MachExp,xxIndexTeam)</f>
        <v>0</v>
      </c>
      <c r="P12" s="706">
        <f>INDEX(finPNLCh4Prod2Slot3MachExp,xxIndexTeam)</f>
        <v>0</v>
      </c>
      <c r="Q12" s="706">
        <f t="shared" si="3"/>
        <v>6301935.0172800003</v>
      </c>
      <c r="R12" s="706">
        <f>INDEX(finPNLCh4Prod3Slot1MachExp,xxIndexTeam)</f>
        <v>6301935.0172800003</v>
      </c>
      <c r="S12" s="706">
        <f>INDEX(finPNLCh4Prod3Slot2MachExp,xxIndexTeam)</f>
        <v>0</v>
      </c>
      <c r="T12" s="706">
        <f>INDEX(finPNLCh4Prod3Slot3MachExp,xxIndexTeam)</f>
        <v>0</v>
      </c>
      <c r="U12" s="706">
        <f t="shared" si="4"/>
        <v>13570343.262000002</v>
      </c>
      <c r="V12" s="706">
        <f>INDEX(finPNLCh4Prod1Slot1MachExp,xxIndexTeam)</f>
        <v>13570343.262000002</v>
      </c>
      <c r="W12" s="706">
        <f>INDEX(finPNLCh4Prod1Slot2MachExp,xxIndexTeam)</f>
        <v>0</v>
      </c>
      <c r="X12" s="706">
        <f>INDEX(finPNLCh4Prod1Slot3MachExp,xxIndexTeam)</f>
        <v>0</v>
      </c>
      <c r="Y12" s="706">
        <f t="shared" si="5"/>
        <v>12919595.094000002</v>
      </c>
      <c r="Z12" s="706">
        <f>INDEX(finPNLCh4Prod4Slot1MachExp,xxIndexTeam)</f>
        <v>12919595.094000002</v>
      </c>
      <c r="AA12" s="706">
        <f>INDEX(finPNLCh4Prod4Slot2MachExp,xxIndexTeam)</f>
        <v>0</v>
      </c>
      <c r="AB12" s="596">
        <f>INDEX(finPNLCh4Prod4Slot3MachExp,xxIndexTeam)</f>
        <v>0</v>
      </c>
      <c r="AC12" s="701"/>
      <c r="AE12" s="554"/>
      <c r="AF12" s="720" t="s">
        <v>3328</v>
      </c>
      <c r="AG12" s="729">
        <f>INDEX(dataCh4Prod2n3MarketVolume,,4+xxRound)</f>
        <v>294346500</v>
      </c>
      <c r="AH12" s="584" t="s">
        <v>5110</v>
      </c>
      <c r="AI12" s="554"/>
      <c r="AJ12" s="720" t="s">
        <v>3328</v>
      </c>
      <c r="AK12" s="585">
        <f>INDEX(dataCh4Prod1MarketVolume,,4+xxRound)</f>
        <v>253533749.99999997</v>
      </c>
      <c r="AL12" s="584" t="s">
        <v>5104</v>
      </c>
      <c r="AM12" s="554"/>
      <c r="AN12" s="720" t="s">
        <v>3328</v>
      </c>
      <c r="AO12" s="585">
        <f>INDEX(dataCh4Prod4MarketVolume,,4+xxRound)</f>
        <v>303003750</v>
      </c>
      <c r="AP12" s="584" t="s">
        <v>5125</v>
      </c>
      <c r="AQ12" s="554"/>
      <c r="AR12" s="720" t="s">
        <v>3328</v>
      </c>
      <c r="AS12" s="585">
        <f>tlOutputCh4Prod1MktSize+tlOutputCh4Prod2n3MktSize+tlOutputCh4Prod4MktSize</f>
        <v>850884000</v>
      </c>
      <c r="AT12" s="584" t="s">
        <v>5133</v>
      </c>
    </row>
    <row r="13" spans="2:46" ht="15">
      <c r="D13" s="554"/>
      <c r="E13" s="585">
        <f t="shared" si="0"/>
        <v>4207.1141313842627</v>
      </c>
      <c r="F13" s="720" t="s">
        <v>5060</v>
      </c>
      <c r="G13" s="720"/>
      <c r="H13" s="720"/>
      <c r="I13" s="720"/>
      <c r="J13" s="720"/>
      <c r="K13" s="608" t="s">
        <v>398</v>
      </c>
      <c r="L13" s="706">
        <f t="shared" si="1"/>
        <v>18801483.795622692</v>
      </c>
      <c r="M13" s="706">
        <f t="shared" si="2"/>
        <v>4207114.1313842628</v>
      </c>
      <c r="N13" s="706">
        <f>INDEX(finPNLCh4Prod2Slot1DeprExp,xxIndexTeam)</f>
        <v>4207114.1313842628</v>
      </c>
      <c r="O13" s="706">
        <f>INDEX(finPNLCh4Prod2Slot2DeprExp,xxIndexTeam)</f>
        <v>0</v>
      </c>
      <c r="P13" s="706">
        <f>INDEX(finPNLCh4Prod2Slot3DeprExp,xxIndexTeam)</f>
        <v>0</v>
      </c>
      <c r="Q13" s="706">
        <f t="shared" si="3"/>
        <v>2804742.7542561754</v>
      </c>
      <c r="R13" s="706">
        <f>INDEX(finPNLCh4Prod3Slot1DeprExp,xxIndexTeam)</f>
        <v>2804742.7542561754</v>
      </c>
      <c r="S13" s="706">
        <f>INDEX(finPNLCh4Prod3Slot2DeprExp,xxIndexTeam)</f>
        <v>0</v>
      </c>
      <c r="T13" s="706">
        <f>INDEX(finPNLCh4Prod3Slot3DeprExp,xxIndexTeam)</f>
        <v>0</v>
      </c>
      <c r="U13" s="706">
        <f t="shared" si="4"/>
        <v>6039624.6283877734</v>
      </c>
      <c r="V13" s="706">
        <f>INDEX(finPNLCh4Prod1Slot1DeprExp,xxIndexTeam)</f>
        <v>6039624.6283877734</v>
      </c>
      <c r="W13" s="706">
        <f>INDEX(finPNLCh4Prod1Slot2DeprExp,xxIndexTeam)</f>
        <v>0</v>
      </c>
      <c r="X13" s="706">
        <f>INDEX(finPNLCh4Prod1Slot3DeprExp,xxIndexTeam)</f>
        <v>0</v>
      </c>
      <c r="Y13" s="706">
        <f t="shared" si="5"/>
        <v>5750002.2815944776</v>
      </c>
      <c r="Z13" s="706">
        <f>INDEX(finPNLCh4Prod4Slot1DeprExp,xxIndexTeam)</f>
        <v>5750002.2815944776</v>
      </c>
      <c r="AA13" s="706">
        <f>INDEX(finPNLCh4Prod4Slot2DeprExp,xxIndexTeam)</f>
        <v>0</v>
      </c>
      <c r="AB13" s="596">
        <f>INDEX(finPNLCh4Prod4Slot3DeprExp,xxIndexTeam)</f>
        <v>0</v>
      </c>
      <c r="AC13" s="701"/>
      <c r="AE13" s="554"/>
      <c r="AF13" s="720" t="s">
        <v>1392</v>
      </c>
      <c r="AG13" s="585">
        <f>INDEX(calcCh4Prod2VolForecastProd,,xxIndexTeam)</f>
        <v>35321580</v>
      </c>
      <c r="AH13" s="584" t="s">
        <v>5111</v>
      </c>
      <c r="AI13" s="554"/>
      <c r="AJ13" s="720" t="s">
        <v>1392</v>
      </c>
      <c r="AK13" s="585">
        <f>INDEX(calcCh4Prod1VolForecastProd,,xxIndexTeam)</f>
        <v>50706750</v>
      </c>
      <c r="AL13" s="584" t="s">
        <v>5105</v>
      </c>
      <c r="AM13" s="554"/>
      <c r="AN13" s="720" t="s">
        <v>1392</v>
      </c>
      <c r="AO13" s="585">
        <f>INDEX(calcCh4Prod4VolForecastProd,,xxIndexTeam)</f>
        <v>60600750</v>
      </c>
      <c r="AP13" s="584" t="s">
        <v>5126</v>
      </c>
      <c r="AQ13" s="554"/>
      <c r="AR13" s="720" t="s">
        <v>1392</v>
      </c>
      <c r="AS13" s="585">
        <f>tlOutputCh4Prod1VolForcast+tlOutputCh4Prod2VolForcast+tlOutputCh4Prod3VolForcast+tlOutputCh4Prod4VolForcast</f>
        <v>170176800</v>
      </c>
      <c r="AT13" s="584" t="s">
        <v>5134</v>
      </c>
    </row>
    <row r="14" spans="2:46" ht="15">
      <c r="D14" s="554"/>
      <c r="E14" s="585">
        <f t="shared" si="0"/>
        <v>69320.930942280291</v>
      </c>
      <c r="F14" s="720" t="s">
        <v>5061</v>
      </c>
      <c r="G14" s="720"/>
      <c r="H14" s="720"/>
      <c r="I14" s="720"/>
      <c r="J14" s="720"/>
      <c r="K14" s="608" t="s">
        <v>157</v>
      </c>
      <c r="L14" s="706">
        <f t="shared" si="1"/>
        <v>356501252.88818282</v>
      </c>
      <c r="M14" s="706">
        <f t="shared" si="2"/>
        <v>69320930.942280293</v>
      </c>
      <c r="N14" s="706">
        <f>INDEX(finPNLCh4Prod2Slot1TotalCOGs,xxIndexTeam)</f>
        <v>69320930.942280293</v>
      </c>
      <c r="O14" s="706">
        <f>INDEX(finPNLCh4Prod2Slot2TotalCOGs,xxIndexTeam)</f>
        <v>0</v>
      </c>
      <c r="P14" s="706">
        <f>INDEX(finPNLCh4Prod2Slot3TotalCOGs,xxIndexTeam)</f>
        <v>0</v>
      </c>
      <c r="Q14" s="706">
        <f t="shared" si="3"/>
        <v>46213953.961520188</v>
      </c>
      <c r="R14" s="706">
        <f>INDEX(finPNLCh4Prod3Slot1TotalCOGs,xxIndexTeam)</f>
        <v>46213953.961520188</v>
      </c>
      <c r="S14" s="706">
        <f>INDEX(finPNLCh4Prod3Slot2TotalCOGs,xxIndexTeam)</f>
        <v>0</v>
      </c>
      <c r="T14" s="706">
        <f>INDEX(finPNLCh4Prod3Slot3TotalCOGs,xxIndexTeam)</f>
        <v>0</v>
      </c>
      <c r="U14" s="706">
        <f t="shared" si="4"/>
        <v>99515342.038987815</v>
      </c>
      <c r="V14" s="706">
        <f>INDEX(finPNLCh4Prod1Slot1TotalCOGs,xxIndexTeam)</f>
        <v>99515342.038987815</v>
      </c>
      <c r="W14" s="706">
        <f>INDEX(finPNLCh4Prod1Slot2TotalCOGs,xxIndexTeam)</f>
        <v>0</v>
      </c>
      <c r="X14" s="706">
        <f>INDEX(finPNLCh4Prod1Slot3TotalCOGs,xxIndexTeam)</f>
        <v>0</v>
      </c>
      <c r="Y14" s="706">
        <f t="shared" si="5"/>
        <v>141451025.94539452</v>
      </c>
      <c r="Z14" s="706">
        <f>INDEX(finPNLCh4Prod4Slot1TotalCOGs,xxIndexTeam)</f>
        <v>141451025.94539452</v>
      </c>
      <c r="AA14" s="706">
        <f>INDEX(finPNLCh4Prod4Slot2TotalCOGs,xxIndexTeam)</f>
        <v>0</v>
      </c>
      <c r="AB14" s="596">
        <f>INDEX(finPNLCh4Prod4Slot3TotalCOGs,xxIndexTeam)</f>
        <v>0</v>
      </c>
      <c r="AC14" s="701"/>
      <c r="AE14" s="554"/>
      <c r="AF14" s="720" t="s">
        <v>1397</v>
      </c>
      <c r="AG14" s="585">
        <f>INDEX(finPNLCh4Prod2Slot1TotalRev,,xxIndexTeam)+INDEX(finPNLCh4Prod2Slot2TotalRev,,xxIndexTeam)+INDEX(finPNLCh4Prod2Slot3TotalRev,,xxIndexTeam)</f>
        <v>113036176.25819033</v>
      </c>
      <c r="AH14" s="584" t="s">
        <v>5112</v>
      </c>
      <c r="AI14" s="554"/>
      <c r="AJ14" s="720" t="s">
        <v>1397</v>
      </c>
      <c r="AK14" s="585">
        <f>INDEX(finPNLCh4Prod1Slot1TotalRev,,xxIndexTeam)+INDEX(finPNLCh4Prod1Slot2TotalRev,,xxIndexTeam)+INDEX(finPNLCh4Prod1Slot3TotalRev,,xxIndexTeam)</f>
        <v>221562390.25157237</v>
      </c>
      <c r="AL14" s="584" t="s">
        <v>5106</v>
      </c>
      <c r="AM14" s="554"/>
      <c r="AN14" s="720" t="s">
        <v>1397</v>
      </c>
      <c r="AO14" s="585">
        <f>INDEX(finPNLCh4Prod4Slot1TotalRev,,xxIndexTeam)+INDEX(finPNLCh4Prod4Slot2TotalRev,,xxIndexTeam)+INDEX(finPNLCh4Prod4Slot3TotalRev,,xxIndexTeam)</f>
        <v>337933987.25</v>
      </c>
      <c r="AP14" s="584" t="s">
        <v>5127</v>
      </c>
      <c r="AQ14" s="554"/>
      <c r="AR14" s="720" t="s">
        <v>1397</v>
      </c>
      <c r="AS14" s="585">
        <f>tlOutputCh4Prod1NetSales+tlOutputCh4Prod2NetSales+tlOutputCh4Prod3NetSales+tlOutputCh4Prod4NetSales</f>
        <v>783010800.16697836</v>
      </c>
      <c r="AT14" s="584" t="s">
        <v>5135</v>
      </c>
    </row>
    <row r="15" spans="2:46" ht="15">
      <c r="D15" s="554"/>
      <c r="E15" s="585">
        <f t="shared" si="0"/>
        <v>43715.245315910041</v>
      </c>
      <c r="F15" s="720" t="s">
        <v>5062</v>
      </c>
      <c r="G15" s="720"/>
      <c r="H15" s="720"/>
      <c r="I15" s="720"/>
      <c r="J15" s="720"/>
      <c r="K15" s="608" t="s">
        <v>160</v>
      </c>
      <c r="L15" s="706">
        <f t="shared" si="1"/>
        <v>426509547.2787956</v>
      </c>
      <c r="M15" s="706">
        <f t="shared" si="2"/>
        <v>43715245.315910041</v>
      </c>
      <c r="N15" s="706">
        <f>INDEX(finPNLCh4Prod2Slot1GP,xxIndexTeam)</f>
        <v>43715245.315910041</v>
      </c>
      <c r="O15" s="706">
        <f>INDEX(finPNLCh4Prod2Slot2GP,xxIndexTeam)</f>
        <v>0</v>
      </c>
      <c r="P15" s="706">
        <f>INDEX(finPNLCh4Prod2Slot3GP,xxIndexTeam)</f>
        <v>0</v>
      </c>
      <c r="Q15" s="706">
        <f t="shared" si="3"/>
        <v>64264292.445695512</v>
      </c>
      <c r="R15" s="706">
        <f>INDEX(finPNLCh4Prod3Slot1GP,xxIndexTeam)</f>
        <v>64264292.445695512</v>
      </c>
      <c r="S15" s="706">
        <f>INDEX(finPNLCh4Prod3Slot2GP,xxIndexTeam)</f>
        <v>0</v>
      </c>
      <c r="T15" s="706">
        <f>INDEX(finPNLCh4Prod3Slot3GP,xxIndexTeam)</f>
        <v>0</v>
      </c>
      <c r="U15" s="706">
        <f t="shared" si="4"/>
        <v>122047048.21258456</v>
      </c>
      <c r="V15" s="706">
        <f>INDEX(finPNLCh4Prod1Slot1GP,xxIndexTeam)</f>
        <v>122047048.21258456</v>
      </c>
      <c r="W15" s="706">
        <f>INDEX(finPNLCh4Prod1Slot2GP,xxIndexTeam)</f>
        <v>0</v>
      </c>
      <c r="X15" s="706">
        <f>INDEX(finPNLCh4Prod1Slot3GP,xxIndexTeam)</f>
        <v>0</v>
      </c>
      <c r="Y15" s="706">
        <f t="shared" si="5"/>
        <v>196482961.30460548</v>
      </c>
      <c r="Z15" s="706">
        <f>INDEX(finPNLCh4Prod4Slot1GP,xxIndexTeam)</f>
        <v>196482961.30460548</v>
      </c>
      <c r="AA15" s="706">
        <f>INDEX(finPNLCh4Prod4Slot2GP,xxIndexTeam)</f>
        <v>0</v>
      </c>
      <c r="AB15" s="596">
        <f>INDEX(finPNLCh4Prod4Slot3GP,xxIndexTeam)</f>
        <v>0</v>
      </c>
      <c r="AC15" s="701"/>
      <c r="AE15" s="554"/>
      <c r="AF15" s="720" t="s">
        <v>521</v>
      </c>
      <c r="AG15" s="585">
        <f>INDEX(finPNLCh4Prod2Slot1GPaL,,xxIndexTeam)+INDEX(finPNLCh4Prod2Slot2GPaL,,xxIndexTeam)+INDEX(finPNLCh4Prod2Slot3GPaL,,xxIndexTeam)</f>
        <v>35470073.125594251</v>
      </c>
      <c r="AH15" s="584" t="s">
        <v>5113</v>
      </c>
      <c r="AI15" s="554"/>
      <c r="AJ15" s="720" t="s">
        <v>521</v>
      </c>
      <c r="AK15" s="585">
        <f>INDEX(finPNLCh4Prod1Slot1GPaL,,xxIndexTeam)+INDEX(finPNLCh4Prod1Slot2GPaL,,xxIndexTeam)+INDEX(finPNLCh4Prod1Slot3GPaL,,xxIndexTeam)</f>
        <v>110210491.49679507</v>
      </c>
      <c r="AL15" s="584" t="s">
        <v>5107</v>
      </c>
      <c r="AM15" s="554"/>
      <c r="AN15" s="720" t="s">
        <v>521</v>
      </c>
      <c r="AO15" s="585">
        <f>INDEX(finPNLCh4Prod4Slot1GPaL,,xxIndexTeam)+INDEX(finPNLCh4Prod4Slot2GPaL,,xxIndexTeam)+INDEX(finPNLCh4Prod4Slot3GPaL,,xxIndexTeam)</f>
        <v>178295081.47302654</v>
      </c>
      <c r="AP15" s="584" t="s">
        <v>5128</v>
      </c>
      <c r="AQ15" s="554"/>
      <c r="AR15" s="720" t="s">
        <v>521</v>
      </c>
      <c r="AS15" s="585">
        <f>tlOutputCh4Prod1GPaL+tlOutputCh4Prod2GPaL+tlOutputCh4Prod3GPaL+tlOutputCh4Prod4GPaL</f>
        <v>382743157.08090085</v>
      </c>
      <c r="AT15" s="584" t="s">
        <v>5136</v>
      </c>
    </row>
    <row r="16" spans="2:46" ht="15">
      <c r="D16" s="554"/>
      <c r="E16" s="585">
        <f t="shared" si="0"/>
        <v>8245.1721903157922</v>
      </c>
      <c r="F16" s="720" t="s">
        <v>5063</v>
      </c>
      <c r="G16" s="720"/>
      <c r="H16" s="720"/>
      <c r="I16" s="720"/>
      <c r="J16" s="720"/>
      <c r="K16" s="608" t="s">
        <v>519</v>
      </c>
      <c r="L16" s="706">
        <f t="shared" si="1"/>
        <v>43766390.197894745</v>
      </c>
      <c r="M16" s="706">
        <f t="shared" si="2"/>
        <v>8245172.1903157923</v>
      </c>
      <c r="N16" s="706">
        <f>INDEX(finPNLCh4Prod2Slot1LogExp,xxIndexTeam)</f>
        <v>8245172.1903157923</v>
      </c>
      <c r="O16" s="706">
        <f>INDEX(finPNLCh4Prod2Slot2LogExp,xxIndexTeam)</f>
        <v>0</v>
      </c>
      <c r="P16" s="706">
        <f>INDEX(finPNLCh4Prod2Slot3LogExp,xxIndexTeam)</f>
        <v>0</v>
      </c>
      <c r="Q16" s="706">
        <f t="shared" si="3"/>
        <v>5496781.4602105282</v>
      </c>
      <c r="R16" s="706">
        <f>INDEX(finPNLCh4Prod3Slot1LogExp,xxIndexTeam)</f>
        <v>5496781.4602105282</v>
      </c>
      <c r="S16" s="706">
        <f>INDEX(finPNLCh4Prod3Slot2LogExp,xxIndexTeam)</f>
        <v>0</v>
      </c>
      <c r="T16" s="706">
        <f>INDEX(finPNLCh4Prod3Slot3LogExp,xxIndexTeam)</f>
        <v>0</v>
      </c>
      <c r="U16" s="706">
        <f t="shared" si="4"/>
        <v>11836556.715789476</v>
      </c>
      <c r="V16" s="706">
        <f>INDEX(finPNLCh4Prod1Slot1LogExp,xxIndexTeam)</f>
        <v>11836556.715789476</v>
      </c>
      <c r="W16" s="706">
        <f>INDEX(finPNLCh4Prod1Slot2LogExp,xxIndexTeam)</f>
        <v>0</v>
      </c>
      <c r="X16" s="706">
        <f>INDEX(finPNLCh4Prod1Slot3LogExp,xxIndexTeam)</f>
        <v>0</v>
      </c>
      <c r="Y16" s="706">
        <f t="shared" si="5"/>
        <v>18187879.831578948</v>
      </c>
      <c r="Z16" s="706">
        <f>INDEX(finPNLCh4Prod4Slot1LogExp,xxIndexTeam)</f>
        <v>18187879.831578948</v>
      </c>
      <c r="AA16" s="706">
        <f>INDEX(finPNLCh4Prod4Slot2LogExp,xxIndexTeam)</f>
        <v>0</v>
      </c>
      <c r="AB16" s="596">
        <f>INDEX(finPNLCh4Prod4Slot3LogExp,xxIndexTeam)</f>
        <v>0</v>
      </c>
      <c r="AC16" s="701"/>
      <c r="AE16" s="554"/>
      <c r="AF16" s="720" t="s">
        <v>517</v>
      </c>
      <c r="AG16" s="730">
        <f>INDEX(calcCh4Prod2CustProfitTot,,xxIndexTeam)</f>
        <v>998823639.23999989</v>
      </c>
      <c r="AH16" s="584" t="s">
        <v>5114</v>
      </c>
      <c r="AI16" s="554"/>
      <c r="AJ16" s="720" t="s">
        <v>517</v>
      </c>
      <c r="AK16" s="730">
        <f>INDEX(calcCh4Prod1CustProfitTot,,xxIndexTeam)</f>
        <v>1734170850</v>
      </c>
      <c r="AL16" s="584" t="s">
        <v>5108</v>
      </c>
      <c r="AM16" s="554"/>
      <c r="AN16" s="720" t="s">
        <v>517</v>
      </c>
      <c r="AO16" s="730">
        <f>INDEX(calcCh4Prod4CustProfitTot,,xxIndexTeam)</f>
        <v>2479479686.2499995</v>
      </c>
      <c r="AP16" s="584" t="s">
        <v>5129</v>
      </c>
      <c r="AQ16" s="554"/>
      <c r="AR16" s="720" t="s">
        <v>517</v>
      </c>
      <c r="AS16" s="585">
        <f>tlOutputCh4Prod1CustProfit+tlOutputCh4Prod2CustProfit+tlOutputCh4Prod3CustProfit+tlOutputCh4Prod4CustProfit</f>
        <v>6060192095.4899998</v>
      </c>
      <c r="AT16" s="584" t="s">
        <v>5137</v>
      </c>
    </row>
    <row r="17" spans="4:46" ht="15">
      <c r="D17" s="554"/>
      <c r="E17" s="585">
        <f t="shared" si="0"/>
        <v>35470.073125594252</v>
      </c>
      <c r="F17" s="720" t="s">
        <v>5064</v>
      </c>
      <c r="G17" s="720"/>
      <c r="H17" s="720"/>
      <c r="I17" s="720"/>
      <c r="J17" s="720"/>
      <c r="K17" s="608" t="s">
        <v>521</v>
      </c>
      <c r="L17" s="706">
        <f t="shared" si="1"/>
        <v>382743157.08090085</v>
      </c>
      <c r="M17" s="706">
        <f t="shared" si="2"/>
        <v>35470073.125594251</v>
      </c>
      <c r="N17" s="706">
        <f>INDEX(finPNLCh4Prod2Slot1GPaL,xxIndexTeam)</f>
        <v>35470073.125594251</v>
      </c>
      <c r="O17" s="706">
        <f>INDEX(finPNLCh4Prod2Slot2GPaL,xxIndexTeam)</f>
        <v>0</v>
      </c>
      <c r="P17" s="706">
        <f>INDEX(finPNLCh4Prod2Slot3GPaL,xxIndexTeam)</f>
        <v>0</v>
      </c>
      <c r="Q17" s="706">
        <f t="shared" si="3"/>
        <v>58767510.985484987</v>
      </c>
      <c r="R17" s="706">
        <f>INDEX(finPNLCh4Prod3Slot1GPaL,xxIndexTeam)</f>
        <v>58767510.985484987</v>
      </c>
      <c r="S17" s="706">
        <f>INDEX(finPNLCh4Prod3Slot2GPaL,xxIndexTeam)</f>
        <v>0</v>
      </c>
      <c r="T17" s="706">
        <f>INDEX(finPNLCh4Prod3Slot3GPaL,xxIndexTeam)</f>
        <v>0</v>
      </c>
      <c r="U17" s="706">
        <f t="shared" si="4"/>
        <v>110210491.49679507</v>
      </c>
      <c r="V17" s="706">
        <f>INDEX(finPNLCh4Prod1Slot1GPaL,xxIndexTeam)</f>
        <v>110210491.49679507</v>
      </c>
      <c r="W17" s="706">
        <f>INDEX(finPNLCh4Prod1Slot2GPaL,xxIndexTeam)</f>
        <v>0</v>
      </c>
      <c r="X17" s="706">
        <f>INDEX(finPNLCh4Prod1Slot3GPaL,xxIndexTeam)</f>
        <v>0</v>
      </c>
      <c r="Y17" s="706">
        <f t="shared" si="5"/>
        <v>178295081.47302654</v>
      </c>
      <c r="Z17" s="706">
        <f>INDEX(finPNLCh4Prod4Slot1GPaL,xxIndexTeam)</f>
        <v>178295081.47302654</v>
      </c>
      <c r="AA17" s="706">
        <f>INDEX(finPNLCh4Prod4Slot2GPaL,xxIndexTeam)</f>
        <v>0</v>
      </c>
      <c r="AB17" s="596">
        <f>INDEX(finPNLCh4Prod4Slot3GPaL,xxIndexTeam)</f>
        <v>0</v>
      </c>
      <c r="AC17" s="701"/>
      <c r="AE17" s="731" t="str">
        <f>"Column 2 ("&amp;nmProd3&amp;")"</f>
        <v>Column 2 (Kara)</v>
      </c>
      <c r="AF17" s="720"/>
      <c r="AG17" s="720"/>
      <c r="AH17" s="584"/>
      <c r="AI17" s="554"/>
      <c r="AJ17" s="720"/>
      <c r="AK17" s="720"/>
      <c r="AL17" s="584"/>
      <c r="AM17" s="554"/>
      <c r="AN17" s="720"/>
      <c r="AO17" s="720"/>
      <c r="AP17" s="584"/>
      <c r="AQ17" s="554"/>
      <c r="AR17" s="720"/>
      <c r="AS17" s="720"/>
      <c r="AT17" s="584"/>
    </row>
    <row r="18" spans="4:46" ht="15">
      <c r="D18" s="554"/>
      <c r="E18" s="604" t="str">
        <f t="shared" ref="E18:E56" si="6">INDEX(L18:AB18,,calcCh4VtCode)</f>
        <v/>
      </c>
      <c r="F18" s="720" t="s">
        <v>5065</v>
      </c>
      <c r="G18" s="720"/>
      <c r="H18" s="720"/>
      <c r="I18" s="720"/>
      <c r="J18" s="551" t="s">
        <v>3762</v>
      </c>
      <c r="K18" s="608" t="s">
        <v>1394</v>
      </c>
      <c r="L18" s="703" t="str">
        <f>""</f>
        <v/>
      </c>
      <c r="M18" s="703" t="str">
        <f>""</f>
        <v/>
      </c>
      <c r="N18" s="703" t="str">
        <f>""</f>
        <v/>
      </c>
      <c r="O18" s="703" t="str">
        <f>""</f>
        <v/>
      </c>
      <c r="P18" s="703" t="str">
        <f>""</f>
        <v/>
      </c>
      <c r="Q18" s="703" t="str">
        <f>""</f>
        <v/>
      </c>
      <c r="R18" s="703" t="str">
        <f>""</f>
        <v/>
      </c>
      <c r="S18" s="703" t="str">
        <f>""</f>
        <v/>
      </c>
      <c r="T18" s="703" t="str">
        <f>""</f>
        <v/>
      </c>
      <c r="U18" s="703" t="str">
        <f>""</f>
        <v/>
      </c>
      <c r="V18" s="703" t="str">
        <f>""</f>
        <v/>
      </c>
      <c r="W18" s="703" t="str">
        <f>""</f>
        <v/>
      </c>
      <c r="X18" s="703" t="str">
        <f>""</f>
        <v/>
      </c>
      <c r="Y18" s="703" t="str">
        <f>""</f>
        <v/>
      </c>
      <c r="Z18" s="703" t="str">
        <f>""</f>
        <v/>
      </c>
      <c r="AA18" s="703" t="str">
        <f>""</f>
        <v/>
      </c>
      <c r="AB18" s="550" t="str">
        <f>""</f>
        <v/>
      </c>
      <c r="AC18" s="701"/>
      <c r="AE18" s="554"/>
      <c r="AF18" s="720" t="s">
        <v>1392</v>
      </c>
      <c r="AG18" s="585">
        <f>INDEX(calcCh4Prod3VolForecastProd,,xxIndexTeam)</f>
        <v>23547720</v>
      </c>
      <c r="AH18" s="584" t="s">
        <v>5120</v>
      </c>
      <c r="AI18" s="554"/>
      <c r="AJ18" s="720"/>
      <c r="AK18" s="720"/>
      <c r="AL18" s="584"/>
      <c r="AM18" s="554"/>
      <c r="AN18" s="720"/>
      <c r="AO18" s="720"/>
      <c r="AP18" s="584"/>
      <c r="AQ18" s="554"/>
      <c r="AR18" s="720"/>
      <c r="AS18" s="720"/>
      <c r="AT18" s="584"/>
    </row>
    <row r="19" spans="4:46" ht="15">
      <c r="D19" s="554"/>
      <c r="E19" s="604" t="str">
        <f t="shared" si="6"/>
        <v/>
      </c>
      <c r="F19" s="720" t="s">
        <v>5066</v>
      </c>
      <c r="G19" s="720"/>
      <c r="H19" s="720"/>
      <c r="I19" s="720"/>
      <c r="J19" s="551" t="s">
        <v>3763</v>
      </c>
      <c r="K19" s="608" t="s">
        <v>1395</v>
      </c>
      <c r="L19" s="703" t="str">
        <f>""</f>
        <v/>
      </c>
      <c r="M19" s="703" t="str">
        <f>""</f>
        <v/>
      </c>
      <c r="N19" s="703" t="str">
        <f>""</f>
        <v/>
      </c>
      <c r="O19" s="703" t="str">
        <f>""</f>
        <v/>
      </c>
      <c r="P19" s="703" t="str">
        <f>""</f>
        <v/>
      </c>
      <c r="Q19" s="703" t="str">
        <f>""</f>
        <v/>
      </c>
      <c r="R19" s="703" t="str">
        <f>""</f>
        <v/>
      </c>
      <c r="S19" s="703" t="str">
        <f>""</f>
        <v/>
      </c>
      <c r="T19" s="703" t="str">
        <f>""</f>
        <v/>
      </c>
      <c r="U19" s="703" t="str">
        <f>""</f>
        <v/>
      </c>
      <c r="V19" s="703" t="str">
        <f>""</f>
        <v/>
      </c>
      <c r="W19" s="703" t="str">
        <f>""</f>
        <v/>
      </c>
      <c r="X19" s="703" t="str">
        <f>""</f>
        <v/>
      </c>
      <c r="Y19" s="703" t="str">
        <f>""</f>
        <v/>
      </c>
      <c r="Z19" s="703" t="str">
        <f>""</f>
        <v/>
      </c>
      <c r="AA19" s="703" t="str">
        <f>""</f>
        <v/>
      </c>
      <c r="AB19" s="550" t="str">
        <f>""</f>
        <v/>
      </c>
      <c r="AC19" s="701"/>
      <c r="AE19" s="554"/>
      <c r="AF19" s="720" t="s">
        <v>1397</v>
      </c>
      <c r="AG19" s="585">
        <f>INDEX(finPNLCh4Prod3Slot1TotalRev,,xxIndexTeam)+INDEX(finPNLCh4Prod3Slot2TotalRev,,xxIndexTeam)+INDEX(finPNLCh4Prod3Slot3TotalRev,,xxIndexTeam)</f>
        <v>110478246.4072157</v>
      </c>
      <c r="AH19" s="584" t="s">
        <v>5121</v>
      </c>
      <c r="AI19" s="554"/>
      <c r="AJ19" s="720"/>
      <c r="AK19" s="720"/>
      <c r="AL19" s="584"/>
      <c r="AM19" s="554"/>
      <c r="AN19" s="720"/>
      <c r="AO19" s="720"/>
      <c r="AP19" s="584"/>
      <c r="AQ19" s="554"/>
      <c r="AR19" s="720"/>
      <c r="AS19" s="720"/>
      <c r="AT19" s="584"/>
    </row>
    <row r="20" spans="4:46" ht="15">
      <c r="D20" s="554"/>
      <c r="E20" s="604" t="str">
        <f t="shared" si="6"/>
        <v/>
      </c>
      <c r="F20" s="720" t="s">
        <v>5067</v>
      </c>
      <c r="G20" s="720"/>
      <c r="H20" s="720"/>
      <c r="I20" s="720"/>
      <c r="J20" s="720"/>
      <c r="K20" s="608" t="s">
        <v>694</v>
      </c>
      <c r="L20" s="703" t="str">
        <f>""</f>
        <v/>
      </c>
      <c r="M20" s="703" t="str">
        <f>""</f>
        <v/>
      </c>
      <c r="N20" s="703" t="str">
        <f>""</f>
        <v/>
      </c>
      <c r="O20" s="703" t="str">
        <f>""</f>
        <v/>
      </c>
      <c r="P20" s="703" t="str">
        <f>""</f>
        <v/>
      </c>
      <c r="Q20" s="703" t="str">
        <f>""</f>
        <v/>
      </c>
      <c r="R20" s="703" t="str">
        <f>""</f>
        <v/>
      </c>
      <c r="S20" s="703" t="str">
        <f>""</f>
        <v/>
      </c>
      <c r="T20" s="703" t="str">
        <f>""</f>
        <v/>
      </c>
      <c r="U20" s="703" t="str">
        <f>""</f>
        <v/>
      </c>
      <c r="V20" s="703" t="str">
        <f>""</f>
        <v/>
      </c>
      <c r="W20" s="703" t="str">
        <f>""</f>
        <v/>
      </c>
      <c r="X20" s="703" t="str">
        <f>""</f>
        <v/>
      </c>
      <c r="Y20" s="703" t="str">
        <f>""</f>
        <v/>
      </c>
      <c r="Z20" s="703" t="str">
        <f>""</f>
        <v/>
      </c>
      <c r="AA20" s="703" t="str">
        <f>""</f>
        <v/>
      </c>
      <c r="AB20" s="550" t="str">
        <f>""</f>
        <v/>
      </c>
      <c r="AC20" s="701"/>
      <c r="AE20" s="554"/>
      <c r="AF20" s="720" t="s">
        <v>521</v>
      </c>
      <c r="AG20" s="585">
        <f>INDEX(finPNLCh4Prod3Slot1GPaL,,xxIndexTeam)+INDEX(finPNLCh4Prod3Slot2GPaL,,xxIndexTeam)+INDEX(finPNLCh4Prod3Slot3GPaL,,xxIndexTeam)</f>
        <v>58767510.985484987</v>
      </c>
      <c r="AH20" s="584" t="s">
        <v>5122</v>
      </c>
      <c r="AI20" s="554"/>
      <c r="AJ20" s="720"/>
      <c r="AK20" s="720"/>
      <c r="AL20" s="584"/>
      <c r="AM20" s="554"/>
      <c r="AN20" s="720"/>
      <c r="AO20" s="720"/>
      <c r="AP20" s="584"/>
      <c r="AQ20" s="554"/>
      <c r="AR20" s="720"/>
      <c r="AS20" s="720"/>
      <c r="AT20" s="584"/>
    </row>
    <row r="21" spans="4:46" ht="15.75" thickBot="1">
      <c r="D21" s="554"/>
      <c r="E21" s="604" t="str">
        <f t="shared" si="6"/>
        <v/>
      </c>
      <c r="F21" s="720" t="s">
        <v>5068</v>
      </c>
      <c r="G21" s="720"/>
      <c r="H21" s="720"/>
      <c r="I21" s="720"/>
      <c r="J21" s="720"/>
      <c r="K21" s="608" t="s">
        <v>1396</v>
      </c>
      <c r="L21" s="703" t="str">
        <f>""</f>
        <v/>
      </c>
      <c r="M21" s="703" t="str">
        <f>""</f>
        <v/>
      </c>
      <c r="N21" s="703" t="str">
        <f>""</f>
        <v/>
      </c>
      <c r="O21" s="703" t="str">
        <f>""</f>
        <v/>
      </c>
      <c r="P21" s="703" t="str">
        <f>""</f>
        <v/>
      </c>
      <c r="Q21" s="703" t="str">
        <f>""</f>
        <v/>
      </c>
      <c r="R21" s="703" t="str">
        <f>""</f>
        <v/>
      </c>
      <c r="S21" s="703" t="str">
        <f>""</f>
        <v/>
      </c>
      <c r="T21" s="703" t="str">
        <f>""</f>
        <v/>
      </c>
      <c r="U21" s="703" t="str">
        <f>""</f>
        <v/>
      </c>
      <c r="V21" s="703" t="str">
        <f>""</f>
        <v/>
      </c>
      <c r="W21" s="703" t="str">
        <f>""</f>
        <v/>
      </c>
      <c r="X21" s="703" t="str">
        <f>""</f>
        <v/>
      </c>
      <c r="Y21" s="703" t="str">
        <f>""</f>
        <v/>
      </c>
      <c r="Z21" s="703" t="str">
        <f>""</f>
        <v/>
      </c>
      <c r="AA21" s="703" t="str">
        <f>""</f>
        <v/>
      </c>
      <c r="AB21" s="550" t="str">
        <f>""</f>
        <v/>
      </c>
      <c r="AC21" s="701"/>
      <c r="AE21" s="546"/>
      <c r="AF21" s="544" t="s">
        <v>517</v>
      </c>
      <c r="AG21" s="732">
        <f>INDEX(calcCh4Prod3CustProfitTot,,xxIndexTeam)</f>
        <v>847717920</v>
      </c>
      <c r="AH21" s="733" t="s">
        <v>5123</v>
      </c>
      <c r="AI21" s="546"/>
      <c r="AJ21" s="544"/>
      <c r="AK21" s="544"/>
      <c r="AL21" s="733"/>
      <c r="AM21" s="546"/>
      <c r="AN21" s="544"/>
      <c r="AO21" s="544"/>
      <c r="AP21" s="733"/>
      <c r="AQ21" s="546"/>
      <c r="AR21" s="544"/>
      <c r="AS21" s="544"/>
      <c r="AT21" s="733"/>
    </row>
    <row r="22" spans="4:46" ht="15">
      <c r="D22" s="554"/>
      <c r="E22" s="604">
        <f t="shared" si="6"/>
        <v>1</v>
      </c>
      <c r="F22" s="720" t="s">
        <v>5069</v>
      </c>
      <c r="G22" s="720"/>
      <c r="H22" s="720"/>
      <c r="I22" s="720"/>
      <c r="J22" s="720"/>
      <c r="K22" s="608" t="s">
        <v>1397</v>
      </c>
      <c r="L22" s="705">
        <f t="shared" ref="L22:AB30" si="7">IF(L$9=0,0%,L9/L$9)</f>
        <v>1</v>
      </c>
      <c r="M22" s="705">
        <f t="shared" si="7"/>
        <v>1</v>
      </c>
      <c r="N22" s="705">
        <f t="shared" si="7"/>
        <v>1</v>
      </c>
      <c r="O22" s="705">
        <f t="shared" si="7"/>
        <v>0</v>
      </c>
      <c r="P22" s="705">
        <f t="shared" si="7"/>
        <v>0</v>
      </c>
      <c r="Q22" s="705">
        <f t="shared" si="7"/>
        <v>1</v>
      </c>
      <c r="R22" s="705">
        <f t="shared" si="7"/>
        <v>1</v>
      </c>
      <c r="S22" s="705">
        <f t="shared" si="7"/>
        <v>0</v>
      </c>
      <c r="T22" s="705">
        <f t="shared" si="7"/>
        <v>0</v>
      </c>
      <c r="U22" s="705">
        <f t="shared" si="7"/>
        <v>1</v>
      </c>
      <c r="V22" s="705">
        <f t="shared" si="7"/>
        <v>1</v>
      </c>
      <c r="W22" s="705">
        <f t="shared" si="7"/>
        <v>0</v>
      </c>
      <c r="X22" s="705">
        <f t="shared" si="7"/>
        <v>0</v>
      </c>
      <c r="Y22" s="705">
        <f t="shared" si="7"/>
        <v>1</v>
      </c>
      <c r="Z22" s="705">
        <f t="shared" si="7"/>
        <v>1</v>
      </c>
      <c r="AA22" s="705">
        <f t="shared" si="7"/>
        <v>0</v>
      </c>
      <c r="AB22" s="549">
        <f t="shared" si="7"/>
        <v>0</v>
      </c>
      <c r="AC22" s="701"/>
    </row>
    <row r="23" spans="4:46" ht="15.75" thickBot="1">
      <c r="D23" s="554"/>
      <c r="E23" s="604">
        <f t="shared" si="6"/>
        <v>0.42928645712695024</v>
      </c>
      <c r="F23" s="720" t="s">
        <v>5070</v>
      </c>
      <c r="G23" s="720"/>
      <c r="H23" s="720"/>
      <c r="I23" s="720"/>
      <c r="J23" s="720"/>
      <c r="K23" s="608" t="s">
        <v>1398</v>
      </c>
      <c r="L23" s="705">
        <f t="shared" si="7"/>
        <v>0.32895606019384604</v>
      </c>
      <c r="M23" s="705">
        <f t="shared" si="7"/>
        <v>0.42928645712695024</v>
      </c>
      <c r="N23" s="705">
        <f t="shared" si="7"/>
        <v>0.42928645712695024</v>
      </c>
      <c r="O23" s="705">
        <f t="shared" si="7"/>
        <v>0</v>
      </c>
      <c r="P23" s="705">
        <f t="shared" si="7"/>
        <v>0</v>
      </c>
      <c r="Q23" s="705">
        <f t="shared" si="7"/>
        <v>0.2928172209528403</v>
      </c>
      <c r="R23" s="705">
        <f t="shared" si="7"/>
        <v>0.2928172209528403</v>
      </c>
      <c r="S23" s="705">
        <f t="shared" si="7"/>
        <v>0</v>
      </c>
      <c r="T23" s="705">
        <f t="shared" si="7"/>
        <v>0</v>
      </c>
      <c r="U23" s="705">
        <f t="shared" si="7"/>
        <v>0.31440848481776862</v>
      </c>
      <c r="V23" s="705">
        <f t="shared" si="7"/>
        <v>0.31440848481776862</v>
      </c>
      <c r="W23" s="705">
        <f t="shared" si="7"/>
        <v>0</v>
      </c>
      <c r="X23" s="705">
        <f t="shared" si="7"/>
        <v>0</v>
      </c>
      <c r="Y23" s="705">
        <f t="shared" si="7"/>
        <v>0.31674890309157566</v>
      </c>
      <c r="Z23" s="705">
        <f t="shared" si="7"/>
        <v>0.31674890309157566</v>
      </c>
      <c r="AA23" s="705">
        <f t="shared" si="7"/>
        <v>0</v>
      </c>
      <c r="AB23" s="549">
        <f t="shared" si="7"/>
        <v>0</v>
      </c>
      <c r="AC23" s="701"/>
      <c r="AD23" s="628" t="s">
        <v>6744</v>
      </c>
      <c r="AE23" s="612" t="s">
        <v>1303</v>
      </c>
    </row>
    <row r="24" spans="4:46" ht="15">
      <c r="D24" s="554"/>
      <c r="E24" s="604">
        <f t="shared" si="6"/>
        <v>6.3130361342198557E-2</v>
      </c>
      <c r="F24" s="720" t="s">
        <v>5071</v>
      </c>
      <c r="G24" s="720"/>
      <c r="H24" s="720"/>
      <c r="I24" s="720"/>
      <c r="J24" s="720"/>
      <c r="K24" s="608" t="s">
        <v>575</v>
      </c>
      <c r="L24" s="705">
        <f t="shared" si="7"/>
        <v>4.8375891204977352E-2</v>
      </c>
      <c r="M24" s="705">
        <f t="shared" si="7"/>
        <v>6.3130361342198557E-2</v>
      </c>
      <c r="N24" s="705">
        <f t="shared" si="7"/>
        <v>6.3130361342198557E-2</v>
      </c>
      <c r="O24" s="705">
        <f t="shared" si="7"/>
        <v>0</v>
      </c>
      <c r="P24" s="705">
        <f t="shared" si="7"/>
        <v>0</v>
      </c>
      <c r="Q24" s="705">
        <f t="shared" si="7"/>
        <v>4.3061356022476502E-2</v>
      </c>
      <c r="R24" s="705">
        <f t="shared" si="7"/>
        <v>4.3061356022476502E-2</v>
      </c>
      <c r="S24" s="705">
        <f t="shared" si="7"/>
        <v>0</v>
      </c>
      <c r="T24" s="705">
        <f t="shared" si="7"/>
        <v>0</v>
      </c>
      <c r="U24" s="705">
        <f t="shared" si="7"/>
        <v>4.6236541884965968E-2</v>
      </c>
      <c r="V24" s="705">
        <f t="shared" si="7"/>
        <v>4.6236541884965968E-2</v>
      </c>
      <c r="W24" s="705">
        <f t="shared" si="7"/>
        <v>0</v>
      </c>
      <c r="X24" s="705">
        <f t="shared" si="7"/>
        <v>0</v>
      </c>
      <c r="Y24" s="705">
        <f t="shared" si="7"/>
        <v>4.6580721042878769E-2</v>
      </c>
      <c r="Z24" s="705">
        <f t="shared" si="7"/>
        <v>4.6580721042878769E-2</v>
      </c>
      <c r="AA24" s="705">
        <f t="shared" si="7"/>
        <v>0</v>
      </c>
      <c r="AB24" s="549">
        <f t="shared" si="7"/>
        <v>0</v>
      </c>
      <c r="AC24" s="701"/>
      <c r="AE24" s="555"/>
      <c r="AF24" s="600" t="s">
        <v>1293</v>
      </c>
      <c r="AG24" s="734">
        <f>INDEX(calcCh4ValDriv1Emp1Req,xxIndexTeam)</f>
        <v>1</v>
      </c>
      <c r="AH24" s="561" t="s">
        <v>6745</v>
      </c>
    </row>
    <row r="25" spans="4:46" ht="15">
      <c r="D25" s="554"/>
      <c r="E25" s="604">
        <f t="shared" si="6"/>
        <v>8.3627231907847432E-2</v>
      </c>
      <c r="F25" s="720" t="s">
        <v>5072</v>
      </c>
      <c r="G25" s="720"/>
      <c r="H25" s="720"/>
      <c r="I25" s="720"/>
      <c r="J25" s="720"/>
      <c r="K25" s="608" t="s">
        <v>1399</v>
      </c>
      <c r="L25" s="705">
        <f t="shared" si="7"/>
        <v>5.3951715468281203E-2</v>
      </c>
      <c r="M25" s="705">
        <f t="shared" si="7"/>
        <v>8.3627231907847432E-2</v>
      </c>
      <c r="N25" s="705">
        <f t="shared" si="7"/>
        <v>8.3627231907847432E-2</v>
      </c>
      <c r="O25" s="705">
        <f t="shared" si="7"/>
        <v>0</v>
      </c>
      <c r="P25" s="705">
        <f t="shared" si="7"/>
        <v>0</v>
      </c>
      <c r="Q25" s="705">
        <f t="shared" si="7"/>
        <v>5.7042315770033804E-2</v>
      </c>
      <c r="R25" s="705">
        <f t="shared" si="7"/>
        <v>5.7042315770033804E-2</v>
      </c>
      <c r="S25" s="705">
        <f t="shared" si="7"/>
        <v>0</v>
      </c>
      <c r="T25" s="705">
        <f t="shared" si="7"/>
        <v>0</v>
      </c>
      <c r="U25" s="705">
        <f t="shared" si="7"/>
        <v>6.1248406133331545E-2</v>
      </c>
      <c r="V25" s="705">
        <f t="shared" si="7"/>
        <v>6.1248406133331545E-2</v>
      </c>
      <c r="W25" s="705">
        <f t="shared" si="7"/>
        <v>0</v>
      </c>
      <c r="X25" s="705">
        <f t="shared" si="7"/>
        <v>0</v>
      </c>
      <c r="Y25" s="705">
        <f t="shared" si="7"/>
        <v>3.8231120814853768E-2</v>
      </c>
      <c r="Z25" s="705">
        <f t="shared" si="7"/>
        <v>3.8231120814853768E-2</v>
      </c>
      <c r="AA25" s="705">
        <f t="shared" si="7"/>
        <v>0</v>
      </c>
      <c r="AB25" s="549">
        <f t="shared" si="7"/>
        <v>0</v>
      </c>
      <c r="AC25" s="701"/>
      <c r="AE25" s="554"/>
      <c r="AF25" s="720"/>
      <c r="AG25" s="585">
        <f>INDEX(calcCh4ValDriv1Exp,xxIndexTeam)</f>
        <v>300000</v>
      </c>
      <c r="AH25" s="584" t="s">
        <v>5109</v>
      </c>
    </row>
    <row r="26" spans="4:46" ht="15">
      <c r="D26" s="554"/>
      <c r="E26" s="604">
        <f t="shared" si="6"/>
        <v>3.7219183014246954E-2</v>
      </c>
      <c r="F26" s="720" t="s">
        <v>5073</v>
      </c>
      <c r="G26" s="720"/>
      <c r="H26" s="720"/>
      <c r="I26" s="720"/>
      <c r="J26" s="720"/>
      <c r="K26" s="608" t="s">
        <v>398</v>
      </c>
      <c r="L26" s="705">
        <f t="shared" si="7"/>
        <v>2.4011780925133144E-2</v>
      </c>
      <c r="M26" s="705">
        <f t="shared" si="7"/>
        <v>3.7219183014246954E-2</v>
      </c>
      <c r="N26" s="705">
        <f t="shared" si="7"/>
        <v>3.7219183014246954E-2</v>
      </c>
      <c r="O26" s="705">
        <f t="shared" si="7"/>
        <v>0</v>
      </c>
      <c r="P26" s="705">
        <f t="shared" si="7"/>
        <v>0</v>
      </c>
      <c r="Q26" s="705">
        <f t="shared" si="7"/>
        <v>2.5387285239105571E-2</v>
      </c>
      <c r="R26" s="705">
        <f t="shared" si="7"/>
        <v>2.5387285239105571E-2</v>
      </c>
      <c r="S26" s="705">
        <f t="shared" si="7"/>
        <v>0</v>
      </c>
      <c r="T26" s="705">
        <f t="shared" si="7"/>
        <v>0</v>
      </c>
      <c r="U26" s="705">
        <f t="shared" si="7"/>
        <v>2.7259250189213519E-2</v>
      </c>
      <c r="V26" s="705">
        <f t="shared" si="7"/>
        <v>2.7259250189213519E-2</v>
      </c>
      <c r="W26" s="705">
        <f t="shared" si="7"/>
        <v>0</v>
      </c>
      <c r="X26" s="705">
        <f t="shared" si="7"/>
        <v>0</v>
      </c>
      <c r="Y26" s="705">
        <f t="shared" si="7"/>
        <v>1.7015164199334253E-2</v>
      </c>
      <c r="Z26" s="705">
        <f t="shared" si="7"/>
        <v>1.7015164199334253E-2</v>
      </c>
      <c r="AA26" s="705">
        <f t="shared" si="7"/>
        <v>0</v>
      </c>
      <c r="AB26" s="549">
        <f t="shared" si="7"/>
        <v>0</v>
      </c>
      <c r="AC26" s="701"/>
      <c r="AE26" s="554"/>
      <c r="AF26" s="720" t="s">
        <v>1411</v>
      </c>
      <c r="AG26" s="553">
        <f>INDEX(calcCh4ValDriv2Emp1Req,xxIndexTeam)</f>
        <v>1</v>
      </c>
      <c r="AH26" s="584" t="s">
        <v>6746</v>
      </c>
    </row>
    <row r="27" spans="4:46" ht="15">
      <c r="D27" s="554"/>
      <c r="E27" s="604">
        <f t="shared" si="6"/>
        <v>0.61326323339124333</v>
      </c>
      <c r="F27" s="720" t="s">
        <v>5074</v>
      </c>
      <c r="G27" s="720"/>
      <c r="H27" s="720"/>
      <c r="I27" s="720"/>
      <c r="J27" s="720"/>
      <c r="K27" s="608" t="s">
        <v>157</v>
      </c>
      <c r="L27" s="705">
        <f t="shared" si="7"/>
        <v>0.4552954477922378</v>
      </c>
      <c r="M27" s="705">
        <f t="shared" si="7"/>
        <v>0.61326323339124333</v>
      </c>
      <c r="N27" s="705">
        <f t="shared" si="7"/>
        <v>0.61326323339124333</v>
      </c>
      <c r="O27" s="705">
        <f t="shared" si="7"/>
        <v>0</v>
      </c>
      <c r="P27" s="705">
        <f t="shared" si="7"/>
        <v>0</v>
      </c>
      <c r="Q27" s="705">
        <f t="shared" si="7"/>
        <v>0.41830817798445613</v>
      </c>
      <c r="R27" s="705">
        <f t="shared" si="7"/>
        <v>0.41830817798445613</v>
      </c>
      <c r="S27" s="705">
        <f t="shared" si="7"/>
        <v>0</v>
      </c>
      <c r="T27" s="705">
        <f t="shared" si="7"/>
        <v>0</v>
      </c>
      <c r="U27" s="705">
        <f t="shared" si="7"/>
        <v>0.44915268302527972</v>
      </c>
      <c r="V27" s="705">
        <f t="shared" si="7"/>
        <v>0.44915268302527972</v>
      </c>
      <c r="W27" s="705">
        <f t="shared" si="7"/>
        <v>0</v>
      </c>
      <c r="X27" s="705">
        <f t="shared" si="7"/>
        <v>0</v>
      </c>
      <c r="Y27" s="705">
        <f t="shared" si="7"/>
        <v>0.41857590914864251</v>
      </c>
      <c r="Z27" s="705">
        <f t="shared" si="7"/>
        <v>0.41857590914864251</v>
      </c>
      <c r="AA27" s="705">
        <f t="shared" si="7"/>
        <v>0</v>
      </c>
      <c r="AB27" s="549">
        <f t="shared" si="7"/>
        <v>0</v>
      </c>
      <c r="AC27" s="701"/>
      <c r="AE27" s="554"/>
      <c r="AF27" s="720"/>
      <c r="AG27" s="585">
        <f>INDEX(calcCh4ValDriv2Exp,xxIndexTeam)</f>
        <v>300000</v>
      </c>
      <c r="AH27" s="584" t="s">
        <v>5115</v>
      </c>
    </row>
    <row r="28" spans="4:46" ht="15">
      <c r="D28" s="554"/>
      <c r="E28" s="604">
        <f t="shared" si="6"/>
        <v>0.38673676660875672</v>
      </c>
      <c r="F28" s="720" t="s">
        <v>5075</v>
      </c>
      <c r="G28" s="720"/>
      <c r="H28" s="720"/>
      <c r="I28" s="720"/>
      <c r="J28" s="720"/>
      <c r="K28" s="608" t="s">
        <v>160</v>
      </c>
      <c r="L28" s="705">
        <f t="shared" si="7"/>
        <v>0.54470455220776226</v>
      </c>
      <c r="M28" s="705">
        <f t="shared" si="7"/>
        <v>0.38673676660875672</v>
      </c>
      <c r="N28" s="705">
        <f t="shared" si="7"/>
        <v>0.38673676660875672</v>
      </c>
      <c r="O28" s="705">
        <f t="shared" si="7"/>
        <v>0</v>
      </c>
      <c r="P28" s="705">
        <f t="shared" si="7"/>
        <v>0</v>
      </c>
      <c r="Q28" s="705">
        <f t="shared" si="7"/>
        <v>0.58169182201554381</v>
      </c>
      <c r="R28" s="705">
        <f t="shared" si="7"/>
        <v>0.58169182201554381</v>
      </c>
      <c r="S28" s="705">
        <f t="shared" si="7"/>
        <v>0</v>
      </c>
      <c r="T28" s="705">
        <f t="shared" si="7"/>
        <v>0</v>
      </c>
      <c r="U28" s="705">
        <f t="shared" si="7"/>
        <v>0.55084731697472022</v>
      </c>
      <c r="V28" s="705">
        <f t="shared" si="7"/>
        <v>0.55084731697472022</v>
      </c>
      <c r="W28" s="705">
        <f t="shared" si="7"/>
        <v>0</v>
      </c>
      <c r="X28" s="705">
        <f t="shared" si="7"/>
        <v>0</v>
      </c>
      <c r="Y28" s="705">
        <f t="shared" si="7"/>
        <v>0.58142409085135749</v>
      </c>
      <c r="Z28" s="705">
        <f t="shared" si="7"/>
        <v>0.58142409085135749</v>
      </c>
      <c r="AA28" s="705">
        <f t="shared" si="7"/>
        <v>0</v>
      </c>
      <c r="AB28" s="549">
        <f t="shared" si="7"/>
        <v>0</v>
      </c>
      <c r="AC28" s="701"/>
      <c r="AE28" s="554"/>
      <c r="AF28" s="720" t="s">
        <v>1294</v>
      </c>
      <c r="AG28" s="553">
        <f>INDEX(calcCh4ValDriv3Emp1Req,xxIndexTeam)</f>
        <v>1</v>
      </c>
      <c r="AH28" s="584" t="s">
        <v>6747</v>
      </c>
    </row>
    <row r="29" spans="4:46" ht="15">
      <c r="D29" s="554"/>
      <c r="E29" s="604">
        <f t="shared" si="6"/>
        <v>7.2942773395684168E-2</v>
      </c>
      <c r="F29" s="720" t="s">
        <v>5076</v>
      </c>
      <c r="G29" s="720"/>
      <c r="H29" s="720"/>
      <c r="I29" s="720"/>
      <c r="J29" s="720"/>
      <c r="K29" s="608" t="s">
        <v>519</v>
      </c>
      <c r="L29" s="705">
        <f t="shared" si="7"/>
        <v>5.5895001944496155E-2</v>
      </c>
      <c r="M29" s="705">
        <f t="shared" si="7"/>
        <v>7.2942773395684168E-2</v>
      </c>
      <c r="N29" s="705">
        <f t="shared" si="7"/>
        <v>7.2942773395684168E-2</v>
      </c>
      <c r="O29" s="705">
        <f t="shared" si="7"/>
        <v>0</v>
      </c>
      <c r="P29" s="705">
        <f t="shared" si="7"/>
        <v>0</v>
      </c>
      <c r="Q29" s="705">
        <f t="shared" si="7"/>
        <v>4.9754423508404956E-2</v>
      </c>
      <c r="R29" s="705">
        <f t="shared" si="7"/>
        <v>4.9754423508404956E-2</v>
      </c>
      <c r="S29" s="705">
        <f t="shared" si="7"/>
        <v>0</v>
      </c>
      <c r="T29" s="705">
        <f t="shared" si="7"/>
        <v>0</v>
      </c>
      <c r="U29" s="705">
        <f t="shared" si="7"/>
        <v>5.3423131526743745E-2</v>
      </c>
      <c r="V29" s="705">
        <f t="shared" si="7"/>
        <v>5.3423131526743745E-2</v>
      </c>
      <c r="W29" s="705">
        <f t="shared" si="7"/>
        <v>0</v>
      </c>
      <c r="X29" s="705">
        <f t="shared" si="7"/>
        <v>0</v>
      </c>
      <c r="Y29" s="705">
        <f t="shared" si="7"/>
        <v>5.3820806778229577E-2</v>
      </c>
      <c r="Z29" s="705">
        <f t="shared" si="7"/>
        <v>5.3820806778229577E-2</v>
      </c>
      <c r="AA29" s="705">
        <f t="shared" si="7"/>
        <v>0</v>
      </c>
      <c r="AB29" s="549">
        <f t="shared" si="7"/>
        <v>0</v>
      </c>
      <c r="AC29" s="701"/>
      <c r="AE29" s="554"/>
      <c r="AF29" s="720"/>
      <c r="AG29" s="585">
        <f>INDEX(calcCh4ValDriv3Exp,xxIndexTeam)</f>
        <v>300000</v>
      </c>
      <c r="AH29" s="584" t="s">
        <v>5124</v>
      </c>
    </row>
    <row r="30" spans="4:46" ht="15">
      <c r="D30" s="554"/>
      <c r="E30" s="604">
        <f t="shared" si="6"/>
        <v>0.31379399321307255</v>
      </c>
      <c r="F30" s="720" t="s">
        <v>5077</v>
      </c>
      <c r="G30" s="720"/>
      <c r="H30" s="720"/>
      <c r="I30" s="720"/>
      <c r="J30" s="720"/>
      <c r="K30" s="608" t="s">
        <v>521</v>
      </c>
      <c r="L30" s="705">
        <f t="shared" si="7"/>
        <v>0.48880955026326617</v>
      </c>
      <c r="M30" s="705">
        <f t="shared" si="7"/>
        <v>0.31379399321307255</v>
      </c>
      <c r="N30" s="705">
        <f t="shared" si="7"/>
        <v>0.31379399321307255</v>
      </c>
      <c r="O30" s="705">
        <f t="shared" si="7"/>
        <v>0</v>
      </c>
      <c r="P30" s="705">
        <f t="shared" si="7"/>
        <v>0</v>
      </c>
      <c r="Q30" s="705">
        <f t="shared" si="7"/>
        <v>0.53193739850713895</v>
      </c>
      <c r="R30" s="705">
        <f t="shared" si="7"/>
        <v>0.53193739850713895</v>
      </c>
      <c r="S30" s="705">
        <f t="shared" si="7"/>
        <v>0</v>
      </c>
      <c r="T30" s="705">
        <f t="shared" si="7"/>
        <v>0</v>
      </c>
      <c r="U30" s="705">
        <f t="shared" si="7"/>
        <v>0.49742418544797651</v>
      </c>
      <c r="V30" s="705">
        <f t="shared" si="7"/>
        <v>0.49742418544797651</v>
      </c>
      <c r="W30" s="705">
        <f t="shared" si="7"/>
        <v>0</v>
      </c>
      <c r="X30" s="705">
        <f t="shared" si="7"/>
        <v>0</v>
      </c>
      <c r="Y30" s="705">
        <f t="shared" si="7"/>
        <v>0.52760328407312795</v>
      </c>
      <c r="Z30" s="705">
        <f t="shared" si="7"/>
        <v>0.52760328407312795</v>
      </c>
      <c r="AA30" s="705">
        <f t="shared" si="7"/>
        <v>0</v>
      </c>
      <c r="AB30" s="549">
        <f t="shared" si="7"/>
        <v>0</v>
      </c>
      <c r="AC30" s="701"/>
      <c r="AE30" s="554"/>
      <c r="AF30" s="720" t="s">
        <v>5196</v>
      </c>
      <c r="AG30" s="553">
        <f>INDEX(calcCh4ValDriv4Emp1Req,xxIndexTeam)</f>
        <v>1</v>
      </c>
      <c r="AH30" s="584" t="s">
        <v>6748</v>
      </c>
    </row>
    <row r="31" spans="4:46" ht="15">
      <c r="D31" s="554"/>
      <c r="E31" s="548">
        <f t="shared" si="6"/>
        <v>7.2</v>
      </c>
      <c r="F31" s="720" t="s">
        <v>5078</v>
      </c>
      <c r="G31" s="720"/>
      <c r="H31" s="720"/>
      <c r="I31" s="720"/>
      <c r="J31" s="551" t="s">
        <v>3760</v>
      </c>
      <c r="K31" s="608" t="s">
        <v>1394</v>
      </c>
      <c r="L31" s="708">
        <f t="shared" ref="L31:L43" si="8">IF(L5=0,0,L5/INDEX(finCalcCh4VolSold,,xxIndexTeam))</f>
        <v>7.6095203488372096</v>
      </c>
      <c r="M31" s="708">
        <f t="shared" ref="M31:M43" si="9">IF(M5=0,0,M5/INDEX(finCalcCh4Prod2VolSold,,xxIndexTeam))</f>
        <v>7.2</v>
      </c>
      <c r="N31" s="708">
        <f t="shared" ref="N31:N43" si="10">IF(N5=0,0,N5/INDEX(finCalcCh4Prod2Slot1VolSold,,xxIndexTeam))</f>
        <v>7.2</v>
      </c>
      <c r="O31" s="708">
        <f t="shared" ref="O31:O43" si="11">IF(O5=0,0,O5/INDEX(finCalcCh4Prod2Slot2VolSold,,xxIndexTeam))</f>
        <v>0</v>
      </c>
      <c r="P31" s="708">
        <f t="shared" ref="P31:P43" si="12">IF(P5=0,0,P5/INDEX(finCalcCh4Prod2Slot3VolSold,,xxIndexTeam))</f>
        <v>0</v>
      </c>
      <c r="Q31" s="708">
        <f t="shared" ref="Q31:Q43" si="13">IF(Q5=0,0,Q5/INDEX(finCalcCh4Prod3VolSold,,xxIndexTeam))</f>
        <v>7.2</v>
      </c>
      <c r="R31" s="708">
        <f t="shared" ref="R31:R43" si="14">IF(R5=0,0,R5/INDEX(finCalcCh4Prod3Slot1VolSold,,xxIndexTeam))</f>
        <v>7.2</v>
      </c>
      <c r="S31" s="708">
        <f t="shared" ref="S31:S43" si="15">IF(S5=0,0,S5/INDEX(finCalcCh4Prod3Slot2VolSold,,xxIndexTeam))</f>
        <v>0</v>
      </c>
      <c r="T31" s="708">
        <f t="shared" ref="T31:T43" si="16">IF(T5=0,0,T5/INDEX(finCalcCh4Prod3Slot3VolSold,,xxIndexTeam))</f>
        <v>0</v>
      </c>
      <c r="U31" s="708">
        <f t="shared" ref="U31:U43" si="17">IF(U5=0,0,U5/INDEX(finCalcCh4Prod1VolSold,,xxIndexTeam))</f>
        <v>7.2</v>
      </c>
      <c r="V31" s="708">
        <f t="shared" ref="V31:V43" si="18">IF(V5=0,0,V5/INDEX(finCalcCh4Prod1Slot1VolSold,,xxIndexTeam))</f>
        <v>7.2</v>
      </c>
      <c r="W31" s="708">
        <f t="shared" ref="W31:W43" si="19">IF(W5=0,0,W5/INDEX(finCalcCh4Prod1Slot2VolSold,,xxIndexTeam))</f>
        <v>0</v>
      </c>
      <c r="X31" s="708">
        <f t="shared" ref="X31:X43" si="20">IF(X5=0,0,X5/INDEX(finCalcCh4Prod1Slot3VolSold,,xxIndexTeam))</f>
        <v>0</v>
      </c>
      <c r="Y31" s="708">
        <f t="shared" ref="Y31:Y43" si="21">IF(Y5=0,0,Y5/INDEX(finCalcCh4Prod4VolSold,,xxIndexTeam))</f>
        <v>8.35</v>
      </c>
      <c r="Z31" s="708">
        <f t="shared" ref="Z31:Z43" si="22">IF(Z5=0,0,Z5/INDEX(finCalcCh4Prod4Slot1VolSold,,xxIndexTeam))</f>
        <v>8.35</v>
      </c>
      <c r="AA31" s="708">
        <f t="shared" ref="AA31:AA43" si="23">IF(AA5=0,0,AA5/INDEX(finCalcCh4Prod4Slot2VolSold,,xxIndexTeam))</f>
        <v>0</v>
      </c>
      <c r="AB31" s="547">
        <f t="shared" ref="AB31:AB43" si="24">IF(AB5=0,0,AB5/INDEX(finCalcCh4Prod4Slot3VolSold,,xxIndexTeam))</f>
        <v>0</v>
      </c>
      <c r="AC31" s="701"/>
      <c r="AE31" s="554"/>
      <c r="AF31" s="720"/>
      <c r="AG31" s="585">
        <f>INDEX(calcCh4ValDriv4Exp,xxIndexTeam)</f>
        <v>300000</v>
      </c>
      <c r="AH31" s="584" t="s">
        <v>5130</v>
      </c>
    </row>
    <row r="32" spans="4:46" ht="15">
      <c r="D32" s="554"/>
      <c r="E32" s="548">
        <f t="shared" si="6"/>
        <v>2.4</v>
      </c>
      <c r="F32" s="720" t="s">
        <v>5079</v>
      </c>
      <c r="G32" s="720"/>
      <c r="H32" s="720"/>
      <c r="I32" s="720"/>
      <c r="J32" s="551" t="s">
        <v>1400</v>
      </c>
      <c r="K32" s="608" t="s">
        <v>1395</v>
      </c>
      <c r="L32" s="708">
        <f t="shared" si="8"/>
        <v>2.4999563953488373</v>
      </c>
      <c r="M32" s="708">
        <f t="shared" si="9"/>
        <v>2.4</v>
      </c>
      <c r="N32" s="708">
        <f t="shared" si="10"/>
        <v>2.4</v>
      </c>
      <c r="O32" s="708">
        <f t="shared" si="11"/>
        <v>0</v>
      </c>
      <c r="P32" s="708">
        <f t="shared" si="12"/>
        <v>0</v>
      </c>
      <c r="Q32" s="708">
        <f t="shared" si="13"/>
        <v>2.5</v>
      </c>
      <c r="R32" s="708">
        <f t="shared" si="14"/>
        <v>2.5</v>
      </c>
      <c r="S32" s="708">
        <f t="shared" si="15"/>
        <v>0</v>
      </c>
      <c r="T32" s="708">
        <f t="shared" si="16"/>
        <v>0</v>
      </c>
      <c r="U32" s="708">
        <f t="shared" si="17"/>
        <v>2.4500000000000002</v>
      </c>
      <c r="V32" s="708">
        <f t="shared" si="18"/>
        <v>2.4500000000000002</v>
      </c>
      <c r="W32" s="708">
        <f t="shared" si="19"/>
        <v>0</v>
      </c>
      <c r="X32" s="708">
        <f t="shared" si="20"/>
        <v>0</v>
      </c>
      <c r="Y32" s="708">
        <f t="shared" si="21"/>
        <v>2.6</v>
      </c>
      <c r="Z32" s="708">
        <f t="shared" si="22"/>
        <v>2.6</v>
      </c>
      <c r="AA32" s="708">
        <f t="shared" si="23"/>
        <v>0</v>
      </c>
      <c r="AB32" s="547">
        <f t="shared" si="24"/>
        <v>0</v>
      </c>
      <c r="AC32" s="701"/>
      <c r="AE32" s="554"/>
      <c r="AF32" s="720" t="s">
        <v>812</v>
      </c>
      <c r="AG32" s="553">
        <f>INDEX(calcCh4ValDriv5Emp1Req,xxIndexTeam)</f>
        <v>1</v>
      </c>
      <c r="AH32" s="584" t="s">
        <v>6749</v>
      </c>
    </row>
    <row r="33" spans="4:38" ht="15">
      <c r="D33" s="554"/>
      <c r="E33" s="548">
        <f t="shared" si="6"/>
        <v>4.8</v>
      </c>
      <c r="F33" s="720" t="s">
        <v>5080</v>
      </c>
      <c r="G33" s="720"/>
      <c r="H33" s="720"/>
      <c r="I33" s="720"/>
      <c r="J33" s="720"/>
      <c r="K33" s="608" t="s">
        <v>694</v>
      </c>
      <c r="L33" s="708">
        <f t="shared" si="8"/>
        <v>5.1095639534883723</v>
      </c>
      <c r="M33" s="708">
        <f t="shared" si="9"/>
        <v>4.8</v>
      </c>
      <c r="N33" s="708">
        <f t="shared" si="10"/>
        <v>4.8</v>
      </c>
      <c r="O33" s="708">
        <f t="shared" si="11"/>
        <v>0</v>
      </c>
      <c r="P33" s="708">
        <f t="shared" si="12"/>
        <v>0</v>
      </c>
      <c r="Q33" s="708">
        <f t="shared" si="13"/>
        <v>4.7</v>
      </c>
      <c r="R33" s="708">
        <f t="shared" si="14"/>
        <v>4.7</v>
      </c>
      <c r="S33" s="708">
        <f t="shared" si="15"/>
        <v>0</v>
      </c>
      <c r="T33" s="708">
        <f t="shared" si="16"/>
        <v>0</v>
      </c>
      <c r="U33" s="708">
        <f t="shared" si="17"/>
        <v>4.75</v>
      </c>
      <c r="V33" s="708">
        <f t="shared" si="18"/>
        <v>4.75</v>
      </c>
      <c r="W33" s="708">
        <f t="shared" si="19"/>
        <v>0</v>
      </c>
      <c r="X33" s="708">
        <f t="shared" si="20"/>
        <v>0</v>
      </c>
      <c r="Y33" s="708">
        <f t="shared" si="21"/>
        <v>5.75</v>
      </c>
      <c r="Z33" s="708">
        <f t="shared" si="22"/>
        <v>5.75</v>
      </c>
      <c r="AA33" s="708">
        <f t="shared" si="23"/>
        <v>0</v>
      </c>
      <c r="AB33" s="547">
        <f t="shared" si="24"/>
        <v>0</v>
      </c>
      <c r="AC33" s="701"/>
      <c r="AE33" s="554"/>
      <c r="AF33" s="720"/>
      <c r="AG33" s="585">
        <f>INDEX(calcCh4ValDriv5Exp,xxIndexTeam)</f>
        <v>300000</v>
      </c>
      <c r="AH33" s="584" t="s">
        <v>5131</v>
      </c>
    </row>
    <row r="34" spans="4:38" ht="15">
      <c r="D34" s="554"/>
      <c r="E34" s="548">
        <f t="shared" si="6"/>
        <v>1.5997984162036261</v>
      </c>
      <c r="F34" s="720" t="s">
        <v>5081</v>
      </c>
      <c r="G34" s="720"/>
      <c r="H34" s="720"/>
      <c r="I34" s="720"/>
      <c r="J34" s="720"/>
      <c r="K34" s="608" t="s">
        <v>1396</v>
      </c>
      <c r="L34" s="708">
        <f t="shared" si="8"/>
        <v>0.50840327725648615</v>
      </c>
      <c r="M34" s="708">
        <f t="shared" si="9"/>
        <v>1.5997984162036261</v>
      </c>
      <c r="N34" s="708">
        <f t="shared" si="10"/>
        <v>1.5997984162036261</v>
      </c>
      <c r="O34" s="708">
        <f t="shared" si="11"/>
        <v>0</v>
      </c>
      <c r="P34" s="708">
        <f t="shared" si="12"/>
        <v>0</v>
      </c>
      <c r="Q34" s="708">
        <f t="shared" si="13"/>
        <v>8.3251199175248293E-3</v>
      </c>
      <c r="R34" s="708">
        <f t="shared" si="14"/>
        <v>8.3251199175248293E-3</v>
      </c>
      <c r="S34" s="708">
        <f t="shared" si="15"/>
        <v>0</v>
      </c>
      <c r="T34" s="708">
        <f t="shared" si="16"/>
        <v>0</v>
      </c>
      <c r="U34" s="708">
        <f t="shared" si="17"/>
        <v>0.38051486731899875</v>
      </c>
      <c r="V34" s="708">
        <f t="shared" si="18"/>
        <v>0.38051486731899875</v>
      </c>
      <c r="W34" s="708">
        <f t="shared" si="19"/>
        <v>0</v>
      </c>
      <c r="X34" s="708">
        <f t="shared" si="20"/>
        <v>0</v>
      </c>
      <c r="Y34" s="708">
        <f t="shared" si="21"/>
        <v>0.17360057837567999</v>
      </c>
      <c r="Z34" s="708">
        <f t="shared" si="22"/>
        <v>0.17360057837567999</v>
      </c>
      <c r="AA34" s="708">
        <f t="shared" si="23"/>
        <v>0</v>
      </c>
      <c r="AB34" s="547">
        <f t="shared" si="24"/>
        <v>0</v>
      </c>
      <c r="AC34" s="701"/>
      <c r="AE34" s="554"/>
      <c r="AF34" s="720" t="s">
        <v>14</v>
      </c>
      <c r="AG34" s="585">
        <f>INDEX(calcCh4ValDrivEmp1ReqTot,,xxIndexTeam)</f>
        <v>5</v>
      </c>
      <c r="AH34" s="584" t="s">
        <v>6750</v>
      </c>
    </row>
    <row r="35" spans="4:38" ht="15">
      <c r="D35" s="554"/>
      <c r="E35" s="548">
        <f t="shared" si="6"/>
        <v>3.2002015837963742</v>
      </c>
      <c r="F35" s="720" t="s">
        <v>5082</v>
      </c>
      <c r="G35" s="720"/>
      <c r="H35" s="720"/>
      <c r="I35" s="720"/>
      <c r="J35" s="720"/>
      <c r="K35" s="608" t="s">
        <v>1397</v>
      </c>
      <c r="L35" s="708">
        <f t="shared" si="8"/>
        <v>4.6011606762318857</v>
      </c>
      <c r="M35" s="708">
        <f t="shared" si="9"/>
        <v>3.2002015837963742</v>
      </c>
      <c r="N35" s="708">
        <f t="shared" si="10"/>
        <v>3.2002015837963742</v>
      </c>
      <c r="O35" s="708">
        <f t="shared" si="11"/>
        <v>0</v>
      </c>
      <c r="P35" s="708">
        <f t="shared" si="12"/>
        <v>0</v>
      </c>
      <c r="Q35" s="708">
        <f t="shared" si="13"/>
        <v>4.6916748800824752</v>
      </c>
      <c r="R35" s="708">
        <f t="shared" si="14"/>
        <v>4.6916748800824752</v>
      </c>
      <c r="S35" s="708">
        <f t="shared" si="15"/>
        <v>0</v>
      </c>
      <c r="T35" s="708">
        <f t="shared" si="16"/>
        <v>0</v>
      </c>
      <c r="U35" s="708">
        <f t="shared" si="17"/>
        <v>4.3694851326810014</v>
      </c>
      <c r="V35" s="708">
        <f t="shared" si="18"/>
        <v>4.3694851326810014</v>
      </c>
      <c r="W35" s="708">
        <f t="shared" si="19"/>
        <v>0</v>
      </c>
      <c r="X35" s="708">
        <f t="shared" si="20"/>
        <v>0</v>
      </c>
      <c r="Y35" s="708">
        <f t="shared" si="21"/>
        <v>5.5763994216243198</v>
      </c>
      <c r="Z35" s="708">
        <f t="shared" si="22"/>
        <v>5.5763994216243198</v>
      </c>
      <c r="AA35" s="708">
        <f t="shared" si="23"/>
        <v>0</v>
      </c>
      <c r="AB35" s="547">
        <f t="shared" si="24"/>
        <v>0</v>
      </c>
      <c r="AC35" s="701"/>
      <c r="AE35" s="554"/>
      <c r="AF35" s="720"/>
      <c r="AG35" s="585">
        <f>INDEX(calcCh4ValDrivExpTot,,xxIndexTeam)</f>
        <v>1500000</v>
      </c>
      <c r="AH35" s="584" t="s">
        <v>6441</v>
      </c>
    </row>
    <row r="36" spans="4:38" ht="15">
      <c r="D36" s="554"/>
      <c r="E36" s="548">
        <f t="shared" si="6"/>
        <v>1.3738032000000004</v>
      </c>
      <c r="F36" s="720" t="s">
        <v>5083</v>
      </c>
      <c r="G36" s="720"/>
      <c r="H36" s="720"/>
      <c r="I36" s="720"/>
      <c r="J36" s="720"/>
      <c r="K36" s="608" t="s">
        <v>1398</v>
      </c>
      <c r="L36" s="708">
        <f t="shared" si="8"/>
        <v>1.5135796883720933</v>
      </c>
      <c r="M36" s="708">
        <f t="shared" si="9"/>
        <v>1.3738032000000004</v>
      </c>
      <c r="N36" s="708">
        <f t="shared" si="10"/>
        <v>1.3738032000000004</v>
      </c>
      <c r="O36" s="708">
        <f t="shared" si="11"/>
        <v>0</v>
      </c>
      <c r="P36" s="708">
        <f t="shared" si="12"/>
        <v>0</v>
      </c>
      <c r="Q36" s="708">
        <f t="shared" si="13"/>
        <v>1.3738032000000004</v>
      </c>
      <c r="R36" s="708">
        <f t="shared" si="14"/>
        <v>1.3738032000000004</v>
      </c>
      <c r="S36" s="708">
        <f t="shared" si="15"/>
        <v>0</v>
      </c>
      <c r="T36" s="708">
        <f t="shared" si="16"/>
        <v>0</v>
      </c>
      <c r="U36" s="708">
        <f t="shared" si="17"/>
        <v>1.3738032000000004</v>
      </c>
      <c r="V36" s="708">
        <f t="shared" si="18"/>
        <v>1.3738032000000004</v>
      </c>
      <c r="W36" s="708">
        <f t="shared" si="19"/>
        <v>0</v>
      </c>
      <c r="X36" s="708">
        <f t="shared" si="20"/>
        <v>0</v>
      </c>
      <c r="Y36" s="708">
        <f t="shared" si="21"/>
        <v>1.7663184000000001</v>
      </c>
      <c r="Z36" s="708">
        <f t="shared" si="22"/>
        <v>1.7663184000000001</v>
      </c>
      <c r="AA36" s="708">
        <f t="shared" si="23"/>
        <v>0</v>
      </c>
      <c r="AB36" s="547">
        <f t="shared" si="24"/>
        <v>0</v>
      </c>
      <c r="AC36" s="701"/>
      <c r="AE36" s="554"/>
      <c r="AF36" s="720" t="s">
        <v>1410</v>
      </c>
      <c r="AG36" s="553">
        <f>INDEX(calcCh4ValDrivCondEmp1Req,xxIndexTeam)</f>
        <v>0</v>
      </c>
      <c r="AH36" s="584" t="s">
        <v>6751</v>
      </c>
    </row>
    <row r="37" spans="4:38" ht="15.75" thickBot="1">
      <c r="D37" s="554"/>
      <c r="E37" s="548">
        <f t="shared" si="6"/>
        <v>0.20202988235294123</v>
      </c>
      <c r="F37" s="720" t="s">
        <v>5084</v>
      </c>
      <c r="G37" s="720"/>
      <c r="H37" s="720"/>
      <c r="I37" s="720"/>
      <c r="J37" s="720"/>
      <c r="K37" s="608" t="s">
        <v>575</v>
      </c>
      <c r="L37" s="708">
        <f t="shared" si="8"/>
        <v>0.22258524829001372</v>
      </c>
      <c r="M37" s="708">
        <f t="shared" si="9"/>
        <v>0.20202988235294123</v>
      </c>
      <c r="N37" s="708">
        <f t="shared" si="10"/>
        <v>0.20202988235294123</v>
      </c>
      <c r="O37" s="708">
        <f t="shared" si="11"/>
        <v>0</v>
      </c>
      <c r="P37" s="708">
        <f t="shared" si="12"/>
        <v>0</v>
      </c>
      <c r="Q37" s="708">
        <f t="shared" si="13"/>
        <v>0.20202988235294123</v>
      </c>
      <c r="R37" s="708">
        <f t="shared" si="14"/>
        <v>0.20202988235294123</v>
      </c>
      <c r="S37" s="708">
        <f t="shared" si="15"/>
        <v>0</v>
      </c>
      <c r="T37" s="708">
        <f t="shared" si="16"/>
        <v>0</v>
      </c>
      <c r="U37" s="708">
        <f t="shared" si="17"/>
        <v>0.2020298823529412</v>
      </c>
      <c r="V37" s="708">
        <f t="shared" si="18"/>
        <v>0.2020298823529412</v>
      </c>
      <c r="W37" s="708">
        <f t="shared" si="19"/>
        <v>0</v>
      </c>
      <c r="X37" s="708">
        <f t="shared" si="20"/>
        <v>0</v>
      </c>
      <c r="Y37" s="708">
        <f t="shared" si="21"/>
        <v>0.25975270588235294</v>
      </c>
      <c r="Z37" s="708">
        <f t="shared" si="22"/>
        <v>0.25975270588235294</v>
      </c>
      <c r="AA37" s="708">
        <f t="shared" si="23"/>
        <v>0</v>
      </c>
      <c r="AB37" s="547">
        <f t="shared" si="24"/>
        <v>0</v>
      </c>
      <c r="AC37" s="701"/>
      <c r="AE37" s="546"/>
      <c r="AF37" s="544"/>
      <c r="AG37" s="574">
        <f>INDEX(calcCh4ValDrivCondExp,xxIndexTeam)</f>
        <v>150000</v>
      </c>
      <c r="AH37" s="733" t="s">
        <v>5132</v>
      </c>
    </row>
    <row r="38" spans="4:38" ht="15">
      <c r="D38" s="554"/>
      <c r="E38" s="548">
        <f t="shared" si="6"/>
        <v>0.26762400000000003</v>
      </c>
      <c r="F38" s="720" t="s">
        <v>5085</v>
      </c>
      <c r="G38" s="720"/>
      <c r="H38" s="720"/>
      <c r="I38" s="720"/>
      <c r="J38" s="720"/>
      <c r="K38" s="608" t="s">
        <v>1399</v>
      </c>
      <c r="L38" s="708">
        <f t="shared" si="8"/>
        <v>0.24824051162790703</v>
      </c>
      <c r="M38" s="708">
        <f t="shared" si="9"/>
        <v>0.26762400000000003</v>
      </c>
      <c r="N38" s="708">
        <f t="shared" si="10"/>
        <v>0.26762400000000003</v>
      </c>
      <c r="O38" s="708">
        <f t="shared" si="11"/>
        <v>0</v>
      </c>
      <c r="P38" s="708">
        <f t="shared" si="12"/>
        <v>0</v>
      </c>
      <c r="Q38" s="708">
        <f t="shared" si="13"/>
        <v>0.26762400000000003</v>
      </c>
      <c r="R38" s="708">
        <f t="shared" si="14"/>
        <v>0.26762400000000003</v>
      </c>
      <c r="S38" s="708">
        <f t="shared" si="15"/>
        <v>0</v>
      </c>
      <c r="T38" s="708">
        <f t="shared" si="16"/>
        <v>0</v>
      </c>
      <c r="U38" s="708">
        <f t="shared" si="17"/>
        <v>0.26762400000000003</v>
      </c>
      <c r="V38" s="708">
        <f t="shared" si="18"/>
        <v>0.26762400000000003</v>
      </c>
      <c r="W38" s="708">
        <f t="shared" si="19"/>
        <v>0</v>
      </c>
      <c r="X38" s="708">
        <f t="shared" si="20"/>
        <v>0</v>
      </c>
      <c r="Y38" s="708">
        <f t="shared" si="21"/>
        <v>0.21319200000000005</v>
      </c>
      <c r="Z38" s="708">
        <f t="shared" si="22"/>
        <v>0.21319200000000005</v>
      </c>
      <c r="AA38" s="708">
        <f t="shared" si="23"/>
        <v>0</v>
      </c>
      <c r="AB38" s="547">
        <f t="shared" si="24"/>
        <v>0</v>
      </c>
      <c r="AC38" s="701"/>
    </row>
    <row r="39" spans="4:38" ht="15.75" thickBot="1">
      <c r="D39" s="554"/>
      <c r="E39" s="548">
        <f t="shared" si="6"/>
        <v>0.11910888842980022</v>
      </c>
      <c r="F39" s="720" t="s">
        <v>5086</v>
      </c>
      <c r="G39" s="720"/>
      <c r="H39" s="720"/>
      <c r="I39" s="720"/>
      <c r="J39" s="720"/>
      <c r="K39" s="608" t="s">
        <v>398</v>
      </c>
      <c r="L39" s="708">
        <f t="shared" si="8"/>
        <v>0.11048206215901751</v>
      </c>
      <c r="M39" s="708">
        <f t="shared" si="9"/>
        <v>0.11910888842980022</v>
      </c>
      <c r="N39" s="708">
        <f t="shared" si="10"/>
        <v>0.11910888842980022</v>
      </c>
      <c r="O39" s="708">
        <f t="shared" si="11"/>
        <v>0</v>
      </c>
      <c r="P39" s="708">
        <f t="shared" si="12"/>
        <v>0</v>
      </c>
      <c r="Q39" s="708">
        <f t="shared" si="13"/>
        <v>0.11910888842980022</v>
      </c>
      <c r="R39" s="708">
        <f t="shared" si="14"/>
        <v>0.11910888842980022</v>
      </c>
      <c r="S39" s="708">
        <f t="shared" si="15"/>
        <v>0</v>
      </c>
      <c r="T39" s="708">
        <f t="shared" si="16"/>
        <v>0</v>
      </c>
      <c r="U39" s="708">
        <f t="shared" si="17"/>
        <v>0.11910888842980025</v>
      </c>
      <c r="V39" s="708">
        <f t="shared" si="18"/>
        <v>0.11910888842980025</v>
      </c>
      <c r="W39" s="708">
        <f t="shared" si="19"/>
        <v>0</v>
      </c>
      <c r="X39" s="708">
        <f t="shared" si="20"/>
        <v>0</v>
      </c>
      <c r="Y39" s="708">
        <f t="shared" si="21"/>
        <v>9.4883351800010354E-2</v>
      </c>
      <c r="Z39" s="708">
        <f t="shared" si="22"/>
        <v>9.4883351800010354E-2</v>
      </c>
      <c r="AA39" s="708">
        <f t="shared" si="23"/>
        <v>0</v>
      </c>
      <c r="AB39" s="547">
        <f t="shared" si="24"/>
        <v>0</v>
      </c>
      <c r="AC39" s="701"/>
      <c r="AD39" s="628" t="s">
        <v>6744</v>
      </c>
      <c r="AE39" s="612" t="s">
        <v>786</v>
      </c>
    </row>
    <row r="40" spans="4:38" ht="15">
      <c r="D40" s="554"/>
      <c r="E40" s="548">
        <f t="shared" si="6"/>
        <v>1.9625659707827423</v>
      </c>
      <c r="F40" s="720" t="s">
        <v>5087</v>
      </c>
      <c r="G40" s="720"/>
      <c r="H40" s="720"/>
      <c r="I40" s="720"/>
      <c r="J40" s="720"/>
      <c r="K40" s="608" t="s">
        <v>157</v>
      </c>
      <c r="L40" s="708">
        <f t="shared" si="8"/>
        <v>2.0948875104490319</v>
      </c>
      <c r="M40" s="708">
        <f t="shared" si="9"/>
        <v>1.9625659707827423</v>
      </c>
      <c r="N40" s="708">
        <f t="shared" si="10"/>
        <v>1.9625659707827423</v>
      </c>
      <c r="O40" s="708">
        <f t="shared" si="11"/>
        <v>0</v>
      </c>
      <c r="P40" s="708">
        <f t="shared" si="12"/>
        <v>0</v>
      </c>
      <c r="Q40" s="708">
        <f t="shared" si="13"/>
        <v>1.9625659707827419</v>
      </c>
      <c r="R40" s="708">
        <f t="shared" si="14"/>
        <v>1.9625659707827419</v>
      </c>
      <c r="S40" s="708">
        <f t="shared" si="15"/>
        <v>0</v>
      </c>
      <c r="T40" s="708">
        <f t="shared" si="16"/>
        <v>0</v>
      </c>
      <c r="U40" s="708">
        <f t="shared" si="17"/>
        <v>1.9625659707827423</v>
      </c>
      <c r="V40" s="708">
        <f t="shared" si="18"/>
        <v>1.9625659707827423</v>
      </c>
      <c r="W40" s="708">
        <f t="shared" si="19"/>
        <v>0</v>
      </c>
      <c r="X40" s="708">
        <f t="shared" si="20"/>
        <v>0</v>
      </c>
      <c r="Y40" s="708">
        <f t="shared" si="21"/>
        <v>2.3341464576823641</v>
      </c>
      <c r="Z40" s="708">
        <f t="shared" si="22"/>
        <v>2.3341464576823641</v>
      </c>
      <c r="AA40" s="708">
        <f t="shared" si="23"/>
        <v>0</v>
      </c>
      <c r="AB40" s="547">
        <f t="shared" si="24"/>
        <v>0</v>
      </c>
      <c r="AC40" s="701"/>
      <c r="AE40" s="555"/>
      <c r="AF40" s="600" t="s">
        <v>749</v>
      </c>
      <c r="AG40" s="734">
        <f>INDEX(calcCh4MarkPlanEmp1Req,xxIndexTeam)</f>
        <v>0</v>
      </c>
      <c r="AH40" s="561" t="s">
        <v>6752</v>
      </c>
    </row>
    <row r="41" spans="4:38" ht="15.75" thickBot="1">
      <c r="D41" s="554"/>
      <c r="E41" s="548">
        <f t="shared" si="6"/>
        <v>1.2376356130136319</v>
      </c>
      <c r="F41" s="720" t="s">
        <v>5088</v>
      </c>
      <c r="G41" s="720"/>
      <c r="H41" s="720"/>
      <c r="I41" s="720"/>
      <c r="J41" s="720"/>
      <c r="K41" s="608" t="s">
        <v>160</v>
      </c>
      <c r="L41" s="708">
        <f t="shared" si="8"/>
        <v>2.5062731657828539</v>
      </c>
      <c r="M41" s="708">
        <f t="shared" si="9"/>
        <v>1.2376356130136319</v>
      </c>
      <c r="N41" s="708">
        <f t="shared" si="10"/>
        <v>1.2376356130136319</v>
      </c>
      <c r="O41" s="708">
        <f t="shared" si="11"/>
        <v>0</v>
      </c>
      <c r="P41" s="708">
        <f t="shared" si="12"/>
        <v>0</v>
      </c>
      <c r="Q41" s="708">
        <f t="shared" si="13"/>
        <v>2.7291089092997329</v>
      </c>
      <c r="R41" s="708">
        <f t="shared" si="14"/>
        <v>2.7291089092997329</v>
      </c>
      <c r="S41" s="708">
        <f t="shared" si="15"/>
        <v>0</v>
      </c>
      <c r="T41" s="708">
        <f t="shared" si="16"/>
        <v>0</v>
      </c>
      <c r="U41" s="708">
        <f t="shared" si="17"/>
        <v>2.4069191618982591</v>
      </c>
      <c r="V41" s="708">
        <f t="shared" si="18"/>
        <v>2.4069191618982591</v>
      </c>
      <c r="W41" s="708">
        <f t="shared" si="19"/>
        <v>0</v>
      </c>
      <c r="X41" s="708">
        <f t="shared" si="20"/>
        <v>0</v>
      </c>
      <c r="Y41" s="708">
        <f t="shared" si="21"/>
        <v>3.2422529639419557</v>
      </c>
      <c r="Z41" s="708">
        <f t="shared" si="22"/>
        <v>3.2422529639419557</v>
      </c>
      <c r="AA41" s="708">
        <f t="shared" si="23"/>
        <v>0</v>
      </c>
      <c r="AB41" s="547">
        <f t="shared" si="24"/>
        <v>0</v>
      </c>
      <c r="AC41" s="701"/>
      <c r="AE41" s="546"/>
      <c r="AF41" s="544" t="s">
        <v>748</v>
      </c>
      <c r="AG41" s="574">
        <f>INDEX(calcCh4MarkPlanExp,xxIndexTeam)</f>
        <v>0</v>
      </c>
      <c r="AH41" s="733" t="s">
        <v>6753</v>
      </c>
    </row>
    <row r="42" spans="4:38" ht="15">
      <c r="D42" s="554"/>
      <c r="E42" s="548">
        <f t="shared" si="6"/>
        <v>0.23343157894736849</v>
      </c>
      <c r="F42" s="720" t="s">
        <v>5089</v>
      </c>
      <c r="G42" s="720"/>
      <c r="H42" s="720"/>
      <c r="I42" s="720"/>
      <c r="J42" s="720"/>
      <c r="K42" s="608" t="s">
        <v>519</v>
      </c>
      <c r="L42" s="708">
        <f t="shared" si="8"/>
        <v>0.2571818849449205</v>
      </c>
      <c r="M42" s="708">
        <f t="shared" si="9"/>
        <v>0.23343157894736849</v>
      </c>
      <c r="N42" s="708">
        <f t="shared" si="10"/>
        <v>0.23343157894736849</v>
      </c>
      <c r="O42" s="708">
        <f t="shared" si="11"/>
        <v>0</v>
      </c>
      <c r="P42" s="708">
        <f t="shared" si="12"/>
        <v>0</v>
      </c>
      <c r="Q42" s="708">
        <f t="shared" si="13"/>
        <v>0.23343157894736849</v>
      </c>
      <c r="R42" s="708">
        <f t="shared" si="14"/>
        <v>0.23343157894736849</v>
      </c>
      <c r="S42" s="708">
        <f t="shared" si="15"/>
        <v>0</v>
      </c>
      <c r="T42" s="708">
        <f t="shared" si="16"/>
        <v>0</v>
      </c>
      <c r="U42" s="708">
        <f t="shared" si="17"/>
        <v>0.23343157894736846</v>
      </c>
      <c r="V42" s="708">
        <f t="shared" si="18"/>
        <v>0.23343157894736846</v>
      </c>
      <c r="W42" s="708">
        <f t="shared" si="19"/>
        <v>0</v>
      </c>
      <c r="X42" s="708">
        <f t="shared" si="20"/>
        <v>0</v>
      </c>
      <c r="Y42" s="708">
        <f t="shared" si="21"/>
        <v>0.30012631578947369</v>
      </c>
      <c r="Z42" s="708">
        <f t="shared" si="22"/>
        <v>0.30012631578947369</v>
      </c>
      <c r="AA42" s="708">
        <f t="shared" si="23"/>
        <v>0</v>
      </c>
      <c r="AB42" s="547">
        <f t="shared" si="24"/>
        <v>0</v>
      </c>
      <c r="AC42" s="701"/>
    </row>
    <row r="43" spans="4:38" ht="15.75" thickBot="1">
      <c r="D43" s="554"/>
      <c r="E43" s="548">
        <f t="shared" si="6"/>
        <v>1.0042040340662635</v>
      </c>
      <c r="F43" s="720" t="s">
        <v>5090</v>
      </c>
      <c r="G43" s="720"/>
      <c r="H43" s="720"/>
      <c r="I43" s="720"/>
      <c r="J43" s="720"/>
      <c r="K43" s="608" t="s">
        <v>521</v>
      </c>
      <c r="L43" s="708">
        <f t="shared" si="8"/>
        <v>2.2490912808379337</v>
      </c>
      <c r="M43" s="708">
        <f t="shared" si="9"/>
        <v>1.0042040340662635</v>
      </c>
      <c r="N43" s="708">
        <f t="shared" si="10"/>
        <v>1.0042040340662635</v>
      </c>
      <c r="O43" s="708">
        <f t="shared" si="11"/>
        <v>0</v>
      </c>
      <c r="P43" s="708">
        <f t="shared" si="12"/>
        <v>0</v>
      </c>
      <c r="Q43" s="708">
        <f t="shared" si="13"/>
        <v>2.4956773303523647</v>
      </c>
      <c r="R43" s="708">
        <f t="shared" si="14"/>
        <v>2.4956773303523647</v>
      </c>
      <c r="S43" s="708">
        <f t="shared" si="15"/>
        <v>0</v>
      </c>
      <c r="T43" s="708">
        <f t="shared" si="16"/>
        <v>0</v>
      </c>
      <c r="U43" s="708">
        <f t="shared" si="17"/>
        <v>2.1734875829508908</v>
      </c>
      <c r="V43" s="708">
        <f t="shared" si="18"/>
        <v>2.1734875829508908</v>
      </c>
      <c r="W43" s="708">
        <f t="shared" si="19"/>
        <v>0</v>
      </c>
      <c r="X43" s="708">
        <f t="shared" si="20"/>
        <v>0</v>
      </c>
      <c r="Y43" s="708">
        <f t="shared" si="21"/>
        <v>2.9421266481524824</v>
      </c>
      <c r="Z43" s="708">
        <f t="shared" si="22"/>
        <v>2.9421266481524824</v>
      </c>
      <c r="AA43" s="708">
        <f t="shared" si="23"/>
        <v>0</v>
      </c>
      <c r="AB43" s="547">
        <f t="shared" si="24"/>
        <v>0</v>
      </c>
      <c r="AC43" s="701"/>
      <c r="AD43" s="628" t="s">
        <v>6733</v>
      </c>
      <c r="AE43" s="612" t="s">
        <v>6585</v>
      </c>
      <c r="AI43" s="801" t="s">
        <v>10266</v>
      </c>
      <c r="AJ43" s="802"/>
      <c r="AK43" s="802"/>
      <c r="AL43" s="802"/>
    </row>
    <row r="44" spans="4:38" ht="15">
      <c r="D44" s="554"/>
      <c r="E44" s="553" t="str">
        <f t="shared" si="6"/>
        <v/>
      </c>
      <c r="F44" s="720" t="s">
        <v>5091</v>
      </c>
      <c r="G44" s="720"/>
      <c r="H44" s="720"/>
      <c r="I44" s="720"/>
      <c r="J44" s="551" t="s">
        <v>3762</v>
      </c>
      <c r="K44" s="608" t="s">
        <v>1394</v>
      </c>
      <c r="L44" s="703" t="str">
        <f>""</f>
        <v/>
      </c>
      <c r="M44" s="703" t="str">
        <f>""</f>
        <v/>
      </c>
      <c r="N44" s="703" t="str">
        <f>""</f>
        <v/>
      </c>
      <c r="O44" s="703" t="str">
        <f>""</f>
        <v/>
      </c>
      <c r="P44" s="703" t="str">
        <f>""</f>
        <v/>
      </c>
      <c r="Q44" s="703" t="str">
        <f>""</f>
        <v/>
      </c>
      <c r="R44" s="703" t="str">
        <f>""</f>
        <v/>
      </c>
      <c r="S44" s="703" t="str">
        <f>""</f>
        <v/>
      </c>
      <c r="T44" s="703" t="str">
        <f>""</f>
        <v/>
      </c>
      <c r="U44" s="703" t="str">
        <f>""</f>
        <v/>
      </c>
      <c r="V44" s="703" t="str">
        <f>""</f>
        <v/>
      </c>
      <c r="W44" s="703" t="str">
        <f>""</f>
        <v/>
      </c>
      <c r="X44" s="703" t="str">
        <f>""</f>
        <v/>
      </c>
      <c r="Y44" s="703" t="str">
        <f>""</f>
        <v/>
      </c>
      <c r="Z44" s="703" t="str">
        <f>""</f>
        <v/>
      </c>
      <c r="AA44" s="703" t="str">
        <f>""</f>
        <v/>
      </c>
      <c r="AB44" s="550" t="str">
        <f>""</f>
        <v/>
      </c>
      <c r="AC44" s="701"/>
      <c r="AE44" s="555"/>
      <c r="AF44" s="600"/>
      <c r="AG44" s="734">
        <f>INDEX(calcCh4Prod1SlotsNextEmp1Req,,xxIndexTeam)</f>
        <v>5</v>
      </c>
      <c r="AH44" s="561" t="s">
        <v>6754</v>
      </c>
      <c r="AI44" s="555"/>
      <c r="AJ44" s="600"/>
      <c r="AK44" s="734">
        <f>IF(AND(SUM(INDEX(calcCh4Prod1Slot1Active,,xxIndexTeam)+INDEX(calcCh4Prod1Slot2Active,,xxIndexTeam)+INDEX(calcCh4Prod1Slot3Active,,xxIndexTeam))&lt;tlOutputCh4NewSlotAvailGaugeMax,tlOutputCh4NewSlotAvailGaugeValue&gt;0),1,0)</f>
        <v>0</v>
      </c>
      <c r="AL44" s="561" t="s">
        <v>10283</v>
      </c>
    </row>
    <row r="45" spans="4:38" ht="15">
      <c r="D45" s="554"/>
      <c r="E45" s="553" t="str">
        <f t="shared" si="6"/>
        <v/>
      </c>
      <c r="F45" s="720" t="s">
        <v>5092</v>
      </c>
      <c r="G45" s="720"/>
      <c r="H45" s="720"/>
      <c r="I45" s="720"/>
      <c r="J45" s="551" t="s">
        <v>3764</v>
      </c>
      <c r="K45" s="608" t="s">
        <v>1395</v>
      </c>
      <c r="L45" s="703" t="str">
        <f>""</f>
        <v/>
      </c>
      <c r="M45" s="703" t="str">
        <f>""</f>
        <v/>
      </c>
      <c r="N45" s="703" t="str">
        <f>""</f>
        <v/>
      </c>
      <c r="O45" s="703" t="str">
        <f>""</f>
        <v/>
      </c>
      <c r="P45" s="703" t="str">
        <f>""</f>
        <v/>
      </c>
      <c r="Q45" s="703" t="str">
        <f>""</f>
        <v/>
      </c>
      <c r="R45" s="703" t="str">
        <f>""</f>
        <v/>
      </c>
      <c r="S45" s="703" t="str">
        <f>""</f>
        <v/>
      </c>
      <c r="T45" s="703" t="str">
        <f>""</f>
        <v/>
      </c>
      <c r="U45" s="703" t="str">
        <f>""</f>
        <v/>
      </c>
      <c r="V45" s="703" t="str">
        <f>""</f>
        <v/>
      </c>
      <c r="W45" s="703" t="str">
        <f>""</f>
        <v/>
      </c>
      <c r="X45" s="703" t="str">
        <f>""</f>
        <v/>
      </c>
      <c r="Y45" s="703" t="str">
        <f>""</f>
        <v/>
      </c>
      <c r="Z45" s="703" t="str">
        <f>""</f>
        <v/>
      </c>
      <c r="AA45" s="703" t="str">
        <f>""</f>
        <v/>
      </c>
      <c r="AB45" s="550" t="str">
        <f>""</f>
        <v/>
      </c>
      <c r="AC45" s="701"/>
      <c r="AE45" s="554"/>
      <c r="AF45" s="720"/>
      <c r="AG45" s="553">
        <f>INDEX(calcCh4Prod2SlotsNextEmp1Req,,xxIndexTeam)</f>
        <v>5</v>
      </c>
      <c r="AH45" s="584" t="s">
        <v>6755</v>
      </c>
      <c r="AI45" s="554"/>
      <c r="AJ45" s="720"/>
      <c r="AK45" s="553">
        <f>IF((SUM(INDEX(calcCh4Prod1Slot1Active,,xxIndexTeam)+INDEX(calcCh4Prod1Slot2Active,,xxIndexTeam)+INDEX(calcCh4Prod1Slot3Active,,xxIndexTeam)))&gt;(SUM(INDEX(obalCh4Prod1Slot1Active,,xxIndexTeam)+INDEX(obalCh4Prod1Slot2Active,,xxIndexTeam)+INDEX(obalCh4Prod1Slot3Active,,xxIndexTeam))),1,0)</f>
        <v>0</v>
      </c>
      <c r="AL45" s="584" t="s">
        <v>10284</v>
      </c>
    </row>
    <row r="46" spans="4:38" ht="15">
      <c r="D46" s="554"/>
      <c r="E46" s="553" t="str">
        <f t="shared" si="6"/>
        <v/>
      </c>
      <c r="F46" s="720" t="s">
        <v>5093</v>
      </c>
      <c r="G46" s="720"/>
      <c r="H46" s="720"/>
      <c r="I46" s="720"/>
      <c r="J46" s="720"/>
      <c r="K46" s="608" t="s">
        <v>694</v>
      </c>
      <c r="L46" s="703" t="str">
        <f>""</f>
        <v/>
      </c>
      <c r="M46" s="703" t="str">
        <f>""</f>
        <v/>
      </c>
      <c r="N46" s="703" t="str">
        <f>""</f>
        <v/>
      </c>
      <c r="O46" s="703" t="str">
        <f>""</f>
        <v/>
      </c>
      <c r="P46" s="703" t="str">
        <f>""</f>
        <v/>
      </c>
      <c r="Q46" s="703" t="str">
        <f>""</f>
        <v/>
      </c>
      <c r="R46" s="703" t="str">
        <f>""</f>
        <v/>
      </c>
      <c r="S46" s="703" t="str">
        <f>""</f>
        <v/>
      </c>
      <c r="T46" s="703" t="str">
        <f>""</f>
        <v/>
      </c>
      <c r="U46" s="703" t="str">
        <f>""</f>
        <v/>
      </c>
      <c r="V46" s="703" t="str">
        <f>""</f>
        <v/>
      </c>
      <c r="W46" s="703" t="str">
        <f>""</f>
        <v/>
      </c>
      <c r="X46" s="703" t="str">
        <f>""</f>
        <v/>
      </c>
      <c r="Y46" s="703" t="str">
        <f>""</f>
        <v/>
      </c>
      <c r="Z46" s="703" t="str">
        <f>""</f>
        <v/>
      </c>
      <c r="AA46" s="703" t="str">
        <f>""</f>
        <v/>
      </c>
      <c r="AB46" s="550" t="str">
        <f>""</f>
        <v/>
      </c>
      <c r="AC46" s="701"/>
      <c r="AE46" s="554"/>
      <c r="AF46" s="720"/>
      <c r="AG46" s="553">
        <f>INDEX(calcCh4Prod3SlotsNextEmp1Req,,xxIndexTeam)</f>
        <v>5</v>
      </c>
      <c r="AH46" s="584" t="s">
        <v>6756</v>
      </c>
      <c r="AI46" s="554"/>
      <c r="AJ46" s="720"/>
      <c r="AK46" s="553">
        <f>IF(AND(SUM(INDEX(calcCh4Prod2Slot1Active,,xxIndexTeam)+INDEX(calcCh4Prod2Slot2Active,,xxIndexTeam)+INDEX(calcCh4Prod2Slot3Active,,xxIndexTeam))&lt;tlOutputCh4NewSlotAvailGaugeMax,tlOutputCh4NewSlotAvailGaugeValue&gt;0),1,0)</f>
        <v>0</v>
      </c>
      <c r="AL46" s="584" t="s">
        <v>10285</v>
      </c>
    </row>
    <row r="47" spans="4:38" ht="15">
      <c r="D47" s="554"/>
      <c r="E47" s="553" t="str">
        <f t="shared" si="6"/>
        <v/>
      </c>
      <c r="F47" s="720" t="s">
        <v>5094</v>
      </c>
      <c r="G47" s="720"/>
      <c r="H47" s="720"/>
      <c r="I47" s="720"/>
      <c r="J47" s="720"/>
      <c r="K47" s="608" t="s">
        <v>1396</v>
      </c>
      <c r="L47" s="703" t="str">
        <f>""</f>
        <v/>
      </c>
      <c r="M47" s="703" t="str">
        <f>""</f>
        <v/>
      </c>
      <c r="N47" s="703" t="str">
        <f>""</f>
        <v/>
      </c>
      <c r="O47" s="703" t="str">
        <f>""</f>
        <v/>
      </c>
      <c r="P47" s="703" t="str">
        <f>""</f>
        <v/>
      </c>
      <c r="Q47" s="703" t="str">
        <f>""</f>
        <v/>
      </c>
      <c r="R47" s="703" t="str">
        <f>""</f>
        <v/>
      </c>
      <c r="S47" s="703" t="str">
        <f>""</f>
        <v/>
      </c>
      <c r="T47" s="703" t="str">
        <f>""</f>
        <v/>
      </c>
      <c r="U47" s="703" t="str">
        <f>""</f>
        <v/>
      </c>
      <c r="V47" s="703" t="str">
        <f>""</f>
        <v/>
      </c>
      <c r="W47" s="703" t="str">
        <f>""</f>
        <v/>
      </c>
      <c r="X47" s="703" t="str">
        <f>""</f>
        <v/>
      </c>
      <c r="Y47" s="703" t="str">
        <f>""</f>
        <v/>
      </c>
      <c r="Z47" s="703" t="str">
        <f>""</f>
        <v/>
      </c>
      <c r="AA47" s="703" t="str">
        <f>""</f>
        <v/>
      </c>
      <c r="AB47" s="550" t="str">
        <f>""</f>
        <v/>
      </c>
      <c r="AC47" s="701"/>
      <c r="AE47" s="554"/>
      <c r="AF47" s="720"/>
      <c r="AG47" s="553">
        <f>INDEX(calcCh4Prod4SlotsNextEmp1Req,,xxIndexTeam)</f>
        <v>5</v>
      </c>
      <c r="AH47" s="584" t="s">
        <v>6757</v>
      </c>
      <c r="AI47" s="554"/>
      <c r="AJ47" s="720"/>
      <c r="AK47" s="553">
        <f>IF((SUM(INDEX(calcCh4Prod2Slot1Active,,xxIndexTeam)+INDEX(calcCh4Prod2Slot2Active,,xxIndexTeam)+INDEX(calcCh4Prod2Slot3Active,,xxIndexTeam)))&gt;(SUM(INDEX(obalCh4Prod2Slot1Active,,xxIndexTeam)+INDEX(obalCh4Prod2Slot2Active,,xxIndexTeam)+INDEX(obalCh4Prod2Slot3Active,,xxIndexTeam))),1,0)</f>
        <v>0</v>
      </c>
      <c r="AL47" s="584" t="s">
        <v>10286</v>
      </c>
    </row>
    <row r="48" spans="4:38" ht="15">
      <c r="D48" s="554"/>
      <c r="E48" s="604">
        <f t="shared" si="6"/>
        <v>1</v>
      </c>
      <c r="F48" s="720" t="s">
        <v>5095</v>
      </c>
      <c r="G48" s="720"/>
      <c r="H48" s="720"/>
      <c r="I48" s="720"/>
      <c r="J48" s="720"/>
      <c r="K48" s="608" t="s">
        <v>1397</v>
      </c>
      <c r="L48" s="705">
        <f t="shared" ref="L48:AB56" si="25">IF(L$35=0,0%,L35/L$35)</f>
        <v>1</v>
      </c>
      <c r="M48" s="705">
        <f t="shared" si="25"/>
        <v>1</v>
      </c>
      <c r="N48" s="705">
        <f t="shared" si="25"/>
        <v>1</v>
      </c>
      <c r="O48" s="705">
        <f t="shared" si="25"/>
        <v>0</v>
      </c>
      <c r="P48" s="705">
        <f t="shared" si="25"/>
        <v>0</v>
      </c>
      <c r="Q48" s="705">
        <f t="shared" si="25"/>
        <v>1</v>
      </c>
      <c r="R48" s="705">
        <f t="shared" si="25"/>
        <v>1</v>
      </c>
      <c r="S48" s="705">
        <f t="shared" si="25"/>
        <v>0</v>
      </c>
      <c r="T48" s="705">
        <f t="shared" si="25"/>
        <v>0</v>
      </c>
      <c r="U48" s="705">
        <f t="shared" si="25"/>
        <v>1</v>
      </c>
      <c r="V48" s="705">
        <f t="shared" si="25"/>
        <v>1</v>
      </c>
      <c r="W48" s="705">
        <f t="shared" si="25"/>
        <v>0</v>
      </c>
      <c r="X48" s="705">
        <f t="shared" si="25"/>
        <v>0</v>
      </c>
      <c r="Y48" s="705">
        <f t="shared" si="25"/>
        <v>1</v>
      </c>
      <c r="Z48" s="705">
        <f t="shared" si="25"/>
        <v>1</v>
      </c>
      <c r="AA48" s="705">
        <f t="shared" si="25"/>
        <v>0</v>
      </c>
      <c r="AB48" s="549">
        <f t="shared" si="25"/>
        <v>0</v>
      </c>
      <c r="AC48" s="701"/>
      <c r="AE48" s="554"/>
      <c r="AF48" s="720"/>
      <c r="AG48" s="585">
        <f>INDEX(calcCh4Prod1SlotsNextExp,,xxIndexTeam)</f>
        <v>5000000</v>
      </c>
      <c r="AH48" s="584" t="s">
        <v>5116</v>
      </c>
      <c r="AI48" s="554"/>
      <c r="AJ48" s="720"/>
      <c r="AK48" s="585">
        <f>IF(AND(SUM(INDEX(calcCh4Prod3Slot1Active,,xxIndexTeam)+INDEX(calcCh4Prod3Slot2Active,,xxIndexTeam)+INDEX(calcCh4Prod3Slot3Active,,xxIndexTeam))&lt;tlOutputCh4NewSlotAvailGaugeMax,tlOutputCh4NewSlotAvailGaugeValue&gt;0),1,0)</f>
        <v>0</v>
      </c>
      <c r="AL48" s="584" t="s">
        <v>10287</v>
      </c>
    </row>
    <row r="49" spans="4:38" ht="15">
      <c r="D49" s="554"/>
      <c r="E49" s="604">
        <f t="shared" si="6"/>
        <v>0.42928645712695024</v>
      </c>
      <c r="F49" s="720" t="s">
        <v>5096</v>
      </c>
      <c r="G49" s="720"/>
      <c r="H49" s="720"/>
      <c r="I49" s="720"/>
      <c r="J49" s="720"/>
      <c r="K49" s="608" t="s">
        <v>1398</v>
      </c>
      <c r="L49" s="705">
        <f t="shared" si="25"/>
        <v>0.32895606019384599</v>
      </c>
      <c r="M49" s="705">
        <f t="shared" si="25"/>
        <v>0.42928645712695024</v>
      </c>
      <c r="N49" s="705">
        <f t="shared" si="25"/>
        <v>0.42928645712695024</v>
      </c>
      <c r="O49" s="705">
        <f t="shared" si="25"/>
        <v>0</v>
      </c>
      <c r="P49" s="705">
        <f t="shared" si="25"/>
        <v>0</v>
      </c>
      <c r="Q49" s="705">
        <f t="shared" si="25"/>
        <v>0.29281722095284024</v>
      </c>
      <c r="R49" s="705">
        <f t="shared" si="25"/>
        <v>0.29281722095284024</v>
      </c>
      <c r="S49" s="705">
        <f t="shared" si="25"/>
        <v>0</v>
      </c>
      <c r="T49" s="705">
        <f t="shared" si="25"/>
        <v>0</v>
      </c>
      <c r="U49" s="705">
        <f t="shared" si="25"/>
        <v>0.31440848481776867</v>
      </c>
      <c r="V49" s="705">
        <f t="shared" si="25"/>
        <v>0.31440848481776867</v>
      </c>
      <c r="W49" s="705">
        <f t="shared" si="25"/>
        <v>0</v>
      </c>
      <c r="X49" s="705">
        <f t="shared" si="25"/>
        <v>0</v>
      </c>
      <c r="Y49" s="705">
        <f t="shared" si="25"/>
        <v>0.31674890309157561</v>
      </c>
      <c r="Z49" s="705">
        <f t="shared" si="25"/>
        <v>0.31674890309157561</v>
      </c>
      <c r="AA49" s="705">
        <f t="shared" si="25"/>
        <v>0</v>
      </c>
      <c r="AB49" s="549">
        <f t="shared" si="25"/>
        <v>0</v>
      </c>
      <c r="AC49" s="701"/>
      <c r="AE49" s="554"/>
      <c r="AF49" s="720"/>
      <c r="AG49" s="585">
        <f>INDEX(calcCh4Prod2SlotsNextExp,,xxIndexTeam)</f>
        <v>5000000</v>
      </c>
      <c r="AH49" s="584" t="s">
        <v>5117</v>
      </c>
      <c r="AI49" s="554"/>
      <c r="AJ49" s="720"/>
      <c r="AK49" s="553">
        <f>IF((SUM(INDEX(calcCh4Prod3Slot1Active,,xxIndexTeam)+INDEX(calcCh4Prod3Slot2Active,,xxIndexTeam)+INDEX(calcCh4Prod3Slot3Active,,xxIndexTeam)))&gt;(SUM(INDEX(obalCh4Prod3Slot1Active,,xxIndexTeam)+INDEX(obalCh4Prod3Slot2Active,,xxIndexTeam)+INDEX(obalCh4Prod3Slot3Active,,xxIndexTeam))),1,0)</f>
        <v>0</v>
      </c>
      <c r="AL49" s="584" t="s">
        <v>10288</v>
      </c>
    </row>
    <row r="50" spans="4:38" ht="15">
      <c r="D50" s="554"/>
      <c r="E50" s="604">
        <f t="shared" si="6"/>
        <v>6.3130361342198557E-2</v>
      </c>
      <c r="F50" s="720" t="s">
        <v>5097</v>
      </c>
      <c r="G50" s="720"/>
      <c r="H50" s="720"/>
      <c r="I50" s="720"/>
      <c r="J50" s="720"/>
      <c r="K50" s="608" t="s">
        <v>575</v>
      </c>
      <c r="L50" s="705">
        <f t="shared" si="25"/>
        <v>4.8375891204977352E-2</v>
      </c>
      <c r="M50" s="705">
        <f t="shared" si="25"/>
        <v>6.3130361342198557E-2</v>
      </c>
      <c r="N50" s="705">
        <f t="shared" si="25"/>
        <v>6.3130361342198557E-2</v>
      </c>
      <c r="O50" s="705">
        <f t="shared" si="25"/>
        <v>0</v>
      </c>
      <c r="P50" s="705">
        <f t="shared" si="25"/>
        <v>0</v>
      </c>
      <c r="Q50" s="705">
        <f t="shared" si="25"/>
        <v>4.3061356022476502E-2</v>
      </c>
      <c r="R50" s="705">
        <f t="shared" si="25"/>
        <v>4.3061356022476502E-2</v>
      </c>
      <c r="S50" s="705">
        <f t="shared" si="25"/>
        <v>0</v>
      </c>
      <c r="T50" s="705">
        <f t="shared" si="25"/>
        <v>0</v>
      </c>
      <c r="U50" s="705">
        <f t="shared" si="25"/>
        <v>4.6236541884965968E-2</v>
      </c>
      <c r="V50" s="705">
        <f t="shared" si="25"/>
        <v>4.6236541884965968E-2</v>
      </c>
      <c r="W50" s="705">
        <f t="shared" si="25"/>
        <v>0</v>
      </c>
      <c r="X50" s="705">
        <f t="shared" si="25"/>
        <v>0</v>
      </c>
      <c r="Y50" s="705">
        <f t="shared" si="25"/>
        <v>4.6580721042878769E-2</v>
      </c>
      <c r="Z50" s="705">
        <f t="shared" si="25"/>
        <v>4.6580721042878769E-2</v>
      </c>
      <c r="AA50" s="705">
        <f t="shared" si="25"/>
        <v>0</v>
      </c>
      <c r="AB50" s="549">
        <f t="shared" si="25"/>
        <v>0</v>
      </c>
      <c r="AC50" s="701"/>
      <c r="AE50" s="554"/>
      <c r="AF50" s="720"/>
      <c r="AG50" s="585">
        <f>INDEX(calcCh4Prod3SlotsNextExp,,xxIndexTeam)</f>
        <v>5000000</v>
      </c>
      <c r="AH50" s="584" t="s">
        <v>5118</v>
      </c>
      <c r="AI50" s="554"/>
      <c r="AJ50" s="720"/>
      <c r="AK50" s="585">
        <f>IF(AND(SUM(INDEX(calcCh4Prod4Slot1Active,,xxIndexTeam)+INDEX(calcCh4Prod4Slot2Active,,xxIndexTeam)+INDEX(calcCh4Prod4Slot3Active,,xxIndexTeam))&lt;tlOutputCh4NewSlotAvailGaugeMax,tlOutputCh4NewSlotAvailGaugeValue&gt;0),1,0)</f>
        <v>0</v>
      </c>
      <c r="AL50" s="584" t="s">
        <v>10289</v>
      </c>
    </row>
    <row r="51" spans="4:38" ht="15.75" thickBot="1">
      <c r="D51" s="554"/>
      <c r="E51" s="604">
        <f t="shared" si="6"/>
        <v>8.3627231907847432E-2</v>
      </c>
      <c r="F51" s="720" t="s">
        <v>5098</v>
      </c>
      <c r="G51" s="720"/>
      <c r="H51" s="720"/>
      <c r="I51" s="720"/>
      <c r="J51" s="720"/>
      <c r="K51" s="608" t="s">
        <v>1399</v>
      </c>
      <c r="L51" s="705">
        <f t="shared" si="25"/>
        <v>5.3951715468281203E-2</v>
      </c>
      <c r="M51" s="705">
        <f t="shared" si="25"/>
        <v>8.3627231907847432E-2</v>
      </c>
      <c r="N51" s="705">
        <f t="shared" si="25"/>
        <v>8.3627231907847432E-2</v>
      </c>
      <c r="O51" s="705">
        <f t="shared" si="25"/>
        <v>0</v>
      </c>
      <c r="P51" s="705">
        <f t="shared" si="25"/>
        <v>0</v>
      </c>
      <c r="Q51" s="705">
        <f t="shared" si="25"/>
        <v>5.7042315770033804E-2</v>
      </c>
      <c r="R51" s="705">
        <f t="shared" si="25"/>
        <v>5.7042315770033804E-2</v>
      </c>
      <c r="S51" s="705">
        <f t="shared" si="25"/>
        <v>0</v>
      </c>
      <c r="T51" s="705">
        <f t="shared" si="25"/>
        <v>0</v>
      </c>
      <c r="U51" s="705">
        <f t="shared" si="25"/>
        <v>6.1248406133331539E-2</v>
      </c>
      <c r="V51" s="705">
        <f t="shared" si="25"/>
        <v>6.1248406133331539E-2</v>
      </c>
      <c r="W51" s="705">
        <f t="shared" si="25"/>
        <v>0</v>
      </c>
      <c r="X51" s="705">
        <f t="shared" si="25"/>
        <v>0</v>
      </c>
      <c r="Y51" s="705">
        <f t="shared" si="25"/>
        <v>3.8231120814853768E-2</v>
      </c>
      <c r="Z51" s="705">
        <f t="shared" si="25"/>
        <v>3.8231120814853768E-2</v>
      </c>
      <c r="AA51" s="705">
        <f t="shared" si="25"/>
        <v>0</v>
      </c>
      <c r="AB51" s="549">
        <f t="shared" si="25"/>
        <v>0</v>
      </c>
      <c r="AC51" s="701"/>
      <c r="AE51" s="546"/>
      <c r="AF51" s="544"/>
      <c r="AG51" s="574">
        <f>INDEX(calcCh4Prod4SlotsNextExp,,xxIndexTeam)</f>
        <v>10000000</v>
      </c>
      <c r="AH51" s="733" t="s">
        <v>5119</v>
      </c>
      <c r="AI51" s="546"/>
      <c r="AJ51" s="544"/>
      <c r="AK51" s="574">
        <f>IF((SUM(INDEX(calcCh4Prod4Slot1Active,,xxIndexTeam)+INDEX(calcCh4Prod4Slot2Active,,xxIndexTeam)+INDEX(calcCh4Prod4Slot3Active,,xxIndexTeam)))&gt;(SUM(INDEX(obalCh4Prod4Slot1Active,,xxIndexTeam)+INDEX(obalCh4Prod4Slot2Active,,xxIndexTeam)+INDEX(obalCh4Prod4Slot3Active,,xxIndexTeam))),1,0)</f>
        <v>0</v>
      </c>
      <c r="AL51" s="733" t="s">
        <v>10290</v>
      </c>
    </row>
    <row r="52" spans="4:38" ht="15">
      <c r="D52" s="554"/>
      <c r="E52" s="604">
        <f t="shared" si="6"/>
        <v>3.7219183014246954E-2</v>
      </c>
      <c r="F52" s="720" t="s">
        <v>5099</v>
      </c>
      <c r="G52" s="720"/>
      <c r="H52" s="720"/>
      <c r="I52" s="720"/>
      <c r="J52" s="720"/>
      <c r="K52" s="608" t="s">
        <v>398</v>
      </c>
      <c r="L52" s="705">
        <f t="shared" si="25"/>
        <v>2.4011780925133144E-2</v>
      </c>
      <c r="M52" s="705">
        <f t="shared" si="25"/>
        <v>3.7219183014246954E-2</v>
      </c>
      <c r="N52" s="705">
        <f t="shared" si="25"/>
        <v>3.7219183014246954E-2</v>
      </c>
      <c r="O52" s="705">
        <f t="shared" si="25"/>
        <v>0</v>
      </c>
      <c r="P52" s="705">
        <f t="shared" si="25"/>
        <v>0</v>
      </c>
      <c r="Q52" s="705">
        <f t="shared" si="25"/>
        <v>2.5387285239105571E-2</v>
      </c>
      <c r="R52" s="705">
        <f t="shared" si="25"/>
        <v>2.5387285239105571E-2</v>
      </c>
      <c r="S52" s="705">
        <f t="shared" si="25"/>
        <v>0</v>
      </c>
      <c r="T52" s="705">
        <f t="shared" si="25"/>
        <v>0</v>
      </c>
      <c r="U52" s="705">
        <f t="shared" si="25"/>
        <v>2.7259250189213519E-2</v>
      </c>
      <c r="V52" s="705">
        <f t="shared" si="25"/>
        <v>2.7259250189213519E-2</v>
      </c>
      <c r="W52" s="705">
        <f t="shared" si="25"/>
        <v>0</v>
      </c>
      <c r="X52" s="705">
        <f t="shared" si="25"/>
        <v>0</v>
      </c>
      <c r="Y52" s="705">
        <f t="shared" si="25"/>
        <v>1.7015164199334253E-2</v>
      </c>
      <c r="Z52" s="705">
        <f t="shared" si="25"/>
        <v>1.7015164199334253E-2</v>
      </c>
      <c r="AA52" s="705">
        <f t="shared" si="25"/>
        <v>0</v>
      </c>
      <c r="AB52" s="549">
        <f t="shared" si="25"/>
        <v>0</v>
      </c>
      <c r="AC52" s="701"/>
    </row>
    <row r="53" spans="4:38" ht="15.75" thickBot="1">
      <c r="D53" s="554"/>
      <c r="E53" s="604">
        <f t="shared" si="6"/>
        <v>0.61326323339124333</v>
      </c>
      <c r="F53" s="720" t="s">
        <v>5100</v>
      </c>
      <c r="G53" s="720"/>
      <c r="H53" s="720"/>
      <c r="I53" s="720"/>
      <c r="J53" s="720"/>
      <c r="K53" s="608" t="s">
        <v>157</v>
      </c>
      <c r="L53" s="705">
        <f t="shared" si="25"/>
        <v>0.45529544779223774</v>
      </c>
      <c r="M53" s="705">
        <f t="shared" si="25"/>
        <v>0.61326323339124333</v>
      </c>
      <c r="N53" s="705">
        <f t="shared" si="25"/>
        <v>0.61326323339124333</v>
      </c>
      <c r="O53" s="705">
        <f t="shared" si="25"/>
        <v>0</v>
      </c>
      <c r="P53" s="705">
        <f t="shared" si="25"/>
        <v>0</v>
      </c>
      <c r="Q53" s="705">
        <f t="shared" si="25"/>
        <v>0.41830817798445613</v>
      </c>
      <c r="R53" s="705">
        <f t="shared" si="25"/>
        <v>0.41830817798445613</v>
      </c>
      <c r="S53" s="705">
        <f t="shared" si="25"/>
        <v>0</v>
      </c>
      <c r="T53" s="705">
        <f t="shared" si="25"/>
        <v>0</v>
      </c>
      <c r="U53" s="705">
        <f t="shared" si="25"/>
        <v>0.44915268302527978</v>
      </c>
      <c r="V53" s="705">
        <f t="shared" si="25"/>
        <v>0.44915268302527978</v>
      </c>
      <c r="W53" s="705">
        <f t="shared" si="25"/>
        <v>0</v>
      </c>
      <c r="X53" s="705">
        <f t="shared" si="25"/>
        <v>0</v>
      </c>
      <c r="Y53" s="705">
        <f t="shared" si="25"/>
        <v>0.41857590914864251</v>
      </c>
      <c r="Z53" s="705">
        <f t="shared" si="25"/>
        <v>0.41857590914864251</v>
      </c>
      <c r="AA53" s="705">
        <f t="shared" si="25"/>
        <v>0</v>
      </c>
      <c r="AB53" s="549">
        <f t="shared" si="25"/>
        <v>0</v>
      </c>
      <c r="AC53" s="701"/>
      <c r="AD53" s="628" t="s">
        <v>6733</v>
      </c>
      <c r="AE53" s="612" t="s">
        <v>6600</v>
      </c>
    </row>
    <row r="54" spans="4:38" ht="15">
      <c r="D54" s="554"/>
      <c r="E54" s="604">
        <f t="shared" si="6"/>
        <v>0.38673676660875667</v>
      </c>
      <c r="F54" s="720" t="s">
        <v>5101</v>
      </c>
      <c r="G54" s="720"/>
      <c r="H54" s="720"/>
      <c r="I54" s="720"/>
      <c r="J54" s="720"/>
      <c r="K54" s="608" t="s">
        <v>160</v>
      </c>
      <c r="L54" s="705">
        <f t="shared" si="25"/>
        <v>0.54470455220776226</v>
      </c>
      <c r="M54" s="705">
        <f t="shared" si="25"/>
        <v>0.38673676660875667</v>
      </c>
      <c r="N54" s="705">
        <f t="shared" si="25"/>
        <v>0.38673676660875667</v>
      </c>
      <c r="O54" s="705">
        <f t="shared" si="25"/>
        <v>0</v>
      </c>
      <c r="P54" s="705">
        <f t="shared" si="25"/>
        <v>0</v>
      </c>
      <c r="Q54" s="705">
        <f t="shared" si="25"/>
        <v>0.58169182201554381</v>
      </c>
      <c r="R54" s="705">
        <f t="shared" si="25"/>
        <v>0.58169182201554381</v>
      </c>
      <c r="S54" s="705">
        <f t="shared" si="25"/>
        <v>0</v>
      </c>
      <c r="T54" s="705">
        <f t="shared" si="25"/>
        <v>0</v>
      </c>
      <c r="U54" s="705">
        <f t="shared" si="25"/>
        <v>0.55084731697472022</v>
      </c>
      <c r="V54" s="705">
        <f t="shared" si="25"/>
        <v>0.55084731697472022</v>
      </c>
      <c r="W54" s="705">
        <f t="shared" si="25"/>
        <v>0</v>
      </c>
      <c r="X54" s="705">
        <f t="shared" si="25"/>
        <v>0</v>
      </c>
      <c r="Y54" s="705">
        <f t="shared" si="25"/>
        <v>0.58142409085135749</v>
      </c>
      <c r="Z54" s="705">
        <f t="shared" si="25"/>
        <v>0.58142409085135749</v>
      </c>
      <c r="AA54" s="705">
        <f t="shared" si="25"/>
        <v>0</v>
      </c>
      <c r="AB54" s="549">
        <f t="shared" si="25"/>
        <v>0</v>
      </c>
      <c r="AC54" s="701"/>
      <c r="AE54" s="555"/>
      <c r="AF54" s="600" t="s">
        <v>749</v>
      </c>
      <c r="AG54" s="734">
        <f>INDEX(paramCh4ReportsEmp1Req,,xxIndexTeam)</f>
        <v>1</v>
      </c>
      <c r="AH54" s="561" t="s">
        <v>6758</v>
      </c>
    </row>
    <row r="55" spans="4:38" ht="15.75" thickBot="1">
      <c r="D55" s="554"/>
      <c r="E55" s="604">
        <f t="shared" si="6"/>
        <v>7.2942773395684168E-2</v>
      </c>
      <c r="F55" s="720" t="s">
        <v>5102</v>
      </c>
      <c r="G55" s="720"/>
      <c r="H55" s="720"/>
      <c r="I55" s="720"/>
      <c r="J55" s="720"/>
      <c r="K55" s="608" t="s">
        <v>519</v>
      </c>
      <c r="L55" s="705">
        <f t="shared" si="25"/>
        <v>5.5895001944496155E-2</v>
      </c>
      <c r="M55" s="705">
        <f t="shared" si="25"/>
        <v>7.2942773395684168E-2</v>
      </c>
      <c r="N55" s="705">
        <f t="shared" si="25"/>
        <v>7.2942773395684168E-2</v>
      </c>
      <c r="O55" s="705">
        <f t="shared" si="25"/>
        <v>0</v>
      </c>
      <c r="P55" s="705">
        <f t="shared" si="25"/>
        <v>0</v>
      </c>
      <c r="Q55" s="705">
        <f t="shared" si="25"/>
        <v>4.9754423508404949E-2</v>
      </c>
      <c r="R55" s="705">
        <f t="shared" si="25"/>
        <v>4.9754423508404949E-2</v>
      </c>
      <c r="S55" s="705">
        <f t="shared" si="25"/>
        <v>0</v>
      </c>
      <c r="T55" s="705">
        <f t="shared" si="25"/>
        <v>0</v>
      </c>
      <c r="U55" s="705">
        <f t="shared" si="25"/>
        <v>5.3423131526743738E-2</v>
      </c>
      <c r="V55" s="705">
        <f t="shared" si="25"/>
        <v>5.3423131526743738E-2</v>
      </c>
      <c r="W55" s="705">
        <f t="shared" si="25"/>
        <v>0</v>
      </c>
      <c r="X55" s="705">
        <f t="shared" si="25"/>
        <v>0</v>
      </c>
      <c r="Y55" s="705">
        <f t="shared" si="25"/>
        <v>5.3820806778229577E-2</v>
      </c>
      <c r="Z55" s="705">
        <f t="shared" si="25"/>
        <v>5.3820806778229577E-2</v>
      </c>
      <c r="AA55" s="705">
        <f t="shared" si="25"/>
        <v>0</v>
      </c>
      <c r="AB55" s="549">
        <f t="shared" si="25"/>
        <v>0</v>
      </c>
      <c r="AC55" s="701"/>
      <c r="AE55" s="546"/>
      <c r="AF55" s="544" t="s">
        <v>748</v>
      </c>
      <c r="AG55" s="574">
        <f>INDEX(paramCh4ReportsExp,,xxIndexTeam)</f>
        <v>1000000</v>
      </c>
      <c r="AH55" s="733" t="s">
        <v>6759</v>
      </c>
    </row>
    <row r="56" spans="4:38" ht="15.75" thickBot="1">
      <c r="D56" s="554"/>
      <c r="E56" s="604">
        <f t="shared" si="6"/>
        <v>0.31379399321307255</v>
      </c>
      <c r="F56" s="720" t="s">
        <v>5103</v>
      </c>
      <c r="G56" s="720"/>
      <c r="H56" s="720"/>
      <c r="I56" s="720"/>
      <c r="J56" s="720"/>
      <c r="K56" s="608" t="s">
        <v>521</v>
      </c>
      <c r="L56" s="705">
        <f t="shared" si="25"/>
        <v>0.48880955026326617</v>
      </c>
      <c r="M56" s="705">
        <f t="shared" si="25"/>
        <v>0.31379399321307255</v>
      </c>
      <c r="N56" s="705">
        <f t="shared" si="25"/>
        <v>0.31379399321307255</v>
      </c>
      <c r="O56" s="705">
        <f t="shared" si="25"/>
        <v>0</v>
      </c>
      <c r="P56" s="705">
        <f t="shared" si="25"/>
        <v>0</v>
      </c>
      <c r="Q56" s="705">
        <f t="shared" si="25"/>
        <v>0.53193739850713895</v>
      </c>
      <c r="R56" s="705">
        <f t="shared" si="25"/>
        <v>0.53193739850713895</v>
      </c>
      <c r="S56" s="705">
        <f t="shared" si="25"/>
        <v>0</v>
      </c>
      <c r="T56" s="705">
        <f t="shared" si="25"/>
        <v>0</v>
      </c>
      <c r="U56" s="705">
        <f t="shared" si="25"/>
        <v>0.49742418544797656</v>
      </c>
      <c r="V56" s="705">
        <f t="shared" si="25"/>
        <v>0.49742418544797656</v>
      </c>
      <c r="W56" s="705">
        <f t="shared" si="25"/>
        <v>0</v>
      </c>
      <c r="X56" s="705">
        <f t="shared" si="25"/>
        <v>0</v>
      </c>
      <c r="Y56" s="705">
        <f t="shared" si="25"/>
        <v>0.52760328407312795</v>
      </c>
      <c r="Z56" s="705">
        <f t="shared" si="25"/>
        <v>0.52760328407312795</v>
      </c>
      <c r="AA56" s="705">
        <f t="shared" si="25"/>
        <v>0</v>
      </c>
      <c r="AB56" s="549">
        <f t="shared" si="25"/>
        <v>0</v>
      </c>
      <c r="AC56" s="701"/>
    </row>
    <row r="57" spans="4:38" ht="15">
      <c r="D57" s="555"/>
      <c r="E57" s="562">
        <f>INDEX(L57:AB57,,calcCh4VtCode)/1000</f>
        <v>35321.58</v>
      </c>
      <c r="F57" s="600" t="s">
        <v>6760</v>
      </c>
      <c r="G57" s="600"/>
      <c r="H57" s="600"/>
      <c r="I57" s="600"/>
      <c r="J57" s="600"/>
      <c r="K57" s="749" t="s">
        <v>4394</v>
      </c>
      <c r="L57" s="750">
        <f>U57+M57+Q57+Y57</f>
        <v>170176800</v>
      </c>
      <c r="M57" s="750">
        <f>N57+O57+P57</f>
        <v>35321580</v>
      </c>
      <c r="N57" s="750">
        <f>INDEX(calcCh4Prod2Slot1VolForecastSlot,,xxIndexTeam)</f>
        <v>35321580</v>
      </c>
      <c r="O57" s="750">
        <f>INDEX(calcCh4Prod2Slot2VolForecastSlot,,xxIndexTeam)</f>
        <v>0</v>
      </c>
      <c r="P57" s="750">
        <f>INDEX(calcCh4Prod2Slot3VolForecastSlot,,xxIndexTeam)</f>
        <v>0</v>
      </c>
      <c r="Q57" s="750">
        <f>R57+S57+T57</f>
        <v>23547720</v>
      </c>
      <c r="R57" s="750">
        <f>INDEX(calcCh4Prod3Slot1VolForecastSlot,,xxIndexTeam)</f>
        <v>23547720</v>
      </c>
      <c r="S57" s="750">
        <f>INDEX(calcCh4Prod3Slot2VolForecastSlot,,xxIndexTeam)</f>
        <v>0</v>
      </c>
      <c r="T57" s="750">
        <f>INDEX(calcCh4Prod3Slot3VolForecastSlot,,xxIndexTeam)</f>
        <v>0</v>
      </c>
      <c r="U57" s="750">
        <f>V57+W57+X57</f>
        <v>50706750</v>
      </c>
      <c r="V57" s="750">
        <f>INDEX(calcCh4Prod1Slot1VolForecastSlot,,xxIndexTeam)</f>
        <v>50706750</v>
      </c>
      <c r="W57" s="750">
        <f>INDEX(calcCh4Prod1Slot2VolForecastSlot,,xxIndexTeam)</f>
        <v>0</v>
      </c>
      <c r="X57" s="750">
        <f>INDEX(calcCh4Prod1Slot3VolForecastSlot,,xxIndexTeam)</f>
        <v>0</v>
      </c>
      <c r="Y57" s="750">
        <f>Z57+AA57+AB57</f>
        <v>60600750</v>
      </c>
      <c r="Z57" s="750">
        <f>INDEX(calcCh4Prod4Slot1VolForecastSlot,,xxIndexTeam)</f>
        <v>60600750</v>
      </c>
      <c r="AA57" s="750">
        <f>INDEX(calcCh4Prod4Slot2VolForecastSlot,,xxIndexTeam)</f>
        <v>0</v>
      </c>
      <c r="AB57" s="751">
        <f>INDEX(calcCh4Prod4Slot3VolForecastSlot,,xxIndexTeam)</f>
        <v>0</v>
      </c>
      <c r="AC57" s="701"/>
    </row>
    <row r="58" spans="4:38" ht="15">
      <c r="D58" s="554"/>
      <c r="E58" s="585">
        <f>INDEX(L58:AB58,,calcCh4VtCode)/1000</f>
        <v>1412.8632</v>
      </c>
      <c r="F58" s="720" t="s">
        <v>6761</v>
      </c>
      <c r="G58" s="720"/>
      <c r="H58" s="720"/>
      <c r="I58" s="720"/>
      <c r="J58" s="720"/>
      <c r="K58" s="608" t="s">
        <v>811</v>
      </c>
      <c r="L58" s="706">
        <f t="shared" ref="L58:L59" si="26">U58+M58+Q58+Y58</f>
        <v>188021678.36363634</v>
      </c>
      <c r="M58" s="706">
        <f t="shared" ref="M58:M59" si="27">N58+O58+P58</f>
        <v>1412863.2</v>
      </c>
      <c r="N58" s="706">
        <f>INDEX(finCalcCh4Prod2Slot1UnitSold,,xxIndexTeam)</f>
        <v>1412863.2</v>
      </c>
      <c r="O58" s="706">
        <f>INDEX(finCalcCh4Prod2Slot2UnitSold,,xxIndexTeam)</f>
        <v>0</v>
      </c>
      <c r="P58" s="706">
        <f>INDEX(finCalcCh4Prod2Slot3UnitSold,,xxIndexTeam)</f>
        <v>0</v>
      </c>
      <c r="Q58" s="706">
        <f t="shared" ref="Q58:Q59" si="28">R58+S58+T58</f>
        <v>941908.8</v>
      </c>
      <c r="R58" s="706">
        <f>INDEX(finCalcCh4Prod3Slot1UnitSold,,xxIndexTeam)</f>
        <v>941908.8</v>
      </c>
      <c r="S58" s="706">
        <f>INDEX(finCalcCh4Prod3Slot2UnitSold,,xxIndexTeam)</f>
        <v>0</v>
      </c>
      <c r="T58" s="706">
        <f>INDEX(finCalcCh4Prod3Slot3UnitSold,,xxIndexTeam)</f>
        <v>0</v>
      </c>
      <c r="U58" s="706">
        <f t="shared" ref="U58:U59" si="29">V58+W58+X58</f>
        <v>2028270</v>
      </c>
      <c r="V58" s="706">
        <f>INDEX(finCalcCh4Prod1Slot1UnitSold,,xxIndexTeam)</f>
        <v>2028270</v>
      </c>
      <c r="W58" s="706">
        <f>INDEX(finCalcCh4Prod1Slot2UnitSold,,xxIndexTeam)</f>
        <v>0</v>
      </c>
      <c r="X58" s="706">
        <f>INDEX(finCalcCh4Prod1Slot3UnitSold,,xxIndexTeam)</f>
        <v>0</v>
      </c>
      <c r="Y58" s="706">
        <f t="shared" ref="Y58" si="30">Z58+AA58+AB58</f>
        <v>183638636.36363634</v>
      </c>
      <c r="Z58" s="706">
        <f>INDEX(finCalcCh4Prod4Slot1UnitSold,,xxIndexTeam)</f>
        <v>183638636.36363634</v>
      </c>
      <c r="AA58" s="706">
        <f>INDEX(finCalcCh4Prod4Slot2UnitSold,,xxIndexTeam)</f>
        <v>0</v>
      </c>
      <c r="AB58" s="596">
        <f>INDEX(finCalcCh4Prod4Slot3UnitSold,,xxIndexTeam)</f>
        <v>0</v>
      </c>
      <c r="AC58" s="701"/>
    </row>
    <row r="59" spans="4:38" ht="15">
      <c r="D59" s="554"/>
      <c r="E59" s="585">
        <f>INDEX(L59:AB59,,calcCh4VtCode)</f>
        <v>50863075.199999996</v>
      </c>
      <c r="F59" s="720" t="s">
        <v>6762</v>
      </c>
      <c r="G59" s="720"/>
      <c r="H59" s="720"/>
      <c r="I59" s="720"/>
      <c r="J59" s="720"/>
      <c r="K59" s="608" t="s">
        <v>517</v>
      </c>
      <c r="L59" s="706">
        <f t="shared" si="26"/>
        <v>7824702580.1818161</v>
      </c>
      <c r="M59" s="706">
        <f t="shared" si="27"/>
        <v>50863075.199999996</v>
      </c>
      <c r="N59" s="706">
        <f>tloutputCh4Prod2Slot1CM*N58</f>
        <v>50863075.199999996</v>
      </c>
      <c r="O59" s="706">
        <f>tloutputCh4Prod2Slot2CM*O58</f>
        <v>0</v>
      </c>
      <c r="P59" s="706">
        <f>tloutputCh4Prod2Slot3CM*P58</f>
        <v>0</v>
      </c>
      <c r="Q59" s="706">
        <f t="shared" si="28"/>
        <v>33908716.800000004</v>
      </c>
      <c r="R59" s="706">
        <f>tloutputCh4Prod3Slot1CM*R58</f>
        <v>33908716.800000004</v>
      </c>
      <c r="S59" s="706">
        <f>tloutputCh4Prod3Slot2CM*S58</f>
        <v>0</v>
      </c>
      <c r="T59" s="706">
        <f>tloutputCh4Prod3Slot3CM*T58</f>
        <v>0</v>
      </c>
      <c r="U59" s="706">
        <f t="shared" si="29"/>
        <v>73017720</v>
      </c>
      <c r="V59" s="706">
        <f>tloutputCh4Prod1Slot1CM*V58</f>
        <v>73017720</v>
      </c>
      <c r="W59" s="706">
        <f>tloutputCh4Prod1Slot2CM*W58</f>
        <v>0</v>
      </c>
      <c r="X59" s="706">
        <f>tloutputCh4Prod1Slot3CM*X58</f>
        <v>0</v>
      </c>
      <c r="Y59" s="706">
        <f>Z59+AA59+AB59</f>
        <v>7666913068.1818161</v>
      </c>
      <c r="Z59" s="706">
        <f>tloutputCh4Prod4Slot1CM*Z58</f>
        <v>7666913068.1818161</v>
      </c>
      <c r="AA59" s="706">
        <f>tloutputCh4Prod4Slot2CM*AA58</f>
        <v>0</v>
      </c>
      <c r="AB59" s="596">
        <f>tloutputCh4Prod4Slot3CM*AB58</f>
        <v>0</v>
      </c>
      <c r="AC59" s="701"/>
    </row>
    <row r="60" spans="4:38" ht="15.75" thickBot="1">
      <c r="D60" s="546"/>
      <c r="E60" s="545">
        <f>INDEX(L60:AB60,,calcCh4VtCode)</f>
        <v>0.81</v>
      </c>
      <c r="F60" s="544" t="s">
        <v>6763</v>
      </c>
      <c r="G60" s="544"/>
      <c r="H60" s="544"/>
      <c r="I60" s="544"/>
      <c r="J60" s="544"/>
      <c r="K60" s="543" t="s">
        <v>3674</v>
      </c>
      <c r="L60" s="542" t="str">
        <f>""</f>
        <v/>
      </c>
      <c r="M60" s="542" t="str">
        <f>""</f>
        <v/>
      </c>
      <c r="N60" s="752">
        <f>INDEX(calcCh4Prod2Slot1WD,,xxIndexTeam)</f>
        <v>0.81</v>
      </c>
      <c r="O60" s="752">
        <f>INDEX(calcCh4Prod2Slot2WD,,xxIndexTeam)</f>
        <v>0.06</v>
      </c>
      <c r="P60" s="752">
        <f>INDEX(calcCh4Prod2Slot3WD,,xxIndexTeam)</f>
        <v>0.06</v>
      </c>
      <c r="Q60" s="542" t="str">
        <f>""</f>
        <v/>
      </c>
      <c r="R60" s="752">
        <f>INDEX(calcCh4Prod3Slot1WD,,xxIndexTeam)</f>
        <v>0.81</v>
      </c>
      <c r="S60" s="752">
        <f>INDEX(calcCh4Prod3Slot2WD,,xxIndexTeam)</f>
        <v>0.06</v>
      </c>
      <c r="T60" s="752">
        <f>INDEX(calcCh4Prod3Slot3WD,,xxIndexTeam)</f>
        <v>0.06</v>
      </c>
      <c r="U60" s="542" t="str">
        <f>""</f>
        <v/>
      </c>
      <c r="V60" s="752">
        <f>INDEX(calcCh4Prod1Slot1WD,,xxIndexTeam)</f>
        <v>0.81</v>
      </c>
      <c r="W60" s="752">
        <f>INDEX(calcCh4Prod1Slot2WD,,xxIndexTeam)</f>
        <v>0.06</v>
      </c>
      <c r="X60" s="752">
        <f>INDEX(calcCh4Prod1Slot3WD,,xxIndexTeam)</f>
        <v>0.06</v>
      </c>
      <c r="Y60" s="542" t="str">
        <f>""</f>
        <v/>
      </c>
      <c r="Z60" s="752">
        <f>INDEX(calcCh4Prod4Slot1WD,,xxIndexTeam)</f>
        <v>0.66000000000000014</v>
      </c>
      <c r="AA60" s="752">
        <f>INDEX(calcCh4Prod4Slot2WD,,xxIndexTeam)</f>
        <v>0.06</v>
      </c>
      <c r="AB60" s="753">
        <f>INDEX(calcCh4Prod4Slot3WD,,xxIndexTeam)</f>
        <v>0.06</v>
      </c>
      <c r="AC60" s="701"/>
    </row>
    <row r="61" spans="4:38" ht="15">
      <c r="E61" s="707"/>
      <c r="L61" s="613" t="str">
        <f>nmCh4</f>
        <v>On-Trade</v>
      </c>
      <c r="M61" s="613" t="str">
        <f>nmProd2</f>
        <v>Harken</v>
      </c>
      <c r="N61" s="613" t="str">
        <f>nmProd2&amp;" Slot 1"</f>
        <v>Harken Slot 1</v>
      </c>
      <c r="O61" s="613" t="str">
        <f>nmProd2&amp;" Slot 2"</f>
        <v>Harken Slot 2</v>
      </c>
      <c r="P61" s="613" t="str">
        <f>nmProd2&amp;" Slot 3"</f>
        <v>Harken Slot 3</v>
      </c>
      <c r="Q61" s="613" t="str">
        <f>nmProd3</f>
        <v>Kara</v>
      </c>
      <c r="R61" s="613" t="str">
        <f>nmProd3&amp;" Slot 1"</f>
        <v>Kara Slot 1</v>
      </c>
      <c r="S61" s="613" t="str">
        <f>nmProd3&amp;" Slot 2"</f>
        <v>Kara Slot 2</v>
      </c>
      <c r="T61" s="613" t="str">
        <f>nmProd3&amp;" Slot 3"</f>
        <v>Kara Slot 3</v>
      </c>
      <c r="U61" s="613" t="str">
        <f>nmProd1</f>
        <v>Greenborg</v>
      </c>
      <c r="V61" s="613" t="str">
        <f>nmProd1&amp;" Slot 1"</f>
        <v>Greenborg Slot 1</v>
      </c>
      <c r="W61" s="613" t="str">
        <f>nmProd1&amp;" Slot 2"</f>
        <v>Greenborg Slot 2</v>
      </c>
      <c r="X61" s="613" t="str">
        <f>nmProd1&amp;" Slot 3"</f>
        <v>Greenborg Slot 3</v>
      </c>
      <c r="Y61" s="613" t="str">
        <f>nmProd4</f>
        <v>Brew Master</v>
      </c>
      <c r="Z61" s="613" t="str">
        <f>nmProd4&amp;" Slot 1"</f>
        <v>Brew Master Slot 1</v>
      </c>
      <c r="AA61" s="613" t="str">
        <f>nmProd4&amp;" Slot 2"</f>
        <v>Brew Master Slot 2</v>
      </c>
      <c r="AB61" s="613" t="str">
        <f>nmProd4&amp;" Slot 3"</f>
        <v>Brew Master Slot 3</v>
      </c>
    </row>
    <row r="62" spans="4:38" ht="15.75" thickBot="1">
      <c r="D62" s="702" t="s">
        <v>6546</v>
      </c>
      <c r="E62" s="707"/>
      <c r="F62" s="802"/>
      <c r="G62" s="802"/>
      <c r="H62" s="802"/>
      <c r="I62" s="802"/>
      <c r="J62" s="802"/>
      <c r="K62" s="802"/>
      <c r="L62" s="802"/>
      <c r="M62" s="802"/>
      <c r="N62" s="802"/>
      <c r="O62" s="802"/>
      <c r="P62" s="802"/>
      <c r="Q62" s="802"/>
      <c r="R62" s="802"/>
      <c r="S62" s="802"/>
      <c r="T62" s="802"/>
      <c r="U62" s="802"/>
      <c r="V62" s="802"/>
      <c r="W62" s="802"/>
      <c r="X62" s="802"/>
      <c r="Y62" s="802"/>
      <c r="Z62" s="802"/>
      <c r="AA62" s="802"/>
      <c r="AB62" s="802"/>
    </row>
    <row r="63" spans="4:38" ht="28.5">
      <c r="D63" s="555"/>
      <c r="E63" s="541"/>
      <c r="F63" s="600"/>
      <c r="G63" s="600"/>
      <c r="H63" s="600"/>
      <c r="I63" s="600"/>
      <c r="J63" s="600"/>
      <c r="K63" s="600"/>
      <c r="L63" s="607" t="str">
        <f>nmCh4</f>
        <v>On-Trade</v>
      </c>
      <c r="M63" s="595" t="str">
        <f>nmProd2</f>
        <v>Harken</v>
      </c>
      <c r="N63" s="595" t="str">
        <f>nmProd2&amp;" Slot 1"</f>
        <v>Harken Slot 1</v>
      </c>
      <c r="O63" s="595" t="str">
        <f>nmProd2&amp;" Slot 2"</f>
        <v>Harken Slot 2</v>
      </c>
      <c r="P63" s="595" t="str">
        <f>nmProd2&amp;" Slot 3"</f>
        <v>Harken Slot 3</v>
      </c>
      <c r="Q63" s="595" t="str">
        <f>nmProd3</f>
        <v>Kara</v>
      </c>
      <c r="R63" s="595" t="str">
        <f>nmProd3&amp;" Slot 1"</f>
        <v>Kara Slot 1</v>
      </c>
      <c r="S63" s="595" t="str">
        <f>nmProd3&amp;" Slot 2"</f>
        <v>Kara Slot 2</v>
      </c>
      <c r="T63" s="595" t="str">
        <f>nmProd3&amp;" Slot 3"</f>
        <v>Kara Slot 3</v>
      </c>
      <c r="U63" s="595" t="str">
        <f>nmProd1</f>
        <v>Greenborg</v>
      </c>
      <c r="V63" s="595" t="str">
        <f>nmProd1&amp;" Slot 1"</f>
        <v>Greenborg Slot 1</v>
      </c>
      <c r="W63" s="595" t="str">
        <f>nmProd1&amp;" Slot 2"</f>
        <v>Greenborg Slot 2</v>
      </c>
      <c r="X63" s="595" t="str">
        <f>nmProd1&amp;" Slot 3"</f>
        <v>Greenborg Slot 3</v>
      </c>
      <c r="Y63" s="595" t="str">
        <f>nmProd4</f>
        <v>Brew Master</v>
      </c>
      <c r="Z63" s="595" t="str">
        <f>nmProd4&amp;" Slot 1"</f>
        <v>Brew Master Slot 1</v>
      </c>
      <c r="AA63" s="595" t="str">
        <f>nmProd4&amp;" Slot 2"</f>
        <v>Brew Master Slot 2</v>
      </c>
      <c r="AB63" s="594" t="str">
        <f>nmProd4&amp;" Slot 3"</f>
        <v>Brew Master Slot 3</v>
      </c>
      <c r="AC63" s="701"/>
    </row>
    <row r="64" spans="4:38" ht="18" customHeight="1">
      <c r="D64" s="554"/>
      <c r="E64" s="604"/>
      <c r="F64" s="720"/>
      <c r="G64" s="720"/>
      <c r="H64" s="720"/>
      <c r="I64" s="720"/>
      <c r="J64" s="720"/>
      <c r="K64" s="608" t="s">
        <v>4405</v>
      </c>
      <c r="L64" s="887">
        <f>M64+Q64+U64+Y64</f>
        <v>170176800</v>
      </c>
      <c r="M64" s="887">
        <f>SUM(N64:P64)</f>
        <v>35321580</v>
      </c>
      <c r="N64" s="888">
        <f>INDEX(finCalcCh4Prod2Slot1VolSold,,xxIndexTeam)</f>
        <v>35321580</v>
      </c>
      <c r="O64" s="888">
        <f>INDEX(finCalcCh4Prod2Slot2VolSold,,xxIndexTeam)</f>
        <v>0</v>
      </c>
      <c r="P64" s="888">
        <f>INDEX(finCalcCh4Prod2Slot3VolSold,,xxIndexTeam)</f>
        <v>0</v>
      </c>
      <c r="Q64" s="887">
        <f>SUM(R64:T64)</f>
        <v>23547720</v>
      </c>
      <c r="R64" s="888">
        <f>INDEX(finCalcCh4Prod3Slot1VolSold,,xxIndexTeam)</f>
        <v>23547720</v>
      </c>
      <c r="S64" s="888">
        <f>INDEX(finCalcCh4Prod3Slot2VolSold,,xxIndexTeam)</f>
        <v>0</v>
      </c>
      <c r="T64" s="888">
        <f>INDEX(finCalcCh4Prod3Slot3VolSold,,xxIndexTeam)</f>
        <v>0</v>
      </c>
      <c r="U64" s="887">
        <f>SUM(V64:X64)</f>
        <v>50706750</v>
      </c>
      <c r="V64" s="888">
        <f>INDEX(finCalcCh4Prod1Slot1VolSold,,xxIndexTeam)</f>
        <v>50706750</v>
      </c>
      <c r="W64" s="888">
        <f>INDEX(finCalcCh4Prod1Slot2VolSold,,xxIndexTeam)</f>
        <v>0</v>
      </c>
      <c r="X64" s="888">
        <f>INDEX(finCalcCh4Prod1Slot3VolSold,,xxIndexTeam)</f>
        <v>0</v>
      </c>
      <c r="Y64" s="887">
        <f>SUM(Z64:AB64)</f>
        <v>60600750</v>
      </c>
      <c r="Z64" s="888">
        <f>INDEX(finCalcCh4Prod4Slot1VolSold,,xxIndexTeam)</f>
        <v>60600750</v>
      </c>
      <c r="AA64" s="888">
        <f>INDEX(finCalcCh4Prod4Slot2VolSold,,xxIndexTeam)</f>
        <v>0</v>
      </c>
      <c r="AB64" s="888">
        <f>INDEX(finCalcCh4Prod4Slot3VolSold,,xxIndexTeam)</f>
        <v>0</v>
      </c>
      <c r="AC64" s="701"/>
      <c r="AD64" s="628" t="s">
        <v>6733</v>
      </c>
      <c r="AE64" s="612" t="s">
        <v>6591</v>
      </c>
    </row>
    <row r="65" spans="4:54" ht="15.75" thickBot="1">
      <c r="D65" s="554"/>
      <c r="E65" s="540"/>
      <c r="F65" s="876" t="s">
        <v>9735</v>
      </c>
      <c r="G65" s="876" t="s">
        <v>9062</v>
      </c>
      <c r="H65" s="720"/>
      <c r="I65" s="720"/>
      <c r="J65" s="814"/>
      <c r="K65" s="608" t="s">
        <v>9059</v>
      </c>
      <c r="L65" s="887">
        <f>M65+Q65+U65+Y65</f>
        <v>368472632.41469449</v>
      </c>
      <c r="M65" s="887">
        <f>INDEX(obalCh4Prod2Slot1GPaL,,xxIndexTeam)+INDEX(obalCh4Prod2Slot2GPaL,,xxIndexTeam)+INDEX(obalCh4Prod2Slot3GPaL,,xxIndexTeam)</f>
        <v>33144091.814078879</v>
      </c>
      <c r="N65" s="888">
        <f>IF(INDEX(obalCh4Prod2Slot1Pack,,xxIndexTeam)=INDEX(cbalCh4Prod2Slot1Pack,,xxIndexTeam),INDEX(obalCh4Prod2Slot1GPaL,,xxIndexTeam),0)</f>
        <v>33144091.814078879</v>
      </c>
      <c r="O65" s="888">
        <f>IF(INDEX(obalCh4Prod2Slot2Pack,,xxIndexTeam)=INDEX(cbalCh4Prod2Slot2Pack,,xxIndexTeam),INDEX(obalCh4Prod2Slot2GPaL,,xxIndexTeam),0)</f>
        <v>0</v>
      </c>
      <c r="P65" s="888">
        <f>IF(INDEX(obalCh4Prod2Slot3Pack,,xxIndexTeam)=INDEX(cbalCh4Prod2Slot3Pack,,xxIndexTeam),INDEX(obalCh4Prod2Slot3GPaL,,xxIndexTeam),0)</f>
        <v>0</v>
      </c>
      <c r="Q65" s="887">
        <f>INDEX(obalCh4Prod3Slot1GPaL,,xxIndexTeam)+INDEX(obalCh4Prod3Slot2GPaL,,xxIndexTeam)+INDEX(obalCh4Prod3Slot3GPaL,,xxIndexTeam)</f>
        <v>55092480.095375776</v>
      </c>
      <c r="R65" s="888">
        <f>IF(INDEX(obalCh4Prod3Slot1Pack,,xxIndexTeam)=INDEX(cbalCh4Prod3Slot1Pack,,xxIndexTeam),INDEX(obalCh4Prod3Slot1GPaL,,xxIndexTeam),0)</f>
        <v>55092480.095375776</v>
      </c>
      <c r="S65" s="888">
        <f>IF(INDEX(obalCh4Prod3Slot2Pack,,xxIndexTeam)=INDEX(cbalCh4Prod3Slot2Pack,,xxIndexTeam),INDEX(obalCh4Prod3Slot2GPaL,,xxIndexTeam),0)</f>
        <v>0</v>
      </c>
      <c r="T65" s="888">
        <f>IF(INDEX(obalCh4Prod3Slot3Pack,,xxIndexTeam)=INDEX(cbalCh4Prod3Slot3Pack,,xxIndexTeam),INDEX(obalCh4Prod3Slot3GPaL,,xxIndexTeam),0)</f>
        <v>0</v>
      </c>
      <c r="U65" s="887">
        <f>INDEX(obalCh4Prod1Slot1GPaL,,xxIndexTeam)+INDEX(obalCh4Prod1Slot2GPaL,,xxIndexTeam)+INDEX(obalCh4Prod1Slot3GPaL,,xxIndexTeam)</f>
        <v>110153448.8270608</v>
      </c>
      <c r="V65" s="888">
        <f>IF(INDEX(obalCh4Prod1Slot1Pack,,xxIndexTeam)=INDEX(cbalCh4Prod1Slot1Pack,,xxIndexTeam),INDEX(obalCh4Prod1Slot1GPaL,,xxIndexTeam),0)</f>
        <v>110153448.8270608</v>
      </c>
      <c r="W65" s="888">
        <f>IF(INDEX(obalCh4Prod1Slot2Pack,,xxIndexTeam)=INDEX(cbalCh4Prod1Slot2Pack,,xxIndexTeam),INDEX(obalCh4Prod1Slot2GPaL,,xxIndexTeam),0)</f>
        <v>0</v>
      </c>
      <c r="X65" s="888">
        <f>IF(INDEX(obalCh4Prod1Slot3Pack,,xxIndexTeam)=INDEX(cbalCh4Prod1Slot3Pack,,xxIndexTeam),INDEX(obalCh4Prod1Slot3GPaL,,xxIndexTeam),0)</f>
        <v>0</v>
      </c>
      <c r="Y65" s="887">
        <f>INDEX(obalCh4Prod4Slot1GPaL,,xxIndexTeam)+INDEX(obalCh4Prod4Slot2GPaL,,xxIndexTeam)+INDEX(obalCh4Prod4Slot3GPaL,,xxIndexTeam)</f>
        <v>170082611.67817903</v>
      </c>
      <c r="Z65" s="888">
        <f>IF(INDEX(obalCh4Prod4Slot1Pack,,xxIndexTeam)=INDEX(cbalCh4Prod4Slot1Pack,,xxIndexTeam),INDEX(obalCh4Prod4Slot1GPaL,,xxIndexTeam),0)</f>
        <v>170082611.67817903</v>
      </c>
      <c r="AA65" s="888">
        <f>IF(INDEX(obalCh4Prod4Slot2Pack,,xxIndexTeam)=INDEX(cbalCh4Prod4Slot2Pack,,xxIndexTeam),INDEX(obalCh4Prod4Slot2GPaL,,xxIndexTeam),0)</f>
        <v>0</v>
      </c>
      <c r="AB65" s="888">
        <f>IF(INDEX(obalCh4Prod4Slot3Pack,,xxIndexTeam)=INDEX(cbalCh4Prod4Slot3Pack,,xxIndexTeam),INDEX(obalCh4Prod4Slot3GPaL,,xxIndexTeam),0)</f>
        <v>0</v>
      </c>
      <c r="AC65" s="701"/>
      <c r="AE65" s="702" t="s">
        <v>6592</v>
      </c>
    </row>
    <row r="66" spans="4:54" ht="15">
      <c r="D66" s="554"/>
      <c r="E66" s="540"/>
      <c r="F66" s="876" t="s">
        <v>6764</v>
      </c>
      <c r="G66" s="876" t="s">
        <v>9062</v>
      </c>
      <c r="H66" s="720"/>
      <c r="I66" s="720"/>
      <c r="J66" s="814"/>
      <c r="K66" s="608" t="s">
        <v>295</v>
      </c>
      <c r="L66" s="887">
        <f t="shared" ref="L66:L70" si="31">M66+Q66+U66+Y66</f>
        <v>12647445.206692392</v>
      </c>
      <c r="M66" s="887">
        <f>SUM(N66:P66)</f>
        <v>-802241.46408741386</v>
      </c>
      <c r="N66" s="889">
        <f>IFERROR(IF(INDEX(obalCh4Prod2Slot1Pack,,xxIndexTeam)=INDEX(cbalCh4Prod2Slot1Pack,,xxIndexTeam),N77,0),0)</f>
        <v>-802241.46408741386</v>
      </c>
      <c r="O66" s="889">
        <f>IFERROR(IF(INDEX(obalCh4Prod2Slot2Pack,,xxIndexTeam)=INDEX(cbalCh4Prod2Slot2Pack,,xxIndexTeam),O77,0),0)</f>
        <v>0</v>
      </c>
      <c r="P66" s="889">
        <f>IFERROR(IF(INDEX(obalCh4Prod2Slot3Pack,,xxIndexTeam)=INDEX(cbalCh4Prod2Slot3Pack,,xxIndexTeam),P77,0),0)</f>
        <v>0</v>
      </c>
      <c r="Q66" s="887">
        <f>SUM(R66:T66)</f>
        <v>4475310.2055092184</v>
      </c>
      <c r="R66" s="889">
        <f>IFERROR(IF(INDEX(obalCh4Prod3Slot1Pack,,xxIndexTeam)=INDEX(cbalCh4Prod3Slot1Pack,,xxIndexTeam),R77,0),0)</f>
        <v>4475310.2055092184</v>
      </c>
      <c r="S66" s="889">
        <f>IFERROR(IF(INDEX(obalCh4Prod3Slot2Pack,,xxIndexTeam)=INDEX(cbalCh4Prod3Slot2Pack,,xxIndexTeam),S77,0),0)</f>
        <v>0</v>
      </c>
      <c r="T66" s="889">
        <f>IFERROR(IF(INDEX(obalCh4Prod3Slot3Pack,,xxIndexTeam)=INDEX(cbalCh4Prod3Slot3Pack,,xxIndexTeam),T77,0),0)</f>
        <v>0</v>
      </c>
      <c r="U66" s="887">
        <f>SUM(V66:X66)</f>
        <v>2371129.0026732092</v>
      </c>
      <c r="V66" s="889">
        <f>IFERROR(IF(INDEX(obalCh4Prod1Slot1Pack,,xxIndexTeam)=INDEX(cbalCh4Prod1Slot1Pack,,xxIndexTeam),V77,0),0)</f>
        <v>2371129.0026732092</v>
      </c>
      <c r="W66" s="889">
        <f>IFERROR(IF(INDEX(obalCh4Prod1Slot2Pack,,xxIndexTeam)=INDEX(cbalCh4Prod1Slot2Pack,,xxIndexTeam),W77,0),0)</f>
        <v>0</v>
      </c>
      <c r="X66" s="889">
        <f>IFERROR(IF(INDEX(obalCh4Prod1Slot3Pack,,xxIndexTeam)=INDEX(cbalCh4Prod1Slot3Pack,,xxIndexTeam),X77,0),0)</f>
        <v>0</v>
      </c>
      <c r="Y66" s="887">
        <f>SUM(Z66:AB66)</f>
        <v>6603247.4625973776</v>
      </c>
      <c r="Z66" s="889">
        <f>IFERROR(IF(INDEX(obalCh4Prod4Slot1Pack,,xxIndexTeam)=INDEX(cbalCh4Prod4Slot1Pack,,xxIndexTeam),Z77,0),0)</f>
        <v>6603247.4625973776</v>
      </c>
      <c r="AA66" s="889">
        <f>IFERROR(IF(INDEX(obalCh4Prod4Slot2Pack,,xxIndexTeam)=INDEX(cbalCh4Prod4Slot2Pack,,xxIndexTeam),AA77,0),0)</f>
        <v>0</v>
      </c>
      <c r="AB66" s="889">
        <f>IFERROR(IF(INDEX(obalCh4Prod4Slot3Pack,,xxIndexTeam)=INDEX(cbalCh4Prod4Slot3Pack,,xxIndexTeam),AB77,0),0)</f>
        <v>0</v>
      </c>
      <c r="AC66" s="701"/>
      <c r="AE66" s="555" t="str">
        <f>nmProd1</f>
        <v>Greenborg</v>
      </c>
      <c r="AF66" s="600"/>
      <c r="AG66" s="600"/>
      <c r="AH66" s="561"/>
      <c r="AI66" s="555"/>
      <c r="AJ66" s="600"/>
      <c r="AK66" s="600"/>
      <c r="AL66" s="561"/>
      <c r="AM66" s="555"/>
      <c r="AN66" s="600"/>
      <c r="AO66" s="600"/>
      <c r="AP66" s="561"/>
      <c r="AQ66" s="555"/>
      <c r="AR66" s="600"/>
      <c r="AS66" s="600"/>
      <c r="AT66" s="561"/>
      <c r="AU66" s="555"/>
      <c r="AV66" s="600"/>
      <c r="AW66" s="600"/>
      <c r="AX66" s="561"/>
      <c r="AY66" s="555"/>
      <c r="AZ66" s="600"/>
      <c r="BA66" s="600"/>
      <c r="BB66" s="561"/>
    </row>
    <row r="67" spans="4:54" ht="15">
      <c r="D67" s="554"/>
      <c r="E67" s="540"/>
      <c r="F67" s="876" t="s">
        <v>6765</v>
      </c>
      <c r="G67" s="876" t="s">
        <v>9062</v>
      </c>
      <c r="H67" s="720"/>
      <c r="I67" s="720"/>
      <c r="J67" s="814"/>
      <c r="K67" s="608" t="s">
        <v>151</v>
      </c>
      <c r="L67" s="887">
        <f t="shared" si="31"/>
        <v>6285516.9430295294</v>
      </c>
      <c r="M67" s="887">
        <f>SUM(N67:P67)</f>
        <v>3451651.5590942022</v>
      </c>
      <c r="N67" s="889">
        <f>IFERROR(IF(INDEX(obalCh4Prod2Slot1Pack,,xxIndexTeam)=INDEX(cbalCh4Prod2Slot1Pack,,xxIndexTeam),N78,0),0)-N69</f>
        <v>3451651.5590942022</v>
      </c>
      <c r="O67" s="889">
        <f>IFERROR(IF(INDEX(obalCh4Prod2Slot2Pack,,xxIndexTeam)=INDEX(cbalCh4Prod2Slot2Pack,,xxIndexTeam),O78,0),0)-O69</f>
        <v>0</v>
      </c>
      <c r="P67" s="889">
        <f>IFERROR(IF(INDEX(obalCh4Prod2Slot3Pack,,xxIndexTeam)=INDEX(cbalCh4Prod2Slot3Pack,,xxIndexTeam),P78,0),0)-P69</f>
        <v>0</v>
      </c>
      <c r="Q67" s="887">
        <f>SUM(R67:T67)</f>
        <v>57717.868552591535</v>
      </c>
      <c r="R67" s="889">
        <f>IFERROR(IF(INDEX(obalCh4Prod3Slot1Pack,,xxIndexTeam)=INDEX(cbalCh4Prod3Slot1Pack,,xxIndexTeam),R78,0),0)-R69</f>
        <v>57717.868552591535</v>
      </c>
      <c r="S67" s="889">
        <f>IFERROR(IF(INDEX(obalCh4Prod3Slot2Pack,,xxIndexTeam)=INDEX(cbalCh4Prod3Slot2Pack,,xxIndexTeam),S78,0),0)-S69</f>
        <v>0</v>
      </c>
      <c r="T67" s="889">
        <f>IFERROR(IF(INDEX(obalCh4Prod3Slot3Pack,,xxIndexTeam)=INDEX(cbalCh4Prod3Slot3Pack,,xxIndexTeam),T78,0),0)-T69</f>
        <v>0</v>
      </c>
      <c r="U67" s="887">
        <f>SUM(V67:X67)</f>
        <v>-482128.3684594729</v>
      </c>
      <c r="V67" s="889">
        <f>IFERROR(IF(INDEX(obalCh4Prod1Slot1Pack,,xxIndexTeam)=INDEX(cbalCh4Prod1Slot1Pack,,xxIndexTeam),V78,0),0)-V69</f>
        <v>-482128.3684594729</v>
      </c>
      <c r="W67" s="889">
        <f>IFERROR(IF(INDEX(obalCh4Prod1Slot2Pack,,xxIndexTeam)=INDEX(cbalCh4Prod1Slot2Pack,,xxIndexTeam),W78,0),0)-W69</f>
        <v>0</v>
      </c>
      <c r="X67" s="889">
        <f>IFERROR(IF(INDEX(obalCh4Prod1Slot3Pack,,xxIndexTeam)=INDEX(cbalCh4Prod1Slot3Pack,,xxIndexTeam),X78,0),0)-X69</f>
        <v>0</v>
      </c>
      <c r="Y67" s="887">
        <f>SUM(Z67:AB67)</f>
        <v>3258275.8838422084</v>
      </c>
      <c r="Z67" s="889">
        <f>IFERROR(IF(INDEX(obalCh4Prod4Slot1Pack,,xxIndexTeam)=INDEX(cbalCh4Prod4Slot1Pack,,xxIndexTeam),Z78,0),0)-Z69</f>
        <v>3258275.8838422084</v>
      </c>
      <c r="AA67" s="889">
        <f>IFERROR(IF(INDEX(obalCh4Prod4Slot2Pack,,xxIndexTeam)=INDEX(cbalCh4Prod4Slot2Pack,,xxIndexTeam),AA78,0),0)-AA69</f>
        <v>0</v>
      </c>
      <c r="AB67" s="889">
        <f>IFERROR(IF(INDEX(obalCh4Prod4Slot3Pack,,xxIndexTeam)=INDEX(cbalCh4Prod4Slot3Pack,,xxIndexTeam),AB78,0),0)-AB69</f>
        <v>0</v>
      </c>
      <c r="AC67" s="701"/>
      <c r="AE67" s="554"/>
      <c r="AF67" s="720"/>
      <c r="AG67" s="548">
        <f>tlinputCh4Prod1Slot1CustPrice*(1+VLOOKUP(tlOutputProd1,dataCustomerMargin,5,FALSE))</f>
        <v>43.2</v>
      </c>
      <c r="AH67" s="584" t="s">
        <v>6767</v>
      </c>
      <c r="AI67" s="554"/>
      <c r="AJ67" s="720"/>
      <c r="AK67" s="548">
        <f>tlOutputCh4Prod1Slot1SP-tlinputCh4Prod1Slot1CustPrice</f>
        <v>36</v>
      </c>
      <c r="AL67" s="584" t="s">
        <v>5138</v>
      </c>
      <c r="AM67" s="554"/>
      <c r="AN67" s="720"/>
      <c r="AO67" s="548">
        <f>tlinputCh4Prod1Slot1CustPrice*(1-tloutputCh4Prod1Slot1AvgPromoDis)</f>
        <v>5.7600000000000007</v>
      </c>
      <c r="AP67" s="584" t="s">
        <v>5162</v>
      </c>
      <c r="AQ67" s="554"/>
      <c r="AR67" s="720"/>
      <c r="AS67" s="548">
        <f>INDEX(calcCh4Prod1Slot1AvgSalePrice,,xxIndexTeam)</f>
        <v>6.8400000000000007</v>
      </c>
      <c r="AT67" s="584" t="s">
        <v>5174</v>
      </c>
      <c r="AU67" s="554"/>
      <c r="AV67" s="720"/>
      <c r="AW67" s="548">
        <f>ROUND(VLOOKUP(tlinputCh4Prod1Slot1Pack,dataPackPrice,5,FALSE)*0.8,2)</f>
        <v>5.76</v>
      </c>
      <c r="AX67" s="584" t="s">
        <v>8582</v>
      </c>
      <c r="AY67" s="554"/>
      <c r="AZ67" s="720"/>
      <c r="BA67" s="548">
        <f>ROUND(VLOOKUP(tlinputCh4Prod1Slot1Pack,dataPackPrice,5,FALSE)*1.2,2)</f>
        <v>8.64</v>
      </c>
      <c r="BB67" s="584" t="s">
        <v>8583</v>
      </c>
    </row>
    <row r="68" spans="4:54" ht="15">
      <c r="D68" s="554"/>
      <c r="E68" s="540"/>
      <c r="F68" s="876" t="s">
        <v>6766</v>
      </c>
      <c r="G68" s="876" t="s">
        <v>9062</v>
      </c>
      <c r="H68" s="720"/>
      <c r="I68" s="720"/>
      <c r="J68" s="814"/>
      <c r="K68" s="608" t="s">
        <v>9060</v>
      </c>
      <c r="L68" s="887">
        <f t="shared" si="31"/>
        <v>7.4505805969238281E-9</v>
      </c>
      <c r="M68" s="887">
        <f>(M65+M66+M67+M69-M70)*-1</f>
        <v>0</v>
      </c>
      <c r="N68" s="887">
        <v>0</v>
      </c>
      <c r="O68" s="887">
        <v>0</v>
      </c>
      <c r="P68" s="887">
        <v>0</v>
      </c>
      <c r="Q68" s="887">
        <f>(Q65+Q66+Q67+Q69-Q70)*-1</f>
        <v>7.4505805969238281E-9</v>
      </c>
      <c r="R68" s="887">
        <v>0</v>
      </c>
      <c r="S68" s="887">
        <v>0</v>
      </c>
      <c r="T68" s="887">
        <v>0</v>
      </c>
      <c r="U68" s="887">
        <f>(U65+U66+U67+U69-U70)*-1</f>
        <v>0</v>
      </c>
      <c r="V68" s="887">
        <v>0</v>
      </c>
      <c r="W68" s="887">
        <v>0</v>
      </c>
      <c r="X68" s="887">
        <v>0</v>
      </c>
      <c r="Y68" s="887">
        <f>(Y65+Y66+Y67+Y69-Y70)*-1</f>
        <v>0</v>
      </c>
      <c r="Z68" s="887">
        <v>0</v>
      </c>
      <c r="AA68" s="887">
        <v>0</v>
      </c>
      <c r="AB68" s="887">
        <v>0</v>
      </c>
      <c r="AC68" s="701"/>
      <c r="AE68" s="554"/>
      <c r="AF68" s="720"/>
      <c r="AG68" s="548">
        <f>tlinputCh4Prod1Slot2CustPrice*(1+VLOOKUP(tlOutputProd1,dataCustomerMargin,5,FALSE))</f>
        <v>0</v>
      </c>
      <c r="AH68" s="584" t="s">
        <v>6769</v>
      </c>
      <c r="AI68" s="554"/>
      <c r="AJ68" s="720"/>
      <c r="AK68" s="548">
        <f>tlOutputCh4Prod1Slot2SP-tlinputCh4Prod1Slot2CustPrice</f>
        <v>0</v>
      </c>
      <c r="AL68" s="584" t="s">
        <v>5139</v>
      </c>
      <c r="AM68" s="554"/>
      <c r="AN68" s="720"/>
      <c r="AO68" s="548">
        <f>tlinputCh4Prod1Slot2CustPrice*(1-tloutputCh4Prod1Slot1AvgPromoDis)</f>
        <v>0</v>
      </c>
      <c r="AP68" s="584" t="s">
        <v>5163</v>
      </c>
      <c r="AQ68" s="554"/>
      <c r="AR68" s="720"/>
      <c r="AS68" s="548">
        <f>INDEX(calcCh4Prod1Slot2AvgSalePrice,,xxIndexTeam)</f>
        <v>0</v>
      </c>
      <c r="AT68" s="584" t="s">
        <v>5175</v>
      </c>
      <c r="AU68" s="554"/>
      <c r="AV68" s="720"/>
      <c r="AW68" s="548">
        <f>ROUND(VLOOKUP(tlinputCh4Prod1Slot2Pack,dataPackPrice,5,FALSE)*0.8,2)</f>
        <v>0</v>
      </c>
      <c r="AX68" s="584" t="s">
        <v>8584</v>
      </c>
      <c r="AY68" s="554"/>
      <c r="AZ68" s="720"/>
      <c r="BA68" s="548">
        <f>ROUND(VLOOKUP(tlinputCh4Prod1Slot2Pack,dataPackPrice,5,FALSE)*1.2,2)</f>
        <v>0</v>
      </c>
      <c r="BB68" s="584" t="s">
        <v>8585</v>
      </c>
    </row>
    <row r="69" spans="4:54" ht="15">
      <c r="D69" s="554"/>
      <c r="E69" s="540"/>
      <c r="F69" s="876" t="s">
        <v>6768</v>
      </c>
      <c r="G69" s="876" t="s">
        <v>9062</v>
      </c>
      <c r="H69" s="720"/>
      <c r="I69" s="720"/>
      <c r="J69" s="814"/>
      <c r="K69" s="608" t="s">
        <v>157</v>
      </c>
      <c r="L69" s="887">
        <f>M69+Q69+U69+Y69</f>
        <v>-4662437.4835155327</v>
      </c>
      <c r="M69" s="887">
        <f>SUM(N69:P69)</f>
        <v>-323428.7834914159</v>
      </c>
      <c r="N69" s="889">
        <f>IFERROR(IF(INDEX(obalCh4Prod2Slot1Pack,,xxIndexTeam)=INDEX(cbalCh4Prod2Slot1Pack,,xxIndexTeam),N79,0),0)</f>
        <v>-323428.7834914159</v>
      </c>
      <c r="O69" s="889">
        <f>IFERROR(IF(INDEX(obalCh4Prod2Slot2Pack,,xxIndexTeam)=INDEX(cbalCh4Prod2Slot2Pack,,xxIndexTeam),O79,0),0)</f>
        <v>0</v>
      </c>
      <c r="P69" s="889">
        <f>IFERROR(IF(INDEX(obalCh4Prod2Slot3Pack,,xxIndexTeam)=INDEX(cbalCh4Prod2Slot3Pack,,xxIndexTeam),P79,0),0)</f>
        <v>0</v>
      </c>
      <c r="Q69" s="887">
        <f>SUM(R69:T69)</f>
        <v>-857997.18395259825</v>
      </c>
      <c r="R69" s="889">
        <f>IFERROR(IF(INDEX(obalCh4Prod3Slot1Pack,,xxIndexTeam)=INDEX(cbalCh4Prod3Slot1Pack,,xxIndexTeam),R79,0),0)</f>
        <v>-857997.18395259825</v>
      </c>
      <c r="S69" s="889">
        <f>IFERROR(IF(INDEX(obalCh4Prod3Slot2Pack,,xxIndexTeam)=INDEX(cbalCh4Prod3Slot2Pack,,xxIndexTeam),S79,0),0)</f>
        <v>0</v>
      </c>
      <c r="T69" s="889">
        <f>IFERROR(IF(INDEX(obalCh4Prod3Slot3Pack,,xxIndexTeam)=INDEX(cbalCh4Prod3Slot3Pack,,xxIndexTeam),T79,0),0)</f>
        <v>0</v>
      </c>
      <c r="U69" s="887">
        <f>SUM(V69:X69)</f>
        <v>-1831957.9644794571</v>
      </c>
      <c r="V69" s="889">
        <f>IFERROR(IF(INDEX(obalCh4Prod1Slot1Pack,,xxIndexTeam)=INDEX(cbalCh4Prod1Slot1Pack,,xxIndexTeam),V79,0),0)</f>
        <v>-1831957.9644794571</v>
      </c>
      <c r="W69" s="889">
        <f>IFERROR(IF(INDEX(obalCh4Prod1Slot2Pack,,xxIndexTeam)=INDEX(cbalCh4Prod1Slot2Pack,,xxIndexTeam),W79,0),0)</f>
        <v>0</v>
      </c>
      <c r="X69" s="889">
        <f>IFERROR(IF(INDEX(obalCh4Prod1Slot3Pack,,xxIndexTeam)=INDEX(cbalCh4Prod1Slot3Pack,,xxIndexTeam),X79,0),0)</f>
        <v>0</v>
      </c>
      <c r="Y69" s="887">
        <f>SUM(Z69:AB69)</f>
        <v>-1649053.5515920611</v>
      </c>
      <c r="Z69" s="889">
        <f>IFERROR(IF(INDEX(obalCh4Prod4Slot1Pack,,xxIndexTeam)=INDEX(cbalCh4Prod4Slot1Pack,,xxIndexTeam),Z79,0),0)</f>
        <v>-1649053.5515920611</v>
      </c>
      <c r="AA69" s="889">
        <f>IFERROR(IF(INDEX(obalCh4Prod4Slot2Pack,,xxIndexTeam)=INDEX(cbalCh4Prod4Slot2Pack,,xxIndexTeam),AA79,0),0)</f>
        <v>0</v>
      </c>
      <c r="AB69" s="889">
        <f>IFERROR(IF(INDEX(obalCh4Prod4Slot3Pack,,xxIndexTeam)=INDEX(cbalCh4Prod4Slot3Pack,,xxIndexTeam),AB79,0),0)</f>
        <v>0</v>
      </c>
      <c r="AC69" s="701"/>
      <c r="AE69" s="554"/>
      <c r="AF69" s="720"/>
      <c r="AG69" s="548">
        <f>tlinputCh4Prod1Slot3CustPrice*(1+VLOOKUP(tlOutputProd1,dataCustomerMargin,5,FALSE))</f>
        <v>0</v>
      </c>
      <c r="AH69" s="584" t="s">
        <v>6770</v>
      </c>
      <c r="AI69" s="554"/>
      <c r="AJ69" s="720"/>
      <c r="AK69" s="548">
        <f>tlOutputCh4Prod1Slot3SP-tlinputCh4Prod1Slot3CustPrice</f>
        <v>0</v>
      </c>
      <c r="AL69" s="584" t="s">
        <v>5140</v>
      </c>
      <c r="AM69" s="554"/>
      <c r="AN69" s="720"/>
      <c r="AO69" s="548">
        <f>tlinputCh4Prod1Slot3CustPrice*(1-tloutputCh4Prod1Slot1AvgPromoDis)</f>
        <v>0</v>
      </c>
      <c r="AP69" s="584" t="s">
        <v>5164</v>
      </c>
      <c r="AQ69" s="554"/>
      <c r="AR69" s="720"/>
      <c r="AS69" s="548">
        <f>INDEX(calcCh4Prod1Slot3AvgSalePrice,,xxIndexTeam)</f>
        <v>0</v>
      </c>
      <c r="AT69" s="584" t="s">
        <v>5176</v>
      </c>
      <c r="AU69" s="554"/>
      <c r="AV69" s="720"/>
      <c r="AW69" s="548">
        <f>ROUND(VLOOKUP(tlinputCh4Prod1Slot3Pack,dataPackPrice,5,FALSE)*0.8,2)</f>
        <v>0</v>
      </c>
      <c r="AX69" s="584" t="s">
        <v>8586</v>
      </c>
      <c r="AY69" s="554"/>
      <c r="AZ69" s="720"/>
      <c r="BA69" s="548">
        <f>ROUND(VLOOKUP(tlinputCh4Prod1Slot3Pack,dataPackPrice,5,FALSE)*1.2,2)</f>
        <v>0</v>
      </c>
      <c r="BB69" s="584" t="s">
        <v>8587</v>
      </c>
    </row>
    <row r="70" spans="4:54" ht="15.75" thickBot="1">
      <c r="D70" s="546"/>
      <c r="E70" s="539"/>
      <c r="F70" s="877" t="s">
        <v>9736</v>
      </c>
      <c r="G70" s="877" t="s">
        <v>9062</v>
      </c>
      <c r="H70" s="544"/>
      <c r="I70" s="544"/>
      <c r="J70" s="806"/>
      <c r="K70" s="543" t="s">
        <v>9058</v>
      </c>
      <c r="L70" s="891">
        <f t="shared" si="31"/>
        <v>382743157.08090091</v>
      </c>
      <c r="M70" s="891">
        <f>INDEX(cbalCh4Prod2Slot1GPaL,,xxIndexTeam)+INDEX(cbalCh4Prod2Slot2GPaL,,xxIndexTeam)+INDEX(cbalCh4Prod2Slot3GPaL,,xxIndexTeam)</f>
        <v>35470073.125594251</v>
      </c>
      <c r="N70" s="892">
        <f>IF(AND(INDEX(obalCh4Prod2Slot1Pack,,xxIndexTeam)=INDEX(cbalCh4Prod2Slot1Pack,,xxIndexTeam),INDEX(cbalCh4Prod2Slot1Active,,xxIndexTeam)=1),INDEX(cbalCh4Prod2Slot1GPaL,,xxIndexTeam),0)</f>
        <v>35470073.125594251</v>
      </c>
      <c r="O70" s="892">
        <f>IF(AND(INDEX(obalCh4Prod2Slot2Pack,,xxIndexTeam)=INDEX(cbalCh4Prod2Slot2Pack,,xxIndexTeam),INDEX(cbalCh4Prod2Slot2Active,,xxIndexTeam)=1),INDEX(cbalCh4Prod2Slot2GPaL,,xxIndexTeam),0)</f>
        <v>0</v>
      </c>
      <c r="P70" s="892">
        <f>IF(AND(INDEX(obalCh4Prod2Slot3Pack,,xxIndexTeam)=INDEX(cbalCh4Prod2Slot3Pack,,xxIndexTeam),INDEX(cbalCh4Prod2Slot3Active,,xxIndexTeam)=1),INDEX(cbalCh4Prod2Slot3GPaL,,xxIndexTeam),0)</f>
        <v>0</v>
      </c>
      <c r="Q70" s="891">
        <f>INDEX(cbalCh4Prod3Slot1GPaL,,xxIndexTeam)+INDEX(cbalCh4Prod3Slot2GPaL,,xxIndexTeam)+INDEX(cbalCh4Prod3Slot3GPaL,,xxIndexTeam)</f>
        <v>58767510.985484987</v>
      </c>
      <c r="R70" s="892">
        <f>IF(AND(INDEX(obalCh4Prod3Slot1Pack,,xxIndexTeam)=INDEX(cbalCh4Prod3Slot1Pack,,xxIndexTeam),INDEX(cbalCh4Prod3Slot1Active,,xxIndexTeam)=1),INDEX(cbalCh4Prod3Slot1GPaL,,xxIndexTeam),0)</f>
        <v>58767510.985484987</v>
      </c>
      <c r="S70" s="892">
        <f>IF(AND(INDEX(obalCh4Prod3Slot2Pack,,xxIndexTeam)=INDEX(cbalCh4Prod3Slot2Pack,,xxIndexTeam),INDEX(cbalCh4Prod3Slot2Active,,xxIndexTeam)=1),INDEX(cbalCh4Prod3Slot2GPaL,,xxIndexTeam),0)</f>
        <v>0</v>
      </c>
      <c r="T70" s="892">
        <f>IF(AND(INDEX(obalCh4Prod3Slot3Pack,,xxIndexTeam)=INDEX(cbalCh4Prod3Slot3Pack,,xxIndexTeam),INDEX(cbalCh4Prod3Slot3Active,,xxIndexTeam)=1),INDEX(cbalCh4Prod3Slot3GPaL,,xxIndexTeam),0)</f>
        <v>0</v>
      </c>
      <c r="U70" s="891">
        <f>INDEX(cbalCh4Prod1Slot1GPaL,,xxIndexTeam)+INDEX(cbalCh4Prod1Slot2GPaL,,xxIndexTeam)+INDEX(cbalCh4Prod1Slot3GPaL,,xxIndexTeam)</f>
        <v>110210491.49679507</v>
      </c>
      <c r="V70" s="892">
        <f>IF(AND(INDEX(obalCh4Prod1Slot1Pack,,xxIndexTeam)=INDEX(cbalCh4Prod1Slot1Pack,,xxIndexTeam),INDEX(cbalCh4Prod1Slot1Active,,xxIndexTeam)=1),INDEX(cbalCh4Prod1Slot1GPaL,,xxIndexTeam),0)</f>
        <v>110210491.49679507</v>
      </c>
      <c r="W70" s="892">
        <f>IF(AND(INDEX(obalCh4Prod1Slot2Pack,,xxIndexTeam)=INDEX(cbalCh4Prod1Slot2Pack,,xxIndexTeam),INDEX(cbalCh4Prod1Slot2Active,,xxIndexTeam)=1),INDEX(cbalCh4Prod1Slot2GPaL,,xxIndexTeam),0)</f>
        <v>0</v>
      </c>
      <c r="X70" s="892">
        <f>IF(AND(INDEX(obalCh4Prod1Slot3Pack,,xxIndexTeam)=INDEX(cbalCh4Prod1Slot3Pack,,xxIndexTeam),INDEX(cbalCh4Prod1Slot3Active,,xxIndexTeam)=1),INDEX(cbalCh4Prod1Slot3GPaL,,xxIndexTeam),0)</f>
        <v>0</v>
      </c>
      <c r="Y70" s="891">
        <f>INDEX(cbalCh4Prod4Slot1GPaL,,xxIndexTeam)+INDEX(cbalCh4Prod4Slot2GPaL,,xxIndexTeam)+INDEX(cbalCh4Prod4Slot3GPaL,,xxIndexTeam)</f>
        <v>178295081.47302654</v>
      </c>
      <c r="Z70" s="892">
        <f>IF(AND(INDEX(obalCh4Prod4Slot1Pack,,xxIndexTeam)=INDEX(cbalCh4Prod4Slot1Pack,,xxIndexTeam),INDEX(cbalCh4Prod4Slot1Active,,xxIndexTeam)=1),INDEX(cbalCh4Prod4Slot1GPaL,,xxIndexTeam),0)</f>
        <v>178295081.47302654</v>
      </c>
      <c r="AA70" s="892">
        <f>IF(AND(INDEX(obalCh4Prod4Slot2Pack,,xxIndexTeam)=INDEX(cbalCh4Prod4Slot2Pack,,xxIndexTeam),INDEX(cbalCh4Prod4Slot2Active,,xxIndexTeam)=1),INDEX(cbalCh4Prod4Slot2GPaL,,xxIndexTeam),0)</f>
        <v>0</v>
      </c>
      <c r="AB70" s="892">
        <f>IF(AND(INDEX(obalCh4Prod4Slot3Pack,,xxIndexTeam)=INDEX(cbalCh4Prod4Slot3Pack,,xxIndexTeam),INDEX(cbalCh4Prod4Slot3Active,,xxIndexTeam)=1),INDEX(cbalCh4Prod4Slot3GPaL,,xxIndexTeam),0)</f>
        <v>0</v>
      </c>
      <c r="AC70" s="701"/>
      <c r="AE70" s="554" t="str">
        <f>nmProd2</f>
        <v>Harken</v>
      </c>
      <c r="AF70" s="720"/>
      <c r="AG70" s="720"/>
      <c r="AH70" s="584"/>
      <c r="AI70" s="554"/>
      <c r="AJ70" s="720"/>
      <c r="AK70" s="720"/>
      <c r="AL70" s="584"/>
      <c r="AM70" s="554"/>
      <c r="AN70" s="720"/>
      <c r="AO70" s="720"/>
      <c r="AP70" s="584"/>
      <c r="AQ70" s="554"/>
      <c r="AR70" s="720"/>
      <c r="AS70" s="720"/>
      <c r="AT70" s="584"/>
      <c r="AU70" s="554"/>
      <c r="AV70" s="720"/>
      <c r="AW70" s="548">
        <f>ROUND(VLOOKUP(tlinputCh4Prod2Slot1Pack,dataPackPrice,5,FALSE)*0.8,2)</f>
        <v>5.76</v>
      </c>
      <c r="AX70" s="584" t="s">
        <v>8588</v>
      </c>
      <c r="AY70" s="554"/>
      <c r="AZ70" s="720"/>
      <c r="BA70" s="548">
        <f>ROUND(VLOOKUP(tlinputCh4Prod2Slot1Pack,dataPackPrice,5,FALSE)*1.2,2)</f>
        <v>8.64</v>
      </c>
      <c r="BB70" s="584" t="s">
        <v>8589</v>
      </c>
    </row>
    <row r="71" spans="4:54" ht="15">
      <c r="K71" s="802"/>
      <c r="L71" s="802"/>
      <c r="M71" s="890"/>
      <c r="N71" s="890"/>
      <c r="O71" s="802"/>
      <c r="P71" s="802"/>
      <c r="Q71" s="802"/>
      <c r="R71" s="802"/>
      <c r="S71" s="802"/>
      <c r="T71" s="802"/>
      <c r="U71" s="802"/>
      <c r="V71" s="802"/>
      <c r="W71" s="802"/>
      <c r="X71" s="802"/>
      <c r="Y71" s="802"/>
      <c r="Z71" s="802"/>
      <c r="AA71" s="802"/>
      <c r="AB71" s="802"/>
      <c r="AE71" s="554"/>
      <c r="AF71" s="720"/>
      <c r="AG71" s="548">
        <f>tlinputCh4Prod2Slot1CustPrice*(1+VLOOKUP(tlOutputProd2,dataCustomerMargin,5,FALSE))</f>
        <v>43.2</v>
      </c>
      <c r="AH71" s="584" t="s">
        <v>6771</v>
      </c>
      <c r="AI71" s="554"/>
      <c r="AJ71" s="720"/>
      <c r="AK71" s="548">
        <f>tlOutputCh4Prod2Slot1SP-tlinputCh4Prod2Slot1CustPrice</f>
        <v>36</v>
      </c>
      <c r="AL71" s="584" t="s">
        <v>5141</v>
      </c>
      <c r="AM71" s="554"/>
      <c r="AN71" s="720"/>
      <c r="AO71" s="548">
        <f>tlinputCh4Prod2Slot1CustPrice*(1-tloutputCh4Prod2Slot1AvgPromoDis)</f>
        <v>4.8239999999999998</v>
      </c>
      <c r="AP71" s="584" t="s">
        <v>5165</v>
      </c>
      <c r="AQ71" s="554"/>
      <c r="AR71" s="720"/>
      <c r="AS71" s="548">
        <f>INDEX(calcCh4Prod2Slot1AvgSalePrice,,xxIndexTeam)</f>
        <v>5.6555999999999997</v>
      </c>
      <c r="AT71" s="584" t="s">
        <v>5177</v>
      </c>
      <c r="AU71" s="554"/>
      <c r="AV71" s="720"/>
      <c r="AW71" s="548">
        <f>ROUND(VLOOKUP(tlinputCh4Prod2Slot2Pack,dataPackPrice,5,FALSE)*0.8,2)</f>
        <v>0</v>
      </c>
      <c r="AX71" s="584" t="s">
        <v>8590</v>
      </c>
      <c r="AY71" s="554"/>
      <c r="AZ71" s="720"/>
      <c r="BA71" s="548">
        <f>ROUND(VLOOKUP(tlinputCh4Prod2Slot2Pack,dataPackPrice,5,FALSE)*1.2,2)</f>
        <v>0</v>
      </c>
      <c r="BB71" s="584" t="s">
        <v>8591</v>
      </c>
    </row>
    <row r="72" spans="4:54" ht="15">
      <c r="K72" s="802"/>
      <c r="L72" s="886">
        <f>L73-L70</f>
        <v>0</v>
      </c>
      <c r="M72" s="886">
        <f>M73-M70</f>
        <v>0</v>
      </c>
      <c r="N72" s="886">
        <f>N73-N70</f>
        <v>0</v>
      </c>
      <c r="O72" s="886">
        <f>O73-O70</f>
        <v>0</v>
      </c>
      <c r="P72" s="886">
        <f t="shared" ref="P72:AB72" si="32">P73-P70</f>
        <v>0</v>
      </c>
      <c r="Q72" s="886">
        <f t="shared" si="32"/>
        <v>0</v>
      </c>
      <c r="R72" s="930">
        <f t="shared" si="32"/>
        <v>0</v>
      </c>
      <c r="S72" s="930">
        <f t="shared" si="32"/>
        <v>0</v>
      </c>
      <c r="T72" s="886">
        <f t="shared" si="32"/>
        <v>0</v>
      </c>
      <c r="U72" s="886">
        <f t="shared" si="32"/>
        <v>0</v>
      </c>
      <c r="V72" s="886">
        <f t="shared" si="32"/>
        <v>0</v>
      </c>
      <c r="W72" s="886">
        <f t="shared" si="32"/>
        <v>0</v>
      </c>
      <c r="X72" s="886">
        <f t="shared" si="32"/>
        <v>0</v>
      </c>
      <c r="Y72" s="886">
        <f t="shared" si="32"/>
        <v>0</v>
      </c>
      <c r="Z72" s="886">
        <f t="shared" si="32"/>
        <v>0</v>
      </c>
      <c r="AA72" s="886">
        <f t="shared" si="32"/>
        <v>0</v>
      </c>
      <c r="AB72" s="886">
        <f t="shared" si="32"/>
        <v>0</v>
      </c>
      <c r="AE72" s="554"/>
      <c r="AF72" s="720"/>
      <c r="AG72" s="548">
        <f>tlinputCh4Prod2Slot2CustPrice*(1+VLOOKUP(tlOutputProd2,dataCustomerMargin,5,FALSE))</f>
        <v>0</v>
      </c>
      <c r="AH72" s="584" t="s">
        <v>6772</v>
      </c>
      <c r="AI72" s="554"/>
      <c r="AJ72" s="720"/>
      <c r="AK72" s="548">
        <f>tlOutputCh4Prod2Slot2SP-tlinputCh4Prod2Slot2CustPrice</f>
        <v>0</v>
      </c>
      <c r="AL72" s="584" t="s">
        <v>5142</v>
      </c>
      <c r="AM72" s="554"/>
      <c r="AN72" s="720"/>
      <c r="AO72" s="548">
        <f>tlinputCh4Prod2Slot2CustPrice*(1-tloutputCh4Prod2Slot1AvgPromoDis)</f>
        <v>0</v>
      </c>
      <c r="AP72" s="584" t="s">
        <v>5166</v>
      </c>
      <c r="AQ72" s="554"/>
      <c r="AR72" s="720"/>
      <c r="AS72" s="548">
        <f>INDEX(calcCh4Prod2Slot2AvgSalePrice,,xxIndexTeam)</f>
        <v>0</v>
      </c>
      <c r="AT72" s="584" t="s">
        <v>5178</v>
      </c>
      <c r="AU72" s="554"/>
      <c r="AV72" s="720"/>
      <c r="AW72" s="548">
        <f>ROUND(VLOOKUP(tlinputCh4Prod2Slot3Pack,dataPackPrice,5,FALSE)*0.8,2)</f>
        <v>0</v>
      </c>
      <c r="AX72" s="584" t="s">
        <v>8592</v>
      </c>
      <c r="AY72" s="554"/>
      <c r="AZ72" s="720"/>
      <c r="BA72" s="548">
        <f>ROUND(VLOOKUP(tlinputCh4Prod2Slot3Pack,dataPackPrice,5,FALSE)*1.2,2)</f>
        <v>0</v>
      </c>
      <c r="BB72" s="584" t="s">
        <v>8593</v>
      </c>
    </row>
    <row r="73" spans="4:54" ht="15.75" thickBot="1">
      <c r="D73" s="702" t="s">
        <v>6586</v>
      </c>
      <c r="E73" s="613"/>
      <c r="K73" s="802"/>
      <c r="L73" s="890">
        <f>L65+L66+L67+L68+L69</f>
        <v>382743157.08090085</v>
      </c>
      <c r="M73" s="890">
        <f t="shared" ref="M73:AB73" si="33">M65+M66+M67+M68+M69</f>
        <v>35470073.125594251</v>
      </c>
      <c r="N73" s="890">
        <f t="shared" si="33"/>
        <v>35470073.125594251</v>
      </c>
      <c r="O73" s="890">
        <f>O65+O66+O67+O68+O69</f>
        <v>0</v>
      </c>
      <c r="P73" s="890">
        <f t="shared" si="33"/>
        <v>0</v>
      </c>
      <c r="Q73" s="890">
        <f t="shared" si="33"/>
        <v>58767510.985484987</v>
      </c>
      <c r="R73" s="890">
        <f t="shared" si="33"/>
        <v>58767510.98548498</v>
      </c>
      <c r="S73" s="890">
        <f t="shared" si="33"/>
        <v>0</v>
      </c>
      <c r="T73" s="890">
        <f t="shared" si="33"/>
        <v>0</v>
      </c>
      <c r="U73" s="890">
        <f t="shared" si="33"/>
        <v>110210491.49679507</v>
      </c>
      <c r="V73" s="890">
        <f t="shared" si="33"/>
        <v>110210491.49679507</v>
      </c>
      <c r="W73" s="890">
        <f t="shared" si="33"/>
        <v>0</v>
      </c>
      <c r="X73" s="890">
        <f t="shared" si="33"/>
        <v>0</v>
      </c>
      <c r="Y73" s="890">
        <f t="shared" si="33"/>
        <v>178295081.47302654</v>
      </c>
      <c r="Z73" s="890">
        <f t="shared" si="33"/>
        <v>178295081.47302654</v>
      </c>
      <c r="AA73" s="890">
        <f t="shared" si="33"/>
        <v>0</v>
      </c>
      <c r="AB73" s="890">
        <f t="shared" si="33"/>
        <v>0</v>
      </c>
      <c r="AE73" s="554"/>
      <c r="AF73" s="720"/>
      <c r="AG73" s="548">
        <f>tlinputCh4Prod2Slot3CustPrice*(1+VLOOKUP(tlOutputProd2,dataCustomerMargin,5,FALSE))</f>
        <v>0</v>
      </c>
      <c r="AH73" s="584" t="s">
        <v>6773</v>
      </c>
      <c r="AI73" s="554"/>
      <c r="AJ73" s="720"/>
      <c r="AK73" s="548">
        <f>tlOutputCh4Prod2Slot3SP-tlinputCh4Prod2Slot3CustPrice</f>
        <v>0</v>
      </c>
      <c r="AL73" s="584" t="s">
        <v>5143</v>
      </c>
      <c r="AM73" s="554"/>
      <c r="AN73" s="720"/>
      <c r="AO73" s="548">
        <f>tlinputCh4Prod2Slot3CustPrice*(1-tloutputCh4Prod2Slot1AvgPromoDis)</f>
        <v>0</v>
      </c>
      <c r="AP73" s="584" t="s">
        <v>5167</v>
      </c>
      <c r="AQ73" s="554"/>
      <c r="AR73" s="720"/>
      <c r="AS73" s="548">
        <f>INDEX(calcCh4Prod2Slot3AvgSalePrice,,xxIndexTeam)</f>
        <v>0</v>
      </c>
      <c r="AT73" s="584" t="s">
        <v>5179</v>
      </c>
      <c r="AU73" s="554"/>
      <c r="AV73" s="720"/>
      <c r="AW73" s="548">
        <f>ROUND(VLOOKUP(tlinputCh4Prod3Slot1Pack,dataPackPrice,5,FALSE)*0.8,2)</f>
        <v>5.76</v>
      </c>
      <c r="AX73" s="584" t="s">
        <v>8594</v>
      </c>
      <c r="AY73" s="554"/>
      <c r="AZ73" s="720"/>
      <c r="BA73" s="548">
        <f>ROUND(VLOOKUP(tlinputCh4Prod3Slot1Pack,dataPackPrice,5,FALSE)*1.2,2)</f>
        <v>8.64</v>
      </c>
      <c r="BB73" s="584" t="s">
        <v>8595</v>
      </c>
    </row>
    <row r="74" spans="4:54" ht="15">
      <c r="D74" s="555"/>
      <c r="E74" s="858"/>
      <c r="F74" s="600"/>
      <c r="G74" s="561"/>
      <c r="K74" s="802"/>
      <c r="L74" s="802" t="b">
        <f>L73=L70</f>
        <v>1</v>
      </c>
      <c r="M74" s="802" t="b">
        <f>M73=M70</f>
        <v>1</v>
      </c>
      <c r="N74" s="802" t="b">
        <f t="shared" ref="N74:AB74" si="34">N73=N70</f>
        <v>1</v>
      </c>
      <c r="O74" s="802" t="b">
        <f>O73=O70</f>
        <v>1</v>
      </c>
      <c r="P74" s="802" t="b">
        <f t="shared" si="34"/>
        <v>1</v>
      </c>
      <c r="Q74" s="802" t="b">
        <f t="shared" si="34"/>
        <v>1</v>
      </c>
      <c r="R74" s="802" t="b">
        <f t="shared" si="34"/>
        <v>1</v>
      </c>
      <c r="S74" s="802" t="b">
        <f t="shared" si="34"/>
        <v>1</v>
      </c>
      <c r="T74" s="802" t="b">
        <f t="shared" si="34"/>
        <v>1</v>
      </c>
      <c r="U74" s="802" t="b">
        <f t="shared" si="34"/>
        <v>1</v>
      </c>
      <c r="V74" s="802" t="b">
        <f t="shared" si="34"/>
        <v>1</v>
      </c>
      <c r="W74" s="802" t="b">
        <f t="shared" si="34"/>
        <v>1</v>
      </c>
      <c r="X74" s="802" t="b">
        <f t="shared" si="34"/>
        <v>1</v>
      </c>
      <c r="Y74" s="802" t="b">
        <f t="shared" si="34"/>
        <v>1</v>
      </c>
      <c r="Z74" s="802" t="b">
        <f t="shared" si="34"/>
        <v>1</v>
      </c>
      <c r="AA74" s="802" t="b">
        <f t="shared" si="34"/>
        <v>1</v>
      </c>
      <c r="AB74" s="802" t="b">
        <f t="shared" si="34"/>
        <v>1</v>
      </c>
      <c r="AE74" s="554" t="str">
        <f>nmProd3</f>
        <v>Kara</v>
      </c>
      <c r="AF74" s="720"/>
      <c r="AG74" s="720"/>
      <c r="AH74" s="584"/>
      <c r="AI74" s="554"/>
      <c r="AJ74" s="720"/>
      <c r="AK74" s="720"/>
      <c r="AL74" s="584"/>
      <c r="AM74" s="554"/>
      <c r="AN74" s="720"/>
      <c r="AO74" s="720"/>
      <c r="AP74" s="584"/>
      <c r="AQ74" s="554"/>
      <c r="AR74" s="720"/>
      <c r="AS74" s="720"/>
      <c r="AT74" s="584"/>
      <c r="AU74" s="554"/>
      <c r="AV74" s="720"/>
      <c r="AW74" s="548">
        <f>ROUND(VLOOKUP(tlinputCh4Prod3Slot2Pack,dataPackPrice,5,FALSE)*0.8,2)</f>
        <v>0</v>
      </c>
      <c r="AX74" s="584" t="s">
        <v>8596</v>
      </c>
      <c r="AY74" s="554"/>
      <c r="AZ74" s="720"/>
      <c r="BA74" s="548">
        <f>ROUND(VLOOKUP(tlinputCh4Prod3Slot2Pack,dataPackPrice,5,FALSE)*1.2,2)</f>
        <v>0</v>
      </c>
      <c r="BB74" s="584" t="s">
        <v>8597</v>
      </c>
    </row>
    <row r="75" spans="4:54" ht="15">
      <c r="D75" s="554"/>
      <c r="E75" s="735">
        <f>VLOOKUP(INDEX(decCh4Prod1Slot1Promo1,,xxIndexTeam),dataPromoPlanDisc,5,FALSE)</f>
        <v>0.2</v>
      </c>
      <c r="F75" s="720" t="s">
        <v>5150</v>
      </c>
      <c r="G75" s="584"/>
      <c r="K75" s="802"/>
      <c r="L75" s="802"/>
      <c r="M75" s="802"/>
      <c r="N75" s="802"/>
      <c r="O75" s="802"/>
      <c r="P75" s="802"/>
      <c r="Q75" s="802"/>
      <c r="R75" s="802"/>
      <c r="S75" s="802"/>
      <c r="T75" s="802"/>
      <c r="U75" s="802"/>
      <c r="V75" s="802"/>
      <c r="W75" s="802"/>
      <c r="X75" s="802"/>
      <c r="Y75" s="802"/>
      <c r="Z75" s="802"/>
      <c r="AA75" s="802"/>
      <c r="AB75" s="802"/>
      <c r="AE75" s="554"/>
      <c r="AF75" s="720"/>
      <c r="AG75" s="548">
        <f>tlinputCh4Prod3Slot1CustPrice*(1+VLOOKUP(tlOutputProd3,dataCustomerMargin,5,FALSE))</f>
        <v>43.2</v>
      </c>
      <c r="AH75" s="584" t="s">
        <v>6774</v>
      </c>
      <c r="AI75" s="554"/>
      <c r="AJ75" s="720"/>
      <c r="AK75" s="548">
        <f>tlOutputCh4Prod3Slot1SP-tlinputCh4Prod3Slot1CustPrice</f>
        <v>36</v>
      </c>
      <c r="AL75" s="584" t="s">
        <v>5144</v>
      </c>
      <c r="AM75" s="554"/>
      <c r="AN75" s="720"/>
      <c r="AO75" s="548">
        <f>tlinputCh4Prod3Slot1CustPrice*(1-tloutputCh4Prod3Slot1AvgPromoDis)</f>
        <v>7.2</v>
      </c>
      <c r="AP75" s="584" t="s">
        <v>5168</v>
      </c>
      <c r="AQ75" s="554"/>
      <c r="AR75" s="720"/>
      <c r="AS75" s="548">
        <f>INDEX(calcCh4Prod3Slot1AvgSalePrice,,xxIndexTeam)</f>
        <v>7.2</v>
      </c>
      <c r="AT75" s="584" t="s">
        <v>5180</v>
      </c>
      <c r="AU75" s="554"/>
      <c r="AV75" s="720"/>
      <c r="AW75" s="548">
        <f>ROUND(VLOOKUP(tlinputCh4Prod3Slot3Pack,dataPackPrice,5,FALSE)*0.8,2)</f>
        <v>0</v>
      </c>
      <c r="AX75" s="584" t="s">
        <v>8598</v>
      </c>
      <c r="AY75" s="554"/>
      <c r="AZ75" s="720"/>
      <c r="BA75" s="548">
        <f>ROUND(VLOOKUP(tlinputCh4Prod3Slot3Pack,dataPackPrice,5,FALSE)*1.2,2)</f>
        <v>0</v>
      </c>
      <c r="BB75" s="584" t="s">
        <v>8599</v>
      </c>
    </row>
    <row r="76" spans="4:54" ht="15">
      <c r="D76" s="554"/>
      <c r="E76" s="735">
        <f>VLOOKUP(INDEX(decCh4Prod1Slot2Promo1,,xxIndexTeam),dataPromoPlanDisc,5,FALSE)</f>
        <v>0</v>
      </c>
      <c r="F76" s="720" t="s">
        <v>5151</v>
      </c>
      <c r="G76" s="584"/>
      <c r="K76" s="702" t="s">
        <v>10567</v>
      </c>
      <c r="L76" s="802"/>
      <c r="M76" s="802"/>
      <c r="N76" s="802"/>
      <c r="O76" s="931"/>
      <c r="P76" s="802"/>
      <c r="Q76" s="802"/>
      <c r="R76" s="802"/>
      <c r="S76" s="802"/>
      <c r="T76" s="802"/>
      <c r="U76" s="802"/>
      <c r="V76" s="802"/>
      <c r="W76" s="802"/>
      <c r="X76" s="802"/>
      <c r="Y76" s="802"/>
      <c r="Z76" s="802"/>
      <c r="AA76" s="802"/>
      <c r="AB76" s="802"/>
      <c r="AE76" s="554"/>
      <c r="AF76" s="720"/>
      <c r="AG76" s="548">
        <f>tlinputCh4Prod3Slot2CustPrice*(1+VLOOKUP(tlOutputProd3,dataCustomerMargin,5,FALSE))</f>
        <v>0</v>
      </c>
      <c r="AH76" s="584" t="s">
        <v>6775</v>
      </c>
      <c r="AI76" s="554"/>
      <c r="AJ76" s="720"/>
      <c r="AK76" s="548">
        <f>tlOutputCh4Prod3Slot2SP-tlinputCh4Prod3Slot2CustPrice</f>
        <v>0</v>
      </c>
      <c r="AL76" s="584" t="s">
        <v>5145</v>
      </c>
      <c r="AM76" s="554"/>
      <c r="AN76" s="720"/>
      <c r="AO76" s="548">
        <f>tlinputCh4Prod3Slot2CustPrice*(1-tloutputCh4Prod3Slot1AvgPromoDis)</f>
        <v>0</v>
      </c>
      <c r="AP76" s="584" t="s">
        <v>5169</v>
      </c>
      <c r="AQ76" s="554"/>
      <c r="AR76" s="720"/>
      <c r="AS76" s="548">
        <f>INDEX(calcCh4Prod3Slot2AvgSalePrice,,xxIndexTeam)</f>
        <v>0</v>
      </c>
      <c r="AT76" s="584" t="s">
        <v>5181</v>
      </c>
      <c r="AU76" s="554"/>
      <c r="AV76" s="720"/>
      <c r="AW76" s="548">
        <f>ROUND(VLOOKUP(tlinputCh4Prod4Slot1Pack,dataPackPrice,5,FALSE)*0.8,2)</f>
        <v>6.64</v>
      </c>
      <c r="AX76" s="584" t="s">
        <v>8600</v>
      </c>
      <c r="AY76" s="554"/>
      <c r="AZ76" s="720"/>
      <c r="BA76" s="548">
        <f>ROUND(VLOOKUP(tlinputCh4Prod4Slot1Pack,dataPackPrice,5,FALSE)*1.2,2)</f>
        <v>9.9600000000000009</v>
      </c>
      <c r="BB76" s="584" t="s">
        <v>8601</v>
      </c>
    </row>
    <row r="77" spans="4:54" ht="15">
      <c r="D77" s="554"/>
      <c r="E77" s="735">
        <f>VLOOKUP(INDEX(decCh4Prod1Slot3Promo1,,xxIndexTeam),dataPromoPlanDisc,5,FALSE)</f>
        <v>0</v>
      </c>
      <c r="F77" s="720" t="s">
        <v>5152</v>
      </c>
      <c r="G77" s="584"/>
      <c r="K77" s="802" t="s">
        <v>295</v>
      </c>
      <c r="L77" s="802"/>
      <c r="M77" s="802"/>
      <c r="N77" s="802">
        <f>(INDEX(cbalCh4Prod2Slot1SoldVol,,xxIndexTeam)-INDEX(obalCh4Prod2Slot1SoldVol,,xxIndexTeam))*INDEX(obalCh4Prod2Slot1GPaLPerLitre,,xxIndexTeam)</f>
        <v>-802241.46408741386</v>
      </c>
      <c r="O77" s="802" t="e">
        <f>(INDEX(cbalCh4Prod2Slot2SoldVol,,xxIndexTeam)-INDEX(obalCh4Prod2Slot2SoldVol,,xxIndexTeam))*INDEX(obalCh4Prod2Slot2GPaLPerLitre,,xxIndexTeam)</f>
        <v>#VALUE!</v>
      </c>
      <c r="P77" s="802" t="e">
        <f>(INDEX(cbalCh4Prod2Slot3SoldVol,,xxIndexTeam)-INDEX(obalCh4Prod2Slot3SoldVol,,xxIndexTeam))*INDEX(obalCh4Prod2Slot3GPaLPerLitre,,xxIndexTeam)</f>
        <v>#VALUE!</v>
      </c>
      <c r="Q77" s="802"/>
      <c r="R77" s="802">
        <f>(INDEX(cbalCh4Prod3Slot1SoldVol,,xxIndexTeam)-INDEX(obalCh4Prod3Slot1SoldVol,,xxIndexTeam))*INDEX(obalCh4Prod3Slot1GPaLPerLitre,,xxIndexTeam)</f>
        <v>4475310.2055092184</v>
      </c>
      <c r="S77" s="802" t="e">
        <f>(INDEX(cbalCh4Prod3Slot2SoldVol,,xxIndexTeam)-INDEX(obalCh4Prod3Slot2SoldVol,,xxIndexTeam))*INDEX(obalCh4Prod3Slot2GPaLPerLitre,,xxIndexTeam)</f>
        <v>#VALUE!</v>
      </c>
      <c r="T77" s="802" t="e">
        <f>(INDEX(cbalCh4Prod3Slot3SoldVol,,xxIndexTeam)-INDEX(obalCh4Prod3Slot3SoldVol,,xxIndexTeam))*INDEX(obalCh4Prod3Slot3GPaLPerLitre,,xxIndexTeam)</f>
        <v>#VALUE!</v>
      </c>
      <c r="U77" s="802"/>
      <c r="V77" s="802">
        <f>(INDEX(cbalCh4Prod1Slot1SoldVol,,xxIndexTeam)-INDEX(obalCh4Prod1Slot1SoldVol,,xxIndexTeam))*INDEX(obalCh4Prod1Slot1GPaLPerLitre,,xxIndexTeam)</f>
        <v>2371129.0026732092</v>
      </c>
      <c r="W77" s="802" t="e">
        <f>(INDEX(cbalCh4Prod1Slot2SoldVol,,xxIndexTeam)-INDEX(obalCh4Prod1Slot2SoldVol,,xxIndexTeam))*INDEX(obalCh4Prod1Slot2GPaLPerLitre,,xxIndexTeam)</f>
        <v>#VALUE!</v>
      </c>
      <c r="X77" s="802" t="e">
        <f>(INDEX(cbalCh4Prod1Slot3SoldVol,,xxIndexTeam)-INDEX(obalCh4Prod1Slot3SoldVol,,xxIndexTeam))*INDEX(obalCh4Prod1Slot3GPaLPerLitre,,xxIndexTeam)</f>
        <v>#VALUE!</v>
      </c>
      <c r="Y77" s="802"/>
      <c r="Z77" s="802">
        <f>(INDEX(cbalCh4Prod4Slot1SoldVol,,xxIndexTeam)-INDEX(obalCh4Prod4Slot1SoldVol,,xxIndexTeam))*INDEX(obalCh4Prod4Slot1GPaLPerLitre,,xxIndexTeam)</f>
        <v>6603247.4625973776</v>
      </c>
      <c r="AA77" s="802" t="e">
        <f>(INDEX(cbalCh4Prod4Slot2SoldVol,,xxIndexTeam)-INDEX(obalCh4Prod4Slot2SoldVol,,xxIndexTeam))*INDEX(obalCh4Prod4Slot2GPaLPerLitre,,xxIndexTeam)</f>
        <v>#VALUE!</v>
      </c>
      <c r="AB77" s="802" t="e">
        <f>(INDEX(cbalCh4Prod4Slot3SoldVol,,xxIndexTeam)-INDEX(obalCh4Prod4Slot3SoldVol,,xxIndexTeam))*INDEX(obalCh4Prod4Slot3GPaLPerLitre,,xxIndexTeam)</f>
        <v>#VALUE!</v>
      </c>
      <c r="AE77" s="554"/>
      <c r="AF77" s="720"/>
      <c r="AG77" s="548">
        <f>tlinputCh4Prod3Slot3CustPrice*(1+VLOOKUP(tlOutputProd3,dataCustomerMargin,5,FALSE))</f>
        <v>0</v>
      </c>
      <c r="AH77" s="584" t="s">
        <v>6776</v>
      </c>
      <c r="AI77" s="554"/>
      <c r="AJ77" s="720"/>
      <c r="AK77" s="548">
        <f>tlOutputCh4Prod3Slot3SP-tlinputCh4Prod3Slot3CustPrice</f>
        <v>0</v>
      </c>
      <c r="AL77" s="584" t="s">
        <v>5146</v>
      </c>
      <c r="AM77" s="554"/>
      <c r="AN77" s="720"/>
      <c r="AO77" s="548">
        <f>tlinputCh4Prod3Slot3CustPrice*(1-tloutputCh4Prod3Slot1AvgPromoDis)</f>
        <v>0</v>
      </c>
      <c r="AP77" s="584" t="s">
        <v>5170</v>
      </c>
      <c r="AQ77" s="554"/>
      <c r="AR77" s="720"/>
      <c r="AS77" s="548">
        <f>INDEX(calcCh4Prod3Slot3AvgSalePrice,,xxIndexTeam)</f>
        <v>0</v>
      </c>
      <c r="AT77" s="584" t="s">
        <v>5182</v>
      </c>
      <c r="AU77" s="554"/>
      <c r="AV77" s="720"/>
      <c r="AW77" s="548">
        <f>ROUND(VLOOKUP(tlinputCh4Prod4Slot2Pack,dataPackPrice,5,FALSE)*0.8,2)</f>
        <v>0</v>
      </c>
      <c r="AX77" s="584" t="s">
        <v>8602</v>
      </c>
      <c r="AY77" s="554"/>
      <c r="AZ77" s="720"/>
      <c r="BA77" s="548">
        <f>ROUND(VLOOKUP(tlinputCh4Prod4Slot2Pack,dataPackPrice,5,FALSE)*1.2,2)</f>
        <v>0</v>
      </c>
      <c r="BB77" s="584" t="s">
        <v>8603</v>
      </c>
    </row>
    <row r="78" spans="4:54" ht="15">
      <c r="D78" s="554"/>
      <c r="E78" s="735">
        <f>VLOOKUP(INDEX(decCh4Prod2Slot1Promo1,,xxIndexTeam),dataPromoPlanDisc,5,FALSE)</f>
        <v>0.33</v>
      </c>
      <c r="F78" s="720" t="s">
        <v>5153</v>
      </c>
      <c r="G78" s="584"/>
      <c r="K78" s="802" t="s">
        <v>151</v>
      </c>
      <c r="L78" s="802"/>
      <c r="M78" s="802"/>
      <c r="N78" s="802">
        <f>(INDEX(cbalCh4Prod2Slot1GPaLPerLitre,,xxIndexTeam)-INDEX(obalCh4Prod2Slot1GPaLPerLitre,xxIndexTeam))*INDEX(cbalCh4Prod2Slot1SoldVol,,xxIndexTeam)</f>
        <v>3128222.7756027863</v>
      </c>
      <c r="O78" s="802" t="e">
        <f>(INDEX(cbalCh4Prod2Slot2GPaLPerLitre,,xxIndexTeam)-INDEX(obalCh4Prod2Slot2GPaLPerLitre,xxIndexTeam))*INDEX(cbalCh4Prod2Slot2SoldVol,,xxIndexTeam)</f>
        <v>#VALUE!</v>
      </c>
      <c r="P78" s="802" t="e">
        <f>(INDEX(cbalCh4Prod2Slot3GPaLPerLitre,,xxIndexTeam)-INDEX(obalCh4Prod2Slot3GPaLPerLitre,xxIndexTeam))*INDEX(cbalCh4Prod2Slot3SoldVol,,xxIndexTeam)</f>
        <v>#VALUE!</v>
      </c>
      <c r="Q78" s="802"/>
      <c r="R78" s="802">
        <f>(INDEX(cbalCh4Prod3Slot1GPaLPerLitre,,xxIndexTeam)-INDEX(obalCh4Prod3Slot1GPaLPerLitre,xxIndexTeam))*INDEX(cbalCh4Prod3Slot1SoldVol,,xxIndexTeam)</f>
        <v>-800279.31540000672</v>
      </c>
      <c r="S78" s="802" t="e">
        <f>(INDEX(cbalCh4Prod3Slot2GPaLPerLitre,,xxIndexTeam)-INDEX(obalCh4Prod3Slot2GPaLPerLitre,xxIndexTeam))*INDEX(cbalCh4Prod3Slot2SoldVol,,xxIndexTeam)</f>
        <v>#VALUE!</v>
      </c>
      <c r="T78" s="802" t="e">
        <f>(INDEX(cbalCh4Prod3Slot3GPaLPerLitre,,xxIndexTeam)-INDEX(obalCh4Prod3Slot3GPaLPerLitre,xxIndexTeam))*INDEX(cbalCh4Prod3Slot3SoldVol,,xxIndexTeam)</f>
        <v>#VALUE!</v>
      </c>
      <c r="U78" s="802"/>
      <c r="V78" s="802">
        <f>(INDEX(cbalCh4Prod1Slot1GPaLPerLitre,,xxIndexTeam)-INDEX(obalCh4Prod1Slot1GPaLPerLitre,xxIndexTeam))*INDEX(cbalCh4Prod1Slot1SoldVol,,xxIndexTeam)</f>
        <v>-2314086.33293893</v>
      </c>
      <c r="W78" s="802" t="e">
        <f>(INDEX(cbalCh4Prod1Slot2GPaLPerLitre,,xxIndexTeam)-INDEX(obalCh4Prod1Slot2GPaLPerLitre,xxIndexTeam))*INDEX(cbalCh4Prod1Slot2SoldVol,,xxIndexTeam)</f>
        <v>#VALUE!</v>
      </c>
      <c r="X78" s="802" t="e">
        <f>(INDEX(cbalCh4Prod1Slot3GPaLPerLitre,,xxIndexTeam)-INDEX(obalCh4Prod1Slot3GPaLPerLitre,xxIndexTeam))*INDEX(cbalCh4Prod1Slot3SoldVol,,xxIndexTeam)</f>
        <v>#VALUE!</v>
      </c>
      <c r="Y78" s="802"/>
      <c r="Z78" s="802">
        <f>(INDEX(cbalCh4Prod4Slot1GPaLPerLitre,,xxIndexTeam)-INDEX(obalCh4Prod4Slot1GPaLPerLitre,xxIndexTeam))*INDEX(cbalCh4Prod4Slot1SoldVol,,xxIndexTeam)</f>
        <v>1609222.3322501471</v>
      </c>
      <c r="AA78" s="802" t="e">
        <f>(INDEX(cbalCh4Prod4Slot2GPaLPerLitre,,xxIndexTeam)-INDEX(obalCh4Prod4Slot2GPaLPerLitre,xxIndexTeam))*INDEX(cbalCh4Prod4Slot2SoldVol,,xxIndexTeam)</f>
        <v>#VALUE!</v>
      </c>
      <c r="AB78" s="802" t="e">
        <f>(INDEX(cbalCh4Prod4Slot3GPaLPerLitre,,xxIndexTeam)-INDEX(obalCh4Prod4Slot3GPaLPerLitre,xxIndexTeam))*INDEX(cbalCh4Prod4Slot3SoldVol,,xxIndexTeam)</f>
        <v>#VALUE!</v>
      </c>
      <c r="AE78" s="554" t="str">
        <f>nmProd4</f>
        <v>Brew Master</v>
      </c>
      <c r="AF78" s="720"/>
      <c r="AG78" s="720"/>
      <c r="AH78" s="584"/>
      <c r="AI78" s="554"/>
      <c r="AJ78" s="720"/>
      <c r="AK78" s="720"/>
      <c r="AL78" s="584"/>
      <c r="AM78" s="554"/>
      <c r="AN78" s="720"/>
      <c r="AO78" s="720"/>
      <c r="AP78" s="584"/>
      <c r="AQ78" s="554"/>
      <c r="AR78" s="720"/>
      <c r="AS78" s="720"/>
      <c r="AT78" s="584"/>
      <c r="AU78" s="554"/>
      <c r="AV78" s="720"/>
      <c r="AW78" s="548">
        <f>ROUND(VLOOKUP(tlinputCh4Prod4Slot3Pack,dataPackPrice,5,FALSE)*0.8,2)</f>
        <v>0</v>
      </c>
      <c r="AX78" s="584" t="s">
        <v>8604</v>
      </c>
      <c r="AY78" s="554"/>
      <c r="AZ78" s="720"/>
      <c r="BA78" s="548">
        <f>ROUND(VLOOKUP(tlinputCh4Prod4Slot3Pack,dataPackPrice,5,FALSE)*1.2,2)</f>
        <v>0</v>
      </c>
      <c r="BB78" s="584" t="s">
        <v>8605</v>
      </c>
    </row>
    <row r="79" spans="4:54" ht="15">
      <c r="D79" s="554"/>
      <c r="E79" s="735">
        <f>VLOOKUP(INDEX(decCh4Prod2Slot2Promo1,,xxIndexTeam),dataPromoPlanDisc,5,FALSE)</f>
        <v>0</v>
      </c>
      <c r="F79" s="720" t="s">
        <v>5154</v>
      </c>
      <c r="G79" s="584"/>
      <c r="K79" s="802" t="s">
        <v>157</v>
      </c>
      <c r="L79" s="802"/>
      <c r="M79" s="802"/>
      <c r="N79" s="802">
        <f>(INDEX(obalCh4Prod2Slot1COGSpL,,xxIndexTeam)-INDEX(cbalCh4Prod2Slot1COGSpL,xxIndexTeam))*INDEX(cbalCh4Prod2Slot1SoldVol,,xxIndexTeam)</f>
        <v>-323428.7834914159</v>
      </c>
      <c r="O79" s="802" t="e">
        <f>(INDEX(obalCh4Prod2Slot2COGSpL,,xxIndexTeam)-INDEX(cbalCh4Prod2Slot2COGSpL,xxIndexTeam))*INDEX(cbalCh4Prod2Slot2SoldVol,,xxIndexTeam)</f>
        <v>#VALUE!</v>
      </c>
      <c r="P79" s="802" t="e">
        <f>(INDEX(obalCh4Prod2Slot3COGSpL,,xxIndexTeam)-INDEX(cbalCh4Prod2Slot3COGSpL,xxIndexTeam))*INDEX(cbalCh4Prod2Slot3SoldVol,,xxIndexTeam)</f>
        <v>#VALUE!</v>
      </c>
      <c r="Q79" s="802"/>
      <c r="R79" s="802">
        <f>(INDEX(obalCh4Prod3Slot1COGSpL,,xxIndexTeam)-INDEX(cbalCh4Prod3Slot1COGSpL,xxIndexTeam))*INDEX(cbalCh4Prod3Slot1SoldVol,,xxIndexTeam)</f>
        <v>-857997.18395259825</v>
      </c>
      <c r="S79" s="802" t="e">
        <f>(INDEX(obalCh4Prod3Slot2COGSpL,,xxIndexTeam)-INDEX(cbalCh4Prod3Slot2COGSpL,xxIndexTeam))*INDEX(cbalCh4Prod3Slot2SoldVol,,xxIndexTeam)</f>
        <v>#VALUE!</v>
      </c>
      <c r="T79" s="802" t="e">
        <f>(INDEX(obalCh4Prod3Slot3COGSpL,,xxIndexTeam)-INDEX(cbalCh4Prod3Slot3COGSpL,xxIndexTeam))*INDEX(cbalCh4Prod3Slot3SoldVol,,xxIndexTeam)</f>
        <v>#VALUE!</v>
      </c>
      <c r="U79" s="802"/>
      <c r="V79" s="802">
        <f>(INDEX(obalCh4Prod1Slot1COGSpL,,xxIndexTeam)-INDEX(cbalCh4Prod1Slot1COGSpL,xxIndexTeam))*INDEX(cbalCh4Prod1Slot1SoldVol,,xxIndexTeam)</f>
        <v>-1831957.9644794571</v>
      </c>
      <c r="W79" s="802" t="e">
        <f>(INDEX(obalCh4Prod1Slot2COGSpL,,xxIndexTeam)-INDEX(cbalCh4Prod1Slot2COGSpL,xxIndexTeam))*INDEX(cbalCh4Prod1Slot2SoldVol,,xxIndexTeam)</f>
        <v>#VALUE!</v>
      </c>
      <c r="X79" s="802" t="e">
        <f>(INDEX(obalCh4Prod1Slot3COGSpL,,xxIndexTeam)-INDEX(cbalCh4Prod1Slot3COGSpL,xxIndexTeam))*INDEX(cbalCh4Prod1Slot3SoldVol,,xxIndexTeam)</f>
        <v>#VALUE!</v>
      </c>
      <c r="Y79" s="802"/>
      <c r="Z79" s="802">
        <f>(INDEX(obalCh4Prod4Slot1COGSpL,,xxIndexTeam)-INDEX(cbalCh4Prod4Slot1COGSpL,xxIndexTeam))*INDEX(cbalCh4Prod4Slot1SoldVol,,xxIndexTeam)</f>
        <v>-1649053.5515920611</v>
      </c>
      <c r="AA79" s="802" t="e">
        <f>(INDEX(obalCh4Prod4Slot2COGSpL,,xxIndexTeam)-INDEX(cbalCh4Prod4Slot2COGSpL,xxIndexTeam))*INDEX(cbalCh4Prod4Slot2SoldVol,,xxIndexTeam)</f>
        <v>#VALUE!</v>
      </c>
      <c r="AB79" s="802" t="e">
        <f>(INDEX(obalCh4Prod4Slot3COGSpL,,xxIndexTeam)-INDEX(cbalCh4Prod4Slot3COGSpL,xxIndexTeam))*INDEX(cbalCh4Prod4Slot3SoldVol,,xxIndexTeam)</f>
        <v>#VALUE!</v>
      </c>
      <c r="AE79" s="554"/>
      <c r="AF79" s="720"/>
      <c r="AG79" s="548">
        <f>tlinputCh4Prod4Slot1CustPrice*(1+VLOOKUP(tlOutputProd4,dataCustomerMargin,5,FALSE))</f>
        <v>50.099999999999994</v>
      </c>
      <c r="AH79" s="584" t="s">
        <v>6777</v>
      </c>
      <c r="AI79" s="554"/>
      <c r="AJ79" s="720"/>
      <c r="AK79" s="548">
        <f>tlOutputCh4Prod4Slot1SP-tlinputCh4Prod4Slot1CustPrice</f>
        <v>41.749999999999993</v>
      </c>
      <c r="AL79" s="584" t="s">
        <v>5147</v>
      </c>
      <c r="AM79" s="554"/>
      <c r="AN79" s="720"/>
      <c r="AO79" s="548">
        <f>tlinputCh4Prod4Slot1CustPrice*(1-tloutputCh4Prod4Slot1AvgPromoDis)</f>
        <v>6.68</v>
      </c>
      <c r="AP79" s="584" t="s">
        <v>5171</v>
      </c>
      <c r="AQ79" s="554"/>
      <c r="AR79" s="720"/>
      <c r="AS79" s="548">
        <f>INDEX(calcCh4Prod4Slot1AvgSalePrice,,xxIndexTeam)</f>
        <v>8.1829999999999998</v>
      </c>
      <c r="AT79" s="584" t="s">
        <v>5183</v>
      </c>
      <c r="AU79" s="554"/>
      <c r="AV79" s="720"/>
      <c r="AW79" s="548"/>
      <c r="AX79" s="584"/>
      <c r="AY79" s="554"/>
      <c r="AZ79" s="720"/>
      <c r="BA79" s="548"/>
      <c r="BB79" s="584"/>
    </row>
    <row r="80" spans="4:54" ht="15">
      <c r="D80" s="554"/>
      <c r="E80" s="735">
        <f>VLOOKUP(INDEX(decCh4Prod2Slot3Promo1,,xxIndexTeam),dataPromoPlanDisc,5,FALSE)</f>
        <v>0</v>
      </c>
      <c r="F80" s="720" t="s">
        <v>5155</v>
      </c>
      <c r="G80" s="584"/>
      <c r="AE80" s="554"/>
      <c r="AF80" s="720"/>
      <c r="AG80" s="548">
        <f>tlinputCh4Prod4Slot2CustPrice*(1+VLOOKUP(tlOutputProd4,dataCustomerMargin,5,FALSE))</f>
        <v>0</v>
      </c>
      <c r="AH80" s="584" t="s">
        <v>6778</v>
      </c>
      <c r="AI80" s="554"/>
      <c r="AJ80" s="720"/>
      <c r="AK80" s="548">
        <f>tlOutputCh4Prod4Slot2SP-tlinputCh4Prod4Slot2CustPrice</f>
        <v>0</v>
      </c>
      <c r="AL80" s="584" t="s">
        <v>5148</v>
      </c>
      <c r="AM80" s="554"/>
      <c r="AN80" s="720"/>
      <c r="AO80" s="548">
        <f>tlinputCh4Prod4Slot2CustPrice*(1-tloutputCh4Prod4Slot1AvgPromoDis)</f>
        <v>0</v>
      </c>
      <c r="AP80" s="584" t="s">
        <v>5172</v>
      </c>
      <c r="AQ80" s="554"/>
      <c r="AR80" s="720"/>
      <c r="AS80" s="548">
        <f>INDEX(calcCh4Prod4Slot2AvgSalePrice,,xxIndexTeam)</f>
        <v>0</v>
      </c>
      <c r="AT80" s="584" t="s">
        <v>5184</v>
      </c>
      <c r="AU80" s="554"/>
      <c r="AV80" s="720"/>
      <c r="AW80" s="548"/>
      <c r="AX80" s="584"/>
      <c r="AY80" s="554"/>
      <c r="AZ80" s="720"/>
      <c r="BA80" s="548"/>
      <c r="BB80" s="584"/>
    </row>
    <row r="81" spans="3:54" ht="15.75" thickBot="1">
      <c r="D81" s="554"/>
      <c r="E81" s="735">
        <f>VLOOKUP(INDEX(decCh4Prod3Slot1Promo1,,xxIndexTeam),dataPromoPlanDisc,5,FALSE)</f>
        <v>0</v>
      </c>
      <c r="F81" s="720" t="s">
        <v>5156</v>
      </c>
      <c r="G81" s="584"/>
      <c r="AE81" s="546"/>
      <c r="AF81" s="544"/>
      <c r="AG81" s="755">
        <f>tlinputCh4Prod4Slot3CustPrice*(1+VLOOKUP(tlOutputProd4,dataCustomerMargin,5,FALSE))</f>
        <v>0</v>
      </c>
      <c r="AH81" s="733" t="s">
        <v>6779</v>
      </c>
      <c r="AI81" s="546"/>
      <c r="AJ81" s="544"/>
      <c r="AK81" s="755">
        <f>tlOutputCh4Prod4Slot3SP-tlinputCh4Prod4Slot3CustPrice</f>
        <v>0</v>
      </c>
      <c r="AL81" s="733" t="s">
        <v>5149</v>
      </c>
      <c r="AM81" s="546"/>
      <c r="AN81" s="544"/>
      <c r="AO81" s="755">
        <f>tlinputCh4Prod4Slot3CustPrice*(1-tloutputCh4Prod4Slot1AvgPromoDis)</f>
        <v>0</v>
      </c>
      <c r="AP81" s="733" t="s">
        <v>5173</v>
      </c>
      <c r="AQ81" s="546"/>
      <c r="AR81" s="544"/>
      <c r="AS81" s="755">
        <f>INDEX(calcCh4Prod4Slot3AvgSalePrice,,xxIndexTeam)</f>
        <v>0</v>
      </c>
      <c r="AT81" s="733" t="s">
        <v>5185</v>
      </c>
      <c r="AU81" s="546"/>
      <c r="AV81" s="544"/>
      <c r="AW81" s="755"/>
      <c r="AX81" s="733"/>
      <c r="AY81" s="546"/>
      <c r="AZ81" s="544"/>
      <c r="BA81" s="755"/>
      <c r="BB81" s="733"/>
    </row>
    <row r="82" spans="3:54" ht="15">
      <c r="D82" s="554"/>
      <c r="E82" s="735">
        <f>VLOOKUP(INDEX(decCh4Prod3Slot2Promo1,,xxIndexTeam),dataPromoPlanDisc,5,FALSE)</f>
        <v>0</v>
      </c>
      <c r="F82" s="720" t="s">
        <v>5157</v>
      </c>
      <c r="G82" s="584"/>
    </row>
    <row r="83" spans="3:54" ht="15.75" thickBot="1">
      <c r="D83" s="554"/>
      <c r="E83" s="735">
        <f>VLOOKUP(INDEX(decCh4Prod3Slot3Promo1,,xxIndexTeam),dataPromoPlanDisc,5,FALSE)</f>
        <v>0</v>
      </c>
      <c r="F83" s="720" t="s">
        <v>5158</v>
      </c>
      <c r="G83" s="584"/>
      <c r="AD83" s="628" t="s">
        <v>6733</v>
      </c>
      <c r="AE83" s="612" t="s">
        <v>6695</v>
      </c>
    </row>
    <row r="84" spans="3:54" ht="15">
      <c r="D84" s="554"/>
      <c r="E84" s="735">
        <f>VLOOKUP(INDEX(decCh4Prod4Slot1Promo1,,xxIndexTeam),dataPromoPlanDisc,5,FALSE)</f>
        <v>0.2</v>
      </c>
      <c r="F84" s="720" t="s">
        <v>5159</v>
      </c>
      <c r="G84" s="584"/>
      <c r="AE84" s="555"/>
      <c r="AF84" s="600"/>
      <c r="AG84" s="734">
        <f>INDEX(calcCh4Prod1Slot1Promo1PlanEmp1Req,,xxIndexTeam)+INDEX(calcCh4Prod1Slot2Promo1PlanEmp1Req,,xxIndexTeam)+INDEX(calcCh4Prod1Slot3Promo1PlanEmp1Req,,xxIndexTeam)</f>
        <v>2</v>
      </c>
      <c r="AH84" s="561" t="s">
        <v>6780</v>
      </c>
    </row>
    <row r="85" spans="3:54" ht="15">
      <c r="C85" s="802"/>
      <c r="D85" s="554"/>
      <c r="E85" s="735">
        <f>VLOOKUP(INDEX(decCh4Prod4Slot2Promo1,,xxIndexTeam),dataPromoPlanDisc,5,FALSE)</f>
        <v>0</v>
      </c>
      <c r="F85" s="720" t="s">
        <v>5160</v>
      </c>
      <c r="G85" s="584"/>
      <c r="H85" s="802"/>
      <c r="I85" s="802"/>
      <c r="J85" s="802"/>
      <c r="AE85" s="554"/>
      <c r="AF85" s="720"/>
      <c r="AG85" s="553">
        <f>INDEX(calcCh4Prod2Slot1Promo1PlanEmp1Req,,xxIndexTeam)+INDEX(calcCh4Prod2Slot2Promo1PlanEmp1Req,,xxIndexTeam)+INDEX(calcCh4Prod2Slot3Promo1PlanEmp1Req,,xxIndexTeam)</f>
        <v>3</v>
      </c>
      <c r="AH85" s="584" t="s">
        <v>6781</v>
      </c>
      <c r="AX85" s="548"/>
    </row>
    <row r="86" spans="3:54" ht="15.75" thickBot="1">
      <c r="C86" s="802"/>
      <c r="D86" s="546"/>
      <c r="E86" s="736">
        <f>VLOOKUP(INDEX(decCh4Prod4Slot3Promo1,,xxIndexTeam),dataPromoPlanDisc,5,FALSE)</f>
        <v>0</v>
      </c>
      <c r="F86" s="544" t="s">
        <v>5161</v>
      </c>
      <c r="G86" s="733"/>
      <c r="H86" s="802"/>
      <c r="I86" s="802"/>
      <c r="J86" s="802"/>
      <c r="AE86" s="554"/>
      <c r="AF86" s="720"/>
      <c r="AG86" s="553">
        <f>INDEX(calcCh4Prod3Slot1Promo1PlanEmp1Req,,xxIndexTeam)+INDEX(calcCh4Prod3Slot2Promo1PlanEmp1Req,,xxIndexTeam)+INDEX(calcCh4Prod3Slot3Promo1PlanEmp1Req,,xxIndexTeam)</f>
        <v>0</v>
      </c>
      <c r="AH86" s="584" t="s">
        <v>6782</v>
      </c>
    </row>
    <row r="87" spans="3:54" ht="15">
      <c r="C87" s="802"/>
      <c r="D87" s="802"/>
      <c r="E87" s="802"/>
      <c r="F87" s="802"/>
      <c r="G87" s="802"/>
      <c r="H87" s="802"/>
      <c r="I87" s="802"/>
      <c r="J87" s="802"/>
      <c r="AE87" s="554"/>
      <c r="AF87" s="720"/>
      <c r="AG87" s="553">
        <f>INDEX(calcCh4Prod4Slot1Promo1PlanEmp1Req,,xxIndexTeam)+INDEX(calcCh4Prod4Slot2Promo1PlanEmp1Req,,xxIndexTeam)+INDEX(calcCh4Prod4Slot3Promo1PlanEmp1Req,,xxIndexTeam)</f>
        <v>1</v>
      </c>
      <c r="AH87" s="584" t="s">
        <v>6783</v>
      </c>
    </row>
    <row r="88" spans="3:54" ht="15">
      <c r="C88" s="802"/>
      <c r="D88" s="802"/>
      <c r="E88" s="802"/>
      <c r="F88" s="802"/>
      <c r="G88" s="802"/>
      <c r="H88" s="802"/>
      <c r="I88" s="802"/>
      <c r="J88" s="802"/>
      <c r="AE88" s="554"/>
      <c r="AF88" s="720"/>
      <c r="AG88" s="585">
        <f>INDEX(calcCh4Prod1Slot1Promo1PlanExp,,xxIndexTeam)+INDEX(calcCh4Prod1Slot2Promo1PlanExp,,xxIndexTeam)+INDEX(calcCh4Prod1Slot3Promo1PlanExp,,xxIndexTeam)</f>
        <v>800000</v>
      </c>
      <c r="AH88" s="584" t="s">
        <v>6784</v>
      </c>
    </row>
    <row r="89" spans="3:54" ht="15">
      <c r="C89" s="802"/>
      <c r="D89" s="802"/>
      <c r="E89" s="802"/>
      <c r="F89" s="802"/>
      <c r="G89" s="802"/>
      <c r="H89" s="802"/>
      <c r="I89" s="802"/>
      <c r="J89" s="802"/>
      <c r="AE89" s="554"/>
      <c r="AF89" s="720"/>
      <c r="AG89" s="585">
        <f>INDEX(calcCh4Prod2Slot1Promo1PlanExp,,xxIndexTeam)+INDEX(calcCh4Prod2Slot2Promo1PlanExp,,xxIndexTeam)+INDEX(calcCh4Prod2Slot3Promo1PlanExp,,xxIndexTeam)</f>
        <v>1600000</v>
      </c>
      <c r="AH89" s="584" t="s">
        <v>6785</v>
      </c>
    </row>
    <row r="90" spans="3:54" ht="15">
      <c r="C90" s="802"/>
      <c r="D90" s="802"/>
      <c r="E90" s="802"/>
      <c r="F90" s="802"/>
      <c r="G90" s="802"/>
      <c r="H90" s="802"/>
      <c r="I90" s="802"/>
      <c r="J90" s="802"/>
      <c r="AE90" s="554"/>
      <c r="AF90" s="720"/>
      <c r="AG90" s="585">
        <f>INDEX(calcCh4Prod3Slot1Promo1PlanExp,,xxIndexTeam)+INDEX(calcCh4Prod3Slot2Promo1PlanExp,,xxIndexTeam)+INDEX(calcCh4Prod3Slot3Promo1PlanExp,,xxIndexTeam)</f>
        <v>0</v>
      </c>
      <c r="AH90" s="584" t="s">
        <v>6786</v>
      </c>
    </row>
    <row r="91" spans="3:54" ht="15.75" thickBot="1">
      <c r="C91" s="802"/>
      <c r="D91" s="802"/>
      <c r="E91" s="802"/>
      <c r="F91" s="802"/>
      <c r="G91" s="802"/>
      <c r="H91" s="802"/>
      <c r="I91" s="802"/>
      <c r="J91" s="802"/>
      <c r="AE91" s="546"/>
      <c r="AF91" s="544"/>
      <c r="AG91" s="574">
        <f>INDEX(calcCh4Prod4Slot1Promo1PlanExp,,xxIndexTeam)+INDEX(calcCh4Prod4Slot2Promo1PlanExp,,xxIndexTeam)+INDEX(calcCh4Prod4Slot3Promo1PlanExp,,xxIndexTeam)</f>
        <v>400000</v>
      </c>
      <c r="AH91" s="733" t="s">
        <v>6787</v>
      </c>
    </row>
    <row r="92" spans="3:54">
      <c r="C92" s="802"/>
      <c r="D92" s="802"/>
      <c r="E92" s="802"/>
      <c r="F92" s="802"/>
      <c r="G92" s="802"/>
      <c r="H92" s="802"/>
      <c r="I92" s="802"/>
      <c r="J92" s="802"/>
    </row>
    <row r="93" spans="3:54">
      <c r="C93" s="802"/>
      <c r="D93" s="802"/>
      <c r="E93" s="802"/>
      <c r="F93" s="802"/>
      <c r="G93" s="802"/>
      <c r="H93" s="802"/>
      <c r="I93" s="802"/>
      <c r="J93" s="802"/>
    </row>
    <row r="94" spans="3:54">
      <c r="C94" s="802"/>
      <c r="D94" s="802"/>
      <c r="E94" s="802"/>
      <c r="F94" s="802"/>
      <c r="G94" s="802"/>
      <c r="H94" s="802"/>
      <c r="I94" s="802"/>
      <c r="J94" s="802"/>
      <c r="AD94" s="628" t="s">
        <v>6733</v>
      </c>
      <c r="AE94" s="702" t="s">
        <v>6704</v>
      </c>
      <c r="AI94" s="628" t="s">
        <v>6744</v>
      </c>
      <c r="AJ94" s="773" t="s">
        <v>6728</v>
      </c>
      <c r="AM94" s="628" t="s">
        <v>6744</v>
      </c>
      <c r="AN94" s="773" t="s">
        <v>6732</v>
      </c>
    </row>
    <row r="95" spans="3:54">
      <c r="C95" s="802"/>
      <c r="D95" s="802"/>
      <c r="E95" s="802"/>
      <c r="F95" s="802"/>
      <c r="G95" s="802"/>
      <c r="H95" s="802"/>
      <c r="I95" s="802"/>
      <c r="J95" s="802"/>
    </row>
    <row r="96" spans="3:54" ht="15" thickBot="1">
      <c r="C96" s="802"/>
      <c r="D96" s="802"/>
      <c r="E96" s="802"/>
      <c r="F96" s="802"/>
      <c r="G96" s="802"/>
      <c r="H96" s="802"/>
      <c r="I96" s="802"/>
      <c r="J96" s="802"/>
      <c r="AE96" s="773" t="str">
        <f>nmCh4&amp;" - Variance Tracker (Excel Only)"</f>
        <v>On-Trade - Variance Tracker (Excel Only)</v>
      </c>
      <c r="AF96" s="720"/>
      <c r="AG96" s="720"/>
      <c r="AH96" s="720"/>
      <c r="AI96" s="720"/>
      <c r="AN96" s="720"/>
      <c r="AO96" s="720"/>
      <c r="AP96" s="720"/>
      <c r="AQ96" s="720"/>
      <c r="AR96" s="720"/>
      <c r="AS96" s="720"/>
    </row>
    <row r="97" spans="3:49">
      <c r="C97" s="802"/>
      <c r="D97" s="802"/>
      <c r="E97" s="802"/>
      <c r="F97" s="802"/>
      <c r="G97" s="802"/>
      <c r="H97" s="802"/>
      <c r="I97" s="802"/>
      <c r="J97" s="802"/>
      <c r="AE97" s="728" t="s">
        <v>6705</v>
      </c>
      <c r="AF97" s="600"/>
      <c r="AG97" s="600"/>
      <c r="AH97" s="561"/>
      <c r="AJ97" s="778" t="s">
        <v>6729</v>
      </c>
      <c r="AK97" s="600" t="str">
        <f>nmCh4&amp;" - Trade Terms Conditionality"</f>
        <v>On-Trade - Trade Terms Conditionality</v>
      </c>
      <c r="AL97" s="561" t="s">
        <v>6788</v>
      </c>
      <c r="AN97" s="778"/>
      <c r="AO97" s="779" t="s">
        <v>4432</v>
      </c>
      <c r="AP97" s="780" t="s">
        <v>6789</v>
      </c>
      <c r="AQ97" s="780"/>
      <c r="AR97" s="780"/>
      <c r="AS97" s="781"/>
    </row>
    <row r="98" spans="3:49">
      <c r="C98" s="802"/>
      <c r="D98" s="802"/>
      <c r="E98" s="802"/>
      <c r="F98" s="802"/>
      <c r="G98" s="802"/>
      <c r="H98" s="802"/>
      <c r="I98" s="802"/>
      <c r="J98" s="802"/>
      <c r="AE98" s="554"/>
      <c r="AF98" s="720" t="s">
        <v>6708</v>
      </c>
      <c r="AG98" s="775" t="s">
        <v>521</v>
      </c>
      <c r="AH98" s="584" t="s">
        <v>8350</v>
      </c>
      <c r="AJ98" s="554" t="s">
        <v>1402</v>
      </c>
      <c r="AK98" s="720">
        <f>INDEX(calcCh4CondShare,,xxIndexTeam)*INDEX(calcCh4ValDrivExpTot,,xxIndexTeam)</f>
        <v>480000</v>
      </c>
      <c r="AL98" s="584" t="s">
        <v>6790</v>
      </c>
      <c r="AN98" s="782"/>
      <c r="AO98" s="783"/>
      <c r="AP98" s="783"/>
      <c r="AQ98" s="783"/>
      <c r="AR98" s="783"/>
      <c r="AS98" s="784"/>
    </row>
    <row r="99" spans="3:49">
      <c r="AE99" s="554"/>
      <c r="AF99" s="720" t="s">
        <v>6709</v>
      </c>
      <c r="AG99" s="775" t="s">
        <v>295</v>
      </c>
      <c r="AH99" s="584" t="s">
        <v>8351</v>
      </c>
      <c r="AJ99" s="554" t="s">
        <v>1403</v>
      </c>
      <c r="AK99" s="720">
        <f>(1-INDEX(calcCh4CondShare,,xxIndexTeam))*INDEX(calcCh4ValDrivExpTot,,xxIndexTeam)</f>
        <v>1019999.9999999999</v>
      </c>
      <c r="AL99" s="584" t="s">
        <v>6791</v>
      </c>
      <c r="AN99" s="782"/>
      <c r="AO99" s="785" t="str">
        <f>tlOutputProd1</f>
        <v>Greenborg</v>
      </c>
      <c r="AP99" s="785" t="str">
        <f>tlOutputProd2</f>
        <v>Harken</v>
      </c>
      <c r="AQ99" s="785" t="str">
        <f>tlOutputProd3</f>
        <v>Kara</v>
      </c>
      <c r="AR99" s="785" t="str">
        <f>tlOutputProd4</f>
        <v>Brew Master</v>
      </c>
      <c r="AS99" s="784"/>
    </row>
    <row r="100" spans="3:49">
      <c r="AE100" s="554"/>
      <c r="AF100" s="720" t="s">
        <v>6710</v>
      </c>
      <c r="AG100" s="608" t="s">
        <v>151</v>
      </c>
      <c r="AH100" s="584" t="s">
        <v>8352</v>
      </c>
      <c r="AJ100" s="554"/>
      <c r="AK100" s="720"/>
      <c r="AL100" s="584"/>
      <c r="AM100" s="720"/>
      <c r="AN100" s="786"/>
      <c r="AO100" s="785" t="s">
        <v>6581</v>
      </c>
      <c r="AP100" s="785" t="s">
        <v>6582</v>
      </c>
      <c r="AQ100" s="785" t="s">
        <v>6583</v>
      </c>
      <c r="AR100" s="785" t="s">
        <v>6584</v>
      </c>
      <c r="AS100" s="784"/>
    </row>
    <row r="101" spans="3:49">
      <c r="AE101" s="554"/>
      <c r="AF101" s="720" t="s">
        <v>6711</v>
      </c>
      <c r="AG101" s="608" t="s">
        <v>9060</v>
      </c>
      <c r="AH101" s="584" t="s">
        <v>8353</v>
      </c>
      <c r="AJ101" s="554"/>
      <c r="AK101" s="720"/>
      <c r="AL101" s="584"/>
      <c r="AM101" s="720"/>
      <c r="AN101" s="786" t="s">
        <v>157</v>
      </c>
      <c r="AO101" s="787">
        <f>INDEX(finPNLCh4Prod2Slot1TotalCOGs,,xxIndexTeam)+INDEX(finPNLCh4Prod2Slot2TotalCOGs,,xxIndexTeam)+INDEX(finPNLCh4Prod2Slot3TotalCOGs,,xxIndexTeam)</f>
        <v>69320930.942280293</v>
      </c>
      <c r="AP101" s="787">
        <f>INDEX(finPNLCh4Prod3Slot1TotalCOGs,,xxIndexTeam)+INDEX(finPNLCh4Prod3Slot2TotalCOGs,,xxIndexTeam)+INDEX(finPNLCh4Prod3Slot3TotalCOGs,,xxIndexTeam)</f>
        <v>46213953.961520188</v>
      </c>
      <c r="AQ101" s="787">
        <f>INDEX(finPNLCh4Prod1Slot1TotalCOGs,,xxIndexTeam)+INDEX(finPNLCh4Prod1Slot2TotalCOGs,,xxIndexTeam)+INDEX(finPNLCh4Prod1Slot3TotalCOGs,,xxIndexTeam)</f>
        <v>99515342.038987815</v>
      </c>
      <c r="AR101" s="787">
        <f>INDEX(finPNLCh4Prod4Slot1TotalCOGs,,xxIndexTeam)+INDEX(finPNLCh4Prod4Slot2TotalCOGs,,xxIndexTeam)+INDEX(finPNLCh4Prod4Slot3TotalCOGs,,xxIndexTeam)</f>
        <v>141451025.94539452</v>
      </c>
      <c r="AS101" s="784"/>
    </row>
    <row r="102" spans="3:49">
      <c r="AE102" s="554"/>
      <c r="AF102" s="720" t="s">
        <v>6712</v>
      </c>
      <c r="AG102" s="608" t="s">
        <v>9061</v>
      </c>
      <c r="AH102" s="584" t="s">
        <v>8354</v>
      </c>
      <c r="AJ102" s="554"/>
      <c r="AK102" s="720"/>
      <c r="AL102" s="584"/>
      <c r="AM102" s="720"/>
      <c r="AN102" s="782"/>
      <c r="AO102" s="783" t="s">
        <v>6792</v>
      </c>
      <c r="AP102" s="783" t="s">
        <v>6793</v>
      </c>
      <c r="AQ102" s="783" t="s">
        <v>6794</v>
      </c>
      <c r="AR102" s="783" t="s">
        <v>6795</v>
      </c>
      <c r="AS102" s="784"/>
    </row>
    <row r="103" spans="3:49">
      <c r="AE103" s="554"/>
      <c r="AF103" s="720" t="s">
        <v>6713</v>
      </c>
      <c r="AG103" s="608" t="s">
        <v>521</v>
      </c>
      <c r="AH103" s="584" t="s">
        <v>8355</v>
      </c>
      <c r="AJ103" s="554"/>
      <c r="AK103" s="720"/>
      <c r="AL103" s="584"/>
      <c r="AM103" s="720"/>
      <c r="AN103" s="786" t="s">
        <v>519</v>
      </c>
      <c r="AO103" s="787">
        <f>INDEX(finPNLCh4Prod2Slot1LogExp,,xxIndexTeam)+INDEX(finPNLCh4Prod2Slot2LogExp,,xxIndexTeam)+INDEX(finPNLCh4Prod2Slot3LogExp,,xxIndexTeam)</f>
        <v>8245172.1903157923</v>
      </c>
      <c r="AP103" s="787">
        <f>INDEX(finPNLCh4Prod3Slot1LogExp,,xxIndexTeam)+INDEX(finPNLCh4Prod3Slot2LogExp,,xxIndexTeam)+INDEX(finPNLCh4Prod3Slot3LogExp,,xxIndexTeam)</f>
        <v>5496781.4602105282</v>
      </c>
      <c r="AQ103" s="787">
        <f>INDEX(finPNLCh4Prod1Slot1LogExp,,xxIndexTeam)+INDEX(finPNLCh4Prod1Slot2LogExp,,xxIndexTeam)+INDEX(finPNLCh4Prod1Slot3LogExp,,xxIndexTeam)</f>
        <v>11836556.715789476</v>
      </c>
      <c r="AR103" s="787">
        <f>INDEX(finPNLCh4Prod4Slot1LogExp,,xxIndexTeam)+INDEX(finPNLCh4Prod4Slot2LogExp,,xxIndexTeam)+INDEX(finPNLCh4Prod4Slot3LogExp,,xxIndexTeam)</f>
        <v>18187879.831578948</v>
      </c>
      <c r="AS103" s="784"/>
    </row>
    <row r="104" spans="3:49">
      <c r="E104" s="530"/>
      <c r="F104" s="720"/>
      <c r="G104" s="720"/>
      <c r="H104" s="720"/>
      <c r="I104" s="720"/>
      <c r="J104" s="720"/>
      <c r="K104" s="720"/>
      <c r="L104" s="720"/>
      <c r="M104" s="720"/>
      <c r="N104" s="720"/>
      <c r="O104" s="720"/>
      <c r="P104" s="720"/>
      <c r="Q104" s="720"/>
      <c r="R104" s="720"/>
      <c r="S104" s="720"/>
      <c r="T104" s="720"/>
      <c r="U104" s="720"/>
      <c r="V104" s="720"/>
      <c r="W104" s="720"/>
      <c r="X104" s="720"/>
      <c r="Y104" s="720"/>
      <c r="Z104" s="720"/>
      <c r="AA104" s="720"/>
      <c r="AB104" s="720"/>
      <c r="AC104" s="720"/>
      <c r="AD104" s="720"/>
      <c r="AE104" s="731" t="s">
        <v>6706</v>
      </c>
      <c r="AF104" s="720"/>
      <c r="AG104" s="720"/>
      <c r="AH104" s="584"/>
      <c r="AJ104" s="554"/>
      <c r="AK104" s="720"/>
      <c r="AL104" s="584"/>
      <c r="AM104" s="720"/>
      <c r="AN104" s="782"/>
      <c r="AO104" s="783" t="s">
        <v>6796</v>
      </c>
      <c r="AP104" s="783" t="s">
        <v>6797</v>
      </c>
      <c r="AQ104" s="783" t="s">
        <v>6798</v>
      </c>
      <c r="AR104" s="783" t="s">
        <v>6799</v>
      </c>
      <c r="AS104" s="784"/>
      <c r="AT104" s="720"/>
      <c r="AU104" s="720"/>
      <c r="AV104" s="720"/>
      <c r="AW104" s="720"/>
    </row>
    <row r="105" spans="3:49">
      <c r="E105" s="530"/>
      <c r="K105" s="720"/>
      <c r="L105" s="720"/>
      <c r="M105" s="720"/>
      <c r="N105" s="720"/>
      <c r="O105" s="720"/>
      <c r="P105" s="720"/>
      <c r="Q105" s="720"/>
      <c r="AB105" s="720"/>
      <c r="AC105" s="720"/>
      <c r="AD105" s="720"/>
      <c r="AE105" s="554"/>
      <c r="AF105" s="720" t="s">
        <v>6725</v>
      </c>
      <c r="AG105" s="774" t="s">
        <v>157</v>
      </c>
      <c r="AH105" s="584"/>
      <c r="AJ105" s="554"/>
      <c r="AK105" s="720"/>
      <c r="AL105" s="584"/>
      <c r="AM105" s="720"/>
      <c r="AN105" s="786" t="s">
        <v>4411</v>
      </c>
      <c r="AO105" s="787">
        <f>INDEX(finPNLCh4Prod2Slot1GPaL,,xxIndexTeam)+INDEX(finPNLCh4Prod2Slot2GPaL,,xxIndexTeam)+INDEX(finPNLCh4Prod2Slot3GPaL,,xxIndexTeam)</f>
        <v>35470073.125594251</v>
      </c>
      <c r="AP105" s="787">
        <f>INDEX(finPNLCh4Prod3Slot1GPaL,,xxIndexTeam)+INDEX(finPNLCh4Prod3Slot2GPaL,,xxIndexTeam)+INDEX(finPNLCh4Prod3Slot3GPaL,,xxIndexTeam)</f>
        <v>58767510.985484987</v>
      </c>
      <c r="AQ105" s="787">
        <f>INDEX(finPNLCh4Prod1Slot1GPaL,,xxIndexTeam)+INDEX(finPNLCh4Prod1Slot2GPaL,,xxIndexTeam)+INDEX(finPNLCh4Prod1Slot3GPaL,,xxIndexTeam)</f>
        <v>110210491.49679507</v>
      </c>
      <c r="AR105" s="787">
        <f>INDEX(finPNLCh4Prod4Slot1GPaL,,xxIndexTeam)+INDEX(finPNLCh4Prod4Slot2GPaL,,xxIndexTeam)+INDEX(finPNLCh4Prod4Slot3GPaL,,xxIndexTeam)</f>
        <v>178295081.47302654</v>
      </c>
      <c r="AS105" s="784"/>
      <c r="AT105" s="720"/>
      <c r="AU105" s="720"/>
      <c r="AV105" s="720"/>
      <c r="AW105" s="720"/>
    </row>
    <row r="106" spans="3:49">
      <c r="E106" s="530"/>
      <c r="K106" s="720"/>
      <c r="Q106" s="720"/>
      <c r="AB106" s="720"/>
      <c r="AC106" s="720"/>
      <c r="AD106" s="720"/>
      <c r="AE106" s="554"/>
      <c r="AF106" s="720" t="s">
        <v>6714</v>
      </c>
      <c r="AG106" s="776">
        <f>tlOutputCh4VtTotalCOGsPVol+tlOutputCh4VtLogExpPVol</f>
        <v>2.195997549730111</v>
      </c>
      <c r="AH106" s="584" t="s">
        <v>8356</v>
      </c>
      <c r="AJ106" s="554"/>
      <c r="AK106" s="720"/>
      <c r="AL106" s="584"/>
      <c r="AM106" s="720"/>
      <c r="AN106" s="782"/>
      <c r="AO106" s="783" t="s">
        <v>6800</v>
      </c>
      <c r="AP106" s="783" t="s">
        <v>6801</v>
      </c>
      <c r="AQ106" s="783" t="s">
        <v>6802</v>
      </c>
      <c r="AR106" s="783" t="s">
        <v>6803</v>
      </c>
      <c r="AS106" s="784"/>
      <c r="AT106" s="720"/>
      <c r="AU106" s="720"/>
      <c r="AV106" s="720"/>
      <c r="AW106" s="720"/>
    </row>
    <row r="107" spans="3:49">
      <c r="E107" s="530"/>
      <c r="K107" s="720"/>
      <c r="Q107" s="720"/>
      <c r="AB107" s="720"/>
      <c r="AC107" s="720"/>
      <c r="AD107" s="720"/>
      <c r="AE107" s="554"/>
      <c r="AF107" s="720" t="s">
        <v>6720</v>
      </c>
      <c r="AG107" s="776">
        <f>SUM(tlOutputCh4WaterfallInvisible1+tlOutputCh4WaterfallVisible1)-AG115</f>
        <v>-2.4</v>
      </c>
      <c r="AH107" s="584" t="s">
        <v>8357</v>
      </c>
      <c r="AJ107" s="554"/>
      <c r="AK107" s="720"/>
      <c r="AL107" s="584"/>
      <c r="AM107" s="720"/>
      <c r="AN107" s="786" t="s">
        <v>4431</v>
      </c>
      <c r="AO107" s="788">
        <f>(INDEX(finPNLCh4Prod2Slot1GPaL,,xxIndexTeam)+INDEX(finPNLCh4Prod2Slot2GPaL,,xxIndexTeam)+INDEX(finPNLCh4Prod2Slot3GPaL,,xxIndexTeam))/(INDEX(finPNLCh4Prod2Slot1TotalRev,,xxIndexTeam)+INDEX(finPNLCh4Prod2Slot2TotalRev,,xxIndexTeam)+INDEX(finPNLCh4Prod2Slot3TotalRev,,xxIndexTeam))</f>
        <v>0.31379399321307255</v>
      </c>
      <c r="AP107" s="788">
        <f>(INDEX(finPNLCh4Prod3Slot1GPaL,,xxIndexTeam)+INDEX(finPNLCh4Prod3Slot2GPaL,,xxIndexTeam)+INDEX(finPNLCh4Prod3Slot3GPaL,,xxIndexTeam))/(INDEX(finPNLCh4Prod3Slot1TotalRev,,xxIndexTeam)+INDEX(finPNLCh4Prod3Slot2TotalRev,,xxIndexTeam)+INDEX(finPNLCh4Prod3Slot3TotalRev,,xxIndexTeam))</f>
        <v>0.53193739850713895</v>
      </c>
      <c r="AQ107" s="788">
        <f>(INDEX(finPNLCh4Prod1Slot1GPaL,,xxIndexTeam)+INDEX(finPNLCh4Prod1Slot2GPaL,,xxIndexTeam)+INDEX(finPNLCh4Prod1Slot3GPaL,,xxIndexTeam))/(INDEX(finPNLCh4Prod1Slot1TotalRev,,xxIndexTeam)+INDEX(finPNLCh4Prod1Slot2TotalRev,,xxIndexTeam)+INDEX(finPNLCh4Prod1Slot3TotalRev,,xxIndexTeam))</f>
        <v>0.49742418544797651</v>
      </c>
      <c r="AR107" s="788">
        <f>IF(AND(INDEX(calcCh4Prod4Slot1Active,,xxIndexTeam)=1,INDEX(calcCh4Prod4Slot1VolForecastSlot,,xxIndexTeam)&lt;&gt;0),(INDEX(finPNLCh4Prod4Slot1GPaL,,xxIndexTeam)+INDEX(finPNLCh4Prod4Slot2GPaL,,xxIndexTeam)+INDEX(finPNLCh4Prod4Slot3GPaL,,xxIndexTeam))/(INDEX(finPNLCh4Prod4Slot1TotalRev,,xxIndexTeam)+INDEX(finPNLCh4Prod4Slot2TotalRev,,xxIndexTeam)+INDEX(finPNLCh4Prod4Slot3TotalRev,,xxIndexTeam)),0)</f>
        <v>0.52760328407312795</v>
      </c>
      <c r="AS107" s="784"/>
      <c r="AT107" s="720"/>
      <c r="AU107" s="720"/>
      <c r="AV107" s="720"/>
      <c r="AW107" s="720"/>
    </row>
    <row r="108" spans="3:49">
      <c r="E108" s="530"/>
      <c r="K108" s="720"/>
      <c r="Q108" s="720"/>
      <c r="AB108" s="720"/>
      <c r="AC108" s="720"/>
      <c r="AD108" s="720"/>
      <c r="AE108" s="554"/>
      <c r="AF108" s="720" t="s">
        <v>6721</v>
      </c>
      <c r="AG108" s="776">
        <f>IF(tlOutputCh4Vtstaple1-tlOutputCh4Vtstaple2&lt;0,AG107,AG107-AG116)</f>
        <v>-2.4</v>
      </c>
      <c r="AH108" s="584" t="s">
        <v>8358</v>
      </c>
      <c r="AJ108" s="554"/>
      <c r="AK108" s="720"/>
      <c r="AL108" s="584"/>
      <c r="AM108" s="720"/>
      <c r="AN108" s="782"/>
      <c r="AO108" s="783" t="s">
        <v>6804</v>
      </c>
      <c r="AP108" s="783" t="s">
        <v>6805</v>
      </c>
      <c r="AQ108" s="783" t="s">
        <v>6806</v>
      </c>
      <c r="AR108" s="783" t="s">
        <v>6807</v>
      </c>
      <c r="AS108" s="784"/>
      <c r="AT108" s="720"/>
      <c r="AU108" s="720"/>
      <c r="AV108" s="720"/>
      <c r="AW108" s="720"/>
    </row>
    <row r="109" spans="3:49">
      <c r="E109" s="530"/>
      <c r="K109" s="720"/>
      <c r="Q109" s="720"/>
      <c r="AB109" s="720"/>
      <c r="AC109" s="720"/>
      <c r="AD109" s="720"/>
      <c r="AE109" s="554"/>
      <c r="AF109" s="720" t="s">
        <v>6722</v>
      </c>
      <c r="AG109" s="776">
        <f>IF(tlOutputCh4Vtstaple2-tlOutputCh4Vtstaple3&lt;0,AG108,AG108-AG117)</f>
        <v>-2.4</v>
      </c>
      <c r="AH109" s="584" t="s">
        <v>8359</v>
      </c>
      <c r="AJ109" s="554"/>
      <c r="AK109" s="720"/>
      <c r="AL109" s="584"/>
      <c r="AM109" s="720"/>
      <c r="AN109" s="782"/>
      <c r="AO109" s="783"/>
      <c r="AP109" s="783"/>
      <c r="AQ109" s="783"/>
      <c r="AR109" s="783"/>
      <c r="AS109" s="784"/>
      <c r="AT109" s="720"/>
      <c r="AU109" s="720"/>
      <c r="AV109" s="720"/>
      <c r="AW109" s="720"/>
    </row>
    <row r="110" spans="3:49">
      <c r="E110" s="530"/>
      <c r="K110" s="720"/>
      <c r="Q110" s="720"/>
      <c r="AB110" s="720"/>
      <c r="AC110" s="720"/>
      <c r="AD110" s="720"/>
      <c r="AE110" s="554"/>
      <c r="AF110" s="720" t="s">
        <v>6723</v>
      </c>
      <c r="AG110" s="776">
        <f>AG109-AG118</f>
        <v>-3.999798416203626</v>
      </c>
      <c r="AH110" s="584" t="s">
        <v>8360</v>
      </c>
      <c r="AJ110" s="554"/>
      <c r="AK110" s="720"/>
      <c r="AL110" s="584"/>
      <c r="AM110" s="720"/>
      <c r="AN110" s="782"/>
      <c r="AO110" s="783"/>
      <c r="AP110" s="783"/>
      <c r="AQ110" s="783"/>
      <c r="AR110" s="783"/>
      <c r="AS110" s="784"/>
      <c r="AT110" s="720"/>
      <c r="AU110" s="720"/>
      <c r="AV110" s="720"/>
      <c r="AW110" s="720"/>
    </row>
    <row r="111" spans="3:49" ht="15" thickBot="1">
      <c r="E111" s="530"/>
      <c r="K111" s="720"/>
      <c r="Q111" s="720"/>
      <c r="AB111" s="720"/>
      <c r="AC111" s="720"/>
      <c r="AD111" s="720"/>
      <c r="AE111" s="554"/>
      <c r="AF111" s="720" t="s">
        <v>6719</v>
      </c>
      <c r="AG111" s="776">
        <f>tlOutputCh4VtTotalCOGsPVol+tlOutputCh4VtLogExpPVol</f>
        <v>2.195997549730111</v>
      </c>
      <c r="AH111" s="584" t="s">
        <v>8361</v>
      </c>
      <c r="AJ111" s="546"/>
      <c r="AK111" s="544"/>
      <c r="AL111" s="733"/>
      <c r="AM111" s="720"/>
      <c r="AN111" s="782"/>
      <c r="AO111" s="783"/>
      <c r="AP111" s="783"/>
      <c r="AQ111" s="783"/>
      <c r="AR111" s="783"/>
      <c r="AS111" s="784"/>
      <c r="AT111" s="720"/>
      <c r="AU111" s="720"/>
      <c r="AV111" s="720"/>
      <c r="AW111" s="720"/>
    </row>
    <row r="112" spans="3:49">
      <c r="E112" s="530"/>
      <c r="K112" s="720"/>
      <c r="Q112" s="720"/>
      <c r="AB112" s="720"/>
      <c r="AC112" s="720"/>
      <c r="AD112" s="720"/>
      <c r="AE112" s="731" t="s">
        <v>6707</v>
      </c>
      <c r="AF112" s="720"/>
      <c r="AG112" s="720"/>
      <c r="AH112" s="584"/>
      <c r="AK112" s="720"/>
      <c r="AL112" s="720"/>
      <c r="AM112" s="720"/>
      <c r="AN112" s="554"/>
      <c r="AO112" s="720"/>
      <c r="AP112" s="720"/>
      <c r="AQ112" s="720"/>
      <c r="AR112" s="720"/>
      <c r="AS112" s="584"/>
      <c r="AT112" s="720"/>
      <c r="AU112" s="720"/>
      <c r="AV112" s="720"/>
      <c r="AW112" s="720"/>
    </row>
    <row r="113" spans="5:49" ht="15" thickBot="1">
      <c r="E113" s="530"/>
      <c r="F113" s="530"/>
      <c r="G113" s="530"/>
      <c r="H113" s="530"/>
      <c r="I113" s="530"/>
      <c r="J113" s="530"/>
      <c r="K113" s="720"/>
      <c r="Q113" s="720"/>
      <c r="AB113" s="720"/>
      <c r="AC113" s="720"/>
      <c r="AD113" s="720"/>
      <c r="AE113" s="554"/>
      <c r="AF113" s="720" t="s">
        <v>6724</v>
      </c>
      <c r="AG113" s="774" t="s">
        <v>521</v>
      </c>
      <c r="AH113" s="584"/>
      <c r="AJ113" s="702" t="s">
        <v>8491</v>
      </c>
      <c r="AK113" s="720"/>
      <c r="AL113" s="720"/>
      <c r="AM113" s="720"/>
      <c r="AN113" s="554"/>
      <c r="AO113" s="720"/>
      <c r="AP113" s="720"/>
      <c r="AQ113" s="720"/>
      <c r="AR113" s="720"/>
      <c r="AS113" s="584"/>
      <c r="AT113" s="720"/>
      <c r="AU113" s="720"/>
      <c r="AV113" s="720"/>
      <c r="AW113" s="720"/>
    </row>
    <row r="114" spans="5:49">
      <c r="E114" s="530"/>
      <c r="F114" s="530"/>
      <c r="G114" s="530"/>
      <c r="H114" s="530"/>
      <c r="I114" s="530"/>
      <c r="J114" s="530"/>
      <c r="K114" s="720"/>
      <c r="Q114" s="720"/>
      <c r="AB114" s="720"/>
      <c r="AC114" s="720"/>
      <c r="AD114" s="720"/>
      <c r="AE114" s="554"/>
      <c r="AF114" s="720" t="s">
        <v>6714</v>
      </c>
      <c r="AG114" s="777">
        <f>tlOutputCh4Vtstaple1-tlOutputCh4VtTotalCOGsPVol-tlOutputCh4VtLogExpPVol</f>
        <v>-2.195997549730111</v>
      </c>
      <c r="AH114" s="584" t="s">
        <v>8362</v>
      </c>
      <c r="AJ114" s="555" t="s">
        <v>8479</v>
      </c>
      <c r="AK114" s="861">
        <f>INDEX(L65:AB65,,INDEX(calcCh4VtCode,,xxIndexTeam))</f>
        <v>33144091.814078879</v>
      </c>
      <c r="AL114" s="561" t="s">
        <v>8504</v>
      </c>
      <c r="AM114" s="720"/>
      <c r="AN114" s="554"/>
      <c r="AO114" s="720"/>
      <c r="AP114" s="720"/>
      <c r="AQ114" s="720"/>
      <c r="AR114" s="720"/>
      <c r="AS114" s="584"/>
      <c r="AT114" s="720"/>
      <c r="AU114" s="720"/>
      <c r="AV114" s="720"/>
      <c r="AW114" s="720"/>
    </row>
    <row r="115" spans="5:49">
      <c r="E115" s="530"/>
      <c r="F115" s="530"/>
      <c r="G115" s="530"/>
      <c r="H115" s="530"/>
      <c r="I115" s="530"/>
      <c r="J115" s="530"/>
      <c r="K115" s="720"/>
      <c r="Q115" s="720"/>
      <c r="AB115" s="720"/>
      <c r="AC115" s="720"/>
      <c r="AD115" s="720"/>
      <c r="AE115" s="554"/>
      <c r="AF115" s="720" t="s">
        <v>6715</v>
      </c>
      <c r="AG115" s="777">
        <f>tlOutputCh4VtExcisePVol</f>
        <v>2.4</v>
      </c>
      <c r="AH115" s="584" t="s">
        <v>8363</v>
      </c>
      <c r="AJ115" s="554" t="s">
        <v>8480</v>
      </c>
      <c r="AK115" s="862">
        <f t="shared" ref="AK115:AK119" si="35">INDEX(L66:AB66,,INDEX(calcCh4VtCode,,xxIndexTeam))</f>
        <v>-802241.46408741386</v>
      </c>
      <c r="AL115" s="584" t="s">
        <v>8505</v>
      </c>
      <c r="AM115" s="720"/>
      <c r="AN115" s="554"/>
      <c r="AO115" s="720"/>
      <c r="AP115" s="720"/>
      <c r="AQ115" s="720"/>
      <c r="AR115" s="720"/>
      <c r="AS115" s="584"/>
      <c r="AT115" s="720"/>
      <c r="AU115" s="720"/>
      <c r="AV115" s="720"/>
      <c r="AW115" s="720"/>
    </row>
    <row r="116" spans="5:49">
      <c r="E116" s="530"/>
      <c r="F116" s="530"/>
      <c r="G116" s="530"/>
      <c r="H116" s="530"/>
      <c r="I116" s="530"/>
      <c r="J116" s="530"/>
      <c r="K116" s="720"/>
      <c r="Q116" s="720"/>
      <c r="AB116" s="720"/>
      <c r="AC116" s="720"/>
      <c r="AD116" s="720"/>
      <c r="AE116" s="554"/>
      <c r="AF116" s="720" t="s">
        <v>6716</v>
      </c>
      <c r="AG116" s="777">
        <f>IF(tlOutputCh4Vtstaple1-tlOutputCh4Vtstaple2&lt;0,tlOutputCh4Vtstaple2-tlOutputCh4Vtstaple1,tlOutputCh4Vtstaple1-tlOutputCh4Vtstaple2)</f>
        <v>0</v>
      </c>
      <c r="AH116" s="584" t="s">
        <v>8364</v>
      </c>
      <c r="AJ116" s="554" t="s">
        <v>8481</v>
      </c>
      <c r="AK116" s="862">
        <f t="shared" si="35"/>
        <v>3451651.5590942022</v>
      </c>
      <c r="AL116" s="584" t="s">
        <v>8506</v>
      </c>
      <c r="AM116" s="720"/>
      <c r="AN116" s="554"/>
      <c r="AO116" s="720"/>
      <c r="AP116" s="720"/>
      <c r="AQ116" s="720"/>
      <c r="AR116" s="720"/>
      <c r="AS116" s="584"/>
      <c r="AT116" s="720"/>
      <c r="AU116" s="720"/>
      <c r="AV116" s="720"/>
      <c r="AW116" s="720"/>
    </row>
    <row r="117" spans="5:49">
      <c r="E117" s="530"/>
      <c r="F117" s="530"/>
      <c r="G117" s="530"/>
      <c r="H117" s="530"/>
      <c r="I117" s="530"/>
      <c r="J117" s="530"/>
      <c r="K117" s="720"/>
      <c r="Q117" s="720"/>
      <c r="AB117" s="720"/>
      <c r="AC117" s="720"/>
      <c r="AD117" s="720"/>
      <c r="AE117" s="554"/>
      <c r="AF117" s="720" t="s">
        <v>6717</v>
      </c>
      <c r="AG117" s="777">
        <f>IF(tlOutputCh4Vtstaple1-tlOutputCh4Vtstaple3&lt;0,tlOutputCh4Vtstaple3-tlOutputCh4Vtstaple2,tlOutputCh4Vtstaple2-tlOutputCh4Vtstaple3)</f>
        <v>0</v>
      </c>
      <c r="AH117" s="584" t="s">
        <v>8365</v>
      </c>
      <c r="AJ117" s="554" t="s">
        <v>8482</v>
      </c>
      <c r="AK117" s="862">
        <f t="shared" si="35"/>
        <v>0</v>
      </c>
      <c r="AL117" s="584" t="s">
        <v>8507</v>
      </c>
      <c r="AM117" s="720"/>
      <c r="AN117" s="554"/>
      <c r="AO117" s="720"/>
      <c r="AP117" s="720"/>
      <c r="AQ117" s="720"/>
      <c r="AR117" s="720"/>
      <c r="AS117" s="584"/>
      <c r="AT117" s="720"/>
      <c r="AU117" s="720"/>
      <c r="AV117" s="720"/>
      <c r="AW117" s="720"/>
    </row>
    <row r="118" spans="5:49">
      <c r="E118" s="530"/>
      <c r="F118" s="530"/>
      <c r="G118" s="530"/>
      <c r="H118" s="530"/>
      <c r="I118" s="530"/>
      <c r="J118" s="530"/>
      <c r="K118" s="720"/>
      <c r="Q118" s="720"/>
      <c r="AB118" s="720"/>
      <c r="AC118" s="720"/>
      <c r="AD118" s="720"/>
      <c r="AE118" s="554"/>
      <c r="AF118" s="720" t="s">
        <v>6718</v>
      </c>
      <c r="AG118" s="777">
        <f>tlOutputCh4VtDiscountsPVol</f>
        <v>1.5997984162036261</v>
      </c>
      <c r="AH118" s="584" t="s">
        <v>8366</v>
      </c>
      <c r="AJ118" s="554" t="s">
        <v>8483</v>
      </c>
      <c r="AK118" s="862">
        <f t="shared" si="35"/>
        <v>-323428.7834914159</v>
      </c>
      <c r="AL118" s="584" t="s">
        <v>8508</v>
      </c>
      <c r="AM118" s="720"/>
      <c r="AN118" s="554"/>
      <c r="AO118" s="720"/>
      <c r="AP118" s="720"/>
      <c r="AQ118" s="720"/>
      <c r="AR118" s="720"/>
      <c r="AS118" s="584"/>
      <c r="AT118" s="720"/>
      <c r="AU118" s="720"/>
      <c r="AV118" s="720"/>
      <c r="AW118" s="720"/>
    </row>
    <row r="119" spans="5:49">
      <c r="E119" s="530"/>
      <c r="F119" s="530"/>
      <c r="G119" s="530"/>
      <c r="H119" s="530"/>
      <c r="I119" s="530"/>
      <c r="J119" s="530"/>
      <c r="K119" s="720"/>
      <c r="Q119" s="720"/>
      <c r="AB119" s="720"/>
      <c r="AC119" s="720"/>
      <c r="AD119" s="720"/>
      <c r="AE119" s="554"/>
      <c r="AF119" s="720" t="s">
        <v>6719</v>
      </c>
      <c r="AG119" s="777">
        <f>AG110-AG111</f>
        <v>-6.1957959659337369</v>
      </c>
      <c r="AH119" s="584" t="s">
        <v>8367</v>
      </c>
      <c r="AJ119" s="554" t="s">
        <v>8484</v>
      </c>
      <c r="AK119" s="862">
        <f t="shared" si="35"/>
        <v>35470073.125594251</v>
      </c>
      <c r="AL119" s="584" t="s">
        <v>8509</v>
      </c>
      <c r="AN119" s="554"/>
      <c r="AO119" s="720"/>
      <c r="AP119" s="720"/>
      <c r="AQ119" s="720"/>
      <c r="AR119" s="720"/>
      <c r="AS119" s="584"/>
      <c r="AT119" s="720"/>
      <c r="AU119" s="720"/>
      <c r="AV119" s="720"/>
      <c r="AW119" s="720"/>
    </row>
    <row r="120" spans="5:49">
      <c r="E120" s="530"/>
      <c r="F120" s="530"/>
      <c r="G120" s="530"/>
      <c r="H120" s="530"/>
      <c r="I120" s="530"/>
      <c r="J120" s="530"/>
      <c r="K120" s="720"/>
      <c r="Q120" s="720"/>
      <c r="AB120" s="720"/>
      <c r="AC120" s="720"/>
      <c r="AD120" s="720"/>
      <c r="AE120" s="554"/>
      <c r="AF120" s="720"/>
      <c r="AG120" s="720"/>
      <c r="AH120" s="584"/>
      <c r="AJ120" s="554"/>
      <c r="AK120" s="862"/>
      <c r="AL120" s="584"/>
      <c r="AN120" s="554"/>
      <c r="AO120" s="720"/>
      <c r="AP120" s="720"/>
      <c r="AQ120" s="720"/>
      <c r="AR120" s="720"/>
      <c r="AS120" s="584"/>
      <c r="AT120" s="720"/>
      <c r="AU120" s="720"/>
      <c r="AV120" s="720"/>
      <c r="AW120" s="720"/>
    </row>
    <row r="121" spans="5:49" ht="15" thickBot="1">
      <c r="E121" s="530"/>
      <c r="F121" s="530"/>
      <c r="G121" s="530"/>
      <c r="H121" s="530"/>
      <c r="I121" s="530"/>
      <c r="J121" s="530"/>
      <c r="K121" s="720"/>
      <c r="Q121" s="720"/>
      <c r="AB121" s="720"/>
      <c r="AC121" s="720"/>
      <c r="AD121" s="720"/>
      <c r="AE121" s="554"/>
      <c r="AF121" s="720"/>
      <c r="AG121" s="720"/>
      <c r="AH121" s="584"/>
      <c r="AJ121" s="546"/>
      <c r="AK121" s="544"/>
      <c r="AL121" s="733"/>
      <c r="AN121" s="554"/>
      <c r="AO121" s="720"/>
      <c r="AP121" s="720"/>
      <c r="AQ121" s="720"/>
      <c r="AR121" s="720"/>
      <c r="AS121" s="584"/>
      <c r="AT121" s="720"/>
      <c r="AU121" s="720"/>
      <c r="AV121" s="720"/>
      <c r="AW121" s="720"/>
    </row>
    <row r="122" spans="5:49">
      <c r="E122" s="530"/>
      <c r="F122" s="530"/>
      <c r="G122" s="530"/>
      <c r="H122" s="530"/>
      <c r="I122" s="530"/>
      <c r="J122" s="530"/>
      <c r="K122" s="720"/>
      <c r="Q122" s="720"/>
      <c r="AB122" s="720"/>
      <c r="AC122" s="720"/>
      <c r="AD122" s="720"/>
      <c r="AE122" s="554"/>
      <c r="AF122" s="720"/>
      <c r="AG122" s="720"/>
      <c r="AH122" s="584"/>
      <c r="AN122" s="554"/>
      <c r="AO122" s="720"/>
      <c r="AP122" s="720"/>
      <c r="AQ122" s="720"/>
      <c r="AR122" s="720"/>
      <c r="AS122" s="584"/>
      <c r="AT122" s="720"/>
      <c r="AU122" s="720"/>
      <c r="AV122" s="720"/>
      <c r="AW122" s="720"/>
    </row>
    <row r="123" spans="5:49">
      <c r="E123" s="530"/>
      <c r="F123" s="530"/>
      <c r="G123" s="530"/>
      <c r="H123" s="530"/>
      <c r="I123" s="530"/>
      <c r="J123" s="530"/>
      <c r="K123" s="720"/>
      <c r="Q123" s="720"/>
      <c r="AB123" s="720"/>
      <c r="AC123" s="720"/>
      <c r="AD123" s="720"/>
      <c r="AE123" s="554"/>
      <c r="AF123" s="720"/>
      <c r="AG123" s="720"/>
      <c r="AH123" s="584"/>
      <c r="AN123" s="554"/>
      <c r="AO123" s="720"/>
      <c r="AP123" s="720"/>
      <c r="AQ123" s="720"/>
      <c r="AR123" s="720"/>
      <c r="AS123" s="584"/>
      <c r="AT123" s="720"/>
      <c r="AU123" s="720"/>
      <c r="AV123" s="720"/>
      <c r="AW123" s="720"/>
    </row>
    <row r="124" spans="5:49">
      <c r="E124" s="530"/>
      <c r="F124" s="530"/>
      <c r="G124" s="530"/>
      <c r="H124" s="530"/>
      <c r="I124" s="530"/>
      <c r="J124" s="530"/>
      <c r="K124" s="720"/>
      <c r="Q124" s="720"/>
      <c r="AB124" s="720"/>
      <c r="AC124" s="720"/>
      <c r="AD124" s="720"/>
      <c r="AE124" s="554"/>
      <c r="AF124" s="720"/>
      <c r="AG124" s="720"/>
      <c r="AH124" s="584"/>
      <c r="AN124" s="554"/>
      <c r="AO124" s="720"/>
      <c r="AP124" s="720"/>
      <c r="AQ124" s="720"/>
      <c r="AR124" s="720"/>
      <c r="AS124" s="584"/>
      <c r="AT124" s="720"/>
      <c r="AU124" s="720"/>
      <c r="AV124" s="720"/>
      <c r="AW124" s="720"/>
    </row>
    <row r="125" spans="5:49">
      <c r="E125" s="530"/>
      <c r="F125" s="530"/>
      <c r="G125" s="530"/>
      <c r="H125" s="530"/>
      <c r="I125" s="530"/>
      <c r="J125" s="530"/>
      <c r="K125" s="720"/>
      <c r="Q125" s="720"/>
      <c r="AB125" s="720"/>
      <c r="AC125" s="720"/>
      <c r="AD125" s="720"/>
      <c r="AE125" s="554"/>
      <c r="AF125" s="720"/>
      <c r="AG125" s="720"/>
      <c r="AH125" s="584"/>
      <c r="AN125" s="554"/>
      <c r="AO125" s="720"/>
      <c r="AP125" s="720"/>
      <c r="AQ125" s="720"/>
      <c r="AR125" s="720"/>
      <c r="AS125" s="584"/>
      <c r="AT125" s="720"/>
      <c r="AU125" s="720"/>
      <c r="AV125" s="720"/>
      <c r="AW125" s="720"/>
    </row>
    <row r="126" spans="5:49">
      <c r="E126" s="530"/>
      <c r="F126" s="530"/>
      <c r="G126" s="530"/>
      <c r="H126" s="530"/>
      <c r="I126" s="530"/>
      <c r="J126" s="530"/>
      <c r="K126" s="720"/>
      <c r="Q126" s="720"/>
      <c r="AB126" s="720"/>
      <c r="AC126" s="720"/>
      <c r="AD126" s="720"/>
      <c r="AE126" s="554"/>
      <c r="AF126" s="720"/>
      <c r="AG126" s="720"/>
      <c r="AH126" s="584"/>
      <c r="AN126" s="554"/>
      <c r="AO126" s="720"/>
      <c r="AP126" s="720"/>
      <c r="AQ126" s="720"/>
      <c r="AR126" s="720"/>
      <c r="AS126" s="584"/>
      <c r="AT126" s="720"/>
      <c r="AU126" s="720"/>
      <c r="AV126" s="720"/>
      <c r="AW126" s="720"/>
    </row>
    <row r="127" spans="5:49">
      <c r="E127" s="530"/>
      <c r="F127" s="530"/>
      <c r="G127" s="530"/>
      <c r="H127" s="530"/>
      <c r="I127" s="530"/>
      <c r="J127" s="530"/>
      <c r="K127" s="720"/>
      <c r="Q127" s="720"/>
      <c r="AB127" s="720"/>
      <c r="AC127" s="720"/>
      <c r="AD127" s="720"/>
      <c r="AE127" s="554"/>
      <c r="AF127" s="720"/>
      <c r="AG127" s="720"/>
      <c r="AH127" s="584"/>
      <c r="AN127" s="554"/>
      <c r="AO127" s="720"/>
      <c r="AP127" s="720"/>
      <c r="AQ127" s="720"/>
      <c r="AR127" s="720"/>
      <c r="AS127" s="584"/>
      <c r="AT127" s="720"/>
      <c r="AU127" s="720"/>
      <c r="AV127" s="720"/>
      <c r="AW127" s="720"/>
    </row>
    <row r="128" spans="5:49">
      <c r="E128" s="530"/>
      <c r="F128" s="530"/>
      <c r="G128" s="530"/>
      <c r="H128" s="530"/>
      <c r="I128" s="530"/>
      <c r="J128" s="530"/>
      <c r="K128" s="720"/>
      <c r="L128" s="720"/>
      <c r="M128" s="720"/>
      <c r="N128" s="720"/>
      <c r="O128" s="720"/>
      <c r="P128" s="720"/>
      <c r="Q128" s="720"/>
      <c r="AB128" s="720"/>
      <c r="AC128" s="720"/>
      <c r="AD128" s="720"/>
      <c r="AE128" s="554"/>
      <c r="AF128" s="720"/>
      <c r="AG128" s="720"/>
      <c r="AH128" s="584"/>
      <c r="AN128" s="554"/>
      <c r="AO128" s="720"/>
      <c r="AP128" s="720"/>
      <c r="AQ128" s="720"/>
      <c r="AR128" s="720"/>
      <c r="AS128" s="584"/>
      <c r="AT128" s="720"/>
      <c r="AU128" s="720"/>
      <c r="AV128" s="720"/>
      <c r="AW128" s="720"/>
    </row>
    <row r="129" spans="5:45">
      <c r="E129" s="530"/>
      <c r="F129" s="720"/>
      <c r="G129" s="720"/>
      <c r="H129" s="720"/>
      <c r="I129" s="720"/>
      <c r="J129" s="720"/>
      <c r="K129" s="720"/>
      <c r="L129" s="720"/>
      <c r="M129" s="720"/>
      <c r="N129" s="720"/>
      <c r="O129" s="720"/>
      <c r="P129" s="720"/>
      <c r="Q129" s="720"/>
      <c r="AB129" s="720"/>
      <c r="AC129" s="720"/>
      <c r="AD129" s="720"/>
      <c r="AE129" s="554"/>
      <c r="AF129" s="720"/>
      <c r="AG129" s="720"/>
      <c r="AH129" s="584"/>
      <c r="AN129" s="554"/>
      <c r="AO129" s="720"/>
      <c r="AP129" s="720"/>
      <c r="AQ129" s="720"/>
      <c r="AR129" s="720"/>
      <c r="AS129" s="584"/>
    </row>
    <row r="130" spans="5:45">
      <c r="E130" s="530"/>
      <c r="F130" s="720"/>
      <c r="G130" s="720"/>
      <c r="H130" s="720"/>
      <c r="I130" s="720"/>
      <c r="J130" s="720"/>
      <c r="K130" s="720"/>
      <c r="L130" s="720"/>
      <c r="M130" s="720"/>
      <c r="N130" s="720"/>
      <c r="O130" s="720"/>
      <c r="P130" s="720"/>
      <c r="Q130" s="720"/>
      <c r="AB130" s="720"/>
      <c r="AC130" s="720"/>
      <c r="AD130" s="720"/>
      <c r="AE130" s="554"/>
      <c r="AF130" s="720"/>
      <c r="AG130" s="720"/>
      <c r="AH130" s="584"/>
      <c r="AN130" s="554"/>
      <c r="AO130" s="720"/>
      <c r="AP130" s="720"/>
      <c r="AQ130" s="720"/>
      <c r="AR130" s="720"/>
      <c r="AS130" s="584"/>
    </row>
    <row r="131" spans="5:45">
      <c r="E131" s="530"/>
      <c r="F131" s="720"/>
      <c r="G131" s="720"/>
      <c r="H131" s="720"/>
      <c r="I131" s="720"/>
      <c r="J131" s="720"/>
      <c r="K131" s="720"/>
      <c r="L131" s="720"/>
      <c r="M131" s="720"/>
      <c r="N131" s="720"/>
      <c r="O131" s="720"/>
      <c r="P131" s="720"/>
      <c r="Q131" s="720"/>
      <c r="AB131" s="720"/>
      <c r="AC131" s="720"/>
      <c r="AD131" s="720"/>
      <c r="AE131" s="554"/>
      <c r="AF131" s="720"/>
      <c r="AG131" s="720"/>
      <c r="AH131" s="584"/>
      <c r="AN131" s="554"/>
      <c r="AO131" s="720"/>
      <c r="AP131" s="720"/>
      <c r="AQ131" s="720"/>
      <c r="AR131" s="720"/>
      <c r="AS131" s="584"/>
    </row>
    <row r="132" spans="5:45">
      <c r="E132" s="530"/>
      <c r="F132" s="720"/>
      <c r="G132" s="720"/>
      <c r="H132" s="720"/>
      <c r="I132" s="720"/>
      <c r="J132" s="720"/>
      <c r="K132" s="720"/>
      <c r="L132" s="720"/>
      <c r="M132" s="720"/>
      <c r="N132" s="720"/>
      <c r="O132" s="720"/>
      <c r="P132" s="720"/>
      <c r="Q132" s="720"/>
      <c r="AB132" s="720"/>
      <c r="AC132" s="720"/>
      <c r="AD132" s="720"/>
      <c r="AE132" s="554"/>
      <c r="AF132" s="720"/>
      <c r="AG132" s="720"/>
      <c r="AH132" s="584"/>
      <c r="AN132" s="554"/>
      <c r="AO132" s="720"/>
      <c r="AP132" s="720"/>
      <c r="AQ132" s="720"/>
      <c r="AR132" s="720"/>
      <c r="AS132" s="584"/>
    </row>
    <row r="133" spans="5:45">
      <c r="E133" s="530"/>
      <c r="F133" s="720"/>
      <c r="G133" s="720"/>
      <c r="H133" s="720"/>
      <c r="I133" s="720"/>
      <c r="J133" s="720"/>
      <c r="K133" s="720"/>
      <c r="L133" s="720"/>
      <c r="M133" s="720"/>
      <c r="N133" s="720"/>
      <c r="O133" s="720"/>
      <c r="P133" s="720"/>
      <c r="Q133" s="720"/>
      <c r="AB133" s="720"/>
      <c r="AC133" s="720"/>
      <c r="AD133" s="720"/>
      <c r="AE133" s="554"/>
      <c r="AF133" s="720"/>
      <c r="AG133" s="720"/>
      <c r="AH133" s="584"/>
      <c r="AN133" s="554"/>
      <c r="AO133" s="720"/>
      <c r="AP133" s="720"/>
      <c r="AQ133" s="720"/>
      <c r="AR133" s="720"/>
      <c r="AS133" s="584"/>
    </row>
    <row r="134" spans="5:45" ht="15" thickBot="1">
      <c r="E134" s="530"/>
      <c r="F134" s="720"/>
      <c r="G134" s="720"/>
      <c r="H134" s="720"/>
      <c r="I134" s="720"/>
      <c r="J134" s="720"/>
      <c r="K134" s="720"/>
      <c r="L134" s="720"/>
      <c r="M134" s="720"/>
      <c r="N134" s="720"/>
      <c r="O134" s="720"/>
      <c r="P134" s="720"/>
      <c r="Q134" s="720"/>
      <c r="AB134" s="720"/>
      <c r="AC134" s="720"/>
      <c r="AD134" s="720"/>
      <c r="AE134" s="554"/>
      <c r="AF134" s="720"/>
      <c r="AG134" s="720"/>
      <c r="AH134" s="584"/>
      <c r="AN134" s="546"/>
      <c r="AO134" s="544"/>
      <c r="AP134" s="544"/>
      <c r="AQ134" s="544"/>
      <c r="AR134" s="544"/>
      <c r="AS134" s="733"/>
    </row>
    <row r="135" spans="5:45">
      <c r="E135" s="530"/>
      <c r="F135" s="720"/>
      <c r="G135" s="720"/>
      <c r="H135" s="720"/>
      <c r="I135" s="720"/>
      <c r="J135" s="720"/>
      <c r="K135" s="720"/>
      <c r="L135" s="720"/>
      <c r="M135" s="720"/>
      <c r="N135" s="720"/>
      <c r="O135" s="720"/>
      <c r="P135" s="720"/>
      <c r="Q135" s="720"/>
      <c r="AB135" s="720"/>
      <c r="AC135" s="720"/>
      <c r="AD135" s="720"/>
      <c r="AE135" s="554"/>
      <c r="AF135" s="720"/>
      <c r="AG135" s="720"/>
      <c r="AH135" s="584"/>
    </row>
    <row r="136" spans="5:45">
      <c r="E136" s="530"/>
      <c r="F136" s="720"/>
      <c r="G136" s="720"/>
      <c r="H136" s="720"/>
      <c r="I136" s="720"/>
      <c r="J136" s="720"/>
      <c r="K136" s="720"/>
      <c r="L136" s="720"/>
      <c r="M136" s="720"/>
      <c r="N136" s="720"/>
      <c r="O136" s="720"/>
      <c r="P136" s="720"/>
      <c r="Q136" s="720"/>
      <c r="AB136" s="720"/>
      <c r="AC136" s="720"/>
      <c r="AD136" s="720"/>
      <c r="AE136" s="554"/>
      <c r="AF136" s="720"/>
      <c r="AG136" s="720"/>
      <c r="AH136" s="584"/>
    </row>
    <row r="137" spans="5:45">
      <c r="E137" s="530"/>
      <c r="F137" s="720"/>
      <c r="G137" s="720"/>
      <c r="H137" s="720"/>
      <c r="I137" s="720"/>
      <c r="J137" s="720"/>
      <c r="K137" s="720"/>
      <c r="L137" s="720"/>
      <c r="M137" s="720"/>
      <c r="N137" s="720"/>
      <c r="O137" s="720"/>
      <c r="P137" s="720"/>
      <c r="Q137" s="720"/>
      <c r="R137" s="720"/>
      <c r="S137" s="720"/>
      <c r="T137" s="720"/>
      <c r="U137" s="720"/>
      <c r="V137" s="720"/>
      <c r="W137" s="720"/>
      <c r="X137" s="720"/>
      <c r="Y137" s="720"/>
      <c r="Z137" s="720"/>
      <c r="AA137" s="720"/>
      <c r="AB137" s="720"/>
      <c r="AC137" s="720"/>
      <c r="AD137" s="720"/>
      <c r="AE137" s="554"/>
      <c r="AF137" s="720"/>
      <c r="AG137" s="720"/>
      <c r="AH137" s="584"/>
    </row>
    <row r="138" spans="5:45">
      <c r="E138" s="530"/>
      <c r="F138" s="720"/>
      <c r="G138" s="720"/>
      <c r="H138" s="720"/>
      <c r="I138" s="720"/>
      <c r="J138" s="720"/>
      <c r="K138" s="720"/>
      <c r="L138" s="720"/>
      <c r="M138" s="720"/>
      <c r="N138" s="720"/>
      <c r="O138" s="720"/>
      <c r="P138" s="720"/>
      <c r="Q138" s="720"/>
      <c r="R138" s="720"/>
      <c r="S138" s="720"/>
      <c r="T138" s="720"/>
      <c r="U138" s="720"/>
      <c r="V138" s="720"/>
      <c r="W138" s="720"/>
      <c r="X138" s="720"/>
      <c r="Y138" s="720"/>
      <c r="Z138" s="720"/>
      <c r="AA138" s="720"/>
      <c r="AB138" s="720"/>
      <c r="AC138" s="720"/>
      <c r="AD138" s="720"/>
      <c r="AE138" s="554"/>
      <c r="AF138" s="720"/>
      <c r="AG138" s="720"/>
      <c r="AH138" s="584"/>
    </row>
    <row r="139" spans="5:45">
      <c r="E139" s="530"/>
      <c r="F139" s="720"/>
      <c r="G139" s="720"/>
      <c r="H139" s="720"/>
      <c r="I139" s="720"/>
      <c r="J139" s="720"/>
      <c r="K139" s="720"/>
      <c r="L139" s="720"/>
      <c r="M139" s="720"/>
      <c r="N139" s="720"/>
      <c r="O139" s="720"/>
      <c r="P139" s="720"/>
      <c r="Q139" s="720"/>
      <c r="R139" s="720"/>
      <c r="S139" s="720"/>
      <c r="T139" s="720"/>
      <c r="U139" s="720"/>
      <c r="V139" s="720"/>
      <c r="W139" s="720"/>
      <c r="X139" s="720"/>
      <c r="Y139" s="720"/>
      <c r="Z139" s="720"/>
      <c r="AA139" s="720"/>
      <c r="AB139" s="720"/>
      <c r="AC139" s="720"/>
      <c r="AD139" s="720"/>
      <c r="AE139" s="554"/>
      <c r="AF139" s="720"/>
      <c r="AG139" s="720"/>
      <c r="AH139" s="584"/>
    </row>
    <row r="140" spans="5:45" ht="15" thickBot="1">
      <c r="E140" s="530"/>
      <c r="F140" s="720"/>
      <c r="G140" s="720"/>
      <c r="H140" s="720"/>
      <c r="I140" s="720"/>
      <c r="J140" s="720"/>
      <c r="K140" s="720"/>
      <c r="L140" s="720"/>
      <c r="M140" s="720"/>
      <c r="N140" s="720"/>
      <c r="O140" s="720"/>
      <c r="P140" s="720"/>
      <c r="Q140" s="720"/>
      <c r="R140" s="720"/>
      <c r="S140" s="720"/>
      <c r="T140" s="720"/>
      <c r="U140" s="720"/>
      <c r="V140" s="720"/>
      <c r="W140" s="720"/>
      <c r="X140" s="720"/>
      <c r="Y140" s="720"/>
      <c r="Z140" s="720"/>
      <c r="AA140" s="720"/>
      <c r="AB140" s="720"/>
      <c r="AC140" s="720"/>
      <c r="AD140" s="720"/>
      <c r="AE140" s="546"/>
      <c r="AF140" s="544"/>
      <c r="AG140" s="544"/>
      <c r="AH140" s="733"/>
    </row>
    <row r="146" spans="30:47" ht="15" thickBot="1">
      <c r="AD146" s="804" t="s">
        <v>7921</v>
      </c>
      <c r="AE146" s="801" t="s">
        <v>6988</v>
      </c>
      <c r="AF146" s="800"/>
      <c r="AG146" s="800"/>
      <c r="AH146" s="800"/>
      <c r="AI146" s="801" t="s">
        <v>6991</v>
      </c>
      <c r="AJ146" s="800"/>
      <c r="AK146" s="800"/>
      <c r="AL146" s="800"/>
      <c r="AM146" s="801" t="s">
        <v>6996</v>
      </c>
      <c r="AN146" s="802"/>
      <c r="AO146" s="802"/>
      <c r="AP146" s="802"/>
      <c r="AQ146" s="801" t="s">
        <v>6987</v>
      </c>
      <c r="AR146" s="802"/>
      <c r="AS146" s="802"/>
      <c r="AT146" s="802"/>
      <c r="AU146" s="802"/>
    </row>
    <row r="147" spans="30:47">
      <c r="AD147" s="800"/>
      <c r="AE147" s="807"/>
      <c r="AF147" s="813"/>
      <c r="AG147" s="796" t="s">
        <v>6986</v>
      </c>
      <c r="AH147" s="812" t="s">
        <v>7922</v>
      </c>
      <c r="AI147" s="807"/>
      <c r="AJ147" s="813"/>
      <c r="AK147" s="796" t="s">
        <v>6991</v>
      </c>
      <c r="AL147" s="812" t="s">
        <v>7923</v>
      </c>
      <c r="AM147" s="555"/>
      <c r="AN147" s="600"/>
      <c r="AO147" s="600"/>
      <c r="AP147" s="561"/>
      <c r="AQ147" s="807"/>
      <c r="AR147" s="813"/>
      <c r="AS147" s="796" t="s">
        <v>6994</v>
      </c>
      <c r="AT147" s="812" t="s">
        <v>8097</v>
      </c>
      <c r="AU147" s="802"/>
    </row>
    <row r="148" spans="30:47">
      <c r="AD148" s="800"/>
      <c r="AE148" s="797" t="s">
        <v>6990</v>
      </c>
      <c r="AF148" s="814"/>
      <c r="AG148" s="814"/>
      <c r="AH148" s="811"/>
      <c r="AI148" s="797" t="s">
        <v>6990</v>
      </c>
      <c r="AJ148" s="814"/>
      <c r="AK148" s="814"/>
      <c r="AL148" s="811"/>
      <c r="AM148" s="832" t="str">
        <f>nmSeg1</f>
        <v>Making a Statement</v>
      </c>
      <c r="AN148" s="720"/>
      <c r="AO148" s="720"/>
      <c r="AP148" s="833"/>
      <c r="AQ148" s="797"/>
      <c r="AR148" s="814"/>
      <c r="AS148" s="814"/>
      <c r="AT148" s="811"/>
      <c r="AU148" s="802"/>
    </row>
    <row r="149" spans="30:47" ht="15" thickBot="1">
      <c r="AD149" s="800"/>
      <c r="AE149" s="810"/>
      <c r="AF149" s="814" t="str">
        <f>nmProd2</f>
        <v>Harken</v>
      </c>
      <c r="AG149" s="793" t="str">
        <f>nmProd2</f>
        <v>Harken</v>
      </c>
      <c r="AH149" s="811" t="s">
        <v>7924</v>
      </c>
      <c r="AI149" s="810"/>
      <c r="AJ149" s="814" t="str">
        <f>nmProd2</f>
        <v>Harken</v>
      </c>
      <c r="AK149" s="793" t="str">
        <f>nmProd2</f>
        <v>Harken</v>
      </c>
      <c r="AL149" s="811" t="s">
        <v>7925</v>
      </c>
      <c r="AM149" s="554"/>
      <c r="AN149" s="720"/>
      <c r="AO149" s="530" t="s">
        <v>295</v>
      </c>
      <c r="AP149" s="584"/>
      <c r="AQ149" s="810"/>
      <c r="AR149" s="814" t="str">
        <f>nmProd2&amp;" Slot1"</f>
        <v>Harken Slot1</v>
      </c>
      <c r="AS149" s="793" t="str">
        <f>IF(INDEX(obalCh4Prod2Slot1Active,,xxIndexTeam)=1,nmProd2&amp;" - "&amp;INDEX(obalCh4Prod2Slot1Pack,,xxIndexTeam),"")</f>
        <v>Harken - 25Ltr Keg</v>
      </c>
      <c r="AT149" s="811" t="s">
        <v>8101</v>
      </c>
      <c r="AU149" s="802"/>
    </row>
    <row r="150" spans="30:47">
      <c r="AD150" s="800"/>
      <c r="AE150" s="810"/>
      <c r="AF150" s="814" t="str">
        <f>nmProd3</f>
        <v>Kara</v>
      </c>
      <c r="AG150" s="793" t="str">
        <f>nmProd3</f>
        <v>Kara</v>
      </c>
      <c r="AH150" s="811" t="s">
        <v>7926</v>
      </c>
      <c r="AI150" s="810"/>
      <c r="AJ150" s="814" t="str">
        <f>nmProd3</f>
        <v>Kara</v>
      </c>
      <c r="AK150" s="793" t="str">
        <f>nmProd3</f>
        <v>Kara</v>
      </c>
      <c r="AL150" s="811" t="s">
        <v>7927</v>
      </c>
      <c r="AM150" s="554" t="str">
        <f>nmProd1</f>
        <v>Greenborg</v>
      </c>
      <c r="AN150" s="720" t="s">
        <v>4409</v>
      </c>
      <c r="AO150" s="822">
        <v>97000000</v>
      </c>
      <c r="AP150" s="584" t="s">
        <v>7928</v>
      </c>
      <c r="AQ150" s="810"/>
      <c r="AR150" s="720"/>
      <c r="AS150" s="817">
        <f>IF(INDEX(obalCh4Prod2Slot1Active,,xxIndexTeam)=1,INDEX(obalCh4Prod2Slot1CustPrice,,xxIndexTeam),"")</f>
        <v>7.2</v>
      </c>
      <c r="AT150" s="584" t="s">
        <v>8105</v>
      </c>
      <c r="AU150" s="802"/>
    </row>
    <row r="151" spans="30:47">
      <c r="AD151" s="800"/>
      <c r="AE151" s="810"/>
      <c r="AF151" s="814" t="str">
        <f>nmProd1</f>
        <v>Greenborg</v>
      </c>
      <c r="AG151" s="793" t="str">
        <f>nmProd1</f>
        <v>Greenborg</v>
      </c>
      <c r="AH151" s="811" t="s">
        <v>7929</v>
      </c>
      <c r="AI151" s="810"/>
      <c r="AJ151" s="814" t="str">
        <f>nmProd1</f>
        <v>Greenborg</v>
      </c>
      <c r="AK151" s="793" t="str">
        <f>nmProd1</f>
        <v>Greenborg</v>
      </c>
      <c r="AL151" s="811" t="s">
        <v>7930</v>
      </c>
      <c r="AM151" s="554"/>
      <c r="AN151" s="720" t="s">
        <v>4408</v>
      </c>
      <c r="AO151" s="826">
        <f>AO150*0.2</f>
        <v>19400000</v>
      </c>
      <c r="AP151" s="584" t="s">
        <v>7931</v>
      </c>
      <c r="AQ151" s="810"/>
      <c r="AR151" s="720"/>
      <c r="AS151" s="817">
        <f>IF(INDEX(obalCh4Prod2Slot1Active,,xxIndexTeam)=1,INDEX(obalCh4Prod2Slot1AvgPrice,,xxIndexTeam),"")</f>
        <v>5.5585020872227471</v>
      </c>
      <c r="AT151" s="584" t="s">
        <v>8109</v>
      </c>
      <c r="AU151" s="802"/>
    </row>
    <row r="152" spans="30:47">
      <c r="AD152" s="800"/>
      <c r="AE152" s="810"/>
      <c r="AF152" s="814" t="str">
        <f>nmProd4</f>
        <v>Brew Master</v>
      </c>
      <c r="AG152" s="793" t="str">
        <f>nmProd4</f>
        <v>Brew Master</v>
      </c>
      <c r="AH152" s="811" t="s">
        <v>7932</v>
      </c>
      <c r="AI152" s="810"/>
      <c r="AJ152" s="814" t="str">
        <f>nmProd4</f>
        <v>Brew Master</v>
      </c>
      <c r="AK152" s="793" t="str">
        <f>nmProd4</f>
        <v>Brew Master</v>
      </c>
      <c r="AL152" s="811" t="s">
        <v>7933</v>
      </c>
      <c r="AM152" s="554" t="str">
        <f>nmProd2</f>
        <v>Harken</v>
      </c>
      <c r="AN152" s="720" t="s">
        <v>4409</v>
      </c>
      <c r="AO152" s="826">
        <v>145500000</v>
      </c>
      <c r="AP152" s="584" t="s">
        <v>7934</v>
      </c>
      <c r="AQ152" s="810"/>
      <c r="AR152" s="720"/>
      <c r="AS152" s="817">
        <f>IF(INDEX(obalCh4Prod2Slot1Active,,xxIndexTeam)=1,INDEX(obalCh4Prod2Slot1Promo1Price,,xxIndexTeam),"")</f>
        <v>4.8239999999999998</v>
      </c>
      <c r="AT152" s="584" t="s">
        <v>8112</v>
      </c>
      <c r="AU152" s="802"/>
    </row>
    <row r="153" spans="30:47">
      <c r="AD153" s="800"/>
      <c r="AE153" s="797" t="s">
        <v>6989</v>
      </c>
      <c r="AF153" s="814"/>
      <c r="AG153" s="814"/>
      <c r="AH153" s="811"/>
      <c r="AI153" s="797" t="s">
        <v>6989</v>
      </c>
      <c r="AJ153" s="814"/>
      <c r="AK153" s="814"/>
      <c r="AL153" s="811"/>
      <c r="AM153" s="554"/>
      <c r="AN153" s="720" t="s">
        <v>4408</v>
      </c>
      <c r="AO153" s="826">
        <f>AO152*0.2</f>
        <v>29100000</v>
      </c>
      <c r="AP153" s="584" t="s">
        <v>7935</v>
      </c>
      <c r="AQ153" s="810"/>
      <c r="AR153" s="814" t="str">
        <f>nmProd2&amp;" Slot2"</f>
        <v>Harken Slot2</v>
      </c>
      <c r="AS153" s="818" t="str">
        <f>IF(INDEX(obalCh4Prod2Slot2Active,,xxIndexTeam)=1,nmProd2&amp;" - "&amp;INDEX(obalCh4Prod2Slot2Pack,,xxIndexTeam),"")</f>
        <v/>
      </c>
      <c r="AT153" s="811" t="s">
        <v>8116</v>
      </c>
      <c r="AU153" s="802"/>
    </row>
    <row r="154" spans="30:47">
      <c r="AD154" s="800"/>
      <c r="AE154" s="810"/>
      <c r="AF154" s="814" t="str">
        <f>nmProd2</f>
        <v>Harken</v>
      </c>
      <c r="AG154" s="793" t="str">
        <f>IF(INDEX(obalCh4Prod2Slot1Active,,xxIndexTeam)=1,INDEX(obalCh4Prod2Slot1Pack,,xxIndexTeam),"")</f>
        <v>25Ltr Keg</v>
      </c>
      <c r="AH154" s="811" t="s">
        <v>7936</v>
      </c>
      <c r="AI154" s="810"/>
      <c r="AJ154" s="814" t="str">
        <f>nmProd2</f>
        <v>Harken</v>
      </c>
      <c r="AK154" s="793" t="str">
        <f>IF(INDEX(obalCh4Prod2Slot1Active,,xxIndexTeam)=1,INDEX(obalCh4Prod2Slot1Pack,,xxIndexTeam),"")</f>
        <v>25Ltr Keg</v>
      </c>
      <c r="AL154" s="811" t="s">
        <v>7937</v>
      </c>
      <c r="AM154" s="554" t="str">
        <f>nmProd3</f>
        <v>Kara</v>
      </c>
      <c r="AN154" s="720" t="s">
        <v>4409</v>
      </c>
      <c r="AO154" s="826">
        <v>97000000</v>
      </c>
      <c r="AP154" s="584" t="s">
        <v>7938</v>
      </c>
      <c r="AQ154" s="810"/>
      <c r="AR154" s="720"/>
      <c r="AS154" s="817" t="str">
        <f>IF(INDEX(obalCh4Prod2Slot2Active,,xxIndexTeam)=1,INDEX(obalCh4Prod2Slot2CustPrice,,xxIndexTeam),"")</f>
        <v/>
      </c>
      <c r="AT154" s="584" t="s">
        <v>8118</v>
      </c>
      <c r="AU154" s="802"/>
    </row>
    <row r="155" spans="30:47">
      <c r="AD155" s="800"/>
      <c r="AE155" s="810"/>
      <c r="AF155" s="814" t="str">
        <f>nmProd2</f>
        <v>Harken</v>
      </c>
      <c r="AG155" s="793" t="str">
        <f>IF(INDEX(obalCh4Prod2Slot2Active,,xxIndexTeam)=1,INDEX(obalCh4Prod2Slot2Pack,,xxIndexTeam),"")</f>
        <v/>
      </c>
      <c r="AH155" s="811" t="s">
        <v>7939</v>
      </c>
      <c r="AI155" s="810"/>
      <c r="AJ155" s="814" t="str">
        <f>nmProd2</f>
        <v>Harken</v>
      </c>
      <c r="AK155" s="793" t="str">
        <f>IF(INDEX(obalCh4Prod2Slot2Active,,xxIndexTeam)=1,INDEX(obalCh4Prod2Slot2Pack,,xxIndexTeam),"")</f>
        <v/>
      </c>
      <c r="AL155" s="811" t="s">
        <v>7940</v>
      </c>
      <c r="AM155" s="554"/>
      <c r="AN155" s="720" t="s">
        <v>4408</v>
      </c>
      <c r="AO155" s="826">
        <f>AO154*0.2</f>
        <v>19400000</v>
      </c>
      <c r="AP155" s="584" t="s">
        <v>7941</v>
      </c>
      <c r="AQ155" s="810"/>
      <c r="AR155" s="720"/>
      <c r="AS155" s="817" t="str">
        <f>IF(INDEX(obalCh4Prod2Slot2Active,,xxIndexTeam)=1,INDEX(obalCh4Prod2Slot2AvgPrice,,xxIndexTeam),"")</f>
        <v/>
      </c>
      <c r="AT155" s="584" t="s">
        <v>8122</v>
      </c>
      <c r="AU155" s="802"/>
    </row>
    <row r="156" spans="30:47">
      <c r="AD156" s="800"/>
      <c r="AE156" s="810"/>
      <c r="AF156" s="814" t="str">
        <f>nmProd2</f>
        <v>Harken</v>
      </c>
      <c r="AG156" s="793" t="str">
        <f>IF(INDEX(obalCh4Prod2Slot3Active,,xxIndexTeam)=1,INDEX(obalCh4Prod2Slot3Pack,,xxIndexTeam),"")</f>
        <v/>
      </c>
      <c r="AH156" s="811" t="s">
        <v>7942</v>
      </c>
      <c r="AI156" s="810"/>
      <c r="AJ156" s="814" t="str">
        <f>nmProd2</f>
        <v>Harken</v>
      </c>
      <c r="AK156" s="793" t="str">
        <f>IF(INDEX(obalCh4Prod2Slot3Active,,xxIndexTeam)=1,INDEX(obalCh4Prod2Slot3Pack,,xxIndexTeam),"")</f>
        <v/>
      </c>
      <c r="AL156" s="811" t="s">
        <v>7943</v>
      </c>
      <c r="AM156" s="554" t="str">
        <f>nmProd4</f>
        <v>Brew Master</v>
      </c>
      <c r="AN156" s="720" t="s">
        <v>4409</v>
      </c>
      <c r="AO156" s="826">
        <v>194000000</v>
      </c>
      <c r="AP156" s="584" t="s">
        <v>7944</v>
      </c>
      <c r="AQ156" s="810"/>
      <c r="AR156" s="720"/>
      <c r="AS156" s="817" t="str">
        <f>IF(INDEX(obalCh4Prod2Slot2Active,,xxIndexTeam)=1,INDEX(obalCh4Prod2Slot2Promo1Price,,xxIndexTeam),"")</f>
        <v/>
      </c>
      <c r="AT156" s="584" t="s">
        <v>8126</v>
      </c>
      <c r="AU156" s="802"/>
    </row>
    <row r="157" spans="30:47" ht="15" thickBot="1">
      <c r="AD157" s="800"/>
      <c r="AE157" s="810"/>
      <c r="AF157" s="814" t="str">
        <f>nmProd3</f>
        <v>Kara</v>
      </c>
      <c r="AG157" s="793" t="str">
        <f>IF(INDEX(obalCh4Prod3Slot1Active,,xxIndexTeam)=1,INDEX(obalCh4Prod3Slot1Pack,,xxIndexTeam),"")</f>
        <v>25Ltr Keg</v>
      </c>
      <c r="AH157" s="811" t="s">
        <v>7945</v>
      </c>
      <c r="AI157" s="810"/>
      <c r="AJ157" s="814" t="str">
        <f>nmProd3</f>
        <v>Kara</v>
      </c>
      <c r="AK157" s="793" t="str">
        <f>IF(INDEX(obalCh4Prod3Slot1Active,,xxIndexTeam)=1,INDEX(obalCh4Prod3Slot1Pack,,xxIndexTeam),"")</f>
        <v>25Ltr Keg</v>
      </c>
      <c r="AL157" s="811" t="s">
        <v>7946</v>
      </c>
      <c r="AM157" s="554"/>
      <c r="AN157" s="720" t="s">
        <v>4408</v>
      </c>
      <c r="AO157" s="829">
        <f>AO156*0.2</f>
        <v>38800000</v>
      </c>
      <c r="AP157" s="584" t="s">
        <v>7947</v>
      </c>
      <c r="AQ157" s="810"/>
      <c r="AR157" s="814" t="str">
        <f>nmProd2&amp;" Slot3"</f>
        <v>Harken Slot3</v>
      </c>
      <c r="AS157" s="818" t="str">
        <f>IF(INDEX(calcCh4Prod2Slot3Active,,xxIndexTeam)=1,nmProd2&amp;" - "&amp;INDEX(obalCh4Prod2Slot3Pack,,xxIndexTeam),"")</f>
        <v/>
      </c>
      <c r="AT157" s="811" t="s">
        <v>8130</v>
      </c>
      <c r="AU157" s="802"/>
    </row>
    <row r="158" spans="30:47">
      <c r="AD158" s="800"/>
      <c r="AE158" s="810"/>
      <c r="AF158" s="814" t="str">
        <f>nmProd3</f>
        <v>Kara</v>
      </c>
      <c r="AG158" s="793" t="str">
        <f>IF(INDEX(obalCh4Prod3Slot2Active,,xxIndexTeam)=1,INDEX(obalCh4Prod3Slot2Pack,,xxIndexTeam),"")</f>
        <v/>
      </c>
      <c r="AH158" s="811" t="s">
        <v>7948</v>
      </c>
      <c r="AI158" s="810"/>
      <c r="AJ158" s="814" t="str">
        <f>nmProd3</f>
        <v>Kara</v>
      </c>
      <c r="AK158" s="793" t="str">
        <f>IF(INDEX(obalCh4Prod3Slot2Active,,xxIndexTeam)=1,INDEX(obalCh4Prod3Slot2Pack,,xxIndexTeam),"")</f>
        <v/>
      </c>
      <c r="AL158" s="811" t="s">
        <v>7949</v>
      </c>
      <c r="AM158" s="554"/>
      <c r="AN158" s="720"/>
      <c r="AO158" s="720"/>
      <c r="AP158" s="584"/>
      <c r="AQ158" s="810"/>
      <c r="AR158" s="720"/>
      <c r="AS158" s="817" t="str">
        <f>IF(INDEX(obalCh4Prod2Slot3Active,,xxIndexTeam)=1,INDEX(obalCh4Prod2Slot3CustPrice,,xxIndexTeam),"")</f>
        <v/>
      </c>
      <c r="AT158" s="584" t="s">
        <v>8134</v>
      </c>
      <c r="AU158" s="802"/>
    </row>
    <row r="159" spans="30:47" ht="15" thickBot="1">
      <c r="AD159" s="800"/>
      <c r="AE159" s="810"/>
      <c r="AF159" s="814" t="str">
        <f>nmProd3</f>
        <v>Kara</v>
      </c>
      <c r="AG159" s="793" t="str">
        <f>IF(INDEX(obalCh4Prod3Slot3Active,,xxIndexTeam)=1,INDEX(obalCh4Prod3Slot3Pack,,xxIndexTeam),"")</f>
        <v/>
      </c>
      <c r="AH159" s="811" t="s">
        <v>7950</v>
      </c>
      <c r="AI159" s="810"/>
      <c r="AJ159" s="814" t="str">
        <f>nmProd3</f>
        <v>Kara</v>
      </c>
      <c r="AK159" s="793" t="str">
        <f>IF(INDEX(obalCh4Prod3Slot3Active,,xxIndexTeam)=1,INDEX(obalCh4Prod3Slot3Pack,,xxIndexTeam),"")</f>
        <v/>
      </c>
      <c r="AL159" s="811" t="s">
        <v>7951</v>
      </c>
      <c r="AM159" s="554"/>
      <c r="AN159" s="720"/>
      <c r="AO159" s="530" t="s">
        <v>6997</v>
      </c>
      <c r="AP159" s="584"/>
      <c r="AQ159" s="810"/>
      <c r="AR159" s="720"/>
      <c r="AS159" s="817" t="str">
        <f>IF(INDEX(obalCh4Prod2Slot3Active,,xxIndexTeam)=1,INDEX(obalCh4Prod2Slot3AvgSalePrice,,xxIndexTeam),"")</f>
        <v/>
      </c>
      <c r="AT159" s="584" t="s">
        <v>8138</v>
      </c>
      <c r="AU159" s="802"/>
    </row>
    <row r="160" spans="30:47">
      <c r="AD160" s="800"/>
      <c r="AE160" s="810"/>
      <c r="AF160" s="814" t="str">
        <f>nmProd1</f>
        <v>Greenborg</v>
      </c>
      <c r="AG160" s="793" t="str">
        <f>IF(INDEX(obalCh4Prod1Slot1Active,,xxIndexTeam)=1,INDEX(obalCh4Prod1Slot1Pack,,xxIndexTeam),"")</f>
        <v>25Ltr Keg</v>
      </c>
      <c r="AH160" s="811" t="s">
        <v>7952</v>
      </c>
      <c r="AI160" s="810"/>
      <c r="AJ160" s="814" t="str">
        <f>nmProd1</f>
        <v>Greenborg</v>
      </c>
      <c r="AK160" s="793" t="str">
        <f>IF(INDEX(obalCh4Prod1Slot1Active,,xxIndexTeam)=1,INDEX(obalCh4Prod1Slot1Pack,,xxIndexTeam),"")</f>
        <v>25Ltr Keg</v>
      </c>
      <c r="AL160" s="811" t="s">
        <v>7953</v>
      </c>
      <c r="AM160" s="554" t="str">
        <f>nmProd1</f>
        <v>Greenborg</v>
      </c>
      <c r="AN160" s="720" t="s">
        <v>4409</v>
      </c>
      <c r="AO160" s="823">
        <v>0.02</v>
      </c>
      <c r="AP160" s="584" t="s">
        <v>7954</v>
      </c>
      <c r="AQ160" s="810"/>
      <c r="AR160" s="720"/>
      <c r="AS160" s="817" t="str">
        <f>IF(INDEX(obalCh4Prod2Slot3Active,,xxIndexTeam)=1,INDEX(obalCh4Prod2Slot3Promo1Price,,xxIndexTeam),"")</f>
        <v/>
      </c>
      <c r="AT160" s="584" t="s">
        <v>8142</v>
      </c>
      <c r="AU160" s="802"/>
    </row>
    <row r="161" spans="30:47">
      <c r="AD161" s="800"/>
      <c r="AE161" s="810"/>
      <c r="AF161" s="814" t="str">
        <f>nmProd1</f>
        <v>Greenborg</v>
      </c>
      <c r="AG161" s="793" t="str">
        <f>IF(INDEX(obalCh4Prod1Slot2Active,,xxIndexTeam)=1,INDEX(obalCh4Prod1Slot2Pack,,xxIndexTeam),"")</f>
        <v/>
      </c>
      <c r="AH161" s="811" t="s">
        <v>7955</v>
      </c>
      <c r="AI161" s="810"/>
      <c r="AJ161" s="814" t="str">
        <f>nmProd1</f>
        <v>Greenborg</v>
      </c>
      <c r="AK161" s="793" t="str">
        <f>IF(INDEX(obalCh4Prod1Slot2Active,,xxIndexTeam)=1,INDEX(obalCh4Prod1Slot2Pack,,xxIndexTeam),"")</f>
        <v/>
      </c>
      <c r="AL161" s="811" t="s">
        <v>7956</v>
      </c>
      <c r="AM161" s="554"/>
      <c r="AN161" s="720" t="s">
        <v>4408</v>
      </c>
      <c r="AO161" s="827">
        <v>0.02</v>
      </c>
      <c r="AP161" s="584" t="s">
        <v>7957</v>
      </c>
      <c r="AQ161" s="554"/>
      <c r="AR161" s="814" t="str">
        <f>nmProd3&amp;" Slot1"</f>
        <v>Kara Slot1</v>
      </c>
      <c r="AS161" s="818" t="str">
        <f>IF(INDEX(obalCh4Prod3Slot1Active,,xxIndexTeam)=1,nmProd3&amp;" - "&amp;INDEX(obalCh4Prod3Slot1Pack,,xxIndexTeam),"")</f>
        <v>Kara - 25Ltr Keg</v>
      </c>
      <c r="AT161" s="811" t="s">
        <v>8146</v>
      </c>
      <c r="AU161" s="802"/>
    </row>
    <row r="162" spans="30:47">
      <c r="AD162" s="800"/>
      <c r="AE162" s="810"/>
      <c r="AF162" s="814" t="str">
        <f>nmProd1</f>
        <v>Greenborg</v>
      </c>
      <c r="AG162" s="793" t="str">
        <f>IF(INDEX(obalCh4Prod1Slot3Active,,xxIndexTeam)=1,INDEX(obalCh4Prod1Slot3Pack,,xxIndexTeam),"")</f>
        <v/>
      </c>
      <c r="AH162" s="811" t="s">
        <v>7958</v>
      </c>
      <c r="AI162" s="810"/>
      <c r="AJ162" s="814" t="str">
        <f>nmProd1</f>
        <v>Greenborg</v>
      </c>
      <c r="AK162" s="793" t="str">
        <f>IF(INDEX(obalCh4Prod1Slot3Active,,xxIndexTeam)=1,INDEX(obalCh4Prod1Slot3Pack,,xxIndexTeam),"")</f>
        <v/>
      </c>
      <c r="AL162" s="811" t="s">
        <v>7959</v>
      </c>
      <c r="AM162" s="554" t="str">
        <f>nmProd2</f>
        <v>Harken</v>
      </c>
      <c r="AN162" s="720" t="s">
        <v>4409</v>
      </c>
      <c r="AO162" s="827">
        <v>0.03</v>
      </c>
      <c r="AP162" s="584" t="s">
        <v>7960</v>
      </c>
      <c r="AQ162" s="554"/>
      <c r="AR162" s="720"/>
      <c r="AS162" s="817">
        <f>IF(INDEX(obalCh4Prod3Slot1Active,,xxIndexTeam)=1,INDEX(obalCh4Prod3Slot1CustPrice,,xxIndexTeam),"")</f>
        <v>7.2</v>
      </c>
      <c r="AT162" s="584" t="s">
        <v>8150</v>
      </c>
      <c r="AU162" s="802"/>
    </row>
    <row r="163" spans="30:47">
      <c r="AD163" s="800"/>
      <c r="AE163" s="810"/>
      <c r="AF163" s="814" t="str">
        <f>nmProd4</f>
        <v>Brew Master</v>
      </c>
      <c r="AG163" s="793" t="str">
        <f>IF(INDEX(obalCh4Prod4Slot1Active,,xxIndexTeam)=1,INDEX(obalCh4Prod4Slot1Pack,,xxIndexTeam),"")</f>
        <v>33cl Bottle</v>
      </c>
      <c r="AH163" s="811" t="s">
        <v>7961</v>
      </c>
      <c r="AI163" s="810"/>
      <c r="AJ163" s="814" t="str">
        <f>nmProd4</f>
        <v>Brew Master</v>
      </c>
      <c r="AK163" s="793" t="str">
        <f>IF(INDEX(obalCh4Prod4Slot1Active,,xxIndexTeam)=1,INDEX(obalCh4Prod4Slot1Pack,,xxIndexTeam),"")</f>
        <v>33cl Bottle</v>
      </c>
      <c r="AL163" s="811" t="s">
        <v>7962</v>
      </c>
      <c r="AM163" s="554"/>
      <c r="AN163" s="720" t="s">
        <v>4408</v>
      </c>
      <c r="AO163" s="827">
        <v>0.03</v>
      </c>
      <c r="AP163" s="584" t="s">
        <v>7963</v>
      </c>
      <c r="AQ163" s="554"/>
      <c r="AR163" s="720"/>
      <c r="AS163" s="817">
        <f>IF(INDEX(obalCh4Prod3Slot1Active,,xxIndexTeam)=1,INDEX(obalCh4Prod3Slot1AvgPrice,,xxIndexTeam),"")</f>
        <v>7.2</v>
      </c>
      <c r="AT163" s="584" t="s">
        <v>8154</v>
      </c>
      <c r="AU163" s="802"/>
    </row>
    <row r="164" spans="30:47">
      <c r="AD164" s="800"/>
      <c r="AE164" s="810"/>
      <c r="AF164" s="814" t="str">
        <f>nmProd4</f>
        <v>Brew Master</v>
      </c>
      <c r="AG164" s="793" t="str">
        <f>IF(INDEX(obalCh4Prod4Slot2Active,,xxIndexTeam)=1,INDEX(obalCh4Prod4Slot2Pack,,xxIndexTeam),"")</f>
        <v/>
      </c>
      <c r="AH164" s="811" t="s">
        <v>7964</v>
      </c>
      <c r="AI164" s="810"/>
      <c r="AJ164" s="814" t="str">
        <f>nmProd4</f>
        <v>Brew Master</v>
      </c>
      <c r="AK164" s="793" t="str">
        <f>IF(INDEX(obalCh4Prod4Slot2Active,,xxIndexTeam)=1,INDEX(obalCh4Prod4Slot2Pack,,xxIndexTeam),"")</f>
        <v/>
      </c>
      <c r="AL164" s="811" t="s">
        <v>7965</v>
      </c>
      <c r="AM164" s="554" t="str">
        <f>nmProd3</f>
        <v>Kara</v>
      </c>
      <c r="AN164" s="720" t="s">
        <v>4409</v>
      </c>
      <c r="AO164" s="827">
        <v>0.02</v>
      </c>
      <c r="AP164" s="584" t="s">
        <v>7966</v>
      </c>
      <c r="AQ164" s="554"/>
      <c r="AR164" s="720"/>
      <c r="AS164" s="817">
        <f>IF(INDEX(obalCh4Prod3Slot1Active,,xxIndexTeam)=1,INDEX(obalCh4Prod3Slot1Promo1Price,,xxIndexTeam),"")</f>
        <v>7.2</v>
      </c>
      <c r="AT164" s="584" t="s">
        <v>8158</v>
      </c>
      <c r="AU164" s="802"/>
    </row>
    <row r="165" spans="30:47">
      <c r="AD165" s="800"/>
      <c r="AE165" s="810"/>
      <c r="AF165" s="814" t="str">
        <f>nmProd4</f>
        <v>Brew Master</v>
      </c>
      <c r="AG165" s="793" t="str">
        <f>IF(INDEX(obalCh4Prod4Slot3Active,,xxIndexTeam)=1,INDEX(obalCh4Prod4Slot3Pack,,xxIndexTeam),"")</f>
        <v/>
      </c>
      <c r="AH165" s="811" t="s">
        <v>7967</v>
      </c>
      <c r="AI165" s="810"/>
      <c r="AJ165" s="814" t="str">
        <f>nmProd4</f>
        <v>Brew Master</v>
      </c>
      <c r="AK165" s="793" t="str">
        <f>IF(INDEX(obalCh4Prod4Slot3Active,,xxIndexTeam)=1,INDEX(obalCh4Prod4Slot3Pack,,xxIndexTeam),"")</f>
        <v/>
      </c>
      <c r="AL165" s="811" t="s">
        <v>7968</v>
      </c>
      <c r="AM165" s="554"/>
      <c r="AN165" s="720" t="s">
        <v>4408</v>
      </c>
      <c r="AO165" s="827">
        <v>0.02</v>
      </c>
      <c r="AP165" s="584" t="s">
        <v>7969</v>
      </c>
      <c r="AQ165" s="554"/>
      <c r="AR165" s="814" t="str">
        <f>nmProd3&amp;" Slot2"</f>
        <v>Kara Slot2</v>
      </c>
      <c r="AS165" s="818" t="str">
        <f>IF(INDEX(obalCh4Prod3Slot2Active,,xxIndexTeam)=1,nmProd3&amp;" - "&amp;INDEX(obalCh4Prod3Slot2Pack,,xxIndexTeam),"")</f>
        <v/>
      </c>
      <c r="AT165" s="811" t="s">
        <v>8161</v>
      </c>
      <c r="AU165" s="802"/>
    </row>
    <row r="166" spans="30:47">
      <c r="AD166" s="800"/>
      <c r="AE166" s="810"/>
      <c r="AF166" s="814"/>
      <c r="AG166" s="793"/>
      <c r="AH166" s="811"/>
      <c r="AI166" s="810"/>
      <c r="AJ166" s="814"/>
      <c r="AK166" s="793"/>
      <c r="AL166" s="811"/>
      <c r="AM166" s="554" t="str">
        <f>nmProd4</f>
        <v>Brew Master</v>
      </c>
      <c r="AN166" s="720" t="s">
        <v>4409</v>
      </c>
      <c r="AO166" s="827">
        <v>0.04</v>
      </c>
      <c r="AP166" s="584" t="s">
        <v>7970</v>
      </c>
      <c r="AQ166" s="554"/>
      <c r="AR166" s="720"/>
      <c r="AS166" s="817" t="str">
        <f>IF(INDEX(obalCh4Prod3Slot2Active,,xxIndexTeam)=1,INDEX(obalCh4Prod3Slot2CustPrice,,xxIndexTeam),"")</f>
        <v/>
      </c>
      <c r="AT166" s="584" t="s">
        <v>8165</v>
      </c>
      <c r="AU166" s="802"/>
    </row>
    <row r="167" spans="30:47" ht="15" thickBot="1">
      <c r="AD167" s="800"/>
      <c r="AE167" s="797" t="s">
        <v>3674</v>
      </c>
      <c r="AF167" s="814"/>
      <c r="AG167" s="814"/>
      <c r="AH167" s="811"/>
      <c r="AI167" s="797" t="s">
        <v>295</v>
      </c>
      <c r="AJ167" s="814"/>
      <c r="AK167" s="814"/>
      <c r="AL167" s="811"/>
      <c r="AM167" s="554"/>
      <c r="AN167" s="720" t="s">
        <v>4408</v>
      </c>
      <c r="AO167" s="830">
        <v>0.04</v>
      </c>
      <c r="AP167" s="584" t="s">
        <v>7971</v>
      </c>
      <c r="AQ167" s="554"/>
      <c r="AR167" s="720"/>
      <c r="AS167" s="817" t="str">
        <f>IF(INDEX(obalCh4Prod3Slot2Active,,xxIndexTeam)=1,INDEX(obalCh4Prod3Slot2AvgPrice,,xxIndexTeam),"")</f>
        <v/>
      </c>
      <c r="AT167" s="584" t="s">
        <v>8167</v>
      </c>
      <c r="AU167" s="802"/>
    </row>
    <row r="168" spans="30:47">
      <c r="AD168" s="800"/>
      <c r="AE168" s="810"/>
      <c r="AF168" s="802"/>
      <c r="AG168" s="793" t="s">
        <v>1406</v>
      </c>
      <c r="AH168" s="811" t="s">
        <v>7972</v>
      </c>
      <c r="AI168" s="810"/>
      <c r="AJ168" s="802"/>
      <c r="AK168" s="793" t="s">
        <v>295</v>
      </c>
      <c r="AL168" s="811" t="s">
        <v>7973</v>
      </c>
      <c r="AM168" s="832" t="str">
        <f>nmSeg2</f>
        <v>Celebrating &amp; Fun</v>
      </c>
      <c r="AN168" s="720"/>
      <c r="AO168" s="720"/>
      <c r="AP168" s="584"/>
      <c r="AQ168" s="554"/>
      <c r="AR168" s="720"/>
      <c r="AS168" s="817" t="str">
        <f>IF(INDEX(obalCh4Prod3Slot2Active,,xxIndexTeam)=1,INDEX(obalCh4Prod3Slot2Promo1Price,,xxIndexTeam),"")</f>
        <v/>
      </c>
      <c r="AT168" s="584" t="s">
        <v>8169</v>
      </c>
      <c r="AU168" s="802"/>
    </row>
    <row r="169" spans="30:47" ht="15" thickBot="1">
      <c r="AD169" s="800"/>
      <c r="AE169" s="810"/>
      <c r="AF169" s="814" t="str">
        <f>nmProd2</f>
        <v>Harken</v>
      </c>
      <c r="AG169" s="794">
        <f>IF(INDEX(obalCh4Prod2Slot1Active,,xxIndexTeam)=1,INDEX(obalCh4Prod2Slot1WD,,xxIndexTeam),"")</f>
        <v>0.78</v>
      </c>
      <c r="AH169" s="811" t="s">
        <v>7974</v>
      </c>
      <c r="AI169" s="810"/>
      <c r="AJ169" s="814" t="str">
        <f>nmProd2</f>
        <v>Harken</v>
      </c>
      <c r="AK169" s="799">
        <f>IF(INDEX(obalCh4Prod2Slot1Active,,xxIndexTeam)=1,INDEX(obalCh4Prod2Slot1SoldVol,,xxIndexTeam),"")</f>
        <v>36197733.829989143</v>
      </c>
      <c r="AL169" s="811" t="s">
        <v>7975</v>
      </c>
      <c r="AM169" s="554"/>
      <c r="AN169" s="720"/>
      <c r="AO169" s="530" t="s">
        <v>295</v>
      </c>
      <c r="AP169" s="584"/>
      <c r="AQ169" s="554"/>
      <c r="AR169" s="814" t="str">
        <f>nmProd3&amp;" Slot3"</f>
        <v>Kara Slot3</v>
      </c>
      <c r="AS169" s="818" t="str">
        <f>IF(INDEX(obalCh4Prod3Slot3Active,,xxIndexTeam)=1,nmProd3&amp;" - "&amp;INDEX(obalCh4Prod3Slot3Pack,,xxIndexTeam),"")</f>
        <v/>
      </c>
      <c r="AT169" s="811" t="s">
        <v>8173</v>
      </c>
      <c r="AU169" s="802"/>
    </row>
    <row r="170" spans="30:47">
      <c r="AD170" s="800"/>
      <c r="AE170" s="810"/>
      <c r="AF170" s="814" t="str">
        <f>nmProd2</f>
        <v>Harken</v>
      </c>
      <c r="AG170" s="794" t="str">
        <f>IF(INDEX(obalCh4Prod2Slot2Active,,xxIndexTeam)=1,INDEX(obalCh4Prod2Slot2WD,,xxIndexTeam),"")</f>
        <v/>
      </c>
      <c r="AH170" s="811" t="s">
        <v>7976</v>
      </c>
      <c r="AI170" s="810"/>
      <c r="AJ170" s="814" t="str">
        <f>nmProd2</f>
        <v>Harken</v>
      </c>
      <c r="AK170" s="799" t="str">
        <f>IF(INDEX(obalCh4Prod2Slot2Active,,xxIndexTeam)=1,INDEX(obalCh4Prod2Slot2SoldVol,,xxIndexTeam),"")</f>
        <v/>
      </c>
      <c r="AL170" s="811" t="s">
        <v>7977</v>
      </c>
      <c r="AM170" s="554" t="str">
        <f>nmProd1</f>
        <v>Greenborg</v>
      </c>
      <c r="AN170" s="720" t="s">
        <v>4409</v>
      </c>
      <c r="AO170" s="824">
        <v>291000000</v>
      </c>
      <c r="AP170" s="584" t="s">
        <v>7978</v>
      </c>
      <c r="AQ170" s="554"/>
      <c r="AR170" s="720"/>
      <c r="AS170" s="817" t="str">
        <f>IF(INDEX(obalCh4Prod3Slot3Active,,xxIndexTeam)=1,INDEX(obalCh4Prod1Slot3CustPrice,,xxIndexTeam),"")</f>
        <v/>
      </c>
      <c r="AT170" s="584" t="s">
        <v>8177</v>
      </c>
      <c r="AU170" s="802"/>
    </row>
    <row r="171" spans="30:47">
      <c r="AD171" s="800"/>
      <c r="AE171" s="810"/>
      <c r="AF171" s="814" t="str">
        <f>nmProd2</f>
        <v>Harken</v>
      </c>
      <c r="AG171" s="794" t="str">
        <f>IF(INDEX(obalCh4Prod2Slot3Active,,xxIndexTeam)=1,INDEX(obalCh4Prod2Slot3WD,,xxIndexTeam),"")</f>
        <v/>
      </c>
      <c r="AH171" s="811" t="s">
        <v>7979</v>
      </c>
      <c r="AI171" s="810"/>
      <c r="AJ171" s="814" t="str">
        <f>nmProd2</f>
        <v>Harken</v>
      </c>
      <c r="AK171" s="799" t="str">
        <f>IF(INDEX(obalCh4Prod2Slot3Active,,xxIndexTeam)=1,INDEX(obalCh4Prod2Slot3SoldVol,,xxIndexTeam),"")</f>
        <v/>
      </c>
      <c r="AL171" s="811" t="s">
        <v>7980</v>
      </c>
      <c r="AM171" s="554"/>
      <c r="AN171" s="720" t="s">
        <v>4408</v>
      </c>
      <c r="AO171" s="815">
        <f>AO170*0.2</f>
        <v>58200000</v>
      </c>
      <c r="AP171" s="584" t="s">
        <v>7981</v>
      </c>
      <c r="AQ171" s="554"/>
      <c r="AR171" s="720"/>
      <c r="AS171" s="817" t="str">
        <f>IF(INDEX(obalCh4Prod3Slot3Active,,xxIndexTeam)=1,INDEX(obalCh4Prod3Slot3AvgPrice,,xxIndexTeam),"")</f>
        <v/>
      </c>
      <c r="AT171" s="584" t="s">
        <v>8181</v>
      </c>
      <c r="AU171" s="802"/>
    </row>
    <row r="172" spans="30:47">
      <c r="AD172" s="800"/>
      <c r="AE172" s="810"/>
      <c r="AF172" s="814" t="str">
        <f>nmProd3</f>
        <v>Kara</v>
      </c>
      <c r="AG172" s="794">
        <f>IF(INDEX(obalCh4Prod3Slot1Active,,xxIndexTeam)=1,INDEX(obalCh4Prod3Slot1WD,,xxIndexTeam),"")</f>
        <v>0.78</v>
      </c>
      <c r="AH172" s="811" t="s">
        <v>7982</v>
      </c>
      <c r="AI172" s="810"/>
      <c r="AJ172" s="814" t="str">
        <f>nmProd3</f>
        <v>Kara</v>
      </c>
      <c r="AK172" s="799">
        <f>IF(INDEX(obalCh4Prod3Slot1Active,,xxIndexTeam)=1,INDEX(obalCh4Prod3Slot1SoldVol,,xxIndexTeam),"")</f>
        <v>21778586.864455305</v>
      </c>
      <c r="AL172" s="811" t="s">
        <v>7983</v>
      </c>
      <c r="AM172" s="554" t="str">
        <f>nmProd2</f>
        <v>Harken</v>
      </c>
      <c r="AN172" s="720" t="s">
        <v>4409</v>
      </c>
      <c r="AO172" s="815">
        <v>145500000</v>
      </c>
      <c r="AP172" s="584" t="s">
        <v>7984</v>
      </c>
      <c r="AQ172" s="554"/>
      <c r="AR172" s="720"/>
      <c r="AS172" s="817" t="str">
        <f>IF(INDEX(obalCh4Prod3Slot3Active,,xxIndexTeam)=1,INDEX(obalCh4Prod3Slot3Promo1Price,,xxIndexTeam),"")</f>
        <v/>
      </c>
      <c r="AT172" s="584" t="s">
        <v>8185</v>
      </c>
      <c r="AU172" s="802"/>
    </row>
    <row r="173" spans="30:47">
      <c r="AD173" s="800"/>
      <c r="AE173" s="810"/>
      <c r="AF173" s="814" t="str">
        <f>nmProd3</f>
        <v>Kara</v>
      </c>
      <c r="AG173" s="794" t="str">
        <f>IF(INDEX(obalCh4Prod3Slot2Active,,xxIndexTeam)=1,INDEX(obalCh4Prod3Slot2WD,,xxIndexTeam),"")</f>
        <v/>
      </c>
      <c r="AH173" s="811" t="s">
        <v>7985</v>
      </c>
      <c r="AI173" s="810"/>
      <c r="AJ173" s="814" t="str">
        <f>nmProd3</f>
        <v>Kara</v>
      </c>
      <c r="AK173" s="799" t="str">
        <f>IF(INDEX(obalCh4Prod3Slot2Active,,xxIndexTeam)=1,INDEX(obalCh4Prod3Slot1SoldVol,,xxIndexTeam),"")</f>
        <v/>
      </c>
      <c r="AL173" s="811" t="s">
        <v>7986</v>
      </c>
      <c r="AM173" s="554"/>
      <c r="AN173" s="720" t="s">
        <v>4408</v>
      </c>
      <c r="AO173" s="815">
        <f>AO172*0.2</f>
        <v>29100000</v>
      </c>
      <c r="AP173" s="584" t="s">
        <v>7987</v>
      </c>
      <c r="AQ173" s="554"/>
      <c r="AR173" s="814" t="str">
        <f>nmProd1&amp;" Slot1"</f>
        <v>Greenborg Slot1</v>
      </c>
      <c r="AS173" s="818" t="str">
        <f>IF(INDEX(obalCh4Prod1Slot1Active,,xxIndexTeam)=1,nmProd1&amp;" - "&amp;INDEX(obalCh4Prod1Slot1Pack,,xxIndexTeam),0)</f>
        <v>Greenborg - 25Ltr Keg</v>
      </c>
      <c r="AT173" s="811" t="s">
        <v>8189</v>
      </c>
      <c r="AU173" s="802"/>
    </row>
    <row r="174" spans="30:47">
      <c r="AD174" s="800"/>
      <c r="AE174" s="810"/>
      <c r="AF174" s="814" t="str">
        <f>nmProd3</f>
        <v>Kara</v>
      </c>
      <c r="AG174" s="794" t="str">
        <f>IF(INDEX(obalCh4Prod3Slot3Active,,xxIndexTeam)=1,INDEX(obalCh4Prod3Slot3WD,,xxIndexTeam),"")</f>
        <v/>
      </c>
      <c r="AH174" s="811" t="s">
        <v>7988</v>
      </c>
      <c r="AI174" s="810"/>
      <c r="AJ174" s="814" t="str">
        <f>nmProd3</f>
        <v>Kara</v>
      </c>
      <c r="AK174" s="799" t="str">
        <f>IF(INDEX(obalCh4Prod3Slot3Active,,xxIndexTeam)=1,INDEX(obalCh4Prod3Slot3SoldVol,,xxIndexTeam),"")</f>
        <v/>
      </c>
      <c r="AL174" s="811" t="s">
        <v>7989</v>
      </c>
      <c r="AM174" s="554" t="str">
        <f>nmProd3</f>
        <v>Kara</v>
      </c>
      <c r="AN174" s="720" t="s">
        <v>4409</v>
      </c>
      <c r="AO174" s="815">
        <v>242500000</v>
      </c>
      <c r="AP174" s="584" t="s">
        <v>7990</v>
      </c>
      <c r="AQ174" s="554"/>
      <c r="AR174" s="720"/>
      <c r="AS174" s="817">
        <f>IF(INDEX(obalCh4Prod1Slot1Active,,xxIndexTeam)=1,INDEX(obalCh4Prod1Slot1CustPrice,,xxIndexTeam),"")</f>
        <v>7.2</v>
      </c>
      <c r="AT174" s="584" t="s">
        <v>8193</v>
      </c>
      <c r="AU174" s="802"/>
    </row>
    <row r="175" spans="30:47">
      <c r="AD175" s="800"/>
      <c r="AE175" s="810"/>
      <c r="AF175" s="814" t="str">
        <f>nmProd1</f>
        <v>Greenborg</v>
      </c>
      <c r="AG175" s="794">
        <f>IF(INDEX(obalCh4Prod1Slot1Active,,xxIndexTeam)=1,INDEX(obalCh4Prod1Slot1WD,,xxIndexTeam),"")</f>
        <v>0.78</v>
      </c>
      <c r="AH175" s="811" t="s">
        <v>7991</v>
      </c>
      <c r="AI175" s="810"/>
      <c r="AJ175" s="814" t="str">
        <f>nmProd1</f>
        <v>Greenborg</v>
      </c>
      <c r="AK175" s="799">
        <f>IF(INDEX(obalCh4Prod1Slot1Active,,xxIndexTeam)=1,INDEX(obalCh4Prod1Slot1SoldVol,,xxIndexTeam),"")</f>
        <v>49638252.362637356</v>
      </c>
      <c r="AL175" s="811" t="s">
        <v>7992</v>
      </c>
      <c r="AM175" s="554"/>
      <c r="AN175" s="720" t="s">
        <v>4408</v>
      </c>
      <c r="AO175" s="815">
        <f>AO174*0.2</f>
        <v>48500000</v>
      </c>
      <c r="AP175" s="584" t="s">
        <v>7993</v>
      </c>
      <c r="AQ175" s="554"/>
      <c r="AR175" s="720"/>
      <c r="AS175" s="817">
        <f>IF(INDEX(obalCh4Prod1Slot1Active,,xxIndexTeam)=1,INDEX(obalCh4Prod1Slot1AvgPrice,,xxIndexTeam),"")</f>
        <v>6.8499776581464999</v>
      </c>
      <c r="AT175" s="584" t="s">
        <v>8197</v>
      </c>
      <c r="AU175" s="802"/>
    </row>
    <row r="176" spans="30:47">
      <c r="AD176" s="800"/>
      <c r="AE176" s="810"/>
      <c r="AF176" s="814" t="str">
        <f>nmProd1</f>
        <v>Greenborg</v>
      </c>
      <c r="AG176" s="794" t="str">
        <f>IF(INDEX(obalCh4Prod1Slot2Active,,xxIndexTeam)=1,INDEX(obalCh4Prod1Slot2WD,,xxIndexTeam),"")</f>
        <v/>
      </c>
      <c r="AH176" s="811" t="s">
        <v>7994</v>
      </c>
      <c r="AI176" s="810"/>
      <c r="AJ176" s="814" t="str">
        <f>nmProd1</f>
        <v>Greenborg</v>
      </c>
      <c r="AK176" s="799" t="str">
        <f>IF(INDEX(obalCh4Prod1Slot2Active,,xxIndexTeam)=1,INDEX(obalCh4Prod1Slot2SoldVol,,xxIndexTeam),"")</f>
        <v/>
      </c>
      <c r="AL176" s="811" t="s">
        <v>7995</v>
      </c>
      <c r="AM176" s="554" t="str">
        <f>nmProd4</f>
        <v>Brew Master</v>
      </c>
      <c r="AN176" s="720" t="s">
        <v>4409</v>
      </c>
      <c r="AO176" s="815">
        <v>291000000</v>
      </c>
      <c r="AP176" s="584" t="s">
        <v>7996</v>
      </c>
      <c r="AQ176" s="554"/>
      <c r="AR176" s="720"/>
      <c r="AS176" s="817">
        <f>IF(INDEX(obalCh4Prod1Slot1Active,,xxIndexTeam)=1,INDEX(obalCh4Prod1Slot1Promo1Price,,xxIndexTeam),"")</f>
        <v>5.7600000000000007</v>
      </c>
      <c r="AT176" s="584" t="s">
        <v>8201</v>
      </c>
      <c r="AU176" s="802"/>
    </row>
    <row r="177" spans="30:47" ht="15" thickBot="1">
      <c r="AD177" s="800"/>
      <c r="AE177" s="810"/>
      <c r="AF177" s="814" t="str">
        <f>nmProd1</f>
        <v>Greenborg</v>
      </c>
      <c r="AG177" s="794" t="str">
        <f>IF(INDEX(obalCh4Prod1Slot3Active,,xxIndexTeam)=1,INDEX(obalCh4Prod1Slot3WD,,xxIndexTeam),"")</f>
        <v/>
      </c>
      <c r="AH177" s="811" t="s">
        <v>7997</v>
      </c>
      <c r="AI177" s="810"/>
      <c r="AJ177" s="814" t="str">
        <f>nmProd1</f>
        <v>Greenborg</v>
      </c>
      <c r="AK177" s="799" t="str">
        <f>IF(INDEX(obalCh4Prod1Slot3Active,,xxIndexTeam)=1,INDEX(obalCh4Prod1Slot3SoldVol,,xxIndexTeam),"")</f>
        <v/>
      </c>
      <c r="AL177" s="811" t="s">
        <v>7998</v>
      </c>
      <c r="AM177" s="554"/>
      <c r="AN177" s="720" t="s">
        <v>4408</v>
      </c>
      <c r="AO177" s="816">
        <f>AO176*0.2</f>
        <v>58200000</v>
      </c>
      <c r="AP177" s="584" t="s">
        <v>7999</v>
      </c>
      <c r="AQ177" s="554"/>
      <c r="AR177" s="814" t="str">
        <f>nmProd1&amp;" Slot2"</f>
        <v>Greenborg Slot2</v>
      </c>
      <c r="AS177" s="818" t="str">
        <f>IF(INDEX(obalCh4Prod1Slot2Active,,xxIndexTeam)=1,nmProd1&amp;" - "&amp;INDEX(obalCh4Prod1Slot2Pack,,xxIndexTeam),"")</f>
        <v/>
      </c>
      <c r="AT177" s="811" t="s">
        <v>8205</v>
      </c>
      <c r="AU177" s="802"/>
    </row>
    <row r="178" spans="30:47">
      <c r="AD178" s="800"/>
      <c r="AE178" s="810"/>
      <c r="AF178" s="814" t="str">
        <f>nmProd4</f>
        <v>Brew Master</v>
      </c>
      <c r="AG178" s="794">
        <f>IF(INDEX(obalCh4Prod4Slot1Active,,xxIndexTeam)=1,INDEX(obalCh4Prod4Slot1WD,,xxIndexTeam),"")</f>
        <v>0.63000000000000012</v>
      </c>
      <c r="AH178" s="811" t="s">
        <v>8000</v>
      </c>
      <c r="AI178" s="810"/>
      <c r="AJ178" s="814" t="str">
        <f>nmProd4</f>
        <v>Brew Master</v>
      </c>
      <c r="AK178" s="799">
        <f>IF(INDEX(obalCh4Prod4Slot1Active,,xxIndexTeam)=1,INDEX(obalCh4Prod4Slot1SoldVol,,xxIndexTeam),"")</f>
        <v>58335929.540598296</v>
      </c>
      <c r="AL178" s="811" t="s">
        <v>8001</v>
      </c>
      <c r="AM178" s="554"/>
      <c r="AN178" s="720"/>
      <c r="AO178" s="720"/>
      <c r="AP178" s="584"/>
      <c r="AQ178" s="554"/>
      <c r="AR178" s="720"/>
      <c r="AS178" s="817" t="str">
        <f>IF(INDEX(obalCh4Prod1Slot2Active,,xxIndexTeam)=1,INDEX(obalCh4Prod1Slot2CustPrice,,xxIndexTeam),"")</f>
        <v/>
      </c>
      <c r="AT178" s="584" t="s">
        <v>8208</v>
      </c>
      <c r="AU178" s="802"/>
    </row>
    <row r="179" spans="30:47" ht="15" thickBot="1">
      <c r="AD179" s="800"/>
      <c r="AE179" s="810"/>
      <c r="AF179" s="814" t="str">
        <f>nmProd4</f>
        <v>Brew Master</v>
      </c>
      <c r="AG179" s="794" t="str">
        <f>IF(INDEX(obalCh4Prod4Slot2Active,,xxIndexTeam)=1,INDEX(obalCh4Prod4Slot2WD,,xxIndexTeam),"")</f>
        <v/>
      </c>
      <c r="AH179" s="811" t="s">
        <v>8002</v>
      </c>
      <c r="AI179" s="810"/>
      <c r="AJ179" s="814" t="str">
        <f>nmProd4</f>
        <v>Brew Master</v>
      </c>
      <c r="AK179" s="799" t="str">
        <f>IF(INDEX(obalCh4Prod4Slot2Active,,xxIndexTeam)=1,INDEX(obalCh4Prod4Slot2SoldVol,,xxIndexTeam),"")</f>
        <v/>
      </c>
      <c r="AL179" s="811" t="s">
        <v>8003</v>
      </c>
      <c r="AM179" s="554"/>
      <c r="AN179" s="720"/>
      <c r="AO179" s="530" t="s">
        <v>6997</v>
      </c>
      <c r="AP179" s="584"/>
      <c r="AQ179" s="554"/>
      <c r="AR179" s="720"/>
      <c r="AS179" s="817" t="str">
        <f>IF(INDEX(obalCh4Prod1Slot2Active,,xxIndexTeam)=1,INDEX(obalCh4Prod1Slot2AvgPrice,,xxIndexTeam),"")</f>
        <v/>
      </c>
      <c r="AT179" s="584" t="s">
        <v>8212</v>
      </c>
      <c r="AU179" s="802"/>
    </row>
    <row r="180" spans="30:47">
      <c r="AD180" s="800"/>
      <c r="AE180" s="810"/>
      <c r="AF180" s="814" t="str">
        <f>nmProd4</f>
        <v>Brew Master</v>
      </c>
      <c r="AG180" s="794" t="str">
        <f>IF(INDEX(obalCh4Prod4Slot3Active,,xxIndexTeam)=1,INDEX(obalCh4Prod4Slot3WD,,xxIndexTeam),"")</f>
        <v/>
      </c>
      <c r="AH180" s="811" t="s">
        <v>8004</v>
      </c>
      <c r="AI180" s="810"/>
      <c r="AJ180" s="814" t="str">
        <f>nmProd4</f>
        <v>Brew Master</v>
      </c>
      <c r="AK180" s="799" t="str">
        <f>IF(INDEX(obalCh4Prod4Slot3Active,,xxIndexTeam)=1,INDEX(obalCh4Prod4Slot3SoldVol,,xxIndexTeam),"")</f>
        <v/>
      </c>
      <c r="AL180" s="811" t="s">
        <v>8005</v>
      </c>
      <c r="AM180" s="554" t="str">
        <f>nmProd1</f>
        <v>Greenborg</v>
      </c>
      <c r="AN180" s="720" t="s">
        <v>4409</v>
      </c>
      <c r="AO180" s="823">
        <v>0.06</v>
      </c>
      <c r="AP180" s="584" t="s">
        <v>8006</v>
      </c>
      <c r="AQ180" s="554"/>
      <c r="AR180" s="720"/>
      <c r="AS180" s="817" t="str">
        <f>IF(INDEX(obalCh4Prod1Slot2Active,,xxIndexTeam)=1,INDEX(obalCh4Prod1Slot2Promo1Price,,xxIndexTeam),"")</f>
        <v/>
      </c>
      <c r="AT180" s="584" t="s">
        <v>8216</v>
      </c>
      <c r="AU180" s="802"/>
    </row>
    <row r="181" spans="30:47">
      <c r="AD181" s="800"/>
      <c r="AE181" s="810"/>
      <c r="AF181" s="814"/>
      <c r="AG181" s="794"/>
      <c r="AH181" s="811"/>
      <c r="AI181" s="810"/>
      <c r="AJ181" s="814"/>
      <c r="AK181" s="794"/>
      <c r="AL181" s="811"/>
      <c r="AM181" s="554"/>
      <c r="AN181" s="720" t="s">
        <v>4408</v>
      </c>
      <c r="AO181" s="827">
        <v>0.06</v>
      </c>
      <c r="AP181" s="584" t="s">
        <v>8007</v>
      </c>
      <c r="AQ181" s="554"/>
      <c r="AR181" s="814" t="str">
        <f>nmProd1&amp;" Slot3"</f>
        <v>Greenborg Slot3</v>
      </c>
      <c r="AS181" s="818" t="str">
        <f>IF(INDEX(obalCh4Prod1Slot3Active,,xxIndexTeam)=1,nmProd1&amp;" - "&amp;INDEX(obalCh4Prod1Slot3Pack,,xxIndexTeam),"")</f>
        <v/>
      </c>
      <c r="AT181" s="811" t="s">
        <v>8220</v>
      </c>
      <c r="AU181" s="802"/>
    </row>
    <row r="182" spans="30:47">
      <c r="AD182" s="800"/>
      <c r="AE182" s="797" t="s">
        <v>4407</v>
      </c>
      <c r="AF182" s="814"/>
      <c r="AG182" s="795"/>
      <c r="AH182" s="811"/>
      <c r="AI182" s="797" t="s">
        <v>151</v>
      </c>
      <c r="AJ182" s="814"/>
      <c r="AK182" s="795"/>
      <c r="AL182" s="811"/>
      <c r="AM182" s="554" t="str">
        <f>nmProd2</f>
        <v>Harken</v>
      </c>
      <c r="AN182" s="720" t="s">
        <v>4409</v>
      </c>
      <c r="AO182" s="827">
        <v>0.03</v>
      </c>
      <c r="AP182" s="584" t="s">
        <v>8008</v>
      </c>
      <c r="AQ182" s="554"/>
      <c r="AR182" s="720"/>
      <c r="AS182" s="817" t="str">
        <f>IF(INDEX(obalCh4Prod1Slot3Active,,xxIndexTeam)=1,INDEX(calcCh4Prod1Slot3CustPrice,,xxIndexTeam),"")</f>
        <v/>
      </c>
      <c r="AT182" s="584" t="s">
        <v>8222</v>
      </c>
      <c r="AU182" s="802"/>
    </row>
    <row r="183" spans="30:47">
      <c r="AD183" s="800"/>
      <c r="AE183" s="810"/>
      <c r="AF183" s="802"/>
      <c r="AG183" s="793" t="s">
        <v>4407</v>
      </c>
      <c r="AH183" s="811" t="s">
        <v>8009</v>
      </c>
      <c r="AI183" s="810"/>
      <c r="AJ183" s="802"/>
      <c r="AK183" s="793" t="s">
        <v>151</v>
      </c>
      <c r="AL183" s="811" t="s">
        <v>8010</v>
      </c>
      <c r="AM183" s="554"/>
      <c r="AN183" s="720" t="s">
        <v>4408</v>
      </c>
      <c r="AO183" s="827">
        <v>0.03</v>
      </c>
      <c r="AP183" s="584" t="s">
        <v>8011</v>
      </c>
      <c r="AQ183" s="554"/>
      <c r="AR183" s="720"/>
      <c r="AS183" s="817" t="str">
        <f>IF(INDEX(obalCh4Prod1Slot3Active,,xxIndexTeam)=1,INDEX(obalCh4Prod1Slot3AvgPrice,,xxIndexTeam),"")</f>
        <v/>
      </c>
      <c r="AT183" s="584" t="s">
        <v>8224</v>
      </c>
      <c r="AU183" s="802"/>
    </row>
    <row r="184" spans="30:47">
      <c r="AD184" s="800"/>
      <c r="AE184" s="810"/>
      <c r="AF184" s="814" t="str">
        <f>nmProd2</f>
        <v>Harken</v>
      </c>
      <c r="AG184" s="798">
        <f>IF(INDEX(obalCh4Prod2Slot1Active,,xxIndexTeam)=1,INDEX(obalCh4Prod2Slot1GPaL,,xxIndexTeam)/tlOutputCh4Analytic1Chart1XValue1,"")</f>
        <v>42492425.402665228</v>
      </c>
      <c r="AH184" s="811" t="s">
        <v>8012</v>
      </c>
      <c r="AI184" s="810"/>
      <c r="AJ184" s="814" t="str">
        <f>nmProd2</f>
        <v>Harken</v>
      </c>
      <c r="AK184" s="533">
        <f>INDEX(calcCh4Prod2Slot1PriceDif,,xxIndexTeam)</f>
        <v>-5.381684128090769E-2</v>
      </c>
      <c r="AL184" s="811" t="s">
        <v>8013</v>
      </c>
      <c r="AM184" s="554" t="str">
        <f>nmProd3</f>
        <v>Kara</v>
      </c>
      <c r="AN184" s="720" t="s">
        <v>4409</v>
      </c>
      <c r="AO184" s="827">
        <v>0.05</v>
      </c>
      <c r="AP184" s="584" t="s">
        <v>8014</v>
      </c>
      <c r="AQ184" s="554"/>
      <c r="AR184" s="720"/>
      <c r="AS184" s="817" t="str">
        <f>IF(INDEX(obalCh4Prod1Slot3Active,,xxIndexTeam)=1,INDEX(obalCh4Prod1Slot3Promo1Price,,xxIndexTeam),"")</f>
        <v/>
      </c>
      <c r="AT184" s="584" t="s">
        <v>8228</v>
      </c>
      <c r="AU184" s="802"/>
    </row>
    <row r="185" spans="30:47">
      <c r="AD185" s="800"/>
      <c r="AE185" s="810"/>
      <c r="AF185" s="814" t="str">
        <f>nmProd2</f>
        <v>Harken</v>
      </c>
      <c r="AG185" s="798" t="str">
        <f>IF(INDEX(obalCh4Prod2Slot2Active,,xxIndexTeam)=1,INDEX(obalCh4Prod2Slot2GPaL,,xxIndexTeam)/tlOutputCh4Analytic1Chart1XValue2,"")</f>
        <v/>
      </c>
      <c r="AH185" s="811" t="s">
        <v>8015</v>
      </c>
      <c r="AI185" s="810"/>
      <c r="AJ185" s="814" t="str">
        <f>nmProd2</f>
        <v>Harken</v>
      </c>
      <c r="AK185" s="533" t="str">
        <f>INDEX(calcCh4Prod2Slot2PriceDif,,xxIndexTeam)</f>
        <v/>
      </c>
      <c r="AL185" s="811" t="s">
        <v>8016</v>
      </c>
      <c r="AM185" s="554"/>
      <c r="AN185" s="720" t="s">
        <v>4408</v>
      </c>
      <c r="AO185" s="827">
        <v>0.05</v>
      </c>
      <c r="AP185" s="584" t="s">
        <v>8017</v>
      </c>
      <c r="AQ185" s="554"/>
      <c r="AR185" s="814" t="str">
        <f>nmProd4&amp;" Slot1"</f>
        <v>Brew Master Slot1</v>
      </c>
      <c r="AS185" s="818" t="str">
        <f>IF(INDEX(obalCh4Prod4Slot1Active,,xxIndexTeam)=1,nmProd4&amp;" - "&amp;INDEX(obalCh4Prod4Slot1Pack,,xxIndexTeam),"")</f>
        <v>Brew Master - 33cl Bottle</v>
      </c>
      <c r="AT185" s="811" t="s">
        <v>8232</v>
      </c>
      <c r="AU185" s="802"/>
    </row>
    <row r="186" spans="30:47">
      <c r="AD186" s="800"/>
      <c r="AE186" s="810"/>
      <c r="AF186" s="814" t="str">
        <f>nmProd2</f>
        <v>Harken</v>
      </c>
      <c r="AG186" s="798" t="str">
        <f>IF(INDEX(obalCh4Prod2Slot3Active,,xxIndexTeam)=1,INDEX(obalCh4Prod2Slot3GPaL,,xxIndexTeam)/tlOutputCh4Analytic1Chart1XValue3,"")</f>
        <v/>
      </c>
      <c r="AH186" s="811" t="s">
        <v>8018</v>
      </c>
      <c r="AI186" s="810"/>
      <c r="AJ186" s="814" t="str">
        <f>nmProd2</f>
        <v>Harken</v>
      </c>
      <c r="AK186" s="533" t="str">
        <f>INDEX(calcCh4Prod2Slot3PriceDif,,xxIndexTeam)</f>
        <v/>
      </c>
      <c r="AL186" s="811" t="s">
        <v>8019</v>
      </c>
      <c r="AM186" s="554" t="str">
        <f>nmProd4</f>
        <v>Brew Master</v>
      </c>
      <c r="AN186" s="720" t="s">
        <v>4409</v>
      </c>
      <c r="AO186" s="827">
        <v>0.06</v>
      </c>
      <c r="AP186" s="584" t="s">
        <v>8020</v>
      </c>
      <c r="AQ186" s="554"/>
      <c r="AR186" s="720"/>
      <c r="AS186" s="817">
        <f>IF(INDEX(obalCh4Prod4Slot1Active,,xxIndexTeam)=1,INDEX(obalCh4Prod4Slot1CustPrice,,xxIndexTeam),"")</f>
        <v>8.35</v>
      </c>
      <c r="AT186" s="584" t="s">
        <v>8236</v>
      </c>
      <c r="AU186" s="802"/>
    </row>
    <row r="187" spans="30:47" ht="15" thickBot="1">
      <c r="AD187" s="800"/>
      <c r="AE187" s="810"/>
      <c r="AF187" s="814" t="str">
        <f>nmProd3</f>
        <v>Kara</v>
      </c>
      <c r="AG187" s="798">
        <f>IF(INDEX(obalCh4Prod3Slot1Active,,xxIndexTeam)=1,INDEX(obalCh4Prod3Slot1GPaL,,xxIndexTeam)/tlOutputCh4Analytic1Chart1XValue4,"")</f>
        <v>70631384.737661242</v>
      </c>
      <c r="AH187" s="811" t="s">
        <v>8021</v>
      </c>
      <c r="AI187" s="810"/>
      <c r="AJ187" s="814" t="str">
        <f>nmProd3</f>
        <v>Kara</v>
      </c>
      <c r="AK187" s="533">
        <f>INDEX(calcCh4Prod3Slot1PriceDif,,xxIndexTeam)</f>
        <v>-5.381684128090769E-2</v>
      </c>
      <c r="AL187" s="811" t="s">
        <v>8022</v>
      </c>
      <c r="AM187" s="554"/>
      <c r="AN187" s="720" t="s">
        <v>4408</v>
      </c>
      <c r="AO187" s="830">
        <v>0.06</v>
      </c>
      <c r="AP187" s="584" t="s">
        <v>8023</v>
      </c>
      <c r="AQ187" s="554"/>
      <c r="AR187" s="720"/>
      <c r="AS187" s="817">
        <f>IF(INDEX(obalCh4Prod4Slot1Active,,xxIndexTeam)=1,INDEX(obalCh4Prod4Slot1AvgPrice,,xxIndexTeam),"")</f>
        <v>8.1294899959560087</v>
      </c>
      <c r="AT187" s="584" t="s">
        <v>8240</v>
      </c>
      <c r="AU187" s="802"/>
    </row>
    <row r="188" spans="30:47">
      <c r="AD188" s="800"/>
      <c r="AE188" s="810"/>
      <c r="AF188" s="814" t="str">
        <f>nmProd3</f>
        <v>Kara</v>
      </c>
      <c r="AG188" s="798" t="str">
        <f>IF(INDEX(obalCh4Prod3Slot2Active,,xxIndexTeam)=1,INDEX(obalCh4Prod3Slot2GPaL,,xxIndexTeam)/tlOutputCh4Analytic1Chart1XValue5,"")</f>
        <v/>
      </c>
      <c r="AH188" s="811" t="s">
        <v>8024</v>
      </c>
      <c r="AI188" s="810"/>
      <c r="AJ188" s="814" t="str">
        <f>nmProd3</f>
        <v>Kara</v>
      </c>
      <c r="AK188" s="533" t="str">
        <f>INDEX(calcCh4Prod3Slot2PriceDif,,xxIndexTeam)</f>
        <v/>
      </c>
      <c r="AL188" s="811" t="s">
        <v>8025</v>
      </c>
      <c r="AM188" s="832" t="str">
        <f>nmSeg3</f>
        <v>Relax &amp; Unwind</v>
      </c>
      <c r="AN188" s="720"/>
      <c r="AO188" s="720"/>
      <c r="AP188" s="584"/>
      <c r="AQ188" s="554"/>
      <c r="AR188" s="720"/>
      <c r="AS188" s="817">
        <f>IF(INDEX(obalCh4Prod4Slot1Active,,xxIndexTeam)=1,INDEX(obalCh4Prod4Slot1Promo1Price,,xxIndexTeam),"")</f>
        <v>6.68</v>
      </c>
      <c r="AT188" s="584" t="s">
        <v>8244</v>
      </c>
      <c r="AU188" s="802"/>
    </row>
    <row r="189" spans="30:47" ht="15" thickBot="1">
      <c r="AD189" s="800"/>
      <c r="AE189" s="810"/>
      <c r="AF189" s="814" t="str">
        <f>nmProd3</f>
        <v>Kara</v>
      </c>
      <c r="AG189" s="798" t="str">
        <f>IF(INDEX(obalCh4Prod3Slot3Active,,xxIndexTeam)=1,INDEX(obalCh4Prod3Slot3GPaL,,xxIndexTeam)/tlOutputCh4Analytic1Chart1XValue6,"")</f>
        <v/>
      </c>
      <c r="AH189" s="811" t="s">
        <v>8026</v>
      </c>
      <c r="AI189" s="810"/>
      <c r="AJ189" s="814" t="str">
        <f>nmProd3</f>
        <v>Kara</v>
      </c>
      <c r="AK189" s="533" t="str">
        <f>INDEX(calcCh4Prod3Slot3PriceDif,,xxIndexTeam)</f>
        <v/>
      </c>
      <c r="AL189" s="811" t="s">
        <v>8027</v>
      </c>
      <c r="AM189" s="554"/>
      <c r="AN189" s="720"/>
      <c r="AO189" s="530" t="s">
        <v>295</v>
      </c>
      <c r="AP189" s="584"/>
      <c r="AQ189" s="554"/>
      <c r="AR189" s="814" t="str">
        <f>nmProd4&amp;" Slot2"</f>
        <v>Brew Master Slot2</v>
      </c>
      <c r="AS189" s="818" t="str">
        <f>IF(INDEX(obalCh4Prod4Slot2Active,,xxIndexTeam)=1,nmProd4&amp;" - "&amp;INDEX(obalCh4Prod4Slot2Pack,,xxIndexTeam),"")</f>
        <v/>
      </c>
      <c r="AT189" s="811" t="s">
        <v>8248</v>
      </c>
      <c r="AU189" s="802"/>
    </row>
    <row r="190" spans="30:47">
      <c r="AD190" s="800"/>
      <c r="AE190" s="810"/>
      <c r="AF190" s="814" t="str">
        <f>nmProd1</f>
        <v>Greenborg</v>
      </c>
      <c r="AG190" s="798">
        <f>IF(INDEX(obalCh4Prod1Slot1Active,,xxIndexTeam)=1,INDEX(obalCh4Prod1Slot1GPaL,,xxIndexTeam)/tlOutputCh4Analytic1Chart1XValue7,"")</f>
        <v>141222370.2911036</v>
      </c>
      <c r="AH190" s="811" t="s">
        <v>8028</v>
      </c>
      <c r="AI190" s="810"/>
      <c r="AJ190" s="814" t="str">
        <f>nmProd1</f>
        <v>Greenborg</v>
      </c>
      <c r="AK190" s="533">
        <f>INDEX(calcCh4Prod1Slot1PriceDif,,xxIndexTeam)</f>
        <v>-5.381684128090769E-2</v>
      </c>
      <c r="AL190" s="811" t="s">
        <v>8029</v>
      </c>
      <c r="AM190" s="554" t="str">
        <f>nmProd1</f>
        <v>Greenborg</v>
      </c>
      <c r="AN190" s="720" t="s">
        <v>4409</v>
      </c>
      <c r="AO190" s="824">
        <v>291000000</v>
      </c>
      <c r="AP190" s="584" t="s">
        <v>8030</v>
      </c>
      <c r="AQ190" s="554"/>
      <c r="AR190" s="720"/>
      <c r="AS190" s="817" t="str">
        <f>IF(INDEX(obalCh4Prod4Slot2Active,,xxIndexTeam)=1,INDEX(obalCh4Prod4Slot2CustPrice,,xxIndexTeam),"")</f>
        <v/>
      </c>
      <c r="AT190" s="584" t="s">
        <v>8252</v>
      </c>
      <c r="AU190" s="802"/>
    </row>
    <row r="191" spans="30:47">
      <c r="AD191" s="800"/>
      <c r="AE191" s="810"/>
      <c r="AF191" s="814" t="str">
        <f>nmProd1</f>
        <v>Greenborg</v>
      </c>
      <c r="AG191" s="798" t="str">
        <f>IF(INDEX(obalCh4Prod1Slot2Active,,xxIndexTeam)=1,INDEX(obalCh4Prod1Slot2GPaL,,xxIndexTeam)/tlOutputCh4Analytic1Chart1XValue8,"")</f>
        <v/>
      </c>
      <c r="AH191" s="811" t="s">
        <v>8031</v>
      </c>
      <c r="AI191" s="810"/>
      <c r="AJ191" s="814" t="str">
        <f>nmProd1</f>
        <v>Greenborg</v>
      </c>
      <c r="AK191" s="533" t="str">
        <f>INDEX(calcCh4Prod1Slot2PriceDif,,xxIndexTeam)</f>
        <v/>
      </c>
      <c r="AL191" s="811" t="s">
        <v>8032</v>
      </c>
      <c r="AM191" s="554"/>
      <c r="AN191" s="720" t="s">
        <v>4408</v>
      </c>
      <c r="AO191" s="815">
        <f>AO190*0.2</f>
        <v>58200000</v>
      </c>
      <c r="AP191" s="584" t="s">
        <v>8033</v>
      </c>
      <c r="AQ191" s="554"/>
      <c r="AR191" s="720"/>
      <c r="AS191" s="817" t="str">
        <f>IF(INDEX(obalCh4Prod4Slot2Active,,xxIndexTeam)=1,INDEX(obalCh4Prod4Slot2AvgPrice,,xxIndexTeam),"")</f>
        <v/>
      </c>
      <c r="AT191" s="584" t="s">
        <v>8255</v>
      </c>
      <c r="AU191" s="802"/>
    </row>
    <row r="192" spans="30:47">
      <c r="AD192" s="800"/>
      <c r="AE192" s="810"/>
      <c r="AF192" s="814" t="str">
        <f>nmProd1</f>
        <v>Greenborg</v>
      </c>
      <c r="AG192" s="798" t="str">
        <f>IF(INDEX(obalCh4Prod1Slot3Active,,xxIndexTeam)=1,INDEX(obalCh4Prod1Slot3GPaL,,xxIndexTeam)/tlOutputCh4Analytic1Chart1XValue9,"")</f>
        <v/>
      </c>
      <c r="AH192" s="811" t="s">
        <v>8034</v>
      </c>
      <c r="AI192" s="810"/>
      <c r="AJ192" s="814" t="str">
        <f>nmProd1</f>
        <v>Greenborg</v>
      </c>
      <c r="AK192" s="533" t="str">
        <f>INDEX(calcCh4Prod1Slot3PriceDif,,xxIndexTeam)</f>
        <v/>
      </c>
      <c r="AL192" s="811" t="s">
        <v>8035</v>
      </c>
      <c r="AM192" s="554" t="str">
        <f>nmProd2</f>
        <v>Harken</v>
      </c>
      <c r="AN192" s="720" t="s">
        <v>4409</v>
      </c>
      <c r="AO192" s="815">
        <v>727500000</v>
      </c>
      <c r="AP192" s="584" t="s">
        <v>8036</v>
      </c>
      <c r="AQ192" s="554"/>
      <c r="AR192" s="720"/>
      <c r="AS192" s="817" t="str">
        <f>IF(INDEX(obalCh4Prod4Slot2Active,,xxIndexTeam)=1,INDEX(obalCh4Prod4Slot2Promo1Price,,xxIndexTeam),"")</f>
        <v/>
      </c>
      <c r="AT192" s="584" t="s">
        <v>8258</v>
      </c>
      <c r="AU192" s="802"/>
    </row>
    <row r="193" spans="30:47">
      <c r="AD193" s="800"/>
      <c r="AE193" s="810"/>
      <c r="AF193" s="814" t="str">
        <f>nmProd4</f>
        <v>Brew Master</v>
      </c>
      <c r="AG193" s="798">
        <f>IF(INDEX(obalCh4Prod4Slot1Active,,xxIndexTeam)=1,INDEX(obalCh4Prod4Slot1GPaL,,xxIndexTeam)/tlOutputCh4Analytic1Chart1XValue10,"")</f>
        <v>269972399.489173</v>
      </c>
      <c r="AH193" s="811" t="s">
        <v>8037</v>
      </c>
      <c r="AI193" s="810"/>
      <c r="AJ193" s="814" t="str">
        <f>nmProd4</f>
        <v>Brew Master</v>
      </c>
      <c r="AK193" s="533">
        <f>INDEX(calcCh4Prod4Slot1PriceDif,,xxIndexTeam)</f>
        <v>9.7309635458947261E-2</v>
      </c>
      <c r="AL193" s="811" t="s">
        <v>8038</v>
      </c>
      <c r="AM193" s="554"/>
      <c r="AN193" s="720" t="s">
        <v>4408</v>
      </c>
      <c r="AO193" s="815">
        <f>AO192*0.2</f>
        <v>145500000</v>
      </c>
      <c r="AP193" s="584" t="s">
        <v>8039</v>
      </c>
      <c r="AQ193" s="554"/>
      <c r="AR193" s="814" t="str">
        <f>nmProd4&amp;" Slot3"</f>
        <v>Brew Master Slot3</v>
      </c>
      <c r="AS193" s="818" t="str">
        <f>IF(INDEX(obalCh4Prod4Slot3Active,,xxIndexTeam)=1,nmProd4&amp;" - "&amp;INDEX(obalCh4Prod4Slot3Pack,,xxIndexTeam),"")</f>
        <v/>
      </c>
      <c r="AT193" s="811" t="s">
        <v>8261</v>
      </c>
      <c r="AU193" s="802"/>
    </row>
    <row r="194" spans="30:47">
      <c r="AD194" s="800"/>
      <c r="AE194" s="810"/>
      <c r="AF194" s="814" t="str">
        <f>nmProd4</f>
        <v>Brew Master</v>
      </c>
      <c r="AG194" s="798" t="str">
        <f>IF(INDEX(obalCh4Prod4Slot2Active,,xxIndexTeam)=1,INDEX(obalCh4Prod4Slot2GPaL,,xxIndexTeam)/tlOutputCh4Analytic1Chart1XValue11,"")</f>
        <v/>
      </c>
      <c r="AH194" s="811" t="s">
        <v>8040</v>
      </c>
      <c r="AI194" s="810"/>
      <c r="AJ194" s="814" t="str">
        <f>nmProd4</f>
        <v>Brew Master</v>
      </c>
      <c r="AK194" s="533" t="str">
        <f>INDEX(calcCh4Prod4Slot2PriceDif,,xxIndexTeam)</f>
        <v/>
      </c>
      <c r="AL194" s="811" t="s">
        <v>8041</v>
      </c>
      <c r="AM194" s="554" t="str">
        <f>nmProd3</f>
        <v>Kara</v>
      </c>
      <c r="AN194" s="720" t="s">
        <v>4409</v>
      </c>
      <c r="AO194" s="815">
        <v>533500000</v>
      </c>
      <c r="AP194" s="584" t="s">
        <v>8042</v>
      </c>
      <c r="AQ194" s="554"/>
      <c r="AR194" s="720"/>
      <c r="AS194" s="817" t="str">
        <f>IF(INDEX(obalCh4Prod4Slot3Active,,xxIndexTeam)=1,INDEX(obalCh4Prod4Slot3CustPrice,,xxIndexTeam),"")</f>
        <v/>
      </c>
      <c r="AT194" s="584" t="s">
        <v>8264</v>
      </c>
      <c r="AU194" s="802"/>
    </row>
    <row r="195" spans="30:47">
      <c r="AD195" s="800"/>
      <c r="AE195" s="810"/>
      <c r="AF195" s="814" t="str">
        <f>nmProd4</f>
        <v>Brew Master</v>
      </c>
      <c r="AG195" s="798" t="str">
        <f>IF(INDEX(obalCh4Prod4Slot3Active,,xxIndexTeam)=1,INDEX(obalCh4Prod4Slot3GPaL,,xxIndexTeam)/tlOutputCh4Analytic1Chart1XValue12,"")</f>
        <v/>
      </c>
      <c r="AH195" s="811" t="s">
        <v>8043</v>
      </c>
      <c r="AI195" s="810"/>
      <c r="AJ195" s="814" t="str">
        <f>nmProd4</f>
        <v>Brew Master</v>
      </c>
      <c r="AK195" s="533" t="str">
        <f>INDEX(calcCh4Prod4Slot3PriceDif,,xxIndexTeam)</f>
        <v/>
      </c>
      <c r="AL195" s="811" t="s">
        <v>8044</v>
      </c>
      <c r="AM195" s="554"/>
      <c r="AN195" s="720" t="s">
        <v>4408</v>
      </c>
      <c r="AO195" s="815">
        <f>AO194*0.2</f>
        <v>106700000</v>
      </c>
      <c r="AP195" s="584" t="s">
        <v>8045</v>
      </c>
      <c r="AQ195" s="554"/>
      <c r="AR195" s="720"/>
      <c r="AS195" s="817" t="str">
        <f>IF(INDEX(obalCh4Prod4Slot3Active,,xxIndexTeam)=1,INDEX(obalCh4Prod4Slot3AvgPrice,,xxIndexTeam),"")</f>
        <v/>
      </c>
      <c r="AT195" s="584" t="s">
        <v>8267</v>
      </c>
      <c r="AU195" s="802"/>
    </row>
    <row r="196" spans="30:47">
      <c r="AD196" s="800"/>
      <c r="AE196" s="810"/>
      <c r="AF196" s="814"/>
      <c r="AG196" s="814"/>
      <c r="AH196" s="811"/>
      <c r="AI196" s="810"/>
      <c r="AJ196" s="814"/>
      <c r="AK196" s="814"/>
      <c r="AL196" s="811"/>
      <c r="AM196" s="554" t="str">
        <f>nmProd4</f>
        <v>Brew Master</v>
      </c>
      <c r="AN196" s="720" t="s">
        <v>4409</v>
      </c>
      <c r="AO196" s="815">
        <v>485000000</v>
      </c>
      <c r="AP196" s="584" t="s">
        <v>8046</v>
      </c>
      <c r="AQ196" s="554"/>
      <c r="AR196" s="720"/>
      <c r="AS196" s="817" t="str">
        <f>IF(INDEX(obalCh4Prod4Slot3Active,,xxIndexTeam)=1,INDEX(obalCh4Prod4Slot3Promo1Price,,xxIndexTeam),"")</f>
        <v/>
      </c>
      <c r="AT196" s="584" t="s">
        <v>8270</v>
      </c>
      <c r="AU196" s="802"/>
    </row>
    <row r="197" spans="30:47" ht="15" thickBot="1">
      <c r="AD197" s="800"/>
      <c r="AE197" s="797" t="s">
        <v>295</v>
      </c>
      <c r="AF197" s="814"/>
      <c r="AG197" s="814"/>
      <c r="AH197" s="811"/>
      <c r="AI197" s="797" t="s">
        <v>6992</v>
      </c>
      <c r="AJ197" s="814"/>
      <c r="AK197" s="814"/>
      <c r="AL197" s="811"/>
      <c r="AM197" s="554"/>
      <c r="AN197" s="720" t="s">
        <v>4408</v>
      </c>
      <c r="AO197" s="816">
        <f>AO196*0.2</f>
        <v>97000000</v>
      </c>
      <c r="AP197" s="584" t="s">
        <v>8047</v>
      </c>
      <c r="AQ197" s="554"/>
      <c r="AR197" s="720"/>
      <c r="AS197" s="720"/>
      <c r="AT197" s="584"/>
      <c r="AU197" s="802"/>
    </row>
    <row r="198" spans="30:47">
      <c r="AD198" s="800"/>
      <c r="AE198" s="810"/>
      <c r="AF198" s="814" t="str">
        <f>nmProd2</f>
        <v>Harken</v>
      </c>
      <c r="AG198" s="799">
        <f>IF(INDEX(obalCh4Prod2Slot1Active,,xxIndexTeam)=1,INDEX(obalCh4Prod2Slot1SoldVol,,xxIndexTeam),"")</f>
        <v>36197733.829989143</v>
      </c>
      <c r="AH198" s="811" t="s">
        <v>8048</v>
      </c>
      <c r="AI198" s="810"/>
      <c r="AJ198" s="814" t="str">
        <f>nmProd2</f>
        <v>Harken</v>
      </c>
      <c r="AK198" s="799">
        <f>IF(INDEX(obalCh4Prod2Slot1Active,,xxIndexTeam)=1,100,"")</f>
        <v>100</v>
      </c>
      <c r="AL198" s="811" t="s">
        <v>8049</v>
      </c>
      <c r="AM198" s="554"/>
      <c r="AN198" s="720"/>
      <c r="AO198" s="720"/>
      <c r="AP198" s="584"/>
      <c r="AQ198" s="554"/>
      <c r="AR198" s="720"/>
      <c r="AS198" s="720"/>
      <c r="AT198" s="584"/>
      <c r="AU198" s="802"/>
    </row>
    <row r="199" spans="30:47" ht="15" thickBot="1">
      <c r="AD199" s="800"/>
      <c r="AE199" s="810"/>
      <c r="AF199" s="814" t="str">
        <f>nmProd2</f>
        <v>Harken</v>
      </c>
      <c r="AG199" s="799" t="str">
        <f>IF(INDEX(obalCh4Prod2Slot2Active,,xxIndexTeam)=1,INDEX(obalCh4Prod2Slot2SoldVol,,xxIndexTeam),"")</f>
        <v/>
      </c>
      <c r="AH199" s="811" t="s">
        <v>8050</v>
      </c>
      <c r="AI199" s="810"/>
      <c r="AJ199" s="814" t="str">
        <f>nmProd2</f>
        <v>Harken</v>
      </c>
      <c r="AK199" s="799" t="str">
        <f>IF(INDEX(obalCh4Prod2Slot2Active,,xxIndexTeam)=1,100,"")</f>
        <v/>
      </c>
      <c r="AL199" s="811" t="s">
        <v>8051</v>
      </c>
      <c r="AM199" s="554"/>
      <c r="AN199" s="720"/>
      <c r="AO199" s="530" t="s">
        <v>6997</v>
      </c>
      <c r="AP199" s="584"/>
      <c r="AQ199" s="554"/>
      <c r="AR199" s="720"/>
      <c r="AS199" s="720"/>
      <c r="AT199" s="584"/>
      <c r="AU199" s="802"/>
    </row>
    <row r="200" spans="30:47">
      <c r="AD200" s="800"/>
      <c r="AE200" s="810"/>
      <c r="AF200" s="814" t="str">
        <f>nmProd2</f>
        <v>Harken</v>
      </c>
      <c r="AG200" s="799" t="str">
        <f>IF(INDEX(obalCh4Prod2Slot3Active,,xxIndexTeam)=1,INDEX(obalCh4Prod2Slot3SoldVol,,xxIndexTeam),"")</f>
        <v/>
      </c>
      <c r="AH200" s="811" t="s">
        <v>8052</v>
      </c>
      <c r="AI200" s="810"/>
      <c r="AJ200" s="814" t="str">
        <f>nmProd2</f>
        <v>Harken</v>
      </c>
      <c r="AK200" s="799" t="str">
        <f>IF(INDEX(obalCh4Prod2Slot3Active,,xxIndexTeam)=1,100,"")</f>
        <v/>
      </c>
      <c r="AL200" s="811" t="s">
        <v>8053</v>
      </c>
      <c r="AM200" s="554" t="str">
        <f>nmProd1</f>
        <v>Greenborg</v>
      </c>
      <c r="AN200" s="720" t="s">
        <v>4409</v>
      </c>
      <c r="AO200" s="825">
        <v>0.06</v>
      </c>
      <c r="AP200" s="584" t="s">
        <v>8054</v>
      </c>
      <c r="AQ200" s="554"/>
      <c r="AR200" s="720"/>
      <c r="AS200" s="720"/>
      <c r="AT200" s="584"/>
      <c r="AU200" s="802"/>
    </row>
    <row r="201" spans="30:47">
      <c r="AD201" s="800"/>
      <c r="AE201" s="810"/>
      <c r="AF201" s="814" t="str">
        <f>nmProd3</f>
        <v>Kara</v>
      </c>
      <c r="AG201" s="799">
        <f>IF(INDEX(obalCh4Prod3Slot1Active,,xxIndexTeam)=1,INDEX(obalCh4Prod3Slot1SoldVol,,xxIndexTeam),"")</f>
        <v>21778586.864455305</v>
      </c>
      <c r="AH201" s="811" t="s">
        <v>8055</v>
      </c>
      <c r="AI201" s="810"/>
      <c r="AJ201" s="814" t="str">
        <f>nmProd3</f>
        <v>Kara</v>
      </c>
      <c r="AK201" s="799">
        <f>IF(INDEX(obalCh4Prod3Slot1Active,,xxIndexTeam)=1,100,"")</f>
        <v>100</v>
      </c>
      <c r="AL201" s="811" t="s">
        <v>8056</v>
      </c>
      <c r="AM201" s="554"/>
      <c r="AN201" s="720" t="s">
        <v>4408</v>
      </c>
      <c r="AO201" s="828">
        <v>0.06</v>
      </c>
      <c r="AP201" s="584" t="s">
        <v>8057</v>
      </c>
      <c r="AQ201" s="554"/>
      <c r="AR201" s="720"/>
      <c r="AS201" s="720"/>
      <c r="AT201" s="584"/>
      <c r="AU201" s="802"/>
    </row>
    <row r="202" spans="30:47">
      <c r="AD202" s="800"/>
      <c r="AE202" s="810"/>
      <c r="AF202" s="814" t="str">
        <f>nmProd3</f>
        <v>Kara</v>
      </c>
      <c r="AG202" s="799" t="str">
        <f>IF(INDEX(obalCh4Prod3Slot2Active,,xxIndexTeam)=1,INDEX(obalCh4Prod3Slot2SoldVol,,xxIndexTeam),"")</f>
        <v/>
      </c>
      <c r="AH202" s="811" t="s">
        <v>8058</v>
      </c>
      <c r="AI202" s="810"/>
      <c r="AJ202" s="814" t="str">
        <f>nmProd3</f>
        <v>Kara</v>
      </c>
      <c r="AK202" s="799" t="str">
        <f>IF(INDEX(obalCh4Prod3Slot2Active,,xxIndexTeam)=1,100,"")</f>
        <v/>
      </c>
      <c r="AL202" s="811" t="s">
        <v>8059</v>
      </c>
      <c r="AM202" s="554" t="str">
        <f>nmProd2</f>
        <v>Harken</v>
      </c>
      <c r="AN202" s="720" t="s">
        <v>4409</v>
      </c>
      <c r="AO202" s="828">
        <v>0.15</v>
      </c>
      <c r="AP202" s="584" t="s">
        <v>8060</v>
      </c>
      <c r="AQ202" s="554"/>
      <c r="AR202" s="720"/>
      <c r="AS202" s="720"/>
      <c r="AT202" s="584"/>
      <c r="AU202" s="802"/>
    </row>
    <row r="203" spans="30:47">
      <c r="AD203" s="800"/>
      <c r="AE203" s="810"/>
      <c r="AF203" s="814" t="str">
        <f>nmProd3</f>
        <v>Kara</v>
      </c>
      <c r="AG203" s="799" t="str">
        <f>IF(INDEX(obalCh4Prod3Slot3Active,,xxIndexTeam)=1,INDEX(obalCh4Prod3Slot3SoldVol,,xxIndexTeam),"")</f>
        <v/>
      </c>
      <c r="AH203" s="811" t="s">
        <v>8061</v>
      </c>
      <c r="AI203" s="810"/>
      <c r="AJ203" s="814" t="str">
        <f>nmProd3</f>
        <v>Kara</v>
      </c>
      <c r="AK203" s="799" t="str">
        <f>IF(INDEX(obalCh4Prod3Slot3Active,,xxIndexTeam)=1,100,"")</f>
        <v/>
      </c>
      <c r="AL203" s="811" t="s">
        <v>8062</v>
      </c>
      <c r="AM203" s="554"/>
      <c r="AN203" s="720" t="s">
        <v>4408</v>
      </c>
      <c r="AO203" s="828">
        <v>0.15</v>
      </c>
      <c r="AP203" s="584" t="s">
        <v>8063</v>
      </c>
      <c r="AQ203" s="554"/>
      <c r="AR203" s="720"/>
      <c r="AS203" s="720"/>
      <c r="AT203" s="584"/>
      <c r="AU203" s="802"/>
    </row>
    <row r="204" spans="30:47">
      <c r="AD204" s="800"/>
      <c r="AE204" s="810"/>
      <c r="AF204" s="814" t="str">
        <f>nmProd1</f>
        <v>Greenborg</v>
      </c>
      <c r="AG204" s="799">
        <f>IF(INDEX(obalCh4Prod1Slot1Active,,xxIndexTeam)=1,INDEX(obalCh4Prod1Slot1SoldVol,,xxIndexTeam),"")</f>
        <v>49638252.362637356</v>
      </c>
      <c r="AH204" s="811" t="s">
        <v>8064</v>
      </c>
      <c r="AI204" s="810"/>
      <c r="AJ204" s="814" t="str">
        <f>nmProd1</f>
        <v>Greenborg</v>
      </c>
      <c r="AK204" s="799">
        <f>IF(INDEX(obalCh4Prod1Slot1Active,,xxIndexTeam)=1,100,"")</f>
        <v>100</v>
      </c>
      <c r="AL204" s="811" t="s">
        <v>8065</v>
      </c>
      <c r="AM204" s="554" t="str">
        <f>nmProd3</f>
        <v>Kara</v>
      </c>
      <c r="AN204" s="720" t="s">
        <v>4409</v>
      </c>
      <c r="AO204" s="828">
        <v>0.11</v>
      </c>
      <c r="AP204" s="584" t="s">
        <v>8066</v>
      </c>
      <c r="AQ204" s="554"/>
      <c r="AR204" s="720"/>
      <c r="AS204" s="720"/>
      <c r="AT204" s="584"/>
      <c r="AU204" s="802"/>
    </row>
    <row r="205" spans="30:47">
      <c r="AD205" s="800"/>
      <c r="AE205" s="810"/>
      <c r="AF205" s="814" t="str">
        <f>nmProd1</f>
        <v>Greenborg</v>
      </c>
      <c r="AG205" s="799" t="str">
        <f>IF(INDEX(obalCh4Prod1Slot2Active,,xxIndexTeam)=1,INDEX(obalCh4Prod1Slot2SoldVol,,xxIndexTeam),"")</f>
        <v/>
      </c>
      <c r="AH205" s="811" t="s">
        <v>8067</v>
      </c>
      <c r="AI205" s="810"/>
      <c r="AJ205" s="814" t="str">
        <f>nmProd1</f>
        <v>Greenborg</v>
      </c>
      <c r="AK205" s="799" t="str">
        <f>IF(INDEX(obalCh4Prod1Slot2Active,,xxIndexTeam)=1,100,"")</f>
        <v/>
      </c>
      <c r="AL205" s="811" t="s">
        <v>8068</v>
      </c>
      <c r="AM205" s="554"/>
      <c r="AN205" s="720" t="s">
        <v>4408</v>
      </c>
      <c r="AO205" s="828">
        <v>0.11</v>
      </c>
      <c r="AP205" s="584" t="s">
        <v>8069</v>
      </c>
      <c r="AQ205" s="554"/>
      <c r="AR205" s="720"/>
      <c r="AS205" s="720"/>
      <c r="AT205" s="584"/>
      <c r="AU205" s="802"/>
    </row>
    <row r="206" spans="30:47">
      <c r="AD206" s="800"/>
      <c r="AE206" s="810"/>
      <c r="AF206" s="814" t="str">
        <f>nmProd1</f>
        <v>Greenborg</v>
      </c>
      <c r="AG206" s="799" t="str">
        <f>IF(INDEX(obalCh4Prod1Slot3Active,,xxIndexTeam)=1,INDEX(obalCh4Prod1Slot3SoldVol,,xxIndexTeam),"")</f>
        <v/>
      </c>
      <c r="AH206" s="811" t="s">
        <v>8070</v>
      </c>
      <c r="AI206" s="810"/>
      <c r="AJ206" s="814" t="str">
        <f>nmProd1</f>
        <v>Greenborg</v>
      </c>
      <c r="AK206" s="799" t="str">
        <f>IF(INDEX(obalCh4Prod1Slot3Active,,xxIndexTeam)=1,100,"")</f>
        <v/>
      </c>
      <c r="AL206" s="811" t="s">
        <v>8071</v>
      </c>
      <c r="AM206" s="554" t="str">
        <f>nmProd4</f>
        <v>Brew Master</v>
      </c>
      <c r="AN206" s="720" t="s">
        <v>4409</v>
      </c>
      <c r="AO206" s="828">
        <v>0.01</v>
      </c>
      <c r="AP206" s="584" t="s">
        <v>8072</v>
      </c>
      <c r="AQ206" s="554"/>
      <c r="AR206" s="720"/>
      <c r="AS206" s="720"/>
      <c r="AT206" s="584"/>
      <c r="AU206" s="802"/>
    </row>
    <row r="207" spans="30:47" ht="15" thickBot="1">
      <c r="AD207" s="800"/>
      <c r="AE207" s="810"/>
      <c r="AF207" s="814" t="str">
        <f>nmProd4</f>
        <v>Brew Master</v>
      </c>
      <c r="AG207" s="799">
        <f>IF(INDEX(obalCh4Prod4Slot1Active,,xxIndexTeam)=1,INDEX(obalCh4Prod4Slot1SoldVol,,xxIndexTeam),"")</f>
        <v>58335929.540598296</v>
      </c>
      <c r="AH207" s="811" t="s">
        <v>8073</v>
      </c>
      <c r="AI207" s="810"/>
      <c r="AJ207" s="814" t="str">
        <f>nmProd4</f>
        <v>Brew Master</v>
      </c>
      <c r="AK207" s="799">
        <f>IF(INDEX(obalCh4Prod4Slot1Active,,xxIndexTeam)=1,100,"")</f>
        <v>100</v>
      </c>
      <c r="AL207" s="811" t="s">
        <v>8074</v>
      </c>
      <c r="AM207" s="554"/>
      <c r="AN207" s="720" t="s">
        <v>4408</v>
      </c>
      <c r="AO207" s="831">
        <v>0.01</v>
      </c>
      <c r="AP207" s="584" t="s">
        <v>8075</v>
      </c>
      <c r="AQ207" s="554"/>
      <c r="AR207" s="720"/>
      <c r="AS207" s="720"/>
      <c r="AT207" s="584"/>
      <c r="AU207" s="802"/>
    </row>
    <row r="208" spans="30:47">
      <c r="AD208" s="800"/>
      <c r="AE208" s="810"/>
      <c r="AF208" s="814" t="str">
        <f>nmProd4</f>
        <v>Brew Master</v>
      </c>
      <c r="AG208" s="799" t="str">
        <f>IF(INDEX(obalCh4Prod4Slot2Active,,xxIndexTeam)=1,INDEX(obalCh4Prod4Slot2SoldVol,,xxIndexTeam),"")</f>
        <v/>
      </c>
      <c r="AH208" s="811" t="s">
        <v>8076</v>
      </c>
      <c r="AI208" s="810"/>
      <c r="AJ208" s="814" t="str">
        <f>nmProd4</f>
        <v>Brew Master</v>
      </c>
      <c r="AK208" s="799" t="str">
        <f>IF(INDEX(obalCh4Prod4Slot2Active,,xxIndexTeam)=1,100,"")</f>
        <v/>
      </c>
      <c r="AL208" s="811" t="s">
        <v>8077</v>
      </c>
      <c r="AM208" s="832" t="str">
        <f>nmSeg4</f>
        <v>Connecting &amp; Bonding</v>
      </c>
      <c r="AN208" s="720"/>
      <c r="AO208" s="720"/>
      <c r="AP208" s="584"/>
      <c r="AQ208" s="554"/>
      <c r="AR208" s="720"/>
      <c r="AS208" s="720"/>
      <c r="AT208" s="584"/>
      <c r="AU208" s="802"/>
    </row>
    <row r="209" spans="30:47" ht="15" thickBot="1">
      <c r="AD209" s="800"/>
      <c r="AE209" s="809"/>
      <c r="AF209" s="814" t="str">
        <f>nmProd4</f>
        <v>Brew Master</v>
      </c>
      <c r="AG209" s="799" t="str">
        <f>IF(INDEX(obalCh4Prod4Slot3Active,,xxIndexTeam)=1,INDEX(obalCh4Prod4Slot3SoldVol,,xxIndexTeam),"")</f>
        <v/>
      </c>
      <c r="AH209" s="808" t="s">
        <v>8078</v>
      </c>
      <c r="AI209" s="809"/>
      <c r="AJ209" s="814" t="str">
        <f>nmProd4</f>
        <v>Brew Master</v>
      </c>
      <c r="AK209" s="799" t="str">
        <f>IF(INDEX(obalCh4Prod4Slot3Active,,xxIndexTeam)=1,100,"")</f>
        <v/>
      </c>
      <c r="AL209" s="808" t="s">
        <v>8079</v>
      </c>
      <c r="AM209" s="554"/>
      <c r="AN209" s="720"/>
      <c r="AO209" s="530" t="s">
        <v>295</v>
      </c>
      <c r="AP209" s="584"/>
      <c r="AQ209" s="554"/>
      <c r="AR209" s="720"/>
      <c r="AS209" s="720"/>
      <c r="AT209" s="584"/>
      <c r="AU209" s="802"/>
    </row>
    <row r="210" spans="30:47">
      <c r="AD210" s="800"/>
      <c r="AE210" s="807"/>
      <c r="AF210" s="813"/>
      <c r="AG210" s="813"/>
      <c r="AH210" s="812"/>
      <c r="AI210" s="807"/>
      <c r="AJ210" s="813"/>
      <c r="AK210" s="813"/>
      <c r="AL210" s="812"/>
      <c r="AM210" s="554" t="str">
        <f>nmProd1</f>
        <v>Greenborg</v>
      </c>
      <c r="AN210" s="720" t="s">
        <v>4409</v>
      </c>
      <c r="AO210" s="824">
        <v>291000000</v>
      </c>
      <c r="AP210" s="584" t="s">
        <v>8080</v>
      </c>
      <c r="AQ210" s="554"/>
      <c r="AR210" s="720"/>
      <c r="AS210" s="720"/>
      <c r="AT210" s="584"/>
      <c r="AU210" s="802"/>
    </row>
    <row r="211" spans="30:47">
      <c r="AD211" s="800"/>
      <c r="AE211" s="810"/>
      <c r="AF211" s="814"/>
      <c r="AG211" s="814"/>
      <c r="AH211" s="811"/>
      <c r="AI211" s="810"/>
      <c r="AJ211" s="814"/>
      <c r="AK211" s="814"/>
      <c r="AL211" s="811"/>
      <c r="AM211" s="554"/>
      <c r="AN211" s="720" t="s">
        <v>4408</v>
      </c>
      <c r="AO211" s="815">
        <f>AO210*0.2</f>
        <v>58200000</v>
      </c>
      <c r="AP211" s="584" t="s">
        <v>8081</v>
      </c>
      <c r="AQ211" s="554"/>
      <c r="AR211" s="720"/>
      <c r="AS211" s="720"/>
      <c r="AT211" s="584"/>
      <c r="AU211" s="802"/>
    </row>
    <row r="212" spans="30:47">
      <c r="AD212" s="800"/>
      <c r="AE212" s="810"/>
      <c r="AF212" s="814"/>
      <c r="AG212" s="814"/>
      <c r="AH212" s="811"/>
      <c r="AI212" s="810"/>
      <c r="AJ212" s="814"/>
      <c r="AK212" s="814"/>
      <c r="AL212" s="811"/>
      <c r="AM212" s="554" t="str">
        <f>nmProd2</f>
        <v>Harken</v>
      </c>
      <c r="AN212" s="720" t="s">
        <v>4409</v>
      </c>
      <c r="AO212" s="815">
        <v>727500000</v>
      </c>
      <c r="AP212" s="584" t="s">
        <v>8082</v>
      </c>
      <c r="AQ212" s="554"/>
      <c r="AR212" s="720"/>
      <c r="AS212" s="720"/>
      <c r="AT212" s="584"/>
      <c r="AU212" s="802"/>
    </row>
    <row r="213" spans="30:47">
      <c r="AD213" s="800"/>
      <c r="AE213" s="810"/>
      <c r="AF213" s="814"/>
      <c r="AG213" s="814"/>
      <c r="AH213" s="811"/>
      <c r="AI213" s="810"/>
      <c r="AJ213" s="814"/>
      <c r="AK213" s="814"/>
      <c r="AL213" s="811"/>
      <c r="AM213" s="554"/>
      <c r="AN213" s="720" t="s">
        <v>4408</v>
      </c>
      <c r="AO213" s="815">
        <f>AO212*0.2</f>
        <v>145500000</v>
      </c>
      <c r="AP213" s="584" t="s">
        <v>8083</v>
      </c>
      <c r="AQ213" s="554"/>
      <c r="AR213" s="720"/>
      <c r="AS213" s="720"/>
      <c r="AT213" s="584"/>
      <c r="AU213" s="802"/>
    </row>
    <row r="214" spans="30:47">
      <c r="AD214" s="800"/>
      <c r="AE214" s="810"/>
      <c r="AF214" s="814"/>
      <c r="AG214" s="814"/>
      <c r="AH214" s="811"/>
      <c r="AI214" s="810"/>
      <c r="AJ214" s="814"/>
      <c r="AK214" s="814"/>
      <c r="AL214" s="811"/>
      <c r="AM214" s="554" t="str">
        <f>nmProd3</f>
        <v>Kara</v>
      </c>
      <c r="AN214" s="720" t="s">
        <v>4409</v>
      </c>
      <c r="AO214" s="815">
        <v>533500000</v>
      </c>
      <c r="AP214" s="584" t="s">
        <v>8084</v>
      </c>
      <c r="AQ214" s="554"/>
      <c r="AR214" s="720"/>
      <c r="AS214" s="720"/>
      <c r="AT214" s="584"/>
      <c r="AU214" s="802"/>
    </row>
    <row r="215" spans="30:47">
      <c r="AD215" s="800"/>
      <c r="AE215" s="810"/>
      <c r="AF215" s="814"/>
      <c r="AG215" s="814"/>
      <c r="AH215" s="811"/>
      <c r="AI215" s="810"/>
      <c r="AJ215" s="814"/>
      <c r="AK215" s="814"/>
      <c r="AL215" s="811"/>
      <c r="AM215" s="554"/>
      <c r="AN215" s="720" t="s">
        <v>4408</v>
      </c>
      <c r="AO215" s="815">
        <f>AO214*0.2</f>
        <v>106700000</v>
      </c>
      <c r="AP215" s="584" t="s">
        <v>8085</v>
      </c>
      <c r="AQ215" s="554"/>
      <c r="AR215" s="720"/>
      <c r="AS215" s="720"/>
      <c r="AT215" s="584"/>
      <c r="AU215" s="802"/>
    </row>
    <row r="216" spans="30:47">
      <c r="AD216" s="800"/>
      <c r="AE216" s="810"/>
      <c r="AF216" s="814"/>
      <c r="AG216" s="814"/>
      <c r="AH216" s="811"/>
      <c r="AI216" s="810"/>
      <c r="AJ216" s="814"/>
      <c r="AK216" s="814"/>
      <c r="AL216" s="811"/>
      <c r="AM216" s="554" t="str">
        <f>nmProd4</f>
        <v>Brew Master</v>
      </c>
      <c r="AN216" s="720" t="s">
        <v>4409</v>
      </c>
      <c r="AO216" s="815">
        <v>485000000</v>
      </c>
      <c r="AP216" s="584" t="s">
        <v>8086</v>
      </c>
      <c r="AQ216" s="554"/>
      <c r="AR216" s="720"/>
      <c r="AS216" s="720"/>
      <c r="AT216" s="584"/>
      <c r="AU216" s="802"/>
    </row>
    <row r="217" spans="30:47" ht="15" thickBot="1">
      <c r="AD217" s="800"/>
      <c r="AE217" s="810"/>
      <c r="AF217" s="814"/>
      <c r="AG217" s="814"/>
      <c r="AH217" s="811"/>
      <c r="AI217" s="810"/>
      <c r="AJ217" s="814"/>
      <c r="AK217" s="814"/>
      <c r="AL217" s="811"/>
      <c r="AM217" s="554"/>
      <c r="AN217" s="720" t="s">
        <v>4408</v>
      </c>
      <c r="AO217" s="816">
        <f>AO216*0.2</f>
        <v>97000000</v>
      </c>
      <c r="AP217" s="584" t="s">
        <v>8087</v>
      </c>
      <c r="AQ217" s="554"/>
      <c r="AR217" s="720"/>
      <c r="AS217" s="720"/>
      <c r="AT217" s="584"/>
      <c r="AU217" s="802"/>
    </row>
    <row r="218" spans="30:47">
      <c r="AD218" s="800"/>
      <c r="AE218" s="810"/>
      <c r="AF218" s="814"/>
      <c r="AG218" s="814"/>
      <c r="AH218" s="811"/>
      <c r="AI218" s="810"/>
      <c r="AJ218" s="814"/>
      <c r="AK218" s="814"/>
      <c r="AL218" s="811"/>
      <c r="AM218" s="554"/>
      <c r="AN218" s="720"/>
      <c r="AO218" s="720"/>
      <c r="AP218" s="584"/>
      <c r="AQ218" s="554"/>
      <c r="AR218" s="720"/>
      <c r="AS218" s="720"/>
      <c r="AT218" s="584"/>
      <c r="AU218" s="802"/>
    </row>
    <row r="219" spans="30:47" ht="15" thickBot="1">
      <c r="AD219" s="800"/>
      <c r="AE219" s="810"/>
      <c r="AF219" s="814"/>
      <c r="AG219" s="814"/>
      <c r="AH219" s="811"/>
      <c r="AI219" s="810"/>
      <c r="AJ219" s="814"/>
      <c r="AK219" s="814"/>
      <c r="AL219" s="811"/>
      <c r="AM219" s="554"/>
      <c r="AN219" s="720"/>
      <c r="AO219" s="530" t="s">
        <v>6997</v>
      </c>
      <c r="AP219" s="584"/>
      <c r="AQ219" s="554"/>
      <c r="AR219" s="720"/>
      <c r="AS219" s="720"/>
      <c r="AT219" s="584"/>
      <c r="AU219" s="802"/>
    </row>
    <row r="220" spans="30:47">
      <c r="AD220" s="800"/>
      <c r="AE220" s="810"/>
      <c r="AF220" s="814"/>
      <c r="AG220" s="814"/>
      <c r="AH220" s="811"/>
      <c r="AI220" s="810"/>
      <c r="AJ220" s="814"/>
      <c r="AK220" s="814"/>
      <c r="AL220" s="811"/>
      <c r="AM220" s="554" t="str">
        <f>nmProd1</f>
        <v>Greenborg</v>
      </c>
      <c r="AN220" s="720" t="s">
        <v>4409</v>
      </c>
      <c r="AO220" s="825">
        <v>0.06</v>
      </c>
      <c r="AP220" s="584" t="s">
        <v>8088</v>
      </c>
      <c r="AQ220" s="554"/>
      <c r="AR220" s="720"/>
      <c r="AS220" s="720"/>
      <c r="AT220" s="584"/>
      <c r="AU220" s="802"/>
    </row>
    <row r="221" spans="30:47">
      <c r="AD221" s="800"/>
      <c r="AE221" s="810"/>
      <c r="AF221" s="814"/>
      <c r="AG221" s="814"/>
      <c r="AH221" s="811"/>
      <c r="AI221" s="810"/>
      <c r="AJ221" s="814"/>
      <c r="AK221" s="814"/>
      <c r="AL221" s="811"/>
      <c r="AM221" s="554"/>
      <c r="AN221" s="720" t="s">
        <v>4408</v>
      </c>
      <c r="AO221" s="828">
        <v>0.06</v>
      </c>
      <c r="AP221" s="584" t="s">
        <v>8089</v>
      </c>
      <c r="AQ221" s="554"/>
      <c r="AR221" s="720"/>
      <c r="AS221" s="720"/>
      <c r="AT221" s="584"/>
      <c r="AU221" s="802"/>
    </row>
    <row r="222" spans="30:47" ht="15" thickBot="1">
      <c r="AD222" s="800"/>
      <c r="AE222" s="810"/>
      <c r="AF222" s="814"/>
      <c r="AG222" s="814"/>
      <c r="AH222" s="811"/>
      <c r="AI222" s="810"/>
      <c r="AJ222" s="814"/>
      <c r="AK222" s="814"/>
      <c r="AL222" s="811"/>
      <c r="AM222" s="554" t="str">
        <f>nmProd2</f>
        <v>Harken</v>
      </c>
      <c r="AN222" s="720" t="s">
        <v>4409</v>
      </c>
      <c r="AO222" s="828">
        <v>0.15</v>
      </c>
      <c r="AP222" s="584" t="s">
        <v>8090</v>
      </c>
      <c r="AQ222" s="546"/>
      <c r="AR222" s="544"/>
      <c r="AS222" s="544"/>
      <c r="AT222" s="733"/>
      <c r="AU222" s="802"/>
    </row>
    <row r="223" spans="30:47">
      <c r="AD223" s="800"/>
      <c r="AE223" s="810"/>
      <c r="AF223" s="814"/>
      <c r="AG223" s="814"/>
      <c r="AH223" s="811"/>
      <c r="AI223" s="810"/>
      <c r="AJ223" s="814"/>
      <c r="AK223" s="814"/>
      <c r="AL223" s="811"/>
      <c r="AM223" s="554"/>
      <c r="AN223" s="720" t="s">
        <v>4408</v>
      </c>
      <c r="AO223" s="828">
        <v>0.15</v>
      </c>
      <c r="AP223" s="584" t="s">
        <v>8091</v>
      </c>
      <c r="AQ223" s="802"/>
      <c r="AR223" s="802"/>
      <c r="AS223" s="802"/>
      <c r="AT223" s="802"/>
      <c r="AU223" s="802"/>
    </row>
    <row r="224" spans="30:47">
      <c r="AD224" s="800"/>
      <c r="AE224" s="810"/>
      <c r="AF224" s="814"/>
      <c r="AG224" s="814"/>
      <c r="AH224" s="811"/>
      <c r="AI224" s="810"/>
      <c r="AJ224" s="814"/>
      <c r="AK224" s="814"/>
      <c r="AL224" s="811"/>
      <c r="AM224" s="554" t="str">
        <f>nmProd3</f>
        <v>Kara</v>
      </c>
      <c r="AN224" s="720" t="s">
        <v>4409</v>
      </c>
      <c r="AO224" s="828">
        <v>0.11</v>
      </c>
      <c r="AP224" s="584" t="s">
        <v>8092</v>
      </c>
      <c r="AQ224" s="802"/>
      <c r="AR224" s="802"/>
      <c r="AS224" s="802"/>
      <c r="AT224" s="802"/>
      <c r="AU224" s="802"/>
    </row>
    <row r="225" spans="30:47">
      <c r="AD225" s="800"/>
      <c r="AE225" s="810"/>
      <c r="AF225" s="814"/>
      <c r="AG225" s="814"/>
      <c r="AH225" s="811"/>
      <c r="AI225" s="810"/>
      <c r="AJ225" s="814"/>
      <c r="AK225" s="814"/>
      <c r="AL225" s="811"/>
      <c r="AM225" s="554"/>
      <c r="AN225" s="720" t="s">
        <v>4408</v>
      </c>
      <c r="AO225" s="828">
        <v>0.11</v>
      </c>
      <c r="AP225" s="584" t="s">
        <v>8093</v>
      </c>
      <c r="AQ225" s="802"/>
      <c r="AR225" s="802"/>
      <c r="AS225" s="802"/>
      <c r="AT225" s="802"/>
      <c r="AU225" s="802"/>
    </row>
    <row r="226" spans="30:47">
      <c r="AD226" s="800"/>
      <c r="AE226" s="810"/>
      <c r="AF226" s="814"/>
      <c r="AG226" s="814"/>
      <c r="AH226" s="811"/>
      <c r="AI226" s="810"/>
      <c r="AJ226" s="814"/>
      <c r="AK226" s="814"/>
      <c r="AL226" s="811"/>
      <c r="AM226" s="554" t="str">
        <f>nmProd4</f>
        <v>Brew Master</v>
      </c>
      <c r="AN226" s="720" t="s">
        <v>4409</v>
      </c>
      <c r="AO226" s="828">
        <v>0.01</v>
      </c>
      <c r="AP226" s="584" t="s">
        <v>8094</v>
      </c>
      <c r="AQ226" s="802"/>
      <c r="AR226" s="802"/>
      <c r="AS226" s="802"/>
      <c r="AT226" s="802"/>
      <c r="AU226" s="802"/>
    </row>
    <row r="227" spans="30:47" ht="15" thickBot="1">
      <c r="AD227" s="800"/>
      <c r="AE227" s="810"/>
      <c r="AF227" s="814"/>
      <c r="AG227" s="814"/>
      <c r="AH227" s="811"/>
      <c r="AI227" s="810"/>
      <c r="AJ227" s="814"/>
      <c r="AK227" s="814"/>
      <c r="AL227" s="811"/>
      <c r="AM227" s="554"/>
      <c r="AN227" s="720" t="s">
        <v>4408</v>
      </c>
      <c r="AO227" s="831">
        <v>0.01</v>
      </c>
      <c r="AP227" s="584" t="s">
        <v>8095</v>
      </c>
      <c r="AQ227" s="802"/>
      <c r="AR227" s="802"/>
      <c r="AS227" s="802"/>
      <c r="AT227" s="802"/>
      <c r="AU227" s="802"/>
    </row>
    <row r="228" spans="30:47">
      <c r="AD228" s="800"/>
      <c r="AE228" s="810"/>
      <c r="AF228" s="814"/>
      <c r="AG228" s="814"/>
      <c r="AH228" s="811"/>
      <c r="AI228" s="810"/>
      <c r="AJ228" s="814"/>
      <c r="AK228" s="814"/>
      <c r="AL228" s="811"/>
      <c r="AM228" s="554"/>
      <c r="AN228" s="720"/>
      <c r="AO228" s="720"/>
      <c r="AP228" s="584"/>
      <c r="AQ228" s="802"/>
      <c r="AR228" s="802"/>
      <c r="AS228" s="802"/>
      <c r="AT228" s="802"/>
      <c r="AU228" s="802"/>
    </row>
    <row r="229" spans="30:47">
      <c r="AD229" s="800"/>
      <c r="AE229" s="810"/>
      <c r="AF229" s="814"/>
      <c r="AG229" s="814"/>
      <c r="AH229" s="811"/>
      <c r="AI229" s="810"/>
      <c r="AJ229" s="814"/>
      <c r="AK229" s="814"/>
      <c r="AL229" s="811"/>
      <c r="AM229" s="554"/>
      <c r="AN229" s="720"/>
      <c r="AO229" s="720"/>
      <c r="AP229" s="584"/>
      <c r="AQ229" s="802"/>
      <c r="AR229" s="802"/>
      <c r="AS229" s="802"/>
      <c r="AT229" s="802"/>
      <c r="AU229" s="802"/>
    </row>
    <row r="230" spans="30:47">
      <c r="AD230" s="800"/>
      <c r="AE230" s="810"/>
      <c r="AF230" s="814"/>
      <c r="AG230" s="814"/>
      <c r="AH230" s="811"/>
      <c r="AI230" s="810"/>
      <c r="AJ230" s="814"/>
      <c r="AK230" s="814"/>
      <c r="AL230" s="811"/>
      <c r="AM230" s="554"/>
      <c r="AN230" s="720"/>
      <c r="AO230" s="720"/>
      <c r="AP230" s="584"/>
      <c r="AQ230" s="802"/>
      <c r="AR230" s="802"/>
      <c r="AS230" s="802"/>
      <c r="AT230" s="802"/>
      <c r="AU230" s="802"/>
    </row>
    <row r="231" spans="30:47">
      <c r="AD231" s="800"/>
      <c r="AE231" s="810"/>
      <c r="AF231" s="814"/>
      <c r="AG231" s="814"/>
      <c r="AH231" s="811"/>
      <c r="AI231" s="810"/>
      <c r="AJ231" s="814"/>
      <c r="AK231" s="814"/>
      <c r="AL231" s="811"/>
      <c r="AM231" s="554"/>
      <c r="AN231" s="720"/>
      <c r="AO231" s="720"/>
      <c r="AP231" s="584"/>
      <c r="AQ231" s="802"/>
      <c r="AR231" s="802"/>
      <c r="AS231" s="802"/>
      <c r="AT231" s="802"/>
      <c r="AU231" s="802"/>
    </row>
    <row r="232" spans="30:47">
      <c r="AD232" s="800"/>
      <c r="AE232" s="810"/>
      <c r="AF232" s="814"/>
      <c r="AG232" s="814"/>
      <c r="AH232" s="811"/>
      <c r="AI232" s="810"/>
      <c r="AJ232" s="814"/>
      <c r="AK232" s="814"/>
      <c r="AL232" s="811"/>
      <c r="AM232" s="554"/>
      <c r="AN232" s="720"/>
      <c r="AO232" s="720"/>
      <c r="AP232" s="584"/>
      <c r="AQ232" s="802"/>
      <c r="AR232" s="802"/>
      <c r="AS232" s="802"/>
      <c r="AT232" s="802"/>
      <c r="AU232" s="802"/>
    </row>
    <row r="233" spans="30:47">
      <c r="AD233" s="800"/>
      <c r="AE233" s="810"/>
      <c r="AF233" s="814"/>
      <c r="AG233" s="814"/>
      <c r="AH233" s="811"/>
      <c r="AI233" s="810"/>
      <c r="AJ233" s="814"/>
      <c r="AK233" s="814"/>
      <c r="AL233" s="811"/>
      <c r="AM233" s="554"/>
      <c r="AN233" s="720"/>
      <c r="AO233" s="720"/>
      <c r="AP233" s="584"/>
      <c r="AQ233" s="802"/>
      <c r="AR233" s="802"/>
      <c r="AS233" s="802"/>
      <c r="AT233" s="802"/>
      <c r="AU233" s="802"/>
    </row>
    <row r="234" spans="30:47">
      <c r="AD234" s="800"/>
      <c r="AE234" s="810"/>
      <c r="AF234" s="814"/>
      <c r="AG234" s="814"/>
      <c r="AH234" s="811"/>
      <c r="AI234" s="810"/>
      <c r="AJ234" s="814"/>
      <c r="AK234" s="814"/>
      <c r="AL234" s="811"/>
      <c r="AM234" s="554"/>
      <c r="AN234" s="720"/>
      <c r="AO234" s="720"/>
      <c r="AP234" s="584"/>
      <c r="AQ234" s="802"/>
      <c r="AR234" s="802"/>
      <c r="AS234" s="802"/>
      <c r="AT234" s="802"/>
      <c r="AU234" s="802"/>
    </row>
    <row r="235" spans="30:47">
      <c r="AD235" s="800"/>
      <c r="AE235" s="810"/>
      <c r="AF235" s="814"/>
      <c r="AG235" s="814"/>
      <c r="AH235" s="811"/>
      <c r="AI235" s="810"/>
      <c r="AJ235" s="814"/>
      <c r="AK235" s="814"/>
      <c r="AL235" s="811"/>
      <c r="AM235" s="554"/>
      <c r="AN235" s="720"/>
      <c r="AO235" s="720"/>
      <c r="AP235" s="584"/>
      <c r="AQ235" s="802"/>
      <c r="AR235" s="802"/>
      <c r="AS235" s="802"/>
      <c r="AT235" s="802"/>
      <c r="AU235" s="802"/>
    </row>
    <row r="236" spans="30:47">
      <c r="AD236" s="800"/>
      <c r="AE236" s="810"/>
      <c r="AF236" s="814"/>
      <c r="AG236" s="814"/>
      <c r="AH236" s="811"/>
      <c r="AI236" s="810"/>
      <c r="AJ236" s="814"/>
      <c r="AK236" s="814"/>
      <c r="AL236" s="811"/>
      <c r="AM236" s="554"/>
      <c r="AN236" s="720"/>
      <c r="AO236" s="720"/>
      <c r="AP236" s="584"/>
      <c r="AQ236" s="802"/>
      <c r="AR236" s="802"/>
      <c r="AS236" s="802"/>
      <c r="AT236" s="802"/>
      <c r="AU236" s="802"/>
    </row>
    <row r="237" spans="30:47">
      <c r="AD237" s="800"/>
      <c r="AE237" s="810"/>
      <c r="AF237" s="814"/>
      <c r="AG237" s="814"/>
      <c r="AH237" s="811"/>
      <c r="AI237" s="810"/>
      <c r="AJ237" s="814"/>
      <c r="AK237" s="814"/>
      <c r="AL237" s="811"/>
      <c r="AM237" s="554"/>
      <c r="AN237" s="720"/>
      <c r="AO237" s="720"/>
      <c r="AP237" s="584"/>
      <c r="AQ237" s="802"/>
      <c r="AR237" s="802"/>
      <c r="AS237" s="802"/>
      <c r="AT237" s="802"/>
      <c r="AU237" s="802"/>
    </row>
    <row r="238" spans="30:47">
      <c r="AD238" s="800"/>
      <c r="AE238" s="810"/>
      <c r="AF238" s="814"/>
      <c r="AG238" s="814"/>
      <c r="AH238" s="811"/>
      <c r="AI238" s="810"/>
      <c r="AJ238" s="814"/>
      <c r="AK238" s="814"/>
      <c r="AL238" s="811"/>
      <c r="AM238" s="554"/>
      <c r="AN238" s="720"/>
      <c r="AO238" s="720"/>
      <c r="AP238" s="584"/>
      <c r="AQ238" s="802"/>
      <c r="AR238" s="802"/>
      <c r="AS238" s="802"/>
      <c r="AT238" s="802"/>
      <c r="AU238" s="802"/>
    </row>
    <row r="239" spans="30:47">
      <c r="AD239" s="800"/>
      <c r="AE239" s="810"/>
      <c r="AF239" s="814"/>
      <c r="AG239" s="814"/>
      <c r="AH239" s="811"/>
      <c r="AI239" s="810"/>
      <c r="AJ239" s="814"/>
      <c r="AK239" s="814"/>
      <c r="AL239" s="811"/>
      <c r="AM239" s="554"/>
      <c r="AN239" s="720"/>
      <c r="AO239" s="720"/>
      <c r="AP239" s="584"/>
      <c r="AQ239" s="802"/>
      <c r="AR239" s="802"/>
      <c r="AS239" s="802"/>
      <c r="AT239" s="802"/>
      <c r="AU239" s="802"/>
    </row>
    <row r="240" spans="30:47">
      <c r="AD240" s="800"/>
      <c r="AE240" s="810"/>
      <c r="AF240" s="814"/>
      <c r="AG240" s="814"/>
      <c r="AH240" s="811"/>
      <c r="AI240" s="810"/>
      <c r="AJ240" s="814"/>
      <c r="AK240" s="814"/>
      <c r="AL240" s="811"/>
      <c r="AM240" s="554"/>
      <c r="AN240" s="720"/>
      <c r="AO240" s="720"/>
      <c r="AP240" s="584"/>
      <c r="AQ240" s="802"/>
      <c r="AR240" s="802"/>
      <c r="AS240" s="802"/>
      <c r="AT240" s="802"/>
      <c r="AU240" s="802"/>
    </row>
    <row r="241" spans="30:47">
      <c r="AD241" s="800"/>
      <c r="AE241" s="810"/>
      <c r="AF241" s="814"/>
      <c r="AG241" s="814"/>
      <c r="AH241" s="811"/>
      <c r="AI241" s="810"/>
      <c r="AJ241" s="814"/>
      <c r="AK241" s="814"/>
      <c r="AL241" s="811"/>
      <c r="AM241" s="554"/>
      <c r="AN241" s="720"/>
      <c r="AO241" s="720"/>
      <c r="AP241" s="584"/>
      <c r="AQ241" s="802"/>
      <c r="AR241" s="802"/>
      <c r="AS241" s="802"/>
      <c r="AT241" s="802"/>
      <c r="AU241" s="802"/>
    </row>
    <row r="242" spans="30:47">
      <c r="AD242" s="800"/>
      <c r="AE242" s="810"/>
      <c r="AF242" s="814"/>
      <c r="AG242" s="814"/>
      <c r="AH242" s="811"/>
      <c r="AI242" s="810"/>
      <c r="AJ242" s="814"/>
      <c r="AK242" s="814"/>
      <c r="AL242" s="811"/>
      <c r="AM242" s="554"/>
      <c r="AN242" s="720"/>
      <c r="AO242" s="720"/>
      <c r="AP242" s="584"/>
      <c r="AQ242" s="802"/>
      <c r="AR242" s="802"/>
      <c r="AS242" s="802"/>
      <c r="AT242" s="802"/>
      <c r="AU242" s="802"/>
    </row>
    <row r="243" spans="30:47">
      <c r="AD243" s="800"/>
      <c r="AE243" s="810"/>
      <c r="AF243" s="814"/>
      <c r="AG243" s="814"/>
      <c r="AH243" s="811"/>
      <c r="AI243" s="810"/>
      <c r="AJ243" s="814"/>
      <c r="AK243" s="814"/>
      <c r="AL243" s="811"/>
      <c r="AM243" s="554"/>
      <c r="AN243" s="720"/>
      <c r="AO243" s="720"/>
      <c r="AP243" s="584"/>
      <c r="AQ243" s="802"/>
      <c r="AR243" s="802"/>
      <c r="AS243" s="802"/>
      <c r="AT243" s="802"/>
      <c r="AU243" s="802"/>
    </row>
    <row r="244" spans="30:47">
      <c r="AD244" s="800"/>
      <c r="AE244" s="810"/>
      <c r="AF244" s="814"/>
      <c r="AG244" s="814"/>
      <c r="AH244" s="811"/>
      <c r="AI244" s="810"/>
      <c r="AJ244" s="814"/>
      <c r="AK244" s="814"/>
      <c r="AL244" s="811"/>
      <c r="AM244" s="554"/>
      <c r="AN244" s="720"/>
      <c r="AO244" s="720"/>
      <c r="AP244" s="584"/>
      <c r="AQ244" s="802"/>
      <c r="AR244" s="802"/>
      <c r="AS244" s="802"/>
      <c r="AT244" s="802"/>
      <c r="AU244" s="802"/>
    </row>
    <row r="245" spans="30:47" ht="15" thickBot="1">
      <c r="AD245" s="800"/>
      <c r="AE245" s="809"/>
      <c r="AF245" s="806"/>
      <c r="AG245" s="806"/>
      <c r="AH245" s="808"/>
      <c r="AI245" s="809"/>
      <c r="AJ245" s="806"/>
      <c r="AK245" s="806"/>
      <c r="AL245" s="808"/>
      <c r="AM245" s="546"/>
      <c r="AN245" s="544"/>
      <c r="AO245" s="544"/>
      <c r="AP245" s="733"/>
      <c r="AQ245" s="802"/>
      <c r="AR245" s="802"/>
      <c r="AS245" s="802"/>
      <c r="AT245" s="802"/>
      <c r="AU245" s="802"/>
    </row>
    <row r="246" spans="30:47">
      <c r="AD246" s="800"/>
      <c r="AE246" s="800"/>
      <c r="AF246" s="800"/>
      <c r="AG246" s="800"/>
      <c r="AH246" s="800"/>
      <c r="AI246" s="800"/>
      <c r="AJ246" s="802"/>
      <c r="AK246" s="802"/>
      <c r="AL246" s="802"/>
      <c r="AM246" s="802"/>
      <c r="AN246" s="802"/>
      <c r="AO246" s="802"/>
      <c r="AP246" s="802"/>
      <c r="AQ246" s="802"/>
      <c r="AR246" s="802"/>
      <c r="AS246" s="802"/>
      <c r="AT246" s="802"/>
      <c r="AU246" s="802"/>
    </row>
    <row r="247" spans="30:47">
      <c r="AD247" s="802"/>
      <c r="AE247" s="802"/>
      <c r="AF247" s="802"/>
      <c r="AG247" s="802"/>
      <c r="AH247" s="802"/>
      <c r="AI247" s="802"/>
      <c r="AJ247" s="802"/>
      <c r="AK247" s="802"/>
      <c r="AL247" s="802"/>
      <c r="AM247" s="802"/>
      <c r="AN247" s="802"/>
      <c r="AO247" s="802"/>
      <c r="AP247" s="802"/>
      <c r="AQ247" s="802"/>
      <c r="AR247" s="802"/>
      <c r="AS247" s="802"/>
      <c r="AT247" s="802"/>
      <c r="AU247" s="802"/>
    </row>
    <row r="248" spans="30:47" ht="15" thickBot="1">
      <c r="AD248" s="804" t="s">
        <v>8096</v>
      </c>
      <c r="AE248" s="801" t="s">
        <v>2975</v>
      </c>
      <c r="AF248" s="802"/>
      <c r="AG248" s="802"/>
      <c r="AH248" s="802"/>
      <c r="AI248" s="801" t="s">
        <v>5195</v>
      </c>
      <c r="AJ248" s="800"/>
      <c r="AK248" s="800"/>
      <c r="AL248" s="800"/>
      <c r="AM248" s="801" t="s">
        <v>4412</v>
      </c>
      <c r="AN248" s="800"/>
      <c r="AO248" s="800"/>
      <c r="AP248" s="800"/>
      <c r="AQ248" s="801" t="s">
        <v>4412</v>
      </c>
      <c r="AR248" s="800"/>
      <c r="AS248" s="800"/>
      <c r="AT248" s="800"/>
      <c r="AU248" s="802"/>
    </row>
    <row r="249" spans="30:47">
      <c r="AD249" s="800"/>
      <c r="AE249" s="807"/>
      <c r="AF249" s="813" t="s">
        <v>6729</v>
      </c>
      <c r="AG249" s="796" t="s">
        <v>2975</v>
      </c>
      <c r="AH249" s="812" t="s">
        <v>8098</v>
      </c>
      <c r="AI249" s="807"/>
      <c r="AJ249" s="813"/>
      <c r="AK249" s="796" t="s">
        <v>5195</v>
      </c>
      <c r="AL249" s="812" t="s">
        <v>8100</v>
      </c>
      <c r="AM249" s="807"/>
      <c r="AN249" s="813"/>
      <c r="AO249" s="796" t="s">
        <v>4413</v>
      </c>
      <c r="AP249" s="812" t="s">
        <v>8099</v>
      </c>
      <c r="AQ249" s="807"/>
      <c r="AR249" s="813"/>
      <c r="AS249" s="796" t="s">
        <v>11388</v>
      </c>
      <c r="AT249" s="812" t="s">
        <v>11499</v>
      </c>
      <c r="AU249" s="802"/>
    </row>
    <row r="250" spans="30:47">
      <c r="AD250" s="800"/>
      <c r="AE250" s="819"/>
      <c r="AF250" s="814"/>
      <c r="AG250" s="814"/>
      <c r="AH250" s="811"/>
      <c r="AI250" s="797" t="s">
        <v>6990</v>
      </c>
      <c r="AJ250" s="814"/>
      <c r="AK250" s="814"/>
      <c r="AL250" s="811"/>
      <c r="AM250" s="797" t="s">
        <v>6990</v>
      </c>
      <c r="AN250" s="814"/>
      <c r="AO250" s="814"/>
      <c r="AP250" s="811"/>
      <c r="AQ250" s="797" t="s">
        <v>6990</v>
      </c>
      <c r="AR250" s="814"/>
      <c r="AS250" s="814"/>
      <c r="AT250" s="811"/>
      <c r="AU250" s="802"/>
    </row>
    <row r="251" spans="30:47">
      <c r="AD251" s="800"/>
      <c r="AE251" s="810"/>
      <c r="AF251" s="795" t="s">
        <v>6995</v>
      </c>
      <c r="AG251" s="802" t="s">
        <v>6993</v>
      </c>
      <c r="AH251" s="811" t="s">
        <v>8102</v>
      </c>
      <c r="AI251" s="810"/>
      <c r="AJ251" s="814" t="str">
        <f>nmProd2</f>
        <v>Harken</v>
      </c>
      <c r="AK251" s="793" t="str">
        <f>nmProd2</f>
        <v>Harken</v>
      </c>
      <c r="AL251" s="811" t="s">
        <v>8104</v>
      </c>
      <c r="AM251" s="810"/>
      <c r="AN251" s="814" t="str">
        <f>nmProd2</f>
        <v>Harken</v>
      </c>
      <c r="AO251" s="793" t="str">
        <f>nmProd2</f>
        <v>Harken</v>
      </c>
      <c r="AP251" s="811" t="s">
        <v>8103</v>
      </c>
      <c r="AQ251" s="810"/>
      <c r="AR251" s="814" t="str">
        <f>nmProd2</f>
        <v>Harken</v>
      </c>
      <c r="AS251" s="793" t="str">
        <f>nmProd2</f>
        <v>Harken</v>
      </c>
      <c r="AT251" s="811" t="s">
        <v>11500</v>
      </c>
      <c r="AU251" s="802"/>
    </row>
    <row r="252" spans="30:47">
      <c r="AD252" s="800"/>
      <c r="AE252" s="810"/>
      <c r="AF252" s="795" t="s">
        <v>6995</v>
      </c>
      <c r="AG252" s="802" t="s">
        <v>4396</v>
      </c>
      <c r="AH252" s="811" t="s">
        <v>8106</v>
      </c>
      <c r="AI252" s="810"/>
      <c r="AJ252" s="814" t="str">
        <f>nmProd3</f>
        <v>Kara</v>
      </c>
      <c r="AK252" s="793" t="str">
        <f>nmProd3</f>
        <v>Kara</v>
      </c>
      <c r="AL252" s="811" t="s">
        <v>8108</v>
      </c>
      <c r="AM252" s="810"/>
      <c r="AN252" s="814" t="str">
        <f>nmProd3</f>
        <v>Kara</v>
      </c>
      <c r="AO252" s="793" t="str">
        <f>nmProd3</f>
        <v>Kara</v>
      </c>
      <c r="AP252" s="811" t="s">
        <v>8107</v>
      </c>
      <c r="AQ252" s="810"/>
      <c r="AR252" s="814" t="str">
        <f>nmProd3</f>
        <v>Kara</v>
      </c>
      <c r="AS252" s="793" t="str">
        <f>nmProd3</f>
        <v>Kara</v>
      </c>
      <c r="AT252" s="811" t="s">
        <v>11501</v>
      </c>
      <c r="AU252" s="802"/>
    </row>
    <row r="253" spans="30:47">
      <c r="AD253" s="800"/>
      <c r="AE253" s="810"/>
      <c r="AF253" s="795"/>
      <c r="AG253" s="802"/>
      <c r="AH253" s="811"/>
      <c r="AI253" s="810"/>
      <c r="AJ253" s="814" t="str">
        <f>nmProd1</f>
        <v>Greenborg</v>
      </c>
      <c r="AK253" s="793" t="str">
        <f>nmProd1</f>
        <v>Greenborg</v>
      </c>
      <c r="AL253" s="811" t="s">
        <v>8111</v>
      </c>
      <c r="AM253" s="810"/>
      <c r="AN253" s="814" t="str">
        <f>nmProd1</f>
        <v>Greenborg</v>
      </c>
      <c r="AO253" s="793" t="str">
        <f>nmProd1</f>
        <v>Greenborg</v>
      </c>
      <c r="AP253" s="811" t="s">
        <v>8110</v>
      </c>
      <c r="AQ253" s="810"/>
      <c r="AR253" s="814" t="str">
        <f>nmProd1</f>
        <v>Greenborg</v>
      </c>
      <c r="AS253" s="793" t="str">
        <f>nmProd1</f>
        <v>Greenborg</v>
      </c>
      <c r="AT253" s="811" t="s">
        <v>11502</v>
      </c>
      <c r="AU253" s="802"/>
    </row>
    <row r="254" spans="30:47">
      <c r="AD254" s="800"/>
      <c r="AE254" s="810"/>
      <c r="AF254" s="795"/>
      <c r="AG254" s="793" t="str">
        <f>IF(INDEX(obalCh4Prod2Slot1Active,,xxIndexTeam)=1,nmProd2&amp;" - "&amp;INDEX(obalCh4Prod2Slot1Pack,,xxIndexTeam),"")</f>
        <v>Harken - 25Ltr Keg</v>
      </c>
      <c r="AH254" s="811" t="s">
        <v>8113</v>
      </c>
      <c r="AI254" s="810"/>
      <c r="AJ254" s="814" t="str">
        <f>nmProd4</f>
        <v>Brew Master</v>
      </c>
      <c r="AK254" s="793" t="str">
        <f>nmProd4</f>
        <v>Brew Master</v>
      </c>
      <c r="AL254" s="811" t="s">
        <v>8115</v>
      </c>
      <c r="AM254" s="810"/>
      <c r="AN254" s="814" t="str">
        <f>nmProd4</f>
        <v>Brew Master</v>
      </c>
      <c r="AO254" s="793" t="str">
        <f>nmProd4</f>
        <v>Brew Master</v>
      </c>
      <c r="AP254" s="811" t="s">
        <v>8114</v>
      </c>
      <c r="AQ254" s="810"/>
      <c r="AR254" s="814" t="str">
        <f>nmProd4</f>
        <v>Brew Master</v>
      </c>
      <c r="AS254" s="793" t="str">
        <f>nmProd4</f>
        <v>Brew Master</v>
      </c>
      <c r="AT254" s="811" t="s">
        <v>11503</v>
      </c>
      <c r="AU254" s="802"/>
    </row>
    <row r="255" spans="30:47">
      <c r="AD255" s="800"/>
      <c r="AE255" s="810"/>
      <c r="AF255" s="795"/>
      <c r="AG255" s="793" t="str">
        <f>IF(INDEX(obalCh4Prod2Slot2Active,,xxIndexTeam)=1,nmProd2&amp;" - "&amp;INDEX(obalCh4Prod2Slot2Pack,,xxIndexTeam),"")</f>
        <v/>
      </c>
      <c r="AH255" s="811" t="s">
        <v>8117</v>
      </c>
      <c r="AI255" s="797" t="s">
        <v>6989</v>
      </c>
      <c r="AJ255" s="814"/>
      <c r="AK255" s="814"/>
      <c r="AL255" s="811"/>
      <c r="AM255" s="797" t="s">
        <v>6989</v>
      </c>
      <c r="AN255" s="814"/>
      <c r="AO255" s="814"/>
      <c r="AP255" s="811"/>
      <c r="AQ255" s="797" t="s">
        <v>6989</v>
      </c>
      <c r="AR255" s="814"/>
      <c r="AS255" s="814"/>
      <c r="AT255" s="811"/>
      <c r="AU255" s="802"/>
    </row>
    <row r="256" spans="30:47">
      <c r="AD256" s="800"/>
      <c r="AE256" s="810"/>
      <c r="AF256" s="795"/>
      <c r="AG256" s="793" t="str">
        <f>IF(INDEX(obalCh4Prod2Slot3Active,,xxIndexTeam)=1,nmProd2&amp;" - "&amp;INDEX(obalCh4Prod2Slot3Pack,,xxIndexTeam),"")</f>
        <v/>
      </c>
      <c r="AH256" s="811" t="s">
        <v>8119</v>
      </c>
      <c r="AI256" s="810"/>
      <c r="AJ256" s="814" t="str">
        <f>nmProd2</f>
        <v>Harken</v>
      </c>
      <c r="AK256" s="793" t="str">
        <f>IF(AND(INDEX(obalCh4Prod2Slot1Active,,xxIndexTeam)=1,NOT(INDEX(obalCh4Prod2Slot1Promo1,,xxIndexTeam)="No Promotion")),INDEX(obalCh4Prod2Slot1Pack,,xxIndexTeam)&amp; " - "&amp;INDEX(obalCh4Prod2Slot1Promo1,,xxIndexTeam)&amp;" - "&amp;INDEX(obalCh4Prod2Slot1Promo1Weeks,,xxIndexTeam)&amp;"Ws","")</f>
        <v>25Ltr Keg - TPR 33% - 8Ws</v>
      </c>
      <c r="AL256" s="811" t="s">
        <v>8121</v>
      </c>
      <c r="AM256" s="810"/>
      <c r="AN256" s="814" t="str">
        <f>nmProd2</f>
        <v>Harken</v>
      </c>
      <c r="AO256" s="793" t="str">
        <f>IF(AND(INDEX(obalCh4Prod2Slot1Active,,xxIndexTeam)=1,NOT(INDEX(obalCh4Prod2Slot1Promo1,,xxIndexTeam)="No Promotion")),INDEX(obalCh4Prod2Slot1Pack,,xxIndexTeam)&amp; " - "&amp;INDEX(obalCh4Prod2Slot1Promo1,,xxIndexTeam)&amp;" - "&amp;INDEX(obalCh4Prod2Slot1Promo1Weeks,,xxIndexTeam)&amp;"Ws","")</f>
        <v>25Ltr Keg - TPR 33% - 8Ws</v>
      </c>
      <c r="AP256" s="811" t="s">
        <v>8120</v>
      </c>
      <c r="AQ256" s="810"/>
      <c r="AR256" s="814" t="str">
        <f>nmProd2</f>
        <v>Harken</v>
      </c>
      <c r="AS256" s="793" t="str">
        <f>IF(AND(INDEX(obalCh4Prod2Slot1Active,,xxIndexTeam)=1,NOT(INDEX(obalCh4Prod2Slot1Promo1,,xxIndexTeam)="No Promotion")),INDEX(obalCh4Prod2Slot1Pack,,xxIndexTeam)&amp; " - "&amp;INDEX(obalCh4Prod2Slot1Promo1,,xxIndexTeam)&amp;" - "&amp;INDEX(obalCh4Prod2Slot1Promo1Weeks,,xxIndexTeam)&amp;"Ws","")</f>
        <v>25Ltr Keg - TPR 33% - 8Ws</v>
      </c>
      <c r="AT256" s="811" t="s">
        <v>11504</v>
      </c>
      <c r="AU256" s="802"/>
    </row>
    <row r="257" spans="30:47">
      <c r="AD257" s="800"/>
      <c r="AE257" s="554"/>
      <c r="AF257" s="720"/>
      <c r="AG257" s="793" t="str">
        <f>IF(INDEX(obalCh4Prod3Slot1Active,,xxIndexTeam)=1,nmProd3&amp;" - "&amp;INDEX(obalCh4Prod3Slot1Pack,,xxIndexTeam),"")</f>
        <v>Kara - 25Ltr Keg</v>
      </c>
      <c r="AH257" s="811" t="s">
        <v>8123</v>
      </c>
      <c r="AI257" s="810"/>
      <c r="AJ257" s="814" t="str">
        <f>nmProd2</f>
        <v>Harken</v>
      </c>
      <c r="AK257" s="793" t="str">
        <f>IF(AND(INDEX(obalCh4Prod2Slot2Active,,xxIndexTeam)=1,NOT(INDEX(obalCh4Prod2Slot2Promo1,,xxIndexTeam)="No Promotion")),INDEX(obalCh4Prod2Slot2Pack,,xxIndexTeam)&amp; " - "&amp;INDEX(obalCh4Prod2Slot2Promo1,,xxIndexTeam)&amp;" - "&amp;INDEX(obalCh4Prod2Slot2Promo1Weeks,,xxIndexTeam)&amp;"Ws","")</f>
        <v/>
      </c>
      <c r="AL257" s="811" t="s">
        <v>8125</v>
      </c>
      <c r="AM257" s="810"/>
      <c r="AN257" s="814" t="str">
        <f>nmProd2</f>
        <v>Harken</v>
      </c>
      <c r="AO257" s="793" t="str">
        <f>IF(AND(INDEX(obalCh4Prod2Slot2Active,,xxIndexTeam)=1,NOT(INDEX(obalCh4Prod2Slot2Promo1,,xxIndexTeam)="No Promotion")),INDEX(obalCh4Prod2Slot2Pack,,xxIndexTeam)&amp; " - "&amp;INDEX(obalCh4Prod2Slot2Promo1,,xxIndexTeam)&amp;" - "&amp;INDEX(obalCh4Prod2Slot2Promo1Weeks,,xxIndexTeam)&amp;"Ws","")</f>
        <v/>
      </c>
      <c r="AP257" s="811" t="s">
        <v>8124</v>
      </c>
      <c r="AQ257" s="810"/>
      <c r="AR257" s="814" t="str">
        <f>nmProd2</f>
        <v>Harken</v>
      </c>
      <c r="AS257" s="793" t="str">
        <f>IF(AND(INDEX(obalCh4Prod2Slot2Active,,xxIndexTeam)=1,NOT(INDEX(obalCh4Prod2Slot2Promo1,,xxIndexTeam)="No Promotion")),INDEX(obalCh4Prod2Slot2Pack,,xxIndexTeam)&amp; " - "&amp;INDEX(obalCh4Prod2Slot2Promo1,,xxIndexTeam)&amp;" - "&amp;INDEX(obalCh4Prod2Slot2Promo1Weeks,,xxIndexTeam)&amp;"Ws","")</f>
        <v/>
      </c>
      <c r="AT257" s="811" t="s">
        <v>11505</v>
      </c>
      <c r="AU257" s="802"/>
    </row>
    <row r="258" spans="30:47">
      <c r="AD258" s="800"/>
      <c r="AE258" s="554"/>
      <c r="AF258" s="720"/>
      <c r="AG258" s="793" t="str">
        <f>IF(INDEX(obalCh4Prod3Slot2Active,,xxIndexTeam)=1,nmProd3&amp;" - "&amp;INDEX(obalCh4Prod3Slot2Pack,,xxIndexTeam),"")</f>
        <v/>
      </c>
      <c r="AH258" s="811" t="s">
        <v>8127</v>
      </c>
      <c r="AI258" s="810"/>
      <c r="AJ258" s="814" t="str">
        <f>nmProd2</f>
        <v>Harken</v>
      </c>
      <c r="AK258" s="793" t="str">
        <f>IF(AND(INDEX(obalCh4Prod2Slot3Active,,xxIndexTeam)=1,NOT(INDEX(obalCh4Prod2Slot3Promo1,,xxIndexTeam)="No Promotion")),INDEX(obalCh4Prod2Slot3Pack,,xxIndexTeam)&amp; " - "&amp;INDEX(obalCh4Prod2Slot3Promo1,,xxIndexTeam)&amp;" - "&amp;INDEX(obalCh4Prod2Slot3Promo1Weeks,,xxIndexTeam)&amp;"Ws","")</f>
        <v/>
      </c>
      <c r="AL258" s="811" t="s">
        <v>8129</v>
      </c>
      <c r="AM258" s="810"/>
      <c r="AN258" s="814" t="str">
        <f>nmProd2</f>
        <v>Harken</v>
      </c>
      <c r="AO258" s="793" t="str">
        <f>IF(AND(INDEX(obalCh4Prod2Slot3Active,,xxIndexTeam)=1,NOT(INDEX(obalCh4Prod2Slot3Promo1,,xxIndexTeam)="No Promotion")),INDEX(obalCh4Prod2Slot3Pack,,xxIndexTeam)&amp; " - "&amp;INDEX(obalCh4Prod2Slot3Promo1,,xxIndexTeam)&amp;" - "&amp;INDEX(obalCh4Prod2Slot3Promo1Weeks,,xxIndexTeam)&amp;"Ws","")</f>
        <v/>
      </c>
      <c r="AP258" s="811" t="s">
        <v>8128</v>
      </c>
      <c r="AQ258" s="810"/>
      <c r="AR258" s="814" t="str">
        <f>nmProd2</f>
        <v>Harken</v>
      </c>
      <c r="AS258" s="793" t="str">
        <f>IF(AND(INDEX(obalCh4Prod2Slot3Active,,xxIndexTeam)=1,NOT(INDEX(obalCh4Prod2Slot3Promo1,,xxIndexTeam)="No Promotion")),INDEX(obalCh4Prod2Slot3Pack,,xxIndexTeam)&amp; " - "&amp;INDEX(obalCh4Prod2Slot3Promo1,,xxIndexTeam)&amp;" - "&amp;INDEX(obalCh4Prod2Slot3Promo1Weeks,,xxIndexTeam)&amp;"Ws","")</f>
        <v/>
      </c>
      <c r="AT258" s="811" t="s">
        <v>11506</v>
      </c>
      <c r="AU258" s="802"/>
    </row>
    <row r="259" spans="30:47">
      <c r="AD259" s="800"/>
      <c r="AE259" s="810"/>
      <c r="AF259" s="814"/>
      <c r="AG259" s="793" t="str">
        <f>IF(INDEX(obalCh4Prod3Slot3Active,,xxIndexTeam)=1,nmProd3&amp;" - "&amp;INDEX(obalCh4Prod3Slot3Pack,,xxIndexTeam),"")</f>
        <v/>
      </c>
      <c r="AH259" s="811" t="s">
        <v>8131</v>
      </c>
      <c r="AI259" s="810"/>
      <c r="AJ259" s="814" t="str">
        <f>nmProd3</f>
        <v>Kara</v>
      </c>
      <c r="AK259" s="793" t="str">
        <f>IF(AND(INDEX(obalCh4Prod3Slot1Active,,xxIndexTeam)=1,NOT(INDEX(obalCh4Prod3Slot1Promo1,,xxIndexTeam)="No Promotion")),INDEX(obalCh4Prod3Slot1Pack,,xxIndexTeam)&amp; " - "&amp;INDEX(obalCh4Prod3Slot1Promo1,,xxIndexTeam)&amp;" - "&amp;INDEX(obalCh4Prod3Slot1Promo1Weeks,,xxIndexTeam)&amp;"Ws","")</f>
        <v/>
      </c>
      <c r="AL259" s="811" t="s">
        <v>8133</v>
      </c>
      <c r="AM259" s="810"/>
      <c r="AN259" s="814" t="str">
        <f>nmProd3</f>
        <v>Kara</v>
      </c>
      <c r="AO259" s="793" t="str">
        <f>IF(AND(INDEX(obalCh4Prod3Slot1Active,,xxIndexTeam)=1,NOT(INDEX(obalCh4Prod3Slot1Promo1,,xxIndexTeam)="No Promotion")),INDEX(obalCh4Prod3Slot1Pack,,xxIndexTeam)&amp; " - "&amp;INDEX(obalCh4Prod3Slot1Promo1,,xxIndexTeam)&amp;" - "&amp;INDEX(obalCh4Prod3Slot1Promo1Weeks,,xxIndexTeam)&amp;"Ws","")</f>
        <v/>
      </c>
      <c r="AP259" s="811" t="s">
        <v>8132</v>
      </c>
      <c r="AQ259" s="810"/>
      <c r="AR259" s="814" t="str">
        <f>nmProd3</f>
        <v>Kara</v>
      </c>
      <c r="AS259" s="793" t="str">
        <f>IF(AND(INDEX(obalCh4Prod3Slot1Active,,xxIndexTeam)=1,NOT(INDEX(obalCh4Prod3Slot1Promo1,,xxIndexTeam)="No Promotion")),INDEX(obalCh4Prod3Slot1Pack,,xxIndexTeam)&amp; " - "&amp;INDEX(obalCh4Prod3Slot1Promo1,,xxIndexTeam)&amp;" - "&amp;INDEX(obalCh4Prod3Slot1Promo1Weeks,,xxIndexTeam)&amp;"Ws","")</f>
        <v/>
      </c>
      <c r="AT259" s="811" t="s">
        <v>11507</v>
      </c>
      <c r="AU259" s="802"/>
    </row>
    <row r="260" spans="30:47">
      <c r="AD260" s="800"/>
      <c r="AE260" s="810"/>
      <c r="AF260" s="814"/>
      <c r="AG260" s="793" t="str">
        <f>IF(INDEX(obalCh4Prod1Slot1Active,,xxIndexTeam)=1,nmProd1&amp;" - "&amp;INDEX(obalCh4Prod1Slot1Pack,,xxIndexTeam),"")</f>
        <v>Greenborg - 25Ltr Keg</v>
      </c>
      <c r="AH260" s="811" t="s">
        <v>8135</v>
      </c>
      <c r="AI260" s="810"/>
      <c r="AJ260" s="814" t="str">
        <f>nmProd3</f>
        <v>Kara</v>
      </c>
      <c r="AK260" s="793" t="str">
        <f>IF(AND(INDEX(obalCh4Prod3Slot2Active,,xxIndexTeam)=1,NOT(INDEX(obalCh4Prod3Slot2Promo1,,xxIndexTeam)="No Promotion")),INDEX(obalCh4Prod3Slot2Pack,,xxIndexTeam)&amp; " - "&amp;INDEX(obalCh4Prod3Slot2Promo1,,xxIndexTeam)&amp;" - "&amp;INDEX(obalCh4Prod3Slot2Promo1Weeks,,xxIndexTeam)&amp;"Ws","")</f>
        <v/>
      </c>
      <c r="AL260" s="811" t="s">
        <v>8137</v>
      </c>
      <c r="AM260" s="810"/>
      <c r="AN260" s="814" t="str">
        <f>nmProd3</f>
        <v>Kara</v>
      </c>
      <c r="AO260" s="793" t="str">
        <f>IF(AND(INDEX(obalCh4Prod3Slot2Active,,xxIndexTeam)=1,NOT(INDEX(obalCh4Prod3Slot2Promo1,,xxIndexTeam)="No Promotion")),INDEX(obalCh4Prod3Slot2Pack,,xxIndexTeam)&amp; " - "&amp;INDEX(obalCh4Prod3Slot2Promo1,,xxIndexTeam)&amp;" - "&amp;INDEX(obalCh4Prod3Slot2Promo1Weeks,,xxIndexTeam)&amp;"Ws","")</f>
        <v/>
      </c>
      <c r="AP260" s="811" t="s">
        <v>8136</v>
      </c>
      <c r="AQ260" s="810"/>
      <c r="AR260" s="814" t="str">
        <f>nmProd3</f>
        <v>Kara</v>
      </c>
      <c r="AS260" s="793" t="str">
        <f>IF(AND(INDEX(obalCh4Prod3Slot2Active,,xxIndexTeam)=1,NOT(INDEX(obalCh4Prod3Slot2Promo1,,xxIndexTeam)="No Promotion")),INDEX(obalCh4Prod3Slot2Pack,,xxIndexTeam)&amp; " - "&amp;INDEX(obalCh4Prod3Slot2Promo1,,xxIndexTeam)&amp;" - "&amp;INDEX(obalCh4Prod3Slot2Promo1Weeks,,xxIndexTeam)&amp;"Ws","")</f>
        <v/>
      </c>
      <c r="AT260" s="811" t="s">
        <v>11508</v>
      </c>
      <c r="AU260" s="802"/>
    </row>
    <row r="261" spans="30:47">
      <c r="AD261" s="800"/>
      <c r="AE261" s="810"/>
      <c r="AF261" s="814"/>
      <c r="AG261" s="793" t="str">
        <f>IF(INDEX(obalCh4Prod1Slot2Active,,xxIndexTeam)=1,nmProd1&amp;" - "&amp;INDEX(obalCh4Prod1Slot2Pack,,xxIndexTeam),"")</f>
        <v/>
      </c>
      <c r="AH261" s="811" t="s">
        <v>8139</v>
      </c>
      <c r="AI261" s="810"/>
      <c r="AJ261" s="814" t="str">
        <f>nmProd3</f>
        <v>Kara</v>
      </c>
      <c r="AK261" s="793" t="str">
        <f>IF(AND(INDEX(obalCh4Prod3Slot3Active,,xxIndexTeam)=1,NOT(INDEX(obalCh4Prod3Slot3Promo1,,xxIndexTeam)="No Promotion")),INDEX(obalCh4Prod3Slot3Pack,,xxIndexTeam)&amp; " - "&amp;INDEX(obalCh4Prod3Slot3Promo1,,xxIndexTeam)&amp;" - "&amp;INDEX(obalCh4Prod3Slot3Promo1Weeks,,xxIndexTeam)&amp;"Ws","")</f>
        <v/>
      </c>
      <c r="AL261" s="811" t="s">
        <v>8141</v>
      </c>
      <c r="AM261" s="810"/>
      <c r="AN261" s="814" t="str">
        <f>nmProd3</f>
        <v>Kara</v>
      </c>
      <c r="AO261" s="793" t="str">
        <f>IF(AND(INDEX(obalCh4Prod3Slot3Active,,xxIndexTeam)=1,NOT(INDEX(obalCh4Prod3Slot3Promo1,,xxIndexTeam)="No Promotion")),INDEX(obalCh4Prod3Slot3Pack,,xxIndexTeam)&amp; " - "&amp;INDEX(obalCh4Prod3Slot3Promo1,,xxIndexTeam)&amp;" - "&amp;INDEX(obalCh4Prod3Slot3Promo1Weeks,,xxIndexTeam)&amp;"Ws","")</f>
        <v/>
      </c>
      <c r="AP261" s="811" t="s">
        <v>8140</v>
      </c>
      <c r="AQ261" s="810"/>
      <c r="AR261" s="814" t="str">
        <f>nmProd3</f>
        <v>Kara</v>
      </c>
      <c r="AS261" s="793" t="str">
        <f>IF(AND(INDEX(obalCh4Prod3Slot3Active,,xxIndexTeam)=1,NOT(INDEX(obalCh4Prod3Slot3Promo1,,xxIndexTeam)="No Promotion")),INDEX(obalCh4Prod3Slot3Pack,,xxIndexTeam)&amp; " - "&amp;INDEX(obalCh4Prod3Slot3Promo1,,xxIndexTeam)&amp;" - "&amp;INDEX(obalCh4Prod3Slot3Promo1Weeks,,xxIndexTeam)&amp;"Ws","")</f>
        <v/>
      </c>
      <c r="AT261" s="811" t="s">
        <v>11509</v>
      </c>
      <c r="AU261" s="802"/>
    </row>
    <row r="262" spans="30:47">
      <c r="AD262" s="800"/>
      <c r="AE262" s="810"/>
      <c r="AF262" s="814"/>
      <c r="AG262" s="793" t="str">
        <f>IF(INDEX(obalCh4Prod1Slot3Active,,xxIndexTeam)=1,nmProd1&amp;" - "&amp;INDEX(obalCh4Prod1Slot3Pack,,xxIndexTeam),"")</f>
        <v/>
      </c>
      <c r="AH262" s="811" t="s">
        <v>8143</v>
      </c>
      <c r="AI262" s="810"/>
      <c r="AJ262" s="814" t="str">
        <f>nmProd1</f>
        <v>Greenborg</v>
      </c>
      <c r="AK262" s="793" t="str">
        <f>IF(AND(INDEX(obalCh4Prod1Slot1Active,,xxIndexTeam)=1,NOT(INDEX(obalCh4Prod1Slot1Promo1,,xxIndexTeam)="No Promotion")),INDEX(obalCh4Prod1Slot1Pack,,xxIndexTeam)&amp; " - "&amp;INDEX(obalCh4Prod1Slot1Promo1,,xxIndexTeam)&amp;" - "&amp;INDEX(obalCh4Prod1Slot1Promo1Weeks,,xxIndexTeam)&amp;"Ws","")</f>
        <v>25Ltr Keg - TPR 20% - 4Ws</v>
      </c>
      <c r="AL262" s="811" t="s">
        <v>8145</v>
      </c>
      <c r="AM262" s="810"/>
      <c r="AN262" s="814" t="str">
        <f>nmProd1</f>
        <v>Greenborg</v>
      </c>
      <c r="AO262" s="793" t="str">
        <f>IF(AND(INDEX(obalCh4Prod1Slot1Active,,xxIndexTeam)=1,NOT(INDEX(obalCh4Prod1Slot1Promo1,,xxIndexTeam)="No Promotion")),INDEX(obalCh4Prod1Slot1Pack,,xxIndexTeam)&amp; " - "&amp;INDEX(obalCh4Prod1Slot1Promo1,,xxIndexTeam)&amp;" - "&amp;INDEX(obalCh4Prod1Slot1Promo1Weeks,,xxIndexTeam)&amp;"Ws","")</f>
        <v>25Ltr Keg - TPR 20% - 4Ws</v>
      </c>
      <c r="AP262" s="811" t="s">
        <v>8144</v>
      </c>
      <c r="AQ262" s="810"/>
      <c r="AR262" s="814" t="str">
        <f>nmProd1</f>
        <v>Greenborg</v>
      </c>
      <c r="AS262" s="793" t="str">
        <f>IF(AND(INDEX(obalCh4Prod1Slot1Active,,xxIndexTeam)=1,NOT(INDEX(obalCh4Prod1Slot1Promo1,,xxIndexTeam)="No Promotion")),INDEX(obalCh4Prod1Slot1Pack,,xxIndexTeam)&amp; " - "&amp;INDEX(obalCh4Prod1Slot1Promo1,,xxIndexTeam)&amp;" - "&amp;INDEX(obalCh4Prod1Slot1Promo1Weeks,,xxIndexTeam)&amp;"Ws","")</f>
        <v>25Ltr Keg - TPR 20% - 4Ws</v>
      </c>
      <c r="AT262" s="811" t="s">
        <v>11510</v>
      </c>
      <c r="AU262" s="802"/>
    </row>
    <row r="263" spans="30:47">
      <c r="AD263" s="800"/>
      <c r="AE263" s="810"/>
      <c r="AF263" s="814"/>
      <c r="AG263" s="793" t="str">
        <f>IF(INDEX(obalCh4Prod4Slot1Active,,xxIndexTeam)=1,nmProd4&amp;" - "&amp;INDEX(obalCh4Prod4Slot1Pack,,xxIndexTeam),"")</f>
        <v>Brew Master - 33cl Bottle</v>
      </c>
      <c r="AH263" s="811" t="s">
        <v>8147</v>
      </c>
      <c r="AI263" s="810"/>
      <c r="AJ263" s="814" t="str">
        <f>nmProd1</f>
        <v>Greenborg</v>
      </c>
      <c r="AK263" s="793" t="str">
        <f>IF(AND(INDEX(obalCh4Prod1Slot2Active,,xxIndexTeam)=1,NOT(INDEX(obalCh4Prod1Slot2Promo1,,xxIndexTeam)="No Promotion")),INDEX(obalCh4Prod1Slot2Pack,,xxIndexTeam)&amp; " - "&amp;INDEX(obalCh4Prod1Slot2Promo1,,xxIndexTeam)&amp;" - "&amp;INDEX(obalCh4Prod1Slot2Promo1Weeks,,xxIndexTeam)&amp;"Ws","")</f>
        <v/>
      </c>
      <c r="AL263" s="811" t="s">
        <v>8149</v>
      </c>
      <c r="AM263" s="810"/>
      <c r="AN263" s="814" t="str">
        <f>nmProd1</f>
        <v>Greenborg</v>
      </c>
      <c r="AO263" s="793" t="str">
        <f>IF(AND(INDEX(obalCh4Prod1Slot2Active,,xxIndexTeam)=1,NOT(INDEX(obalCh4Prod1Slot2Promo1,,xxIndexTeam)="No Promotion")),INDEX(obalCh4Prod1Slot2Pack,,xxIndexTeam)&amp; " - "&amp;INDEX(obalCh4Prod1Slot2Promo1,,xxIndexTeam)&amp;" - "&amp;INDEX(obalCh4Prod1Slot2Promo1Weeks,,xxIndexTeam)&amp;"Ws","")</f>
        <v/>
      </c>
      <c r="AP263" s="811" t="s">
        <v>8148</v>
      </c>
      <c r="AQ263" s="810"/>
      <c r="AR263" s="814" t="str">
        <f>nmProd1</f>
        <v>Greenborg</v>
      </c>
      <c r="AS263" s="793" t="str">
        <f>IF(AND(INDEX(obalCh4Prod1Slot2Active,,xxIndexTeam)=1,NOT(INDEX(obalCh4Prod1Slot2Promo1,,xxIndexTeam)="No Promotion")),INDEX(obalCh4Prod1Slot2Pack,,xxIndexTeam)&amp; " - "&amp;INDEX(obalCh4Prod1Slot2Promo1,,xxIndexTeam)&amp;" - "&amp;INDEX(obalCh4Prod1Slot2Promo1Weeks,,xxIndexTeam)&amp;"Ws","")</f>
        <v/>
      </c>
      <c r="AT263" s="811" t="s">
        <v>11511</v>
      </c>
      <c r="AU263" s="802"/>
    </row>
    <row r="264" spans="30:47">
      <c r="AD264" s="800"/>
      <c r="AE264" s="810"/>
      <c r="AF264" s="814"/>
      <c r="AG264" s="793" t="str">
        <f>IF(INDEX(obalCh4Prod4Slot2Active,,xxIndexTeam)=1,nmProd4&amp;" - "&amp;INDEX(obalCh4Prod4Slot2Pack,,xxIndexTeam),"")</f>
        <v/>
      </c>
      <c r="AH264" s="811" t="s">
        <v>8151</v>
      </c>
      <c r="AI264" s="810"/>
      <c r="AJ264" s="814" t="str">
        <f>nmProd1</f>
        <v>Greenborg</v>
      </c>
      <c r="AK264" s="793" t="str">
        <f>IF(AND(INDEX(obalCh4Prod1Slot3Active,,xxIndexTeam)=1,NOT(INDEX(obalCh4Prod1Slot3Promo1,,xxIndexTeam)="No Promotion")),INDEX(obalCh4Prod1Slot3Pack,,xxIndexTeam)&amp; " - "&amp;INDEX(obalCh4Prod1Slot3Promo1,,xxIndexTeam)&amp;" - "&amp;INDEX(obalCh4Prod1Slot3Promo1Weeks,,xxIndexTeam)&amp;"Ws","")</f>
        <v/>
      </c>
      <c r="AL264" s="811" t="s">
        <v>8153</v>
      </c>
      <c r="AM264" s="810"/>
      <c r="AN264" s="814" t="str">
        <f>nmProd1</f>
        <v>Greenborg</v>
      </c>
      <c r="AO264" s="793" t="str">
        <f>IF(AND(INDEX(obalCh4Prod1Slot3Active,,xxIndexTeam)=1,NOT(INDEX(obalCh4Prod1Slot3Promo1,,xxIndexTeam)="No Promotion")),INDEX(obalCh4Prod1Slot3Pack,,xxIndexTeam)&amp; " - "&amp;INDEX(obalCh4Prod1Slot3Promo1,,xxIndexTeam)&amp;" - "&amp;INDEX(obalCh4Prod1Slot3Promo1Weeks,,xxIndexTeam)&amp;"Ws","")</f>
        <v/>
      </c>
      <c r="AP264" s="811" t="s">
        <v>8152</v>
      </c>
      <c r="AQ264" s="810"/>
      <c r="AR264" s="814" t="str">
        <f>nmProd1</f>
        <v>Greenborg</v>
      </c>
      <c r="AS264" s="793" t="str">
        <f>IF(AND(INDEX(obalCh4Prod1Slot3Active,,xxIndexTeam)=1,NOT(INDEX(obalCh4Prod1Slot3Promo1,,xxIndexTeam)="No Promotion")),INDEX(obalCh4Prod1Slot3Pack,,xxIndexTeam)&amp; " - "&amp;INDEX(obalCh4Prod1Slot3Promo1,,xxIndexTeam)&amp;" - "&amp;INDEX(obalCh4Prod1Slot3Promo1Weeks,,xxIndexTeam)&amp;"Ws","")</f>
        <v/>
      </c>
      <c r="AT264" s="811" t="s">
        <v>11512</v>
      </c>
      <c r="AU264" s="802"/>
    </row>
    <row r="265" spans="30:47">
      <c r="AD265" s="800"/>
      <c r="AE265" s="810"/>
      <c r="AF265" s="814"/>
      <c r="AG265" s="793" t="str">
        <f>IF(INDEX(obalCh4Prod4Slot3Active,,xxIndexTeam)=1,nmProd4&amp;" - "&amp;INDEX(obalCh4Prod4Slot3Pack,,xxIndexTeam),"")</f>
        <v/>
      </c>
      <c r="AH265" s="811" t="s">
        <v>8155</v>
      </c>
      <c r="AI265" s="810"/>
      <c r="AJ265" s="814" t="str">
        <f>nmProd4</f>
        <v>Brew Master</v>
      </c>
      <c r="AK265" s="793" t="str">
        <f>IF(AND(INDEX(obalCh4Prod4Slot1Active,,xxIndexTeam)=1,NOT(INDEX(obalCh4Prod4Slot1Promo1,,xxIndexTeam)="No Promotion")),INDEX(obalCh4Prod4Slot1Pack,,xxIndexTeam)&amp; " - "&amp;INDEX(obalCh4Prod4Slot1Promo1,,xxIndexTeam)&amp;" - "&amp;INDEX(obalCh4Prod4Slot1Promo1Weeks,,xxIndexTeam)&amp;"Ws","")</f>
        <v>33cl Bottle - TPR 20% - 2Ws</v>
      </c>
      <c r="AL265" s="811" t="s">
        <v>8157</v>
      </c>
      <c r="AM265" s="810"/>
      <c r="AN265" s="814" t="str">
        <f>nmProd4</f>
        <v>Brew Master</v>
      </c>
      <c r="AO265" s="793" t="str">
        <f>IF(AND(INDEX(obalCh4Prod4Slot1Active,,xxIndexTeam)=1,NOT(INDEX(obalCh4Prod4Slot1Promo1,,xxIndexTeam)="No Promotion")),INDEX(obalCh4Prod4Slot1Pack,,xxIndexTeam)&amp; " - "&amp;INDEX(obalCh4Prod4Slot1Promo1,,xxIndexTeam)&amp;" - "&amp;INDEX(obalCh4Prod4Slot1Promo1Weeks,,xxIndexTeam)&amp;"Ws","")</f>
        <v>33cl Bottle - TPR 20% - 2Ws</v>
      </c>
      <c r="AP265" s="811" t="s">
        <v>8156</v>
      </c>
      <c r="AQ265" s="810"/>
      <c r="AR265" s="814" t="str">
        <f>nmProd4</f>
        <v>Brew Master</v>
      </c>
      <c r="AS265" s="793" t="str">
        <f>IF(AND(INDEX(obalCh4Prod4Slot1Active,,xxIndexTeam)=1,NOT(INDEX(obalCh4Prod4Slot1Promo1,,xxIndexTeam)="No Promotion")),INDEX(obalCh4Prod4Slot1Pack,,xxIndexTeam)&amp; " - "&amp;INDEX(obalCh4Prod4Slot1Promo1,,xxIndexTeam)&amp;" - "&amp;INDEX(obalCh4Prod4Slot1Promo1Weeks,,xxIndexTeam)&amp;"Ws","")</f>
        <v>33cl Bottle - TPR 20% - 2Ws</v>
      </c>
      <c r="AT265" s="811" t="s">
        <v>11513</v>
      </c>
      <c r="AU265" s="802"/>
    </row>
    <row r="266" spans="30:47">
      <c r="AD266" s="800"/>
      <c r="AE266" s="554"/>
      <c r="AF266" s="720"/>
      <c r="AG266" s="795"/>
      <c r="AH266" s="820"/>
      <c r="AI266" s="810"/>
      <c r="AJ266" s="814" t="str">
        <f>nmProd4</f>
        <v>Brew Master</v>
      </c>
      <c r="AK266" s="793" t="str">
        <f>IF(AND(INDEX(obalCh4Prod4Slot2Active,,xxIndexTeam)=1,NOT(INDEX(obalCh4Prod4Slot2Promo1,,xxIndexTeam)="No Promotion")),INDEX(obalCh4Prod4Slot2Pack,,xxIndexTeam)&amp; " - "&amp;INDEX(obalCh4Prod4Slot2Promo1,,xxIndexTeam)&amp;" - "&amp;INDEX(obalCh4Prod4Slot2Promo1Weeks,,xxIndexTeam)&amp;"Ws","")</f>
        <v/>
      </c>
      <c r="AL266" s="811" t="s">
        <v>8160</v>
      </c>
      <c r="AM266" s="810"/>
      <c r="AN266" s="814" t="str">
        <f>nmProd4</f>
        <v>Brew Master</v>
      </c>
      <c r="AO266" s="793" t="str">
        <f>IF(AND(INDEX(obalCh4Prod4Slot2Active,,xxIndexTeam)=1,NOT(INDEX(obalCh4Prod4Slot2Promo1,,xxIndexTeam)="No Promotion")),INDEX(obalCh4Prod4Slot2Pack,,xxIndexTeam)&amp; " - "&amp;INDEX(obalCh4Prod4Slot2Promo1,,xxIndexTeam)&amp;" - "&amp;INDEX(obalCh4Prod4Slot2Promo1Weeks,,xxIndexTeam)&amp;"Ws","")</f>
        <v/>
      </c>
      <c r="AP266" s="811" t="s">
        <v>8159</v>
      </c>
      <c r="AQ266" s="810"/>
      <c r="AR266" s="814" t="str">
        <f>nmProd4</f>
        <v>Brew Master</v>
      </c>
      <c r="AS266" s="793" t="str">
        <f>IF(AND(INDEX(obalCh4Prod4Slot2Active,,xxIndexTeam)=1,NOT(INDEX(obalCh4Prod4Slot2Promo1,,xxIndexTeam)="No Promotion")),INDEX(obalCh4Prod4Slot2Pack,,xxIndexTeam)&amp; " - "&amp;INDEX(obalCh4Prod4Slot2Promo1,,xxIndexTeam)&amp;" - "&amp;INDEX(obalCh4Prod4Slot2Promo1Weeks,,xxIndexTeam)&amp;"Ws","")</f>
        <v/>
      </c>
      <c r="AT266" s="811" t="s">
        <v>11514</v>
      </c>
      <c r="AU266" s="802"/>
    </row>
    <row r="267" spans="30:47">
      <c r="AD267" s="800"/>
      <c r="AE267" s="554"/>
      <c r="AF267" s="720"/>
      <c r="AG267" s="922">
        <f>IF(INDEX(obalCh4Prod2Slot1Active,,xxIndexTeam)=1,INDEX(obalCh4Prod2Slot1Promo1Share,,xxIndexTeam),"")</f>
        <v>0.69086612490625143</v>
      </c>
      <c r="AH267" s="811" t="s">
        <v>8162</v>
      </c>
      <c r="AI267" s="810"/>
      <c r="AJ267" s="814" t="str">
        <f>nmProd4</f>
        <v>Brew Master</v>
      </c>
      <c r="AK267" s="793" t="str">
        <f>IF(AND(INDEX(obalCh4Prod4Slot3Active,,xxIndexTeam)=1,NOT(INDEX(obalCh4Prod4Slot3Promo1,,xxIndexTeam)="No Promotion")),INDEX(obalCh4Prod4Slot3Pack,,xxIndexTeam)&amp; " - "&amp;INDEX(obalCh4Prod4Slot3Promo1,,xxIndexTeam)&amp;" - "&amp;INDEX(obalCh4Prod4Slot3Promo1Weeks,,xxIndexTeam)&amp;"Ws","")</f>
        <v/>
      </c>
      <c r="AL267" s="811" t="s">
        <v>8164</v>
      </c>
      <c r="AM267" s="810"/>
      <c r="AN267" s="814" t="str">
        <f>nmProd4</f>
        <v>Brew Master</v>
      </c>
      <c r="AO267" s="793" t="str">
        <f>IF(AND(INDEX(obalCh4Prod4Slot3Active,,xxIndexTeam)=1,NOT(INDEX(obalCh4Prod4Slot3Promo1,,xxIndexTeam)="No Promotion")),INDEX(obalCh4Prod4Slot3Pack,,xxIndexTeam)&amp; " - "&amp;INDEX(obalCh4Prod4Slot3Promo1,,xxIndexTeam)&amp;" - "&amp;INDEX(obalCh4Prod4Slot3Promo1Weeks,,xxIndexTeam)&amp;"Ws","")</f>
        <v/>
      </c>
      <c r="AP267" s="811" t="s">
        <v>8163</v>
      </c>
      <c r="AQ267" s="810"/>
      <c r="AR267" s="814" t="str">
        <f>nmProd4</f>
        <v>Brew Master</v>
      </c>
      <c r="AS267" s="793" t="str">
        <f>IF(AND(INDEX(obalCh4Prod4Slot3Active,,xxIndexTeam)=1,NOT(INDEX(obalCh4Prod4Slot3Promo1,,xxIndexTeam)="No Promotion")),INDEX(obalCh4Prod4Slot3Pack,,xxIndexTeam)&amp; " - "&amp;INDEX(obalCh4Prod4Slot3Promo1,,xxIndexTeam)&amp;" - "&amp;INDEX(obalCh4Prod4Slot3Promo1Weeks,,xxIndexTeam)&amp;"Ws","")</f>
        <v/>
      </c>
      <c r="AT267" s="811" t="s">
        <v>11515</v>
      </c>
      <c r="AU267" s="802"/>
    </row>
    <row r="268" spans="30:47">
      <c r="AD268" s="800"/>
      <c r="AE268" s="554"/>
      <c r="AF268" s="720"/>
      <c r="AG268" s="922" t="str">
        <f>IF(INDEX(obalCh4Prod2Slot2Active,,xxIndexTeam)=1,INDEX(obalCh4Prod2Slot2Promo1Share,,xxIndexTeam),"")</f>
        <v/>
      </c>
      <c r="AH268" s="811" t="s">
        <v>8166</v>
      </c>
      <c r="AI268" s="810"/>
      <c r="AJ268" s="814"/>
      <c r="AK268" s="793"/>
      <c r="AL268" s="811"/>
      <c r="AM268" s="810"/>
      <c r="AN268" s="814"/>
      <c r="AO268" s="793"/>
      <c r="AP268" s="811"/>
      <c r="AQ268" s="810"/>
      <c r="AR268" s="814"/>
      <c r="AS268" s="793"/>
      <c r="AT268" s="811"/>
      <c r="AU268" s="802"/>
    </row>
    <row r="269" spans="30:47">
      <c r="AD269" s="800"/>
      <c r="AE269" s="554"/>
      <c r="AF269" s="720"/>
      <c r="AG269" s="922" t="str">
        <f>IF(INDEX(obalCh4Prod2Slot3Active,,xxIndexTeam)=1,INDEX(obalCh4Prod2Slot3Promo1Share,,xxIndexTeam),"")</f>
        <v/>
      </c>
      <c r="AH269" s="811" t="s">
        <v>8168</v>
      </c>
      <c r="AI269" s="797" t="s">
        <v>5195</v>
      </c>
      <c r="AJ269" s="814"/>
      <c r="AK269" s="814"/>
      <c r="AL269" s="811"/>
      <c r="AM269" s="797" t="s">
        <v>4413</v>
      </c>
      <c r="AN269" s="814"/>
      <c r="AO269" s="814"/>
      <c r="AP269" s="811"/>
      <c r="AQ269" s="797" t="s">
        <v>11388</v>
      </c>
      <c r="AR269" s="814"/>
      <c r="AS269" s="814"/>
      <c r="AT269" s="811"/>
      <c r="AU269" s="802"/>
    </row>
    <row r="270" spans="30:47">
      <c r="AD270" s="800"/>
      <c r="AE270" s="554"/>
      <c r="AF270" s="720"/>
      <c r="AG270" s="922">
        <f>IF(INDEX(obalCh4Prod3Slot1Active,,xxIndexTeam)=1,INDEX(obalCh4Prod3Slot1Promo1Share,,xxIndexTeam),"")</f>
        <v>0</v>
      </c>
      <c r="AH270" s="811" t="s">
        <v>8170</v>
      </c>
      <c r="AI270" s="810"/>
      <c r="AJ270" s="802"/>
      <c r="AK270" s="793" t="s">
        <v>5195</v>
      </c>
      <c r="AL270" s="811" t="s">
        <v>8172</v>
      </c>
      <c r="AM270" s="810"/>
      <c r="AN270" s="802"/>
      <c r="AO270" s="793" t="s">
        <v>4413</v>
      </c>
      <c r="AP270" s="811" t="s">
        <v>8171</v>
      </c>
      <c r="AQ270" s="810"/>
      <c r="AR270" s="802"/>
      <c r="AS270" s="793" t="s">
        <v>11388</v>
      </c>
      <c r="AT270" s="811" t="s">
        <v>11516</v>
      </c>
      <c r="AU270" s="802"/>
    </row>
    <row r="271" spans="30:47">
      <c r="AD271" s="800"/>
      <c r="AE271" s="554"/>
      <c r="AF271" s="720"/>
      <c r="AG271" s="922" t="str">
        <f>IF(INDEX(obalCh4Prod3Slot2Active,,xxIndexTeam)=1,INDEX(obalCh4Prod3Slot2Promo1Share,,xxIndexTeam),"")</f>
        <v/>
      </c>
      <c r="AH271" s="811" t="s">
        <v>8174</v>
      </c>
      <c r="AI271" s="810"/>
      <c r="AJ271" s="814" t="str">
        <f>nmProd2</f>
        <v>Harken</v>
      </c>
      <c r="AK271" s="821">
        <f>IF(INDEX(obalCh4Prod2Slot1Active,,xxIndexTeam)=1,INDEX(obalCh4Prod2Slot1Promo1CustUplift,,xxIndexTeam),"")</f>
        <v>8.109202082406183</v>
      </c>
      <c r="AL271" s="811" t="s">
        <v>8176</v>
      </c>
      <c r="AM271" s="810"/>
      <c r="AN271" s="814" t="str">
        <f>nmProd2</f>
        <v>Harken</v>
      </c>
      <c r="AO271" s="794">
        <f>IF(INDEX(obalCh4Prod2Slot1Active,,xxIndexTeam)=1,INDEX(obalCh4Prod2Slot1Promo1GPaLUplift,,xxIndexTeam),"")</f>
        <v>9.9613579129688601E-2</v>
      </c>
      <c r="AP271" s="811" t="s">
        <v>8175</v>
      </c>
      <c r="AQ271" s="810"/>
      <c r="AR271" s="814" t="str">
        <f>nmProd2</f>
        <v>Harken</v>
      </c>
      <c r="AS271" s="794">
        <f>IF(INDEX(obalCh4Prod2Slot1Active,,xxIndexTeam)=1,INDEX(obalCh4Prod2Slot1Promo1VolUplift,,xxIndexTeam),"")</f>
        <v>11.291644472259984</v>
      </c>
      <c r="AT271" s="811" t="s">
        <v>11517</v>
      </c>
      <c r="AU271" s="802"/>
    </row>
    <row r="272" spans="30:47">
      <c r="AD272" s="800"/>
      <c r="AE272" s="554"/>
      <c r="AF272" s="720"/>
      <c r="AG272" s="922" t="str">
        <f>IF(INDEX(obalCh4Prod3Slot3Active,,xxIndexTeam)=1,INDEX(obalCh4Prod3Slot3Promo1Share,,xxIndexTeam),"")</f>
        <v/>
      </c>
      <c r="AH272" s="811" t="s">
        <v>8178</v>
      </c>
      <c r="AI272" s="810"/>
      <c r="AJ272" s="814" t="str">
        <f>nmProd2</f>
        <v>Harken</v>
      </c>
      <c r="AK272" s="821" t="str">
        <f>IF(INDEX(obalCh4Prod2Slot2Active,,xxIndexTeam)=1,INDEX(obalCh4Prod2Slot2Promo1CustUplift,,xxIndexTeam),"")</f>
        <v/>
      </c>
      <c r="AL272" s="811" t="s">
        <v>8180</v>
      </c>
      <c r="AM272" s="810"/>
      <c r="AN272" s="814" t="str">
        <f>nmProd2</f>
        <v>Harken</v>
      </c>
      <c r="AO272" s="821" t="str">
        <f>IF(INDEX(obalCh4Prod2Slot2Active,,xxIndexTeam)=1,INDEX(obalCh4Prod2Slot2Promo1GPaLUplift,,xxIndexTeam),"")</f>
        <v/>
      </c>
      <c r="AP272" s="811" t="s">
        <v>8179</v>
      </c>
      <c r="AQ272" s="810"/>
      <c r="AR272" s="814" t="str">
        <f>nmProd2</f>
        <v>Harken</v>
      </c>
      <c r="AS272" s="821" t="str">
        <f>IF(INDEX(obalCh4Prod2Slot2Active,,xxIndexTeam)=1,INDEX(obalCh4Prod2Slot2Promo1VolUplift,,xxIndexTeam),"")</f>
        <v/>
      </c>
      <c r="AT272" s="811" t="s">
        <v>11518</v>
      </c>
      <c r="AU272" s="802"/>
    </row>
    <row r="273" spans="30:47">
      <c r="AD273" s="800"/>
      <c r="AE273" s="554"/>
      <c r="AF273" s="720"/>
      <c r="AG273" s="922">
        <f>IF(INDEX(obalCh4Prod1Slot1Active,,xxIndexTeam)=1,INDEX(obalCh4Prod1Slot1Promo1Share,,xxIndexTeam),"")</f>
        <v>0.24307107073159759</v>
      </c>
      <c r="AH273" s="811" t="s">
        <v>8182</v>
      </c>
      <c r="AI273" s="810"/>
      <c r="AJ273" s="814" t="str">
        <f>nmProd2</f>
        <v>Harken</v>
      </c>
      <c r="AK273" s="821" t="str">
        <f>IF(INDEX(obalCh4Prod2Slot3Active,,xxIndexTeam)=1,INDEX(obalCh4Prod2Slot3Promo1CustUplift,,xxIndexTeam),"")</f>
        <v/>
      </c>
      <c r="AL273" s="811" t="s">
        <v>8184</v>
      </c>
      <c r="AM273" s="810"/>
      <c r="AN273" s="814" t="str">
        <f>nmProd2</f>
        <v>Harken</v>
      </c>
      <c r="AO273" s="821" t="str">
        <f>IF(INDEX(obalCh4Prod2Slot3Active,,xxIndexTeam)=1,INDEX(obalCh4Prod2Slot3Promo1GPaLUplift,,xxIndexTeam),"")</f>
        <v/>
      </c>
      <c r="AP273" s="811" t="s">
        <v>8183</v>
      </c>
      <c r="AQ273" s="810"/>
      <c r="AR273" s="814" t="str">
        <f>nmProd2</f>
        <v>Harken</v>
      </c>
      <c r="AS273" s="821" t="str">
        <f>IF(INDEX(obalCh4Prod2Slot3Active,,xxIndexTeam)=1,INDEX(obalCh4Prod2Slot3Promo1VolUplift,,xxIndexTeam),"")</f>
        <v/>
      </c>
      <c r="AT273" s="811" t="s">
        <v>11519</v>
      </c>
      <c r="AU273" s="802"/>
    </row>
    <row r="274" spans="30:47">
      <c r="AD274" s="800"/>
      <c r="AE274" s="554"/>
      <c r="AF274" s="720"/>
      <c r="AG274" s="922" t="str">
        <f>IF(INDEX(obalCh4Prod1Slot2Active,,xxIndexTeam)=1,INDEX(obalCh4Prod1Slot2Promo1Share,,xxIndexTeam),"")</f>
        <v/>
      </c>
      <c r="AH274" s="811" t="s">
        <v>8186</v>
      </c>
      <c r="AI274" s="810"/>
      <c r="AJ274" s="814" t="str">
        <f>nmProd3</f>
        <v>Kara</v>
      </c>
      <c r="AK274" s="821" t="str">
        <f>IF(INDEX(obalCh4Prod3Slot1Active,,xxIndexTeam)=1,INDEX(obalCh4Prod3Slot1Promo1CustUplift,,xxIndexTeam),"")</f>
        <v/>
      </c>
      <c r="AL274" s="811" t="s">
        <v>8188</v>
      </c>
      <c r="AM274" s="810"/>
      <c r="AN274" s="814" t="str">
        <f>nmProd3</f>
        <v>Kara</v>
      </c>
      <c r="AO274" s="821" t="str">
        <f>IF(INDEX(obalCh4Prod3Slot1Active,,xxIndexTeam)=1,INDEX(obalCh4Prod3Slot1Promo1GPaLUplift,,xxIndexTeam),"")</f>
        <v/>
      </c>
      <c r="AP274" s="811" t="s">
        <v>8187</v>
      </c>
      <c r="AQ274" s="810"/>
      <c r="AR274" s="814" t="str">
        <f>nmProd3</f>
        <v>Kara</v>
      </c>
      <c r="AS274" s="821" t="str">
        <f>IF(INDEX(obalCh4Prod3Slot1Active,,xxIndexTeam)=1,INDEX(obalCh4Prod3Slot1Promo1VolUplift,,xxIndexTeam),"")</f>
        <v/>
      </c>
      <c r="AT274" s="811" t="s">
        <v>11520</v>
      </c>
      <c r="AU274" s="802"/>
    </row>
    <row r="275" spans="30:47">
      <c r="AD275" s="800"/>
      <c r="AE275" s="554"/>
      <c r="AF275" s="720"/>
      <c r="AG275" s="922" t="str">
        <f>IF(INDEX(obalCh4Prod1Slot3Active,,xxIndexTeam)=1,INDEX(obalCh4Prod1Slot3Promo1Share,,xxIndexTeam),"")</f>
        <v/>
      </c>
      <c r="AH275" s="811" t="s">
        <v>8190</v>
      </c>
      <c r="AI275" s="810"/>
      <c r="AJ275" s="814" t="str">
        <f>nmProd3</f>
        <v>Kara</v>
      </c>
      <c r="AK275" s="821" t="str">
        <f>IF(INDEX(obalCh4Prod3Slot2Active,,xxIndexTeam)=1,INDEX(obalCh4Prod3Slot2Promo1CustUplift,,xxIndexTeam),"")</f>
        <v/>
      </c>
      <c r="AL275" s="811" t="s">
        <v>8192</v>
      </c>
      <c r="AM275" s="810"/>
      <c r="AN275" s="814" t="str">
        <f>nmProd3</f>
        <v>Kara</v>
      </c>
      <c r="AO275" s="821" t="str">
        <f>IF(INDEX(obalCh4Prod3Slot2Active,,xxIndexTeam)=1,INDEX(obalCh4Prod3Slot2Promo1GPaLUplift,,xxIndexTeam),"")</f>
        <v/>
      </c>
      <c r="AP275" s="811" t="s">
        <v>8191</v>
      </c>
      <c r="AQ275" s="810"/>
      <c r="AR275" s="814" t="str">
        <f>nmProd3</f>
        <v>Kara</v>
      </c>
      <c r="AS275" s="821" t="str">
        <f>IF(INDEX(obalCh4Prod3Slot2Active,,xxIndexTeam)=1,INDEX(obalCh4Prod3Slot2Promo1VolUplift,,xxIndexTeam),"")</f>
        <v/>
      </c>
      <c r="AT275" s="811" t="s">
        <v>11521</v>
      </c>
      <c r="AU275" s="802"/>
    </row>
    <row r="276" spans="30:47">
      <c r="AD276" s="800"/>
      <c r="AE276" s="554"/>
      <c r="AF276" s="720"/>
      <c r="AG276" s="922">
        <f>IF(INDEX(obalCh4Prod4Slot1Active,,xxIndexTeam)=1,INDEX(obalCh4Prod4Slot1Promo1Share,,xxIndexTeam),"")</f>
        <v>0.13204191858921646</v>
      </c>
      <c r="AH276" s="811" t="s">
        <v>8194</v>
      </c>
      <c r="AI276" s="810"/>
      <c r="AJ276" s="814" t="str">
        <f>nmProd3</f>
        <v>Kara</v>
      </c>
      <c r="AK276" s="821" t="str">
        <f>IF(INDEX(obalCh4Prod3Slot3Active,,xxIndexTeam)=1,INDEX(obalCh4Prod3Slot3Promo1CustUplift,,xxIndexTeam),"")</f>
        <v/>
      </c>
      <c r="AL276" s="811" t="s">
        <v>8196</v>
      </c>
      <c r="AM276" s="810"/>
      <c r="AN276" s="814" t="str">
        <f>nmProd3</f>
        <v>Kara</v>
      </c>
      <c r="AO276" s="821" t="str">
        <f>IF(INDEX(obalCh4Prod3Slot3Active,,xxIndexTeam)=1,INDEX(obalCh4Prod3Slot3Promo1GPaLUplift,,xxIndexTeam),"")</f>
        <v/>
      </c>
      <c r="AP276" s="811" t="s">
        <v>8195</v>
      </c>
      <c r="AQ276" s="810"/>
      <c r="AR276" s="814" t="str">
        <f>nmProd3</f>
        <v>Kara</v>
      </c>
      <c r="AS276" s="821" t="str">
        <f>IF(INDEX(obalCh4Prod3Slot3Active,,xxIndexTeam)=1,INDEX(obalCh4Prod3Slot3Promo1VolUplift,,xxIndexTeam),"")</f>
        <v/>
      </c>
      <c r="AT276" s="811" t="s">
        <v>11522</v>
      </c>
      <c r="AU276" s="802"/>
    </row>
    <row r="277" spans="30:47">
      <c r="AD277" s="800"/>
      <c r="AE277" s="554"/>
      <c r="AF277" s="720"/>
      <c r="AG277" s="922" t="str">
        <f>IF(INDEX(obalCh4Prod4Slot2Active,,xxIndexTeam)=1,INDEX(obalCh4Prod4Slot2Promo1Share,,xxIndexTeam),"")</f>
        <v/>
      </c>
      <c r="AH277" s="811" t="s">
        <v>8198</v>
      </c>
      <c r="AI277" s="810"/>
      <c r="AJ277" s="814" t="str">
        <f>nmProd1</f>
        <v>Greenborg</v>
      </c>
      <c r="AK277" s="821">
        <f>IF(INDEX(obalCh4Prod1Slot1Active,,xxIndexTeam)=1,INDEX(obalCh4Prod1Slot1Promo1CustUplift,,xxIndexTeam),"")</f>
        <v>2.2247760703903476</v>
      </c>
      <c r="AL277" s="811" t="s">
        <v>8200</v>
      </c>
      <c r="AM277" s="810"/>
      <c r="AN277" s="814" t="str">
        <f>nmProd1</f>
        <v>Greenborg</v>
      </c>
      <c r="AO277" s="821">
        <f>IF(INDEX(obalCh4Prod1Slot1Active,,xxIndexTeam)=1,INDEX(obalCh4Prod1Slot1Promo1GPaLUplift,,xxIndexTeam),"")</f>
        <v>0.71090688312645844</v>
      </c>
      <c r="AP277" s="811" t="s">
        <v>8199</v>
      </c>
      <c r="AQ277" s="810"/>
      <c r="AR277" s="814" t="str">
        <f>nmProd1</f>
        <v>Greenborg</v>
      </c>
      <c r="AS277" s="821">
        <f>IF(INDEX(obalCh4Prod1Slot1Active,,xxIndexTeam)=1,INDEX(obalCh4Prod1Slot1Promo1VolUplift,,xxIndexTeam),"")</f>
        <v>2.8535359608971587</v>
      </c>
      <c r="AT277" s="811" t="s">
        <v>11523</v>
      </c>
      <c r="AU277" s="802"/>
    </row>
    <row r="278" spans="30:47">
      <c r="AD278" s="800"/>
      <c r="AE278" s="554"/>
      <c r="AF278" s="720"/>
      <c r="AG278" s="922" t="str">
        <f>IF(INDEX(obalCh4Prod4Slot3Active,,xxIndexTeam)=1,INDEX(obalCh4Prod4Slot3Promo1Share,,xxIndexTeam),"")</f>
        <v/>
      </c>
      <c r="AH278" s="811" t="s">
        <v>8202</v>
      </c>
      <c r="AI278" s="810"/>
      <c r="AJ278" s="814" t="str">
        <f>nmProd1</f>
        <v>Greenborg</v>
      </c>
      <c r="AK278" s="821" t="str">
        <f>IF(INDEX(obalCh4Prod1Slot2Active,,xxIndexTeam)=1,INDEX(obalCh4Prod1Slot2Promo1CustUplift,,xxIndexTeam),"")</f>
        <v/>
      </c>
      <c r="AL278" s="811" t="s">
        <v>8204</v>
      </c>
      <c r="AM278" s="810"/>
      <c r="AN278" s="814" t="str">
        <f>nmProd1</f>
        <v>Greenborg</v>
      </c>
      <c r="AO278" s="821" t="str">
        <f>IF(INDEX(obalCh4Prod1Slot2Active,,xxIndexTeam)=1,INDEX(obalCh4Prod1Slot2Promo1GPaLUplift,,xxIndexTeam),"")</f>
        <v/>
      </c>
      <c r="AP278" s="811" t="s">
        <v>8203</v>
      </c>
      <c r="AQ278" s="810"/>
      <c r="AR278" s="814" t="str">
        <f>nmProd1</f>
        <v>Greenborg</v>
      </c>
      <c r="AS278" s="821" t="str">
        <f>IF(INDEX(obalCh4Prod1Slot2Active,,xxIndexTeam)=1,INDEX(obalCh4Prod1Slot2Promo1VolUplift,,xxIndexTeam),"")</f>
        <v/>
      </c>
      <c r="AT278" s="811" t="s">
        <v>11524</v>
      </c>
      <c r="AU278" s="802"/>
    </row>
    <row r="279" spans="30:47">
      <c r="AD279" s="800"/>
      <c r="AE279" s="554"/>
      <c r="AF279" s="720"/>
      <c r="AG279" s="720"/>
      <c r="AH279" s="584"/>
      <c r="AI279" s="810"/>
      <c r="AJ279" s="814" t="str">
        <f>nmProd1</f>
        <v>Greenborg</v>
      </c>
      <c r="AK279" s="821" t="str">
        <f>IF(INDEX(obalCh4Prod1Slot3Active,,xxIndexTeam)=1,INDEX(obalCh4Prod1Slot3Promo1CustUplift,,xxIndexTeam),"")</f>
        <v/>
      </c>
      <c r="AL279" s="811" t="s">
        <v>8207</v>
      </c>
      <c r="AM279" s="810"/>
      <c r="AN279" s="814" t="str">
        <f>nmProd1</f>
        <v>Greenborg</v>
      </c>
      <c r="AO279" s="821" t="str">
        <f>IF(INDEX(obalCh4Prod1Slot3Active,,xxIndexTeam)=1,INDEX(obalCh4Prod1Slot3Promo1GPaLUplift,,xxIndexTeam),"")</f>
        <v/>
      </c>
      <c r="AP279" s="811" t="s">
        <v>8206</v>
      </c>
      <c r="AQ279" s="810"/>
      <c r="AR279" s="814" t="str">
        <f>nmProd1</f>
        <v>Greenborg</v>
      </c>
      <c r="AS279" s="821" t="str">
        <f>IF(INDEX(obalCh4Prod1Slot3Active,,xxIndexTeam)=1,INDEX(obalCh4Prod1Slot3Promo1VolUplift,,xxIndexTeam),"")</f>
        <v/>
      </c>
      <c r="AT279" s="811" t="s">
        <v>11525</v>
      </c>
      <c r="AU279" s="802"/>
    </row>
    <row r="280" spans="30:47">
      <c r="AD280" s="800"/>
      <c r="AE280" s="554"/>
      <c r="AF280" s="720"/>
      <c r="AG280" s="923">
        <f>IF(INDEX(obalCh4Prod2Slot1Active,,xxIndexTeam)=1,1-AG267,"")</f>
        <v>0.30913387509374857</v>
      </c>
      <c r="AH280" s="811" t="s">
        <v>8209</v>
      </c>
      <c r="AI280" s="810"/>
      <c r="AJ280" s="814" t="str">
        <f>nmProd4</f>
        <v>Brew Master</v>
      </c>
      <c r="AK280" s="821">
        <f>IF(INDEX(obalCh4Prod4Slot1Active,,xxIndexTeam)=1,INDEX(obalCh4Prod4Slot1Promo1CustUplift,,xxIndexTeam),"")</f>
        <v>2.0898926313492661</v>
      </c>
      <c r="AL280" s="811" t="s">
        <v>8211</v>
      </c>
      <c r="AM280" s="810"/>
      <c r="AN280" s="814" t="str">
        <f>nmProd4</f>
        <v>Brew Master</v>
      </c>
      <c r="AO280" s="821">
        <f>IF(INDEX(obalCh4Prod4Slot1Active,,xxIndexTeam)=1,INDEX(obalCh4Prod4Slot1Promo1GPaLUplift,,xxIndexTeam),"")</f>
        <v>0.78193417744435134</v>
      </c>
      <c r="AP280" s="811" t="s">
        <v>8210</v>
      </c>
      <c r="AQ280" s="810"/>
      <c r="AR280" s="814" t="str">
        <f>nmProd4</f>
        <v>Brew Master</v>
      </c>
      <c r="AS280" s="821">
        <f>IF(INDEX(obalCh4Prod4Slot1Active,,xxIndexTeam)=1,INDEX(obalCh4Prod4Slot1Promo1VolUplift,,xxIndexTeam),"")</f>
        <v>2.8032343213682296</v>
      </c>
      <c r="AT280" s="811" t="s">
        <v>11526</v>
      </c>
      <c r="AU280" s="802"/>
    </row>
    <row r="281" spans="30:47">
      <c r="AD281" s="800"/>
      <c r="AE281" s="554"/>
      <c r="AF281" s="720"/>
      <c r="AG281" s="923" t="str">
        <f>IF(INDEX(obalCh4Prod2Slot2Active,,xxIndexTeam)=1,1-AG268,"")</f>
        <v/>
      </c>
      <c r="AH281" s="811" t="s">
        <v>8213</v>
      </c>
      <c r="AI281" s="810"/>
      <c r="AJ281" s="814" t="str">
        <f>nmProd4</f>
        <v>Brew Master</v>
      </c>
      <c r="AK281" s="821" t="str">
        <f>IF(INDEX(obalCh4Prod4Slot2Active,,xxIndexTeam)=1,INDEX(obalCh4Prod4Slot2Promo1CustUplift,,xxIndexTeam),"")</f>
        <v/>
      </c>
      <c r="AL281" s="811" t="s">
        <v>8215</v>
      </c>
      <c r="AM281" s="810"/>
      <c r="AN281" s="814" t="str">
        <f>nmProd4</f>
        <v>Brew Master</v>
      </c>
      <c r="AO281" s="821" t="str">
        <f>IF(INDEX(obalCh4Prod4Slot2Active,,xxIndexTeam)=1,INDEX(obalCh4Prod4Slot2Promo1GPaLUplift,,xxIndexTeam),"")</f>
        <v/>
      </c>
      <c r="AP281" s="811" t="s">
        <v>8214</v>
      </c>
      <c r="AQ281" s="810"/>
      <c r="AR281" s="814" t="str">
        <f>nmProd4</f>
        <v>Brew Master</v>
      </c>
      <c r="AS281" s="821" t="str">
        <f>IF(INDEX(obalCh4Prod4Slot2Active,,xxIndexTeam)=1,INDEX(obalCh4Prod4Slot2Promo1VolUplift,,xxIndexTeam),"")</f>
        <v/>
      </c>
      <c r="AT281" s="811" t="s">
        <v>11527</v>
      </c>
      <c r="AU281" s="802"/>
    </row>
    <row r="282" spans="30:47">
      <c r="AD282" s="800"/>
      <c r="AE282" s="554"/>
      <c r="AF282" s="720"/>
      <c r="AG282" s="923" t="str">
        <f>IF(INDEX(obalCh4Prod2Slot3Active,,xxIndexTeam)=1,1-AG269,"")</f>
        <v/>
      </c>
      <c r="AH282" s="811" t="s">
        <v>8217</v>
      </c>
      <c r="AI282" s="810"/>
      <c r="AJ282" s="814" t="str">
        <f>nmProd4</f>
        <v>Brew Master</v>
      </c>
      <c r="AK282" s="821" t="str">
        <f>IF(INDEX(obalCh4Prod4Slot3Active,,xxIndexTeam)=1,INDEX(obalCh4Prod4Slot3Promo1CustUplift,,xxIndexTeam),"")</f>
        <v/>
      </c>
      <c r="AL282" s="811" t="s">
        <v>8219</v>
      </c>
      <c r="AM282" s="810"/>
      <c r="AN282" s="814" t="str">
        <f>nmProd4</f>
        <v>Brew Master</v>
      </c>
      <c r="AO282" s="821" t="str">
        <f>IF(INDEX(obalCh4Prod4Slot3Active,,xxIndexTeam)=1,INDEX(obalCh4Prod4Slot3Promo1GPaLUplift,,xxIndexTeam),"")</f>
        <v/>
      </c>
      <c r="AP282" s="811" t="s">
        <v>8218</v>
      </c>
      <c r="AQ282" s="810"/>
      <c r="AR282" s="814" t="str">
        <f>nmProd4</f>
        <v>Brew Master</v>
      </c>
      <c r="AS282" s="821" t="str">
        <f>IF(INDEX(obalCh4Prod4Slot3Active,,xxIndexTeam)=1,INDEX(obalCh4Prod4Slot3Promo1VolUplift,,xxIndexTeam),"")</f>
        <v/>
      </c>
      <c r="AT282" s="811" t="s">
        <v>11528</v>
      </c>
      <c r="AU282" s="802"/>
    </row>
    <row r="283" spans="30:47">
      <c r="AD283" s="800"/>
      <c r="AE283" s="554"/>
      <c r="AF283" s="720"/>
      <c r="AG283" s="923">
        <f>IF(INDEX(obalCh4Prod3Slot1Active,,xxIndexTeam)=1,1-AG270,"")</f>
        <v>1</v>
      </c>
      <c r="AH283" s="811" t="s">
        <v>8221</v>
      </c>
      <c r="AI283" s="810"/>
      <c r="AJ283" s="814"/>
      <c r="AK283" s="794"/>
      <c r="AL283" s="811"/>
      <c r="AM283" s="810"/>
      <c r="AN283" s="814"/>
      <c r="AO283" s="821"/>
      <c r="AP283" s="811"/>
      <c r="AQ283" s="810"/>
      <c r="AR283" s="814"/>
      <c r="AS283" s="821"/>
      <c r="AT283" s="811"/>
      <c r="AU283" s="802"/>
    </row>
    <row r="284" spans="30:47">
      <c r="AD284" s="800"/>
      <c r="AE284" s="554"/>
      <c r="AF284" s="720"/>
      <c r="AG284" s="923" t="str">
        <f>IF(INDEX(obalCh4Prod3Slot2Active,,xxIndexTeam)=1,1-AG271,"")</f>
        <v/>
      </c>
      <c r="AH284" s="811" t="s">
        <v>8223</v>
      </c>
      <c r="AI284" s="797" t="s">
        <v>4413</v>
      </c>
      <c r="AJ284" s="814"/>
      <c r="AK284" s="795"/>
      <c r="AL284" s="811"/>
      <c r="AM284" s="797" t="s">
        <v>4414</v>
      </c>
      <c r="AN284" s="814"/>
      <c r="AO284" s="795"/>
      <c r="AP284" s="811"/>
      <c r="AQ284" s="797" t="s">
        <v>4414</v>
      </c>
      <c r="AR284" s="814"/>
      <c r="AS284" s="795"/>
      <c r="AT284" s="811"/>
      <c r="AU284" s="802"/>
    </row>
    <row r="285" spans="30:47">
      <c r="AD285" s="800"/>
      <c r="AE285" s="554"/>
      <c r="AF285" s="720"/>
      <c r="AG285" s="923" t="str">
        <f>IF(INDEX(obalCh4Prod3Slot3Active,,xxIndexTeam)=1,1-AG272,"")</f>
        <v/>
      </c>
      <c r="AH285" s="811" t="s">
        <v>8225</v>
      </c>
      <c r="AI285" s="810"/>
      <c r="AJ285" s="802"/>
      <c r="AK285" s="794"/>
      <c r="AL285" s="811" t="s">
        <v>8227</v>
      </c>
      <c r="AM285" s="810"/>
      <c r="AN285" s="802"/>
      <c r="AO285" s="793"/>
      <c r="AP285" s="811" t="s">
        <v>8226</v>
      </c>
      <c r="AQ285" s="810"/>
      <c r="AR285" s="802"/>
      <c r="AS285" s="793"/>
      <c r="AT285" s="811" t="s">
        <v>11529</v>
      </c>
      <c r="AU285" s="802"/>
    </row>
    <row r="286" spans="30:47">
      <c r="AD286" s="800"/>
      <c r="AE286" s="554"/>
      <c r="AF286" s="720"/>
      <c r="AG286" s="923">
        <f>IF(INDEX(obalCh4Prod1Slot1Active,,xxIndexTeam)=1,1-AG273,"")</f>
        <v>0.75692892926840238</v>
      </c>
      <c r="AH286" s="811" t="s">
        <v>8229</v>
      </c>
      <c r="AI286" s="810"/>
      <c r="AJ286" s="814" t="str">
        <f>nmProd2</f>
        <v>Harken</v>
      </c>
      <c r="AK286" s="821">
        <f>IF(INDEX(obalCh4Prod2Slot1Active,,xxIndexTeam)=1,INDEX(obalCh4Prod2Slot1Promo1GPaLUplift,,xxIndexTeam),"")</f>
        <v>9.9613579129688601E-2</v>
      </c>
      <c r="AL286" s="811" t="s">
        <v>8231</v>
      </c>
      <c r="AM286" s="810"/>
      <c r="AN286" s="814" t="str">
        <f>nmProd2</f>
        <v>Harken</v>
      </c>
      <c r="AO286" s="821">
        <f>IF(INDEX(obalCh4Prod2Slot1Active,,xxIndexTeam)=1,INDEX(obalCh4Prod2Slot1Promo1ROI,,xxIndexTeam),"")</f>
        <v>0.33053037688180165</v>
      </c>
      <c r="AP286" s="811" t="s">
        <v>8230</v>
      </c>
      <c r="AQ286" s="810"/>
      <c r="AR286" s="814" t="str">
        <f>nmProd2</f>
        <v>Harken</v>
      </c>
      <c r="AS286" s="821">
        <f>IF(INDEX(obalCh4Prod2Slot1Active,,xxIndexTeam)=1,INDEX(obalCh4Prod2Slot1Promo1ROI,,xxIndexTeam),"")</f>
        <v>0.33053037688180165</v>
      </c>
      <c r="AT286" s="811" t="s">
        <v>11530</v>
      </c>
      <c r="AU286" s="802"/>
    </row>
    <row r="287" spans="30:47">
      <c r="AD287" s="800"/>
      <c r="AE287" s="554"/>
      <c r="AF287" s="720"/>
      <c r="AG287" s="923" t="str">
        <f>IF(INDEX(obalCh4Prod1Slot2Active,,xxIndexTeam)=1,1-AG274,"")</f>
        <v/>
      </c>
      <c r="AH287" s="811" t="s">
        <v>8233</v>
      </c>
      <c r="AI287" s="810"/>
      <c r="AJ287" s="814" t="str">
        <f>nmProd2</f>
        <v>Harken</v>
      </c>
      <c r="AK287" s="821" t="str">
        <f>IF(INDEX(obalCh4Prod2Slot2Active,,xxIndexTeam)=1,INDEX(obalCh4Prod2Slot2Promo1GPaLUplift,,xxIndexTeam),"")</f>
        <v/>
      </c>
      <c r="AL287" s="811" t="s">
        <v>8235</v>
      </c>
      <c r="AM287" s="810"/>
      <c r="AN287" s="814" t="str">
        <f>nmProd2</f>
        <v>Harken</v>
      </c>
      <c r="AO287" s="821" t="str">
        <f>IF(INDEX(obalCh4Prod2Slot2Active,,xxIndexTeam)=1,INDEX(obalCh4Prod2Slot2Promo1ROI,,xxIndexTeam),"")</f>
        <v/>
      </c>
      <c r="AP287" s="811" t="s">
        <v>8234</v>
      </c>
      <c r="AQ287" s="810"/>
      <c r="AR287" s="814" t="str">
        <f>nmProd2</f>
        <v>Harken</v>
      </c>
      <c r="AS287" s="821" t="str">
        <f>IF(INDEX(obalCh4Prod2Slot2Active,,xxIndexTeam)=1,INDEX(obalCh4Prod2Slot2Promo1ROI,,xxIndexTeam),"")</f>
        <v/>
      </c>
      <c r="AT287" s="811" t="s">
        <v>11531</v>
      </c>
      <c r="AU287" s="802"/>
    </row>
    <row r="288" spans="30:47">
      <c r="AD288" s="800"/>
      <c r="AE288" s="554"/>
      <c r="AF288" s="720"/>
      <c r="AG288" s="923" t="str">
        <f>IF(INDEX(obalCh4Prod1Slot3Active,,xxIndexTeam)=1,1-AG275,"")</f>
        <v/>
      </c>
      <c r="AH288" s="811" t="s">
        <v>8237</v>
      </c>
      <c r="AI288" s="810"/>
      <c r="AJ288" s="814" t="str">
        <f>nmProd2</f>
        <v>Harken</v>
      </c>
      <c r="AK288" s="821" t="str">
        <f>IF(INDEX(obalCh4Prod2Slot3Active,,xxIndexTeam)=1,INDEX(obalCh4Prod2Slot3Promo1GPaLUplift,,xxIndexTeam),"")</f>
        <v/>
      </c>
      <c r="AL288" s="811" t="s">
        <v>8239</v>
      </c>
      <c r="AM288" s="810"/>
      <c r="AN288" s="814" t="str">
        <f>nmProd2</f>
        <v>Harken</v>
      </c>
      <c r="AO288" s="821" t="str">
        <f>IF(INDEX(obalCh4Prod2Slot3Active,,xxIndexTeam)=1,INDEX(obalCh4Prod2Slot3Promo1ROI,,xxIndexTeam),"")</f>
        <v/>
      </c>
      <c r="AP288" s="811" t="s">
        <v>8238</v>
      </c>
      <c r="AQ288" s="810"/>
      <c r="AR288" s="814" t="str">
        <f>nmProd2</f>
        <v>Harken</v>
      </c>
      <c r="AS288" s="821" t="str">
        <f>IF(INDEX(obalCh4Prod2Slot3Active,,xxIndexTeam)=1,INDEX(obalCh4Prod2Slot3Promo1ROI,,xxIndexTeam),"")</f>
        <v/>
      </c>
      <c r="AT288" s="811" t="s">
        <v>11532</v>
      </c>
      <c r="AU288" s="802"/>
    </row>
    <row r="289" spans="30:47">
      <c r="AD289" s="800"/>
      <c r="AE289" s="554"/>
      <c r="AF289" s="720"/>
      <c r="AG289" s="923">
        <f>IF(INDEX(obalCh4Prod4Slot1Active,,xxIndexTeam)=1,1-AG276,"")</f>
        <v>0.86795808141078357</v>
      </c>
      <c r="AH289" s="811" t="s">
        <v>8241</v>
      </c>
      <c r="AI289" s="810"/>
      <c r="AJ289" s="814" t="str">
        <f>nmProd3</f>
        <v>Kara</v>
      </c>
      <c r="AK289" s="821" t="str">
        <f>IF(INDEX(obalCh4Prod3Slot1Active,,xxIndexTeam)=1,INDEX(obalCh4Prod3Slot1Promo1GPaLUplift,,xxIndexTeam),"")</f>
        <v/>
      </c>
      <c r="AL289" s="811" t="s">
        <v>8243</v>
      </c>
      <c r="AM289" s="810"/>
      <c r="AN289" s="814" t="str">
        <f>nmProd3</f>
        <v>Kara</v>
      </c>
      <c r="AO289" s="821" t="str">
        <f>IF(INDEX(obalCh4Prod3Slot1Active,,xxIndexTeam)=1,INDEX(obalCh4Prod3Slot1Promo1ROI,,xxIndexTeam),"")</f>
        <v/>
      </c>
      <c r="AP289" s="811" t="s">
        <v>8242</v>
      </c>
      <c r="AQ289" s="810"/>
      <c r="AR289" s="814" t="str">
        <f>nmProd3</f>
        <v>Kara</v>
      </c>
      <c r="AS289" s="821" t="str">
        <f>IF(INDEX(obalCh4Prod3Slot1Active,,xxIndexTeam)=1,INDEX(obalCh4Prod3Slot1Promo1ROI,,xxIndexTeam),"")</f>
        <v/>
      </c>
      <c r="AT289" s="811" t="s">
        <v>11533</v>
      </c>
      <c r="AU289" s="802"/>
    </row>
    <row r="290" spans="30:47">
      <c r="AD290" s="800"/>
      <c r="AE290" s="554"/>
      <c r="AF290" s="720"/>
      <c r="AG290" s="923" t="str">
        <f>IF(INDEX(obalCh4Prod4Slot2Active,,xxIndexTeam)=1,1-AG277,"")</f>
        <v/>
      </c>
      <c r="AH290" s="811" t="s">
        <v>8245</v>
      </c>
      <c r="AI290" s="810"/>
      <c r="AJ290" s="814" t="str">
        <f>nmProd3</f>
        <v>Kara</v>
      </c>
      <c r="AK290" s="821" t="str">
        <f>IF(INDEX(obalCh4Prod3Slot2Active,,xxIndexTeam)=1,INDEX(obalCh4Prod3Slot2Promo1GPaLUplift,,xxIndexTeam),"")</f>
        <v/>
      </c>
      <c r="AL290" s="811" t="s">
        <v>8247</v>
      </c>
      <c r="AM290" s="810"/>
      <c r="AN290" s="814" t="str">
        <f>nmProd3</f>
        <v>Kara</v>
      </c>
      <c r="AO290" s="821" t="str">
        <f>IF(INDEX(obalCh4Prod3Slot2Active,,xxIndexTeam)=1,INDEX(obalCh4Prod3Slot2Promo1ROI,,xxIndexTeam),"")</f>
        <v/>
      </c>
      <c r="AP290" s="811" t="s">
        <v>8246</v>
      </c>
      <c r="AQ290" s="810"/>
      <c r="AR290" s="814" t="str">
        <f>nmProd3</f>
        <v>Kara</v>
      </c>
      <c r="AS290" s="821" t="str">
        <f>IF(INDEX(obalCh4Prod3Slot2Active,,xxIndexTeam)=1,INDEX(obalCh4Prod3Slot2Promo1ROI,,xxIndexTeam),"")</f>
        <v/>
      </c>
      <c r="AT290" s="811" t="s">
        <v>11534</v>
      </c>
      <c r="AU290" s="802"/>
    </row>
    <row r="291" spans="30:47">
      <c r="AD291" s="800"/>
      <c r="AE291" s="554"/>
      <c r="AF291" s="720"/>
      <c r="AG291" s="923" t="str">
        <f>IF(INDEX(obalCh4Prod4Slot3Active,,xxIndexTeam)=1,1-AG278,"")</f>
        <v/>
      </c>
      <c r="AH291" s="811" t="s">
        <v>8249</v>
      </c>
      <c r="AI291" s="810"/>
      <c r="AJ291" s="814" t="str">
        <f>nmProd3</f>
        <v>Kara</v>
      </c>
      <c r="AK291" s="821" t="str">
        <f>IF(INDEX(obalCh4Prod3Slot3Active,,xxIndexTeam)=1,INDEX(obalCh4Prod3Slot3Promo1GPaLUplift,,xxIndexTeam),"")</f>
        <v/>
      </c>
      <c r="AL291" s="811" t="s">
        <v>8251</v>
      </c>
      <c r="AM291" s="810"/>
      <c r="AN291" s="814" t="str">
        <f>nmProd3</f>
        <v>Kara</v>
      </c>
      <c r="AO291" s="821" t="str">
        <f>IF(INDEX(obalCh4Prod3Slot3Active,,xxIndexTeam)=1,INDEX(obalCh4Prod3Slot3Promo1ROI,,xxIndexTeam),"")</f>
        <v/>
      </c>
      <c r="AP291" s="811" t="s">
        <v>8250</v>
      </c>
      <c r="AQ291" s="810"/>
      <c r="AR291" s="814" t="str">
        <f>nmProd3</f>
        <v>Kara</v>
      </c>
      <c r="AS291" s="821" t="str">
        <f>IF(INDEX(obalCh4Prod3Slot3Active,,xxIndexTeam)=1,INDEX(obalCh4Prod3Slot3Promo1ROI,,xxIndexTeam),"")</f>
        <v/>
      </c>
      <c r="AT291" s="811" t="s">
        <v>11535</v>
      </c>
      <c r="AU291" s="802"/>
    </row>
    <row r="292" spans="30:47">
      <c r="AD292" s="800"/>
      <c r="AE292" s="554"/>
      <c r="AF292" s="720"/>
      <c r="AG292" s="720"/>
      <c r="AH292" s="584"/>
      <c r="AI292" s="810"/>
      <c r="AJ292" s="814" t="str">
        <f>nmProd1</f>
        <v>Greenborg</v>
      </c>
      <c r="AK292" s="821">
        <f>IF(INDEX(obalCh4Prod1Slot1Active,,xxIndexTeam)=1,INDEX(obalCh4Prod1Slot1Promo1GPaLUplift,,xxIndexTeam),"")</f>
        <v>0.71090688312645844</v>
      </c>
      <c r="AL292" s="811" t="s">
        <v>8254</v>
      </c>
      <c r="AM292" s="810"/>
      <c r="AN292" s="814" t="str">
        <f>nmProd1</f>
        <v>Greenborg</v>
      </c>
      <c r="AO292" s="821">
        <f>IF(INDEX(obalCh4Prod1Slot1Active,,xxIndexTeam)=1,INDEX(obalCh4Prod1Slot1Promo1ROI,,xxIndexTeam),"")</f>
        <v>7.2058959459119025</v>
      </c>
      <c r="AP292" s="811" t="s">
        <v>8253</v>
      </c>
      <c r="AQ292" s="810"/>
      <c r="AR292" s="814" t="str">
        <f>nmProd1</f>
        <v>Greenborg</v>
      </c>
      <c r="AS292" s="821">
        <f>IF(INDEX(obalCh4Prod1Slot1Active,,xxIndexTeam)=1,INDEX(obalCh4Prod1Slot1Promo1ROI,,xxIndexTeam),"")</f>
        <v>7.2058959459119025</v>
      </c>
      <c r="AT292" s="811" t="s">
        <v>11536</v>
      </c>
      <c r="AU292" s="802"/>
    </row>
    <row r="293" spans="30:47">
      <c r="AD293" s="800"/>
      <c r="AE293" s="554"/>
      <c r="AF293" s="720"/>
      <c r="AG293" s="720"/>
      <c r="AH293" s="584"/>
      <c r="AI293" s="810"/>
      <c r="AJ293" s="814" t="str">
        <f>nmProd1</f>
        <v>Greenborg</v>
      </c>
      <c r="AK293" s="821" t="str">
        <f>IF(INDEX(obalCh4Prod1Slot2Active,,xxIndexTeam)=1,INDEX(obalCh4Prod1Slot2Promo1GPaLUplift,,xxIndexTeam),"")</f>
        <v/>
      </c>
      <c r="AL293" s="811" t="s">
        <v>8257</v>
      </c>
      <c r="AM293" s="810"/>
      <c r="AN293" s="814" t="str">
        <f>nmProd1</f>
        <v>Greenborg</v>
      </c>
      <c r="AO293" s="821" t="str">
        <f>IF(INDEX(obalCh4Prod1Slot2Active,,xxIndexTeam)=1,INDEX(obalCh4Prod1Slot2Promo1ROI,,xxIndexTeam),"")</f>
        <v/>
      </c>
      <c r="AP293" s="811" t="s">
        <v>8256</v>
      </c>
      <c r="AQ293" s="810"/>
      <c r="AR293" s="814" t="str">
        <f>nmProd1</f>
        <v>Greenborg</v>
      </c>
      <c r="AS293" s="821" t="str">
        <f>IF(INDEX(obalCh4Prod1Slot2Active,,xxIndexTeam)=1,INDEX(obalCh4Prod1Slot2Promo1ROI,,xxIndexTeam),"")</f>
        <v/>
      </c>
      <c r="AT293" s="811" t="s">
        <v>11537</v>
      </c>
      <c r="AU293" s="802"/>
    </row>
    <row r="294" spans="30:47">
      <c r="AD294" s="800"/>
      <c r="AE294" s="554"/>
      <c r="AF294" s="720"/>
      <c r="AG294" s="720"/>
      <c r="AH294" s="584"/>
      <c r="AI294" s="810"/>
      <c r="AJ294" s="814" t="str">
        <f>nmProd1</f>
        <v>Greenborg</v>
      </c>
      <c r="AK294" s="821" t="str">
        <f>IF(INDEX(obalCh4Prod1Slot3Active,,xxIndexTeam)=1,INDEX(obalCh4Prod1Slot3Promo1GPaLUplift,,xxIndexTeam),"")</f>
        <v/>
      </c>
      <c r="AL294" s="811" t="s">
        <v>8260</v>
      </c>
      <c r="AM294" s="810"/>
      <c r="AN294" s="814" t="str">
        <f>nmProd1</f>
        <v>Greenborg</v>
      </c>
      <c r="AO294" s="821" t="str">
        <f>IF(INDEX(obalCh4Prod1Slot3Active,,xxIndexTeam)=1,INDEX(obalCh4Prod1Slot3Promo1ROI,,xxIndexTeam),"")</f>
        <v/>
      </c>
      <c r="AP294" s="811" t="s">
        <v>8259</v>
      </c>
      <c r="AQ294" s="810"/>
      <c r="AR294" s="814" t="str">
        <f>nmProd1</f>
        <v>Greenborg</v>
      </c>
      <c r="AS294" s="821" t="str">
        <f>IF(INDEX(obalCh4Prod1Slot3Active,,xxIndexTeam)=1,INDEX(obalCh4Prod1Slot3Promo1ROI,,xxIndexTeam),"")</f>
        <v/>
      </c>
      <c r="AT294" s="811" t="s">
        <v>11538</v>
      </c>
      <c r="AU294" s="802"/>
    </row>
    <row r="295" spans="30:47">
      <c r="AD295" s="800"/>
      <c r="AE295" s="554"/>
      <c r="AF295" s="720"/>
      <c r="AG295" s="720"/>
      <c r="AH295" s="584"/>
      <c r="AI295" s="810"/>
      <c r="AJ295" s="814" t="str">
        <f>nmProd4</f>
        <v>Brew Master</v>
      </c>
      <c r="AK295" s="821">
        <f>IF(INDEX(obalCh4Prod4Slot1Active,,xxIndexTeam)=1,INDEX(obalCh4Prod4Slot1Promo1GPaLUplift,,xxIndexTeam),"")</f>
        <v>0.78193417744435134</v>
      </c>
      <c r="AL295" s="811" t="s">
        <v>8263</v>
      </c>
      <c r="AM295" s="810"/>
      <c r="AN295" s="814" t="str">
        <f>nmProd4</f>
        <v>Brew Master</v>
      </c>
      <c r="AO295" s="821">
        <f>IF(INDEX(obalCh4Prod4Slot1Active,,xxIndexTeam)=1,INDEX(obalCh4Prod4Slot1Promo1ROI,,xxIndexTeam),"")</f>
        <v>12.44067135401089</v>
      </c>
      <c r="AP295" s="811" t="s">
        <v>8262</v>
      </c>
      <c r="AQ295" s="810"/>
      <c r="AR295" s="814" t="str">
        <f>nmProd4</f>
        <v>Brew Master</v>
      </c>
      <c r="AS295" s="821">
        <f>IF(INDEX(obalCh4Prod4Slot1Active,,xxIndexTeam)=1,INDEX(obalCh4Prod4Slot1Promo1ROI,,xxIndexTeam),"")</f>
        <v>12.44067135401089</v>
      </c>
      <c r="AT295" s="811" t="s">
        <v>11539</v>
      </c>
      <c r="AU295" s="802"/>
    </row>
    <row r="296" spans="30:47">
      <c r="AD296" s="800"/>
      <c r="AE296" s="554"/>
      <c r="AF296" s="720"/>
      <c r="AG296" s="720"/>
      <c r="AH296" s="584"/>
      <c r="AI296" s="810"/>
      <c r="AJ296" s="814" t="str">
        <f>nmProd4</f>
        <v>Brew Master</v>
      </c>
      <c r="AK296" s="821" t="str">
        <f>IF(INDEX(obalCh4Prod4Slot2Active,,xxIndexTeam)=1,INDEX(obalCh4Prod4Slot2Promo1GPaLUplift,,xxIndexTeam),"")</f>
        <v/>
      </c>
      <c r="AL296" s="811" t="s">
        <v>8266</v>
      </c>
      <c r="AM296" s="810"/>
      <c r="AN296" s="814" t="str">
        <f>nmProd4</f>
        <v>Brew Master</v>
      </c>
      <c r="AO296" s="821" t="str">
        <f>IF(INDEX(obalCh4Prod4Slot2Active,,xxIndexTeam)=1,INDEX(obalCh4Prod4Slot2Promo1ROI,,xxIndexTeam),"")</f>
        <v/>
      </c>
      <c r="AP296" s="811" t="s">
        <v>8265</v>
      </c>
      <c r="AQ296" s="810"/>
      <c r="AR296" s="814" t="str">
        <f>nmProd4</f>
        <v>Brew Master</v>
      </c>
      <c r="AS296" s="821" t="str">
        <f>IF(INDEX(obalCh4Prod4Slot2Active,,xxIndexTeam)=1,INDEX(obalCh4Prod4Slot2Promo1ROI,,xxIndexTeam),"")</f>
        <v/>
      </c>
      <c r="AT296" s="811" t="s">
        <v>11540</v>
      </c>
      <c r="AU296" s="802"/>
    </row>
    <row r="297" spans="30:47">
      <c r="AD297" s="800"/>
      <c r="AE297" s="554"/>
      <c r="AF297" s="720"/>
      <c r="AG297" s="720"/>
      <c r="AH297" s="584"/>
      <c r="AI297" s="810"/>
      <c r="AJ297" s="814" t="str">
        <f>nmProd4</f>
        <v>Brew Master</v>
      </c>
      <c r="AK297" s="821" t="str">
        <f>IF(INDEX(obalCh4Prod4Slot3Active,,xxIndexTeam)=1,INDEX(obalCh4Prod4Slot3Promo1GPaLUplift,,xxIndexTeam),"")</f>
        <v/>
      </c>
      <c r="AL297" s="811" t="s">
        <v>8269</v>
      </c>
      <c r="AM297" s="810"/>
      <c r="AN297" s="814" t="str">
        <f>nmProd4</f>
        <v>Brew Master</v>
      </c>
      <c r="AO297" s="821" t="str">
        <f>IF(INDEX(obalCh4Prod4Slot3Active,,xxIndexTeam)=1,INDEX(obalCh4Prod4Slot3Promo1ROI,,xxIndexTeam),"")</f>
        <v/>
      </c>
      <c r="AP297" s="811" t="s">
        <v>8268</v>
      </c>
      <c r="AQ297" s="810"/>
      <c r="AR297" s="814" t="str">
        <f>nmProd4</f>
        <v>Brew Master</v>
      </c>
      <c r="AS297" s="821" t="str">
        <f>IF(INDEX(obalCh4Prod4Slot3Active,,xxIndexTeam)=1,INDEX(obalCh4Prod4Slot3Promo1ROI,,xxIndexTeam),"")</f>
        <v/>
      </c>
      <c r="AT297" s="811" t="s">
        <v>11541</v>
      </c>
      <c r="AU297" s="802"/>
    </row>
    <row r="298" spans="30:47">
      <c r="AD298" s="800"/>
      <c r="AE298" s="554"/>
      <c r="AF298" s="720"/>
      <c r="AG298" s="720"/>
      <c r="AH298" s="584"/>
      <c r="AI298" s="810"/>
      <c r="AJ298" s="814"/>
      <c r="AK298" s="814"/>
      <c r="AL298" s="811"/>
      <c r="AM298" s="810"/>
      <c r="AN298" s="814"/>
      <c r="AO298" s="814"/>
      <c r="AP298" s="811"/>
      <c r="AQ298" s="810"/>
      <c r="AR298" s="814"/>
      <c r="AS298" s="814"/>
      <c r="AT298" s="811"/>
      <c r="AU298" s="802"/>
    </row>
    <row r="299" spans="30:47">
      <c r="AD299" s="800"/>
      <c r="AE299" s="554"/>
      <c r="AF299" s="720"/>
      <c r="AG299" s="720"/>
      <c r="AH299" s="584"/>
      <c r="AI299" s="797" t="s">
        <v>6993</v>
      </c>
      <c r="AJ299" s="814"/>
      <c r="AK299" s="814"/>
      <c r="AL299" s="811"/>
      <c r="AM299" s="797" t="s">
        <v>6993</v>
      </c>
      <c r="AN299" s="814"/>
      <c r="AO299" s="814"/>
      <c r="AP299" s="811"/>
      <c r="AQ299" s="797" t="s">
        <v>12436</v>
      </c>
      <c r="AR299" s="814"/>
      <c r="AS299" s="814"/>
      <c r="AT299" s="811"/>
      <c r="AU299" s="802"/>
    </row>
    <row r="300" spans="30:47">
      <c r="AD300" s="800"/>
      <c r="AE300" s="554"/>
      <c r="AF300" s="720"/>
      <c r="AG300" s="720"/>
      <c r="AH300" s="584"/>
      <c r="AI300" s="810"/>
      <c r="AJ300" s="814" t="str">
        <f>nmProd2</f>
        <v>Harken</v>
      </c>
      <c r="AK300" s="729">
        <f>IF(INDEX(obalCh4Prod2Slot1Active,,xxIndexTeam)=1,INDEX(obalCh4Prod2Slot1SoldVol,,xxIndexTeam)*INDEX(obalCh4Prod2Slot1Promo1Share,,xxIndexTeam),"")</f>
        <v>25007788.101512522</v>
      </c>
      <c r="AL300" s="811" t="s">
        <v>8272</v>
      </c>
      <c r="AM300" s="810"/>
      <c r="AN300" s="814" t="str">
        <f>nmProd2</f>
        <v>Harken</v>
      </c>
      <c r="AO300" s="729">
        <f>IF(INDEX(obalCh4Prod2Slot1Active,,xxIndexTeam)=1,INDEX(obalCh4Prod2Slot1SoldVol,,xxIndexTeam)*INDEX(obalCh4Prod2Slot1Promo1Share,,xxIndexTeam),"")</f>
        <v>25007788.101512522</v>
      </c>
      <c r="AP300" s="811" t="s">
        <v>8271</v>
      </c>
      <c r="AQ300" s="810"/>
      <c r="AR300" s="814" t="str">
        <f>nmProd2</f>
        <v>Harken</v>
      </c>
      <c r="AS300" s="729">
        <f>IF(INDEX(obalCh4Prod2Slot1Active,,xxIndexTeam)=1,INDEX(obalCh4Prod2Slot1SoldVol,,xxIndexTeam)*INDEX(obalCh4Prod2Slot1Promo1Share,,xxIndexTeam),"")</f>
        <v>25007788.101512522</v>
      </c>
      <c r="AT300" s="811" t="s">
        <v>11542</v>
      </c>
      <c r="AU300" s="802"/>
    </row>
    <row r="301" spans="30:47">
      <c r="AD301" s="800"/>
      <c r="AE301" s="554"/>
      <c r="AF301" s="720"/>
      <c r="AG301" s="720"/>
      <c r="AH301" s="584"/>
      <c r="AI301" s="810"/>
      <c r="AJ301" s="814" t="str">
        <f>nmProd2</f>
        <v>Harken</v>
      </c>
      <c r="AK301" s="729" t="str">
        <f>IF(INDEX(obalCh4Prod2Slot2Active,,xxIndexTeam)=1,INDEX(obalCh4Prod2Slot2SoldVol,,xxIndexTeam)*INDEX(obalCh4Prod2Slot2Promo1Share,,xxIndexTeam),"")</f>
        <v/>
      </c>
      <c r="AL301" s="811" t="s">
        <v>8274</v>
      </c>
      <c r="AM301" s="810"/>
      <c r="AN301" s="814" t="str">
        <f>nmProd2</f>
        <v>Harken</v>
      </c>
      <c r="AO301" s="729" t="str">
        <f>IF(INDEX(obalCh4Prod2Slot2Active,,xxIndexTeam)=1,INDEX(obalCh4Prod2Slot2SoldVol,,xxIndexTeam)*INDEX(obalCh4Prod2Slot2Promo1Share,,xxIndexTeam),"")</f>
        <v/>
      </c>
      <c r="AP301" s="811" t="s">
        <v>8273</v>
      </c>
      <c r="AQ301" s="810"/>
      <c r="AR301" s="814" t="str">
        <f>nmProd2</f>
        <v>Harken</v>
      </c>
      <c r="AS301" s="729" t="str">
        <f>IF(INDEX(obalCh4Prod2Slot2Active,,xxIndexTeam)=1,INDEX(obalCh4Prod2Slot2SoldVol,,xxIndexTeam)*INDEX(obalCh4Prod2Slot2Promo1Share,,xxIndexTeam),"")</f>
        <v/>
      </c>
      <c r="AT301" s="811" t="s">
        <v>11543</v>
      </c>
      <c r="AU301" s="802"/>
    </row>
    <row r="302" spans="30:47">
      <c r="AD302" s="800"/>
      <c r="AE302" s="554"/>
      <c r="AF302" s="720"/>
      <c r="AG302" s="720"/>
      <c r="AH302" s="584"/>
      <c r="AI302" s="810"/>
      <c r="AJ302" s="814" t="str">
        <f>nmProd2</f>
        <v>Harken</v>
      </c>
      <c r="AK302" s="729" t="str">
        <f>IF(INDEX(obalCh4Prod2Slot3Active,,xxIndexTeam)=1,INDEX(obalCh4Prod2Slot3SoldVol,,xxIndexTeam)*INDEX(obalCh4Prod2Slot3Promo1Share,,xxIndexTeam),"")</f>
        <v/>
      </c>
      <c r="AL302" s="811" t="s">
        <v>8276</v>
      </c>
      <c r="AM302" s="810"/>
      <c r="AN302" s="814" t="str">
        <f>nmProd2</f>
        <v>Harken</v>
      </c>
      <c r="AO302" s="729" t="str">
        <f>IF(INDEX(obalCh4Prod2Slot3Active,,xxIndexTeam)=1,INDEX(obalCh4Prod2Slot3SoldVol,,xxIndexTeam)*INDEX(obalCh4Prod2Slot3Promo1Share,,xxIndexTeam),"")</f>
        <v/>
      </c>
      <c r="AP302" s="811" t="s">
        <v>8275</v>
      </c>
      <c r="AQ302" s="810"/>
      <c r="AR302" s="814" t="str">
        <f>nmProd2</f>
        <v>Harken</v>
      </c>
      <c r="AS302" s="729" t="str">
        <f>IF(INDEX(obalCh4Prod2Slot3Active,,xxIndexTeam)=1,INDEX(obalCh4Prod2Slot3SoldVol,,xxIndexTeam)*INDEX(obalCh4Prod2Slot3Promo1Share,,xxIndexTeam),"")</f>
        <v/>
      </c>
      <c r="AT302" s="811" t="s">
        <v>11544</v>
      </c>
      <c r="AU302" s="802"/>
    </row>
    <row r="303" spans="30:47">
      <c r="AD303" s="800"/>
      <c r="AE303" s="554"/>
      <c r="AF303" s="720"/>
      <c r="AG303" s="720"/>
      <c r="AH303" s="584"/>
      <c r="AI303" s="810"/>
      <c r="AJ303" s="814" t="str">
        <f>nmProd3</f>
        <v>Kara</v>
      </c>
      <c r="AK303" s="729">
        <f>IF(INDEX(obalCh4Prod3Slot1Active,,xxIndexTeam)=1,INDEX(obalCh4Prod3Slot1SoldVol,,xxIndexTeam)*INDEX(obalCh4Prod3Slot1Promo1Share,,xxIndexTeam),"")</f>
        <v>0</v>
      </c>
      <c r="AL303" s="811" t="s">
        <v>8278</v>
      </c>
      <c r="AM303" s="810"/>
      <c r="AN303" s="814" t="str">
        <f>nmProd3</f>
        <v>Kara</v>
      </c>
      <c r="AO303" s="729">
        <f>IF(INDEX(obalCh4Prod3Slot1Active,,xxIndexTeam)=1,INDEX(obalCh4Prod3Slot1SoldVol,,xxIndexTeam)*INDEX(obalCh4Prod3Slot1Promo1Share,,xxIndexTeam),"")</f>
        <v>0</v>
      </c>
      <c r="AP303" s="811" t="s">
        <v>8277</v>
      </c>
      <c r="AQ303" s="810"/>
      <c r="AR303" s="814" t="str">
        <f>nmProd3</f>
        <v>Kara</v>
      </c>
      <c r="AS303" s="729">
        <f>IF(INDEX(obalCh4Prod3Slot1Active,,xxIndexTeam)=1,INDEX(obalCh4Prod3Slot1SoldVol,,xxIndexTeam)*INDEX(obalCh4Prod3Slot1Promo1Share,,xxIndexTeam),"")</f>
        <v>0</v>
      </c>
      <c r="AT303" s="811" t="s">
        <v>11545</v>
      </c>
      <c r="AU303" s="802"/>
    </row>
    <row r="304" spans="30:47">
      <c r="AD304" s="800"/>
      <c r="AE304" s="554"/>
      <c r="AF304" s="720"/>
      <c r="AG304" s="720"/>
      <c r="AH304" s="584"/>
      <c r="AI304" s="810"/>
      <c r="AJ304" s="814" t="str">
        <f>nmProd3</f>
        <v>Kara</v>
      </c>
      <c r="AK304" s="729" t="str">
        <f>IF(INDEX(obalCh4Prod3Slot2Active,,xxIndexTeam)=1,INDEX(obalCh4Prod3Slot2SoldVol,,xxIndexTeam)*INDEX(obalCh4Prod3Slot2Promo1Share,,xxIndexTeam),"")</f>
        <v/>
      </c>
      <c r="AL304" s="811" t="s">
        <v>8280</v>
      </c>
      <c r="AM304" s="810"/>
      <c r="AN304" s="814" t="str">
        <f>nmProd3</f>
        <v>Kara</v>
      </c>
      <c r="AO304" s="729" t="str">
        <f>IF(INDEX(obalCh4Prod3Slot2Active,,xxIndexTeam)=1,INDEX(obalCh4Prod3Slot2SoldVol,,xxIndexTeam)*INDEX(obalCh4Prod3Slot2Promo1Share,,xxIndexTeam),"")</f>
        <v/>
      </c>
      <c r="AP304" s="811" t="s">
        <v>8279</v>
      </c>
      <c r="AQ304" s="810"/>
      <c r="AR304" s="814" t="str">
        <f>nmProd3</f>
        <v>Kara</v>
      </c>
      <c r="AS304" s="729" t="str">
        <f>IF(INDEX(obalCh4Prod3Slot2Active,,xxIndexTeam)=1,INDEX(obalCh4Prod3Slot2SoldVol,,xxIndexTeam)*INDEX(obalCh4Prod3Slot2Promo1Share,,xxIndexTeam),"")</f>
        <v/>
      </c>
      <c r="AT304" s="811" t="s">
        <v>11546</v>
      </c>
      <c r="AU304" s="802"/>
    </row>
    <row r="305" spans="30:47">
      <c r="AD305" s="800"/>
      <c r="AE305" s="554"/>
      <c r="AF305" s="720"/>
      <c r="AG305" s="720"/>
      <c r="AH305" s="584"/>
      <c r="AI305" s="810"/>
      <c r="AJ305" s="814" t="str">
        <f>nmProd3</f>
        <v>Kara</v>
      </c>
      <c r="AK305" s="729" t="str">
        <f>IF(INDEX(obalCh4Prod3Slot3Active,,xxIndexTeam)=1,INDEX(obalCh4Prod3Slot3SoldVol,,xxIndexTeam)*INDEX(obalCh4Prod3Slot3Promo1Share,,xxIndexTeam),"")</f>
        <v/>
      </c>
      <c r="AL305" s="811" t="s">
        <v>8282</v>
      </c>
      <c r="AM305" s="810"/>
      <c r="AN305" s="814" t="str">
        <f>nmProd3</f>
        <v>Kara</v>
      </c>
      <c r="AO305" s="729" t="str">
        <f>IF(INDEX(obalCh4Prod3Slot3Active,,xxIndexTeam)=1,INDEX(obalCh4Prod3Slot3SoldVol,,xxIndexTeam)*INDEX(obalCh4Prod3Slot3Promo1Share,,xxIndexTeam),"")</f>
        <v/>
      </c>
      <c r="AP305" s="811" t="s">
        <v>8281</v>
      </c>
      <c r="AQ305" s="810"/>
      <c r="AR305" s="814" t="str">
        <f>nmProd3</f>
        <v>Kara</v>
      </c>
      <c r="AS305" s="729" t="str">
        <f>IF(INDEX(obalCh4Prod3Slot3Active,,xxIndexTeam)=1,INDEX(obalCh4Prod3Slot3SoldVol,,xxIndexTeam)*INDEX(obalCh4Prod3Slot3Promo1Share,,xxIndexTeam),"")</f>
        <v/>
      </c>
      <c r="AT305" s="811" t="s">
        <v>11547</v>
      </c>
      <c r="AU305" s="802"/>
    </row>
    <row r="306" spans="30:47">
      <c r="AD306" s="800"/>
      <c r="AE306" s="554"/>
      <c r="AF306" s="720"/>
      <c r="AG306" s="720"/>
      <c r="AH306" s="584"/>
      <c r="AI306" s="810"/>
      <c r="AJ306" s="814" t="str">
        <f>nmProd1</f>
        <v>Greenborg</v>
      </c>
      <c r="AK306" s="729">
        <f>IF(INDEX(obalCh4Prod1Slot1Active,,xxIndexTeam)=1,INDEX(obalCh4Prod1Slot1SoldVol,,xxIndexTeam)*INDEX(obalCh4Prod1Slot1Promo1Share,,xxIndexTeam),"")</f>
        <v>12065623.151031516</v>
      </c>
      <c r="AL306" s="811" t="s">
        <v>8284</v>
      </c>
      <c r="AM306" s="810"/>
      <c r="AN306" s="814" t="str">
        <f>nmProd1</f>
        <v>Greenborg</v>
      </c>
      <c r="AO306" s="729">
        <f>IF(INDEX(obalCh4Prod1Slot1Active,,xxIndexTeam)=1,INDEX(obalCh4Prod1Slot1SoldVol,,xxIndexTeam)*INDEX(obalCh4Prod1Slot1Promo1Share,,xxIndexTeam),"")</f>
        <v>12065623.151031516</v>
      </c>
      <c r="AP306" s="811" t="s">
        <v>8283</v>
      </c>
      <c r="AQ306" s="810"/>
      <c r="AR306" s="814" t="str">
        <f>nmProd1</f>
        <v>Greenborg</v>
      </c>
      <c r="AS306" s="729">
        <f>IF(INDEX(obalCh4Prod1Slot1Active,,xxIndexTeam)=1,INDEX(obalCh4Prod1Slot1SoldVol,,xxIndexTeam)*INDEX(obalCh4Prod1Slot1Promo1Share,,xxIndexTeam),"")</f>
        <v>12065623.151031516</v>
      </c>
      <c r="AT306" s="811" t="s">
        <v>11548</v>
      </c>
      <c r="AU306" s="802"/>
    </row>
    <row r="307" spans="30:47">
      <c r="AD307" s="800"/>
      <c r="AE307" s="554"/>
      <c r="AF307" s="720"/>
      <c r="AG307" s="720"/>
      <c r="AH307" s="584"/>
      <c r="AI307" s="810"/>
      <c r="AJ307" s="814" t="str">
        <f>nmProd1</f>
        <v>Greenborg</v>
      </c>
      <c r="AK307" s="729" t="str">
        <f>IF(INDEX(obalCh4Prod1Slot2Active,,xxIndexTeam)=1,INDEX(obalCh4Prod1Slot2SoldVol,,xxIndexTeam)*INDEX(obalCh4Prod1Slot2Promo1Share,,xxIndexTeam),"")</f>
        <v/>
      </c>
      <c r="AL307" s="811" t="s">
        <v>8286</v>
      </c>
      <c r="AM307" s="810"/>
      <c r="AN307" s="814" t="str">
        <f>nmProd1</f>
        <v>Greenborg</v>
      </c>
      <c r="AO307" s="729" t="str">
        <f>IF(INDEX(obalCh4Prod1Slot2Active,,xxIndexTeam)=1,INDEX(obalCh4Prod1Slot2SoldVol,,xxIndexTeam)*INDEX(obalCh4Prod1Slot2Promo1Share,,xxIndexTeam),"")</f>
        <v/>
      </c>
      <c r="AP307" s="811" t="s">
        <v>8285</v>
      </c>
      <c r="AQ307" s="810"/>
      <c r="AR307" s="814" t="str">
        <f>nmProd1</f>
        <v>Greenborg</v>
      </c>
      <c r="AS307" s="729" t="str">
        <f>IF(INDEX(obalCh4Prod1Slot2Active,,xxIndexTeam)=1,INDEX(obalCh4Prod1Slot2SoldVol,,xxIndexTeam)*INDEX(obalCh4Prod1Slot2Promo1Share,,xxIndexTeam),"")</f>
        <v/>
      </c>
      <c r="AT307" s="811" t="s">
        <v>11549</v>
      </c>
      <c r="AU307" s="802"/>
    </row>
    <row r="308" spans="30:47">
      <c r="AD308" s="800"/>
      <c r="AE308" s="554"/>
      <c r="AF308" s="720"/>
      <c r="AG308" s="720"/>
      <c r="AH308" s="584"/>
      <c r="AI308" s="810"/>
      <c r="AJ308" s="814" t="str">
        <f>nmProd1</f>
        <v>Greenborg</v>
      </c>
      <c r="AK308" s="729" t="str">
        <f>IF(INDEX(obalCh4Prod1Slot3Active,,xxIndexTeam)=1,INDEX(obalCh4Prod1Slot3SoldVol,,xxIndexTeam)*INDEX(obalCh4Prod1Slot3Promo1Share,,xxIndexTeam),"")</f>
        <v/>
      </c>
      <c r="AL308" s="811" t="s">
        <v>8288</v>
      </c>
      <c r="AM308" s="810"/>
      <c r="AN308" s="814" t="str">
        <f>nmProd1</f>
        <v>Greenborg</v>
      </c>
      <c r="AO308" s="729" t="str">
        <f>IF(INDEX(obalCh4Prod1Slot3Active,,xxIndexTeam)=1,INDEX(obalCh4Prod1Slot3SoldVol,,xxIndexTeam)*INDEX(obalCh4Prod1Slot3Promo1Share,,xxIndexTeam),"")</f>
        <v/>
      </c>
      <c r="AP308" s="811" t="s">
        <v>8287</v>
      </c>
      <c r="AQ308" s="810"/>
      <c r="AR308" s="814" t="str">
        <f>nmProd1</f>
        <v>Greenborg</v>
      </c>
      <c r="AS308" s="729" t="str">
        <f>IF(INDEX(obalCh4Prod1Slot3Active,,xxIndexTeam)=1,INDEX(obalCh4Prod1Slot3SoldVol,,xxIndexTeam)*INDEX(obalCh4Prod1Slot3Promo1Share,,xxIndexTeam),"")</f>
        <v/>
      </c>
      <c r="AT308" s="811" t="s">
        <v>11550</v>
      </c>
      <c r="AU308" s="802"/>
    </row>
    <row r="309" spans="30:47">
      <c r="AD309" s="800"/>
      <c r="AE309" s="554"/>
      <c r="AF309" s="720"/>
      <c r="AG309" s="720"/>
      <c r="AH309" s="584"/>
      <c r="AI309" s="810"/>
      <c r="AJ309" s="814" t="str">
        <f>nmProd4</f>
        <v>Brew Master</v>
      </c>
      <c r="AK309" s="729">
        <f>IF(INDEX(obalCh4Prod4Slot1Active,,xxIndexTeam)=1,INDEX(obalCh4Prod4Slot1SoldVol,,xxIndexTeam)*INDEX(obalCh4Prod4Slot1Promo1Share,,xxIndexTeam),"")</f>
        <v>7702788.0592259476</v>
      </c>
      <c r="AL309" s="811" t="s">
        <v>8290</v>
      </c>
      <c r="AM309" s="810"/>
      <c r="AN309" s="814" t="str">
        <f>nmProd4</f>
        <v>Brew Master</v>
      </c>
      <c r="AO309" s="729">
        <f>IF(INDEX(obalCh4Prod4Slot1Active,,xxIndexTeam)=1,INDEX(obalCh4Prod4Slot1SoldVol,,xxIndexTeam)*INDEX(obalCh4Prod4Slot1Promo1Share,,xxIndexTeam),"")</f>
        <v>7702788.0592259476</v>
      </c>
      <c r="AP309" s="811" t="s">
        <v>8289</v>
      </c>
      <c r="AQ309" s="810"/>
      <c r="AR309" s="814" t="str">
        <f>nmProd4</f>
        <v>Brew Master</v>
      </c>
      <c r="AS309" s="729">
        <f>IF(INDEX(obalCh4Prod4Slot1Active,,xxIndexTeam)=1,INDEX(obalCh4Prod4Slot1SoldVol,,xxIndexTeam)*INDEX(obalCh4Prod4Slot1Promo1Share,,xxIndexTeam),"")</f>
        <v>7702788.0592259476</v>
      </c>
      <c r="AT309" s="811" t="s">
        <v>11551</v>
      </c>
      <c r="AU309" s="802"/>
    </row>
    <row r="310" spans="30:47">
      <c r="AD310" s="800"/>
      <c r="AE310" s="554"/>
      <c r="AF310" s="720"/>
      <c r="AG310" s="720"/>
      <c r="AH310" s="584"/>
      <c r="AI310" s="810"/>
      <c r="AJ310" s="814" t="str">
        <f>nmProd4</f>
        <v>Brew Master</v>
      </c>
      <c r="AK310" s="729" t="str">
        <f>IF(INDEX(obalCh4Prod4Slot2Active,,xxIndexTeam)=1,INDEX(obalCh4Prod4Slot2SoldVol,,xxIndexTeam)*INDEX(obalCh4Prod4Slot2Promo1Share,,xxIndexTeam),"")</f>
        <v/>
      </c>
      <c r="AL310" s="811" t="s">
        <v>8292</v>
      </c>
      <c r="AM310" s="810"/>
      <c r="AN310" s="814" t="str">
        <f>nmProd4</f>
        <v>Brew Master</v>
      </c>
      <c r="AO310" s="729" t="str">
        <f>IF(INDEX(obalCh4Prod4Slot2Active,,xxIndexTeam)=1,INDEX(obalCh4Prod4Slot2SoldVol,,xxIndexTeam)*INDEX(obalCh4Prod4Slot2Promo1Share,,xxIndexTeam),"")</f>
        <v/>
      </c>
      <c r="AP310" s="811" t="s">
        <v>8291</v>
      </c>
      <c r="AQ310" s="810"/>
      <c r="AR310" s="814" t="str">
        <f>nmProd4</f>
        <v>Brew Master</v>
      </c>
      <c r="AS310" s="729" t="str">
        <f>IF(INDEX(obalCh4Prod4Slot2Active,,xxIndexTeam)=1,INDEX(obalCh4Prod4Slot2SoldVol,,xxIndexTeam)*INDEX(obalCh4Prod4Slot2Promo1Share,,xxIndexTeam),"")</f>
        <v/>
      </c>
      <c r="AT310" s="811" t="s">
        <v>11552</v>
      </c>
      <c r="AU310" s="802"/>
    </row>
    <row r="311" spans="30:47" ht="15" thickBot="1">
      <c r="AD311" s="800"/>
      <c r="AE311" s="554"/>
      <c r="AF311" s="720"/>
      <c r="AG311" s="720"/>
      <c r="AH311" s="584"/>
      <c r="AI311" s="809"/>
      <c r="AJ311" s="814" t="str">
        <f>nmProd4</f>
        <v>Brew Master</v>
      </c>
      <c r="AK311" s="729" t="str">
        <f>IF(INDEX(obalCh4Prod4Slot3Active,,xxIndexTeam)=1,INDEX(obalCh4Prod4Slot3SoldVol,,xxIndexTeam)*INDEX(obalCh4Prod4Slot3Promo1Share,,xxIndexTeam),"")</f>
        <v/>
      </c>
      <c r="AL311" s="808" t="s">
        <v>8294</v>
      </c>
      <c r="AM311" s="809"/>
      <c r="AN311" s="814" t="str">
        <f>nmProd4</f>
        <v>Brew Master</v>
      </c>
      <c r="AO311" s="729" t="str">
        <f>IF(INDEX(obalCh4Prod4Slot3Active,,xxIndexTeam)=1,INDEX(obalCh4Prod4Slot3SoldVol,,xxIndexTeam)*INDEX(obalCh4Prod4Slot3Promo1Share,,xxIndexTeam),"")</f>
        <v/>
      </c>
      <c r="AP311" s="808" t="s">
        <v>8293</v>
      </c>
      <c r="AQ311" s="809"/>
      <c r="AR311" s="814" t="str">
        <f>nmProd4</f>
        <v>Brew Master</v>
      </c>
      <c r="AS311" s="729" t="str">
        <f>IF(INDEX(obalCh4Prod4Slot3Active,,xxIndexTeam)=1,INDEX(obalCh4Prod4Slot3SoldVol,,xxIndexTeam)*INDEX(obalCh4Prod4Slot3Promo1Share,,xxIndexTeam),"")</f>
        <v/>
      </c>
      <c r="AT311" s="808" t="s">
        <v>11553</v>
      </c>
      <c r="AU311" s="802"/>
    </row>
    <row r="312" spans="30:47">
      <c r="AD312" s="800"/>
      <c r="AE312" s="554"/>
      <c r="AF312" s="720"/>
      <c r="AG312" s="720"/>
      <c r="AH312" s="584"/>
      <c r="AI312" s="807"/>
      <c r="AJ312" s="813"/>
      <c r="AK312" s="813"/>
      <c r="AL312" s="812"/>
      <c r="AM312" s="807"/>
      <c r="AN312" s="813"/>
      <c r="AO312" s="813"/>
      <c r="AP312" s="812"/>
      <c r="AQ312" s="807"/>
      <c r="AR312" s="813"/>
      <c r="AS312" s="813"/>
      <c r="AT312" s="812"/>
      <c r="AU312" s="802"/>
    </row>
    <row r="313" spans="30:47">
      <c r="AD313" s="800"/>
      <c r="AE313" s="554"/>
      <c r="AF313" s="720"/>
      <c r="AG313" s="720"/>
      <c r="AH313" s="584"/>
      <c r="AI313" s="810"/>
      <c r="AJ313" s="814"/>
      <c r="AK313" s="814"/>
      <c r="AL313" s="811"/>
      <c r="AM313" s="810"/>
      <c r="AN313" s="814"/>
      <c r="AO313" s="814"/>
      <c r="AP313" s="811"/>
      <c r="AQ313" s="810"/>
      <c r="AR313" s="814"/>
      <c r="AS313" s="814"/>
      <c r="AT313" s="811"/>
      <c r="AU313" s="802"/>
    </row>
    <row r="314" spans="30:47">
      <c r="AD314" s="800"/>
      <c r="AE314" s="554"/>
      <c r="AF314" s="720"/>
      <c r="AG314" s="720"/>
      <c r="AH314" s="584"/>
      <c r="AI314" s="810"/>
      <c r="AJ314" s="814"/>
      <c r="AK314" s="814"/>
      <c r="AL314" s="811"/>
      <c r="AM314" s="810"/>
      <c r="AN314" s="814"/>
      <c r="AO314" s="814"/>
      <c r="AP314" s="811"/>
      <c r="AQ314" s="810"/>
      <c r="AR314" s="814"/>
      <c r="AS314" s="814"/>
      <c r="AT314" s="811"/>
      <c r="AU314" s="802"/>
    </row>
    <row r="315" spans="30:47">
      <c r="AD315" s="800"/>
      <c r="AE315" s="554"/>
      <c r="AF315" s="720"/>
      <c r="AG315" s="720"/>
      <c r="AH315" s="584"/>
      <c r="AI315" s="810"/>
      <c r="AJ315" s="814"/>
      <c r="AK315" s="814"/>
      <c r="AL315" s="811"/>
      <c r="AM315" s="810"/>
      <c r="AN315" s="814"/>
      <c r="AO315" s="814"/>
      <c r="AP315" s="811"/>
      <c r="AQ315" s="810"/>
      <c r="AR315" s="814"/>
      <c r="AS315" s="814"/>
      <c r="AT315" s="811"/>
      <c r="AU315" s="802"/>
    </row>
    <row r="316" spans="30:47">
      <c r="AD316" s="800"/>
      <c r="AE316" s="554"/>
      <c r="AF316" s="720"/>
      <c r="AG316" s="720"/>
      <c r="AH316" s="584"/>
      <c r="AI316" s="810"/>
      <c r="AJ316" s="814"/>
      <c r="AK316" s="814"/>
      <c r="AL316" s="811"/>
      <c r="AM316" s="810"/>
      <c r="AN316" s="814"/>
      <c r="AO316" s="814"/>
      <c r="AP316" s="811"/>
      <c r="AQ316" s="810"/>
      <c r="AR316" s="814"/>
      <c r="AS316" s="814"/>
      <c r="AT316" s="811"/>
      <c r="AU316" s="802"/>
    </row>
    <row r="317" spans="30:47">
      <c r="AD317" s="800"/>
      <c r="AE317" s="554"/>
      <c r="AF317" s="720"/>
      <c r="AG317" s="720"/>
      <c r="AH317" s="584"/>
      <c r="AI317" s="810"/>
      <c r="AJ317" s="814"/>
      <c r="AK317" s="814"/>
      <c r="AL317" s="811"/>
      <c r="AM317" s="810"/>
      <c r="AN317" s="814"/>
      <c r="AO317" s="814"/>
      <c r="AP317" s="811"/>
      <c r="AQ317" s="810"/>
      <c r="AR317" s="814"/>
      <c r="AS317" s="814"/>
      <c r="AT317" s="811"/>
      <c r="AU317" s="802"/>
    </row>
    <row r="318" spans="30:47">
      <c r="AD318" s="800"/>
      <c r="AE318" s="554"/>
      <c r="AF318" s="720"/>
      <c r="AG318" s="720"/>
      <c r="AH318" s="584"/>
      <c r="AI318" s="810"/>
      <c r="AJ318" s="814"/>
      <c r="AK318" s="814"/>
      <c r="AL318" s="811"/>
      <c r="AM318" s="810"/>
      <c r="AN318" s="814"/>
      <c r="AO318" s="814"/>
      <c r="AP318" s="811"/>
      <c r="AQ318" s="810"/>
      <c r="AR318" s="814"/>
      <c r="AS318" s="814"/>
      <c r="AT318" s="811"/>
      <c r="AU318" s="802"/>
    </row>
    <row r="319" spans="30:47">
      <c r="AD319" s="800"/>
      <c r="AE319" s="554"/>
      <c r="AF319" s="720"/>
      <c r="AG319" s="720"/>
      <c r="AH319" s="584"/>
      <c r="AI319" s="810"/>
      <c r="AJ319" s="814"/>
      <c r="AK319" s="814"/>
      <c r="AL319" s="811"/>
      <c r="AM319" s="810"/>
      <c r="AN319" s="814"/>
      <c r="AO319" s="814"/>
      <c r="AP319" s="811"/>
      <c r="AQ319" s="810"/>
      <c r="AR319" s="814"/>
      <c r="AS319" s="814"/>
      <c r="AT319" s="811"/>
      <c r="AU319" s="802"/>
    </row>
    <row r="320" spans="30:47">
      <c r="AD320" s="800"/>
      <c r="AE320" s="554"/>
      <c r="AF320" s="720"/>
      <c r="AG320" s="720"/>
      <c r="AH320" s="584"/>
      <c r="AI320" s="810"/>
      <c r="AJ320" s="814"/>
      <c r="AK320" s="814"/>
      <c r="AL320" s="811"/>
      <c r="AM320" s="810"/>
      <c r="AN320" s="814"/>
      <c r="AO320" s="814"/>
      <c r="AP320" s="811"/>
      <c r="AQ320" s="810"/>
      <c r="AR320" s="814"/>
      <c r="AS320" s="814"/>
      <c r="AT320" s="811"/>
      <c r="AU320" s="802"/>
    </row>
    <row r="321" spans="30:47">
      <c r="AD321" s="800"/>
      <c r="AE321" s="554"/>
      <c r="AF321" s="720"/>
      <c r="AG321" s="720"/>
      <c r="AH321" s="584"/>
      <c r="AI321" s="810"/>
      <c r="AJ321" s="814"/>
      <c r="AK321" s="814"/>
      <c r="AL321" s="811"/>
      <c r="AM321" s="810"/>
      <c r="AN321" s="814"/>
      <c r="AO321" s="814"/>
      <c r="AP321" s="811"/>
      <c r="AQ321" s="810"/>
      <c r="AR321" s="814"/>
      <c r="AS321" s="814"/>
      <c r="AT321" s="811"/>
      <c r="AU321" s="802"/>
    </row>
    <row r="322" spans="30:47">
      <c r="AD322" s="800"/>
      <c r="AE322" s="554"/>
      <c r="AF322" s="720"/>
      <c r="AG322" s="720"/>
      <c r="AH322" s="584"/>
      <c r="AI322" s="810"/>
      <c r="AJ322" s="814"/>
      <c r="AK322" s="814"/>
      <c r="AL322" s="811"/>
      <c r="AM322" s="810"/>
      <c r="AN322" s="814"/>
      <c r="AO322" s="814"/>
      <c r="AP322" s="811"/>
      <c r="AQ322" s="810"/>
      <c r="AR322" s="814"/>
      <c r="AS322" s="814"/>
      <c r="AT322" s="811"/>
      <c r="AU322" s="802"/>
    </row>
    <row r="323" spans="30:47">
      <c r="AD323" s="800"/>
      <c r="AE323" s="554"/>
      <c r="AF323" s="720"/>
      <c r="AG323" s="720"/>
      <c r="AH323" s="584"/>
      <c r="AI323" s="810"/>
      <c r="AJ323" s="814"/>
      <c r="AK323" s="814"/>
      <c r="AL323" s="811"/>
      <c r="AM323" s="810"/>
      <c r="AN323" s="814"/>
      <c r="AO323" s="814"/>
      <c r="AP323" s="811"/>
      <c r="AQ323" s="810"/>
      <c r="AR323" s="814"/>
      <c r="AS323" s="814"/>
      <c r="AT323" s="811"/>
      <c r="AU323" s="802"/>
    </row>
    <row r="324" spans="30:47" ht="15" thickBot="1">
      <c r="AD324" s="800"/>
      <c r="AE324" s="546"/>
      <c r="AF324" s="544"/>
      <c r="AG324" s="544"/>
      <c r="AH324" s="733"/>
      <c r="AI324" s="810"/>
      <c r="AJ324" s="814"/>
      <c r="AK324" s="814"/>
      <c r="AL324" s="811"/>
      <c r="AM324" s="810"/>
      <c r="AN324" s="814"/>
      <c r="AO324" s="814"/>
      <c r="AP324" s="811"/>
      <c r="AQ324" s="810"/>
      <c r="AR324" s="814"/>
      <c r="AS324" s="814"/>
      <c r="AT324" s="811"/>
      <c r="AU324" s="802"/>
    </row>
    <row r="325" spans="30:47">
      <c r="AD325" s="800"/>
      <c r="AE325" s="802"/>
      <c r="AF325" s="802"/>
      <c r="AG325" s="802"/>
      <c r="AH325" s="802"/>
      <c r="AI325" s="810"/>
      <c r="AJ325" s="814"/>
      <c r="AK325" s="814"/>
      <c r="AL325" s="811"/>
      <c r="AM325" s="810"/>
      <c r="AN325" s="814"/>
      <c r="AO325" s="814"/>
      <c r="AP325" s="811"/>
      <c r="AQ325" s="810"/>
      <c r="AR325" s="814"/>
      <c r="AS325" s="814"/>
      <c r="AT325" s="811"/>
      <c r="AU325" s="802"/>
    </row>
    <row r="326" spans="30:47">
      <c r="AD326" s="800"/>
      <c r="AE326" s="802"/>
      <c r="AF326" s="802"/>
      <c r="AG326" s="802"/>
      <c r="AH326" s="802"/>
      <c r="AI326" s="810"/>
      <c r="AJ326" s="814"/>
      <c r="AK326" s="814"/>
      <c r="AL326" s="811"/>
      <c r="AM326" s="810"/>
      <c r="AN326" s="814"/>
      <c r="AO326" s="814"/>
      <c r="AP326" s="811"/>
      <c r="AQ326" s="810"/>
      <c r="AR326" s="814"/>
      <c r="AS326" s="814"/>
      <c r="AT326" s="811"/>
      <c r="AU326" s="802"/>
    </row>
    <row r="327" spans="30:47">
      <c r="AD327" s="800"/>
      <c r="AE327" s="802"/>
      <c r="AF327" s="802"/>
      <c r="AG327" s="802"/>
      <c r="AH327" s="802"/>
      <c r="AI327" s="810"/>
      <c r="AJ327" s="814"/>
      <c r="AK327" s="814"/>
      <c r="AL327" s="811"/>
      <c r="AM327" s="810"/>
      <c r="AN327" s="814"/>
      <c r="AO327" s="814"/>
      <c r="AP327" s="811"/>
      <c r="AQ327" s="810"/>
      <c r="AR327" s="814"/>
      <c r="AS327" s="814"/>
      <c r="AT327" s="811"/>
      <c r="AU327" s="802"/>
    </row>
    <row r="328" spans="30:47">
      <c r="AD328" s="800"/>
      <c r="AE328" s="802"/>
      <c r="AF328" s="802"/>
      <c r="AG328" s="802"/>
      <c r="AH328" s="802"/>
      <c r="AI328" s="810"/>
      <c r="AJ328" s="814"/>
      <c r="AK328" s="814"/>
      <c r="AL328" s="811"/>
      <c r="AM328" s="810"/>
      <c r="AN328" s="814"/>
      <c r="AO328" s="814"/>
      <c r="AP328" s="811"/>
      <c r="AQ328" s="810"/>
      <c r="AR328" s="814"/>
      <c r="AS328" s="814"/>
      <c r="AT328" s="811"/>
      <c r="AU328" s="802"/>
    </row>
    <row r="329" spans="30:47">
      <c r="AD329" s="800"/>
      <c r="AE329" s="802"/>
      <c r="AF329" s="802"/>
      <c r="AG329" s="802"/>
      <c r="AH329" s="802"/>
      <c r="AI329" s="810"/>
      <c r="AJ329" s="814"/>
      <c r="AK329" s="814"/>
      <c r="AL329" s="811"/>
      <c r="AM329" s="810"/>
      <c r="AN329" s="814"/>
      <c r="AO329" s="814"/>
      <c r="AP329" s="811"/>
      <c r="AQ329" s="810"/>
      <c r="AR329" s="814"/>
      <c r="AS329" s="814"/>
      <c r="AT329" s="811"/>
      <c r="AU329" s="802"/>
    </row>
    <row r="330" spans="30:47">
      <c r="AD330" s="800"/>
      <c r="AE330" s="802"/>
      <c r="AF330" s="802"/>
      <c r="AG330" s="802"/>
      <c r="AH330" s="802"/>
      <c r="AI330" s="810"/>
      <c r="AJ330" s="814"/>
      <c r="AK330" s="814"/>
      <c r="AL330" s="811"/>
      <c r="AM330" s="810"/>
      <c r="AN330" s="814"/>
      <c r="AO330" s="814"/>
      <c r="AP330" s="811"/>
      <c r="AQ330" s="810"/>
      <c r="AR330" s="814"/>
      <c r="AS330" s="814"/>
      <c r="AT330" s="811"/>
      <c r="AU330" s="802"/>
    </row>
    <row r="331" spans="30:47">
      <c r="AD331" s="800"/>
      <c r="AE331" s="802"/>
      <c r="AF331" s="802"/>
      <c r="AG331" s="802"/>
      <c r="AH331" s="802"/>
      <c r="AI331" s="810"/>
      <c r="AJ331" s="814"/>
      <c r="AK331" s="814"/>
      <c r="AL331" s="811"/>
      <c r="AM331" s="810"/>
      <c r="AN331" s="814"/>
      <c r="AO331" s="814"/>
      <c r="AP331" s="811"/>
      <c r="AQ331" s="810"/>
      <c r="AR331" s="814"/>
      <c r="AS331" s="814"/>
      <c r="AT331" s="811"/>
      <c r="AU331" s="802"/>
    </row>
    <row r="332" spans="30:47">
      <c r="AD332" s="800"/>
      <c r="AE332" s="802"/>
      <c r="AF332" s="802"/>
      <c r="AG332" s="802"/>
      <c r="AH332" s="802"/>
      <c r="AI332" s="810"/>
      <c r="AJ332" s="814"/>
      <c r="AK332" s="814"/>
      <c r="AL332" s="811"/>
      <c r="AM332" s="810"/>
      <c r="AN332" s="814"/>
      <c r="AO332" s="814"/>
      <c r="AP332" s="811"/>
      <c r="AQ332" s="810"/>
      <c r="AR332" s="814"/>
      <c r="AS332" s="814"/>
      <c r="AT332" s="811"/>
      <c r="AU332" s="802"/>
    </row>
    <row r="333" spans="30:47">
      <c r="AD333" s="800"/>
      <c r="AE333" s="802"/>
      <c r="AF333" s="802"/>
      <c r="AG333" s="802"/>
      <c r="AH333" s="802"/>
      <c r="AI333" s="810"/>
      <c r="AJ333" s="814"/>
      <c r="AK333" s="814"/>
      <c r="AL333" s="811"/>
      <c r="AM333" s="810"/>
      <c r="AN333" s="814"/>
      <c r="AO333" s="814"/>
      <c r="AP333" s="811"/>
      <c r="AQ333" s="810"/>
      <c r="AR333" s="814"/>
      <c r="AS333" s="814"/>
      <c r="AT333" s="811"/>
      <c r="AU333" s="802"/>
    </row>
    <row r="334" spans="30:47">
      <c r="AD334" s="800"/>
      <c r="AE334" s="802"/>
      <c r="AF334" s="802"/>
      <c r="AG334" s="802"/>
      <c r="AH334" s="802"/>
      <c r="AI334" s="810"/>
      <c r="AJ334" s="814"/>
      <c r="AK334" s="814"/>
      <c r="AL334" s="811"/>
      <c r="AM334" s="810"/>
      <c r="AN334" s="814"/>
      <c r="AO334" s="814"/>
      <c r="AP334" s="811"/>
      <c r="AQ334" s="810"/>
      <c r="AR334" s="814"/>
      <c r="AS334" s="814"/>
      <c r="AT334" s="811"/>
      <c r="AU334" s="802"/>
    </row>
    <row r="335" spans="30:47">
      <c r="AD335" s="800"/>
      <c r="AE335" s="802"/>
      <c r="AF335" s="802"/>
      <c r="AG335" s="802"/>
      <c r="AH335" s="802"/>
      <c r="AI335" s="810"/>
      <c r="AJ335" s="814"/>
      <c r="AK335" s="814"/>
      <c r="AL335" s="811"/>
      <c r="AM335" s="810"/>
      <c r="AN335" s="814"/>
      <c r="AO335" s="814"/>
      <c r="AP335" s="811"/>
      <c r="AQ335" s="810"/>
      <c r="AR335" s="814"/>
      <c r="AS335" s="814"/>
      <c r="AT335" s="811"/>
      <c r="AU335" s="802"/>
    </row>
    <row r="336" spans="30:47">
      <c r="AD336" s="800"/>
      <c r="AE336" s="802"/>
      <c r="AF336" s="802"/>
      <c r="AG336" s="802"/>
      <c r="AH336" s="802"/>
      <c r="AI336" s="810"/>
      <c r="AJ336" s="814"/>
      <c r="AK336" s="814"/>
      <c r="AL336" s="811"/>
      <c r="AM336" s="810"/>
      <c r="AN336" s="814"/>
      <c r="AO336" s="814"/>
      <c r="AP336" s="811"/>
      <c r="AQ336" s="810"/>
      <c r="AR336" s="814"/>
      <c r="AS336" s="814"/>
      <c r="AT336" s="811"/>
      <c r="AU336" s="802"/>
    </row>
    <row r="337" spans="30:47">
      <c r="AD337" s="800"/>
      <c r="AE337" s="802"/>
      <c r="AF337" s="802"/>
      <c r="AG337" s="802"/>
      <c r="AH337" s="802"/>
      <c r="AI337" s="810"/>
      <c r="AJ337" s="814"/>
      <c r="AK337" s="814"/>
      <c r="AL337" s="811"/>
      <c r="AM337" s="810"/>
      <c r="AN337" s="814"/>
      <c r="AO337" s="814"/>
      <c r="AP337" s="811"/>
      <c r="AQ337" s="810"/>
      <c r="AR337" s="814"/>
      <c r="AS337" s="814"/>
      <c r="AT337" s="811"/>
      <c r="AU337" s="802"/>
    </row>
    <row r="338" spans="30:47">
      <c r="AD338" s="800"/>
      <c r="AE338" s="802"/>
      <c r="AF338" s="802"/>
      <c r="AG338" s="802"/>
      <c r="AH338" s="802"/>
      <c r="AI338" s="810"/>
      <c r="AJ338" s="814"/>
      <c r="AK338" s="814"/>
      <c r="AL338" s="811"/>
      <c r="AM338" s="810"/>
      <c r="AN338" s="814"/>
      <c r="AO338" s="814"/>
      <c r="AP338" s="811"/>
      <c r="AQ338" s="810"/>
      <c r="AR338" s="814"/>
      <c r="AS338" s="814"/>
      <c r="AT338" s="811"/>
      <c r="AU338" s="802"/>
    </row>
    <row r="339" spans="30:47">
      <c r="AD339" s="800"/>
      <c r="AE339" s="802"/>
      <c r="AF339" s="802"/>
      <c r="AG339" s="802"/>
      <c r="AH339" s="802"/>
      <c r="AI339" s="810"/>
      <c r="AJ339" s="814"/>
      <c r="AK339" s="814"/>
      <c r="AL339" s="811"/>
      <c r="AM339" s="810"/>
      <c r="AN339" s="814"/>
      <c r="AO339" s="814"/>
      <c r="AP339" s="811"/>
      <c r="AQ339" s="810"/>
      <c r="AR339" s="814"/>
      <c r="AS339" s="814"/>
      <c r="AT339" s="811"/>
      <c r="AU339" s="802"/>
    </row>
    <row r="340" spans="30:47">
      <c r="AD340" s="800"/>
      <c r="AE340" s="802"/>
      <c r="AF340" s="802"/>
      <c r="AG340" s="802"/>
      <c r="AH340" s="802"/>
      <c r="AI340" s="810"/>
      <c r="AJ340" s="814"/>
      <c r="AK340" s="814"/>
      <c r="AL340" s="811"/>
      <c r="AM340" s="810"/>
      <c r="AN340" s="814"/>
      <c r="AO340" s="814"/>
      <c r="AP340" s="811"/>
      <c r="AQ340" s="810"/>
      <c r="AR340" s="814"/>
      <c r="AS340" s="814"/>
      <c r="AT340" s="811"/>
      <c r="AU340" s="802"/>
    </row>
    <row r="341" spans="30:47">
      <c r="AD341" s="800"/>
      <c r="AE341" s="802"/>
      <c r="AF341" s="802"/>
      <c r="AG341" s="802"/>
      <c r="AH341" s="802"/>
      <c r="AI341" s="810"/>
      <c r="AJ341" s="814"/>
      <c r="AK341" s="814"/>
      <c r="AL341" s="811"/>
      <c r="AM341" s="810"/>
      <c r="AN341" s="814"/>
      <c r="AO341" s="814"/>
      <c r="AP341" s="811"/>
      <c r="AQ341" s="810"/>
      <c r="AR341" s="814"/>
      <c r="AS341" s="814"/>
      <c r="AT341" s="811"/>
      <c r="AU341" s="802"/>
    </row>
    <row r="342" spans="30:47">
      <c r="AD342" s="800"/>
      <c r="AE342" s="802"/>
      <c r="AF342" s="802"/>
      <c r="AG342" s="802"/>
      <c r="AH342" s="802"/>
      <c r="AI342" s="810"/>
      <c r="AJ342" s="814"/>
      <c r="AK342" s="814"/>
      <c r="AL342" s="811"/>
      <c r="AM342" s="810"/>
      <c r="AN342" s="814"/>
      <c r="AO342" s="814"/>
      <c r="AP342" s="811"/>
      <c r="AQ342" s="810"/>
      <c r="AR342" s="814"/>
      <c r="AS342" s="814"/>
      <c r="AT342" s="811"/>
      <c r="AU342" s="802"/>
    </row>
    <row r="343" spans="30:47">
      <c r="AD343" s="800"/>
      <c r="AE343" s="802"/>
      <c r="AF343" s="802"/>
      <c r="AG343" s="802"/>
      <c r="AH343" s="802"/>
      <c r="AI343" s="810"/>
      <c r="AJ343" s="814"/>
      <c r="AK343" s="814"/>
      <c r="AL343" s="811"/>
      <c r="AM343" s="810"/>
      <c r="AN343" s="814"/>
      <c r="AO343" s="814"/>
      <c r="AP343" s="811"/>
      <c r="AQ343" s="810"/>
      <c r="AR343" s="814"/>
      <c r="AS343" s="814"/>
      <c r="AT343" s="811"/>
      <c r="AU343" s="802"/>
    </row>
    <row r="344" spans="30:47">
      <c r="AD344" s="800"/>
      <c r="AE344" s="802"/>
      <c r="AF344" s="802"/>
      <c r="AG344" s="802"/>
      <c r="AH344" s="802"/>
      <c r="AI344" s="810"/>
      <c r="AJ344" s="814"/>
      <c r="AK344" s="814"/>
      <c r="AL344" s="811"/>
      <c r="AM344" s="810"/>
      <c r="AN344" s="814"/>
      <c r="AO344" s="814"/>
      <c r="AP344" s="811"/>
      <c r="AQ344" s="810"/>
      <c r="AR344" s="814"/>
      <c r="AS344" s="814"/>
      <c r="AT344" s="811"/>
      <c r="AU344" s="802"/>
    </row>
    <row r="345" spans="30:47">
      <c r="AD345" s="800"/>
      <c r="AE345" s="802"/>
      <c r="AF345" s="802"/>
      <c r="AG345" s="802"/>
      <c r="AH345" s="802"/>
      <c r="AI345" s="810"/>
      <c r="AJ345" s="814"/>
      <c r="AK345" s="814"/>
      <c r="AL345" s="811"/>
      <c r="AM345" s="810"/>
      <c r="AN345" s="814"/>
      <c r="AO345" s="814"/>
      <c r="AP345" s="811"/>
      <c r="AQ345" s="810"/>
      <c r="AR345" s="814"/>
      <c r="AS345" s="814"/>
      <c r="AT345" s="811"/>
      <c r="AU345" s="802"/>
    </row>
    <row r="346" spans="30:47">
      <c r="AD346" s="800"/>
      <c r="AE346" s="802"/>
      <c r="AF346" s="802"/>
      <c r="AG346" s="802"/>
      <c r="AH346" s="802"/>
      <c r="AI346" s="810"/>
      <c r="AJ346" s="814"/>
      <c r="AK346" s="814"/>
      <c r="AL346" s="811"/>
      <c r="AM346" s="810"/>
      <c r="AN346" s="814"/>
      <c r="AO346" s="814"/>
      <c r="AP346" s="811"/>
      <c r="AQ346" s="810"/>
      <c r="AR346" s="814"/>
      <c r="AS346" s="814"/>
      <c r="AT346" s="811"/>
      <c r="AU346" s="802"/>
    </row>
    <row r="347" spans="30:47" ht="15" thickBot="1">
      <c r="AD347" s="800"/>
      <c r="AE347" s="800"/>
      <c r="AF347" s="800"/>
      <c r="AG347" s="800"/>
      <c r="AH347" s="800"/>
      <c r="AI347" s="809"/>
      <c r="AJ347" s="806"/>
      <c r="AK347" s="806"/>
      <c r="AL347" s="808"/>
      <c r="AM347" s="809"/>
      <c r="AN347" s="806"/>
      <c r="AO347" s="806"/>
      <c r="AP347" s="808"/>
      <c r="AQ347" s="809"/>
      <c r="AR347" s="806"/>
      <c r="AS347" s="806"/>
      <c r="AT347" s="808"/>
      <c r="AU347" s="802"/>
    </row>
    <row r="348" spans="30:47">
      <c r="AD348" s="802"/>
      <c r="AE348" s="802"/>
      <c r="AF348" s="802"/>
      <c r="AG348" s="802"/>
      <c r="AH348" s="802"/>
      <c r="AI348" s="802"/>
      <c r="AJ348" s="802"/>
      <c r="AK348" s="802"/>
      <c r="AL348" s="802"/>
      <c r="AM348" s="802"/>
      <c r="AN348" s="802"/>
      <c r="AO348" s="802"/>
      <c r="AP348" s="802"/>
      <c r="AQ348" s="802"/>
      <c r="AR348" s="802"/>
      <c r="AS348" s="802"/>
      <c r="AT348" s="802"/>
      <c r="AU348" s="802"/>
    </row>
    <row r="349" spans="30:47">
      <c r="AD349" s="802"/>
      <c r="AE349" s="802"/>
      <c r="AF349" s="802"/>
      <c r="AG349" s="802"/>
      <c r="AH349" s="802"/>
      <c r="AI349" s="802"/>
      <c r="AJ349" s="802"/>
      <c r="AK349" s="802"/>
      <c r="AL349" s="802"/>
      <c r="AM349" s="802"/>
      <c r="AN349" s="802"/>
      <c r="AO349" s="802"/>
      <c r="AP349" s="802"/>
      <c r="AQ349" s="802"/>
      <c r="AR349" s="802"/>
      <c r="AS349" s="802"/>
      <c r="AT349" s="802"/>
      <c r="AU349" s="802"/>
    </row>
    <row r="350" spans="30:47">
      <c r="AD350" s="802"/>
      <c r="AE350" s="802"/>
      <c r="AF350" s="802"/>
      <c r="AG350" s="802"/>
      <c r="AH350" s="802"/>
      <c r="AI350" s="802"/>
      <c r="AJ350" s="802"/>
      <c r="AK350" s="802"/>
      <c r="AL350" s="802"/>
      <c r="AM350" s="802"/>
      <c r="AN350" s="802"/>
      <c r="AO350" s="802"/>
      <c r="AP350" s="802"/>
      <c r="AQ350" s="802"/>
      <c r="AR350" s="802"/>
      <c r="AS350" s="802"/>
      <c r="AT350" s="802"/>
      <c r="AU350" s="802"/>
    </row>
    <row r="351" spans="30:47">
      <c r="AD351" s="802"/>
      <c r="AE351" s="802"/>
      <c r="AF351" s="802"/>
      <c r="AG351" s="802"/>
      <c r="AH351" s="802"/>
      <c r="AI351" s="802"/>
      <c r="AJ351" s="802"/>
      <c r="AK351" s="802"/>
      <c r="AL351" s="802"/>
      <c r="AM351" s="802"/>
      <c r="AN351" s="802"/>
      <c r="AO351" s="802"/>
      <c r="AP351" s="802"/>
      <c r="AQ351" s="802"/>
      <c r="AR351" s="802"/>
      <c r="AS351" s="802"/>
      <c r="AT351" s="802"/>
      <c r="AU351" s="802"/>
    </row>
  </sheetData>
  <pageMargins left="0.7" right="0.7" top="0.75" bottom="0.75" header="0.3" footer="0.3"/>
  <pageSetup paperSize="9" scale="36" orientation="portrait" r:id="rId1"/>
  <rowBreaks count="1" manualBreakCount="1">
    <brk id="91" max="16383" man="1"/>
  </rowBreaks>
  <colBreaks count="1" manualBreakCount="1">
    <brk id="34" max="1048575" man="1"/>
  </colBreaks>
  <ignoredErrors>
    <ignoredError sqref="O77:P77 S77:T77 W77:X77 AA77:AB77 O78:P78 S78:T78 W78:X78 AA78:AB78 O79:P79 S79:T79 W79:X79 AA79:AB79" evalError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P239"/>
  <sheetViews>
    <sheetView topLeftCell="A19" zoomScale="55" zoomScaleNormal="55" workbookViewId="0">
      <selection activeCell="G66" sqref="G66"/>
    </sheetView>
  </sheetViews>
  <sheetFormatPr defaultColWidth="8.796875" defaultRowHeight="15"/>
  <cols>
    <col min="1" max="2" width="2.5" style="152" customWidth="1"/>
    <col min="3" max="3" width="22.296875" style="152" customWidth="1"/>
    <col min="4" max="4" width="13.5" style="152" customWidth="1"/>
    <col min="5" max="12" width="22.296875" style="151" customWidth="1"/>
    <col min="13" max="16384" width="8.796875" style="151"/>
  </cols>
  <sheetData>
    <row r="1" spans="1:16" s="192" customFormat="1" ht="14.25">
      <c r="A1" s="193" t="s">
        <v>337</v>
      </c>
    </row>
    <row r="2" spans="1:16" s="190" customFormat="1" ht="14.25">
      <c r="C2" s="191"/>
      <c r="D2" s="191"/>
      <c r="E2" s="191"/>
      <c r="F2" s="191"/>
      <c r="H2" s="191"/>
      <c r="I2" s="191"/>
      <c r="J2" s="191"/>
      <c r="K2" s="191"/>
      <c r="L2" s="191"/>
      <c r="M2" s="191"/>
      <c r="N2" s="191"/>
      <c r="O2" s="191"/>
    </row>
    <row r="3" spans="1:16" s="190" customFormat="1" ht="14.25">
      <c r="C3" s="190" t="s">
        <v>220</v>
      </c>
      <c r="D3" s="101" t="s">
        <v>248</v>
      </c>
      <c r="F3" s="101"/>
      <c r="H3" s="102"/>
      <c r="I3" s="102"/>
      <c r="J3" s="102"/>
      <c r="K3" s="102"/>
      <c r="L3" s="102"/>
      <c r="M3" s="102"/>
      <c r="N3" s="102"/>
      <c r="O3" s="102"/>
    </row>
    <row r="4" spans="1:16" s="179" customFormat="1" ht="14.25"/>
    <row r="5" spans="1:16" s="187" customFormat="1" ht="14.25">
      <c r="A5" s="189"/>
      <c r="C5" s="187" t="s">
        <v>219</v>
      </c>
      <c r="G5" s="188"/>
      <c r="H5" s="188"/>
      <c r="I5" s="188"/>
      <c r="J5" s="188"/>
      <c r="K5" s="188"/>
      <c r="L5" s="188"/>
      <c r="M5" s="188"/>
      <c r="N5" s="188"/>
      <c r="O5" s="188"/>
      <c r="P5" s="188"/>
    </row>
    <row r="6" spans="1:16" s="179" customFormat="1" ht="14.25"/>
    <row r="7" spans="1:16" s="179" customFormat="1" ht="14.25">
      <c r="C7" s="186" t="s">
        <v>249</v>
      </c>
      <c r="D7" s="186"/>
      <c r="E7" s="186"/>
      <c r="F7" s="186"/>
      <c r="H7" s="185" t="s">
        <v>250</v>
      </c>
    </row>
    <row r="8" spans="1:16" s="179" customFormat="1" ht="14.25">
      <c r="C8" s="184"/>
      <c r="D8" s="180" t="s">
        <v>251</v>
      </c>
      <c r="G8" s="180" t="s">
        <v>252</v>
      </c>
      <c r="H8" s="183"/>
    </row>
    <row r="9" spans="1:16" s="179" customFormat="1" ht="14.25">
      <c r="C9" s="182"/>
      <c r="D9" s="180" t="s">
        <v>218</v>
      </c>
    </row>
    <row r="10" spans="1:16" s="179" customFormat="1" ht="14.25">
      <c r="C10" s="181"/>
      <c r="D10" s="180" t="s">
        <v>253</v>
      </c>
    </row>
    <row r="11" spans="1:16" s="179" customFormat="1" ht="14.25"/>
    <row r="12" spans="1:16" s="162" customFormat="1">
      <c r="A12" s="163" t="s">
        <v>28</v>
      </c>
    </row>
    <row r="13" spans="1:16" s="152" customFormat="1"/>
    <row r="14" spans="1:16" s="152" customFormat="1">
      <c r="C14" s="152" t="s">
        <v>302</v>
      </c>
      <c r="E14" s="177" t="str">
        <f>F148&amp;F149&amp;F150&amp;F151&amp;F152&amp;F153&amp;F154&amp;F155&amp;F156&amp;F157</f>
        <v xml:space="preserve">Company:  Rev  4486.4M  (-0.9%)    GPaL  2079.6M  (+46.4%)    EBIT  1042.2M  (+23.2%)    CP  7438.0M  (+4.3%)    </v>
      </c>
      <c r="F14" s="178"/>
      <c r="G14" s="178"/>
      <c r="H14" s="178"/>
      <c r="J14" s="178"/>
      <c r="K14" s="178"/>
    </row>
    <row r="15" spans="1:16" s="152" customFormat="1">
      <c r="E15" s="164" t="s">
        <v>336</v>
      </c>
    </row>
    <row r="16" spans="1:16" s="152" customFormat="1">
      <c r="E16" s="165"/>
    </row>
    <row r="17" spans="3:8" s="152" customFormat="1">
      <c r="C17" s="152" t="s">
        <v>301</v>
      </c>
      <c r="E17" s="177" t="str">
        <f>F162&amp;F163&amp;F164&amp;F165&amp;F166&amp;F167&amp;F168&amp;F169&amp;F170&amp;F171</f>
        <v xml:space="preserve">Hypermarkets:  Rev  1602.2M  (-2.7%)    GPaL  714.9M  (+44.6%)    GCC  587.9M  (+36.7%)    CP  639.9M  (+17.7%)    </v>
      </c>
      <c r="F17" s="178"/>
      <c r="G17" s="178"/>
      <c r="H17" s="178"/>
    </row>
    <row r="18" spans="3:8" s="152" customFormat="1">
      <c r="E18" s="164" t="s">
        <v>335</v>
      </c>
    </row>
    <row r="19" spans="3:8" s="152" customFormat="1">
      <c r="E19" s="165"/>
    </row>
    <row r="20" spans="3:8" s="152" customFormat="1">
      <c r="C20" s="152" t="s">
        <v>300</v>
      </c>
      <c r="E20" s="177" t="str">
        <f>F176&amp;F177&amp;F178&amp;F179&amp;F180&amp;F181&amp;F182&amp;F183&amp;F184&amp;F185</f>
        <v xml:space="preserve">Discounters:  Rev  1261.1M  (+0.1%)    GPaL  603.7M  (+47.9%)    GCC  503.7M  (+39.9%)    CP  307.6M  (-0.2%)    </v>
      </c>
      <c r="F20" s="178"/>
      <c r="G20" s="178"/>
      <c r="H20" s="178"/>
    </row>
    <row r="21" spans="3:8" s="152" customFormat="1">
      <c r="E21" s="164" t="s">
        <v>334</v>
      </c>
    </row>
    <row r="22" spans="3:8" s="152" customFormat="1"/>
    <row r="23" spans="3:8" s="152" customFormat="1">
      <c r="C23" s="152" t="s">
        <v>299</v>
      </c>
      <c r="E23" s="177" t="str">
        <f>F190&amp;F191&amp;F192&amp;F193&amp;F194&amp;F195&amp;F196&amp;F197&amp;F198&amp;F199</f>
        <v xml:space="preserve">Convenience:  Rev  840.1M  (-3.0%)    GPaL  378.2M  (+45.0%)    GCC  311.6M  (+37.1%)    CP  428.8M  (+3.6%)    </v>
      </c>
    </row>
    <row r="24" spans="3:8" s="152" customFormat="1">
      <c r="E24" s="164" t="s">
        <v>333</v>
      </c>
    </row>
    <row r="25" spans="3:8" s="152" customFormat="1"/>
    <row r="26" spans="3:8" s="152" customFormat="1">
      <c r="C26" s="152" t="s">
        <v>298</v>
      </c>
      <c r="E26" s="177" t="str">
        <f>F204&amp;F205&amp;F206&amp;F207&amp;F208&amp;F209&amp;F210&amp;F211&amp;F212&amp;F213</f>
        <v xml:space="preserve">On-Trade:  Rev  783.0M  (+3.8%)    GPaL  382.7M  (+48.9%)    GCC  320.7M  (+41.0%)    CP  6061.7M  (+3.4%)    </v>
      </c>
    </row>
    <row r="27" spans="3:8" s="152" customFormat="1">
      <c r="E27" s="164" t="s">
        <v>332</v>
      </c>
    </row>
    <row r="28" spans="3:8" s="152" customFormat="1"/>
    <row r="29" spans="3:8" s="152" customFormat="1">
      <c r="C29" s="152" t="s">
        <v>3767</v>
      </c>
      <c r="E29" s="177" t="str">
        <f>F218&amp;F219&amp;F220&amp;F221&amp;F222&amp;F223&amp;F224&amp;F225&amp;F226&amp;F227</f>
        <v xml:space="preserve">CBC:  Greenborg  265.1M  (+37.5%)    Harken  851.5M  (+42.1%)    Kara  550.9M  (+38.8%)    Brew Master  159.2M  (+47.1%)    </v>
      </c>
    </row>
    <row r="30" spans="3:8" s="152" customFormat="1">
      <c r="E30" s="164" t="s">
        <v>3770</v>
      </c>
    </row>
    <row r="31" spans="3:8" s="152" customFormat="1"/>
    <row r="32" spans="3:8" s="152" customFormat="1">
      <c r="C32" s="152" t="s">
        <v>3767</v>
      </c>
      <c r="E32" s="177" t="str">
        <f>F230&amp;F231&amp;F232&amp;F233&amp;F234&amp;F235&amp;F236&amp;F237&amp;F238&amp;F239</f>
        <v xml:space="preserve">  </v>
      </c>
    </row>
    <row r="33" spans="1:12" s="152" customFormat="1">
      <c r="E33" s="164" t="s">
        <v>3774</v>
      </c>
    </row>
    <row r="34" spans="1:12" s="152" customFormat="1"/>
    <row r="35" spans="1:12" s="162" customFormat="1">
      <c r="A35" s="163" t="s">
        <v>29</v>
      </c>
    </row>
    <row r="36" spans="1:12" s="152" customFormat="1"/>
    <row r="37" spans="1:12" s="152" customFormat="1">
      <c r="C37" s="160" t="s">
        <v>331</v>
      </c>
      <c r="E37" s="176">
        <v>2</v>
      </c>
      <c r="F37" s="152" t="s">
        <v>330</v>
      </c>
    </row>
    <row r="38" spans="1:12" s="152" customFormat="1">
      <c r="C38" s="160" t="s">
        <v>329</v>
      </c>
      <c r="E38" s="176">
        <v>4</v>
      </c>
      <c r="F38" s="152" t="s">
        <v>328</v>
      </c>
    </row>
    <row r="39" spans="1:12" s="152" customFormat="1">
      <c r="C39" s="152" t="s">
        <v>327</v>
      </c>
      <c r="E39" s="176">
        <v>2</v>
      </c>
      <c r="F39" s="152" t="s">
        <v>326</v>
      </c>
    </row>
    <row r="40" spans="1:12" s="152" customFormat="1">
      <c r="F40" s="165"/>
    </row>
    <row r="41" spans="1:12" s="152" customFormat="1">
      <c r="B41" s="175" t="s">
        <v>6627</v>
      </c>
    </row>
    <row r="42" spans="1:12" s="152" customFormat="1">
      <c r="C42" s="152" t="s">
        <v>316</v>
      </c>
      <c r="E42" s="152" t="s">
        <v>315</v>
      </c>
      <c r="F42" s="160" t="s">
        <v>314</v>
      </c>
      <c r="H42" s="160" t="s">
        <v>313</v>
      </c>
      <c r="I42" s="152" t="s">
        <v>312</v>
      </c>
      <c r="K42" s="152" t="s">
        <v>311</v>
      </c>
      <c r="L42" s="860"/>
    </row>
    <row r="43" spans="1:12" s="152" customFormat="1">
      <c r="B43" s="152">
        <v>1</v>
      </c>
      <c r="C43" s="174" t="s">
        <v>3775</v>
      </c>
      <c r="D43" s="152" t="s">
        <v>6671</v>
      </c>
      <c r="E43" s="174" t="b">
        <v>1</v>
      </c>
      <c r="F43" s="834">
        <f>INDEX(finPNLNetRevTot,,xxIndexTeam)</f>
        <v>4486395075.5444803</v>
      </c>
      <c r="G43" s="152" t="s">
        <v>6617</v>
      </c>
      <c r="H43" s="172" t="str">
        <f>TEXT(F43,"0.0,,;-0.0,,;-") &amp; "M"</f>
        <v>4486.4M</v>
      </c>
      <c r="I43" s="839">
        <f>(F43-INDEX(obalCompanyRevenueTot,,xxIndexTeam))/INDEX(obalCompanyRevenueTot,,xxIndexTeam)</f>
        <v>-8.8438644677397617E-3</v>
      </c>
      <c r="J43" s="152" t="s">
        <v>6621</v>
      </c>
      <c r="K43" s="172" t="str">
        <f>"("&amp;TEXT(I43,"+0.0%;-0.0%;-")&amp;")"</f>
        <v>(-0.9%)</v>
      </c>
      <c r="L43" s="860"/>
    </row>
    <row r="44" spans="1:12" s="152" customFormat="1">
      <c r="B44" s="152">
        <v>2</v>
      </c>
      <c r="C44" s="171" t="s">
        <v>521</v>
      </c>
      <c r="D44" s="152" t="s">
        <v>6677</v>
      </c>
      <c r="E44" s="171" t="b">
        <v>1</v>
      </c>
      <c r="F44" s="835">
        <f>INDEX(finPNLGPaLTot,,xxIndexTeam)</f>
        <v>2079588274.6756134</v>
      </c>
      <c r="G44" s="152" t="s">
        <v>6618</v>
      </c>
      <c r="H44" s="169" t="str">
        <f>TEXT(F44,"0.0,,;-0.0,,;-") &amp; "M"</f>
        <v>2079.6M</v>
      </c>
      <c r="I44" s="840">
        <f>INDEX(finPNLGPaLMarginTot,,xxIndexTeam)</f>
        <v>0.46353213207002936</v>
      </c>
      <c r="J44" s="152" t="s">
        <v>6622</v>
      </c>
      <c r="K44" s="169" t="str">
        <f t="shared" ref="K44:K45" si="0">"("&amp;TEXT(I44,"+0.0%;-0.0%;-")&amp;")"</f>
        <v>(+46.4%)</v>
      </c>
      <c r="L44" s="860"/>
    </row>
    <row r="45" spans="1:12" s="152" customFormat="1">
      <c r="B45" s="152">
        <v>3</v>
      </c>
      <c r="C45" s="171" t="s">
        <v>325</v>
      </c>
      <c r="D45" s="152" t="s">
        <v>6683</v>
      </c>
      <c r="E45" s="171" t="b">
        <v>1</v>
      </c>
      <c r="F45" s="835">
        <f>INDEX(finPNLEbitTot,,xxIndexTeam)</f>
        <v>1042150420.1710732</v>
      </c>
      <c r="G45" s="152" t="s">
        <v>6619</v>
      </c>
      <c r="H45" s="169" t="str">
        <f>TEXT(F45,"0.0,,;-0.0,,;-") &amp; "M"</f>
        <v>1042.2M</v>
      </c>
      <c r="I45" s="840">
        <f>INDEX(finPNLEbitMarginTot,,xxIndexTeam)</f>
        <v>0.23229127230721988</v>
      </c>
      <c r="J45" s="152" t="s">
        <v>6623</v>
      </c>
      <c r="K45" s="169" t="str">
        <f t="shared" si="0"/>
        <v>(+23.2%)</v>
      </c>
      <c r="L45" s="860"/>
    </row>
    <row r="46" spans="1:12" s="152" customFormat="1">
      <c r="B46" s="152">
        <v>4</v>
      </c>
      <c r="C46" s="171" t="s">
        <v>4352</v>
      </c>
      <c r="D46" s="152" t="s">
        <v>6689</v>
      </c>
      <c r="E46" s="171" t="b">
        <v>1</v>
      </c>
      <c r="F46" s="835">
        <f>INDEX(calcCh1CustProfitTot,,xxIndexTeam)+INDEX(calcCh2CustProfitTot,,xxIndexTeam)+INDEX(calcCh3CustProfitTot,,xxIndexTeam)+INDEX(calcCh4CustProfitTot,,xxIndexTeam)</f>
        <v>7437951994.1617088</v>
      </c>
      <c r="G46" s="152" t="s">
        <v>6620</v>
      </c>
      <c r="H46" s="169" t="str">
        <f>TEXT(F46,"0.0,,;-0.0,,;-") &amp; "M"</f>
        <v>7438.0M</v>
      </c>
      <c r="I46" s="840">
        <f>((F46-INDEX(obalCompanyCustomerProfitTot,,xxIndexTeam))/INDEX(obalCompanyCustomerProfitTot,,xxIndexTeam))</f>
        <v>4.3394596289731566E-2</v>
      </c>
      <c r="J46" s="152" t="s">
        <v>6624</v>
      </c>
      <c r="K46" s="169" t="str">
        <f>"("&amp;TEXT(I46,"+0.0%;-0.0%;-")&amp;")"</f>
        <v>(+4.3%)</v>
      </c>
      <c r="L46" s="860"/>
    </row>
    <row r="47" spans="1:12" s="152" customFormat="1">
      <c r="B47" s="152">
        <v>5</v>
      </c>
      <c r="C47" s="171"/>
      <c r="E47" s="171" t="b">
        <v>0</v>
      </c>
      <c r="F47" s="835"/>
      <c r="H47" s="169"/>
      <c r="I47" s="840"/>
      <c r="K47" s="169"/>
      <c r="L47" s="860"/>
    </row>
    <row r="48" spans="1:12" s="152" customFormat="1">
      <c r="B48" s="152">
        <v>6</v>
      </c>
      <c r="C48" s="171"/>
      <c r="E48" s="171" t="b">
        <v>0</v>
      </c>
      <c r="F48" s="835"/>
      <c r="H48" s="169"/>
      <c r="I48" s="840"/>
      <c r="K48" s="169"/>
      <c r="L48" s="860"/>
    </row>
    <row r="49" spans="2:12" s="152" customFormat="1">
      <c r="B49" s="152">
        <v>7</v>
      </c>
      <c r="C49" s="171"/>
      <c r="E49" s="171" t="b">
        <v>0</v>
      </c>
      <c r="F49" s="835"/>
      <c r="H49" s="169"/>
      <c r="I49" s="840"/>
      <c r="K49" s="169"/>
      <c r="L49" s="860"/>
    </row>
    <row r="50" spans="2:12" s="152" customFormat="1">
      <c r="B50" s="152">
        <v>8</v>
      </c>
      <c r="C50" s="171"/>
      <c r="E50" s="171" t="b">
        <v>0</v>
      </c>
      <c r="F50" s="835"/>
      <c r="H50" s="169"/>
      <c r="I50" s="840"/>
      <c r="K50" s="169"/>
      <c r="L50" s="860"/>
    </row>
    <row r="51" spans="2:12" s="152" customFormat="1">
      <c r="B51" s="152">
        <v>9</v>
      </c>
      <c r="C51" s="171"/>
      <c r="E51" s="171" t="b">
        <v>0</v>
      </c>
      <c r="F51" s="835"/>
      <c r="H51" s="169"/>
      <c r="I51" s="840"/>
      <c r="K51" s="169"/>
      <c r="L51" s="860"/>
    </row>
    <row r="52" spans="2:12" s="152" customFormat="1">
      <c r="B52" s="152">
        <v>10</v>
      </c>
      <c r="C52" s="168"/>
      <c r="E52" s="168" t="b">
        <v>0</v>
      </c>
      <c r="F52" s="836"/>
      <c r="H52" s="166"/>
      <c r="I52" s="841"/>
      <c r="K52" s="166"/>
      <c r="L52" s="860"/>
    </row>
    <row r="53" spans="2:12" s="152" customFormat="1">
      <c r="C53" s="164" t="s">
        <v>324</v>
      </c>
      <c r="E53" s="165"/>
      <c r="F53" s="837"/>
      <c r="H53" s="164" t="s">
        <v>323</v>
      </c>
      <c r="I53" s="842"/>
      <c r="L53" s="860"/>
    </row>
    <row r="54" spans="2:12" s="152" customFormat="1">
      <c r="F54" s="837"/>
      <c r="I54" s="842"/>
      <c r="L54" s="860"/>
    </row>
    <row r="55" spans="2:12" s="152" customFormat="1">
      <c r="B55" s="175" t="s">
        <v>6628</v>
      </c>
      <c r="F55" s="837"/>
      <c r="I55" s="842"/>
      <c r="L55" s="860"/>
    </row>
    <row r="56" spans="2:12" s="152" customFormat="1">
      <c r="C56" s="152" t="s">
        <v>316</v>
      </c>
      <c r="E56" s="152" t="s">
        <v>315</v>
      </c>
      <c r="F56" s="838" t="s">
        <v>314</v>
      </c>
      <c r="H56" s="160" t="s">
        <v>313</v>
      </c>
      <c r="I56" s="842" t="s">
        <v>312</v>
      </c>
      <c r="K56" s="152" t="s">
        <v>311</v>
      </c>
      <c r="L56" s="860"/>
    </row>
    <row r="57" spans="2:12" s="152" customFormat="1">
      <c r="B57" s="152">
        <v>1</v>
      </c>
      <c r="C57" s="174" t="str">
        <f>nmCh1&amp;":  Rev"</f>
        <v>Hypermarkets:  Rev</v>
      </c>
      <c r="D57" s="152" t="s">
        <v>6672</v>
      </c>
      <c r="E57" s="174" t="b">
        <v>1</v>
      </c>
      <c r="F57" s="834">
        <f>INDEX(finPNLCh1NetRev,,xxIndexTeam)</f>
        <v>1602198766.2592835</v>
      </c>
      <c r="G57" s="152" t="s">
        <v>6631</v>
      </c>
      <c r="H57" s="172" t="str">
        <f>TEXT(F57,"0.0,,;-0.0,,;-") &amp; "M"</f>
        <v>1602.2M</v>
      </c>
      <c r="I57" s="839">
        <f>((F57-INDEX(obalCh1RevenueTot,,xxIndexTeam))/INDEX(obalCh1RevenueTot,,xxIndexTeam))</f>
        <v>-2.6546064669828458E-2</v>
      </c>
      <c r="J57" s="152" t="s">
        <v>6632</v>
      </c>
      <c r="K57" s="172" t="str">
        <f>"("&amp;TEXT(I57,"+0.0%;-0.0%;-")&amp;")"</f>
        <v>(-2.7%)</v>
      </c>
      <c r="L57" s="860"/>
    </row>
    <row r="58" spans="2:12" s="152" customFormat="1">
      <c r="B58" s="152">
        <v>2</v>
      </c>
      <c r="C58" s="171" t="s">
        <v>521</v>
      </c>
      <c r="D58" s="152" t="s">
        <v>6678</v>
      </c>
      <c r="E58" s="171" t="b">
        <v>1</v>
      </c>
      <c r="F58" s="835">
        <f>INDEX(finPNLCh1GPaL,,xxIndexTeam)</f>
        <v>714910724.82424188</v>
      </c>
      <c r="G58" s="152" t="s">
        <v>6633</v>
      </c>
      <c r="H58" s="169" t="str">
        <f>TEXT(F58,"0.0,,;-0.0,,;-") &amp; "M"</f>
        <v>714.9M</v>
      </c>
      <c r="I58" s="840">
        <f>INDEX(finPNLCh1GPaLMargin,,xxIndexTeam)</f>
        <v>0.44620601381024155</v>
      </c>
      <c r="J58" s="152" t="s">
        <v>6634</v>
      </c>
      <c r="K58" s="169" t="str">
        <f t="shared" ref="K58:K60" si="1">"("&amp;TEXT(I58,"+0.0%;-0.0%;-")&amp;")"</f>
        <v>(+44.6%)</v>
      </c>
      <c r="L58" s="860"/>
    </row>
    <row r="59" spans="2:12" s="152" customFormat="1">
      <c r="B59" s="152">
        <v>3</v>
      </c>
      <c r="C59" s="171" t="s">
        <v>2972</v>
      </c>
      <c r="D59" s="152" t="s">
        <v>6684</v>
      </c>
      <c r="E59" s="171" t="b">
        <v>1</v>
      </c>
      <c r="F59" s="835">
        <f>INDEX(finPNLCh1GCC,,xxIndexTeam)</f>
        <v>587866571.24650359</v>
      </c>
      <c r="G59" s="152" t="s">
        <v>6635</v>
      </c>
      <c r="H59" s="169" t="str">
        <f>TEXT(F59,"0.0,,;-0.0,,;-") &amp; "M"</f>
        <v>587.9M</v>
      </c>
      <c r="I59" s="840">
        <f>INDEX(finPNLCh1GCCMargin,,xxIndexTeam)</f>
        <v>0.36691238542082938</v>
      </c>
      <c r="J59" s="152" t="s">
        <v>6636</v>
      </c>
      <c r="K59" s="169" t="str">
        <f t="shared" si="1"/>
        <v>(+36.7%)</v>
      </c>
      <c r="L59" s="860"/>
    </row>
    <row r="60" spans="2:12" s="152" customFormat="1">
      <c r="B60" s="152">
        <v>4</v>
      </c>
      <c r="C60" s="171" t="s">
        <v>4352</v>
      </c>
      <c r="D60" s="152" t="s">
        <v>6690</v>
      </c>
      <c r="E60" s="171" t="b">
        <v>1</v>
      </c>
      <c r="F60" s="835">
        <f>INDEX(calcCh1CustProfitTot,,xxIndexTeam)</f>
        <v>639912288.01116467</v>
      </c>
      <c r="G60" s="152" t="s">
        <v>6637</v>
      </c>
      <c r="H60" s="169" t="str">
        <f>TEXT(F60,"0.0,,;-0.0,,;-") &amp; "M"</f>
        <v>639.9M</v>
      </c>
      <c r="I60" s="840">
        <f>((F60-INDEX(obalCh1CustomerProfitTot,,xxIndexTeam))/INDEX(obalCh1CustomerProfitTot,,xxIndexTeam))</f>
        <v>0.17699757207614286</v>
      </c>
      <c r="J60" s="152" t="s">
        <v>6638</v>
      </c>
      <c r="K60" s="169" t="str">
        <f t="shared" si="1"/>
        <v>(+17.7%)</v>
      </c>
      <c r="L60" s="860"/>
    </row>
    <row r="61" spans="2:12" s="152" customFormat="1">
      <c r="B61" s="152">
        <v>5</v>
      </c>
      <c r="C61" s="171"/>
      <c r="E61" s="171" t="b">
        <v>0</v>
      </c>
      <c r="F61" s="835"/>
      <c r="H61" s="169"/>
      <c r="I61" s="840"/>
      <c r="K61" s="169"/>
      <c r="L61" s="860"/>
    </row>
    <row r="62" spans="2:12" s="152" customFormat="1">
      <c r="B62" s="152">
        <v>6</v>
      </c>
      <c r="C62" s="171"/>
      <c r="E62" s="171" t="b">
        <v>0</v>
      </c>
      <c r="F62" s="835"/>
      <c r="H62" s="169"/>
      <c r="I62" s="840"/>
      <c r="K62" s="169"/>
      <c r="L62" s="860"/>
    </row>
    <row r="63" spans="2:12" s="152" customFormat="1">
      <c r="B63" s="152">
        <v>7</v>
      </c>
      <c r="C63" s="171"/>
      <c r="E63" s="171" t="b">
        <v>0</v>
      </c>
      <c r="F63" s="835"/>
      <c r="H63" s="169"/>
      <c r="I63" s="840"/>
      <c r="K63" s="169"/>
      <c r="L63" s="860"/>
    </row>
    <row r="64" spans="2:12" s="152" customFormat="1">
      <c r="B64" s="152">
        <v>8</v>
      </c>
      <c r="C64" s="171"/>
      <c r="E64" s="171" t="b">
        <v>0</v>
      </c>
      <c r="F64" s="835"/>
      <c r="H64" s="169"/>
      <c r="I64" s="840"/>
      <c r="K64" s="169"/>
      <c r="L64" s="860"/>
    </row>
    <row r="65" spans="2:12" s="152" customFormat="1">
      <c r="B65" s="152">
        <v>9</v>
      </c>
      <c r="C65" s="171"/>
      <c r="E65" s="171" t="b">
        <v>0</v>
      </c>
      <c r="F65" s="835"/>
      <c r="H65" s="169"/>
      <c r="I65" s="840"/>
      <c r="K65" s="169"/>
      <c r="L65" s="860"/>
    </row>
    <row r="66" spans="2:12" s="152" customFormat="1">
      <c r="B66" s="152">
        <v>10</v>
      </c>
      <c r="C66" s="168"/>
      <c r="E66" s="168" t="b">
        <v>0</v>
      </c>
      <c r="F66" s="836"/>
      <c r="H66" s="166"/>
      <c r="I66" s="841"/>
      <c r="K66" s="166"/>
      <c r="L66" s="860"/>
    </row>
    <row r="67" spans="2:12" s="152" customFormat="1">
      <c r="C67" s="164" t="s">
        <v>322</v>
      </c>
      <c r="E67" s="165"/>
      <c r="F67" s="837"/>
      <c r="H67" s="164" t="s">
        <v>321</v>
      </c>
      <c r="I67" s="842"/>
      <c r="L67" s="860"/>
    </row>
    <row r="68" spans="2:12" s="152" customFormat="1">
      <c r="F68" s="837"/>
      <c r="I68" s="842"/>
      <c r="L68" s="860"/>
    </row>
    <row r="69" spans="2:12" s="152" customFormat="1">
      <c r="B69" s="175" t="s">
        <v>6629</v>
      </c>
      <c r="F69" s="837"/>
      <c r="I69" s="842"/>
      <c r="L69" s="860"/>
    </row>
    <row r="70" spans="2:12" s="152" customFormat="1">
      <c r="C70" s="152" t="s">
        <v>316</v>
      </c>
      <c r="E70" s="152" t="s">
        <v>315</v>
      </c>
      <c r="F70" s="838" t="s">
        <v>314</v>
      </c>
      <c r="H70" s="160" t="s">
        <v>313</v>
      </c>
      <c r="I70" s="842" t="s">
        <v>312</v>
      </c>
      <c r="K70" s="152" t="s">
        <v>311</v>
      </c>
      <c r="L70" s="860"/>
    </row>
    <row r="71" spans="2:12" s="152" customFormat="1">
      <c r="B71" s="152">
        <v>1</v>
      </c>
      <c r="C71" s="174" t="str">
        <f>nmCh2&amp;":  Rev"</f>
        <v>Discounters:  Rev</v>
      </c>
      <c r="D71" s="152" t="s">
        <v>6673</v>
      </c>
      <c r="E71" s="174" t="b">
        <v>1</v>
      </c>
      <c r="F71" s="834">
        <f>INDEX(finPNLCh2NetRev,,xxIndexTeam)</f>
        <v>1261063329.5999999</v>
      </c>
      <c r="G71" s="152" t="s">
        <v>6639</v>
      </c>
      <c r="H71" s="172" t="str">
        <f>TEXT(F71,"0.0,,;-0.0,,;-") &amp; "M"</f>
        <v>1261.1M</v>
      </c>
      <c r="I71" s="839">
        <f>((F71-INDEX(obalCh2RevenueTot,,xxIndexTeam))/INDEX(obalCh2RevenueTot,,xxIndexTeam))</f>
        <v>9.2598874161480026E-4</v>
      </c>
      <c r="J71" s="152" t="s">
        <v>6640</v>
      </c>
      <c r="K71" s="172" t="str">
        <f>"("&amp;TEXT(I71,"+0.0%;-0.0%;-")&amp;")"</f>
        <v>(+0.1%)</v>
      </c>
      <c r="L71" s="860"/>
    </row>
    <row r="72" spans="2:12" s="152" customFormat="1">
      <c r="B72" s="152">
        <v>2</v>
      </c>
      <c r="C72" s="171" t="s">
        <v>521</v>
      </c>
      <c r="D72" s="152" t="s">
        <v>6679</v>
      </c>
      <c r="E72" s="171" t="b">
        <v>1</v>
      </c>
      <c r="F72" s="835">
        <f>INDEX(finPNLCh2GPaL,,xxIndexTeam)</f>
        <v>603712529.45458055</v>
      </c>
      <c r="G72" s="152" t="s">
        <v>6641</v>
      </c>
      <c r="H72" s="169" t="str">
        <f>TEXT(F72,"0.0,,;-0.0,,;-") &amp; "M"</f>
        <v>603.7M</v>
      </c>
      <c r="I72" s="840">
        <f>INDEX(finPNLCh2GPaLMargin,,xxIndexTeam)</f>
        <v>0.47873291950061997</v>
      </c>
      <c r="J72" s="152" t="s">
        <v>6642</v>
      </c>
      <c r="K72" s="169" t="str">
        <f t="shared" ref="K72:K74" si="2">"("&amp;TEXT(I72,"+0.0%;-0.0%;-")&amp;")"</f>
        <v>(+47.9%)</v>
      </c>
      <c r="L72" s="860"/>
    </row>
    <row r="73" spans="2:12" s="152" customFormat="1">
      <c r="B73" s="152">
        <v>3</v>
      </c>
      <c r="C73" s="171" t="s">
        <v>2972</v>
      </c>
      <c r="D73" s="152" t="s">
        <v>6685</v>
      </c>
      <c r="E73" s="171" t="b">
        <v>1</v>
      </c>
      <c r="F73" s="835">
        <f>INDEX(finPNLCh2GCC,,xxIndexTeam)</f>
        <v>503718242.4217633</v>
      </c>
      <c r="G73" s="152" t="s">
        <v>6643</v>
      </c>
      <c r="H73" s="169" t="str">
        <f>TEXT(F73,"0.0,,;-0.0,,;-") &amp; "M"</f>
        <v>503.7M</v>
      </c>
      <c r="I73" s="840">
        <f>INDEX(finPNLCh2GCCMargin,,xxIndexTeam)</f>
        <v>0.39943929111120774</v>
      </c>
      <c r="J73" s="152" t="s">
        <v>6644</v>
      </c>
      <c r="K73" s="169" t="str">
        <f t="shared" si="2"/>
        <v>(+39.9%)</v>
      </c>
      <c r="L73" s="860"/>
    </row>
    <row r="74" spans="2:12" s="152" customFormat="1">
      <c r="B74" s="152">
        <v>4</v>
      </c>
      <c r="C74" s="171" t="s">
        <v>4352</v>
      </c>
      <c r="D74" s="152" t="s">
        <v>6691</v>
      </c>
      <c r="E74" s="171" t="b">
        <v>1</v>
      </c>
      <c r="F74" s="835">
        <f>INDEX(calcCh2CustProfitTot,,xxIndexTeam)</f>
        <v>307591591.73999983</v>
      </c>
      <c r="G74" s="152" t="s">
        <v>6645</v>
      </c>
      <c r="H74" s="169" t="str">
        <f>TEXT(F74,"0.0,,;-0.0,,;-") &amp; "M"</f>
        <v>307.6M</v>
      </c>
      <c r="I74" s="840">
        <f>((F74-INDEX(obalCh2CustomerProfitTot,,xxIndexTeam))/INDEX(obalCh2CustomerProfitTot,,xxIndexTeam))</f>
        <v>-2.4131793058330604E-3</v>
      </c>
      <c r="J74" s="152" t="s">
        <v>6646</v>
      </c>
      <c r="K74" s="169" t="str">
        <f t="shared" si="2"/>
        <v>(-0.2%)</v>
      </c>
      <c r="L74" s="860"/>
    </row>
    <row r="75" spans="2:12" s="152" customFormat="1">
      <c r="B75" s="152">
        <v>5</v>
      </c>
      <c r="C75" s="171"/>
      <c r="E75" s="171" t="b">
        <v>0</v>
      </c>
      <c r="F75" s="835"/>
      <c r="H75" s="169"/>
      <c r="I75" s="840"/>
      <c r="K75" s="169"/>
      <c r="L75" s="860"/>
    </row>
    <row r="76" spans="2:12" s="152" customFormat="1">
      <c r="B76" s="152">
        <v>6</v>
      </c>
      <c r="C76" s="171"/>
      <c r="E76" s="171" t="b">
        <v>0</v>
      </c>
      <c r="F76" s="835"/>
      <c r="H76" s="169"/>
      <c r="I76" s="840"/>
      <c r="K76" s="169"/>
      <c r="L76" s="860"/>
    </row>
    <row r="77" spans="2:12" s="152" customFormat="1">
      <c r="B77" s="152">
        <v>7</v>
      </c>
      <c r="C77" s="171"/>
      <c r="E77" s="171" t="b">
        <v>0</v>
      </c>
      <c r="F77" s="835"/>
      <c r="H77" s="169"/>
      <c r="I77" s="840"/>
      <c r="K77" s="169"/>
      <c r="L77" s="860"/>
    </row>
    <row r="78" spans="2:12" s="152" customFormat="1">
      <c r="B78" s="152">
        <v>8</v>
      </c>
      <c r="C78" s="171"/>
      <c r="E78" s="171" t="b">
        <v>0</v>
      </c>
      <c r="F78" s="835"/>
      <c r="H78" s="169"/>
      <c r="I78" s="840"/>
      <c r="K78" s="169"/>
      <c r="L78" s="860"/>
    </row>
    <row r="79" spans="2:12" s="152" customFormat="1">
      <c r="B79" s="152">
        <v>9</v>
      </c>
      <c r="C79" s="171"/>
      <c r="E79" s="171" t="b">
        <v>0</v>
      </c>
      <c r="F79" s="835"/>
      <c r="H79" s="169"/>
      <c r="I79" s="840"/>
      <c r="K79" s="169"/>
      <c r="L79" s="860"/>
    </row>
    <row r="80" spans="2:12" s="152" customFormat="1">
      <c r="B80" s="152">
        <v>10</v>
      </c>
      <c r="C80" s="168"/>
      <c r="E80" s="168" t="b">
        <v>0</v>
      </c>
      <c r="F80" s="836"/>
      <c r="H80" s="166"/>
      <c r="I80" s="841"/>
      <c r="K80" s="166"/>
      <c r="L80" s="860"/>
    </row>
    <row r="81" spans="2:12" s="152" customFormat="1">
      <c r="C81" s="164" t="s">
        <v>320</v>
      </c>
      <c r="E81" s="165"/>
      <c r="F81" s="837"/>
      <c r="H81" s="164" t="s">
        <v>319</v>
      </c>
      <c r="I81" s="842"/>
      <c r="L81" s="860"/>
    </row>
    <row r="82" spans="2:12" s="152" customFormat="1">
      <c r="F82" s="837"/>
      <c r="I82" s="842"/>
      <c r="L82" s="860"/>
    </row>
    <row r="83" spans="2:12" s="152" customFormat="1">
      <c r="B83" s="175" t="s">
        <v>6630</v>
      </c>
      <c r="F83" s="837"/>
      <c r="I83" s="842"/>
      <c r="L83" s="860"/>
    </row>
    <row r="84" spans="2:12" s="152" customFormat="1">
      <c r="C84" s="152" t="s">
        <v>316</v>
      </c>
      <c r="E84" s="152" t="s">
        <v>315</v>
      </c>
      <c r="F84" s="838" t="s">
        <v>314</v>
      </c>
      <c r="H84" s="160" t="s">
        <v>313</v>
      </c>
      <c r="I84" s="842" t="s">
        <v>312</v>
      </c>
      <c r="K84" s="152" t="s">
        <v>311</v>
      </c>
      <c r="L84" s="860"/>
    </row>
    <row r="85" spans="2:12" s="152" customFormat="1">
      <c r="B85" s="152">
        <v>1</v>
      </c>
      <c r="C85" s="174" t="str">
        <f>nmCh3&amp;":  Rev"</f>
        <v>Convenience:  Rev</v>
      </c>
      <c r="D85" s="152" t="s">
        <v>6674</v>
      </c>
      <c r="E85" s="174" t="b">
        <v>1</v>
      </c>
      <c r="F85" s="834">
        <f>INDEX(finPNLCh3NetRev,,xxIndexTeam)</f>
        <v>840122179.51821852</v>
      </c>
      <c r="G85" s="152" t="s">
        <v>6647</v>
      </c>
      <c r="H85" s="172" t="str">
        <f>TEXT(F85,"0.0,,;-0.0,,;-") &amp; "M"</f>
        <v>840.1M</v>
      </c>
      <c r="I85" s="839">
        <f>((F85-INDEX(obalCh3RevenueTot,,xxIndexTeam))/INDEX(obalCh3RevenueTot,,xxIndexTeam))</f>
        <v>-3.0489373312229423E-2</v>
      </c>
      <c r="J85" s="152" t="s">
        <v>6648</v>
      </c>
      <c r="K85" s="172" t="str">
        <f>"("&amp;TEXT(I85,"+0.0%;-0.0%;-")&amp;")"</f>
        <v>(-3.0%)</v>
      </c>
      <c r="L85" s="860"/>
    </row>
    <row r="86" spans="2:12" s="152" customFormat="1">
      <c r="B86" s="152">
        <v>2</v>
      </c>
      <c r="C86" s="171" t="s">
        <v>521</v>
      </c>
      <c r="D86" s="152" t="s">
        <v>6680</v>
      </c>
      <c r="E86" s="171" t="b">
        <v>1</v>
      </c>
      <c r="F86" s="835">
        <f>INDEX(finPNLCh3GPaL,,xxIndexTeam)</f>
        <v>378221863.31588966</v>
      </c>
      <c r="G86" s="152" t="s">
        <v>6649</v>
      </c>
      <c r="H86" s="169" t="str">
        <f>TEXT(F86,"0.0,,;-0.0,,;-") &amp; "M"</f>
        <v>378.2M</v>
      </c>
      <c r="I86" s="840">
        <f>INDEX(finPNLCh3GPaLMargin,,xxIndexTeam)</f>
        <v>0.45019864078911359</v>
      </c>
      <c r="J86" s="152" t="s">
        <v>6650</v>
      </c>
      <c r="K86" s="169" t="str">
        <f t="shared" ref="K86:K88" si="3">"("&amp;TEXT(I86,"+0.0%;-0.0%;-")&amp;")"</f>
        <v>(+45.0%)</v>
      </c>
      <c r="L86" s="860"/>
    </row>
    <row r="87" spans="2:12" s="152" customFormat="1">
      <c r="B87" s="152">
        <v>3</v>
      </c>
      <c r="C87" s="171" t="s">
        <v>2972</v>
      </c>
      <c r="D87" s="152" t="s">
        <v>6686</v>
      </c>
      <c r="E87" s="171" t="b">
        <v>1</v>
      </c>
      <c r="F87" s="835">
        <f>INDEX(finPNLCh3GCC,,xxIndexTeam)</f>
        <v>311605527.41146898</v>
      </c>
      <c r="G87" s="152" t="s">
        <v>6651</v>
      </c>
      <c r="H87" s="169" t="str">
        <f>TEXT(F87,"0.0,,;-0.0,,;-") &amp; "M"</f>
        <v>311.6M</v>
      </c>
      <c r="I87" s="840">
        <f>INDEX(finPNLCh3GCCMargin,,xxIndexTeam)</f>
        <v>0.37090501239970136</v>
      </c>
      <c r="J87" s="152" t="s">
        <v>6652</v>
      </c>
      <c r="K87" s="169" t="str">
        <f t="shared" si="3"/>
        <v>(+37.1%)</v>
      </c>
      <c r="L87" s="860"/>
    </row>
    <row r="88" spans="2:12" s="152" customFormat="1">
      <c r="B88" s="152">
        <v>4</v>
      </c>
      <c r="C88" s="171" t="s">
        <v>4352</v>
      </c>
      <c r="D88" s="152" t="s">
        <v>6692</v>
      </c>
      <c r="E88" s="171" t="b">
        <v>1</v>
      </c>
      <c r="F88" s="835">
        <f>INDEX(calcCh3CustProfitTot,,xxIndexTeam)</f>
        <v>428756018.9205451</v>
      </c>
      <c r="G88" s="152" t="s">
        <v>6653</v>
      </c>
      <c r="H88" s="169" t="str">
        <f>TEXT(F88,"0.0,,;-0.0,,;-") &amp; "M"</f>
        <v>428.8M</v>
      </c>
      <c r="I88" s="840">
        <f>((F88-INDEX(obalCh3CustomerProfitTot,,xxIndexTeam))/INDEX(obalCh3CustomerProfitTot,,xxIndexTeam))</f>
        <v>3.6331143215648398E-2</v>
      </c>
      <c r="J88" s="152" t="s">
        <v>6654</v>
      </c>
      <c r="K88" s="169" t="str">
        <f t="shared" si="3"/>
        <v>(+3.6%)</v>
      </c>
      <c r="L88" s="860"/>
    </row>
    <row r="89" spans="2:12" s="152" customFormat="1">
      <c r="B89" s="152">
        <v>5</v>
      </c>
      <c r="C89" s="171"/>
      <c r="E89" s="171" t="b">
        <v>0</v>
      </c>
      <c r="F89" s="835"/>
      <c r="H89" s="169"/>
      <c r="I89" s="840"/>
      <c r="K89" s="169"/>
      <c r="L89" s="860"/>
    </row>
    <row r="90" spans="2:12" s="152" customFormat="1">
      <c r="B90" s="152">
        <v>6</v>
      </c>
      <c r="C90" s="171"/>
      <c r="E90" s="171" t="b">
        <v>0</v>
      </c>
      <c r="F90" s="835"/>
      <c r="H90" s="169"/>
      <c r="I90" s="840"/>
      <c r="K90" s="169"/>
      <c r="L90" s="860"/>
    </row>
    <row r="91" spans="2:12" s="152" customFormat="1">
      <c r="B91" s="152">
        <v>7</v>
      </c>
      <c r="C91" s="171"/>
      <c r="E91" s="171" t="b">
        <v>0</v>
      </c>
      <c r="F91" s="835"/>
      <c r="H91" s="169"/>
      <c r="I91" s="840"/>
      <c r="K91" s="169"/>
      <c r="L91" s="860"/>
    </row>
    <row r="92" spans="2:12" s="152" customFormat="1">
      <c r="B92" s="152">
        <v>8</v>
      </c>
      <c r="C92" s="171"/>
      <c r="E92" s="171" t="b">
        <v>0</v>
      </c>
      <c r="F92" s="835"/>
      <c r="H92" s="169"/>
      <c r="I92" s="840"/>
      <c r="K92" s="169"/>
      <c r="L92" s="860"/>
    </row>
    <row r="93" spans="2:12" s="152" customFormat="1">
      <c r="B93" s="152">
        <v>9</v>
      </c>
      <c r="C93" s="171"/>
      <c r="E93" s="171" t="b">
        <v>0</v>
      </c>
      <c r="F93" s="835"/>
      <c r="H93" s="169"/>
      <c r="I93" s="840"/>
      <c r="K93" s="169"/>
      <c r="L93" s="860"/>
    </row>
    <row r="94" spans="2:12" s="152" customFormat="1">
      <c r="B94" s="152">
        <v>10</v>
      </c>
      <c r="C94" s="168"/>
      <c r="E94" s="168" t="b">
        <v>0</v>
      </c>
      <c r="F94" s="836"/>
      <c r="H94" s="166"/>
      <c r="I94" s="841"/>
      <c r="K94" s="166"/>
      <c r="L94" s="860"/>
    </row>
    <row r="95" spans="2:12" s="152" customFormat="1">
      <c r="C95" s="164" t="s">
        <v>318</v>
      </c>
      <c r="E95" s="165"/>
      <c r="F95" s="837"/>
      <c r="H95" s="164" t="s">
        <v>317</v>
      </c>
      <c r="I95" s="842"/>
      <c r="L95" s="860"/>
    </row>
    <row r="96" spans="2:12" s="152" customFormat="1">
      <c r="F96" s="837"/>
      <c r="I96" s="842"/>
      <c r="L96" s="860"/>
    </row>
    <row r="97" spans="2:12" s="152" customFormat="1">
      <c r="B97" s="175" t="s">
        <v>6626</v>
      </c>
      <c r="F97" s="837"/>
      <c r="I97" s="842"/>
      <c r="L97" s="860"/>
    </row>
    <row r="98" spans="2:12" s="152" customFormat="1">
      <c r="C98" s="152" t="s">
        <v>316</v>
      </c>
      <c r="E98" s="152" t="s">
        <v>315</v>
      </c>
      <c r="F98" s="838" t="s">
        <v>314</v>
      </c>
      <c r="H98" s="160" t="s">
        <v>313</v>
      </c>
      <c r="I98" s="842" t="s">
        <v>312</v>
      </c>
      <c r="K98" s="152" t="s">
        <v>311</v>
      </c>
      <c r="L98" s="860"/>
    </row>
    <row r="99" spans="2:12" s="152" customFormat="1">
      <c r="B99" s="152">
        <v>1</v>
      </c>
      <c r="C99" s="174" t="str">
        <f>nmCh4&amp;":  Rev"</f>
        <v>On-Trade:  Rev</v>
      </c>
      <c r="D99" s="152" t="s">
        <v>6675</v>
      </c>
      <c r="E99" s="174" t="b">
        <v>1</v>
      </c>
      <c r="F99" s="834">
        <f>INDEX(finPNLCh4NetRev,,xxIndexTeam)</f>
        <v>783010800.16697836</v>
      </c>
      <c r="G99" s="152" t="s">
        <v>6655</v>
      </c>
      <c r="H99" s="172" t="str">
        <f>TEXT(F99,"0.0,,;-0.0,,;-") &amp; "M"</f>
        <v>783.0M</v>
      </c>
      <c r="I99" s="839">
        <f>((F99-INDEX(obalCh4RevenueTot,,xxIndexTeam))/INDEX(obalCh4RevenueTot,,xxIndexTeam))</f>
        <v>3.8343258703948072E-2</v>
      </c>
      <c r="J99" s="152" t="s">
        <v>6656</v>
      </c>
      <c r="K99" s="172" t="str">
        <f>"("&amp;TEXT(I99,"+0.0%;-0.0%;-")&amp;")"</f>
        <v>(+3.8%)</v>
      </c>
      <c r="L99" s="860"/>
    </row>
    <row r="100" spans="2:12" s="152" customFormat="1">
      <c r="B100" s="152">
        <v>2</v>
      </c>
      <c r="C100" s="171" t="s">
        <v>521</v>
      </c>
      <c r="D100" s="152" t="s">
        <v>6681</v>
      </c>
      <c r="E100" s="171" t="b">
        <v>1</v>
      </c>
      <c r="F100" s="835">
        <f>INDEX(finPNLCh4GPaL,,xxIndexTeam)</f>
        <v>382743157.08090079</v>
      </c>
      <c r="G100" s="152" t="s">
        <v>6657</v>
      </c>
      <c r="H100" s="169" t="str">
        <f>TEXT(F100,"0.0,,;-0.0,,;-") &amp; "M"</f>
        <v>382.7M</v>
      </c>
      <c r="I100" s="840">
        <f>INDEX(finPNLCh4GPaLMargin,,xxIndexTeam)</f>
        <v>0.48880955026326606</v>
      </c>
      <c r="J100" s="152" t="s">
        <v>6658</v>
      </c>
      <c r="K100" s="169" t="str">
        <f t="shared" ref="K100:K102" si="4">"("&amp;TEXT(I100,"+0.0%;-0.0%;-")&amp;")"</f>
        <v>(+48.9%)</v>
      </c>
      <c r="L100" s="860"/>
    </row>
    <row r="101" spans="2:12" s="152" customFormat="1">
      <c r="B101" s="152">
        <v>3</v>
      </c>
      <c r="C101" s="171" t="s">
        <v>2972</v>
      </c>
      <c r="D101" s="152" t="s">
        <v>6687</v>
      </c>
      <c r="E101" s="171" t="b">
        <v>1</v>
      </c>
      <c r="F101" s="835">
        <f>INDEX(finPNLCh4GCC,,xxIndexTeam)</f>
        <v>320655389.66756409</v>
      </c>
      <c r="G101" s="152" t="s">
        <v>6659</v>
      </c>
      <c r="H101" s="169" t="str">
        <f>TEXT(F101,"0.0,,;-0.0,,;-") &amp; "M"</f>
        <v>320.7M</v>
      </c>
      <c r="I101" s="840">
        <f>INDEX(finPNLCh4GCCMargin,,xxIndexTeam)</f>
        <v>0.40951592187385383</v>
      </c>
      <c r="J101" s="152" t="s">
        <v>6660</v>
      </c>
      <c r="K101" s="169" t="str">
        <f t="shared" si="4"/>
        <v>(+41.0%)</v>
      </c>
      <c r="L101" s="860"/>
    </row>
    <row r="102" spans="2:12" s="152" customFormat="1">
      <c r="B102" s="152">
        <v>4</v>
      </c>
      <c r="C102" s="171" t="s">
        <v>4352</v>
      </c>
      <c r="D102" s="152" t="s">
        <v>6693</v>
      </c>
      <c r="E102" s="171" t="b">
        <v>1</v>
      </c>
      <c r="F102" s="835">
        <f>INDEX(calcCh4CustProfitTot,,xxIndexTeam)</f>
        <v>6061692095.4899998</v>
      </c>
      <c r="G102" s="152" t="s">
        <v>6661</v>
      </c>
      <c r="H102" s="169" t="str">
        <f>TEXT(F102,"0.0,,;-0.0,,;-") &amp; "M"</f>
        <v>6061.7M</v>
      </c>
      <c r="I102" s="840">
        <f>((F102-INDEX(obalCh4CustomerProfitTot,,xxIndexTeam))/INDEX(obalCh4CustomerProfitTot,,xxIndexTeam))</f>
        <v>3.3912711499873432E-2</v>
      </c>
      <c r="J102" s="152" t="s">
        <v>6662</v>
      </c>
      <c r="K102" s="169" t="str">
        <f t="shared" si="4"/>
        <v>(+3.4%)</v>
      </c>
      <c r="L102" s="860"/>
    </row>
    <row r="103" spans="2:12" s="152" customFormat="1">
      <c r="B103" s="152">
        <v>5</v>
      </c>
      <c r="C103" s="171"/>
      <c r="E103" s="171" t="b">
        <v>0</v>
      </c>
      <c r="F103" s="835"/>
      <c r="H103" s="169"/>
      <c r="I103" s="840"/>
      <c r="K103" s="169"/>
      <c r="L103" s="860"/>
    </row>
    <row r="104" spans="2:12" s="152" customFormat="1">
      <c r="B104" s="152">
        <v>6</v>
      </c>
      <c r="C104" s="171"/>
      <c r="E104" s="171" t="b">
        <v>0</v>
      </c>
      <c r="F104" s="835"/>
      <c r="H104" s="169"/>
      <c r="I104" s="840"/>
      <c r="K104" s="169"/>
      <c r="L104" s="860"/>
    </row>
    <row r="105" spans="2:12" s="152" customFormat="1">
      <c r="B105" s="152">
        <v>7</v>
      </c>
      <c r="C105" s="171"/>
      <c r="E105" s="171" t="b">
        <v>0</v>
      </c>
      <c r="F105" s="835"/>
      <c r="H105" s="169"/>
      <c r="I105" s="840"/>
      <c r="K105" s="169"/>
      <c r="L105" s="860"/>
    </row>
    <row r="106" spans="2:12" s="152" customFormat="1">
      <c r="B106" s="152">
        <v>8</v>
      </c>
      <c r="C106" s="171"/>
      <c r="E106" s="171" t="b">
        <v>0</v>
      </c>
      <c r="F106" s="835"/>
      <c r="H106" s="169"/>
      <c r="I106" s="840"/>
      <c r="K106" s="169"/>
      <c r="L106" s="860"/>
    </row>
    <row r="107" spans="2:12" s="152" customFormat="1">
      <c r="B107" s="152">
        <v>9</v>
      </c>
      <c r="C107" s="171"/>
      <c r="E107" s="171" t="b">
        <v>0</v>
      </c>
      <c r="F107" s="835"/>
      <c r="H107" s="169"/>
      <c r="I107" s="840"/>
      <c r="K107" s="169"/>
      <c r="L107" s="860"/>
    </row>
    <row r="108" spans="2:12" s="152" customFormat="1">
      <c r="B108" s="152">
        <v>10</v>
      </c>
      <c r="C108" s="168"/>
      <c r="E108" s="168" t="b">
        <v>0</v>
      </c>
      <c r="F108" s="836"/>
      <c r="H108" s="166"/>
      <c r="I108" s="841"/>
      <c r="K108" s="166"/>
      <c r="L108" s="860"/>
    </row>
    <row r="109" spans="2:12" s="152" customFormat="1">
      <c r="C109" s="164" t="s">
        <v>310</v>
      </c>
      <c r="E109" s="165"/>
      <c r="F109" s="837"/>
      <c r="H109" s="164" t="s">
        <v>309</v>
      </c>
      <c r="I109" s="842"/>
      <c r="L109" s="860"/>
    </row>
    <row r="110" spans="2:12" s="152" customFormat="1">
      <c r="F110" s="837"/>
      <c r="I110" s="842"/>
      <c r="L110" s="860"/>
    </row>
    <row r="111" spans="2:12" s="152" customFormat="1">
      <c r="B111" s="175" t="s">
        <v>6625</v>
      </c>
      <c r="F111" s="837"/>
      <c r="I111" s="842"/>
      <c r="L111" s="860"/>
    </row>
    <row r="112" spans="2:12" s="152" customFormat="1">
      <c r="C112" s="152" t="s">
        <v>316</v>
      </c>
      <c r="E112" s="152" t="s">
        <v>315</v>
      </c>
      <c r="F112" s="838" t="s">
        <v>314</v>
      </c>
      <c r="H112" s="160" t="s">
        <v>313</v>
      </c>
      <c r="I112" s="842" t="s">
        <v>312</v>
      </c>
      <c r="K112" s="152" t="s">
        <v>311</v>
      </c>
      <c r="L112" s="860"/>
    </row>
    <row r="113" spans="2:12" s="152" customFormat="1">
      <c r="B113" s="152">
        <v>1</v>
      </c>
      <c r="C113" s="174" t="str">
        <f>"CBC:  "&amp;nmProd1</f>
        <v>CBC:  Greenborg</v>
      </c>
      <c r="D113" s="152" t="s">
        <v>6676</v>
      </c>
      <c r="E113" s="174" t="b">
        <v>1</v>
      </c>
      <c r="F113" s="834">
        <f>INDEX(finPNLProd1GBC,,xxIndexTeam)</f>
        <v>265056530.06216323</v>
      </c>
      <c r="G113" s="152" t="s">
        <v>6663</v>
      </c>
      <c r="H113" s="172" t="str">
        <f t="shared" ref="H113:H116" si="5">TEXT(F113,"0.0,,;-0.0,,;-") &amp; "M"</f>
        <v>265.1M</v>
      </c>
      <c r="I113" s="839">
        <f>INDEX(finPNLProd1GBCMargin,,xxIndexTeam)</f>
        <v>0.37464431313358798</v>
      </c>
      <c r="J113" s="152" t="s">
        <v>6664</v>
      </c>
      <c r="K113" s="172" t="str">
        <f>"("&amp;TEXT(I113,"+0.0%;-0.0%;-")&amp;")"</f>
        <v>(+37.5%)</v>
      </c>
      <c r="L113" s="860"/>
    </row>
    <row r="114" spans="2:12" s="152" customFormat="1">
      <c r="B114" s="152">
        <v>2</v>
      </c>
      <c r="C114" s="171" t="str">
        <f>nmProd2</f>
        <v>Harken</v>
      </c>
      <c r="D114" s="152" t="s">
        <v>6682</v>
      </c>
      <c r="E114" s="171" t="b">
        <v>1</v>
      </c>
      <c r="F114" s="835">
        <f>INDEX(finPNLProd2GBC,,xxIndexTeam)</f>
        <v>851525861.07817256</v>
      </c>
      <c r="G114" s="152" t="s">
        <v>6665</v>
      </c>
      <c r="H114" s="169" t="str">
        <f t="shared" si="5"/>
        <v>851.5M</v>
      </c>
      <c r="I114" s="840">
        <f>INDEX(finPNLProd2GBCMargin,,xxIndexTeam)</f>
        <v>0.42119188695727056</v>
      </c>
      <c r="J114" s="152" t="s">
        <v>6666</v>
      </c>
      <c r="K114" s="169" t="str">
        <f t="shared" ref="K114:K116" si="6">"("&amp;TEXT(I114,"+0.0%;-0.0%;-")&amp;")"</f>
        <v>(+42.1%)</v>
      </c>
      <c r="L114" s="860"/>
    </row>
    <row r="115" spans="2:12" s="152" customFormat="1">
      <c r="B115" s="152">
        <v>3</v>
      </c>
      <c r="C115" s="171" t="str">
        <f>nmProd3</f>
        <v>Kara</v>
      </c>
      <c r="D115" s="152" t="s">
        <v>6688</v>
      </c>
      <c r="E115" s="171" t="b">
        <v>1</v>
      </c>
      <c r="F115" s="835">
        <f>INDEX(finPNLProd3GBC,,xxIndexTeam)</f>
        <v>550854918.84795427</v>
      </c>
      <c r="G115" s="152" t="s">
        <v>6667</v>
      </c>
      <c r="H115" s="169" t="str">
        <f t="shared" si="5"/>
        <v>550.9M</v>
      </c>
      <c r="I115" s="840">
        <f>INDEX(finPNLProd3GBCMargin,,xxIndexTeam)</f>
        <v>0.38812625462776357</v>
      </c>
      <c r="J115" s="152" t="s">
        <v>6668</v>
      </c>
      <c r="K115" s="169" t="str">
        <f t="shared" si="6"/>
        <v>(+38.8%)</v>
      </c>
      <c r="L115" s="860"/>
    </row>
    <row r="116" spans="2:12" s="152" customFormat="1">
      <c r="B116" s="152">
        <v>4</v>
      </c>
      <c r="C116" s="171" t="str">
        <f>nmProd4</f>
        <v>Brew Master</v>
      </c>
      <c r="D116" s="152" t="s">
        <v>6694</v>
      </c>
      <c r="E116" s="171" t="b">
        <v>1</v>
      </c>
      <c r="F116" s="835">
        <f>INDEX(finPNLProd4GBC,,xxIndexTeam)</f>
        <v>159245161.66554266</v>
      </c>
      <c r="G116" s="152" t="s">
        <v>6669</v>
      </c>
      <c r="H116" s="169" t="str">
        <f t="shared" si="5"/>
        <v>159.2M</v>
      </c>
      <c r="I116" s="840">
        <f>INDEX(finPNLProd4GBCMargin,,xxIndexTeam)</f>
        <v>0.47123156496163487</v>
      </c>
      <c r="J116" s="152" t="s">
        <v>6670</v>
      </c>
      <c r="K116" s="169" t="str">
        <f t="shared" si="6"/>
        <v>(+47.1%)</v>
      </c>
      <c r="L116" s="860"/>
    </row>
    <row r="117" spans="2:12" s="152" customFormat="1">
      <c r="B117" s="152">
        <v>5</v>
      </c>
      <c r="C117" s="171"/>
      <c r="D117" s="153"/>
      <c r="E117" s="171" t="b">
        <v>0</v>
      </c>
      <c r="F117" s="835"/>
      <c r="H117" s="169"/>
      <c r="I117" s="840"/>
      <c r="K117" s="169"/>
      <c r="L117" s="860"/>
    </row>
    <row r="118" spans="2:12" s="152" customFormat="1">
      <c r="B118" s="152">
        <v>6</v>
      </c>
      <c r="C118" s="171"/>
      <c r="D118" s="153"/>
      <c r="E118" s="171" t="b">
        <v>0</v>
      </c>
      <c r="F118" s="170"/>
      <c r="H118" s="169"/>
      <c r="I118" s="840"/>
      <c r="K118" s="169"/>
      <c r="L118" s="860"/>
    </row>
    <row r="119" spans="2:12" s="152" customFormat="1">
      <c r="B119" s="152">
        <v>7</v>
      </c>
      <c r="C119" s="171"/>
      <c r="D119" s="153"/>
      <c r="E119" s="171" t="b">
        <v>0</v>
      </c>
      <c r="F119" s="170"/>
      <c r="H119" s="169"/>
      <c r="I119" s="170"/>
      <c r="K119" s="169"/>
      <c r="L119" s="860"/>
    </row>
    <row r="120" spans="2:12" s="152" customFormat="1">
      <c r="B120" s="152">
        <v>8</v>
      </c>
      <c r="C120" s="171"/>
      <c r="D120" s="153"/>
      <c r="E120" s="171" t="b">
        <v>0</v>
      </c>
      <c r="F120" s="170"/>
      <c r="H120" s="169"/>
      <c r="I120" s="170"/>
      <c r="K120" s="169"/>
    </row>
    <row r="121" spans="2:12" s="152" customFormat="1">
      <c r="B121" s="152">
        <v>9</v>
      </c>
      <c r="C121" s="171"/>
      <c r="D121" s="153"/>
      <c r="E121" s="171" t="b">
        <v>0</v>
      </c>
      <c r="F121" s="170"/>
      <c r="H121" s="169"/>
      <c r="I121" s="170"/>
      <c r="K121" s="169"/>
    </row>
    <row r="122" spans="2:12" s="152" customFormat="1">
      <c r="B122" s="152">
        <v>10</v>
      </c>
      <c r="C122" s="168"/>
      <c r="D122" s="153"/>
      <c r="E122" s="168" t="b">
        <v>0</v>
      </c>
      <c r="F122" s="167"/>
      <c r="H122" s="166"/>
      <c r="I122" s="167"/>
      <c r="K122" s="166"/>
    </row>
    <row r="123" spans="2:12" s="152" customFormat="1">
      <c r="C123" s="164" t="s">
        <v>3768</v>
      </c>
      <c r="E123" s="165"/>
      <c r="H123" s="164" t="s">
        <v>3769</v>
      </c>
    </row>
    <row r="124" spans="2:12" s="152" customFormat="1"/>
    <row r="125" spans="2:12" s="152" customFormat="1">
      <c r="B125" s="175" t="s">
        <v>3771</v>
      </c>
    </row>
    <row r="126" spans="2:12" s="152" customFormat="1">
      <c r="C126" s="152" t="s">
        <v>316</v>
      </c>
      <c r="E126" s="152" t="s">
        <v>315</v>
      </c>
      <c r="F126" s="160" t="s">
        <v>314</v>
      </c>
      <c r="H126" s="160" t="s">
        <v>313</v>
      </c>
      <c r="I126" s="152" t="s">
        <v>312</v>
      </c>
      <c r="K126" s="152" t="s">
        <v>311</v>
      </c>
    </row>
    <row r="127" spans="2:12" s="152" customFormat="1">
      <c r="B127" s="152">
        <v>1</v>
      </c>
      <c r="C127" s="174"/>
      <c r="D127" s="153"/>
      <c r="E127" s="174" t="b">
        <v>1</v>
      </c>
      <c r="F127" s="173"/>
      <c r="H127" s="172"/>
      <c r="I127" s="173"/>
      <c r="K127" s="172"/>
    </row>
    <row r="128" spans="2:12" s="152" customFormat="1">
      <c r="B128" s="152">
        <v>2</v>
      </c>
      <c r="C128" s="171"/>
      <c r="D128" s="153"/>
      <c r="E128" s="171" t="b">
        <v>0</v>
      </c>
      <c r="F128" s="170"/>
      <c r="H128" s="169"/>
      <c r="I128" s="170"/>
      <c r="K128" s="169"/>
    </row>
    <row r="129" spans="1:11" s="152" customFormat="1">
      <c r="B129" s="152">
        <v>3</v>
      </c>
      <c r="C129" s="171"/>
      <c r="D129" s="153"/>
      <c r="E129" s="171" t="b">
        <v>0</v>
      </c>
      <c r="F129" s="170"/>
      <c r="H129" s="169"/>
      <c r="I129" s="170"/>
      <c r="K129" s="169"/>
    </row>
    <row r="130" spans="1:11" s="152" customFormat="1">
      <c r="B130" s="152">
        <v>4</v>
      </c>
      <c r="C130" s="171"/>
      <c r="D130" s="153"/>
      <c r="E130" s="171" t="b">
        <v>0</v>
      </c>
      <c r="F130" s="170"/>
      <c r="H130" s="169"/>
      <c r="I130" s="170"/>
      <c r="K130" s="169"/>
    </row>
    <row r="131" spans="1:11" s="152" customFormat="1">
      <c r="B131" s="152">
        <v>5</v>
      </c>
      <c r="C131" s="171"/>
      <c r="D131" s="153"/>
      <c r="E131" s="171" t="b">
        <v>0</v>
      </c>
      <c r="F131" s="170"/>
      <c r="H131" s="169"/>
      <c r="I131" s="170"/>
      <c r="K131" s="169"/>
    </row>
    <row r="132" spans="1:11" s="152" customFormat="1">
      <c r="B132" s="152">
        <v>6</v>
      </c>
      <c r="C132" s="171"/>
      <c r="D132" s="153"/>
      <c r="E132" s="171" t="b">
        <v>0</v>
      </c>
      <c r="F132" s="170"/>
      <c r="H132" s="169"/>
      <c r="I132" s="170"/>
      <c r="K132" s="169"/>
    </row>
    <row r="133" spans="1:11" s="152" customFormat="1">
      <c r="B133" s="152">
        <v>7</v>
      </c>
      <c r="C133" s="171"/>
      <c r="D133" s="153"/>
      <c r="E133" s="171" t="b">
        <v>0</v>
      </c>
      <c r="F133" s="170"/>
      <c r="H133" s="169"/>
      <c r="I133" s="170"/>
      <c r="K133" s="169"/>
    </row>
    <row r="134" spans="1:11" s="152" customFormat="1">
      <c r="B134" s="152">
        <v>8</v>
      </c>
      <c r="C134" s="171"/>
      <c r="D134" s="153"/>
      <c r="E134" s="171" t="b">
        <v>0</v>
      </c>
      <c r="F134" s="170"/>
      <c r="H134" s="169"/>
      <c r="I134" s="170"/>
      <c r="K134" s="169"/>
    </row>
    <row r="135" spans="1:11" s="152" customFormat="1">
      <c r="B135" s="152">
        <v>9</v>
      </c>
      <c r="C135" s="171"/>
      <c r="D135" s="153"/>
      <c r="E135" s="171" t="b">
        <v>0</v>
      </c>
      <c r="F135" s="170"/>
      <c r="H135" s="169"/>
      <c r="I135" s="170"/>
      <c r="K135" s="169"/>
    </row>
    <row r="136" spans="1:11" s="152" customFormat="1">
      <c r="B136" s="152">
        <v>10</v>
      </c>
      <c r="C136" s="168"/>
      <c r="D136" s="153"/>
      <c r="E136" s="168" t="b">
        <v>0</v>
      </c>
      <c r="F136" s="167"/>
      <c r="H136" s="166"/>
      <c r="I136" s="167"/>
      <c r="K136" s="166"/>
    </row>
    <row r="137" spans="1:11" s="152" customFormat="1">
      <c r="C137" s="164" t="s">
        <v>3772</v>
      </c>
      <c r="E137" s="165"/>
      <c r="H137" s="164" t="s">
        <v>3773</v>
      </c>
    </row>
    <row r="138" spans="1:11" s="152" customFormat="1"/>
    <row r="139" spans="1:11" s="152" customFormat="1"/>
    <row r="140" spans="1:11" s="162" customFormat="1">
      <c r="A140" s="163" t="s">
        <v>32</v>
      </c>
    </row>
    <row r="141" spans="1:11" s="152" customFormat="1"/>
    <row r="142" spans="1:11" s="152" customFormat="1">
      <c r="C142" s="152" t="s">
        <v>308</v>
      </c>
      <c r="E142" s="161" t="str">
        <f>REPT(CHAR(32),DB_WhiteSpaceLength)</f>
        <v xml:space="preserve">  </v>
      </c>
      <c r="F142" s="152" t="s">
        <v>307</v>
      </c>
    </row>
    <row r="143" spans="1:11" s="152" customFormat="1">
      <c r="C143" s="152" t="s">
        <v>306</v>
      </c>
      <c r="E143" s="161" t="str">
        <f>REPT(CHAR(32),DB_LargeWhiteSpaceLength)</f>
        <v xml:space="preserve">    </v>
      </c>
      <c r="F143" s="152" t="s">
        <v>305</v>
      </c>
    </row>
    <row r="144" spans="1:11" s="152" customFormat="1">
      <c r="C144" s="152" t="s">
        <v>304</v>
      </c>
      <c r="E144" s="161" t="str">
        <f>REPT(CHAR(32),DB_SubWhiteSpaceLength)</f>
        <v xml:space="preserve">  </v>
      </c>
      <c r="F144" s="152" t="s">
        <v>303</v>
      </c>
    </row>
    <row r="145" spans="3:6" s="152" customFormat="1"/>
    <row r="146" spans="3:6" s="152" customFormat="1"/>
    <row r="147" spans="3:6" s="152" customFormat="1">
      <c r="C147" s="152" t="s">
        <v>302</v>
      </c>
      <c r="E147" s="160" t="s">
        <v>297</v>
      </c>
      <c r="F147" s="160" t="s">
        <v>296</v>
      </c>
    </row>
    <row r="148" spans="3:6" s="152" customFormat="1">
      <c r="E148" s="159" t="str">
        <f t="shared" ref="E148:E157" si="7">IF(COUNTBLANK(F43:K43)&gt;=4,"",INDEX(DB_ArrayDash1Names,$B43)&amp; DB_WhiteSpace &amp; INDEX(DB_ArrayDash1Values,$B43) &amp; IF(I43="","",DB_SubWhiteSpace &amp; K43&amp;DB_SubWhiteSpace))&amp;DB_SubWhiteSpace</f>
        <v xml:space="preserve">Company:  Rev  4486.4M  (-0.9%)    </v>
      </c>
      <c r="F148" s="158" t="str">
        <f t="shared" ref="F148:F157" si="8">IF(E43,E148,"")</f>
        <v xml:space="preserve">Company:  Rev  4486.4M  (-0.9%)    </v>
      </c>
    </row>
    <row r="149" spans="3:6" s="152" customFormat="1">
      <c r="E149" s="157" t="str">
        <f t="shared" si="7"/>
        <v xml:space="preserve">GPaL  2079.6M  (+46.4%)    </v>
      </c>
      <c r="F149" s="156" t="str">
        <f t="shared" si="8"/>
        <v xml:space="preserve">GPaL  2079.6M  (+46.4%)    </v>
      </c>
    </row>
    <row r="150" spans="3:6" s="152" customFormat="1">
      <c r="E150" s="157" t="str">
        <f t="shared" si="7"/>
        <v xml:space="preserve">EBIT  1042.2M  (+23.2%)    </v>
      </c>
      <c r="F150" s="156" t="str">
        <f t="shared" si="8"/>
        <v xml:space="preserve">EBIT  1042.2M  (+23.2%)    </v>
      </c>
    </row>
    <row r="151" spans="3:6" s="152" customFormat="1">
      <c r="E151" s="157" t="str">
        <f t="shared" si="7"/>
        <v xml:space="preserve">CP  7438.0M  (+4.3%)    </v>
      </c>
      <c r="F151" s="156" t="str">
        <f t="shared" si="8"/>
        <v xml:space="preserve">CP  7438.0M  (+4.3%)    </v>
      </c>
    </row>
    <row r="152" spans="3:6" s="152" customFormat="1">
      <c r="E152" s="157" t="str">
        <f t="shared" si="7"/>
        <v xml:space="preserve">  </v>
      </c>
      <c r="F152" s="156" t="str">
        <f t="shared" si="8"/>
        <v/>
      </c>
    </row>
    <row r="153" spans="3:6" s="152" customFormat="1">
      <c r="E153" s="157" t="str">
        <f t="shared" si="7"/>
        <v xml:space="preserve">  </v>
      </c>
      <c r="F153" s="156" t="str">
        <f t="shared" si="8"/>
        <v/>
      </c>
    </row>
    <row r="154" spans="3:6" s="152" customFormat="1">
      <c r="E154" s="157" t="str">
        <f t="shared" si="7"/>
        <v xml:space="preserve">  </v>
      </c>
      <c r="F154" s="156" t="str">
        <f t="shared" si="8"/>
        <v/>
      </c>
    </row>
    <row r="155" spans="3:6" s="152" customFormat="1">
      <c r="E155" s="157" t="str">
        <f t="shared" si="7"/>
        <v xml:space="preserve">  </v>
      </c>
      <c r="F155" s="156" t="str">
        <f t="shared" si="8"/>
        <v/>
      </c>
    </row>
    <row r="156" spans="3:6" s="152" customFormat="1">
      <c r="E156" s="157" t="str">
        <f t="shared" si="7"/>
        <v xml:space="preserve">  </v>
      </c>
      <c r="F156" s="156" t="str">
        <f t="shared" si="8"/>
        <v/>
      </c>
    </row>
    <row r="157" spans="3:6" s="152" customFormat="1">
      <c r="E157" s="155" t="str">
        <f t="shared" si="7"/>
        <v xml:space="preserve">  </v>
      </c>
      <c r="F157" s="154" t="str">
        <f t="shared" si="8"/>
        <v/>
      </c>
    </row>
    <row r="158" spans="3:6" s="152" customFormat="1"/>
    <row r="159" spans="3:6" s="152" customFormat="1"/>
    <row r="160" spans="3:6" s="152" customFormat="1"/>
    <row r="161" spans="3:6" s="152" customFormat="1">
      <c r="C161" s="152" t="s">
        <v>301</v>
      </c>
      <c r="E161" s="160" t="s">
        <v>297</v>
      </c>
      <c r="F161" s="160" t="s">
        <v>296</v>
      </c>
    </row>
    <row r="162" spans="3:6" s="152" customFormat="1">
      <c r="E162" s="159" t="str">
        <f t="shared" ref="E162:E171" si="9">IF(COUNTBLANK(F57:K57)&gt;=4,"",INDEX(DB_ArrayDash2Names,$B57)&amp; DB_WhiteSpace &amp; INDEX(DB_ArrayDash2Values,$B57) &amp; IF(I57="","",DB_SubWhiteSpace &amp; K57&amp;DB_SubWhiteSpace))&amp;DB_SubWhiteSpace</f>
        <v xml:space="preserve">Hypermarkets:  Rev  1602.2M  (-2.7%)    </v>
      </c>
      <c r="F162" s="158" t="str">
        <f t="shared" ref="F162:F171" si="10">IF(E57,E162,"")</f>
        <v xml:space="preserve">Hypermarkets:  Rev  1602.2M  (-2.7%)    </v>
      </c>
    </row>
    <row r="163" spans="3:6" s="152" customFormat="1">
      <c r="E163" s="157" t="str">
        <f t="shared" si="9"/>
        <v xml:space="preserve">GPaL  714.9M  (+44.6%)    </v>
      </c>
      <c r="F163" s="156" t="str">
        <f t="shared" si="10"/>
        <v xml:space="preserve">GPaL  714.9M  (+44.6%)    </v>
      </c>
    </row>
    <row r="164" spans="3:6" s="152" customFormat="1">
      <c r="E164" s="157" t="str">
        <f t="shared" si="9"/>
        <v xml:space="preserve">GCC  587.9M  (+36.7%)    </v>
      </c>
      <c r="F164" s="156" t="str">
        <f t="shared" si="10"/>
        <v xml:space="preserve">GCC  587.9M  (+36.7%)    </v>
      </c>
    </row>
    <row r="165" spans="3:6" s="152" customFormat="1">
      <c r="E165" s="157" t="str">
        <f t="shared" si="9"/>
        <v xml:space="preserve">CP  639.9M  (+17.7%)    </v>
      </c>
      <c r="F165" s="156" t="str">
        <f t="shared" si="10"/>
        <v xml:space="preserve">CP  639.9M  (+17.7%)    </v>
      </c>
    </row>
    <row r="166" spans="3:6" s="152" customFormat="1">
      <c r="E166" s="157" t="str">
        <f t="shared" si="9"/>
        <v xml:space="preserve">  </v>
      </c>
      <c r="F166" s="156" t="str">
        <f t="shared" si="10"/>
        <v/>
      </c>
    </row>
    <row r="167" spans="3:6" s="152" customFormat="1">
      <c r="E167" s="157" t="str">
        <f t="shared" si="9"/>
        <v xml:space="preserve">  </v>
      </c>
      <c r="F167" s="156" t="str">
        <f t="shared" si="10"/>
        <v/>
      </c>
    </row>
    <row r="168" spans="3:6" s="152" customFormat="1">
      <c r="E168" s="157" t="str">
        <f t="shared" si="9"/>
        <v xml:space="preserve">  </v>
      </c>
      <c r="F168" s="156" t="str">
        <f t="shared" si="10"/>
        <v/>
      </c>
    </row>
    <row r="169" spans="3:6" s="152" customFormat="1">
      <c r="E169" s="157" t="str">
        <f t="shared" si="9"/>
        <v xml:space="preserve">  </v>
      </c>
      <c r="F169" s="156" t="str">
        <f t="shared" si="10"/>
        <v/>
      </c>
    </row>
    <row r="170" spans="3:6" s="152" customFormat="1">
      <c r="E170" s="157" t="str">
        <f t="shared" si="9"/>
        <v xml:space="preserve">  </v>
      </c>
      <c r="F170" s="156" t="str">
        <f t="shared" si="10"/>
        <v/>
      </c>
    </row>
    <row r="171" spans="3:6" s="152" customFormat="1">
      <c r="E171" s="155" t="str">
        <f t="shared" si="9"/>
        <v xml:space="preserve">  </v>
      </c>
      <c r="F171" s="154" t="str">
        <f t="shared" si="10"/>
        <v/>
      </c>
    </row>
    <row r="172" spans="3:6" s="152" customFormat="1"/>
    <row r="173" spans="3:6" s="152" customFormat="1"/>
    <row r="174" spans="3:6" s="152" customFormat="1"/>
    <row r="175" spans="3:6" s="152" customFormat="1">
      <c r="C175" s="152" t="s">
        <v>300</v>
      </c>
      <c r="E175" s="160" t="s">
        <v>297</v>
      </c>
      <c r="F175" s="160" t="s">
        <v>296</v>
      </c>
    </row>
    <row r="176" spans="3:6" s="152" customFormat="1">
      <c r="E176" s="159" t="str">
        <f t="shared" ref="E176:E185" si="11">IF(COUNTBLANK(F71:K71)&gt;=4,"",INDEX(DB_ArrayDash3Names,$B71)&amp; DB_WhiteSpace &amp; INDEX(DB_ArrayDash3Values,$B71) &amp; IF(I71="","",DB_SubWhiteSpace &amp; K71&amp;DB_SubWhiteSpace))&amp;DB_SubWhiteSpace</f>
        <v xml:space="preserve">Discounters:  Rev  1261.1M  (+0.1%)    </v>
      </c>
      <c r="F176" s="158" t="str">
        <f t="shared" ref="F176:F185" si="12">IF(E71,E176,"")</f>
        <v xml:space="preserve">Discounters:  Rev  1261.1M  (+0.1%)    </v>
      </c>
    </row>
    <row r="177" spans="3:6" s="152" customFormat="1">
      <c r="E177" s="157" t="str">
        <f t="shared" si="11"/>
        <v xml:space="preserve">GPaL  603.7M  (+47.9%)    </v>
      </c>
      <c r="F177" s="156" t="str">
        <f t="shared" si="12"/>
        <v xml:space="preserve">GPaL  603.7M  (+47.9%)    </v>
      </c>
    </row>
    <row r="178" spans="3:6" s="152" customFormat="1">
      <c r="E178" s="157" t="str">
        <f t="shared" si="11"/>
        <v xml:space="preserve">GCC  503.7M  (+39.9%)    </v>
      </c>
      <c r="F178" s="156" t="str">
        <f t="shared" si="12"/>
        <v xml:space="preserve">GCC  503.7M  (+39.9%)    </v>
      </c>
    </row>
    <row r="179" spans="3:6" s="152" customFormat="1">
      <c r="E179" s="157" t="str">
        <f t="shared" si="11"/>
        <v xml:space="preserve">CP  307.6M  (-0.2%)    </v>
      </c>
      <c r="F179" s="156" t="str">
        <f t="shared" si="12"/>
        <v xml:space="preserve">CP  307.6M  (-0.2%)    </v>
      </c>
    </row>
    <row r="180" spans="3:6" s="152" customFormat="1">
      <c r="E180" s="157" t="str">
        <f t="shared" si="11"/>
        <v xml:space="preserve">  </v>
      </c>
      <c r="F180" s="156" t="str">
        <f t="shared" si="12"/>
        <v/>
      </c>
    </row>
    <row r="181" spans="3:6" s="152" customFormat="1">
      <c r="E181" s="157" t="str">
        <f t="shared" si="11"/>
        <v xml:space="preserve">  </v>
      </c>
      <c r="F181" s="156" t="str">
        <f t="shared" si="12"/>
        <v/>
      </c>
    </row>
    <row r="182" spans="3:6" s="152" customFormat="1">
      <c r="E182" s="157" t="str">
        <f t="shared" si="11"/>
        <v xml:space="preserve">  </v>
      </c>
      <c r="F182" s="156" t="str">
        <f t="shared" si="12"/>
        <v/>
      </c>
    </row>
    <row r="183" spans="3:6" s="152" customFormat="1">
      <c r="E183" s="157" t="str">
        <f t="shared" si="11"/>
        <v xml:space="preserve">  </v>
      </c>
      <c r="F183" s="156" t="str">
        <f t="shared" si="12"/>
        <v/>
      </c>
    </row>
    <row r="184" spans="3:6" s="152" customFormat="1">
      <c r="E184" s="157" t="str">
        <f t="shared" si="11"/>
        <v xml:space="preserve">  </v>
      </c>
      <c r="F184" s="156" t="str">
        <f t="shared" si="12"/>
        <v/>
      </c>
    </row>
    <row r="185" spans="3:6" s="152" customFormat="1">
      <c r="E185" s="155" t="str">
        <f t="shared" si="11"/>
        <v xml:space="preserve">  </v>
      </c>
      <c r="F185" s="154" t="str">
        <f t="shared" si="12"/>
        <v/>
      </c>
    </row>
    <row r="186" spans="3:6" s="152" customFormat="1"/>
    <row r="187" spans="3:6" s="152" customFormat="1"/>
    <row r="188" spans="3:6" s="152" customFormat="1"/>
    <row r="189" spans="3:6" s="152" customFormat="1">
      <c r="C189" s="152" t="s">
        <v>299</v>
      </c>
      <c r="E189" s="160" t="s">
        <v>297</v>
      </c>
      <c r="F189" s="160" t="s">
        <v>296</v>
      </c>
    </row>
    <row r="190" spans="3:6" s="152" customFormat="1">
      <c r="E190" s="159" t="str">
        <f t="shared" ref="E190:E199" si="13">IF(COUNTBLANK(F85:K85)&gt;=4,"",INDEX(DB_ArrayDash4Names,$B85)&amp; DB_WhiteSpace &amp; INDEX(DB_ArrayDash4Values,$B85) &amp; IF(I85="","",DB_SubWhiteSpace &amp; K85&amp;DB_SubWhiteSpace))&amp;DB_SubWhiteSpace</f>
        <v xml:space="preserve">Convenience:  Rev  840.1M  (-3.0%)    </v>
      </c>
      <c r="F190" s="158" t="str">
        <f t="shared" ref="F190:F199" si="14">IF(E85,E190,"")</f>
        <v xml:space="preserve">Convenience:  Rev  840.1M  (-3.0%)    </v>
      </c>
    </row>
    <row r="191" spans="3:6" s="152" customFormat="1">
      <c r="E191" s="157" t="str">
        <f t="shared" si="13"/>
        <v xml:space="preserve">GPaL  378.2M  (+45.0%)    </v>
      </c>
      <c r="F191" s="156" t="str">
        <f t="shared" si="14"/>
        <v xml:space="preserve">GPaL  378.2M  (+45.0%)    </v>
      </c>
    </row>
    <row r="192" spans="3:6" s="152" customFormat="1">
      <c r="E192" s="157" t="str">
        <f t="shared" si="13"/>
        <v xml:space="preserve">GCC  311.6M  (+37.1%)    </v>
      </c>
      <c r="F192" s="156" t="str">
        <f t="shared" si="14"/>
        <v xml:space="preserve">GCC  311.6M  (+37.1%)    </v>
      </c>
    </row>
    <row r="193" spans="3:6" s="152" customFormat="1">
      <c r="E193" s="157" t="str">
        <f t="shared" si="13"/>
        <v xml:space="preserve">CP  428.8M  (+3.6%)    </v>
      </c>
      <c r="F193" s="156" t="str">
        <f t="shared" si="14"/>
        <v xml:space="preserve">CP  428.8M  (+3.6%)    </v>
      </c>
    </row>
    <row r="194" spans="3:6" s="152" customFormat="1">
      <c r="E194" s="157" t="str">
        <f t="shared" si="13"/>
        <v xml:space="preserve">  </v>
      </c>
      <c r="F194" s="156" t="str">
        <f t="shared" si="14"/>
        <v/>
      </c>
    </row>
    <row r="195" spans="3:6" s="152" customFormat="1">
      <c r="E195" s="157" t="str">
        <f t="shared" si="13"/>
        <v xml:space="preserve">  </v>
      </c>
      <c r="F195" s="156" t="str">
        <f t="shared" si="14"/>
        <v/>
      </c>
    </row>
    <row r="196" spans="3:6" s="152" customFormat="1">
      <c r="E196" s="157" t="str">
        <f t="shared" si="13"/>
        <v xml:space="preserve">  </v>
      </c>
      <c r="F196" s="156" t="str">
        <f t="shared" si="14"/>
        <v/>
      </c>
    </row>
    <row r="197" spans="3:6" s="152" customFormat="1">
      <c r="E197" s="157" t="str">
        <f t="shared" si="13"/>
        <v xml:space="preserve">  </v>
      </c>
      <c r="F197" s="156" t="str">
        <f t="shared" si="14"/>
        <v/>
      </c>
    </row>
    <row r="198" spans="3:6" s="152" customFormat="1">
      <c r="E198" s="157" t="str">
        <f t="shared" si="13"/>
        <v xml:space="preserve">  </v>
      </c>
      <c r="F198" s="156" t="str">
        <f t="shared" si="14"/>
        <v/>
      </c>
    </row>
    <row r="199" spans="3:6" s="152" customFormat="1">
      <c r="E199" s="155" t="str">
        <f t="shared" si="13"/>
        <v xml:space="preserve">  </v>
      </c>
      <c r="F199" s="154" t="str">
        <f t="shared" si="14"/>
        <v/>
      </c>
    </row>
    <row r="200" spans="3:6" s="152" customFormat="1"/>
    <row r="201" spans="3:6" s="152" customFormat="1"/>
    <row r="202" spans="3:6" s="152" customFormat="1"/>
    <row r="203" spans="3:6" s="152" customFormat="1">
      <c r="C203" s="152" t="s">
        <v>298</v>
      </c>
      <c r="E203" s="160" t="s">
        <v>297</v>
      </c>
      <c r="F203" s="160" t="s">
        <v>296</v>
      </c>
    </row>
    <row r="204" spans="3:6" s="152" customFormat="1">
      <c r="E204" s="159" t="str">
        <f t="shared" ref="E204:E213" si="15">IF(COUNTBLANK(F99:K99)&gt;=4,"",INDEX(DB_ArrayDash5Names,$B99)&amp; DB_WhiteSpace &amp; INDEX(DB_ArrayDash5Values,$B99) &amp; IF(I99="","",DB_SubWhiteSpace &amp; K99&amp;DB_SubWhiteSpace))&amp;DB_SubWhiteSpace</f>
        <v xml:space="preserve">On-Trade:  Rev  783.0M  (+3.8%)    </v>
      </c>
      <c r="F204" s="158" t="str">
        <f t="shared" ref="F204:F213" si="16">IF(E99,E204,"")</f>
        <v xml:space="preserve">On-Trade:  Rev  783.0M  (+3.8%)    </v>
      </c>
    </row>
    <row r="205" spans="3:6" s="152" customFormat="1">
      <c r="E205" s="157" t="str">
        <f t="shared" si="15"/>
        <v xml:space="preserve">GPaL  382.7M  (+48.9%)    </v>
      </c>
      <c r="F205" s="156" t="str">
        <f t="shared" si="16"/>
        <v xml:space="preserve">GPaL  382.7M  (+48.9%)    </v>
      </c>
    </row>
    <row r="206" spans="3:6" s="152" customFormat="1">
      <c r="E206" s="157" t="str">
        <f t="shared" si="15"/>
        <v xml:space="preserve">GCC  320.7M  (+41.0%)    </v>
      </c>
      <c r="F206" s="156" t="str">
        <f t="shared" si="16"/>
        <v xml:space="preserve">GCC  320.7M  (+41.0%)    </v>
      </c>
    </row>
    <row r="207" spans="3:6" s="152" customFormat="1">
      <c r="E207" s="157" t="str">
        <f t="shared" si="15"/>
        <v xml:space="preserve">CP  6061.7M  (+3.4%)    </v>
      </c>
      <c r="F207" s="156" t="str">
        <f t="shared" si="16"/>
        <v xml:space="preserve">CP  6061.7M  (+3.4%)    </v>
      </c>
    </row>
    <row r="208" spans="3:6" s="152" customFormat="1">
      <c r="E208" s="157" t="str">
        <f t="shared" si="15"/>
        <v xml:space="preserve">  </v>
      </c>
      <c r="F208" s="156" t="str">
        <f t="shared" si="16"/>
        <v/>
      </c>
    </row>
    <row r="209" spans="3:13" s="152" customFormat="1">
      <c r="E209" s="157" t="str">
        <f t="shared" si="15"/>
        <v xml:space="preserve">  </v>
      </c>
      <c r="F209" s="156" t="str">
        <f t="shared" si="16"/>
        <v/>
      </c>
    </row>
    <row r="210" spans="3:13" s="152" customFormat="1">
      <c r="E210" s="157" t="str">
        <f t="shared" si="15"/>
        <v xml:space="preserve">  </v>
      </c>
      <c r="F210" s="156" t="str">
        <f t="shared" si="16"/>
        <v/>
      </c>
    </row>
    <row r="211" spans="3:13" s="152" customFormat="1">
      <c r="E211" s="157" t="str">
        <f t="shared" si="15"/>
        <v xml:space="preserve">  </v>
      </c>
      <c r="F211" s="156" t="str">
        <f t="shared" si="16"/>
        <v/>
      </c>
    </row>
    <row r="212" spans="3:13" s="152" customFormat="1">
      <c r="E212" s="157" t="str">
        <f t="shared" si="15"/>
        <v xml:space="preserve">  </v>
      </c>
      <c r="F212" s="156" t="str">
        <f t="shared" si="16"/>
        <v/>
      </c>
    </row>
    <row r="213" spans="3:13">
      <c r="E213" s="155" t="str">
        <f t="shared" si="15"/>
        <v xml:space="preserve">  </v>
      </c>
      <c r="F213" s="154" t="str">
        <f t="shared" si="16"/>
        <v/>
      </c>
      <c r="G213" s="153"/>
      <c r="H213" s="153"/>
      <c r="I213" s="153"/>
      <c r="J213" s="153"/>
      <c r="K213" s="153"/>
      <c r="L213" s="153"/>
      <c r="M213" s="153"/>
    </row>
    <row r="214" spans="3:13" s="152" customFormat="1"/>
    <row r="215" spans="3:13" s="152" customFormat="1"/>
    <row r="216" spans="3:13" s="152" customFormat="1"/>
    <row r="217" spans="3:13" s="152" customFormat="1">
      <c r="C217" s="152" t="s">
        <v>3767</v>
      </c>
      <c r="E217" s="160" t="s">
        <v>297</v>
      </c>
      <c r="F217" s="160" t="s">
        <v>296</v>
      </c>
    </row>
    <row r="218" spans="3:13" s="152" customFormat="1">
      <c r="E218" s="159" t="str">
        <f t="shared" ref="E218:E227" si="17">IF(COUNTBLANK(F113:K113)&gt;=4,"",INDEX(DB_ArrayDash6Names,$B113)&amp; DB_WhiteSpace &amp; INDEX(DB_ArrayDash6Values,$B113) &amp; IF(I113="","",DB_SubWhiteSpace &amp; K113&amp;DB_SubWhiteSpace))&amp;DB_SubWhiteSpace</f>
        <v xml:space="preserve">CBC:  Greenborg  265.1M  (+37.5%)    </v>
      </c>
      <c r="F218" s="158" t="str">
        <f t="shared" ref="F218:F227" si="18">IF(E113,E218,"")</f>
        <v xml:space="preserve">CBC:  Greenborg  265.1M  (+37.5%)    </v>
      </c>
    </row>
    <row r="219" spans="3:13" s="152" customFormat="1">
      <c r="E219" s="157" t="str">
        <f t="shared" si="17"/>
        <v xml:space="preserve">Harken  851.5M  (+42.1%)    </v>
      </c>
      <c r="F219" s="156" t="str">
        <f t="shared" si="18"/>
        <v xml:space="preserve">Harken  851.5M  (+42.1%)    </v>
      </c>
    </row>
    <row r="220" spans="3:13" s="152" customFormat="1">
      <c r="E220" s="157" t="str">
        <f t="shared" si="17"/>
        <v xml:space="preserve">Kara  550.9M  (+38.8%)    </v>
      </c>
      <c r="F220" s="156" t="str">
        <f t="shared" si="18"/>
        <v xml:space="preserve">Kara  550.9M  (+38.8%)    </v>
      </c>
    </row>
    <row r="221" spans="3:13" s="152" customFormat="1">
      <c r="E221" s="157" t="str">
        <f t="shared" si="17"/>
        <v xml:space="preserve">Brew Master  159.2M  (+47.1%)    </v>
      </c>
      <c r="F221" s="156" t="str">
        <f t="shared" si="18"/>
        <v xml:space="preserve">Brew Master  159.2M  (+47.1%)    </v>
      </c>
    </row>
    <row r="222" spans="3:13" s="152" customFormat="1">
      <c r="E222" s="157" t="str">
        <f t="shared" si="17"/>
        <v xml:space="preserve">  </v>
      </c>
      <c r="F222" s="156" t="str">
        <f t="shared" si="18"/>
        <v/>
      </c>
    </row>
    <row r="223" spans="3:13" s="152" customFormat="1">
      <c r="E223" s="157" t="str">
        <f t="shared" si="17"/>
        <v xml:space="preserve">  </v>
      </c>
      <c r="F223" s="156" t="str">
        <f t="shared" si="18"/>
        <v/>
      </c>
    </row>
    <row r="224" spans="3:13" s="152" customFormat="1">
      <c r="E224" s="157" t="str">
        <f t="shared" si="17"/>
        <v xml:space="preserve">  </v>
      </c>
      <c r="F224" s="156" t="str">
        <f t="shared" si="18"/>
        <v/>
      </c>
    </row>
    <row r="225" spans="3:13" s="152" customFormat="1">
      <c r="E225" s="157" t="str">
        <f t="shared" si="17"/>
        <v xml:space="preserve">  </v>
      </c>
      <c r="F225" s="156" t="str">
        <f t="shared" si="18"/>
        <v/>
      </c>
    </row>
    <row r="226" spans="3:13" s="152" customFormat="1">
      <c r="E226" s="157" t="str">
        <f t="shared" si="17"/>
        <v xml:space="preserve">  </v>
      </c>
      <c r="F226" s="156" t="str">
        <f t="shared" si="18"/>
        <v/>
      </c>
    </row>
    <row r="227" spans="3:13">
      <c r="E227" s="155" t="str">
        <f t="shared" si="17"/>
        <v xml:space="preserve">  </v>
      </c>
      <c r="F227" s="154" t="str">
        <f t="shared" si="18"/>
        <v/>
      </c>
      <c r="G227" s="153"/>
      <c r="H227" s="153"/>
      <c r="I227" s="153"/>
      <c r="J227" s="153"/>
      <c r="K227" s="153"/>
      <c r="L227" s="153"/>
      <c r="M227" s="153"/>
    </row>
    <row r="228" spans="3:13" s="152" customFormat="1"/>
    <row r="229" spans="3:13" s="152" customFormat="1">
      <c r="C229" s="152" t="s">
        <v>3771</v>
      </c>
      <c r="E229" s="160" t="s">
        <v>297</v>
      </c>
      <c r="F229" s="160" t="s">
        <v>296</v>
      </c>
    </row>
    <row r="230" spans="3:13" s="152" customFormat="1">
      <c r="E230" s="159" t="str">
        <f t="shared" ref="E230:E239" si="19">IF(COUNTBLANK(F127:K127)&gt;=4,"",INDEX(DB_ArrayDash7Names,$B127)&amp; DB_WhiteSpace &amp; INDEX(DB_ArrayDash7Values,$B127) &amp; IF(I127="","",DB_SubWhiteSpace &amp; K127&amp;DB_SubWhiteSpace))&amp;DB_SubWhiteSpace</f>
        <v xml:space="preserve">  </v>
      </c>
      <c r="F230" s="158" t="str">
        <f>IF(E127,E230,"")</f>
        <v xml:space="preserve">  </v>
      </c>
    </row>
    <row r="231" spans="3:13" s="152" customFormat="1">
      <c r="E231" s="157" t="str">
        <f t="shared" si="19"/>
        <v xml:space="preserve">  </v>
      </c>
      <c r="F231" s="156" t="str">
        <f t="shared" ref="F231:F239" si="20">IF(E128,E231,"")</f>
        <v/>
      </c>
    </row>
    <row r="232" spans="3:13" s="152" customFormat="1">
      <c r="E232" s="157" t="str">
        <f t="shared" si="19"/>
        <v xml:space="preserve">  </v>
      </c>
      <c r="F232" s="156" t="str">
        <f t="shared" si="20"/>
        <v/>
      </c>
    </row>
    <row r="233" spans="3:13" s="152" customFormat="1">
      <c r="E233" s="157" t="str">
        <f t="shared" si="19"/>
        <v xml:space="preserve">  </v>
      </c>
      <c r="F233" s="156" t="str">
        <f t="shared" si="20"/>
        <v/>
      </c>
    </row>
    <row r="234" spans="3:13" s="152" customFormat="1">
      <c r="E234" s="157" t="str">
        <f t="shared" si="19"/>
        <v xml:space="preserve">  </v>
      </c>
      <c r="F234" s="156" t="str">
        <f t="shared" si="20"/>
        <v/>
      </c>
    </row>
    <row r="235" spans="3:13" s="152" customFormat="1">
      <c r="E235" s="157" t="str">
        <f t="shared" si="19"/>
        <v xml:space="preserve">  </v>
      </c>
      <c r="F235" s="156" t="str">
        <f t="shared" si="20"/>
        <v/>
      </c>
    </row>
    <row r="236" spans="3:13" s="152" customFormat="1">
      <c r="E236" s="157" t="str">
        <f t="shared" si="19"/>
        <v xml:space="preserve">  </v>
      </c>
      <c r="F236" s="156" t="str">
        <f t="shared" si="20"/>
        <v/>
      </c>
    </row>
    <row r="237" spans="3:13" s="152" customFormat="1">
      <c r="E237" s="157" t="str">
        <f t="shared" si="19"/>
        <v xml:space="preserve">  </v>
      </c>
      <c r="F237" s="156" t="str">
        <f t="shared" si="20"/>
        <v/>
      </c>
    </row>
    <row r="238" spans="3:13" s="152" customFormat="1">
      <c r="E238" s="157" t="str">
        <f t="shared" si="19"/>
        <v xml:space="preserve">  </v>
      </c>
      <c r="F238" s="156" t="str">
        <f t="shared" si="20"/>
        <v/>
      </c>
    </row>
    <row r="239" spans="3:13">
      <c r="E239" s="155" t="str">
        <f t="shared" si="19"/>
        <v xml:space="preserve">  </v>
      </c>
      <c r="F239" s="154" t="str">
        <f t="shared" si="20"/>
        <v/>
      </c>
      <c r="G239" s="153"/>
      <c r="H239" s="153"/>
      <c r="I239" s="153"/>
      <c r="J239" s="153"/>
      <c r="K239" s="153"/>
      <c r="L239" s="153"/>
      <c r="M239" s="153"/>
    </row>
  </sheetData>
  <dataValidations disablePrompts="1" count="1">
    <dataValidation type="list" allowBlank="1" showInputMessage="1" showErrorMessage="1" sqref="E43:E52 E99:E108 E57:E66 E71:E80 E85:E94 E113:E122 E127:E136">
      <formula1>"True,False"</formula1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637"/>
  <sheetViews>
    <sheetView topLeftCell="A210" zoomScale="85" zoomScaleNormal="85" workbookViewId="0">
      <selection activeCell="C217" sqref="C217"/>
    </sheetView>
  </sheetViews>
  <sheetFormatPr defaultColWidth="8.796875" defaultRowHeight="14.25"/>
  <cols>
    <col min="1" max="1" width="4.69921875" style="6" customWidth="1"/>
    <col min="2" max="2" width="4.69921875" style="7" customWidth="1"/>
    <col min="3" max="3" width="4.69921875" style="6" customWidth="1"/>
    <col min="4" max="4" width="18.69921875" style="6" customWidth="1"/>
    <col min="5" max="5" width="14.296875" style="6" customWidth="1"/>
    <col min="6" max="6" width="26.8984375" style="6" customWidth="1"/>
    <col min="7" max="16384" width="8.796875" style="6"/>
  </cols>
  <sheetData>
    <row r="1" spans="1:6" s="2" customFormat="1" ht="18">
      <c r="A1" s="1" t="s">
        <v>4</v>
      </c>
      <c r="B1" s="1"/>
      <c r="E1" s="2" t="s">
        <v>5</v>
      </c>
    </row>
    <row r="2" spans="1:6" s="3" customFormat="1" ht="18">
      <c r="B2" s="4"/>
      <c r="F2" s="5" t="s">
        <v>6</v>
      </c>
    </row>
    <row r="3" spans="1:6">
      <c r="B3" s="7" t="s">
        <v>7</v>
      </c>
      <c r="F3" s="7" t="s">
        <v>8</v>
      </c>
    </row>
    <row r="4" spans="1:6">
      <c r="B4" s="7" t="s">
        <v>9</v>
      </c>
      <c r="E4" s="6" t="str">
        <f>tlInputTeamName</f>
        <v>Greensberg</v>
      </c>
      <c r="F4" s="7" t="s">
        <v>10</v>
      </c>
    </row>
    <row r="5" spans="1:6">
      <c r="B5" s="7" t="s">
        <v>15</v>
      </c>
      <c r="E5" s="6">
        <v>1</v>
      </c>
      <c r="F5" s="7" t="s">
        <v>16</v>
      </c>
    </row>
    <row r="6" spans="1:6">
      <c r="B6" s="7" t="s">
        <v>11</v>
      </c>
      <c r="E6" s="6">
        <f>tlTeamRound</f>
        <v>1</v>
      </c>
      <c r="F6" s="7" t="s">
        <v>10572</v>
      </c>
    </row>
    <row r="7" spans="1:6">
      <c r="F7" s="7"/>
    </row>
    <row r="8" spans="1:6" s="610" customFormat="1">
      <c r="B8" s="88" t="s">
        <v>10574</v>
      </c>
      <c r="F8" s="611"/>
    </row>
    <row r="9" spans="1:6" s="610" customFormat="1">
      <c r="B9" s="611"/>
      <c r="C9" s="611" t="s">
        <v>10249</v>
      </c>
      <c r="E9" s="610">
        <f>tlInputReport1</f>
        <v>0</v>
      </c>
      <c r="F9" s="611" t="s">
        <v>10575</v>
      </c>
    </row>
    <row r="10" spans="1:6" s="610" customFormat="1">
      <c r="B10" s="611"/>
      <c r="C10" s="611" t="s">
        <v>10250</v>
      </c>
      <c r="E10" s="610">
        <f>tlInputReport2</f>
        <v>0</v>
      </c>
      <c r="F10" s="611" t="s">
        <v>10576</v>
      </c>
    </row>
    <row r="11" spans="1:6" s="610" customFormat="1">
      <c r="B11" s="611"/>
      <c r="C11" s="611" t="s">
        <v>10251</v>
      </c>
      <c r="E11" s="610">
        <f>tlInputReport3</f>
        <v>0</v>
      </c>
      <c r="F11" s="611" t="s">
        <v>10577</v>
      </c>
    </row>
    <row r="12" spans="1:6" s="610" customFormat="1">
      <c r="B12" s="611"/>
      <c r="C12" s="611" t="s">
        <v>10252</v>
      </c>
      <c r="E12" s="610">
        <f>tlInputReport4</f>
        <v>0</v>
      </c>
      <c r="F12" s="611" t="s">
        <v>10578</v>
      </c>
    </row>
    <row r="13" spans="1:6" s="610" customFormat="1">
      <c r="B13" s="611"/>
      <c r="C13" s="611" t="s">
        <v>10253</v>
      </c>
      <c r="E13" s="610">
        <f>tlInputReport5</f>
        <v>0</v>
      </c>
      <c r="F13" s="611" t="s">
        <v>10579</v>
      </c>
    </row>
    <row r="14" spans="1:6" s="610" customFormat="1">
      <c r="B14" s="611"/>
      <c r="C14" s="611" t="s">
        <v>10254</v>
      </c>
      <c r="E14" s="610">
        <f>tlInputReport6</f>
        <v>0</v>
      </c>
      <c r="F14" s="611" t="s">
        <v>10580</v>
      </c>
    </row>
    <row r="15" spans="1:6">
      <c r="F15" s="7"/>
    </row>
    <row r="16" spans="1:6">
      <c r="B16" s="88" t="s">
        <v>67</v>
      </c>
      <c r="F16" s="7"/>
    </row>
    <row r="17" spans="2:6">
      <c r="C17" s="7" t="s">
        <v>68</v>
      </c>
      <c r="E17" s="6" t="str">
        <f>tlInputSi1</f>
        <v>Select Project</v>
      </c>
      <c r="F17" s="7" t="s">
        <v>10301</v>
      </c>
    </row>
    <row r="18" spans="2:6">
      <c r="C18" s="7" t="s">
        <v>69</v>
      </c>
      <c r="E18" s="6" t="str">
        <f>tlInputSi2</f>
        <v>Select Project</v>
      </c>
      <c r="F18" s="7" t="s">
        <v>10302</v>
      </c>
    </row>
    <row r="19" spans="2:6">
      <c r="C19" s="7" t="s">
        <v>89</v>
      </c>
      <c r="E19" s="6" t="str">
        <f>tlInputSi3</f>
        <v>Select Project</v>
      </c>
      <c r="F19" s="7" t="s">
        <v>10303</v>
      </c>
    </row>
    <row r="20" spans="2:6" s="610" customFormat="1">
      <c r="B20" s="611"/>
      <c r="C20" s="611" t="s">
        <v>90</v>
      </c>
      <c r="E20" s="610" t="s">
        <v>60</v>
      </c>
      <c r="F20" s="611" t="s">
        <v>10304</v>
      </c>
    </row>
    <row r="21" spans="2:6" s="610" customFormat="1">
      <c r="B21" s="611"/>
      <c r="C21" s="611" t="s">
        <v>91</v>
      </c>
      <c r="E21" s="610" t="s">
        <v>60</v>
      </c>
      <c r="F21" s="611" t="s">
        <v>10305</v>
      </c>
    </row>
    <row r="22" spans="2:6">
      <c r="C22" s="7"/>
      <c r="F22" s="7"/>
    </row>
    <row r="23" spans="2:6">
      <c r="B23" s="88" t="s">
        <v>743</v>
      </c>
      <c r="C23" s="7"/>
      <c r="F23" s="7"/>
    </row>
    <row r="24" spans="2:6">
      <c r="C24" s="7" t="s">
        <v>744</v>
      </c>
      <c r="E24" s="6" t="str">
        <f>tlInputPackInnovation1</f>
        <v>Select Pack</v>
      </c>
      <c r="F24" s="7" t="s">
        <v>746</v>
      </c>
    </row>
    <row r="25" spans="2:6">
      <c r="C25" s="7" t="s">
        <v>745</v>
      </c>
      <c r="E25" s="6" t="str">
        <f>tlInputPackInnovation2</f>
        <v>Select Pack</v>
      </c>
      <c r="F25" s="7" t="s">
        <v>747</v>
      </c>
    </row>
    <row r="26" spans="2:6">
      <c r="C26" s="7"/>
      <c r="F26" s="7"/>
    </row>
    <row r="27" spans="2:6">
      <c r="B27" s="88" t="s">
        <v>786</v>
      </c>
      <c r="C27" s="7"/>
      <c r="F27" s="7"/>
    </row>
    <row r="28" spans="2:6">
      <c r="C28" s="7" t="s">
        <v>244</v>
      </c>
      <c r="E28" s="6" t="str">
        <f>tlInputCh1MarkPlan</f>
        <v>Select Plan</v>
      </c>
      <c r="F28" s="7" t="s">
        <v>790</v>
      </c>
    </row>
    <row r="29" spans="2:6">
      <c r="C29" s="7" t="s">
        <v>245</v>
      </c>
      <c r="E29" s="6" t="str">
        <f>tlInputCh2MarkPlan</f>
        <v>Select Plan</v>
      </c>
      <c r="F29" s="7" t="s">
        <v>791</v>
      </c>
    </row>
    <row r="30" spans="2:6">
      <c r="C30" s="7" t="s">
        <v>5199</v>
      </c>
      <c r="E30" s="6" t="str">
        <f>tlInputCh3MarkPlan</f>
        <v>Select Plan</v>
      </c>
      <c r="F30" s="7" t="s">
        <v>792</v>
      </c>
    </row>
    <row r="31" spans="2:6">
      <c r="C31" s="7" t="s">
        <v>246</v>
      </c>
      <c r="E31" s="6" t="str">
        <f>tlInputCh4MarkPlan</f>
        <v>Select Plan</v>
      </c>
      <c r="F31" s="7" t="s">
        <v>793</v>
      </c>
    </row>
    <row r="32" spans="2:6">
      <c r="C32" s="7"/>
      <c r="F32" s="7"/>
    </row>
    <row r="33" spans="2:6">
      <c r="B33" s="88" t="s">
        <v>13926</v>
      </c>
      <c r="C33" s="7"/>
      <c r="F33" s="7"/>
    </row>
    <row r="34" spans="2:6">
      <c r="C34" s="7" t="s">
        <v>1293</v>
      </c>
      <c r="E34" s="6" t="str">
        <f>tlInputCh1ValDriv1</f>
        <v>Level 2</v>
      </c>
      <c r="F34" s="7" t="s">
        <v>1304</v>
      </c>
    </row>
    <row r="35" spans="2:6">
      <c r="C35" s="7" t="s">
        <v>1411</v>
      </c>
      <c r="E35" s="6" t="str">
        <f>tlInputCh1ValDriv2</f>
        <v>Level 2</v>
      </c>
      <c r="F35" s="7" t="s">
        <v>1305</v>
      </c>
    </row>
    <row r="36" spans="2:6">
      <c r="C36" s="7" t="s">
        <v>1294</v>
      </c>
      <c r="E36" s="6" t="str">
        <f>tlInputCh1ValDriv3</f>
        <v>Level 2</v>
      </c>
      <c r="F36" s="7" t="s">
        <v>1306</v>
      </c>
    </row>
    <row r="37" spans="2:6">
      <c r="C37" s="7" t="s">
        <v>5196</v>
      </c>
      <c r="E37" s="6" t="str">
        <f>tlInputCh1ValDriv4</f>
        <v>Level 2</v>
      </c>
      <c r="F37" s="7" t="s">
        <v>1307</v>
      </c>
    </row>
    <row r="38" spans="2:6">
      <c r="C38" s="7" t="s">
        <v>812</v>
      </c>
      <c r="E38" s="6" t="str">
        <f>tlInputCh1ValDriv5</f>
        <v>Level 2</v>
      </c>
      <c r="F38" s="7" t="s">
        <v>1308</v>
      </c>
    </row>
    <row r="39" spans="2:6">
      <c r="C39" s="7" t="s">
        <v>1410</v>
      </c>
      <c r="E39" s="6" t="str">
        <f>tlInputCh1ValDrivCond</f>
        <v>Level 1</v>
      </c>
      <c r="F39" s="7" t="s">
        <v>3280</v>
      </c>
    </row>
    <row r="40" spans="2:6">
      <c r="C40" s="7"/>
      <c r="F40" s="7"/>
    </row>
    <row r="41" spans="2:6">
      <c r="B41" s="88" t="s">
        <v>13927</v>
      </c>
      <c r="C41" s="7"/>
      <c r="F41" s="7"/>
    </row>
    <row r="42" spans="2:6">
      <c r="C42" s="7" t="s">
        <v>1293</v>
      </c>
      <c r="E42" s="6" t="str">
        <f>tlInputCh2ValDriv1</f>
        <v>Level 2</v>
      </c>
      <c r="F42" s="7" t="s">
        <v>1309</v>
      </c>
    </row>
    <row r="43" spans="2:6">
      <c r="C43" s="7" t="s">
        <v>1411</v>
      </c>
      <c r="E43" s="6" t="str">
        <f>tlInputCh2ValDriv2</f>
        <v>Level 2</v>
      </c>
      <c r="F43" s="7" t="s">
        <v>1310</v>
      </c>
    </row>
    <row r="44" spans="2:6">
      <c r="C44" s="7" t="s">
        <v>1294</v>
      </c>
      <c r="E44" s="6" t="str">
        <f>tlInputCh2ValDriv3</f>
        <v>Level 2</v>
      </c>
      <c r="F44" s="7" t="s">
        <v>1311</v>
      </c>
    </row>
    <row r="45" spans="2:6">
      <c r="C45" s="7" t="s">
        <v>5196</v>
      </c>
      <c r="E45" s="6" t="str">
        <f>tlInputCh2ValDriv4</f>
        <v>Level 2</v>
      </c>
      <c r="F45" s="7" t="s">
        <v>1312</v>
      </c>
    </row>
    <row r="46" spans="2:6">
      <c r="C46" s="7" t="s">
        <v>812</v>
      </c>
      <c r="E46" s="6" t="str">
        <f>tlInputCh2ValDriv5</f>
        <v>Level 2</v>
      </c>
      <c r="F46" s="7" t="s">
        <v>1313</v>
      </c>
    </row>
    <row r="47" spans="2:6">
      <c r="C47" s="7" t="s">
        <v>1410</v>
      </c>
      <c r="E47" s="6" t="str">
        <f>tlInputCh2ValDrivCond</f>
        <v>Level 1</v>
      </c>
      <c r="F47" s="7" t="s">
        <v>3283</v>
      </c>
    </row>
    <row r="48" spans="2:6">
      <c r="C48" s="7"/>
      <c r="F48" s="7"/>
    </row>
    <row r="49" spans="2:6">
      <c r="B49" s="88" t="s">
        <v>13928</v>
      </c>
      <c r="C49" s="7"/>
      <c r="F49" s="7"/>
    </row>
    <row r="50" spans="2:6">
      <c r="C50" s="7" t="s">
        <v>1293</v>
      </c>
      <c r="E50" s="6" t="str">
        <f>tlInputCh3ValDriv1</f>
        <v>Level 2</v>
      </c>
      <c r="F50" s="7" t="s">
        <v>1314</v>
      </c>
    </row>
    <row r="51" spans="2:6">
      <c r="C51" s="7" t="s">
        <v>1411</v>
      </c>
      <c r="E51" s="6" t="str">
        <f>tlInputCh3ValDriv2</f>
        <v>Level 2</v>
      </c>
      <c r="F51" s="7" t="s">
        <v>1315</v>
      </c>
    </row>
    <row r="52" spans="2:6">
      <c r="C52" s="7" t="s">
        <v>1294</v>
      </c>
      <c r="E52" s="6" t="str">
        <f>tlInputCh3ValDriv3</f>
        <v>Level 2</v>
      </c>
      <c r="F52" s="7" t="s">
        <v>1316</v>
      </c>
    </row>
    <row r="53" spans="2:6">
      <c r="C53" s="7" t="s">
        <v>5196</v>
      </c>
      <c r="E53" s="6" t="str">
        <f>tlInputCh3ValDriv4</f>
        <v>Level 2</v>
      </c>
      <c r="F53" s="7" t="s">
        <v>1317</v>
      </c>
    </row>
    <row r="54" spans="2:6">
      <c r="C54" s="7" t="s">
        <v>812</v>
      </c>
      <c r="E54" s="6" t="str">
        <f>tlInputCh3ValDriv5</f>
        <v>Level 2</v>
      </c>
      <c r="F54" s="7" t="s">
        <v>1318</v>
      </c>
    </row>
    <row r="55" spans="2:6">
      <c r="C55" s="7" t="s">
        <v>1410</v>
      </c>
      <c r="E55" s="6" t="str">
        <f>tlInputCh3ValDrivCond</f>
        <v>Level 1</v>
      </c>
      <c r="F55" s="7" t="s">
        <v>3282</v>
      </c>
    </row>
    <row r="56" spans="2:6">
      <c r="C56" s="7"/>
      <c r="F56" s="7"/>
    </row>
    <row r="57" spans="2:6">
      <c r="B57" s="88" t="s">
        <v>13929</v>
      </c>
      <c r="C57" s="7"/>
      <c r="F57" s="7"/>
    </row>
    <row r="58" spans="2:6">
      <c r="C58" s="7" t="s">
        <v>1293</v>
      </c>
      <c r="E58" s="6" t="str">
        <f>tlInputCh4ValDriv1</f>
        <v>Level 2</v>
      </c>
      <c r="F58" s="7" t="s">
        <v>1319</v>
      </c>
    </row>
    <row r="59" spans="2:6">
      <c r="C59" s="7" t="s">
        <v>1411</v>
      </c>
      <c r="E59" s="6" t="str">
        <f>tlInputCh4ValDriv2</f>
        <v>Level 2</v>
      </c>
      <c r="F59" s="7" t="s">
        <v>1320</v>
      </c>
    </row>
    <row r="60" spans="2:6">
      <c r="C60" s="7" t="s">
        <v>1294</v>
      </c>
      <c r="E60" s="6" t="str">
        <f>tlInputCh4ValDriv3</f>
        <v>Level 2</v>
      </c>
      <c r="F60" s="7" t="s">
        <v>1321</v>
      </c>
    </row>
    <row r="61" spans="2:6">
      <c r="C61" s="7" t="s">
        <v>5196</v>
      </c>
      <c r="E61" s="6" t="str">
        <f>tlInputCh4ValDriv4</f>
        <v>Level 2</v>
      </c>
      <c r="F61" s="7" t="s">
        <v>1322</v>
      </c>
    </row>
    <row r="62" spans="2:6">
      <c r="C62" s="7" t="s">
        <v>812</v>
      </c>
      <c r="E62" s="6" t="str">
        <f>tlInputCh4ValDriv5</f>
        <v>Level 2</v>
      </c>
      <c r="F62" s="7" t="s">
        <v>1323</v>
      </c>
    </row>
    <row r="63" spans="2:6">
      <c r="C63" s="7" t="s">
        <v>1410</v>
      </c>
      <c r="E63" s="6" t="str">
        <f>tlInputCh4ValDrivCond</f>
        <v>Level 1</v>
      </c>
      <c r="F63" s="7" t="s">
        <v>3281</v>
      </c>
    </row>
    <row r="64" spans="2:6">
      <c r="C64" s="7"/>
      <c r="F64" s="7"/>
    </row>
    <row r="65" spans="1:6">
      <c r="B65" s="88" t="s">
        <v>3746</v>
      </c>
      <c r="C65" s="7"/>
      <c r="F65" s="7"/>
    </row>
    <row r="66" spans="1:6">
      <c r="C66" s="7" t="s">
        <v>244</v>
      </c>
      <c r="E66" s="6" t="str">
        <f>tlInputCh1VT</f>
        <v>Greenborg Slot 1</v>
      </c>
      <c r="F66" s="7" t="s">
        <v>3748</v>
      </c>
    </row>
    <row r="67" spans="1:6">
      <c r="C67" s="7" t="s">
        <v>245</v>
      </c>
      <c r="E67" s="6" t="str">
        <f t="shared" ref="E67" si="0">tlInputCh2VT</f>
        <v>Greenborg</v>
      </c>
      <c r="F67" s="7" t="s">
        <v>3749</v>
      </c>
    </row>
    <row r="68" spans="1:6">
      <c r="C68" s="7" t="s">
        <v>5199</v>
      </c>
      <c r="E68" s="6" t="str">
        <f t="shared" ref="E68" si="1">tlInputCh3VT</f>
        <v>Harken Slot 1</v>
      </c>
      <c r="F68" s="7" t="s">
        <v>3750</v>
      </c>
    </row>
    <row r="69" spans="1:6">
      <c r="C69" s="7" t="s">
        <v>246</v>
      </c>
      <c r="E69" s="6" t="str">
        <f t="shared" ref="E69" si="2">tlInputCh4VT</f>
        <v>Harken Slot 1</v>
      </c>
      <c r="F69" s="7" t="s">
        <v>3751</v>
      </c>
    </row>
    <row r="70" spans="1:6">
      <c r="C70" s="7"/>
    </row>
    <row r="71" spans="1:6" s="278" customFormat="1">
      <c r="A71" s="280" t="s">
        <v>585</v>
      </c>
      <c r="B71" s="280"/>
      <c r="C71" s="280"/>
      <c r="D71" s="280"/>
      <c r="E71" s="280"/>
    </row>
    <row r="72" spans="1:6">
      <c r="C72" s="7"/>
      <c r="F72" s="7"/>
    </row>
    <row r="73" spans="1:6">
      <c r="B73" s="7" t="s">
        <v>244</v>
      </c>
      <c r="C73" s="7"/>
      <c r="F73" s="7"/>
    </row>
    <row r="74" spans="1:6">
      <c r="B74" s="6"/>
      <c r="C74" s="7" t="s">
        <v>12868</v>
      </c>
      <c r="E74" s="690">
        <f>tlInputCh1Prod1Forecast</f>
        <v>0.2</v>
      </c>
      <c r="F74" s="23" t="s">
        <v>8841</v>
      </c>
    </row>
    <row r="75" spans="1:6">
      <c r="B75" s="6"/>
      <c r="C75" s="7" t="s">
        <v>238</v>
      </c>
      <c r="E75" s="690">
        <f>tlInputCh1Prod2Forecast</f>
        <v>0.12</v>
      </c>
      <c r="F75" s="23" t="s">
        <v>8842</v>
      </c>
    </row>
    <row r="76" spans="1:6">
      <c r="B76" s="6"/>
      <c r="C76" s="7" t="s">
        <v>239</v>
      </c>
      <c r="E76" s="690">
        <f>tlInputCh1Prod3Forecast</f>
        <v>0.08</v>
      </c>
      <c r="F76" s="23" t="s">
        <v>8843</v>
      </c>
    </row>
    <row r="77" spans="1:6">
      <c r="B77" s="6"/>
      <c r="C77" s="7" t="s">
        <v>240</v>
      </c>
      <c r="E77" s="653">
        <f>tlInputCh1Prod4Forecast</f>
        <v>0</v>
      </c>
      <c r="F77" s="23" t="s">
        <v>8844</v>
      </c>
    </row>
    <row r="78" spans="1:6">
      <c r="B78" s="7" t="s">
        <v>245</v>
      </c>
      <c r="C78" s="7"/>
      <c r="E78" s="872"/>
      <c r="F78" s="7"/>
    </row>
    <row r="79" spans="1:6">
      <c r="B79" s="6"/>
      <c r="C79" s="7" t="s">
        <v>12868</v>
      </c>
      <c r="E79" s="690">
        <f>tlInputCh2Prod1Forecast</f>
        <v>0.2</v>
      </c>
      <c r="F79" s="23" t="s">
        <v>8845</v>
      </c>
    </row>
    <row r="80" spans="1:6">
      <c r="B80" s="6"/>
      <c r="C80" s="7" t="s">
        <v>238</v>
      </c>
      <c r="E80" s="690">
        <f>tlInputCh2Prod2Forecast</f>
        <v>0.12</v>
      </c>
      <c r="F80" s="23" t="s">
        <v>8846</v>
      </c>
    </row>
    <row r="81" spans="1:6">
      <c r="B81" s="6"/>
      <c r="C81" s="7" t="s">
        <v>239</v>
      </c>
      <c r="E81" s="690">
        <f>tlInputCh2Prod3Forecast</f>
        <v>0.08</v>
      </c>
      <c r="F81" s="23" t="s">
        <v>8847</v>
      </c>
    </row>
    <row r="82" spans="1:6">
      <c r="B82" s="6"/>
      <c r="C82" s="7" t="s">
        <v>240</v>
      </c>
      <c r="E82" s="653">
        <f>tlInputCh2Prod4Forecast</f>
        <v>0</v>
      </c>
      <c r="F82" s="23" t="s">
        <v>8848</v>
      </c>
    </row>
    <row r="83" spans="1:6">
      <c r="B83" s="7" t="s">
        <v>5199</v>
      </c>
      <c r="C83" s="7"/>
      <c r="E83" s="872"/>
      <c r="F83" s="7"/>
    </row>
    <row r="84" spans="1:6">
      <c r="B84" s="6"/>
      <c r="C84" s="7" t="s">
        <v>12868</v>
      </c>
      <c r="E84" s="690">
        <f>tlInputCh3Prod1Forecast</f>
        <v>0.2</v>
      </c>
      <c r="F84" s="23" t="s">
        <v>8849</v>
      </c>
    </row>
    <row r="85" spans="1:6">
      <c r="B85" s="6"/>
      <c r="C85" s="7" t="s">
        <v>238</v>
      </c>
      <c r="E85" s="690">
        <f>tlInputCh3Prod2Forecast</f>
        <v>0.1</v>
      </c>
      <c r="F85" s="23" t="s">
        <v>8850</v>
      </c>
    </row>
    <row r="86" spans="1:6">
      <c r="B86" s="6"/>
      <c r="C86" s="7" t="s">
        <v>239</v>
      </c>
      <c r="E86" s="690">
        <f>tlInputCh3Prod3Forecast</f>
        <v>0.1</v>
      </c>
      <c r="F86" s="23" t="s">
        <v>8851</v>
      </c>
    </row>
    <row r="87" spans="1:6">
      <c r="B87" s="6"/>
      <c r="C87" s="7" t="s">
        <v>240</v>
      </c>
      <c r="E87" s="653">
        <f>tlInputCh3Prod4Forecast</f>
        <v>0</v>
      </c>
      <c r="F87" s="23" t="s">
        <v>8852</v>
      </c>
    </row>
    <row r="88" spans="1:6">
      <c r="B88" s="7" t="s">
        <v>246</v>
      </c>
      <c r="C88" s="7"/>
      <c r="E88" s="872"/>
      <c r="F88" s="7"/>
    </row>
    <row r="89" spans="1:6">
      <c r="B89" s="6"/>
      <c r="C89" s="7" t="s">
        <v>12868</v>
      </c>
      <c r="E89" s="690">
        <f>tlInputCh4Prod1Forecast</f>
        <v>0.2</v>
      </c>
      <c r="F89" s="23" t="s">
        <v>8853</v>
      </c>
    </row>
    <row r="90" spans="1:6">
      <c r="B90" s="6"/>
      <c r="C90" s="7" t="s">
        <v>238</v>
      </c>
      <c r="E90" s="690">
        <f>tlInputCh4Prod2Forecast</f>
        <v>0.12</v>
      </c>
      <c r="F90" s="23" t="s">
        <v>8854</v>
      </c>
    </row>
    <row r="91" spans="1:6">
      <c r="B91" s="6"/>
      <c r="C91" s="7" t="s">
        <v>239</v>
      </c>
      <c r="E91" s="690">
        <f>tlInputCh4Prod3Forecast</f>
        <v>0.08</v>
      </c>
      <c r="F91" s="23" t="s">
        <v>8855</v>
      </c>
    </row>
    <row r="92" spans="1:6">
      <c r="B92" s="6"/>
      <c r="C92" s="7" t="s">
        <v>240</v>
      </c>
      <c r="E92" s="690">
        <f>tlInputCh4Prod4Forecast</f>
        <v>0.2</v>
      </c>
      <c r="F92" s="23" t="s">
        <v>8856</v>
      </c>
    </row>
    <row r="93" spans="1:6" s="90" customFormat="1">
      <c r="B93" s="268"/>
      <c r="F93" s="268"/>
    </row>
    <row r="94" spans="1:6" s="278" customFormat="1">
      <c r="A94" s="280" t="s">
        <v>582</v>
      </c>
      <c r="B94" s="280"/>
      <c r="C94" s="280"/>
      <c r="D94" s="280"/>
      <c r="E94" s="280"/>
      <c r="F94" s="279"/>
    </row>
    <row r="95" spans="1:6">
      <c r="A95" s="23" t="s">
        <v>244</v>
      </c>
      <c r="B95" s="23"/>
      <c r="C95" s="23"/>
      <c r="D95" s="23"/>
      <c r="E95" s="23"/>
      <c r="F95" s="7"/>
    </row>
    <row r="96" spans="1:6">
      <c r="A96" s="23"/>
      <c r="B96" s="23" t="s">
        <v>12868</v>
      </c>
      <c r="C96" s="23"/>
      <c r="D96" s="23"/>
      <c r="E96" s="23"/>
      <c r="F96" s="7"/>
    </row>
    <row r="97" spans="1:6">
      <c r="A97" s="23"/>
      <c r="B97" s="23"/>
      <c r="C97" s="23" t="s">
        <v>379</v>
      </c>
      <c r="D97"/>
      <c r="E97">
        <f>tlInputCh1Prod1Slot1Active</f>
        <v>1</v>
      </c>
      <c r="F97" s="23" t="s">
        <v>695</v>
      </c>
    </row>
    <row r="98" spans="1:6">
      <c r="A98" s="23"/>
      <c r="B98" s="23"/>
      <c r="C98" s="23" t="s">
        <v>394</v>
      </c>
      <c r="D98"/>
      <c r="E98">
        <f>tlInputCh1Prod1Slot2Active</f>
        <v>0</v>
      </c>
      <c r="F98" s="23" t="s">
        <v>696</v>
      </c>
    </row>
    <row r="99" spans="1:6">
      <c r="A99" s="23"/>
      <c r="B99" s="23"/>
      <c r="C99" s="23" t="s">
        <v>395</v>
      </c>
      <c r="D99"/>
      <c r="E99">
        <f>tlInputCh1Prod1Slot3Active</f>
        <v>0</v>
      </c>
      <c r="F99" s="23" t="s">
        <v>697</v>
      </c>
    </row>
    <row r="100" spans="1:6">
      <c r="A100" s="23"/>
      <c r="B100" s="23" t="s">
        <v>238</v>
      </c>
      <c r="C100" s="23"/>
      <c r="D100"/>
      <c r="E100"/>
      <c r="F100" s="23"/>
    </row>
    <row r="101" spans="1:6">
      <c r="A101" s="23"/>
      <c r="B101" s="23"/>
      <c r="C101" s="23" t="s">
        <v>379</v>
      </c>
      <c r="D101"/>
      <c r="E101">
        <f>tlInputCh1Prod2Slot1Active</f>
        <v>1</v>
      </c>
      <c r="F101" s="23" t="s">
        <v>698</v>
      </c>
    </row>
    <row r="102" spans="1:6">
      <c r="A102" s="23"/>
      <c r="B102" s="23"/>
      <c r="C102" s="23" t="s">
        <v>394</v>
      </c>
      <c r="D102"/>
      <c r="E102">
        <f>tlInputCh1Prod2Slot2Active</f>
        <v>1</v>
      </c>
      <c r="F102" s="23" t="s">
        <v>699</v>
      </c>
    </row>
    <row r="103" spans="1:6">
      <c r="A103" s="23"/>
      <c r="B103" s="23"/>
      <c r="C103" s="23" t="s">
        <v>395</v>
      </c>
      <c r="D103"/>
      <c r="E103">
        <f>tlInputCh1Prod2Slot3Active</f>
        <v>0</v>
      </c>
      <c r="F103" s="23" t="s">
        <v>700</v>
      </c>
    </row>
    <row r="104" spans="1:6">
      <c r="A104" s="23"/>
      <c r="B104" s="23" t="s">
        <v>239</v>
      </c>
      <c r="C104" s="23"/>
      <c r="D104"/>
      <c r="E104"/>
      <c r="F104" s="23"/>
    </row>
    <row r="105" spans="1:6">
      <c r="A105" s="23"/>
      <c r="B105" s="23"/>
      <c r="C105" s="23" t="s">
        <v>379</v>
      </c>
      <c r="D105"/>
      <c r="E105">
        <f>tlInputCh1Prod3Slot1Active</f>
        <v>1</v>
      </c>
      <c r="F105" s="23" t="s">
        <v>701</v>
      </c>
    </row>
    <row r="106" spans="1:6">
      <c r="A106" s="23"/>
      <c r="B106" s="23"/>
      <c r="C106" s="23" t="s">
        <v>394</v>
      </c>
      <c r="D106"/>
      <c r="E106">
        <f>tlInputCh1Prod3Slot2Active</f>
        <v>1</v>
      </c>
      <c r="F106" s="23" t="s">
        <v>702</v>
      </c>
    </row>
    <row r="107" spans="1:6">
      <c r="A107" s="23"/>
      <c r="B107" s="23"/>
      <c r="C107" s="23" t="s">
        <v>395</v>
      </c>
      <c r="D107"/>
      <c r="E107">
        <f>tlInputCh1Prod3Slot3Active</f>
        <v>0</v>
      </c>
      <c r="F107" s="23" t="s">
        <v>703</v>
      </c>
    </row>
    <row r="108" spans="1:6">
      <c r="A108" s="23"/>
      <c r="B108" s="23" t="s">
        <v>240</v>
      </c>
      <c r="C108" s="23"/>
      <c r="D108" s="23"/>
      <c r="E108" s="23"/>
      <c r="F108" s="23"/>
    </row>
    <row r="109" spans="1:6">
      <c r="A109" s="23"/>
      <c r="B109" s="23"/>
      <c r="C109" s="23" t="s">
        <v>379</v>
      </c>
      <c r="D109" s="23"/>
      <c r="E109">
        <f>tlInputCh1Prod4Slot1Active</f>
        <v>0</v>
      </c>
      <c r="F109" s="23" t="s">
        <v>704</v>
      </c>
    </row>
    <row r="110" spans="1:6">
      <c r="A110" s="23"/>
      <c r="B110" s="23"/>
      <c r="C110" s="23" t="s">
        <v>394</v>
      </c>
      <c r="D110" s="23"/>
      <c r="E110">
        <f>tlInputCh1Prod4Slot2Active</f>
        <v>0</v>
      </c>
      <c r="F110" s="23" t="s">
        <v>705</v>
      </c>
    </row>
    <row r="111" spans="1:6">
      <c r="A111" s="23"/>
      <c r="B111" s="23"/>
      <c r="C111" s="23" t="s">
        <v>395</v>
      </c>
      <c r="D111" s="23"/>
      <c r="E111">
        <f>tlInputCh1Prod4Slot3Active</f>
        <v>0</v>
      </c>
      <c r="F111" s="23" t="s">
        <v>706</v>
      </c>
    </row>
    <row r="112" spans="1:6">
      <c r="A112" s="23" t="s">
        <v>245</v>
      </c>
      <c r="B112" s="23"/>
      <c r="C112" s="23"/>
      <c r="D112" s="23"/>
      <c r="E112" s="23"/>
      <c r="F112" s="23"/>
    </row>
    <row r="113" spans="1:6">
      <c r="A113" s="23"/>
      <c r="B113" s="23" t="s">
        <v>12868</v>
      </c>
      <c r="C113" s="23"/>
      <c r="D113" s="23"/>
      <c r="E113" s="23"/>
      <c r="F113" s="23"/>
    </row>
    <row r="114" spans="1:6">
      <c r="A114" s="23"/>
      <c r="B114" s="23"/>
      <c r="C114" s="23" t="s">
        <v>379</v>
      </c>
      <c r="D114"/>
      <c r="E114">
        <f>tlInputCh2Prod1Slot1Active</f>
        <v>1</v>
      </c>
      <c r="F114" s="23" t="s">
        <v>707</v>
      </c>
    </row>
    <row r="115" spans="1:6">
      <c r="A115" s="23"/>
      <c r="B115" s="23"/>
      <c r="C115" s="23" t="s">
        <v>394</v>
      </c>
      <c r="D115"/>
      <c r="E115">
        <f>tlInputCh2Prod1Slot2Active</f>
        <v>0</v>
      </c>
      <c r="F115" s="23" t="s">
        <v>708</v>
      </c>
    </row>
    <row r="116" spans="1:6">
      <c r="A116" s="23"/>
      <c r="B116" s="23"/>
      <c r="C116" s="23" t="s">
        <v>395</v>
      </c>
      <c r="D116"/>
      <c r="E116">
        <f>tlInputCh2Prod1Slot3Active</f>
        <v>0</v>
      </c>
      <c r="F116" s="23" t="s">
        <v>709</v>
      </c>
    </row>
    <row r="117" spans="1:6">
      <c r="A117" s="23"/>
      <c r="B117" s="23" t="s">
        <v>238</v>
      </c>
      <c r="C117" s="23"/>
      <c r="D117"/>
      <c r="E117"/>
      <c r="F117" s="23"/>
    </row>
    <row r="118" spans="1:6">
      <c r="A118" s="23"/>
      <c r="B118" s="23"/>
      <c r="C118" s="23" t="s">
        <v>379</v>
      </c>
      <c r="D118"/>
      <c r="E118">
        <f>tlInputCh2Prod2Slot1Active</f>
        <v>1</v>
      </c>
      <c r="F118" s="23" t="s">
        <v>710</v>
      </c>
    </row>
    <row r="119" spans="1:6">
      <c r="A119" s="23"/>
      <c r="B119" s="23"/>
      <c r="C119" s="23" t="s">
        <v>394</v>
      </c>
      <c r="D119"/>
      <c r="E119">
        <f>tlInputCh2Prod2Slot2Active</f>
        <v>0</v>
      </c>
      <c r="F119" s="23" t="s">
        <v>711</v>
      </c>
    </row>
    <row r="120" spans="1:6">
      <c r="A120" s="23"/>
      <c r="B120" s="23"/>
      <c r="C120" s="23" t="s">
        <v>395</v>
      </c>
      <c r="D120"/>
      <c r="E120">
        <f>tlInputCh2Prod2Slot3Active</f>
        <v>0</v>
      </c>
      <c r="F120" s="23" t="s">
        <v>712</v>
      </c>
    </row>
    <row r="121" spans="1:6">
      <c r="A121" s="23"/>
      <c r="B121" s="23" t="s">
        <v>239</v>
      </c>
      <c r="C121" s="23"/>
      <c r="D121"/>
      <c r="E121"/>
      <c r="F121" s="23"/>
    </row>
    <row r="122" spans="1:6">
      <c r="A122" s="23"/>
      <c r="B122" s="23"/>
      <c r="C122" s="23" t="s">
        <v>379</v>
      </c>
      <c r="D122"/>
      <c r="E122">
        <f>tlInputCh2Prod3Slot1Active</f>
        <v>1</v>
      </c>
      <c r="F122" s="23" t="s">
        <v>713</v>
      </c>
    </row>
    <row r="123" spans="1:6">
      <c r="A123" s="23"/>
      <c r="B123" s="23"/>
      <c r="C123" s="23" t="s">
        <v>394</v>
      </c>
      <c r="D123"/>
      <c r="E123">
        <f>tlInputCh2Prod3Slot2Active</f>
        <v>0</v>
      </c>
      <c r="F123" s="23" t="s">
        <v>714</v>
      </c>
    </row>
    <row r="124" spans="1:6">
      <c r="A124" s="23"/>
      <c r="B124" s="23"/>
      <c r="C124" s="23" t="s">
        <v>395</v>
      </c>
      <c r="D124"/>
      <c r="E124">
        <f>tlInputCh2Prod3Slot3Active</f>
        <v>0</v>
      </c>
      <c r="F124" s="23" t="s">
        <v>715</v>
      </c>
    </row>
    <row r="125" spans="1:6">
      <c r="A125" s="23"/>
      <c r="B125" s="23" t="s">
        <v>240</v>
      </c>
      <c r="C125" s="23"/>
      <c r="D125" s="23"/>
      <c r="E125" s="23"/>
      <c r="F125" s="23"/>
    </row>
    <row r="126" spans="1:6">
      <c r="A126" s="23"/>
      <c r="B126" s="23"/>
      <c r="C126" s="23" t="s">
        <v>379</v>
      </c>
      <c r="D126" s="23"/>
      <c r="E126">
        <f>tlInputCh2Prod4Slot1Active</f>
        <v>0</v>
      </c>
      <c r="F126" s="23" t="s">
        <v>716</v>
      </c>
    </row>
    <row r="127" spans="1:6">
      <c r="A127" s="23"/>
      <c r="B127" s="23"/>
      <c r="C127" s="23" t="s">
        <v>394</v>
      </c>
      <c r="D127" s="23"/>
      <c r="E127">
        <f>tlInputCh2Prod4Slot2Active</f>
        <v>0</v>
      </c>
      <c r="F127" s="23" t="s">
        <v>717</v>
      </c>
    </row>
    <row r="128" spans="1:6">
      <c r="A128" s="23"/>
      <c r="B128" s="23"/>
      <c r="C128" s="23" t="s">
        <v>395</v>
      </c>
      <c r="D128" s="23"/>
      <c r="E128">
        <f>tlInputCh2Prod4Slot3Active</f>
        <v>0</v>
      </c>
      <c r="F128" s="23" t="s">
        <v>718</v>
      </c>
    </row>
    <row r="129" spans="1:6">
      <c r="A129" s="23" t="s">
        <v>5199</v>
      </c>
      <c r="B129" s="23"/>
      <c r="C129" s="23"/>
      <c r="D129" s="23"/>
      <c r="E129" s="23"/>
      <c r="F129" s="23"/>
    </row>
    <row r="130" spans="1:6">
      <c r="A130" s="23"/>
      <c r="B130" s="23" t="s">
        <v>12868</v>
      </c>
      <c r="C130" s="23"/>
      <c r="D130" s="23"/>
      <c r="E130" s="23"/>
      <c r="F130" s="23"/>
    </row>
    <row r="131" spans="1:6">
      <c r="A131" s="23"/>
      <c r="B131" s="23"/>
      <c r="C131" s="23" t="s">
        <v>379</v>
      </c>
      <c r="D131"/>
      <c r="E131">
        <f>tlInputCh3Prod1Slot1Active</f>
        <v>1</v>
      </c>
      <c r="F131" s="23" t="s">
        <v>719</v>
      </c>
    </row>
    <row r="132" spans="1:6">
      <c r="A132" s="23"/>
      <c r="B132" s="23"/>
      <c r="C132" s="23" t="s">
        <v>394</v>
      </c>
      <c r="D132"/>
      <c r="E132">
        <f>tlInputCh3Prod1Slot2Active</f>
        <v>0</v>
      </c>
      <c r="F132" s="23" t="s">
        <v>720</v>
      </c>
    </row>
    <row r="133" spans="1:6">
      <c r="A133" s="23"/>
      <c r="B133" s="23"/>
      <c r="C133" s="23" t="s">
        <v>395</v>
      </c>
      <c r="D133"/>
      <c r="E133">
        <f>tlInputCh3Prod1Slot3Active</f>
        <v>0</v>
      </c>
      <c r="F133" s="23" t="s">
        <v>721</v>
      </c>
    </row>
    <row r="134" spans="1:6">
      <c r="A134" s="23"/>
      <c r="B134" s="23" t="s">
        <v>238</v>
      </c>
      <c r="C134" s="23"/>
      <c r="D134"/>
      <c r="E134"/>
      <c r="F134" s="23"/>
    </row>
    <row r="135" spans="1:6">
      <c r="A135" s="23"/>
      <c r="B135" s="23"/>
      <c r="C135" s="23" t="s">
        <v>379</v>
      </c>
      <c r="D135"/>
      <c r="E135">
        <f>tlInputCh3Prod2Slot1Active</f>
        <v>1</v>
      </c>
      <c r="F135" s="23" t="s">
        <v>722</v>
      </c>
    </row>
    <row r="136" spans="1:6">
      <c r="A136" s="23"/>
      <c r="B136" s="23"/>
      <c r="C136" s="23" t="s">
        <v>394</v>
      </c>
      <c r="D136"/>
      <c r="E136">
        <f>tlInputCh3Prod2Slot2Active</f>
        <v>1</v>
      </c>
      <c r="F136" s="23" t="s">
        <v>723</v>
      </c>
    </row>
    <row r="137" spans="1:6">
      <c r="A137" s="23"/>
      <c r="B137" s="23"/>
      <c r="C137" s="23" t="s">
        <v>395</v>
      </c>
      <c r="D137"/>
      <c r="E137">
        <f>tlInputCh3Prod2Slot3Active</f>
        <v>0</v>
      </c>
      <c r="F137" s="23" t="s">
        <v>724</v>
      </c>
    </row>
    <row r="138" spans="1:6">
      <c r="A138" s="23"/>
      <c r="B138" s="23" t="s">
        <v>239</v>
      </c>
      <c r="C138" s="23"/>
      <c r="D138"/>
      <c r="E138"/>
      <c r="F138" s="23"/>
    </row>
    <row r="139" spans="1:6">
      <c r="A139" s="23"/>
      <c r="B139" s="23"/>
      <c r="C139" s="23" t="s">
        <v>379</v>
      </c>
      <c r="D139"/>
      <c r="E139">
        <f>tlInputCh3Prod3Slot1Active</f>
        <v>1</v>
      </c>
      <c r="F139" s="23" t="s">
        <v>725</v>
      </c>
    </row>
    <row r="140" spans="1:6">
      <c r="A140" s="23"/>
      <c r="B140" s="23"/>
      <c r="C140" s="23" t="s">
        <v>394</v>
      </c>
      <c r="D140"/>
      <c r="E140">
        <f>tlInputCh3Prod3Slot2Active</f>
        <v>0</v>
      </c>
      <c r="F140" s="23" t="s">
        <v>726</v>
      </c>
    </row>
    <row r="141" spans="1:6">
      <c r="A141" s="23"/>
      <c r="B141" s="23"/>
      <c r="C141" s="23" t="s">
        <v>395</v>
      </c>
      <c r="D141"/>
      <c r="E141">
        <f>tlInputCh3Prod3Slot3Active</f>
        <v>0</v>
      </c>
      <c r="F141" s="23" t="s">
        <v>727</v>
      </c>
    </row>
    <row r="142" spans="1:6">
      <c r="A142" s="23"/>
      <c r="B142" s="23" t="s">
        <v>240</v>
      </c>
      <c r="C142" s="23"/>
      <c r="D142" s="23"/>
      <c r="E142" s="23"/>
      <c r="F142" s="23"/>
    </row>
    <row r="143" spans="1:6">
      <c r="A143" s="23"/>
      <c r="B143" s="23"/>
      <c r="C143" s="23" t="s">
        <v>379</v>
      </c>
      <c r="D143" s="23"/>
      <c r="E143">
        <f>tlInputCh3Prod4Slot1Active</f>
        <v>0</v>
      </c>
      <c r="F143" s="23" t="s">
        <v>728</v>
      </c>
    </row>
    <row r="144" spans="1:6">
      <c r="A144" s="23"/>
      <c r="B144" s="23"/>
      <c r="C144" s="23" t="s">
        <v>394</v>
      </c>
      <c r="D144" s="23"/>
      <c r="E144">
        <f>tlInputCh3Prod4Slot2Active</f>
        <v>0</v>
      </c>
      <c r="F144" s="23" t="s">
        <v>729</v>
      </c>
    </row>
    <row r="145" spans="1:6">
      <c r="A145" s="23"/>
      <c r="B145" s="23"/>
      <c r="C145" s="23" t="s">
        <v>395</v>
      </c>
      <c r="D145" s="23"/>
      <c r="E145">
        <f>tlInputCh3Prod4Slot3Active</f>
        <v>0</v>
      </c>
      <c r="F145" s="23" t="s">
        <v>730</v>
      </c>
    </row>
    <row r="146" spans="1:6">
      <c r="A146" s="23" t="s">
        <v>246</v>
      </c>
      <c r="B146" s="23"/>
      <c r="C146" s="23"/>
      <c r="D146" s="23"/>
      <c r="E146" s="23"/>
      <c r="F146" s="23"/>
    </row>
    <row r="147" spans="1:6">
      <c r="A147" s="23"/>
      <c r="B147" s="23" t="s">
        <v>12868</v>
      </c>
      <c r="C147" s="23"/>
      <c r="D147" s="23"/>
      <c r="E147" s="23"/>
      <c r="F147" s="23"/>
    </row>
    <row r="148" spans="1:6">
      <c r="A148" s="23"/>
      <c r="B148" s="23"/>
      <c r="C148" s="23" t="s">
        <v>379</v>
      </c>
      <c r="D148"/>
      <c r="E148">
        <f>tlInputCh4Prod1Slot1Active</f>
        <v>1</v>
      </c>
      <c r="F148" s="23" t="s">
        <v>731</v>
      </c>
    </row>
    <row r="149" spans="1:6">
      <c r="A149" s="23"/>
      <c r="B149" s="23"/>
      <c r="C149" s="23" t="s">
        <v>394</v>
      </c>
      <c r="D149"/>
      <c r="E149">
        <f>tlInputCh4Prod1Slot2Active</f>
        <v>0</v>
      </c>
      <c r="F149" s="23" t="s">
        <v>732</v>
      </c>
    </row>
    <row r="150" spans="1:6">
      <c r="A150" s="23"/>
      <c r="B150" s="23"/>
      <c r="C150" s="23" t="s">
        <v>395</v>
      </c>
      <c r="D150"/>
      <c r="E150">
        <f>tlInputCh4Prod1Slot3Active</f>
        <v>0</v>
      </c>
      <c r="F150" s="23" t="s">
        <v>733</v>
      </c>
    </row>
    <row r="151" spans="1:6">
      <c r="A151" s="23"/>
      <c r="B151" s="23" t="s">
        <v>238</v>
      </c>
      <c r="C151" s="23"/>
      <c r="D151"/>
      <c r="E151"/>
      <c r="F151" s="23"/>
    </row>
    <row r="152" spans="1:6">
      <c r="A152" s="23"/>
      <c r="B152" s="23"/>
      <c r="C152" s="23" t="s">
        <v>379</v>
      </c>
      <c r="D152"/>
      <c r="E152">
        <f>tlInputCh4Prod2Slot1Active</f>
        <v>1</v>
      </c>
      <c r="F152" s="23" t="s">
        <v>734</v>
      </c>
    </row>
    <row r="153" spans="1:6">
      <c r="A153" s="23"/>
      <c r="B153" s="23"/>
      <c r="C153" s="23" t="s">
        <v>394</v>
      </c>
      <c r="D153"/>
      <c r="E153">
        <f>tlInputCh4Prod2Slot2Active</f>
        <v>0</v>
      </c>
      <c r="F153" s="23" t="s">
        <v>735</v>
      </c>
    </row>
    <row r="154" spans="1:6">
      <c r="A154" s="23"/>
      <c r="B154" s="23"/>
      <c r="C154" s="23" t="s">
        <v>395</v>
      </c>
      <c r="D154"/>
      <c r="E154">
        <f>tlInputCh4Prod2Slot3Active</f>
        <v>0</v>
      </c>
      <c r="F154" s="23" t="s">
        <v>736</v>
      </c>
    </row>
    <row r="155" spans="1:6">
      <c r="A155" s="23"/>
      <c r="B155" s="23" t="s">
        <v>239</v>
      </c>
      <c r="C155" s="23"/>
      <c r="D155"/>
      <c r="E155"/>
      <c r="F155" s="23"/>
    </row>
    <row r="156" spans="1:6">
      <c r="A156" s="23"/>
      <c r="B156" s="23"/>
      <c r="C156" s="23" t="s">
        <v>379</v>
      </c>
      <c r="D156"/>
      <c r="E156">
        <f>tlInputCh4Prod3Slot1Active</f>
        <v>1</v>
      </c>
      <c r="F156" s="23" t="s">
        <v>737</v>
      </c>
    </row>
    <row r="157" spans="1:6">
      <c r="A157" s="23"/>
      <c r="B157" s="23"/>
      <c r="C157" s="23" t="s">
        <v>394</v>
      </c>
      <c r="D157"/>
      <c r="E157">
        <f>tlInputCh4Prod3Slot2Active</f>
        <v>0</v>
      </c>
      <c r="F157" s="23" t="s">
        <v>738</v>
      </c>
    </row>
    <row r="158" spans="1:6">
      <c r="A158" s="23"/>
      <c r="B158" s="23"/>
      <c r="C158" s="23" t="s">
        <v>395</v>
      </c>
      <c r="D158"/>
      <c r="E158">
        <f>tlInputCh4Prod3Slot3Active</f>
        <v>0</v>
      </c>
      <c r="F158" s="23" t="s">
        <v>739</v>
      </c>
    </row>
    <row r="159" spans="1:6">
      <c r="A159" s="23"/>
      <c r="B159" s="23" t="s">
        <v>240</v>
      </c>
      <c r="C159" s="23"/>
      <c r="D159" s="23"/>
      <c r="E159" s="23"/>
      <c r="F159" s="23"/>
    </row>
    <row r="160" spans="1:6">
      <c r="A160" s="23"/>
      <c r="B160" s="23"/>
      <c r="C160" s="23" t="s">
        <v>379</v>
      </c>
      <c r="D160" s="23"/>
      <c r="E160">
        <f>tlInputCh4Prod4Slot1Active</f>
        <v>1</v>
      </c>
      <c r="F160" s="23" t="s">
        <v>740</v>
      </c>
    </row>
    <row r="161" spans="1:6">
      <c r="A161" s="23"/>
      <c r="B161" s="23"/>
      <c r="C161" s="23" t="s">
        <v>394</v>
      </c>
      <c r="D161" s="23"/>
      <c r="E161">
        <f>tlInputCh4Prod4Slot2Active</f>
        <v>0</v>
      </c>
      <c r="F161" s="23" t="s">
        <v>741</v>
      </c>
    </row>
    <row r="162" spans="1:6">
      <c r="A162" s="23"/>
      <c r="B162" s="23"/>
      <c r="C162" s="23" t="s">
        <v>395</v>
      </c>
      <c r="D162" s="23"/>
      <c r="E162">
        <f>tlInputCh4Prod4Slot3Active</f>
        <v>0</v>
      </c>
      <c r="F162" s="23" t="s">
        <v>742</v>
      </c>
    </row>
    <row r="163" spans="1:6" s="610" customFormat="1">
      <c r="A163" s="614"/>
      <c r="B163" s="614"/>
      <c r="C163" s="614"/>
      <c r="D163" s="614"/>
      <c r="E163" s="609"/>
      <c r="F163" s="614"/>
    </row>
    <row r="164" spans="1:6" s="643" customFormat="1">
      <c r="A164" s="644" t="s">
        <v>10594</v>
      </c>
      <c r="B164" s="644"/>
      <c r="C164" s="644"/>
      <c r="D164" s="644"/>
      <c r="E164" s="644"/>
      <c r="F164" s="279"/>
    </row>
    <row r="165" spans="1:6" s="610" customFormat="1">
      <c r="A165" s="633" t="s">
        <v>244</v>
      </c>
      <c r="B165" s="614"/>
      <c r="C165" s="614"/>
      <c r="D165" s="614"/>
      <c r="E165" s="614"/>
      <c r="F165" s="611"/>
    </row>
    <row r="166" spans="1:6" s="610" customFormat="1">
      <c r="A166" s="614"/>
      <c r="B166" s="614" t="s">
        <v>260</v>
      </c>
      <c r="C166" s="614"/>
      <c r="D166" s="614"/>
      <c r="E166" s="609"/>
      <c r="F166" s="614"/>
    </row>
    <row r="167" spans="1:6" s="610" customFormat="1">
      <c r="A167" s="614"/>
      <c r="B167" s="614"/>
      <c r="C167" s="614" t="s">
        <v>6615</v>
      </c>
      <c r="D167" s="614"/>
      <c r="E167" s="614">
        <f>tlInputCh1R1Report1</f>
        <v>0</v>
      </c>
      <c r="F167" s="645" t="s">
        <v>9014</v>
      </c>
    </row>
    <row r="168" spans="1:6" s="610" customFormat="1">
      <c r="A168" s="614"/>
      <c r="B168" s="614"/>
      <c r="C168" s="614" t="s">
        <v>6616</v>
      </c>
      <c r="D168" s="614"/>
      <c r="E168" s="614">
        <f>tlInputCh1R1Report2</f>
        <v>0</v>
      </c>
      <c r="F168" s="645" t="s">
        <v>9015</v>
      </c>
    </row>
    <row r="169" spans="1:6" s="610" customFormat="1">
      <c r="A169" s="614"/>
      <c r="B169" s="614" t="s">
        <v>261</v>
      </c>
      <c r="C169" s="614"/>
      <c r="D169" s="614"/>
      <c r="F169" s="90"/>
    </row>
    <row r="170" spans="1:6" s="610" customFormat="1">
      <c r="A170" s="614"/>
      <c r="B170" s="614"/>
      <c r="C170" s="614" t="s">
        <v>6615</v>
      </c>
      <c r="D170" s="614"/>
      <c r="E170" s="614">
        <f>tlInputCh1R2Report3</f>
        <v>0</v>
      </c>
      <c r="F170" s="645" t="s">
        <v>9016</v>
      </c>
    </row>
    <row r="171" spans="1:6" s="610" customFormat="1">
      <c r="A171" s="614"/>
      <c r="B171" s="614"/>
      <c r="C171" s="614" t="s">
        <v>6616</v>
      </c>
      <c r="D171" s="614"/>
      <c r="E171" s="614">
        <f>tlInputCh1R2Report4</f>
        <v>0</v>
      </c>
      <c r="F171" s="645" t="s">
        <v>9017</v>
      </c>
    </row>
    <row r="172" spans="1:6" s="610" customFormat="1">
      <c r="A172" s="614"/>
      <c r="B172" s="614" t="s">
        <v>262</v>
      </c>
      <c r="C172" s="614"/>
      <c r="D172" s="614"/>
      <c r="F172" s="90"/>
    </row>
    <row r="173" spans="1:6" s="610" customFormat="1">
      <c r="A173" s="614"/>
      <c r="B173" s="614"/>
      <c r="C173" s="614" t="s">
        <v>6615</v>
      </c>
      <c r="D173" s="614"/>
      <c r="E173" s="614">
        <f>tlInputCh1R3Report5</f>
        <v>0</v>
      </c>
      <c r="F173" s="645" t="s">
        <v>9018</v>
      </c>
    </row>
    <row r="174" spans="1:6" s="610" customFormat="1">
      <c r="A174" s="614"/>
      <c r="B174" s="614"/>
      <c r="C174" s="614" t="s">
        <v>6616</v>
      </c>
      <c r="D174" s="614"/>
      <c r="E174" s="614">
        <f>tlInputCh1R3Report6</f>
        <v>0</v>
      </c>
      <c r="F174" s="645" t="s">
        <v>9019</v>
      </c>
    </row>
    <row r="175" spans="1:6" s="610" customFormat="1">
      <c r="A175" s="614"/>
      <c r="B175" s="614"/>
      <c r="C175" s="614"/>
      <c r="D175" s="614"/>
      <c r="E175" s="614"/>
      <c r="F175" s="645"/>
    </row>
    <row r="176" spans="1:6" s="610" customFormat="1">
      <c r="A176" s="633" t="s">
        <v>245</v>
      </c>
      <c r="B176" s="614"/>
      <c r="C176" s="614"/>
      <c r="D176" s="614"/>
      <c r="E176" s="614"/>
      <c r="F176" s="268"/>
    </row>
    <row r="177" spans="1:6" s="610" customFormat="1">
      <c r="A177" s="614"/>
      <c r="B177" s="614" t="s">
        <v>260</v>
      </c>
      <c r="C177" s="614"/>
      <c r="D177" s="614"/>
      <c r="E177" s="609"/>
      <c r="F177" s="645"/>
    </row>
    <row r="178" spans="1:6" s="610" customFormat="1">
      <c r="A178" s="614"/>
      <c r="B178" s="614"/>
      <c r="C178" s="614" t="s">
        <v>6615</v>
      </c>
      <c r="D178" s="614"/>
      <c r="E178" s="614">
        <f>tlInputCh2R1Report1</f>
        <v>0</v>
      </c>
      <c r="F178" s="645" t="s">
        <v>9020</v>
      </c>
    </row>
    <row r="179" spans="1:6" s="610" customFormat="1">
      <c r="A179" s="614"/>
      <c r="B179" s="614"/>
      <c r="C179" s="614" t="s">
        <v>6616</v>
      </c>
      <c r="D179" s="614"/>
      <c r="E179" s="614">
        <f>tlInputCh2R1Report2</f>
        <v>0</v>
      </c>
      <c r="F179" s="645" t="s">
        <v>9021</v>
      </c>
    </row>
    <row r="180" spans="1:6" s="610" customFormat="1">
      <c r="A180" s="614"/>
      <c r="B180" s="614" t="s">
        <v>261</v>
      </c>
      <c r="C180" s="614"/>
      <c r="D180" s="614"/>
      <c r="F180" s="90"/>
    </row>
    <row r="181" spans="1:6" s="610" customFormat="1">
      <c r="A181" s="614"/>
      <c r="B181" s="614"/>
      <c r="C181" s="614" t="s">
        <v>6615</v>
      </c>
      <c r="D181" s="614"/>
      <c r="E181" s="614">
        <f>tlInputCh2R2Report3</f>
        <v>0</v>
      </c>
      <c r="F181" s="645" t="s">
        <v>9022</v>
      </c>
    </row>
    <row r="182" spans="1:6" s="610" customFormat="1">
      <c r="A182" s="614"/>
      <c r="B182" s="614"/>
      <c r="C182" s="614" t="s">
        <v>6616</v>
      </c>
      <c r="D182" s="614"/>
      <c r="E182" s="614">
        <f>tlInputCh2R2Report4</f>
        <v>0</v>
      </c>
      <c r="F182" s="645" t="s">
        <v>9023</v>
      </c>
    </row>
    <row r="183" spans="1:6" s="610" customFormat="1">
      <c r="A183" s="614"/>
      <c r="B183" s="614" t="s">
        <v>262</v>
      </c>
      <c r="C183" s="614"/>
      <c r="D183" s="614"/>
      <c r="F183" s="90"/>
    </row>
    <row r="184" spans="1:6" s="610" customFormat="1">
      <c r="A184" s="614"/>
      <c r="B184" s="614"/>
      <c r="C184" s="614" t="s">
        <v>6615</v>
      </c>
      <c r="D184" s="614"/>
      <c r="E184" s="614">
        <f>tlInputCh2R3Report5</f>
        <v>0</v>
      </c>
      <c r="F184" s="645" t="s">
        <v>9024</v>
      </c>
    </row>
    <row r="185" spans="1:6" s="610" customFormat="1">
      <c r="A185" s="614"/>
      <c r="B185" s="614"/>
      <c r="C185" s="614" t="s">
        <v>6616</v>
      </c>
      <c r="D185" s="614"/>
      <c r="E185" s="614">
        <f>tlInputCh2R3Report6</f>
        <v>0</v>
      </c>
      <c r="F185" s="645" t="s">
        <v>9025</v>
      </c>
    </row>
    <row r="186" spans="1:6" s="610" customFormat="1">
      <c r="A186" s="614"/>
      <c r="B186" s="614"/>
      <c r="C186" s="614"/>
      <c r="D186" s="614"/>
      <c r="E186" s="614"/>
      <c r="F186" s="645"/>
    </row>
    <row r="187" spans="1:6" s="610" customFormat="1">
      <c r="A187" s="633" t="s">
        <v>5199</v>
      </c>
      <c r="B187" s="614"/>
      <c r="C187" s="614"/>
      <c r="D187" s="614"/>
      <c r="E187" s="614"/>
      <c r="F187" s="268"/>
    </row>
    <row r="188" spans="1:6" s="610" customFormat="1">
      <c r="A188" s="614"/>
      <c r="B188" s="614" t="s">
        <v>260</v>
      </c>
      <c r="C188" s="614"/>
      <c r="D188" s="614"/>
      <c r="E188" s="609"/>
      <c r="F188" s="645"/>
    </row>
    <row r="189" spans="1:6" s="610" customFormat="1">
      <c r="A189" s="614"/>
      <c r="B189" s="614"/>
      <c r="C189" s="614" t="s">
        <v>6615</v>
      </c>
      <c r="D189" s="614"/>
      <c r="E189" s="614">
        <f>tlInputCh3R1Report1</f>
        <v>0</v>
      </c>
      <c r="F189" s="645" t="s">
        <v>9026</v>
      </c>
    </row>
    <row r="190" spans="1:6" s="610" customFormat="1">
      <c r="A190" s="614"/>
      <c r="B190" s="614"/>
      <c r="C190" s="614" t="s">
        <v>6616</v>
      </c>
      <c r="D190" s="614"/>
      <c r="E190" s="614">
        <f>tlInputCh3R1Report2</f>
        <v>0</v>
      </c>
      <c r="F190" s="645" t="s">
        <v>9027</v>
      </c>
    </row>
    <row r="191" spans="1:6" s="610" customFormat="1">
      <c r="A191" s="614"/>
      <c r="B191" s="614" t="s">
        <v>261</v>
      </c>
      <c r="C191" s="614"/>
      <c r="D191" s="614"/>
      <c r="F191" s="90"/>
    </row>
    <row r="192" spans="1:6" s="610" customFormat="1">
      <c r="A192" s="614"/>
      <c r="B192" s="614"/>
      <c r="C192" s="614" t="s">
        <v>6615</v>
      </c>
      <c r="D192" s="614"/>
      <c r="E192" s="614">
        <f>tlInputCh3R2Report3</f>
        <v>0</v>
      </c>
      <c r="F192" s="645" t="s">
        <v>9028</v>
      </c>
    </row>
    <row r="193" spans="1:6" s="610" customFormat="1">
      <c r="A193" s="614"/>
      <c r="B193" s="614"/>
      <c r="C193" s="614" t="s">
        <v>6616</v>
      </c>
      <c r="D193" s="614"/>
      <c r="E193" s="614">
        <f>tlInputCh3R2Report4</f>
        <v>0</v>
      </c>
      <c r="F193" s="645" t="s">
        <v>9029</v>
      </c>
    </row>
    <row r="194" spans="1:6" s="610" customFormat="1">
      <c r="A194" s="614"/>
      <c r="B194" s="614" t="s">
        <v>262</v>
      </c>
      <c r="C194" s="614"/>
      <c r="D194" s="614"/>
      <c r="F194" s="90"/>
    </row>
    <row r="195" spans="1:6" s="610" customFormat="1">
      <c r="A195" s="614"/>
      <c r="B195" s="614"/>
      <c r="C195" s="614" t="s">
        <v>6615</v>
      </c>
      <c r="D195" s="614"/>
      <c r="E195" s="614">
        <f>tlInputCh3R3Report5</f>
        <v>0</v>
      </c>
      <c r="F195" s="645" t="s">
        <v>9030</v>
      </c>
    </row>
    <row r="196" spans="1:6" s="610" customFormat="1">
      <c r="A196" s="614"/>
      <c r="B196" s="614"/>
      <c r="C196" s="614" t="s">
        <v>6616</v>
      </c>
      <c r="D196" s="614"/>
      <c r="E196" s="614">
        <f>tlInputCh3R3Report6</f>
        <v>0</v>
      </c>
      <c r="F196" s="645" t="s">
        <v>9031</v>
      </c>
    </row>
    <row r="197" spans="1:6" s="610" customFormat="1">
      <c r="A197" s="614"/>
      <c r="B197" s="614"/>
      <c r="C197" s="614"/>
      <c r="D197" s="614"/>
      <c r="E197" s="614"/>
      <c r="F197" s="645"/>
    </row>
    <row r="198" spans="1:6" s="610" customFormat="1">
      <c r="A198" s="633" t="s">
        <v>246</v>
      </c>
      <c r="B198" s="614"/>
      <c r="C198" s="614"/>
      <c r="D198" s="614"/>
      <c r="E198" s="614"/>
      <c r="F198" s="268"/>
    </row>
    <row r="199" spans="1:6" s="610" customFormat="1">
      <c r="A199" s="614"/>
      <c r="B199" s="614" t="s">
        <v>260</v>
      </c>
      <c r="C199" s="614"/>
      <c r="D199" s="614"/>
      <c r="E199" s="609"/>
      <c r="F199" s="645"/>
    </row>
    <row r="200" spans="1:6" s="610" customFormat="1">
      <c r="A200" s="614"/>
      <c r="B200" s="614"/>
      <c r="C200" s="614" t="s">
        <v>6615</v>
      </c>
      <c r="D200" s="614"/>
      <c r="E200" s="614">
        <f>tlInputCh4R1Report1</f>
        <v>0</v>
      </c>
      <c r="F200" s="645" t="s">
        <v>9032</v>
      </c>
    </row>
    <row r="201" spans="1:6" s="610" customFormat="1">
      <c r="A201" s="614"/>
      <c r="B201" s="614"/>
      <c r="C201" s="614" t="s">
        <v>6616</v>
      </c>
      <c r="D201" s="614"/>
      <c r="E201" s="614">
        <f>tlInputCh4R1Report2</f>
        <v>0</v>
      </c>
      <c r="F201" s="645" t="s">
        <v>9033</v>
      </c>
    </row>
    <row r="202" spans="1:6" s="610" customFormat="1">
      <c r="A202" s="614"/>
      <c r="B202" s="614" t="s">
        <v>261</v>
      </c>
      <c r="C202" s="614"/>
      <c r="D202" s="614"/>
      <c r="F202" s="90"/>
    </row>
    <row r="203" spans="1:6" s="610" customFormat="1">
      <c r="A203" s="614"/>
      <c r="B203" s="614"/>
      <c r="C203" s="614" t="s">
        <v>6615</v>
      </c>
      <c r="D203" s="614"/>
      <c r="E203" s="614">
        <f>tlInputCh4R2Report3</f>
        <v>0</v>
      </c>
      <c r="F203" s="645" t="s">
        <v>9034</v>
      </c>
    </row>
    <row r="204" spans="1:6" s="610" customFormat="1">
      <c r="A204" s="614"/>
      <c r="B204" s="614"/>
      <c r="C204" s="614" t="s">
        <v>6616</v>
      </c>
      <c r="D204" s="614"/>
      <c r="E204" s="614">
        <f>tlInputCh4R2Report4</f>
        <v>0</v>
      </c>
      <c r="F204" s="645" t="s">
        <v>9035</v>
      </c>
    </row>
    <row r="205" spans="1:6" s="610" customFormat="1">
      <c r="A205" s="614"/>
      <c r="B205" s="614" t="s">
        <v>262</v>
      </c>
      <c r="C205" s="614"/>
      <c r="D205" s="614"/>
      <c r="F205" s="90"/>
    </row>
    <row r="206" spans="1:6" s="610" customFormat="1">
      <c r="A206" s="614"/>
      <c r="B206" s="614"/>
      <c r="C206" s="614" t="s">
        <v>6615</v>
      </c>
      <c r="D206" s="614"/>
      <c r="E206" s="614">
        <f>tlInputCh4R3Report5</f>
        <v>0</v>
      </c>
      <c r="F206" s="645" t="s">
        <v>9036</v>
      </c>
    </row>
    <row r="207" spans="1:6" s="610" customFormat="1">
      <c r="A207" s="614"/>
      <c r="B207" s="614"/>
      <c r="C207" s="614" t="s">
        <v>6616</v>
      </c>
      <c r="D207" s="614"/>
      <c r="E207" s="614">
        <f>tlInputCh4R3Report6</f>
        <v>0</v>
      </c>
      <c r="F207" s="645" t="s">
        <v>9037</v>
      </c>
    </row>
    <row r="208" spans="1:6">
      <c r="A208" s="23"/>
      <c r="B208" s="23"/>
      <c r="C208" s="23"/>
      <c r="D208" s="23"/>
      <c r="E208" s="23"/>
      <c r="F208" s="7"/>
    </row>
    <row r="209" spans="1:6" s="278" customFormat="1">
      <c r="A209" s="280" t="s">
        <v>581</v>
      </c>
      <c r="B209" s="280"/>
      <c r="C209" s="280"/>
      <c r="D209" s="280"/>
      <c r="E209" s="280"/>
      <c r="F209" s="279"/>
    </row>
    <row r="210" spans="1:6">
      <c r="A210" s="633"/>
      <c r="B210" s="23"/>
      <c r="C210" s="23"/>
      <c r="D210" s="23"/>
      <c r="E210" s="23"/>
      <c r="F210" s="7"/>
    </row>
    <row r="211" spans="1:6">
      <c r="A211" s="633" t="s">
        <v>244</v>
      </c>
      <c r="B211" s="23"/>
      <c r="C211" s="23"/>
      <c r="D211" s="23"/>
      <c r="E211" s="23"/>
      <c r="F211" s="7"/>
    </row>
    <row r="212" spans="1:6">
      <c r="A212" s="633"/>
      <c r="B212" s="23" t="s">
        <v>12868</v>
      </c>
      <c r="C212" s="23"/>
      <c r="D212" s="23"/>
      <c r="E212" s="23"/>
      <c r="F212" s="7"/>
    </row>
    <row r="213" spans="1:6">
      <c r="A213" s="633"/>
      <c r="B213" s="23"/>
      <c r="C213" s="23" t="s">
        <v>379</v>
      </c>
      <c r="D213"/>
      <c r="E213" s="403" t="str">
        <f>tlinputCh1Prod1Slot1Pack</f>
        <v>24 x 33cl Can</v>
      </c>
      <c r="F213" s="23" t="s">
        <v>3232</v>
      </c>
    </row>
    <row r="214" spans="1:6">
      <c r="A214" s="633"/>
      <c r="B214" s="23"/>
      <c r="C214" s="23" t="s">
        <v>394</v>
      </c>
      <c r="D214"/>
      <c r="E214" s="403" t="str">
        <f>tlinputCh1Prod1Slot2Pack</f>
        <v>Select Pack</v>
      </c>
      <c r="F214" s="23" t="s">
        <v>3233</v>
      </c>
    </row>
    <row r="215" spans="1:6">
      <c r="A215" s="633"/>
      <c r="B215" s="23"/>
      <c r="C215" s="23" t="s">
        <v>395</v>
      </c>
      <c r="D215"/>
      <c r="E215" s="403" t="str">
        <f>tlinputCh1Prod1Slot3Pack</f>
        <v>Select Pack</v>
      </c>
      <c r="F215" s="23" t="s">
        <v>3234</v>
      </c>
    </row>
    <row r="216" spans="1:6">
      <c r="A216" s="633"/>
      <c r="B216" s="23" t="s">
        <v>238</v>
      </c>
      <c r="C216" s="23"/>
      <c r="D216"/>
      <c r="E216" s="403"/>
      <c r="F216" s="23"/>
    </row>
    <row r="217" spans="1:6">
      <c r="A217" s="633"/>
      <c r="B217" s="23"/>
      <c r="C217" s="23" t="s">
        <v>379</v>
      </c>
      <c r="D217"/>
      <c r="E217" s="403" t="str">
        <f>tlinputCh1Prod2Slot1Pack</f>
        <v>33cl Can</v>
      </c>
      <c r="F217" s="23" t="s">
        <v>3235</v>
      </c>
    </row>
    <row r="218" spans="1:6">
      <c r="A218" s="633"/>
      <c r="B218" s="23"/>
      <c r="C218" s="23" t="s">
        <v>394</v>
      </c>
      <c r="D218"/>
      <c r="E218" s="403" t="str">
        <f>tlinputCh1Prod2Slot2Pack</f>
        <v>6 x 33cl Can</v>
      </c>
      <c r="F218" s="23" t="s">
        <v>3236</v>
      </c>
    </row>
    <row r="219" spans="1:6">
      <c r="A219" s="633"/>
      <c r="B219" s="23"/>
      <c r="C219" s="23" t="s">
        <v>395</v>
      </c>
      <c r="D219"/>
      <c r="E219" s="403" t="str">
        <f>tlinputCh1Prod2Slot3Pack</f>
        <v>Select Pack</v>
      </c>
      <c r="F219" s="23" t="s">
        <v>3237</v>
      </c>
    </row>
    <row r="220" spans="1:6">
      <c r="A220" s="633"/>
      <c r="B220" s="23" t="s">
        <v>239</v>
      </c>
      <c r="C220" s="23"/>
      <c r="D220"/>
      <c r="E220" s="403"/>
      <c r="F220" s="23"/>
    </row>
    <row r="221" spans="1:6">
      <c r="A221" s="633"/>
      <c r="B221" s="23"/>
      <c r="C221" s="23" t="s">
        <v>379</v>
      </c>
      <c r="D221" s="23"/>
      <c r="E221" s="403" t="str">
        <f>tlinputCh1Prod3Slot1Pack</f>
        <v>25cl Can</v>
      </c>
      <c r="F221" s="23" t="s">
        <v>3238</v>
      </c>
    </row>
    <row r="222" spans="1:6">
      <c r="A222" s="633"/>
      <c r="B222" s="23"/>
      <c r="C222" s="23" t="s">
        <v>394</v>
      </c>
      <c r="D222" s="23"/>
      <c r="E222" s="403" t="str">
        <f>tlinputCh1Prod3Slot2Pack</f>
        <v>6 x 33cl Can</v>
      </c>
      <c r="F222" s="23" t="s">
        <v>3239</v>
      </c>
    </row>
    <row r="223" spans="1:6">
      <c r="A223" s="633"/>
      <c r="B223" s="23"/>
      <c r="C223" s="23" t="s">
        <v>395</v>
      </c>
      <c r="D223" s="23"/>
      <c r="E223" s="403" t="str">
        <f>tlinputCh1Prod3Slot3Pack</f>
        <v>Select Pack</v>
      </c>
      <c r="F223" s="23" t="s">
        <v>3240</v>
      </c>
    </row>
    <row r="224" spans="1:6">
      <c r="A224" s="633"/>
      <c r="B224" s="23" t="s">
        <v>240</v>
      </c>
      <c r="C224" s="23"/>
      <c r="D224" s="23"/>
      <c r="E224" s="403"/>
      <c r="F224" s="23"/>
    </row>
    <row r="225" spans="1:6">
      <c r="A225" s="633"/>
      <c r="B225" s="23"/>
      <c r="C225" s="23" t="s">
        <v>379</v>
      </c>
      <c r="D225" s="23"/>
      <c r="E225" s="403" t="str">
        <f>tlinputCh1Prod4Slot1Pack</f>
        <v>Select Pack</v>
      </c>
      <c r="F225" s="23" t="s">
        <v>3241</v>
      </c>
    </row>
    <row r="226" spans="1:6">
      <c r="A226" s="633"/>
      <c r="B226" s="23"/>
      <c r="C226" s="23" t="s">
        <v>394</v>
      </c>
      <c r="D226" s="23"/>
      <c r="E226" s="403" t="str">
        <f>tlinputCh1Prod4Slot2Pack</f>
        <v>Select Pack</v>
      </c>
      <c r="F226" s="23" t="s">
        <v>3242</v>
      </c>
    </row>
    <row r="227" spans="1:6">
      <c r="A227" s="633"/>
      <c r="B227" s="23"/>
      <c r="C227" s="23" t="s">
        <v>395</v>
      </c>
      <c r="D227" s="23"/>
      <c r="E227" s="403" t="str">
        <f>tlinputCh1Prod4Slot3Pack</f>
        <v>Select Pack</v>
      </c>
      <c r="F227" s="23" t="s">
        <v>3243</v>
      </c>
    </row>
    <row r="228" spans="1:6">
      <c r="A228" s="633" t="s">
        <v>245</v>
      </c>
      <c r="B228" s="23"/>
      <c r="C228" s="23"/>
      <c r="D228" s="23"/>
      <c r="E228" s="403"/>
      <c r="F228" s="23"/>
    </row>
    <row r="229" spans="1:6">
      <c r="A229" s="633"/>
      <c r="B229" s="23" t="s">
        <v>12868</v>
      </c>
      <c r="C229" s="23"/>
      <c r="D229" s="23"/>
      <c r="E229" s="403"/>
      <c r="F229" s="23"/>
    </row>
    <row r="230" spans="1:6">
      <c r="A230" s="633"/>
      <c r="B230" s="23"/>
      <c r="C230" s="23" t="s">
        <v>379</v>
      </c>
      <c r="D230" s="23"/>
      <c r="E230" s="403" t="str">
        <f>tlinputCh2Prod1Slot1Pack</f>
        <v>10 x 33cl Can</v>
      </c>
      <c r="F230" s="23" t="s">
        <v>3244</v>
      </c>
    </row>
    <row r="231" spans="1:6">
      <c r="A231" s="633"/>
      <c r="B231" s="23"/>
      <c r="C231" s="23" t="s">
        <v>394</v>
      </c>
      <c r="D231" s="23"/>
      <c r="E231" s="403" t="str">
        <f>tlinputCh2Prod1Slot2Pack</f>
        <v>Select Pack</v>
      </c>
      <c r="F231" s="23" t="s">
        <v>3245</v>
      </c>
    </row>
    <row r="232" spans="1:6">
      <c r="A232" s="633"/>
      <c r="B232" s="23"/>
      <c r="C232" s="23" t="s">
        <v>395</v>
      </c>
      <c r="D232" s="23"/>
      <c r="E232" s="403" t="str">
        <f>tlinputCh2Prod1Slot3Pack</f>
        <v>Select Pack</v>
      </c>
      <c r="F232" s="23" t="s">
        <v>3246</v>
      </c>
    </row>
    <row r="233" spans="1:6">
      <c r="A233" s="633"/>
      <c r="B233" s="23" t="s">
        <v>238</v>
      </c>
      <c r="C233" s="23"/>
      <c r="D233" s="23"/>
      <c r="E233" s="403"/>
      <c r="F233" s="23"/>
    </row>
    <row r="234" spans="1:6">
      <c r="A234" s="633"/>
      <c r="B234" s="23"/>
      <c r="C234" s="23" t="s">
        <v>379</v>
      </c>
      <c r="D234" s="23"/>
      <c r="E234" s="403" t="str">
        <f>tlinputCh2Prod2Slot1Pack</f>
        <v>24 x 33cl Can</v>
      </c>
      <c r="F234" s="23" t="s">
        <v>3247</v>
      </c>
    </row>
    <row r="235" spans="1:6">
      <c r="A235" s="633"/>
      <c r="B235" s="23"/>
      <c r="C235" s="23" t="s">
        <v>394</v>
      </c>
      <c r="D235" s="23"/>
      <c r="E235" s="403" t="str">
        <f>tlinputCh2Prod2Slot2Pack</f>
        <v>Select Pack</v>
      </c>
      <c r="F235" s="23" t="s">
        <v>3248</v>
      </c>
    </row>
    <row r="236" spans="1:6">
      <c r="A236" s="633"/>
      <c r="B236" s="23"/>
      <c r="C236" s="23" t="s">
        <v>395</v>
      </c>
      <c r="D236" s="23"/>
      <c r="E236" s="403" t="str">
        <f>tlinputCh2Prod2Slot3Pack</f>
        <v>Select Pack</v>
      </c>
      <c r="F236" s="23" t="s">
        <v>3249</v>
      </c>
    </row>
    <row r="237" spans="1:6">
      <c r="A237" s="633"/>
      <c r="B237" s="23" t="s">
        <v>239</v>
      </c>
      <c r="C237" s="23"/>
      <c r="D237" s="23"/>
      <c r="E237" s="403"/>
      <c r="F237" s="23"/>
    </row>
    <row r="238" spans="1:6">
      <c r="A238" s="633"/>
      <c r="B238" s="23"/>
      <c r="C238" s="23" t="s">
        <v>379</v>
      </c>
      <c r="D238" s="23"/>
      <c r="E238" s="403" t="str">
        <f>tlinputCh2Prod3Slot1Pack</f>
        <v>25cl Can</v>
      </c>
      <c r="F238" s="23" t="s">
        <v>3250</v>
      </c>
    </row>
    <row r="239" spans="1:6">
      <c r="A239" s="633"/>
      <c r="B239" s="23"/>
      <c r="C239" s="23" t="s">
        <v>394</v>
      </c>
      <c r="D239" s="23"/>
      <c r="E239" s="403" t="str">
        <f>tlinputCh2Prod3Slot2Pack</f>
        <v>Select Pack</v>
      </c>
      <c r="F239" s="23" t="s">
        <v>3251</v>
      </c>
    </row>
    <row r="240" spans="1:6">
      <c r="A240" s="633"/>
      <c r="B240" s="23"/>
      <c r="C240" s="23" t="s">
        <v>395</v>
      </c>
      <c r="D240" s="23"/>
      <c r="E240" s="403" t="str">
        <f>tlinputCh2Prod3Slot3Pack</f>
        <v>Select Pack</v>
      </c>
      <c r="F240" s="23" t="s">
        <v>3252</v>
      </c>
    </row>
    <row r="241" spans="1:6">
      <c r="A241" s="633"/>
      <c r="B241" s="23" t="s">
        <v>240</v>
      </c>
      <c r="C241" s="23"/>
      <c r="D241" s="23"/>
      <c r="E241" s="403"/>
      <c r="F241" s="23"/>
    </row>
    <row r="242" spans="1:6">
      <c r="A242" s="633"/>
      <c r="B242" s="23"/>
      <c r="C242" s="23" t="s">
        <v>379</v>
      </c>
      <c r="D242" s="23"/>
      <c r="E242" s="403" t="str">
        <f>tlinputCh2Prod4Slot1Pack</f>
        <v>Select Pack</v>
      </c>
      <c r="F242" s="23" t="s">
        <v>3253</v>
      </c>
    </row>
    <row r="243" spans="1:6">
      <c r="A243" s="633"/>
      <c r="B243" s="23"/>
      <c r="C243" s="23" t="s">
        <v>394</v>
      </c>
      <c r="D243" s="23"/>
      <c r="E243" s="403" t="str">
        <f>tlinputCh2Prod4Slot2Pack</f>
        <v>Select Pack</v>
      </c>
      <c r="F243" s="23" t="s">
        <v>3254</v>
      </c>
    </row>
    <row r="244" spans="1:6">
      <c r="A244" s="633"/>
      <c r="B244" s="23"/>
      <c r="C244" s="23" t="s">
        <v>395</v>
      </c>
      <c r="D244" s="23"/>
      <c r="E244" s="403" t="str">
        <f>tlinputCh2Prod4Slot3Pack</f>
        <v>Select Pack</v>
      </c>
      <c r="F244" s="23" t="s">
        <v>3255</v>
      </c>
    </row>
    <row r="245" spans="1:6">
      <c r="A245" s="633" t="s">
        <v>5199</v>
      </c>
      <c r="B245" s="23"/>
      <c r="C245" s="23"/>
      <c r="D245" s="23"/>
      <c r="E245" s="403"/>
      <c r="F245" s="23"/>
    </row>
    <row r="246" spans="1:6">
      <c r="A246" s="633"/>
      <c r="B246" s="23" t="s">
        <v>12868</v>
      </c>
      <c r="C246" s="23"/>
      <c r="D246" s="23"/>
      <c r="E246" s="403"/>
      <c r="F246" s="23"/>
    </row>
    <row r="247" spans="1:6">
      <c r="A247" s="633"/>
      <c r="B247" s="23"/>
      <c r="C247" s="23" t="s">
        <v>379</v>
      </c>
      <c r="D247" s="23"/>
      <c r="E247" s="403" t="str">
        <f>tlinputCh3Prod1Slot1Pack</f>
        <v>24 x 33cl Can</v>
      </c>
      <c r="F247" s="23" t="s">
        <v>3256</v>
      </c>
    </row>
    <row r="248" spans="1:6">
      <c r="A248" s="633"/>
      <c r="B248" s="23"/>
      <c r="C248" s="23" t="s">
        <v>394</v>
      </c>
      <c r="D248" s="23"/>
      <c r="E248" s="403" t="str">
        <f>tlinputCh3Prod1Slot2Pack</f>
        <v>Select Pack</v>
      </c>
      <c r="F248" s="23" t="s">
        <v>3257</v>
      </c>
    </row>
    <row r="249" spans="1:6">
      <c r="A249" s="633"/>
      <c r="B249" s="23"/>
      <c r="C249" s="23" t="s">
        <v>395</v>
      </c>
      <c r="D249" s="23"/>
      <c r="E249" s="403" t="str">
        <f>tlinputCh3Prod1Slot3Pack</f>
        <v>Select Pack</v>
      </c>
      <c r="F249" s="23" t="s">
        <v>3258</v>
      </c>
    </row>
    <row r="250" spans="1:6">
      <c r="A250" s="633"/>
      <c r="B250" s="23" t="s">
        <v>238</v>
      </c>
      <c r="C250" s="23"/>
      <c r="D250" s="23"/>
      <c r="E250" s="403"/>
      <c r="F250" s="23"/>
    </row>
    <row r="251" spans="1:6">
      <c r="A251" s="633"/>
      <c r="B251" s="23"/>
      <c r="C251" s="23" t="s">
        <v>379</v>
      </c>
      <c r="D251" s="23"/>
      <c r="E251" s="403" t="str">
        <f>tlinputCh3Prod2Slot1Pack</f>
        <v>33cl Can</v>
      </c>
      <c r="F251" s="23" t="s">
        <v>3259</v>
      </c>
    </row>
    <row r="252" spans="1:6">
      <c r="A252" s="633"/>
      <c r="B252" s="23"/>
      <c r="C252" s="23" t="s">
        <v>394</v>
      </c>
      <c r="D252" s="23"/>
      <c r="E252" s="403" t="str">
        <f>tlinputCh3Prod2Slot2Pack</f>
        <v>6 x 33cl Can</v>
      </c>
      <c r="F252" s="23" t="s">
        <v>3260</v>
      </c>
    </row>
    <row r="253" spans="1:6">
      <c r="A253" s="633"/>
      <c r="B253" s="23"/>
      <c r="C253" s="23" t="s">
        <v>395</v>
      </c>
      <c r="D253" s="23"/>
      <c r="E253" s="403" t="str">
        <f>tlinputCh3Prod2Slot3Pack</f>
        <v>Select Pack</v>
      </c>
      <c r="F253" s="23" t="s">
        <v>3261</v>
      </c>
    </row>
    <row r="254" spans="1:6">
      <c r="A254" s="633"/>
      <c r="B254" s="23" t="s">
        <v>239</v>
      </c>
      <c r="C254" s="23"/>
      <c r="D254" s="23"/>
      <c r="E254" s="403"/>
      <c r="F254" s="23"/>
    </row>
    <row r="255" spans="1:6">
      <c r="A255" s="633"/>
      <c r="B255" s="23"/>
      <c r="C255" s="23" t="s">
        <v>379</v>
      </c>
      <c r="D255" s="23"/>
      <c r="E255" s="403" t="str">
        <f>tlinputCh3Prod3Slot1Pack</f>
        <v>33cl Bottle</v>
      </c>
      <c r="F255" s="23" t="s">
        <v>3262</v>
      </c>
    </row>
    <row r="256" spans="1:6">
      <c r="A256" s="633"/>
      <c r="B256" s="23"/>
      <c r="C256" s="23" t="s">
        <v>394</v>
      </c>
      <c r="D256" s="23"/>
      <c r="E256" s="403" t="str">
        <f>tlinputCh3Prod3Slot2Pack</f>
        <v>Select Pack</v>
      </c>
      <c r="F256" s="23" t="s">
        <v>3263</v>
      </c>
    </row>
    <row r="257" spans="1:6">
      <c r="A257" s="633"/>
      <c r="B257" s="23"/>
      <c r="C257" s="23" t="s">
        <v>395</v>
      </c>
      <c r="D257" s="23"/>
      <c r="E257" s="403" t="str">
        <f>tlinputCh3Prod3Slot3Pack</f>
        <v>Select Pack</v>
      </c>
      <c r="F257" s="23" t="s">
        <v>3264</v>
      </c>
    </row>
    <row r="258" spans="1:6">
      <c r="A258" s="633"/>
      <c r="B258" s="23" t="s">
        <v>240</v>
      </c>
      <c r="C258" s="23"/>
      <c r="D258" s="23"/>
      <c r="E258" s="403"/>
      <c r="F258" s="23"/>
    </row>
    <row r="259" spans="1:6">
      <c r="A259" s="633"/>
      <c r="B259" s="23"/>
      <c r="C259" s="23" t="s">
        <v>379</v>
      </c>
      <c r="D259" s="23"/>
      <c r="E259" s="403" t="str">
        <f>tlinputCh3Prod4Slot1Pack</f>
        <v>Select Pack</v>
      </c>
      <c r="F259" s="23" t="s">
        <v>3265</v>
      </c>
    </row>
    <row r="260" spans="1:6">
      <c r="A260" s="633"/>
      <c r="B260" s="23"/>
      <c r="C260" s="23" t="s">
        <v>394</v>
      </c>
      <c r="D260" s="23"/>
      <c r="E260" s="403" t="str">
        <f>tlinputCh3Prod4Slot2Pack</f>
        <v>Select Pack</v>
      </c>
      <c r="F260" s="23" t="s">
        <v>3266</v>
      </c>
    </row>
    <row r="261" spans="1:6">
      <c r="A261" s="633"/>
      <c r="B261" s="23"/>
      <c r="C261" s="23" t="s">
        <v>395</v>
      </c>
      <c r="D261" s="23"/>
      <c r="E261" s="403" t="str">
        <f>tlinputCh3Prod4Slot3Pack</f>
        <v>Select Pack</v>
      </c>
      <c r="F261" s="23" t="s">
        <v>3267</v>
      </c>
    </row>
    <row r="262" spans="1:6">
      <c r="A262" s="633" t="s">
        <v>246</v>
      </c>
      <c r="B262" s="23"/>
      <c r="C262" s="23"/>
      <c r="D262" s="23"/>
      <c r="E262" s="403"/>
      <c r="F262" s="23"/>
    </row>
    <row r="263" spans="1:6">
      <c r="A263" s="633"/>
      <c r="B263" s="23" t="s">
        <v>12868</v>
      </c>
      <c r="C263" s="23"/>
      <c r="D263" s="23"/>
      <c r="E263" s="403"/>
      <c r="F263" s="23"/>
    </row>
    <row r="264" spans="1:6">
      <c r="A264" s="633"/>
      <c r="B264" s="23"/>
      <c r="C264" s="23" t="s">
        <v>379</v>
      </c>
      <c r="D264" s="23"/>
      <c r="E264" s="403" t="str">
        <f>tlinputCh4Prod1Slot1Pack</f>
        <v>25Ltr Keg</v>
      </c>
      <c r="F264" s="23" t="s">
        <v>3268</v>
      </c>
    </row>
    <row r="265" spans="1:6">
      <c r="A265" s="633"/>
      <c r="B265" s="23"/>
      <c r="C265" s="23" t="s">
        <v>394</v>
      </c>
      <c r="D265" s="23"/>
      <c r="E265" s="403" t="str">
        <f>tlinputCh4Prod1Slot2Pack</f>
        <v>Select Pack</v>
      </c>
      <c r="F265" s="23" t="s">
        <v>3269</v>
      </c>
    </row>
    <row r="266" spans="1:6">
      <c r="A266" s="633"/>
      <c r="B266" s="23"/>
      <c r="C266" s="23" t="s">
        <v>395</v>
      </c>
      <c r="D266" s="23"/>
      <c r="E266" s="403" t="str">
        <f>tlinputCh4Prod1Slot3Pack</f>
        <v>Select Pack</v>
      </c>
      <c r="F266" s="23" t="s">
        <v>3270</v>
      </c>
    </row>
    <row r="267" spans="1:6">
      <c r="A267" s="633"/>
      <c r="B267" s="23" t="s">
        <v>238</v>
      </c>
      <c r="C267" s="23"/>
      <c r="D267" s="23"/>
      <c r="E267" s="403"/>
      <c r="F267" s="23"/>
    </row>
    <row r="268" spans="1:6">
      <c r="A268" s="633"/>
      <c r="B268" s="23"/>
      <c r="C268" s="23" t="s">
        <v>379</v>
      </c>
      <c r="D268" s="23"/>
      <c r="E268" s="403" t="str">
        <f>tlinputCh4Prod2Slot1Pack</f>
        <v>25Ltr Keg</v>
      </c>
      <c r="F268" s="23" t="s">
        <v>3271</v>
      </c>
    </row>
    <row r="269" spans="1:6">
      <c r="A269" s="633"/>
      <c r="B269" s="23"/>
      <c r="C269" s="23" t="s">
        <v>394</v>
      </c>
      <c r="D269" s="23"/>
      <c r="E269" s="403" t="str">
        <f>tlinputCh4Prod2Slot2Pack</f>
        <v>Select Pack</v>
      </c>
      <c r="F269" s="23" t="s">
        <v>3272</v>
      </c>
    </row>
    <row r="270" spans="1:6">
      <c r="A270" s="633"/>
      <c r="B270" s="23"/>
      <c r="C270" s="23" t="s">
        <v>395</v>
      </c>
      <c r="D270" s="23"/>
      <c r="E270" s="403" t="str">
        <f>tlinputCh4Prod2Slot3Pack</f>
        <v>Select Pack</v>
      </c>
      <c r="F270" s="23" t="s">
        <v>3273</v>
      </c>
    </row>
    <row r="271" spans="1:6">
      <c r="A271" s="633"/>
      <c r="B271" s="23" t="s">
        <v>239</v>
      </c>
      <c r="C271" s="23"/>
      <c r="D271" s="23"/>
      <c r="E271" s="403"/>
      <c r="F271" s="23"/>
    </row>
    <row r="272" spans="1:6">
      <c r="A272" s="633"/>
      <c r="B272" s="23"/>
      <c r="C272" s="23" t="s">
        <v>379</v>
      </c>
      <c r="D272" s="23"/>
      <c r="E272" s="403" t="str">
        <f>tlinputCh4Prod3Slot1Pack</f>
        <v>25Ltr Keg</v>
      </c>
      <c r="F272" s="23" t="s">
        <v>3274</v>
      </c>
    </row>
    <row r="273" spans="1:6">
      <c r="A273" s="633"/>
      <c r="B273" s="23"/>
      <c r="C273" s="23" t="s">
        <v>394</v>
      </c>
      <c r="D273" s="23"/>
      <c r="E273" s="403" t="str">
        <f>tlinputCh4Prod3Slot2Pack</f>
        <v>Select Pack</v>
      </c>
      <c r="F273" s="23" t="s">
        <v>3275</v>
      </c>
    </row>
    <row r="274" spans="1:6">
      <c r="A274" s="633"/>
      <c r="B274" s="23"/>
      <c r="C274" s="23" t="s">
        <v>395</v>
      </c>
      <c r="D274" s="23"/>
      <c r="E274" s="403" t="str">
        <f>tlinputCh4Prod3Slot3Pack</f>
        <v>Select Pack</v>
      </c>
      <c r="F274" s="23" t="s">
        <v>3276</v>
      </c>
    </row>
    <row r="275" spans="1:6">
      <c r="A275" s="633"/>
      <c r="B275" s="23" t="s">
        <v>240</v>
      </c>
      <c r="C275" s="23"/>
      <c r="D275" s="23"/>
      <c r="E275" s="403"/>
      <c r="F275" s="23"/>
    </row>
    <row r="276" spans="1:6">
      <c r="A276" s="633"/>
      <c r="B276" s="23"/>
      <c r="C276" s="23" t="s">
        <v>379</v>
      </c>
      <c r="D276" s="23"/>
      <c r="E276" s="403" t="str">
        <f>tlinputCh4Prod4Slot1Pack</f>
        <v>33cl Bottle</v>
      </c>
      <c r="F276" s="23" t="s">
        <v>3277</v>
      </c>
    </row>
    <row r="277" spans="1:6">
      <c r="A277" s="633"/>
      <c r="B277" s="23"/>
      <c r="C277" s="23" t="s">
        <v>394</v>
      </c>
      <c r="D277" s="23"/>
      <c r="E277" s="403" t="str">
        <f>tlinputCh4Prod4Slot2Pack</f>
        <v>Select Pack</v>
      </c>
      <c r="F277" s="23" t="s">
        <v>3278</v>
      </c>
    </row>
    <row r="278" spans="1:6">
      <c r="A278" s="633"/>
      <c r="B278" s="23"/>
      <c r="C278" s="23" t="s">
        <v>395</v>
      </c>
      <c r="D278" s="23"/>
      <c r="E278" s="403" t="str">
        <f>tlinputCh4Prod4Slot3Pack</f>
        <v>Select Pack</v>
      </c>
      <c r="F278" s="23" t="s">
        <v>3279</v>
      </c>
    </row>
    <row r="279" spans="1:6" s="90" customFormat="1">
      <c r="A279" s="769"/>
      <c r="B279" s="282"/>
      <c r="C279" s="282"/>
      <c r="D279" s="282"/>
      <c r="E279" s="282"/>
      <c r="F279" s="282"/>
    </row>
    <row r="280" spans="1:6" s="278" customFormat="1">
      <c r="A280" s="644" t="s">
        <v>1761</v>
      </c>
      <c r="B280" s="280"/>
      <c r="C280" s="280"/>
      <c r="D280" s="280"/>
      <c r="E280" s="280"/>
    </row>
    <row r="281" spans="1:6">
      <c r="A281" s="633"/>
      <c r="B281" s="23"/>
      <c r="C281" s="23"/>
      <c r="D281" s="23"/>
      <c r="E281" s="23"/>
      <c r="F281" s="23"/>
    </row>
    <row r="282" spans="1:6">
      <c r="A282" s="633" t="s">
        <v>244</v>
      </c>
      <c r="B282" s="23"/>
      <c r="C282" s="23"/>
      <c r="D282" s="23"/>
      <c r="E282" s="23"/>
      <c r="F282" s="23"/>
    </row>
    <row r="283" spans="1:6">
      <c r="A283" s="633"/>
      <c r="B283" s="23" t="s">
        <v>12868</v>
      </c>
      <c r="C283" s="23"/>
      <c r="D283" s="23"/>
      <c r="E283" s="23"/>
      <c r="F283" s="23"/>
    </row>
    <row r="284" spans="1:6">
      <c r="A284" s="633"/>
      <c r="B284" s="23"/>
      <c r="C284" s="23" t="s">
        <v>379</v>
      </c>
      <c r="D284" s="23"/>
      <c r="E284" s="403">
        <f>tlinputCh1Prod1Slot1CustPrice</f>
        <v>7.7</v>
      </c>
      <c r="F284" s="23" t="s">
        <v>1771</v>
      </c>
    </row>
    <row r="285" spans="1:6">
      <c r="A285" s="633"/>
      <c r="B285" s="23"/>
      <c r="C285" s="23" t="s">
        <v>394</v>
      </c>
      <c r="D285" s="23"/>
      <c r="E285" s="403">
        <f>tlinputCh1Prod1Slot2CustPrice</f>
        <v>0</v>
      </c>
      <c r="F285" s="23" t="s">
        <v>1772</v>
      </c>
    </row>
    <row r="286" spans="1:6">
      <c r="A286" s="633"/>
      <c r="B286" s="23"/>
      <c r="C286" s="23" t="s">
        <v>395</v>
      </c>
      <c r="D286" s="23"/>
      <c r="E286" s="403">
        <f>tlinputCh1Prod1Slot3CustPrice</f>
        <v>0</v>
      </c>
      <c r="F286" s="23" t="s">
        <v>1773</v>
      </c>
    </row>
    <row r="287" spans="1:6">
      <c r="A287" s="633"/>
      <c r="B287" s="23" t="s">
        <v>238</v>
      </c>
      <c r="C287" s="23"/>
      <c r="D287" s="23"/>
      <c r="E287" s="403"/>
      <c r="F287" s="23"/>
    </row>
    <row r="288" spans="1:6">
      <c r="A288" s="633"/>
      <c r="B288" s="23"/>
      <c r="C288" s="23" t="s">
        <v>379</v>
      </c>
      <c r="D288" s="23"/>
      <c r="E288" s="403">
        <f>tlinputCh1Prod2Slot1CustPrice</f>
        <v>7.9</v>
      </c>
      <c r="F288" s="23" t="s">
        <v>1774</v>
      </c>
    </row>
    <row r="289" spans="1:6">
      <c r="A289" s="633"/>
      <c r="B289" s="23"/>
      <c r="C289" s="23" t="s">
        <v>394</v>
      </c>
      <c r="D289" s="23"/>
      <c r="E289" s="403">
        <f>tlinputCh1Prod2Slot2CustPrice</f>
        <v>7.55</v>
      </c>
      <c r="F289" s="23" t="s">
        <v>1775</v>
      </c>
    </row>
    <row r="290" spans="1:6">
      <c r="A290" s="633"/>
      <c r="B290" s="23"/>
      <c r="C290" s="23" t="s">
        <v>395</v>
      </c>
      <c r="D290" s="23"/>
      <c r="E290" s="403">
        <f>tlinputCh1Prod2Slot3CustPrice</f>
        <v>0</v>
      </c>
      <c r="F290" s="23" t="s">
        <v>1776</v>
      </c>
    </row>
    <row r="291" spans="1:6">
      <c r="A291" s="633"/>
      <c r="B291" s="23" t="s">
        <v>239</v>
      </c>
      <c r="C291" s="23"/>
      <c r="D291" s="23"/>
      <c r="E291" s="403"/>
      <c r="F291" s="23"/>
    </row>
    <row r="292" spans="1:6">
      <c r="A292" s="633"/>
      <c r="B292" s="23"/>
      <c r="C292" s="23" t="s">
        <v>379</v>
      </c>
      <c r="D292" s="23"/>
      <c r="E292" s="403">
        <f>tlinputCh1Prod3Slot1CustPrice</f>
        <v>7.6</v>
      </c>
      <c r="F292" s="23" t="s">
        <v>1777</v>
      </c>
    </row>
    <row r="293" spans="1:6">
      <c r="A293" s="633"/>
      <c r="B293" s="23"/>
      <c r="C293" s="23" t="s">
        <v>394</v>
      </c>
      <c r="D293" s="23"/>
      <c r="E293" s="403">
        <f>tlinputCh1Prod3Slot2CustPrice</f>
        <v>7.68</v>
      </c>
      <c r="F293" s="23" t="s">
        <v>1778</v>
      </c>
    </row>
    <row r="294" spans="1:6">
      <c r="A294" s="633"/>
      <c r="B294" s="23"/>
      <c r="C294" s="23" t="s">
        <v>395</v>
      </c>
      <c r="D294" s="23"/>
      <c r="E294" s="403">
        <f>tlinputCh1Prod3Slot3CustPrice</f>
        <v>0</v>
      </c>
      <c r="F294" s="23" t="s">
        <v>1779</v>
      </c>
    </row>
    <row r="295" spans="1:6">
      <c r="A295" s="633"/>
      <c r="B295" s="23" t="s">
        <v>240</v>
      </c>
      <c r="C295" s="23"/>
      <c r="D295" s="23"/>
      <c r="E295" s="403"/>
      <c r="F295" s="23"/>
    </row>
    <row r="296" spans="1:6">
      <c r="A296" s="633"/>
      <c r="B296" s="23"/>
      <c r="C296" s="23" t="s">
        <v>379</v>
      </c>
      <c r="D296" s="23"/>
      <c r="E296" s="403">
        <f>tlinputCh1Prod4Slot1CustPrice</f>
        <v>0</v>
      </c>
      <c r="F296" s="23" t="s">
        <v>1780</v>
      </c>
    </row>
    <row r="297" spans="1:6">
      <c r="A297" s="633"/>
      <c r="B297" s="23"/>
      <c r="C297" s="23" t="s">
        <v>394</v>
      </c>
      <c r="D297" s="23"/>
      <c r="E297" s="403">
        <f>tlinputCh1Prod4Slot2CustPrice</f>
        <v>0</v>
      </c>
      <c r="F297" s="23" t="s">
        <v>1781</v>
      </c>
    </row>
    <row r="298" spans="1:6">
      <c r="A298" s="633"/>
      <c r="B298" s="23"/>
      <c r="C298" s="23" t="s">
        <v>395</v>
      </c>
      <c r="D298" s="23"/>
      <c r="E298" s="403">
        <f>tlinputCh1Prod4Slot3CustPrice</f>
        <v>0</v>
      </c>
      <c r="F298" s="23" t="s">
        <v>1782</v>
      </c>
    </row>
    <row r="299" spans="1:6">
      <c r="A299" s="633" t="s">
        <v>245</v>
      </c>
      <c r="B299" s="23"/>
      <c r="C299" s="23"/>
      <c r="D299" s="23"/>
      <c r="E299" s="403"/>
      <c r="F299" s="23"/>
    </row>
    <row r="300" spans="1:6">
      <c r="A300" s="633"/>
      <c r="B300" s="23" t="s">
        <v>12868</v>
      </c>
      <c r="C300" s="23"/>
      <c r="D300" s="23"/>
      <c r="E300" s="403"/>
      <c r="F300" s="23"/>
    </row>
    <row r="301" spans="1:6">
      <c r="A301" s="633"/>
      <c r="B301" s="23"/>
      <c r="C301" s="23" t="s">
        <v>379</v>
      </c>
      <c r="D301" s="23"/>
      <c r="E301" s="403">
        <f>tlinputCh2Prod1Slot1CustPrice</f>
        <v>7.9</v>
      </c>
      <c r="F301" s="23" t="s">
        <v>1783</v>
      </c>
    </row>
    <row r="302" spans="1:6">
      <c r="A302" s="633"/>
      <c r="B302" s="23"/>
      <c r="C302" s="23" t="s">
        <v>394</v>
      </c>
      <c r="D302" s="23"/>
      <c r="E302" s="403">
        <f>tlinputCh2Prod1Slot2CustPrice</f>
        <v>0</v>
      </c>
      <c r="F302" s="23" t="s">
        <v>1784</v>
      </c>
    </row>
    <row r="303" spans="1:6">
      <c r="A303" s="633"/>
      <c r="B303" s="23"/>
      <c r="C303" s="23" t="s">
        <v>395</v>
      </c>
      <c r="D303" s="23"/>
      <c r="E303" s="403">
        <f>tlinputCh2Prod1Slot3CustPrice</f>
        <v>0</v>
      </c>
      <c r="F303" s="23" t="s">
        <v>1785</v>
      </c>
    </row>
    <row r="304" spans="1:6">
      <c r="A304" s="633"/>
      <c r="B304" s="23" t="s">
        <v>238</v>
      </c>
      <c r="C304" s="23"/>
      <c r="D304" s="23"/>
      <c r="E304" s="403"/>
      <c r="F304" s="23"/>
    </row>
    <row r="305" spans="1:6">
      <c r="A305" s="633"/>
      <c r="B305" s="23"/>
      <c r="C305" s="23" t="s">
        <v>379</v>
      </c>
      <c r="D305" s="23"/>
      <c r="E305" s="403">
        <f>tlinputCh2Prod2Slot1CustPrice</f>
        <v>7.3</v>
      </c>
      <c r="F305" s="23" t="s">
        <v>1786</v>
      </c>
    </row>
    <row r="306" spans="1:6">
      <c r="A306" s="633"/>
      <c r="B306" s="23"/>
      <c r="C306" s="23" t="s">
        <v>394</v>
      </c>
      <c r="D306" s="23"/>
      <c r="E306" s="403">
        <f>tlinputCh2Prod2Slot2CustPrice</f>
        <v>0</v>
      </c>
      <c r="F306" s="23" t="s">
        <v>1787</v>
      </c>
    </row>
    <row r="307" spans="1:6">
      <c r="A307" s="633"/>
      <c r="B307" s="23"/>
      <c r="C307" s="23" t="s">
        <v>395</v>
      </c>
      <c r="D307" s="23"/>
      <c r="E307" s="403">
        <f>tlinputCh2Prod2Slot3CustPrice</f>
        <v>0</v>
      </c>
      <c r="F307" s="23" t="s">
        <v>1788</v>
      </c>
    </row>
    <row r="308" spans="1:6">
      <c r="A308" s="633"/>
      <c r="B308" s="23" t="s">
        <v>239</v>
      </c>
      <c r="C308" s="23"/>
      <c r="D308" s="23"/>
      <c r="E308" s="403"/>
      <c r="F308" s="23"/>
    </row>
    <row r="309" spans="1:6">
      <c r="A309" s="633"/>
      <c r="B309" s="23"/>
      <c r="C309" s="23" t="s">
        <v>379</v>
      </c>
      <c r="D309" s="23"/>
      <c r="E309" s="403">
        <f>tlinputCh2Prod3Slot1CustPrice</f>
        <v>7</v>
      </c>
      <c r="F309" s="23" t="s">
        <v>1789</v>
      </c>
    </row>
    <row r="310" spans="1:6">
      <c r="A310" s="633"/>
      <c r="B310" s="23"/>
      <c r="C310" s="23" t="s">
        <v>394</v>
      </c>
      <c r="D310" s="23"/>
      <c r="E310" s="403">
        <f>tlinputCh2Prod3Slot2CustPrice</f>
        <v>0</v>
      </c>
      <c r="F310" s="23" t="s">
        <v>1790</v>
      </c>
    </row>
    <row r="311" spans="1:6">
      <c r="A311" s="633"/>
      <c r="B311" s="23"/>
      <c r="C311" s="23" t="s">
        <v>395</v>
      </c>
      <c r="D311" s="23"/>
      <c r="E311" s="403">
        <f>tlinputCh2Prod3Slot3CustPrice</f>
        <v>0</v>
      </c>
      <c r="F311" s="23" t="s">
        <v>1791</v>
      </c>
    </row>
    <row r="312" spans="1:6">
      <c r="A312" s="633"/>
      <c r="B312" s="23" t="s">
        <v>240</v>
      </c>
      <c r="C312" s="23"/>
      <c r="D312" s="23"/>
      <c r="E312" s="403"/>
      <c r="F312" s="23"/>
    </row>
    <row r="313" spans="1:6">
      <c r="A313" s="633"/>
      <c r="B313" s="23"/>
      <c r="C313" s="23" t="s">
        <v>379</v>
      </c>
      <c r="D313" s="23"/>
      <c r="E313" s="403">
        <f>tlinputCh2Prod4Slot1CustPrice</f>
        <v>0</v>
      </c>
      <c r="F313" s="23" t="s">
        <v>1792</v>
      </c>
    </row>
    <row r="314" spans="1:6">
      <c r="A314" s="633"/>
      <c r="B314" s="23"/>
      <c r="C314" s="23" t="s">
        <v>394</v>
      </c>
      <c r="D314" s="23"/>
      <c r="E314" s="403">
        <f>tlinputCh2Prod4Slot2CustPrice</f>
        <v>0</v>
      </c>
      <c r="F314" s="23" t="s">
        <v>1793</v>
      </c>
    </row>
    <row r="315" spans="1:6">
      <c r="A315" s="633"/>
      <c r="B315" s="23"/>
      <c r="C315" s="23" t="s">
        <v>395</v>
      </c>
      <c r="D315" s="23"/>
      <c r="E315" s="403">
        <f>tlinputCh2Prod4Slot3CustPrice</f>
        <v>0</v>
      </c>
      <c r="F315" s="23" t="s">
        <v>1794</v>
      </c>
    </row>
    <row r="316" spans="1:6">
      <c r="A316" s="633" t="s">
        <v>5199</v>
      </c>
      <c r="B316" s="23"/>
      <c r="C316" s="23"/>
      <c r="D316" s="23"/>
      <c r="E316" s="403"/>
      <c r="F316" s="23"/>
    </row>
    <row r="317" spans="1:6">
      <c r="A317" s="633"/>
      <c r="B317" s="23" t="s">
        <v>12868</v>
      </c>
      <c r="C317" s="23"/>
      <c r="D317" s="23"/>
      <c r="E317" s="403"/>
      <c r="F317" s="23"/>
    </row>
    <row r="318" spans="1:6">
      <c r="A318" s="633"/>
      <c r="B318" s="23"/>
      <c r="C318" s="23" t="s">
        <v>379</v>
      </c>
      <c r="D318" s="23"/>
      <c r="E318" s="403">
        <f>tlinputCh3Prod1Slot1CustPrice</f>
        <v>7.05</v>
      </c>
      <c r="F318" s="23" t="s">
        <v>1795</v>
      </c>
    </row>
    <row r="319" spans="1:6">
      <c r="A319" s="633"/>
      <c r="B319" s="23"/>
      <c r="C319" s="23" t="s">
        <v>394</v>
      </c>
      <c r="D319" s="23"/>
      <c r="E319" s="403">
        <f>tlinputCh3Prod1Slot2CustPrice</f>
        <v>0</v>
      </c>
      <c r="F319" s="23" t="s">
        <v>1796</v>
      </c>
    </row>
    <row r="320" spans="1:6">
      <c r="A320" s="633"/>
      <c r="B320" s="23"/>
      <c r="C320" s="23" t="s">
        <v>395</v>
      </c>
      <c r="D320" s="23"/>
      <c r="E320" s="403">
        <f>tlinputCh3Prod1Slot3CustPrice</f>
        <v>0</v>
      </c>
      <c r="F320" s="23" t="s">
        <v>1797</v>
      </c>
    </row>
    <row r="321" spans="1:6">
      <c r="A321" s="633"/>
      <c r="B321" s="23" t="s">
        <v>238</v>
      </c>
      <c r="C321" s="23"/>
      <c r="D321" s="23"/>
      <c r="E321" s="403"/>
      <c r="F321" s="23"/>
    </row>
    <row r="322" spans="1:6">
      <c r="A322" s="633"/>
      <c r="B322" s="23"/>
      <c r="C322" s="23" t="s">
        <v>379</v>
      </c>
      <c r="D322" s="23"/>
      <c r="E322" s="403">
        <f>tlinputCh3Prod2Slot1CustPrice</f>
        <v>7.9</v>
      </c>
      <c r="F322" s="23" t="s">
        <v>1798</v>
      </c>
    </row>
    <row r="323" spans="1:6">
      <c r="A323" s="633"/>
      <c r="B323" s="23"/>
      <c r="C323" s="23" t="s">
        <v>394</v>
      </c>
      <c r="D323" s="23"/>
      <c r="E323" s="403">
        <f>tlinputCh3Prod2Slot2CustPrice</f>
        <v>8</v>
      </c>
      <c r="F323" s="23" t="s">
        <v>1799</v>
      </c>
    </row>
    <row r="324" spans="1:6">
      <c r="A324" s="633"/>
      <c r="B324" s="23"/>
      <c r="C324" s="23" t="s">
        <v>395</v>
      </c>
      <c r="D324" s="23"/>
      <c r="E324" s="403">
        <f>tlinputCh3Prod2Slot3CustPrice</f>
        <v>0</v>
      </c>
      <c r="F324" s="23" t="s">
        <v>1800</v>
      </c>
    </row>
    <row r="325" spans="1:6">
      <c r="A325" s="633"/>
      <c r="B325" s="23" t="s">
        <v>239</v>
      </c>
      <c r="C325" s="23"/>
      <c r="D325" s="23"/>
      <c r="E325" s="403"/>
      <c r="F325" s="23"/>
    </row>
    <row r="326" spans="1:6">
      <c r="A326" s="633"/>
      <c r="B326" s="23"/>
      <c r="C326" s="23" t="s">
        <v>379</v>
      </c>
      <c r="D326" s="23"/>
      <c r="E326" s="403">
        <f>tlinputCh3Prod3Slot1CustPrice</f>
        <v>7.6</v>
      </c>
      <c r="F326" s="23" t="s">
        <v>1801</v>
      </c>
    </row>
    <row r="327" spans="1:6">
      <c r="A327" s="633"/>
      <c r="B327" s="23"/>
      <c r="C327" s="23" t="s">
        <v>394</v>
      </c>
      <c r="D327" s="23"/>
      <c r="E327" s="403">
        <f>tlinputCh3Prod3Slot2CustPrice</f>
        <v>0</v>
      </c>
      <c r="F327" s="23" t="s">
        <v>1802</v>
      </c>
    </row>
    <row r="328" spans="1:6">
      <c r="A328" s="633"/>
      <c r="B328" s="23"/>
      <c r="C328" s="23" t="s">
        <v>395</v>
      </c>
      <c r="D328" s="23"/>
      <c r="E328" s="403">
        <f>tlinputCh3Prod3Slot3CustPrice</f>
        <v>0</v>
      </c>
      <c r="F328" s="23" t="s">
        <v>1803</v>
      </c>
    </row>
    <row r="329" spans="1:6">
      <c r="A329" s="633"/>
      <c r="B329" s="23" t="s">
        <v>240</v>
      </c>
      <c r="C329" s="23"/>
      <c r="D329" s="23"/>
      <c r="E329" s="403"/>
      <c r="F329" s="23"/>
    </row>
    <row r="330" spans="1:6">
      <c r="A330" s="633"/>
      <c r="B330" s="23"/>
      <c r="C330" s="23" t="s">
        <v>379</v>
      </c>
      <c r="D330" s="23"/>
      <c r="E330" s="403">
        <f>tlinputCh3Prod4Slot1CustPrice</f>
        <v>0</v>
      </c>
      <c r="F330" s="23" t="s">
        <v>1804</v>
      </c>
    </row>
    <row r="331" spans="1:6">
      <c r="A331" s="633"/>
      <c r="B331" s="23"/>
      <c r="C331" s="23" t="s">
        <v>394</v>
      </c>
      <c r="D331" s="23"/>
      <c r="E331" s="403">
        <f>tlinputCh3Prod4Slot2CustPrice</f>
        <v>0</v>
      </c>
      <c r="F331" s="23" t="s">
        <v>1805</v>
      </c>
    </row>
    <row r="332" spans="1:6">
      <c r="A332" s="633"/>
      <c r="B332" s="23"/>
      <c r="C332" s="23" t="s">
        <v>395</v>
      </c>
      <c r="D332" s="23"/>
      <c r="E332" s="403">
        <f>tlinputCh3Prod4Slot3CustPrice</f>
        <v>0</v>
      </c>
      <c r="F332" s="23" t="s">
        <v>1806</v>
      </c>
    </row>
    <row r="333" spans="1:6">
      <c r="A333" s="633" t="s">
        <v>246</v>
      </c>
      <c r="B333" s="23"/>
      <c r="C333" s="23"/>
      <c r="D333" s="23"/>
      <c r="E333" s="403"/>
      <c r="F333" s="23"/>
    </row>
    <row r="334" spans="1:6">
      <c r="A334" s="633"/>
      <c r="B334" s="23" t="s">
        <v>12868</v>
      </c>
      <c r="C334" s="23"/>
      <c r="D334" s="23"/>
      <c r="E334" s="403"/>
      <c r="F334" s="23"/>
    </row>
    <row r="335" spans="1:6">
      <c r="A335" s="633"/>
      <c r="B335" s="23"/>
      <c r="C335" s="23" t="s">
        <v>379</v>
      </c>
      <c r="D335" s="23"/>
      <c r="E335" s="403">
        <f>tlinputCh4Prod1Slot1CustPrice</f>
        <v>7.2</v>
      </c>
      <c r="F335" s="23" t="s">
        <v>1807</v>
      </c>
    </row>
    <row r="336" spans="1:6">
      <c r="A336" s="633"/>
      <c r="B336" s="23"/>
      <c r="C336" s="23" t="s">
        <v>394</v>
      </c>
      <c r="D336" s="23"/>
      <c r="E336" s="403">
        <f>tlinputCh4Prod1Slot2CustPrice</f>
        <v>0</v>
      </c>
      <c r="F336" s="23" t="s">
        <v>1808</v>
      </c>
    </row>
    <row r="337" spans="1:6">
      <c r="A337" s="633"/>
      <c r="B337" s="23"/>
      <c r="C337" s="23" t="s">
        <v>395</v>
      </c>
      <c r="D337" s="23"/>
      <c r="E337" s="403">
        <f>tlinputCh4Prod1Slot3CustPrice</f>
        <v>0</v>
      </c>
      <c r="F337" s="23" t="s">
        <v>1809</v>
      </c>
    </row>
    <row r="338" spans="1:6">
      <c r="A338" s="633"/>
      <c r="B338" s="23" t="s">
        <v>238</v>
      </c>
      <c r="C338" s="23"/>
      <c r="D338" s="23"/>
      <c r="E338" s="403"/>
      <c r="F338" s="23"/>
    </row>
    <row r="339" spans="1:6">
      <c r="A339" s="633"/>
      <c r="B339" s="23"/>
      <c r="C339" s="23" t="s">
        <v>379</v>
      </c>
      <c r="D339" s="23"/>
      <c r="E339" s="403">
        <f>tlinputCh4Prod2Slot1CustPrice</f>
        <v>7.2</v>
      </c>
      <c r="F339" s="23" t="s">
        <v>1810</v>
      </c>
    </row>
    <row r="340" spans="1:6">
      <c r="A340" s="633"/>
      <c r="B340" s="23"/>
      <c r="C340" s="23" t="s">
        <v>394</v>
      </c>
      <c r="D340" s="23"/>
      <c r="E340" s="403">
        <f>tlinputCh4Prod2Slot2CustPrice</f>
        <v>0</v>
      </c>
      <c r="F340" s="23" t="s">
        <v>1811</v>
      </c>
    </row>
    <row r="341" spans="1:6">
      <c r="A341" s="633"/>
      <c r="B341" s="23"/>
      <c r="C341" s="23" t="s">
        <v>395</v>
      </c>
      <c r="D341" s="23"/>
      <c r="E341" s="403">
        <f>tlinputCh4Prod2Slot3CustPrice</f>
        <v>0</v>
      </c>
      <c r="F341" s="23" t="s">
        <v>1812</v>
      </c>
    </row>
    <row r="342" spans="1:6">
      <c r="A342" s="633"/>
      <c r="B342" s="23" t="s">
        <v>239</v>
      </c>
      <c r="C342" s="23"/>
      <c r="D342" s="23"/>
      <c r="E342" s="403"/>
      <c r="F342" s="23"/>
    </row>
    <row r="343" spans="1:6">
      <c r="A343" s="633"/>
      <c r="B343" s="23"/>
      <c r="C343" s="23" t="s">
        <v>379</v>
      </c>
      <c r="D343" s="23"/>
      <c r="E343" s="403">
        <f>tlinputCh4Prod3Slot1CustPrice</f>
        <v>7.2</v>
      </c>
      <c r="F343" s="23" t="s">
        <v>1813</v>
      </c>
    </row>
    <row r="344" spans="1:6">
      <c r="A344" s="633"/>
      <c r="B344" s="23"/>
      <c r="C344" s="23" t="s">
        <v>394</v>
      </c>
      <c r="D344" s="23"/>
      <c r="E344" s="403">
        <f>tlinputCh4Prod3Slot2CustPrice</f>
        <v>0</v>
      </c>
      <c r="F344" s="23" t="s">
        <v>1814</v>
      </c>
    </row>
    <row r="345" spans="1:6">
      <c r="A345" s="633"/>
      <c r="B345" s="23"/>
      <c r="C345" s="23" t="s">
        <v>395</v>
      </c>
      <c r="D345" s="23"/>
      <c r="E345" s="403">
        <f>tlinputCh4Prod3Slot3CustPrice</f>
        <v>0</v>
      </c>
      <c r="F345" s="23" t="s">
        <v>1815</v>
      </c>
    </row>
    <row r="346" spans="1:6">
      <c r="A346" s="633"/>
      <c r="B346" s="23" t="s">
        <v>240</v>
      </c>
      <c r="C346" s="23"/>
      <c r="D346" s="23"/>
      <c r="E346" s="403"/>
      <c r="F346" s="23"/>
    </row>
    <row r="347" spans="1:6">
      <c r="A347" s="633"/>
      <c r="B347" s="23"/>
      <c r="C347" s="23" t="s">
        <v>379</v>
      </c>
      <c r="D347" s="23"/>
      <c r="E347" s="403">
        <f>tlinputCh4Prod4Slot1CustPrice</f>
        <v>8.35</v>
      </c>
      <c r="F347" s="23" t="s">
        <v>1816</v>
      </c>
    </row>
    <row r="348" spans="1:6">
      <c r="A348" s="633"/>
      <c r="B348" s="23"/>
      <c r="C348" s="23" t="s">
        <v>394</v>
      </c>
      <c r="D348" s="23"/>
      <c r="E348" s="403">
        <f>tlinputCh4Prod4Slot2CustPrice</f>
        <v>0</v>
      </c>
      <c r="F348" s="23" t="s">
        <v>1817</v>
      </c>
    </row>
    <row r="349" spans="1:6">
      <c r="A349" s="633"/>
      <c r="B349" s="23"/>
      <c r="C349" s="23" t="s">
        <v>395</v>
      </c>
      <c r="D349" s="23"/>
      <c r="E349" s="403">
        <f>tlinputCh4Prod4Slot3CustPrice</f>
        <v>0</v>
      </c>
      <c r="F349" s="23" t="s">
        <v>1818</v>
      </c>
    </row>
    <row r="350" spans="1:6">
      <c r="A350" s="311"/>
    </row>
    <row r="351" spans="1:6">
      <c r="A351" s="311"/>
    </row>
    <row r="352" spans="1:6" s="278" customFormat="1">
      <c r="A352" s="644" t="s">
        <v>5662</v>
      </c>
      <c r="B352" s="280"/>
      <c r="C352" s="280"/>
      <c r="D352" s="280"/>
      <c r="E352" s="280"/>
    </row>
    <row r="353" spans="1:6">
      <c r="A353" s="633"/>
      <c r="B353" s="23"/>
      <c r="C353" s="23"/>
      <c r="D353" s="23"/>
      <c r="E353" s="23"/>
      <c r="F353" s="23"/>
    </row>
    <row r="354" spans="1:6">
      <c r="A354" s="633" t="s">
        <v>14060</v>
      </c>
      <c r="B354" s="23"/>
      <c r="C354" s="23"/>
      <c r="D354" s="23"/>
      <c r="E354" s="23"/>
      <c r="F354" s="23"/>
    </row>
    <row r="355" spans="1:6">
      <c r="A355" s="633"/>
      <c r="B355" s="23" t="s">
        <v>12868</v>
      </c>
      <c r="C355" s="23"/>
      <c r="D355" s="23"/>
      <c r="E355" s="23"/>
      <c r="F355" s="23"/>
    </row>
    <row r="356" spans="1:6">
      <c r="A356" s="633"/>
      <c r="B356" s="23"/>
      <c r="C356" s="23" t="s">
        <v>379</v>
      </c>
      <c r="D356" s="23"/>
      <c r="E356" s="919" t="str">
        <f>tlinputCh1Prod1Slot1Promo1</f>
        <v>TPR 33%</v>
      </c>
      <c r="F356" s="23" t="s">
        <v>5688</v>
      </c>
    </row>
    <row r="357" spans="1:6">
      <c r="A357" s="633"/>
      <c r="B357" s="23"/>
      <c r="C357" s="23" t="s">
        <v>394</v>
      </c>
      <c r="D357" s="23"/>
      <c r="E357" s="919" t="str">
        <f>tlinputCh1Prod1Slot2Promo1</f>
        <v>No Promotion</v>
      </c>
      <c r="F357" s="23" t="s">
        <v>5689</v>
      </c>
    </row>
    <row r="358" spans="1:6">
      <c r="A358" s="633"/>
      <c r="B358" s="23"/>
      <c r="C358" s="23" t="s">
        <v>395</v>
      </c>
      <c r="D358" s="23"/>
      <c r="E358" s="919" t="str">
        <f>tlinputCh1Prod1Slot3Promo1</f>
        <v>No Promotion</v>
      </c>
      <c r="F358" s="23" t="s">
        <v>5690</v>
      </c>
    </row>
    <row r="359" spans="1:6">
      <c r="A359" s="633"/>
      <c r="B359" s="23" t="s">
        <v>238</v>
      </c>
      <c r="C359" s="23"/>
      <c r="D359" s="23"/>
      <c r="E359" s="919"/>
      <c r="F359" s="23"/>
    </row>
    <row r="360" spans="1:6">
      <c r="A360" s="633"/>
      <c r="B360" s="23"/>
      <c r="C360" s="23" t="s">
        <v>379</v>
      </c>
      <c r="D360" s="23"/>
      <c r="E360" s="919" t="str">
        <f>tlinputCh1Prod2Slot1Promo1</f>
        <v>TPR 33%</v>
      </c>
      <c r="F360" s="23" t="s">
        <v>5691</v>
      </c>
    </row>
    <row r="361" spans="1:6">
      <c r="A361" s="633"/>
      <c r="B361" s="23"/>
      <c r="C361" s="23" t="s">
        <v>394</v>
      </c>
      <c r="D361" s="23"/>
      <c r="E361" s="919" t="str">
        <f>tlinputCh1Prod2Slot2Promo1</f>
        <v>TPR 20%</v>
      </c>
      <c r="F361" s="23" t="s">
        <v>5692</v>
      </c>
    </row>
    <row r="362" spans="1:6">
      <c r="A362" s="633"/>
      <c r="B362" s="23"/>
      <c r="C362" s="23" t="s">
        <v>395</v>
      </c>
      <c r="D362" s="23"/>
      <c r="E362" s="919" t="str">
        <f>tlinputCh1Prod2Slot3Promo1</f>
        <v>No Promotion</v>
      </c>
      <c r="F362" s="23" t="s">
        <v>5693</v>
      </c>
    </row>
    <row r="363" spans="1:6">
      <c r="A363" s="633"/>
      <c r="B363" s="23" t="s">
        <v>239</v>
      </c>
      <c r="C363" s="23"/>
      <c r="D363" s="23"/>
      <c r="E363" s="919"/>
      <c r="F363" s="23"/>
    </row>
    <row r="364" spans="1:6">
      <c r="A364" s="633"/>
      <c r="B364" s="23"/>
      <c r="C364" s="23" t="s">
        <v>379</v>
      </c>
      <c r="D364" s="23"/>
      <c r="E364" s="919" t="str">
        <f>tlinputCh1Prod3Slot1Promo1</f>
        <v>TPR 33%</v>
      </c>
      <c r="F364" s="23" t="s">
        <v>5694</v>
      </c>
    </row>
    <row r="365" spans="1:6">
      <c r="A365" s="633"/>
      <c r="B365" s="23"/>
      <c r="C365" s="23" t="s">
        <v>394</v>
      </c>
      <c r="D365" s="23"/>
      <c r="E365" s="919" t="str">
        <f>tlinputCh1Prod3Slot2Promo1</f>
        <v>TPR 20%</v>
      </c>
      <c r="F365" s="23" t="s">
        <v>5695</v>
      </c>
    </row>
    <row r="366" spans="1:6">
      <c r="A366" s="633"/>
      <c r="B366" s="23"/>
      <c r="C366" s="23" t="s">
        <v>395</v>
      </c>
      <c r="D366" s="23"/>
      <c r="E366" s="919" t="str">
        <f>tlinputCh1Prod3Slot3Promo1</f>
        <v>No Promotion</v>
      </c>
      <c r="F366" s="23" t="s">
        <v>5696</v>
      </c>
    </row>
    <row r="367" spans="1:6">
      <c r="A367" s="633"/>
      <c r="B367" s="23" t="s">
        <v>240</v>
      </c>
      <c r="C367" s="23"/>
      <c r="D367" s="23"/>
      <c r="E367" s="919"/>
      <c r="F367" s="23"/>
    </row>
    <row r="368" spans="1:6">
      <c r="A368" s="633"/>
      <c r="B368" s="23"/>
      <c r="C368" s="23" t="s">
        <v>379</v>
      </c>
      <c r="D368" s="23"/>
      <c r="E368" s="919" t="str">
        <f>tlinputCh1Prod4Slot1Promo1</f>
        <v>No Promotion</v>
      </c>
      <c r="F368" s="23" t="s">
        <v>5697</v>
      </c>
    </row>
    <row r="369" spans="1:6">
      <c r="A369" s="633"/>
      <c r="B369" s="23"/>
      <c r="C369" s="23" t="s">
        <v>394</v>
      </c>
      <c r="D369" s="23"/>
      <c r="E369" s="919" t="str">
        <f>tlinputCh1Prod4Slot2Promo1</f>
        <v>No Promotion</v>
      </c>
      <c r="F369" s="23" t="s">
        <v>5698</v>
      </c>
    </row>
    <row r="370" spans="1:6">
      <c r="A370" s="633"/>
      <c r="B370" s="23"/>
      <c r="C370" s="23" t="s">
        <v>395</v>
      </c>
      <c r="D370" s="23"/>
      <c r="E370" s="919" t="str">
        <f>tlinputCh1Prod4Slot3Promo1</f>
        <v>No Promotion</v>
      </c>
      <c r="F370" s="23" t="s">
        <v>5699</v>
      </c>
    </row>
    <row r="371" spans="1:6">
      <c r="A371" s="633" t="s">
        <v>14061</v>
      </c>
      <c r="B371" s="23"/>
      <c r="C371" s="23"/>
      <c r="D371" s="23"/>
      <c r="E371" s="919"/>
      <c r="F371" s="23"/>
    </row>
    <row r="372" spans="1:6">
      <c r="A372" s="633"/>
      <c r="B372" s="23" t="s">
        <v>12868</v>
      </c>
      <c r="C372" s="23"/>
      <c r="D372" s="23"/>
      <c r="E372" s="919"/>
      <c r="F372" s="23"/>
    </row>
    <row r="373" spans="1:6">
      <c r="A373" s="633"/>
      <c r="B373" s="23"/>
      <c r="C373" s="23" t="s">
        <v>379</v>
      </c>
      <c r="D373" s="23"/>
      <c r="E373" s="919" t="str">
        <f>tlinputCh1Prod1Slot1Promo2</f>
        <v>TPR 20%</v>
      </c>
      <c r="F373" s="614" t="s">
        <v>5700</v>
      </c>
    </row>
    <row r="374" spans="1:6">
      <c r="A374" s="633"/>
      <c r="B374" s="23"/>
      <c r="C374" s="23" t="s">
        <v>394</v>
      </c>
      <c r="D374" s="23"/>
      <c r="E374" s="919" t="str">
        <f>tlinputCh1Prod1Slot2Promo2</f>
        <v>No Promotion</v>
      </c>
      <c r="F374" s="614" t="s">
        <v>5701</v>
      </c>
    </row>
    <row r="375" spans="1:6">
      <c r="A375" s="633"/>
      <c r="B375" s="23"/>
      <c r="C375" s="23" t="s">
        <v>395</v>
      </c>
      <c r="D375" s="23"/>
      <c r="E375" s="919" t="str">
        <f>tlinputCh1Prod1Slot3Promo2</f>
        <v>No Promotion</v>
      </c>
      <c r="F375" s="614" t="s">
        <v>5702</v>
      </c>
    </row>
    <row r="376" spans="1:6">
      <c r="A376" s="633"/>
      <c r="B376" s="23" t="s">
        <v>238</v>
      </c>
      <c r="C376" s="23"/>
      <c r="D376" s="23"/>
      <c r="E376" s="919"/>
      <c r="F376" s="614"/>
    </row>
    <row r="377" spans="1:6">
      <c r="A377" s="633"/>
      <c r="B377" s="23"/>
      <c r="C377" s="23" t="s">
        <v>379</v>
      </c>
      <c r="D377" s="23"/>
      <c r="E377" s="919" t="str">
        <f>tlinputCh1Prod2Slot1Promo2</f>
        <v>No Promotion</v>
      </c>
      <c r="F377" s="614" t="s">
        <v>5703</v>
      </c>
    </row>
    <row r="378" spans="1:6">
      <c r="A378" s="633"/>
      <c r="B378" s="23"/>
      <c r="C378" s="23" t="s">
        <v>394</v>
      </c>
      <c r="D378" s="23"/>
      <c r="E378" s="919" t="str">
        <f>tlinputCh1Prod2Slot2Promo2</f>
        <v>3/2</v>
      </c>
      <c r="F378" s="614" t="s">
        <v>5704</v>
      </c>
    </row>
    <row r="379" spans="1:6">
      <c r="A379" s="633"/>
      <c r="B379" s="23"/>
      <c r="C379" s="23" t="s">
        <v>395</v>
      </c>
      <c r="D379" s="23"/>
      <c r="E379" s="919" t="str">
        <f>tlinputCh1Prod2Slot3Promo2</f>
        <v>No Promotion</v>
      </c>
      <c r="F379" s="614" t="s">
        <v>5705</v>
      </c>
    </row>
    <row r="380" spans="1:6">
      <c r="A380" s="633"/>
      <c r="B380" s="23" t="s">
        <v>239</v>
      </c>
      <c r="C380" s="23"/>
      <c r="D380" s="23"/>
      <c r="E380" s="919"/>
      <c r="F380" s="614"/>
    </row>
    <row r="381" spans="1:6">
      <c r="A381" s="633"/>
      <c r="B381" s="23"/>
      <c r="C381" s="23" t="s">
        <v>379</v>
      </c>
      <c r="D381" s="23"/>
      <c r="E381" s="919" t="str">
        <f>tlinputCh1Prod3Slot1Promo2</f>
        <v>No Promotion</v>
      </c>
      <c r="F381" s="614" t="s">
        <v>5706</v>
      </c>
    </row>
    <row r="382" spans="1:6">
      <c r="A382" s="633"/>
      <c r="B382" s="23"/>
      <c r="C382" s="23" t="s">
        <v>394</v>
      </c>
      <c r="D382" s="23"/>
      <c r="E382" s="919" t="str">
        <f>tlinputCh1Prod3Slot2Promo2</f>
        <v>No Promotion</v>
      </c>
      <c r="F382" s="614" t="s">
        <v>5707</v>
      </c>
    </row>
    <row r="383" spans="1:6">
      <c r="A383" s="633"/>
      <c r="B383" s="23"/>
      <c r="C383" s="23" t="s">
        <v>395</v>
      </c>
      <c r="D383" s="23"/>
      <c r="E383" s="919" t="str">
        <f>tlinputCh1Prod3Slot3Promo2</f>
        <v>No Promotion</v>
      </c>
      <c r="F383" s="614" t="s">
        <v>5708</v>
      </c>
    </row>
    <row r="384" spans="1:6">
      <c r="A384" s="633"/>
      <c r="B384" s="23" t="s">
        <v>240</v>
      </c>
      <c r="C384" s="23"/>
      <c r="D384" s="23"/>
      <c r="E384" s="919"/>
      <c r="F384" s="614"/>
    </row>
    <row r="385" spans="1:6">
      <c r="A385" s="633"/>
      <c r="B385" s="23"/>
      <c r="C385" s="23" t="s">
        <v>379</v>
      </c>
      <c r="D385" s="23"/>
      <c r="E385" s="919" t="str">
        <f>tlinputCh1Prod4Slot1Promo2</f>
        <v>No Promotion</v>
      </c>
      <c r="F385" s="614" t="s">
        <v>5709</v>
      </c>
    </row>
    <row r="386" spans="1:6">
      <c r="A386" s="633"/>
      <c r="B386" s="23"/>
      <c r="C386" s="23" t="s">
        <v>394</v>
      </c>
      <c r="D386" s="23"/>
      <c r="E386" s="919" t="str">
        <f>tlinputCh1Prod4Slot2Promo2</f>
        <v>No Promotion</v>
      </c>
      <c r="F386" s="614" t="s">
        <v>5710</v>
      </c>
    </row>
    <row r="387" spans="1:6">
      <c r="A387" s="633"/>
      <c r="B387" s="23"/>
      <c r="C387" s="23" t="s">
        <v>395</v>
      </c>
      <c r="D387" s="23"/>
      <c r="E387" s="919" t="str">
        <f>tlinputCh1Prod4Slot3Promo2</f>
        <v>No Promotion</v>
      </c>
      <c r="F387" s="614" t="s">
        <v>5711</v>
      </c>
    </row>
    <row r="388" spans="1:6">
      <c r="A388" s="633" t="s">
        <v>5199</v>
      </c>
      <c r="B388" s="23"/>
      <c r="C388" s="23"/>
      <c r="D388" s="23"/>
      <c r="E388" s="919"/>
      <c r="F388" s="23"/>
    </row>
    <row r="389" spans="1:6">
      <c r="A389" s="633"/>
      <c r="B389" s="23" t="s">
        <v>12868</v>
      </c>
      <c r="C389" s="23"/>
      <c r="D389" s="23"/>
      <c r="E389" s="919"/>
      <c r="F389" s="23"/>
    </row>
    <row r="390" spans="1:6">
      <c r="A390" s="633"/>
      <c r="B390" s="23"/>
      <c r="C390" s="23" t="s">
        <v>379</v>
      </c>
      <c r="D390" s="23"/>
      <c r="E390" s="919" t="str">
        <f>tlinputCh3Prod1Slot1Promo1</f>
        <v>TPR 20%</v>
      </c>
      <c r="F390" s="23" t="s">
        <v>5712</v>
      </c>
    </row>
    <row r="391" spans="1:6">
      <c r="A391" s="633"/>
      <c r="B391" s="23"/>
      <c r="C391" s="23" t="s">
        <v>394</v>
      </c>
      <c r="D391" s="23"/>
      <c r="E391" s="919" t="str">
        <f>tlinputCh3Prod1Slot2Promo1</f>
        <v>No Promotion</v>
      </c>
      <c r="F391" s="23" t="s">
        <v>5713</v>
      </c>
    </row>
    <row r="392" spans="1:6">
      <c r="A392" s="633"/>
      <c r="B392" s="23"/>
      <c r="C392" s="23" t="s">
        <v>395</v>
      </c>
      <c r="D392" s="23"/>
      <c r="E392" s="919" t="str">
        <f>tlinputCh3Prod1Slot3Promo1</f>
        <v>No Promotion</v>
      </c>
      <c r="F392" s="23" t="s">
        <v>5714</v>
      </c>
    </row>
    <row r="393" spans="1:6">
      <c r="A393" s="633"/>
      <c r="B393" s="23" t="s">
        <v>238</v>
      </c>
      <c r="C393" s="23"/>
      <c r="D393" s="23"/>
      <c r="E393" s="919"/>
      <c r="F393" s="23"/>
    </row>
    <row r="394" spans="1:6">
      <c r="A394" s="633"/>
      <c r="B394" s="23"/>
      <c r="C394" s="23" t="s">
        <v>379</v>
      </c>
      <c r="D394" s="23"/>
      <c r="E394" s="919" t="str">
        <f>tlinputCh3Prod2Slot1Promo1</f>
        <v>TPR 33%</v>
      </c>
      <c r="F394" s="23" t="s">
        <v>5715</v>
      </c>
    </row>
    <row r="395" spans="1:6">
      <c r="A395" s="633"/>
      <c r="B395" s="23"/>
      <c r="C395" s="23" t="s">
        <v>394</v>
      </c>
      <c r="D395" s="23"/>
      <c r="E395" s="919" t="str">
        <f>tlinputCh3Prod2Slot2Promo1</f>
        <v>TPR 20%</v>
      </c>
      <c r="F395" s="23" t="s">
        <v>5716</v>
      </c>
    </row>
    <row r="396" spans="1:6">
      <c r="A396" s="633"/>
      <c r="B396" s="23"/>
      <c r="C396" s="23" t="s">
        <v>395</v>
      </c>
      <c r="D396" s="23"/>
      <c r="E396" s="919" t="str">
        <f>tlinputCh3Prod2Slot3Promo1</f>
        <v>No Promotion</v>
      </c>
      <c r="F396" s="23" t="s">
        <v>5717</v>
      </c>
    </row>
    <row r="397" spans="1:6">
      <c r="A397" s="633"/>
      <c r="B397" s="23" t="s">
        <v>239</v>
      </c>
      <c r="C397" s="23"/>
      <c r="D397" s="23"/>
      <c r="E397" s="919"/>
      <c r="F397" s="23"/>
    </row>
    <row r="398" spans="1:6">
      <c r="A398" s="633"/>
      <c r="B398" s="23"/>
      <c r="C398" s="23" t="s">
        <v>379</v>
      </c>
      <c r="D398" s="23"/>
      <c r="E398" s="919" t="str">
        <f>tlinputCh3Prod3Slot1Promo1</f>
        <v>3/2</v>
      </c>
      <c r="F398" s="23" t="s">
        <v>5718</v>
      </c>
    </row>
    <row r="399" spans="1:6">
      <c r="A399" s="633"/>
      <c r="B399" s="23"/>
      <c r="C399" s="23" t="s">
        <v>394</v>
      </c>
      <c r="D399" s="23"/>
      <c r="E399" s="919" t="str">
        <f>tlinputCh3Prod3Slot2Promo1</f>
        <v>No Promotion</v>
      </c>
      <c r="F399" s="23" t="s">
        <v>5719</v>
      </c>
    </row>
    <row r="400" spans="1:6">
      <c r="A400" s="633"/>
      <c r="B400" s="23"/>
      <c r="C400" s="23" t="s">
        <v>395</v>
      </c>
      <c r="D400" s="23"/>
      <c r="E400" s="919" t="str">
        <f>tlinputCh3Prod3Slot3Promo1</f>
        <v>No Promotion</v>
      </c>
      <c r="F400" s="23" t="s">
        <v>5720</v>
      </c>
    </row>
    <row r="401" spans="1:6">
      <c r="A401" s="633"/>
      <c r="B401" s="23" t="s">
        <v>240</v>
      </c>
      <c r="C401" s="23"/>
      <c r="D401" s="23"/>
      <c r="E401" s="919"/>
      <c r="F401" s="23"/>
    </row>
    <row r="402" spans="1:6">
      <c r="A402" s="633"/>
      <c r="B402" s="23"/>
      <c r="C402" s="23" t="s">
        <v>379</v>
      </c>
      <c r="D402" s="23"/>
      <c r="E402" s="919" t="str">
        <f>tlinputCh3Prod4Slot1Promo1</f>
        <v>No Promotion</v>
      </c>
      <c r="F402" s="23" t="s">
        <v>5721</v>
      </c>
    </row>
    <row r="403" spans="1:6">
      <c r="A403" s="633"/>
      <c r="B403" s="23"/>
      <c r="C403" s="23" t="s">
        <v>394</v>
      </c>
      <c r="D403" s="23"/>
      <c r="E403" s="919" t="str">
        <f>tlinputCh3Prod4Slot2Promo1</f>
        <v>No Promotion</v>
      </c>
      <c r="F403" s="23" t="s">
        <v>5722</v>
      </c>
    </row>
    <row r="404" spans="1:6">
      <c r="A404" s="633"/>
      <c r="B404" s="23"/>
      <c r="C404" s="23" t="s">
        <v>395</v>
      </c>
      <c r="D404" s="23"/>
      <c r="E404" s="919" t="str">
        <f>tlinputCh3Prod4Slot3Promo1</f>
        <v>No Promotion</v>
      </c>
      <c r="F404" s="23" t="s">
        <v>5723</v>
      </c>
    </row>
    <row r="405" spans="1:6">
      <c r="A405" s="633" t="s">
        <v>246</v>
      </c>
      <c r="B405" s="23"/>
      <c r="C405" s="23"/>
      <c r="D405" s="23"/>
      <c r="E405" s="919"/>
      <c r="F405" s="23"/>
    </row>
    <row r="406" spans="1:6">
      <c r="A406" s="633"/>
      <c r="B406" s="23" t="s">
        <v>12868</v>
      </c>
      <c r="C406" s="23"/>
      <c r="D406" s="23"/>
      <c r="E406" s="919"/>
      <c r="F406" s="23"/>
    </row>
    <row r="407" spans="1:6">
      <c r="A407" s="633"/>
      <c r="B407" s="23"/>
      <c r="C407" s="23" t="s">
        <v>379</v>
      </c>
      <c r="D407" s="23"/>
      <c r="E407" s="919" t="str">
        <f>tlinputCh4Prod1Slot1Promo1</f>
        <v>TPR 20%</v>
      </c>
      <c r="F407" s="23" t="s">
        <v>5724</v>
      </c>
    </row>
    <row r="408" spans="1:6">
      <c r="A408" s="633"/>
      <c r="B408" s="23"/>
      <c r="C408" s="23" t="s">
        <v>394</v>
      </c>
      <c r="D408" s="23"/>
      <c r="E408" s="919" t="str">
        <f>tlinputCh4Prod1Slot2Promo1</f>
        <v>No Promotion</v>
      </c>
      <c r="F408" s="23" t="s">
        <v>5725</v>
      </c>
    </row>
    <row r="409" spans="1:6">
      <c r="A409" s="633"/>
      <c r="B409" s="23"/>
      <c r="C409" s="23" t="s">
        <v>395</v>
      </c>
      <c r="D409" s="23"/>
      <c r="E409" s="919" t="str">
        <f>tlinputCh4Prod1Slot3Promo1</f>
        <v>No Promotion</v>
      </c>
      <c r="F409" s="23" t="s">
        <v>5726</v>
      </c>
    </row>
    <row r="410" spans="1:6">
      <c r="A410" s="633"/>
      <c r="B410" s="23" t="s">
        <v>238</v>
      </c>
      <c r="C410" s="23"/>
      <c r="D410" s="23"/>
      <c r="E410" s="919"/>
      <c r="F410" s="23"/>
    </row>
    <row r="411" spans="1:6">
      <c r="A411" s="633"/>
      <c r="B411" s="23"/>
      <c r="C411" s="23" t="s">
        <v>379</v>
      </c>
      <c r="D411" s="23"/>
      <c r="E411" s="919" t="str">
        <f>tlinputCh4Prod2Slot1Promo1</f>
        <v>TPR 33%</v>
      </c>
      <c r="F411" s="23" t="s">
        <v>5727</v>
      </c>
    </row>
    <row r="412" spans="1:6">
      <c r="A412" s="633"/>
      <c r="B412" s="23"/>
      <c r="C412" s="23" t="s">
        <v>394</v>
      </c>
      <c r="D412" s="23"/>
      <c r="E412" s="919" t="str">
        <f>tlinputCh4Prod2Slot2Promo1</f>
        <v>No Promotion</v>
      </c>
      <c r="F412" s="23" t="s">
        <v>5728</v>
      </c>
    </row>
    <row r="413" spans="1:6">
      <c r="A413" s="633"/>
      <c r="B413" s="23"/>
      <c r="C413" s="23" t="s">
        <v>395</v>
      </c>
      <c r="D413" s="23"/>
      <c r="E413" s="919" t="str">
        <f>tlinputCh4Prod2Slot3Promo1</f>
        <v>No Promotion</v>
      </c>
      <c r="F413" s="23" t="s">
        <v>5729</v>
      </c>
    </row>
    <row r="414" spans="1:6">
      <c r="A414" s="633"/>
      <c r="B414" s="23" t="s">
        <v>239</v>
      </c>
      <c r="C414" s="23"/>
      <c r="D414" s="23"/>
      <c r="E414" s="919"/>
      <c r="F414" s="23"/>
    </row>
    <row r="415" spans="1:6">
      <c r="A415" s="633"/>
      <c r="B415" s="23"/>
      <c r="C415" s="23" t="s">
        <v>379</v>
      </c>
      <c r="D415" s="23"/>
      <c r="E415" s="919" t="str">
        <f>tlinputCh4Prod3Slot1Promo1</f>
        <v>No Promotion</v>
      </c>
      <c r="F415" s="23" t="s">
        <v>5730</v>
      </c>
    </row>
    <row r="416" spans="1:6">
      <c r="A416" s="633"/>
      <c r="B416" s="23"/>
      <c r="C416" s="23" t="s">
        <v>394</v>
      </c>
      <c r="D416" s="23"/>
      <c r="E416" s="919" t="str">
        <f>tlinputCh4Prod3Slot2Promo1</f>
        <v>No Promotion</v>
      </c>
      <c r="F416" s="23" t="s">
        <v>5731</v>
      </c>
    </row>
    <row r="417" spans="1:6">
      <c r="A417" s="633"/>
      <c r="B417" s="23"/>
      <c r="C417" s="23" t="s">
        <v>395</v>
      </c>
      <c r="D417" s="23"/>
      <c r="E417" s="919" t="str">
        <f>tlinputCh4Prod3Slot3Promo1</f>
        <v>No Promotion</v>
      </c>
      <c r="F417" s="23" t="s">
        <v>5732</v>
      </c>
    </row>
    <row r="418" spans="1:6">
      <c r="A418" s="633"/>
      <c r="B418" s="23" t="s">
        <v>240</v>
      </c>
      <c r="C418" s="23"/>
      <c r="D418" s="23"/>
      <c r="E418" s="919"/>
      <c r="F418" s="23"/>
    </row>
    <row r="419" spans="1:6">
      <c r="A419" s="633"/>
      <c r="B419" s="23"/>
      <c r="C419" s="23" t="s">
        <v>379</v>
      </c>
      <c r="D419" s="23"/>
      <c r="E419" s="919" t="str">
        <f>tlinputCh4Prod4Slot1Promo1</f>
        <v>TPR 20%</v>
      </c>
      <c r="F419" s="23" t="s">
        <v>5733</v>
      </c>
    </row>
    <row r="420" spans="1:6">
      <c r="A420" s="633"/>
      <c r="B420" s="23"/>
      <c r="C420" s="23" t="s">
        <v>394</v>
      </c>
      <c r="D420" s="23"/>
      <c r="E420" s="919" t="str">
        <f>tlinputCh4Prod4Slot2Promo1</f>
        <v>No Promotion</v>
      </c>
      <c r="F420" s="23" t="s">
        <v>5734</v>
      </c>
    </row>
    <row r="421" spans="1:6">
      <c r="A421" s="633"/>
      <c r="B421" s="23"/>
      <c r="C421" s="23" t="s">
        <v>395</v>
      </c>
      <c r="D421" s="23"/>
      <c r="E421" s="919" t="str">
        <f>tlinputCh4Prod4Slot3Promo1</f>
        <v>No Promotion</v>
      </c>
      <c r="F421" s="23" t="s">
        <v>5735</v>
      </c>
    </row>
    <row r="422" spans="1:6">
      <c r="A422" s="311"/>
    </row>
    <row r="423" spans="1:6" s="643" customFormat="1">
      <c r="A423" s="644" t="s">
        <v>5863</v>
      </c>
      <c r="B423" s="644"/>
      <c r="C423" s="644"/>
      <c r="D423" s="644"/>
      <c r="E423" s="644"/>
    </row>
    <row r="424" spans="1:6" s="610" customFormat="1">
      <c r="A424" s="633"/>
      <c r="B424" s="614"/>
      <c r="C424" s="614"/>
      <c r="D424" s="614"/>
      <c r="E424" s="614"/>
      <c r="F424" s="614"/>
    </row>
    <row r="425" spans="1:6" s="610" customFormat="1">
      <c r="A425" s="633" t="s">
        <v>14060</v>
      </c>
      <c r="B425" s="614"/>
      <c r="C425" s="614"/>
      <c r="D425" s="614"/>
      <c r="E425" s="614"/>
      <c r="F425" s="614"/>
    </row>
    <row r="426" spans="1:6" s="610" customFormat="1">
      <c r="A426" s="633"/>
      <c r="B426" s="614" t="s">
        <v>12868</v>
      </c>
      <c r="C426" s="614"/>
      <c r="D426" s="614"/>
      <c r="E426" s="614"/>
      <c r="F426" s="614"/>
    </row>
    <row r="427" spans="1:6" s="610" customFormat="1">
      <c r="A427" s="633"/>
      <c r="B427" s="614"/>
      <c r="C427" s="614" t="s">
        <v>379</v>
      </c>
      <c r="D427" s="614"/>
      <c r="E427" s="653">
        <f>tlinputCh1Prod1Slot1Promo1Weeks</f>
        <v>4</v>
      </c>
      <c r="F427" s="614" t="s">
        <v>5864</v>
      </c>
    </row>
    <row r="428" spans="1:6" s="610" customFormat="1">
      <c r="A428" s="633"/>
      <c r="B428" s="614"/>
      <c r="C428" s="614" t="s">
        <v>394</v>
      </c>
      <c r="D428" s="614"/>
      <c r="E428" s="653">
        <f>tlinputCh1Prod1Slot2Promo1Weeks</f>
        <v>0</v>
      </c>
      <c r="F428" s="614" t="s">
        <v>5865</v>
      </c>
    </row>
    <row r="429" spans="1:6" s="610" customFormat="1">
      <c r="A429" s="633"/>
      <c r="B429" s="614"/>
      <c r="C429" s="614" t="s">
        <v>395</v>
      </c>
      <c r="D429" s="614"/>
      <c r="E429" s="653">
        <f>tlinputCh1Prod1Slot3Promo1Weeks</f>
        <v>0</v>
      </c>
      <c r="F429" s="614" t="s">
        <v>5866</v>
      </c>
    </row>
    <row r="430" spans="1:6" s="610" customFormat="1">
      <c r="A430" s="633"/>
      <c r="B430" s="614" t="s">
        <v>238</v>
      </c>
      <c r="C430" s="614"/>
      <c r="D430" s="614"/>
      <c r="E430" s="653"/>
      <c r="F430" s="614"/>
    </row>
    <row r="431" spans="1:6" s="610" customFormat="1">
      <c r="A431" s="633"/>
      <c r="B431" s="614"/>
      <c r="C431" s="614" t="s">
        <v>379</v>
      </c>
      <c r="D431" s="614"/>
      <c r="E431" s="653">
        <f>tlinputCh1Prod2Slot1Promo1Weeks</f>
        <v>2</v>
      </c>
      <c r="F431" s="614" t="s">
        <v>5867</v>
      </c>
    </row>
    <row r="432" spans="1:6" s="610" customFormat="1">
      <c r="A432" s="633"/>
      <c r="B432" s="614"/>
      <c r="C432" s="614" t="s">
        <v>394</v>
      </c>
      <c r="D432" s="614"/>
      <c r="E432" s="653">
        <f>tlinputCh1Prod2Slot2Promo1Weeks</f>
        <v>3</v>
      </c>
      <c r="F432" s="614" t="s">
        <v>5868</v>
      </c>
    </row>
    <row r="433" spans="1:6" s="610" customFormat="1">
      <c r="A433" s="633"/>
      <c r="B433" s="614"/>
      <c r="C433" s="614" t="s">
        <v>395</v>
      </c>
      <c r="D433" s="614"/>
      <c r="E433" s="653">
        <f>tlinputCh1Prod2Slot3Promo1Weeks</f>
        <v>0</v>
      </c>
      <c r="F433" s="614" t="s">
        <v>5869</v>
      </c>
    </row>
    <row r="434" spans="1:6" s="610" customFormat="1">
      <c r="A434" s="633"/>
      <c r="B434" s="614" t="s">
        <v>239</v>
      </c>
      <c r="C434" s="614"/>
      <c r="D434" s="614"/>
      <c r="E434" s="653"/>
      <c r="F434" s="614"/>
    </row>
    <row r="435" spans="1:6" s="610" customFormat="1">
      <c r="A435" s="633"/>
      <c r="B435" s="614"/>
      <c r="C435" s="614" t="s">
        <v>379</v>
      </c>
      <c r="D435" s="614"/>
      <c r="E435" s="653">
        <f>tlinputCh1Prod3Slot1Promo1Weeks</f>
        <v>2</v>
      </c>
      <c r="F435" s="614" t="s">
        <v>5870</v>
      </c>
    </row>
    <row r="436" spans="1:6" s="610" customFormat="1">
      <c r="A436" s="633"/>
      <c r="B436" s="614"/>
      <c r="C436" s="614" t="s">
        <v>394</v>
      </c>
      <c r="D436" s="614"/>
      <c r="E436" s="653">
        <f>tlinputCh1Prod3Slot2Promo1Weeks</f>
        <v>3</v>
      </c>
      <c r="F436" s="614" t="s">
        <v>5871</v>
      </c>
    </row>
    <row r="437" spans="1:6" s="610" customFormat="1">
      <c r="A437" s="633"/>
      <c r="B437" s="614"/>
      <c r="C437" s="614" t="s">
        <v>395</v>
      </c>
      <c r="D437" s="614"/>
      <c r="E437" s="653">
        <f>tlinputCh1Prod3Slot3Promo1Weeks</f>
        <v>0</v>
      </c>
      <c r="F437" s="614" t="s">
        <v>5872</v>
      </c>
    </row>
    <row r="438" spans="1:6" s="610" customFormat="1">
      <c r="A438" s="633"/>
      <c r="B438" s="614" t="s">
        <v>240</v>
      </c>
      <c r="C438" s="614"/>
      <c r="D438" s="614"/>
      <c r="E438" s="653"/>
      <c r="F438" s="614"/>
    </row>
    <row r="439" spans="1:6" s="610" customFormat="1">
      <c r="A439" s="633"/>
      <c r="B439" s="614"/>
      <c r="C439" s="614" t="s">
        <v>379</v>
      </c>
      <c r="D439" s="614"/>
      <c r="E439" s="653">
        <f>tlinputCh1Prod4Slot1Promo1Weeks</f>
        <v>0</v>
      </c>
      <c r="F439" s="614" t="s">
        <v>5873</v>
      </c>
    </row>
    <row r="440" spans="1:6" s="610" customFormat="1">
      <c r="A440" s="633"/>
      <c r="B440" s="614"/>
      <c r="C440" s="614" t="s">
        <v>394</v>
      </c>
      <c r="D440" s="614"/>
      <c r="E440" s="653">
        <f>tlinputCh1Prod4Slot2Promo1Weeks</f>
        <v>0</v>
      </c>
      <c r="F440" s="614" t="s">
        <v>5874</v>
      </c>
    </row>
    <row r="441" spans="1:6" s="610" customFormat="1">
      <c r="A441" s="633"/>
      <c r="B441" s="614"/>
      <c r="C441" s="614" t="s">
        <v>395</v>
      </c>
      <c r="D441" s="614"/>
      <c r="E441" s="653">
        <f>tlinputCh1Prod4Slot3Promo1Weeks</f>
        <v>0</v>
      </c>
      <c r="F441" s="614" t="s">
        <v>5875</v>
      </c>
    </row>
    <row r="442" spans="1:6" s="610" customFormat="1">
      <c r="A442" s="633" t="s">
        <v>14061</v>
      </c>
      <c r="B442" s="614"/>
      <c r="C442" s="614"/>
      <c r="D442" s="614"/>
      <c r="E442" s="653"/>
      <c r="F442" s="614"/>
    </row>
    <row r="443" spans="1:6" s="610" customFormat="1">
      <c r="A443" s="633"/>
      <c r="B443" s="614" t="s">
        <v>12868</v>
      </c>
      <c r="C443" s="614"/>
      <c r="D443" s="614"/>
      <c r="E443" s="653"/>
      <c r="F443" s="614"/>
    </row>
    <row r="444" spans="1:6" s="610" customFormat="1">
      <c r="A444" s="633"/>
      <c r="B444" s="614"/>
      <c r="C444" s="614" t="s">
        <v>379</v>
      </c>
      <c r="D444" s="614"/>
      <c r="E444" s="653">
        <f>tlinputCh1Prod1Slot1Promo2Weeks</f>
        <v>2</v>
      </c>
      <c r="F444" s="614" t="s">
        <v>5900</v>
      </c>
    </row>
    <row r="445" spans="1:6" s="610" customFormat="1">
      <c r="A445" s="633"/>
      <c r="B445" s="614"/>
      <c r="C445" s="614" t="s">
        <v>394</v>
      </c>
      <c r="D445" s="614"/>
      <c r="E445" s="653">
        <f>tlinputCh1Prod1Slot2Promo2Weeks</f>
        <v>0</v>
      </c>
      <c r="F445" s="614" t="s">
        <v>5901</v>
      </c>
    </row>
    <row r="446" spans="1:6" s="610" customFormat="1">
      <c r="A446" s="633"/>
      <c r="B446" s="614"/>
      <c r="C446" s="614" t="s">
        <v>395</v>
      </c>
      <c r="D446" s="614"/>
      <c r="E446" s="653">
        <f>tlinputCh1Prod1Slot3Promo2Weeks</f>
        <v>0</v>
      </c>
      <c r="F446" s="614" t="s">
        <v>5902</v>
      </c>
    </row>
    <row r="447" spans="1:6" s="610" customFormat="1">
      <c r="A447" s="633"/>
      <c r="B447" s="614" t="s">
        <v>238</v>
      </c>
      <c r="C447" s="614"/>
      <c r="D447" s="614"/>
      <c r="E447" s="653"/>
      <c r="F447" s="614"/>
    </row>
    <row r="448" spans="1:6" s="610" customFormat="1">
      <c r="A448" s="633"/>
      <c r="B448" s="614"/>
      <c r="C448" s="614" t="s">
        <v>379</v>
      </c>
      <c r="D448" s="614"/>
      <c r="E448" s="653">
        <f>tlinputCh1Prod2Slot1Promo2Weeks</f>
        <v>0</v>
      </c>
      <c r="F448" s="614" t="s">
        <v>5903</v>
      </c>
    </row>
    <row r="449" spans="1:6" s="610" customFormat="1">
      <c r="A449" s="633"/>
      <c r="B449" s="614"/>
      <c r="C449" s="614" t="s">
        <v>394</v>
      </c>
      <c r="D449" s="614"/>
      <c r="E449" s="653">
        <f>tlinputCh1Prod2Slot2Promo2Weeks</f>
        <v>2</v>
      </c>
      <c r="F449" s="614" t="s">
        <v>5904</v>
      </c>
    </row>
    <row r="450" spans="1:6" s="610" customFormat="1">
      <c r="A450" s="633"/>
      <c r="B450" s="614"/>
      <c r="C450" s="614" t="s">
        <v>395</v>
      </c>
      <c r="D450" s="614"/>
      <c r="E450" s="653">
        <f>tlinputCh1Prod2Slot3Promo2Weeks</f>
        <v>0</v>
      </c>
      <c r="F450" s="614" t="s">
        <v>5905</v>
      </c>
    </row>
    <row r="451" spans="1:6" s="610" customFormat="1">
      <c r="A451" s="633"/>
      <c r="B451" s="614" t="s">
        <v>239</v>
      </c>
      <c r="C451" s="614"/>
      <c r="D451" s="614"/>
      <c r="E451" s="653"/>
      <c r="F451" s="614"/>
    </row>
    <row r="452" spans="1:6" s="610" customFormat="1">
      <c r="A452" s="633"/>
      <c r="B452" s="614"/>
      <c r="C452" s="614" t="s">
        <v>379</v>
      </c>
      <c r="D452" s="614"/>
      <c r="E452" s="653">
        <f>tlinputCh1Prod3Slot1Promo2Weeks</f>
        <v>0</v>
      </c>
      <c r="F452" s="614" t="s">
        <v>5906</v>
      </c>
    </row>
    <row r="453" spans="1:6" s="610" customFormat="1">
      <c r="A453" s="633"/>
      <c r="B453" s="614"/>
      <c r="C453" s="614" t="s">
        <v>394</v>
      </c>
      <c r="D453" s="614"/>
      <c r="E453" s="653">
        <f>tlinputCh1Prod3Slot2Promo2Weeks</f>
        <v>0</v>
      </c>
      <c r="F453" s="614" t="s">
        <v>5907</v>
      </c>
    </row>
    <row r="454" spans="1:6" s="610" customFormat="1">
      <c r="A454" s="633"/>
      <c r="B454" s="614"/>
      <c r="C454" s="614" t="s">
        <v>395</v>
      </c>
      <c r="D454" s="614"/>
      <c r="E454" s="653">
        <f>tlinputCh1Prod3Slot3Promo2Weeks</f>
        <v>0</v>
      </c>
      <c r="F454" s="614" t="s">
        <v>5908</v>
      </c>
    </row>
    <row r="455" spans="1:6" s="610" customFormat="1">
      <c r="A455" s="633"/>
      <c r="B455" s="614" t="s">
        <v>240</v>
      </c>
      <c r="C455" s="614"/>
      <c r="D455" s="614"/>
      <c r="E455" s="653"/>
      <c r="F455" s="614"/>
    </row>
    <row r="456" spans="1:6" s="610" customFormat="1">
      <c r="A456" s="633"/>
      <c r="B456" s="614"/>
      <c r="C456" s="614" t="s">
        <v>379</v>
      </c>
      <c r="D456" s="614"/>
      <c r="E456" s="653">
        <f>tlinputCh1Prod4Slot1Promo2Weeks</f>
        <v>0</v>
      </c>
      <c r="F456" s="614" t="s">
        <v>5909</v>
      </c>
    </row>
    <row r="457" spans="1:6" s="610" customFormat="1">
      <c r="A457" s="633"/>
      <c r="B457" s="614"/>
      <c r="C457" s="614" t="s">
        <v>394</v>
      </c>
      <c r="D457" s="614"/>
      <c r="E457" s="653">
        <f>tlinputCh1Prod4Slot2Promo2Weeks</f>
        <v>0</v>
      </c>
      <c r="F457" s="614" t="s">
        <v>5910</v>
      </c>
    </row>
    <row r="458" spans="1:6" s="610" customFormat="1">
      <c r="A458" s="633"/>
      <c r="B458" s="614"/>
      <c r="C458" s="614" t="s">
        <v>395</v>
      </c>
      <c r="D458" s="614"/>
      <c r="E458" s="653">
        <f>tlinputCh1Prod4Slot3Promo2Weeks</f>
        <v>0</v>
      </c>
      <c r="F458" s="614" t="s">
        <v>5911</v>
      </c>
    </row>
    <row r="459" spans="1:6" s="610" customFormat="1">
      <c r="A459" s="633" t="s">
        <v>5199</v>
      </c>
      <c r="B459" s="614"/>
      <c r="C459" s="614"/>
      <c r="D459" s="614"/>
      <c r="E459" s="653"/>
      <c r="F459" s="614"/>
    </row>
    <row r="460" spans="1:6" s="610" customFormat="1">
      <c r="A460" s="633"/>
      <c r="B460" s="614" t="s">
        <v>12868</v>
      </c>
      <c r="C460" s="614"/>
      <c r="D460" s="614"/>
      <c r="E460" s="653"/>
      <c r="F460" s="614"/>
    </row>
    <row r="461" spans="1:6" s="610" customFormat="1">
      <c r="A461" s="633"/>
      <c r="B461" s="614"/>
      <c r="C461" s="614" t="s">
        <v>379</v>
      </c>
      <c r="D461" s="614"/>
      <c r="E461" s="653">
        <f>tlinputCh3Prod1Slot1Promo1Weeks</f>
        <v>2</v>
      </c>
      <c r="F461" s="614" t="s">
        <v>5876</v>
      </c>
    </row>
    <row r="462" spans="1:6" s="610" customFormat="1">
      <c r="A462" s="633"/>
      <c r="B462" s="614"/>
      <c r="C462" s="614" t="s">
        <v>394</v>
      </c>
      <c r="D462" s="614"/>
      <c r="E462" s="653">
        <f>tlinputCh3Prod1Slot2Promo1Weeks</f>
        <v>0</v>
      </c>
      <c r="F462" s="614" t="s">
        <v>5877</v>
      </c>
    </row>
    <row r="463" spans="1:6" s="610" customFormat="1">
      <c r="A463" s="633"/>
      <c r="B463" s="614"/>
      <c r="C463" s="614" t="s">
        <v>395</v>
      </c>
      <c r="D463" s="614"/>
      <c r="E463" s="653">
        <f>tlinputCh3Prod1Slot3Promo1Weeks</f>
        <v>0</v>
      </c>
      <c r="F463" s="614" t="s">
        <v>5878</v>
      </c>
    </row>
    <row r="464" spans="1:6" s="610" customFormat="1">
      <c r="A464" s="633"/>
      <c r="B464" s="614" t="s">
        <v>238</v>
      </c>
      <c r="C464" s="614"/>
      <c r="D464" s="614"/>
      <c r="E464" s="653"/>
      <c r="F464" s="614"/>
    </row>
    <row r="465" spans="1:6" s="610" customFormat="1">
      <c r="A465" s="633"/>
      <c r="B465" s="614"/>
      <c r="C465" s="614" t="s">
        <v>379</v>
      </c>
      <c r="D465" s="614"/>
      <c r="E465" s="653">
        <f>tlinputCh3Prod2Slot1Promo1Weeks</f>
        <v>2</v>
      </c>
      <c r="F465" s="614" t="s">
        <v>5879</v>
      </c>
    </row>
    <row r="466" spans="1:6" s="610" customFormat="1">
      <c r="A466" s="633"/>
      <c r="B466" s="614"/>
      <c r="C466" s="614" t="s">
        <v>394</v>
      </c>
      <c r="D466" s="614"/>
      <c r="E466" s="653">
        <f>tlinputCh3Prod2Slot2Promo1Weeks</f>
        <v>2</v>
      </c>
      <c r="F466" s="614" t="s">
        <v>5880</v>
      </c>
    </row>
    <row r="467" spans="1:6" s="610" customFormat="1">
      <c r="A467" s="633"/>
      <c r="B467" s="614"/>
      <c r="C467" s="614" t="s">
        <v>395</v>
      </c>
      <c r="D467" s="614"/>
      <c r="E467" s="653">
        <f>tlinputCh3Prod2Slot3Promo1Weeks</f>
        <v>0</v>
      </c>
      <c r="F467" s="614" t="s">
        <v>5881</v>
      </c>
    </row>
    <row r="468" spans="1:6" s="610" customFormat="1">
      <c r="A468" s="633"/>
      <c r="B468" s="614" t="s">
        <v>239</v>
      </c>
      <c r="C468" s="614"/>
      <c r="D468" s="614"/>
      <c r="E468" s="653"/>
      <c r="F468" s="614"/>
    </row>
    <row r="469" spans="1:6" s="610" customFormat="1">
      <c r="A469" s="633"/>
      <c r="B469" s="614"/>
      <c r="C469" s="614" t="s">
        <v>379</v>
      </c>
      <c r="D469" s="614"/>
      <c r="E469" s="653">
        <f>tlinputCh3Prod3Slot1Promo1Weeks</f>
        <v>3</v>
      </c>
      <c r="F469" s="614" t="s">
        <v>5882</v>
      </c>
    </row>
    <row r="470" spans="1:6" s="610" customFormat="1">
      <c r="A470" s="633"/>
      <c r="B470" s="614"/>
      <c r="C470" s="614" t="s">
        <v>394</v>
      </c>
      <c r="D470" s="614"/>
      <c r="E470" s="653">
        <f>tlinputCh3Prod3Slot2Promo1Weeks</f>
        <v>0</v>
      </c>
      <c r="F470" s="614" t="s">
        <v>5883</v>
      </c>
    </row>
    <row r="471" spans="1:6" s="610" customFormat="1">
      <c r="A471" s="633"/>
      <c r="B471" s="614"/>
      <c r="C471" s="614" t="s">
        <v>395</v>
      </c>
      <c r="D471" s="614"/>
      <c r="E471" s="653">
        <f>tlinputCh3Prod3Slot3Promo1Weeks</f>
        <v>0</v>
      </c>
      <c r="F471" s="614" t="s">
        <v>5884</v>
      </c>
    </row>
    <row r="472" spans="1:6" s="610" customFormat="1">
      <c r="A472" s="633"/>
      <c r="B472" s="614" t="s">
        <v>240</v>
      </c>
      <c r="C472" s="614"/>
      <c r="D472" s="614"/>
      <c r="E472" s="653"/>
      <c r="F472" s="614"/>
    </row>
    <row r="473" spans="1:6" s="610" customFormat="1">
      <c r="A473" s="633"/>
      <c r="B473" s="614"/>
      <c r="C473" s="614" t="s">
        <v>379</v>
      </c>
      <c r="D473" s="614"/>
      <c r="E473" s="653">
        <f>tlinputCh3Prod4Slot1Promo1Weeks</f>
        <v>0</v>
      </c>
      <c r="F473" s="614" t="s">
        <v>5885</v>
      </c>
    </row>
    <row r="474" spans="1:6" s="610" customFormat="1">
      <c r="A474" s="633"/>
      <c r="B474" s="614"/>
      <c r="C474" s="614" t="s">
        <v>394</v>
      </c>
      <c r="D474" s="614"/>
      <c r="E474" s="653">
        <f>tlinputCh3Prod4Slot2Promo1Weeks</f>
        <v>0</v>
      </c>
      <c r="F474" s="614" t="s">
        <v>5886</v>
      </c>
    </row>
    <row r="475" spans="1:6" s="610" customFormat="1">
      <c r="A475" s="633"/>
      <c r="B475" s="614"/>
      <c r="C475" s="614" t="s">
        <v>395</v>
      </c>
      <c r="D475" s="614"/>
      <c r="E475" s="653">
        <f>tlinputCh3Prod4Slot3Promo1Weeks</f>
        <v>0</v>
      </c>
      <c r="F475" s="614" t="s">
        <v>5887</v>
      </c>
    </row>
    <row r="476" spans="1:6" s="610" customFormat="1">
      <c r="A476" s="633" t="s">
        <v>246</v>
      </c>
      <c r="B476" s="614"/>
      <c r="C476" s="614"/>
      <c r="D476" s="614"/>
      <c r="E476" s="653"/>
      <c r="F476" s="614"/>
    </row>
    <row r="477" spans="1:6" s="610" customFormat="1">
      <c r="A477" s="633"/>
      <c r="B477" s="614" t="s">
        <v>12868</v>
      </c>
      <c r="C477" s="614"/>
      <c r="D477" s="614"/>
      <c r="E477" s="653"/>
      <c r="F477" s="614"/>
    </row>
    <row r="478" spans="1:6" s="610" customFormat="1">
      <c r="A478" s="633"/>
      <c r="B478" s="614"/>
      <c r="C478" s="614" t="s">
        <v>379</v>
      </c>
      <c r="D478" s="614"/>
      <c r="E478" s="653">
        <f>tlinputCh4Prod1Slot1Promo1Weeks</f>
        <v>4</v>
      </c>
      <c r="F478" s="614" t="s">
        <v>5888</v>
      </c>
    </row>
    <row r="479" spans="1:6" s="610" customFormat="1">
      <c r="A479" s="633"/>
      <c r="B479" s="614"/>
      <c r="C479" s="614" t="s">
        <v>394</v>
      </c>
      <c r="D479" s="614"/>
      <c r="E479" s="653">
        <f>tlinputCh4Prod1Slot2Promo1Weeks</f>
        <v>0</v>
      </c>
      <c r="F479" s="614" t="s">
        <v>5889</v>
      </c>
    </row>
    <row r="480" spans="1:6" s="610" customFormat="1">
      <c r="A480" s="633"/>
      <c r="B480" s="614"/>
      <c r="C480" s="614" t="s">
        <v>395</v>
      </c>
      <c r="D480" s="614"/>
      <c r="E480" s="653">
        <f>tlinputCh4Prod1Slot3Promo1Weeks</f>
        <v>0</v>
      </c>
      <c r="F480" s="614" t="s">
        <v>5890</v>
      </c>
    </row>
    <row r="481" spans="1:6" s="610" customFormat="1">
      <c r="A481" s="633"/>
      <c r="B481" s="614" t="s">
        <v>238</v>
      </c>
      <c r="C481" s="614"/>
      <c r="D481" s="614"/>
      <c r="E481" s="653"/>
      <c r="F481" s="614"/>
    </row>
    <row r="482" spans="1:6" s="610" customFormat="1">
      <c r="A482" s="633"/>
      <c r="B482" s="614"/>
      <c r="C482" s="614" t="s">
        <v>379</v>
      </c>
      <c r="D482" s="614"/>
      <c r="E482" s="653">
        <f>tlinputCh4Prod2Slot1Promo1Weeks</f>
        <v>8</v>
      </c>
      <c r="F482" s="614" t="s">
        <v>5891</v>
      </c>
    </row>
    <row r="483" spans="1:6" s="610" customFormat="1">
      <c r="A483" s="633"/>
      <c r="B483" s="614"/>
      <c r="C483" s="614" t="s">
        <v>394</v>
      </c>
      <c r="D483" s="614"/>
      <c r="E483" s="653">
        <f>tlinputCh4Prod2Slot2Promo1Weeks</f>
        <v>0</v>
      </c>
      <c r="F483" s="614" t="s">
        <v>5892</v>
      </c>
    </row>
    <row r="484" spans="1:6" s="610" customFormat="1">
      <c r="A484" s="633"/>
      <c r="B484" s="614"/>
      <c r="C484" s="614" t="s">
        <v>395</v>
      </c>
      <c r="D484" s="614"/>
      <c r="E484" s="653">
        <f>tlinputCh4Prod2Slot3Promo1Weeks</f>
        <v>0</v>
      </c>
      <c r="F484" s="614" t="s">
        <v>5893</v>
      </c>
    </row>
    <row r="485" spans="1:6" s="610" customFormat="1">
      <c r="A485" s="633"/>
      <c r="B485" s="614" t="s">
        <v>239</v>
      </c>
      <c r="C485" s="614"/>
      <c r="D485" s="614"/>
      <c r="E485" s="653"/>
      <c r="F485" s="614"/>
    </row>
    <row r="486" spans="1:6" s="610" customFormat="1">
      <c r="A486" s="633"/>
      <c r="B486" s="614"/>
      <c r="C486" s="614" t="s">
        <v>379</v>
      </c>
      <c r="D486" s="614"/>
      <c r="E486" s="653">
        <f>tlinputCh4Prod3Slot1Promo1Weeks</f>
        <v>0</v>
      </c>
      <c r="F486" s="614" t="s">
        <v>5894</v>
      </c>
    </row>
    <row r="487" spans="1:6" s="610" customFormat="1">
      <c r="A487" s="633"/>
      <c r="B487" s="614"/>
      <c r="C487" s="614" t="s">
        <v>394</v>
      </c>
      <c r="D487" s="614"/>
      <c r="E487" s="653">
        <f>tlinputCh4Prod3Slot2Promo1Weeks</f>
        <v>0</v>
      </c>
      <c r="F487" s="614" t="s">
        <v>5895</v>
      </c>
    </row>
    <row r="488" spans="1:6" s="610" customFormat="1">
      <c r="A488" s="633"/>
      <c r="B488" s="614"/>
      <c r="C488" s="614" t="s">
        <v>395</v>
      </c>
      <c r="D488" s="614"/>
      <c r="E488" s="653">
        <f>tlinputCh4Prod3Slot3Promo1Weeks</f>
        <v>0</v>
      </c>
      <c r="F488" s="614" t="s">
        <v>5896</v>
      </c>
    </row>
    <row r="489" spans="1:6" s="610" customFormat="1">
      <c r="A489" s="633"/>
      <c r="B489" s="614" t="s">
        <v>240</v>
      </c>
      <c r="C489" s="614"/>
      <c r="D489" s="614"/>
      <c r="E489" s="653"/>
      <c r="F489" s="614"/>
    </row>
    <row r="490" spans="1:6" s="610" customFormat="1">
      <c r="A490" s="633"/>
      <c r="B490" s="614"/>
      <c r="C490" s="614" t="s">
        <v>379</v>
      </c>
      <c r="D490" s="614"/>
      <c r="E490" s="653">
        <f>tlinputCh4Prod4Slot1Promo1Weeks</f>
        <v>2</v>
      </c>
      <c r="F490" s="614" t="s">
        <v>5897</v>
      </c>
    </row>
    <row r="491" spans="1:6" s="610" customFormat="1">
      <c r="A491" s="633"/>
      <c r="B491" s="614"/>
      <c r="C491" s="614" t="s">
        <v>394</v>
      </c>
      <c r="D491" s="614"/>
      <c r="E491" s="653">
        <f>tlinputCh4Prod4Slot2Promo1Weeks</f>
        <v>0</v>
      </c>
      <c r="F491" s="614" t="s">
        <v>5898</v>
      </c>
    </row>
    <row r="492" spans="1:6" s="610" customFormat="1">
      <c r="A492" s="633"/>
      <c r="B492" s="614"/>
      <c r="C492" s="614" t="s">
        <v>395</v>
      </c>
      <c r="D492" s="614"/>
      <c r="E492" s="653">
        <f>tlinputCh4Prod4Slot3Promo1Weeks</f>
        <v>0</v>
      </c>
      <c r="F492" s="614" t="s">
        <v>5899</v>
      </c>
    </row>
    <row r="493" spans="1:6" s="610" customFormat="1">
      <c r="A493" s="311"/>
      <c r="B493" s="611"/>
    </row>
    <row r="494" spans="1:6" s="278" customFormat="1">
      <c r="A494" s="644" t="s">
        <v>393</v>
      </c>
      <c r="B494" s="280"/>
      <c r="C494" s="280"/>
      <c r="D494" s="280"/>
      <c r="E494" s="280"/>
    </row>
    <row r="495" spans="1:6">
      <c r="A495" s="633"/>
      <c r="B495" s="23"/>
      <c r="C495" s="23"/>
      <c r="D495" s="23"/>
      <c r="E495" s="23"/>
      <c r="F495" s="23"/>
    </row>
    <row r="496" spans="1:6">
      <c r="A496" s="633" t="s">
        <v>244</v>
      </c>
      <c r="B496" s="23"/>
      <c r="C496" s="23"/>
      <c r="D496" s="23"/>
      <c r="E496" s="23"/>
      <c r="F496" s="23"/>
    </row>
    <row r="497" spans="1:6">
      <c r="A497" s="633"/>
      <c r="B497" s="23" t="s">
        <v>12868</v>
      </c>
      <c r="C497" s="23"/>
      <c r="D497" s="23"/>
      <c r="E497" s="23"/>
      <c r="F497" s="23"/>
    </row>
    <row r="498" spans="1:6">
      <c r="A498" s="633"/>
      <c r="B498" s="23"/>
      <c r="C498" s="23" t="s">
        <v>379</v>
      </c>
      <c r="D498" s="23"/>
      <c r="E498" s="465">
        <f>tlinputCh1Prod1Slot1Forecast</f>
        <v>1</v>
      </c>
      <c r="F498" s="23" t="s">
        <v>3184</v>
      </c>
    </row>
    <row r="499" spans="1:6">
      <c r="A499" s="633"/>
      <c r="B499" s="23"/>
      <c r="C499" s="23" t="s">
        <v>394</v>
      </c>
      <c r="D499" s="23"/>
      <c r="E499" s="465">
        <f>tlinputCh1Prod1Slot2Forecast</f>
        <v>0</v>
      </c>
      <c r="F499" s="23" t="s">
        <v>3185</v>
      </c>
    </row>
    <row r="500" spans="1:6">
      <c r="A500" s="633"/>
      <c r="B500" s="23"/>
      <c r="C500" s="23" t="s">
        <v>395</v>
      </c>
      <c r="D500" s="23"/>
      <c r="E500" s="465">
        <f>tlinputCh1Prod1Slot3Forecast</f>
        <v>0</v>
      </c>
      <c r="F500" s="23" t="s">
        <v>3186</v>
      </c>
    </row>
    <row r="501" spans="1:6">
      <c r="A501" s="633"/>
      <c r="B501" s="23" t="s">
        <v>238</v>
      </c>
      <c r="C501" s="23"/>
      <c r="D501" s="23"/>
      <c r="E501" s="465"/>
      <c r="F501" s="23"/>
    </row>
    <row r="502" spans="1:6">
      <c r="A502" s="633"/>
      <c r="B502" s="23"/>
      <c r="C502" s="23" t="s">
        <v>379</v>
      </c>
      <c r="D502" s="23"/>
      <c r="E502" s="465">
        <f>tlinputCh1Prod2Slot1Forecast</f>
        <v>0.44999999999999996</v>
      </c>
      <c r="F502" s="23" t="s">
        <v>3187</v>
      </c>
    </row>
    <row r="503" spans="1:6">
      <c r="A503" s="633"/>
      <c r="B503" s="23"/>
      <c r="C503" s="23" t="s">
        <v>394</v>
      </c>
      <c r="D503" s="23"/>
      <c r="E503" s="465">
        <f>tlinputCh1Prod2Slot2Forecast</f>
        <v>0.55000000000000004</v>
      </c>
      <c r="F503" s="23" t="s">
        <v>3188</v>
      </c>
    </row>
    <row r="504" spans="1:6">
      <c r="A504" s="633"/>
      <c r="B504" s="23"/>
      <c r="C504" s="23" t="s">
        <v>395</v>
      </c>
      <c r="D504" s="23"/>
      <c r="E504" s="465">
        <f>tlinputCh1Prod2Slot3Forecast</f>
        <v>0</v>
      </c>
      <c r="F504" s="23" t="s">
        <v>3189</v>
      </c>
    </row>
    <row r="505" spans="1:6">
      <c r="A505" s="633"/>
      <c r="B505" s="23" t="s">
        <v>239</v>
      </c>
      <c r="C505" s="23"/>
      <c r="D505" s="23"/>
      <c r="E505" s="465"/>
      <c r="F505" s="23"/>
    </row>
    <row r="506" spans="1:6">
      <c r="A506" s="633"/>
      <c r="B506" s="23"/>
      <c r="C506" s="23" t="s">
        <v>379</v>
      </c>
      <c r="D506" s="23"/>
      <c r="E506" s="465">
        <f>tlinputCh1Prod3Slot1Forecast</f>
        <v>0.4</v>
      </c>
      <c r="F506" s="23" t="s">
        <v>3190</v>
      </c>
    </row>
    <row r="507" spans="1:6">
      <c r="A507" s="633"/>
      <c r="B507" s="23"/>
      <c r="C507" s="23" t="s">
        <v>394</v>
      </c>
      <c r="D507" s="23"/>
      <c r="E507" s="465">
        <f>tlinputCh1Prod3Slot2Forecast</f>
        <v>0.6</v>
      </c>
      <c r="F507" s="23" t="s">
        <v>3191</v>
      </c>
    </row>
    <row r="508" spans="1:6">
      <c r="A508" s="633"/>
      <c r="B508" s="23"/>
      <c r="C508" s="23" t="s">
        <v>395</v>
      </c>
      <c r="D508" s="23"/>
      <c r="E508" s="465">
        <f>tlinputCh1Prod3Slot3Forecast</f>
        <v>0</v>
      </c>
      <c r="F508" s="23" t="s">
        <v>3192</v>
      </c>
    </row>
    <row r="509" spans="1:6">
      <c r="A509" s="633"/>
      <c r="B509" s="23" t="s">
        <v>240</v>
      </c>
      <c r="C509" s="23"/>
      <c r="D509" s="23"/>
      <c r="E509" s="465"/>
      <c r="F509" s="23"/>
    </row>
    <row r="510" spans="1:6">
      <c r="A510" s="633"/>
      <c r="B510" s="23"/>
      <c r="C510" s="23" t="s">
        <v>379</v>
      </c>
      <c r="D510" s="23"/>
      <c r="E510" s="465">
        <f>tlinputCh1Prod4Slot1Forecast</f>
        <v>1</v>
      </c>
      <c r="F510" s="23" t="s">
        <v>3193</v>
      </c>
    </row>
    <row r="511" spans="1:6">
      <c r="A511" s="633"/>
      <c r="B511" s="23"/>
      <c r="C511" s="23" t="s">
        <v>394</v>
      </c>
      <c r="D511" s="23"/>
      <c r="E511" s="465">
        <f>tlinputCh1Prod4Slot2Forecast</f>
        <v>0</v>
      </c>
      <c r="F511" s="23" t="s">
        <v>3194</v>
      </c>
    </row>
    <row r="512" spans="1:6">
      <c r="A512" s="633"/>
      <c r="B512" s="23"/>
      <c r="C512" s="23" t="s">
        <v>395</v>
      </c>
      <c r="D512" s="23"/>
      <c r="E512" s="465">
        <f>tlinputCh1Prod4Slot3Forecast</f>
        <v>0</v>
      </c>
      <c r="F512" s="23" t="s">
        <v>3195</v>
      </c>
    </row>
    <row r="513" spans="1:6">
      <c r="A513" s="633" t="s">
        <v>245</v>
      </c>
      <c r="B513" s="23"/>
      <c r="C513" s="23"/>
      <c r="D513" s="23"/>
      <c r="E513" s="465"/>
      <c r="F513" s="23"/>
    </row>
    <row r="514" spans="1:6">
      <c r="A514" s="633"/>
      <c r="B514" s="23" t="s">
        <v>12868</v>
      </c>
      <c r="C514" s="23"/>
      <c r="D514" s="23"/>
      <c r="E514" s="465"/>
      <c r="F514" s="23"/>
    </row>
    <row r="515" spans="1:6">
      <c r="A515" s="633"/>
      <c r="B515" s="23"/>
      <c r="C515" s="23" t="s">
        <v>379</v>
      </c>
      <c r="D515" s="23"/>
      <c r="E515" s="465">
        <f>tlinputCh2Prod1Slot1Forecast</f>
        <v>1</v>
      </c>
      <c r="F515" s="23" t="s">
        <v>3196</v>
      </c>
    </row>
    <row r="516" spans="1:6">
      <c r="A516" s="633"/>
      <c r="B516" s="23"/>
      <c r="C516" s="23" t="s">
        <v>394</v>
      </c>
      <c r="D516" s="23"/>
      <c r="E516" s="465">
        <f>tlinputCh2Prod1Slot2Forecast</f>
        <v>0</v>
      </c>
      <c r="F516" s="23" t="s">
        <v>3197</v>
      </c>
    </row>
    <row r="517" spans="1:6">
      <c r="A517" s="633"/>
      <c r="B517" s="23"/>
      <c r="C517" s="23" t="s">
        <v>395</v>
      </c>
      <c r="D517" s="23"/>
      <c r="E517" s="465">
        <f>tlinputCh2Prod1Slot3Forecast</f>
        <v>0</v>
      </c>
      <c r="F517" s="23" t="s">
        <v>3198</v>
      </c>
    </row>
    <row r="518" spans="1:6">
      <c r="A518" s="633"/>
      <c r="B518" s="23" t="s">
        <v>238</v>
      </c>
      <c r="C518" s="23"/>
      <c r="D518" s="23"/>
      <c r="E518" s="465"/>
      <c r="F518" s="23"/>
    </row>
    <row r="519" spans="1:6">
      <c r="A519" s="633"/>
      <c r="B519" s="23"/>
      <c r="C519" s="23" t="s">
        <v>379</v>
      </c>
      <c r="D519" s="23"/>
      <c r="E519" s="465">
        <f>tlinputCh2Prod2Slot1Forecast</f>
        <v>1</v>
      </c>
      <c r="F519" s="23" t="s">
        <v>3199</v>
      </c>
    </row>
    <row r="520" spans="1:6">
      <c r="A520" s="633"/>
      <c r="B520" s="23"/>
      <c r="C520" s="23" t="s">
        <v>394</v>
      </c>
      <c r="D520" s="23"/>
      <c r="E520" s="465">
        <f>tlinputCh2Prod2Slot2Forecast</f>
        <v>0</v>
      </c>
      <c r="F520" s="23" t="s">
        <v>3200</v>
      </c>
    </row>
    <row r="521" spans="1:6">
      <c r="A521" s="633"/>
      <c r="B521" s="23"/>
      <c r="C521" s="23" t="s">
        <v>395</v>
      </c>
      <c r="D521" s="23"/>
      <c r="E521" s="465">
        <f>tlinputCh2Prod2Slot3Forecast</f>
        <v>0</v>
      </c>
      <c r="F521" s="23" t="s">
        <v>3201</v>
      </c>
    </row>
    <row r="522" spans="1:6">
      <c r="A522" s="633"/>
      <c r="B522" s="23" t="s">
        <v>239</v>
      </c>
      <c r="C522" s="23"/>
      <c r="D522" s="23"/>
      <c r="E522" s="465"/>
      <c r="F522" s="23"/>
    </row>
    <row r="523" spans="1:6">
      <c r="A523" s="633"/>
      <c r="B523" s="23"/>
      <c r="C523" s="23" t="s">
        <v>379</v>
      </c>
      <c r="D523" s="23"/>
      <c r="E523" s="465">
        <f>tlinputCh2Prod3Slot1Forecast</f>
        <v>1</v>
      </c>
      <c r="F523" s="23" t="s">
        <v>3202</v>
      </c>
    </row>
    <row r="524" spans="1:6">
      <c r="A524" s="633"/>
      <c r="B524" s="23"/>
      <c r="C524" s="23" t="s">
        <v>394</v>
      </c>
      <c r="D524" s="23"/>
      <c r="E524" s="465">
        <f>tlinputCh2Prod3Slot2Forecast</f>
        <v>0</v>
      </c>
      <c r="F524" s="23" t="s">
        <v>3203</v>
      </c>
    </row>
    <row r="525" spans="1:6">
      <c r="A525" s="633"/>
      <c r="B525" s="23"/>
      <c r="C525" s="23" t="s">
        <v>395</v>
      </c>
      <c r="D525" s="23"/>
      <c r="E525" s="465">
        <f>tlinputCh2Prod3Slot3Forecast</f>
        <v>0</v>
      </c>
      <c r="F525" s="23" t="s">
        <v>3204</v>
      </c>
    </row>
    <row r="526" spans="1:6">
      <c r="A526" s="633"/>
      <c r="B526" s="23" t="s">
        <v>240</v>
      </c>
      <c r="C526" s="23"/>
      <c r="D526" s="23"/>
      <c r="E526" s="465"/>
      <c r="F526" s="23"/>
    </row>
    <row r="527" spans="1:6">
      <c r="A527" s="633"/>
      <c r="B527" s="23"/>
      <c r="C527" s="23" t="s">
        <v>379</v>
      </c>
      <c r="D527" s="23"/>
      <c r="E527" s="465">
        <f>tlinputCh2Prod4Slot1Forecast</f>
        <v>1</v>
      </c>
      <c r="F527" s="23" t="s">
        <v>3205</v>
      </c>
    </row>
    <row r="528" spans="1:6">
      <c r="A528" s="633"/>
      <c r="B528" s="23"/>
      <c r="C528" s="23" t="s">
        <v>394</v>
      </c>
      <c r="D528" s="23"/>
      <c r="E528" s="465">
        <f>tlinputCh2Prod4Slot2Forecast</f>
        <v>0</v>
      </c>
      <c r="F528" s="23" t="s">
        <v>3206</v>
      </c>
    </row>
    <row r="529" spans="1:6">
      <c r="A529" s="633"/>
      <c r="B529" s="23"/>
      <c r="C529" s="23" t="s">
        <v>395</v>
      </c>
      <c r="D529" s="23"/>
      <c r="E529" s="465">
        <f>tlinputCh2Prod4Slot3Forecast</f>
        <v>0</v>
      </c>
      <c r="F529" s="23" t="s">
        <v>3207</v>
      </c>
    </row>
    <row r="530" spans="1:6">
      <c r="A530" s="633" t="s">
        <v>5199</v>
      </c>
      <c r="B530" s="23"/>
      <c r="C530" s="23"/>
      <c r="D530" s="23"/>
      <c r="E530" s="465"/>
      <c r="F530" s="23"/>
    </row>
    <row r="531" spans="1:6">
      <c r="A531" s="633"/>
      <c r="B531" s="23" t="s">
        <v>12868</v>
      </c>
      <c r="C531" s="23"/>
      <c r="D531" s="23"/>
      <c r="E531" s="465"/>
      <c r="F531" s="23"/>
    </row>
    <row r="532" spans="1:6">
      <c r="A532" s="633"/>
      <c r="B532" s="23"/>
      <c r="C532" s="23" t="s">
        <v>379</v>
      </c>
      <c r="D532" s="23"/>
      <c r="E532" s="465">
        <f>tlinputCh3Prod1Slot1Forecast</f>
        <v>1</v>
      </c>
      <c r="F532" s="23" t="s">
        <v>3208</v>
      </c>
    </row>
    <row r="533" spans="1:6">
      <c r="A533" s="633"/>
      <c r="B533" s="23"/>
      <c r="C533" s="23" t="s">
        <v>394</v>
      </c>
      <c r="D533" s="23"/>
      <c r="E533" s="465">
        <f>tlinputCh3Prod1Slot2Forecast</f>
        <v>0</v>
      </c>
      <c r="F533" s="23" t="s">
        <v>3209</v>
      </c>
    </row>
    <row r="534" spans="1:6">
      <c r="A534" s="633"/>
      <c r="B534" s="23"/>
      <c r="C534" s="23" t="s">
        <v>395</v>
      </c>
      <c r="D534" s="23"/>
      <c r="E534" s="465">
        <f>tlinputCh3Prod1Slot3Forecast</f>
        <v>0</v>
      </c>
      <c r="F534" s="23" t="s">
        <v>3210</v>
      </c>
    </row>
    <row r="535" spans="1:6">
      <c r="A535" s="633"/>
      <c r="B535" s="23" t="s">
        <v>238</v>
      </c>
      <c r="C535" s="23"/>
      <c r="D535" s="23"/>
      <c r="E535" s="465"/>
      <c r="F535" s="23"/>
    </row>
    <row r="536" spans="1:6">
      <c r="A536" s="633"/>
      <c r="B536" s="23"/>
      <c r="C536" s="23" t="s">
        <v>379</v>
      </c>
      <c r="D536" s="23"/>
      <c r="E536" s="465">
        <f>tlinputCh3Prod2Slot1Forecast</f>
        <v>0.4</v>
      </c>
      <c r="F536" s="23" t="s">
        <v>3211</v>
      </c>
    </row>
    <row r="537" spans="1:6">
      <c r="A537" s="633"/>
      <c r="B537" s="23"/>
      <c r="C537" s="23" t="s">
        <v>394</v>
      </c>
      <c r="D537" s="23"/>
      <c r="E537" s="465">
        <f>tlinputCh3Prod2Slot2Forecast</f>
        <v>0.6</v>
      </c>
      <c r="F537" s="23" t="s">
        <v>3212</v>
      </c>
    </row>
    <row r="538" spans="1:6">
      <c r="A538" s="633"/>
      <c r="B538" s="23"/>
      <c r="C538" s="23" t="s">
        <v>395</v>
      </c>
      <c r="D538" s="23"/>
      <c r="E538" s="465">
        <f>tlinputCh3Prod2Slot3Forecast</f>
        <v>0</v>
      </c>
      <c r="F538" s="23" t="s">
        <v>3213</v>
      </c>
    </row>
    <row r="539" spans="1:6">
      <c r="A539" s="633"/>
      <c r="B539" s="23" t="s">
        <v>239</v>
      </c>
      <c r="C539" s="23"/>
      <c r="D539" s="23"/>
      <c r="E539" s="465"/>
      <c r="F539" s="23"/>
    </row>
    <row r="540" spans="1:6">
      <c r="A540" s="633"/>
      <c r="B540" s="23"/>
      <c r="C540" s="23" t="s">
        <v>379</v>
      </c>
      <c r="D540" s="23"/>
      <c r="E540" s="465">
        <f>tlinputCh3Prod3Slot1Forecast</f>
        <v>1</v>
      </c>
      <c r="F540" s="23" t="s">
        <v>3214</v>
      </c>
    </row>
    <row r="541" spans="1:6">
      <c r="A541" s="633"/>
      <c r="B541" s="23"/>
      <c r="C541" s="23" t="s">
        <v>394</v>
      </c>
      <c r="D541" s="23"/>
      <c r="E541" s="465">
        <f>tlinputCh3Prod3Slot2Forecast</f>
        <v>0</v>
      </c>
      <c r="F541" s="23" t="s">
        <v>3215</v>
      </c>
    </row>
    <row r="542" spans="1:6">
      <c r="A542" s="633"/>
      <c r="B542" s="23"/>
      <c r="C542" s="23" t="s">
        <v>395</v>
      </c>
      <c r="D542" s="23"/>
      <c r="E542" s="465">
        <f>tlinputCh3Prod3Slot3Forecast</f>
        <v>0</v>
      </c>
      <c r="F542" s="23" t="s">
        <v>3216</v>
      </c>
    </row>
    <row r="543" spans="1:6">
      <c r="A543" s="633"/>
      <c r="B543" s="23" t="s">
        <v>240</v>
      </c>
      <c r="C543" s="23"/>
      <c r="D543" s="23"/>
      <c r="E543" s="465"/>
      <c r="F543" s="23"/>
    </row>
    <row r="544" spans="1:6">
      <c r="A544" s="633"/>
      <c r="B544" s="23"/>
      <c r="C544" s="23" t="s">
        <v>379</v>
      </c>
      <c r="D544" s="23"/>
      <c r="E544" s="465">
        <f>tlinputCh3Prod4Slot1Forecast</f>
        <v>1</v>
      </c>
      <c r="F544" s="23" t="s">
        <v>3217</v>
      </c>
    </row>
    <row r="545" spans="1:6">
      <c r="A545" s="633"/>
      <c r="B545" s="23"/>
      <c r="C545" s="23" t="s">
        <v>394</v>
      </c>
      <c r="D545" s="23"/>
      <c r="E545" s="465">
        <f>tlinputCh3Prod4Slot2Forecast</f>
        <v>0</v>
      </c>
      <c r="F545" s="23" t="s">
        <v>3218</v>
      </c>
    </row>
    <row r="546" spans="1:6">
      <c r="A546" s="633"/>
      <c r="B546" s="23"/>
      <c r="C546" s="23" t="s">
        <v>395</v>
      </c>
      <c r="D546" s="23"/>
      <c r="E546" s="465">
        <f>tlinputCh3Prod4Slot3Forecast</f>
        <v>0</v>
      </c>
      <c r="F546" s="23" t="s">
        <v>3219</v>
      </c>
    </row>
    <row r="547" spans="1:6">
      <c r="A547" s="633" t="s">
        <v>246</v>
      </c>
      <c r="B547" s="23"/>
      <c r="C547" s="23"/>
      <c r="D547" s="23"/>
      <c r="E547" s="465"/>
      <c r="F547" s="23"/>
    </row>
    <row r="548" spans="1:6">
      <c r="A548" s="633"/>
      <c r="B548" s="23" t="s">
        <v>12868</v>
      </c>
      <c r="C548" s="23"/>
      <c r="D548" s="23"/>
      <c r="E548" s="465"/>
      <c r="F548" s="23"/>
    </row>
    <row r="549" spans="1:6">
      <c r="A549" s="633"/>
      <c r="B549" s="23"/>
      <c r="C549" s="23" t="s">
        <v>379</v>
      </c>
      <c r="D549" s="23"/>
      <c r="E549" s="465">
        <f>tlinputCh4Prod1Slot1Forecast</f>
        <v>1</v>
      </c>
      <c r="F549" s="23" t="s">
        <v>3220</v>
      </c>
    </row>
    <row r="550" spans="1:6">
      <c r="A550" s="633"/>
      <c r="B550" s="23"/>
      <c r="C550" s="23" t="s">
        <v>394</v>
      </c>
      <c r="D550" s="23"/>
      <c r="E550" s="465">
        <f>tlinputCh4Prod1Slot2Forecast</f>
        <v>0</v>
      </c>
      <c r="F550" s="23" t="s">
        <v>3221</v>
      </c>
    </row>
    <row r="551" spans="1:6">
      <c r="A551" s="633"/>
      <c r="B551" s="23"/>
      <c r="C551" s="23" t="s">
        <v>395</v>
      </c>
      <c r="D551" s="23"/>
      <c r="E551" s="465">
        <f>tlinputCh4Prod1Slot3Forecast</f>
        <v>0</v>
      </c>
      <c r="F551" s="23" t="s">
        <v>3222</v>
      </c>
    </row>
    <row r="552" spans="1:6">
      <c r="A552" s="633"/>
      <c r="B552" s="23" t="s">
        <v>238</v>
      </c>
      <c r="C552" s="23"/>
      <c r="D552" s="23"/>
      <c r="E552" s="465"/>
      <c r="F552" s="23"/>
    </row>
    <row r="553" spans="1:6">
      <c r="A553" s="633"/>
      <c r="B553" s="23"/>
      <c r="C553" s="23" t="s">
        <v>379</v>
      </c>
      <c r="D553" s="23"/>
      <c r="E553" s="465">
        <f>tlinputCh4Prod2Slot1Forecast</f>
        <v>1</v>
      </c>
      <c r="F553" s="23" t="s">
        <v>3223</v>
      </c>
    </row>
    <row r="554" spans="1:6">
      <c r="A554" s="633"/>
      <c r="B554" s="23"/>
      <c r="C554" s="23" t="s">
        <v>394</v>
      </c>
      <c r="D554" s="23"/>
      <c r="E554" s="465">
        <f>tlinputCh4Prod2Slot2Forecast</f>
        <v>0</v>
      </c>
      <c r="F554" s="23" t="s">
        <v>3224</v>
      </c>
    </row>
    <row r="555" spans="1:6">
      <c r="A555" s="633"/>
      <c r="B555" s="23"/>
      <c r="C555" s="23" t="s">
        <v>395</v>
      </c>
      <c r="D555" s="23"/>
      <c r="E555" s="465">
        <f>tlinputCh4Prod2Slot3Forecast</f>
        <v>0</v>
      </c>
      <c r="F555" s="23" t="s">
        <v>3225</v>
      </c>
    </row>
    <row r="556" spans="1:6">
      <c r="A556" s="633"/>
      <c r="B556" s="23" t="s">
        <v>239</v>
      </c>
      <c r="C556" s="23"/>
      <c r="D556" s="23"/>
      <c r="E556" s="465"/>
      <c r="F556" s="23"/>
    </row>
    <row r="557" spans="1:6">
      <c r="A557" s="633"/>
      <c r="B557" s="23"/>
      <c r="C557" s="23" t="s">
        <v>379</v>
      </c>
      <c r="D557" s="23"/>
      <c r="E557" s="465">
        <f>tlinputCh4Prod3Slot1Forecast</f>
        <v>1</v>
      </c>
      <c r="F557" s="23" t="s">
        <v>3226</v>
      </c>
    </row>
    <row r="558" spans="1:6">
      <c r="A558" s="633"/>
      <c r="B558" s="23"/>
      <c r="C558" s="23" t="s">
        <v>394</v>
      </c>
      <c r="D558" s="23"/>
      <c r="E558" s="465">
        <f>tlinputCh4Prod3Slot2Forecast</f>
        <v>0</v>
      </c>
      <c r="F558" s="23" t="s">
        <v>3227</v>
      </c>
    </row>
    <row r="559" spans="1:6">
      <c r="A559" s="633"/>
      <c r="B559" s="23"/>
      <c r="C559" s="23" t="s">
        <v>395</v>
      </c>
      <c r="D559" s="23"/>
      <c r="E559" s="465">
        <f>tlinputCh4Prod3Slot3Forecast</f>
        <v>0</v>
      </c>
      <c r="F559" s="23" t="s">
        <v>3228</v>
      </c>
    </row>
    <row r="560" spans="1:6">
      <c r="A560" s="633"/>
      <c r="B560" s="23" t="s">
        <v>240</v>
      </c>
      <c r="C560" s="23"/>
      <c r="D560" s="23"/>
      <c r="E560" s="465"/>
      <c r="F560" s="23"/>
    </row>
    <row r="561" spans="1:6">
      <c r="A561" s="633"/>
      <c r="B561" s="23"/>
      <c r="C561" s="23" t="s">
        <v>379</v>
      </c>
      <c r="D561" s="23"/>
      <c r="E561" s="465">
        <f>tlinputCh4Prod4Slot1Forecast</f>
        <v>1</v>
      </c>
      <c r="F561" s="23" t="s">
        <v>3229</v>
      </c>
    </row>
    <row r="562" spans="1:6">
      <c r="A562" s="633"/>
      <c r="B562" s="23"/>
      <c r="C562" s="23" t="s">
        <v>394</v>
      </c>
      <c r="D562" s="23"/>
      <c r="E562" s="465">
        <f>tlinputCh4Prod4Slot2Forecast</f>
        <v>0</v>
      </c>
      <c r="F562" s="23" t="s">
        <v>3230</v>
      </c>
    </row>
    <row r="563" spans="1:6">
      <c r="A563" s="633"/>
      <c r="B563" s="23"/>
      <c r="C563" s="23" t="s">
        <v>395</v>
      </c>
      <c r="D563" s="23"/>
      <c r="E563" s="465">
        <f>tlinputCh4Prod4Slot3Forecast</f>
        <v>0</v>
      </c>
      <c r="F563" s="23" t="s">
        <v>3231</v>
      </c>
    </row>
    <row r="564" spans="1:6">
      <c r="A564" s="311"/>
    </row>
    <row r="565" spans="1:6" s="278" customFormat="1">
      <c r="A565" s="644" t="s">
        <v>4400</v>
      </c>
      <c r="B565" s="280"/>
      <c r="C565" s="280"/>
      <c r="D565" s="280"/>
      <c r="E565" s="280"/>
    </row>
    <row r="566" spans="1:6">
      <c r="A566" s="633"/>
      <c r="B566" s="23"/>
      <c r="C566" s="23"/>
      <c r="D566" s="23"/>
      <c r="E566" s="23"/>
      <c r="F566" s="23"/>
    </row>
    <row r="567" spans="1:6">
      <c r="A567" s="633" t="s">
        <v>14060</v>
      </c>
      <c r="B567" s="23"/>
      <c r="C567" s="23"/>
      <c r="D567" s="23"/>
      <c r="E567" s="23"/>
      <c r="F567" s="23"/>
    </row>
    <row r="568" spans="1:6">
      <c r="A568" s="633"/>
      <c r="B568" s="23" t="s">
        <v>12868</v>
      </c>
      <c r="C568" s="23"/>
      <c r="D568" s="23"/>
      <c r="E568" s="23"/>
      <c r="F568" s="23"/>
    </row>
    <row r="569" spans="1:6">
      <c r="A569" s="633"/>
      <c r="B569" s="23"/>
      <c r="C569" s="23" t="s">
        <v>379</v>
      </c>
      <c r="D569" s="23"/>
      <c r="E569" s="465">
        <f>tlinputCh1Prod1Slot1Promo1ShareFrc</f>
        <v>0.4</v>
      </c>
      <c r="F569" s="23" t="s">
        <v>5815</v>
      </c>
    </row>
    <row r="570" spans="1:6">
      <c r="A570" s="633"/>
      <c r="B570" s="23"/>
      <c r="C570" s="23" t="s">
        <v>394</v>
      </c>
      <c r="D570" s="23"/>
      <c r="E570" s="465">
        <f>tlinputCh1Prod1Slot2Promo1ShareFrc</f>
        <v>0</v>
      </c>
      <c r="F570" s="23" t="s">
        <v>5816</v>
      </c>
    </row>
    <row r="571" spans="1:6">
      <c r="A571" s="633"/>
      <c r="B571" s="23"/>
      <c r="C571" s="23" t="s">
        <v>395</v>
      </c>
      <c r="D571" s="23"/>
      <c r="E571" s="465">
        <f>tlinputCh1Prod1Slot3Promo1ShareFrc</f>
        <v>0</v>
      </c>
      <c r="F571" s="23" t="s">
        <v>5817</v>
      </c>
    </row>
    <row r="572" spans="1:6">
      <c r="A572" s="633"/>
      <c r="B572" s="23" t="s">
        <v>238</v>
      </c>
      <c r="C572" s="23"/>
      <c r="D572" s="23"/>
      <c r="E572" s="465"/>
      <c r="F572" s="23"/>
    </row>
    <row r="573" spans="1:6">
      <c r="A573" s="633"/>
      <c r="B573" s="23"/>
      <c r="C573" s="23" t="s">
        <v>379</v>
      </c>
      <c r="D573" s="23"/>
      <c r="E573" s="465">
        <f>tlinputCh1Prod2Slot1Promo1ShareFrc</f>
        <v>0.1</v>
      </c>
      <c r="F573" s="23" t="s">
        <v>5818</v>
      </c>
    </row>
    <row r="574" spans="1:6">
      <c r="A574" s="633"/>
      <c r="B574" s="23"/>
      <c r="C574" s="23" t="s">
        <v>394</v>
      </c>
      <c r="D574" s="23"/>
      <c r="E574" s="465">
        <f>tlinputCh1Prod2Slot2Promo1ShareFrc</f>
        <v>0.3</v>
      </c>
      <c r="F574" s="23" t="s">
        <v>5819</v>
      </c>
    </row>
    <row r="575" spans="1:6">
      <c r="A575" s="633"/>
      <c r="B575" s="23"/>
      <c r="C575" s="23" t="s">
        <v>395</v>
      </c>
      <c r="D575" s="23"/>
      <c r="E575" s="465">
        <f>tlinputCh1Prod2Slot3Promo1ShareFrc</f>
        <v>0</v>
      </c>
      <c r="F575" s="23" t="s">
        <v>5820</v>
      </c>
    </row>
    <row r="576" spans="1:6">
      <c r="A576" s="633"/>
      <c r="B576" s="23" t="s">
        <v>239</v>
      </c>
      <c r="C576" s="23"/>
      <c r="D576" s="23"/>
      <c r="E576" s="465"/>
      <c r="F576" s="23"/>
    </row>
    <row r="577" spans="1:6">
      <c r="A577" s="633"/>
      <c r="B577" s="23"/>
      <c r="C577" s="23" t="s">
        <v>379</v>
      </c>
      <c r="D577" s="23"/>
      <c r="E577" s="465">
        <f>tlinputCh1Prod3Slot1Promo1ShareFrc</f>
        <v>0.1</v>
      </c>
      <c r="F577" s="23" t="s">
        <v>5821</v>
      </c>
    </row>
    <row r="578" spans="1:6">
      <c r="A578" s="633"/>
      <c r="B578" s="23"/>
      <c r="C578" s="23" t="s">
        <v>394</v>
      </c>
      <c r="D578" s="23"/>
      <c r="E578" s="465">
        <f>tlinputCh1Prod3Slot2Promo1ShareFrc</f>
        <v>0.4</v>
      </c>
      <c r="F578" s="23" t="s">
        <v>5822</v>
      </c>
    </row>
    <row r="579" spans="1:6">
      <c r="A579" s="633"/>
      <c r="B579" s="23"/>
      <c r="C579" s="23" t="s">
        <v>395</v>
      </c>
      <c r="D579" s="23"/>
      <c r="E579" s="465">
        <f>tlinputCh1Prod3Slot3Promo1ShareFrc</f>
        <v>0</v>
      </c>
      <c r="F579" s="23" t="s">
        <v>5823</v>
      </c>
    </row>
    <row r="580" spans="1:6">
      <c r="A580" s="633"/>
      <c r="B580" s="23" t="s">
        <v>240</v>
      </c>
      <c r="C580" s="23"/>
      <c r="D580" s="23"/>
      <c r="E580" s="465"/>
      <c r="F580" s="23"/>
    </row>
    <row r="581" spans="1:6">
      <c r="A581" s="633"/>
      <c r="B581" s="23"/>
      <c r="C581" s="23" t="s">
        <v>379</v>
      </c>
      <c r="D581" s="23"/>
      <c r="E581" s="465">
        <f>tlinputCh1Prod4Slot1Promo1ShareFrc</f>
        <v>0</v>
      </c>
      <c r="F581" s="23" t="s">
        <v>5824</v>
      </c>
    </row>
    <row r="582" spans="1:6">
      <c r="A582" s="633"/>
      <c r="B582" s="23"/>
      <c r="C582" s="23" t="s">
        <v>394</v>
      </c>
      <c r="D582" s="23"/>
      <c r="E582" s="465">
        <f>tlinputCh1Prod4Slot2Promo1ShareFrc</f>
        <v>0</v>
      </c>
      <c r="F582" s="23" t="s">
        <v>5825</v>
      </c>
    </row>
    <row r="583" spans="1:6">
      <c r="A583" s="633"/>
      <c r="B583" s="23"/>
      <c r="C583" s="23" t="s">
        <v>395</v>
      </c>
      <c r="D583" s="23"/>
      <c r="E583" s="465">
        <f>tlinputCh1Prod4Slot3Promo1ShareFrc</f>
        <v>0</v>
      </c>
      <c r="F583" s="23" t="s">
        <v>5826</v>
      </c>
    </row>
    <row r="584" spans="1:6">
      <c r="A584" s="633" t="s">
        <v>14061</v>
      </c>
      <c r="B584" s="23"/>
      <c r="C584" s="23"/>
      <c r="D584" s="23"/>
      <c r="E584" s="465"/>
      <c r="F584" s="23"/>
    </row>
    <row r="585" spans="1:6">
      <c r="A585" s="633"/>
      <c r="B585" s="23" t="s">
        <v>12868</v>
      </c>
      <c r="C585" s="23"/>
      <c r="D585" s="23"/>
      <c r="E585" s="465"/>
      <c r="F585" s="23"/>
    </row>
    <row r="586" spans="1:6">
      <c r="A586" s="633"/>
      <c r="B586" s="23"/>
      <c r="C586" s="23" t="s">
        <v>379</v>
      </c>
      <c r="D586" s="23"/>
      <c r="E586" s="690">
        <f>tlinputCh1Prod1Slot1Promo2ShareFrc</f>
        <v>0.2</v>
      </c>
      <c r="F586" s="614" t="s">
        <v>5851</v>
      </c>
    </row>
    <row r="587" spans="1:6">
      <c r="A587" s="633"/>
      <c r="B587" s="23"/>
      <c r="C587" s="23" t="s">
        <v>394</v>
      </c>
      <c r="D587" s="23"/>
      <c r="E587" s="690">
        <f>tlinputCh1Prod1Slot2Promo2ShareFrc</f>
        <v>0</v>
      </c>
      <c r="F587" s="614" t="s">
        <v>5852</v>
      </c>
    </row>
    <row r="588" spans="1:6">
      <c r="A588" s="633"/>
      <c r="B588" s="23"/>
      <c r="C588" s="23" t="s">
        <v>395</v>
      </c>
      <c r="D588" s="23"/>
      <c r="E588" s="690">
        <f>tlinputCh1Prod1Slot3Promo2ShareFrc</f>
        <v>0</v>
      </c>
      <c r="F588" s="614" t="s">
        <v>5853</v>
      </c>
    </row>
    <row r="589" spans="1:6">
      <c r="A589" s="633"/>
      <c r="B589" s="23" t="s">
        <v>238</v>
      </c>
      <c r="C589" s="23"/>
      <c r="D589" s="23"/>
      <c r="E589" s="690"/>
      <c r="F589" s="614"/>
    </row>
    <row r="590" spans="1:6">
      <c r="A590" s="633"/>
      <c r="B590" s="23"/>
      <c r="C590" s="23" t="s">
        <v>379</v>
      </c>
      <c r="D590" s="23"/>
      <c r="E590" s="690">
        <f>tlinputCh1Prod2Slot1Promo2ShareFrc</f>
        <v>0</v>
      </c>
      <c r="F590" s="614" t="s">
        <v>5854</v>
      </c>
    </row>
    <row r="591" spans="1:6">
      <c r="A591" s="633"/>
      <c r="B591" s="23"/>
      <c r="C591" s="23" t="s">
        <v>394</v>
      </c>
      <c r="D591" s="23"/>
      <c r="E591" s="690">
        <f>tlinputCh1Prod2Slot2Promo2ShareFrc</f>
        <v>0.25</v>
      </c>
      <c r="F591" s="614" t="s">
        <v>5855</v>
      </c>
    </row>
    <row r="592" spans="1:6">
      <c r="A592" s="633"/>
      <c r="B592" s="23"/>
      <c r="C592" s="23" t="s">
        <v>395</v>
      </c>
      <c r="D592" s="23"/>
      <c r="E592" s="690">
        <f>tlinputCh1Prod2Slot3Promo2ShareFrc</f>
        <v>0</v>
      </c>
      <c r="F592" s="614" t="s">
        <v>5856</v>
      </c>
    </row>
    <row r="593" spans="1:6">
      <c r="A593" s="633"/>
      <c r="B593" s="23" t="s">
        <v>239</v>
      </c>
      <c r="C593" s="23"/>
      <c r="D593" s="23"/>
      <c r="E593" s="690"/>
      <c r="F593" s="614"/>
    </row>
    <row r="594" spans="1:6">
      <c r="A594" s="633"/>
      <c r="B594" s="23"/>
      <c r="C594" s="23" t="s">
        <v>379</v>
      </c>
      <c r="D594" s="23"/>
      <c r="E594" s="690">
        <f>tlinputCh1Prod3Slot1Promo2ShareFrc</f>
        <v>0</v>
      </c>
      <c r="F594" s="614" t="s">
        <v>5857</v>
      </c>
    </row>
    <row r="595" spans="1:6">
      <c r="A595" s="633"/>
      <c r="B595" s="23"/>
      <c r="C595" s="23" t="s">
        <v>394</v>
      </c>
      <c r="D595" s="23"/>
      <c r="E595" s="690">
        <f>tlinputCh1Prod3Slot2Promo2ShareFrc</f>
        <v>0</v>
      </c>
      <c r="F595" s="614" t="s">
        <v>5858</v>
      </c>
    </row>
    <row r="596" spans="1:6">
      <c r="A596" s="633"/>
      <c r="B596" s="23"/>
      <c r="C596" s="23" t="s">
        <v>395</v>
      </c>
      <c r="D596" s="23"/>
      <c r="E596" s="690">
        <f>tlinputCh1Prod3Slot3Promo2ShareFrc</f>
        <v>0</v>
      </c>
      <c r="F596" s="614" t="s">
        <v>5859</v>
      </c>
    </row>
    <row r="597" spans="1:6">
      <c r="A597" s="633"/>
      <c r="B597" s="23" t="s">
        <v>240</v>
      </c>
      <c r="C597" s="23"/>
      <c r="D597" s="23"/>
      <c r="E597" s="690"/>
      <c r="F597" s="614"/>
    </row>
    <row r="598" spans="1:6">
      <c r="A598" s="633"/>
      <c r="B598" s="23"/>
      <c r="C598" s="23" t="s">
        <v>379</v>
      </c>
      <c r="D598" s="23"/>
      <c r="E598" s="690">
        <f>tlinputCh1Prod4Slot1Promo2ShareFrc</f>
        <v>0</v>
      </c>
      <c r="F598" s="614" t="s">
        <v>5860</v>
      </c>
    </row>
    <row r="599" spans="1:6">
      <c r="A599" s="633"/>
      <c r="B599" s="23"/>
      <c r="C599" s="23" t="s">
        <v>394</v>
      </c>
      <c r="D599" s="23"/>
      <c r="E599" s="690">
        <f>tlinputCh1Prod4Slot2Promo2ShareFrc</f>
        <v>0</v>
      </c>
      <c r="F599" s="614" t="s">
        <v>5861</v>
      </c>
    </row>
    <row r="600" spans="1:6">
      <c r="A600" s="633"/>
      <c r="B600" s="23"/>
      <c r="C600" s="23" t="s">
        <v>395</v>
      </c>
      <c r="D600" s="23"/>
      <c r="E600" s="690">
        <f>tlinputCh1Prod4Slot3Promo2ShareFrc</f>
        <v>0</v>
      </c>
      <c r="F600" s="614" t="s">
        <v>5862</v>
      </c>
    </row>
    <row r="601" spans="1:6">
      <c r="A601" s="633" t="s">
        <v>5199</v>
      </c>
      <c r="B601" s="23"/>
      <c r="C601" s="23"/>
      <c r="D601" s="23"/>
      <c r="E601" s="465"/>
      <c r="F601" s="23"/>
    </row>
    <row r="602" spans="1:6">
      <c r="A602" s="633"/>
      <c r="B602" s="23" t="s">
        <v>12868</v>
      </c>
      <c r="C602" s="23"/>
      <c r="D602" s="23"/>
      <c r="E602" s="465"/>
      <c r="F602" s="23"/>
    </row>
    <row r="603" spans="1:6">
      <c r="A603" s="633"/>
      <c r="B603" s="23"/>
      <c r="C603" s="23" t="s">
        <v>379</v>
      </c>
      <c r="D603" s="23"/>
      <c r="E603" s="465">
        <f>tlinputCh3Prod1Slot1Promo1ShareFrc</f>
        <v>0.25</v>
      </c>
      <c r="F603" s="23" t="s">
        <v>5827</v>
      </c>
    </row>
    <row r="604" spans="1:6">
      <c r="A604" s="633"/>
      <c r="B604" s="23"/>
      <c r="C604" s="23" t="s">
        <v>394</v>
      </c>
      <c r="D604" s="23"/>
      <c r="E604" s="465">
        <f>tlinputCh3Prod1Slot2Promo1ShareFrc</f>
        <v>0</v>
      </c>
      <c r="F604" s="23" t="s">
        <v>5828</v>
      </c>
    </row>
    <row r="605" spans="1:6">
      <c r="A605" s="633"/>
      <c r="B605" s="23"/>
      <c r="C605" s="23" t="s">
        <v>395</v>
      </c>
      <c r="D605" s="23"/>
      <c r="E605" s="465">
        <f>tlinputCh3Prod1Slot3Promo1ShareFrc</f>
        <v>0</v>
      </c>
      <c r="F605" s="23" t="s">
        <v>5829</v>
      </c>
    </row>
    <row r="606" spans="1:6">
      <c r="A606" s="633"/>
      <c r="B606" s="23" t="s">
        <v>238</v>
      </c>
      <c r="C606" s="23"/>
      <c r="D606" s="23"/>
      <c r="E606" s="465"/>
      <c r="F606" s="23"/>
    </row>
    <row r="607" spans="1:6">
      <c r="A607" s="633"/>
      <c r="B607" s="23"/>
      <c r="C607" s="23" t="s">
        <v>379</v>
      </c>
      <c r="D607" s="23"/>
      <c r="E607" s="465">
        <f>tlinputCh3Prod2Slot1Promo1ShareFrc</f>
        <v>0.2</v>
      </c>
      <c r="F607" s="23" t="s">
        <v>5830</v>
      </c>
    </row>
    <row r="608" spans="1:6">
      <c r="A608" s="633"/>
      <c r="B608" s="23"/>
      <c r="C608" s="23" t="s">
        <v>394</v>
      </c>
      <c r="D608" s="23"/>
      <c r="E608" s="465">
        <f>tlinputCh3Prod2Slot2Promo1ShareFrc</f>
        <v>0.2</v>
      </c>
      <c r="F608" s="23" t="s">
        <v>5831</v>
      </c>
    </row>
    <row r="609" spans="1:6">
      <c r="A609" s="633"/>
      <c r="B609" s="23"/>
      <c r="C609" s="23" t="s">
        <v>395</v>
      </c>
      <c r="D609" s="23"/>
      <c r="E609" s="465">
        <f>tlinputCh3Prod2Slot3Promo1ShareFrc</f>
        <v>0</v>
      </c>
      <c r="F609" s="23" t="s">
        <v>5832</v>
      </c>
    </row>
    <row r="610" spans="1:6">
      <c r="A610" s="633"/>
      <c r="B610" s="23" t="s">
        <v>239</v>
      </c>
      <c r="C610" s="23"/>
      <c r="D610" s="23"/>
      <c r="E610" s="465"/>
      <c r="F610" s="23"/>
    </row>
    <row r="611" spans="1:6">
      <c r="A611" s="633"/>
      <c r="B611" s="23"/>
      <c r="C611" s="23" t="s">
        <v>379</v>
      </c>
      <c r="D611" s="23"/>
      <c r="E611" s="465">
        <f>tlinputCh3Prod3Slot1Promo1ShareFrc</f>
        <v>0.35</v>
      </c>
      <c r="F611" s="23" t="s">
        <v>5833</v>
      </c>
    </row>
    <row r="612" spans="1:6">
      <c r="A612" s="633"/>
      <c r="B612" s="23"/>
      <c r="C612" s="23" t="s">
        <v>394</v>
      </c>
      <c r="D612" s="23"/>
      <c r="E612" s="465">
        <f>tlinputCh3Prod3Slot2Promo1ShareFrc</f>
        <v>0</v>
      </c>
      <c r="F612" s="23" t="s">
        <v>5834</v>
      </c>
    </row>
    <row r="613" spans="1:6">
      <c r="A613" s="633"/>
      <c r="B613" s="23"/>
      <c r="C613" s="23" t="s">
        <v>395</v>
      </c>
      <c r="D613" s="23"/>
      <c r="E613" s="465">
        <f>tlinputCh3Prod3Slot3Promo1ShareFrc</f>
        <v>0</v>
      </c>
      <c r="F613" s="23" t="s">
        <v>5835</v>
      </c>
    </row>
    <row r="614" spans="1:6">
      <c r="A614" s="633"/>
      <c r="B614" s="23" t="s">
        <v>240</v>
      </c>
      <c r="C614" s="23"/>
      <c r="D614" s="23"/>
      <c r="E614" s="465"/>
      <c r="F614" s="23"/>
    </row>
    <row r="615" spans="1:6">
      <c r="A615" s="633"/>
      <c r="B615" s="23"/>
      <c r="C615" s="23" t="s">
        <v>379</v>
      </c>
      <c r="D615" s="23"/>
      <c r="E615" s="465">
        <f>tlinputCh3Prod4Slot1Promo1ShareFrc</f>
        <v>0</v>
      </c>
      <c r="F615" s="23" t="s">
        <v>5836</v>
      </c>
    </row>
    <row r="616" spans="1:6">
      <c r="A616" s="633"/>
      <c r="B616" s="23"/>
      <c r="C616" s="23" t="s">
        <v>394</v>
      </c>
      <c r="D616" s="23"/>
      <c r="E616" s="465">
        <f>tlinputCh3Prod4Slot2Promo1ShareFrc</f>
        <v>0</v>
      </c>
      <c r="F616" s="23" t="s">
        <v>5837</v>
      </c>
    </row>
    <row r="617" spans="1:6">
      <c r="A617" s="633"/>
      <c r="B617" s="23"/>
      <c r="C617" s="23" t="s">
        <v>395</v>
      </c>
      <c r="D617" s="23"/>
      <c r="E617" s="465">
        <f>tlinputCh3Prod4Slot3Promo1ShareFrc</f>
        <v>0</v>
      </c>
      <c r="F617" s="23" t="s">
        <v>5838</v>
      </c>
    </row>
    <row r="618" spans="1:6">
      <c r="A618" s="633" t="s">
        <v>246</v>
      </c>
      <c r="B618" s="23"/>
      <c r="C618" s="23"/>
      <c r="D618" s="23"/>
      <c r="E618" s="465"/>
      <c r="F618" s="23"/>
    </row>
    <row r="619" spans="1:6">
      <c r="A619" s="23"/>
      <c r="B619" s="23" t="s">
        <v>12868</v>
      </c>
      <c r="C619" s="23"/>
      <c r="D619" s="23"/>
      <c r="E619" s="465"/>
      <c r="F619" s="23"/>
    </row>
    <row r="620" spans="1:6">
      <c r="A620" s="23"/>
      <c r="B620" s="23"/>
      <c r="C620" s="23" t="s">
        <v>379</v>
      </c>
      <c r="D620" s="23"/>
      <c r="E620" s="465">
        <f>tlinputCh4Prod1Slot1Promo1ShareFrc</f>
        <v>0.25</v>
      </c>
      <c r="F620" s="23" t="s">
        <v>5839</v>
      </c>
    </row>
    <row r="621" spans="1:6">
      <c r="A621" s="23"/>
      <c r="B621" s="23"/>
      <c r="C621" s="23" t="s">
        <v>394</v>
      </c>
      <c r="D621" s="23"/>
      <c r="E621" s="465">
        <f>tlinputCh4Prod1Slot2Promo1ShareFrc</f>
        <v>0</v>
      </c>
      <c r="F621" s="23" t="s">
        <v>5840</v>
      </c>
    </row>
    <row r="622" spans="1:6">
      <c r="A622" s="23"/>
      <c r="B622" s="23"/>
      <c r="C622" s="23" t="s">
        <v>395</v>
      </c>
      <c r="D622" s="23"/>
      <c r="E622" s="465">
        <f>tlinputCh4Prod1Slot3Promo1ShareFrc</f>
        <v>0</v>
      </c>
      <c r="F622" s="23" t="s">
        <v>5841</v>
      </c>
    </row>
    <row r="623" spans="1:6">
      <c r="A623" s="23"/>
      <c r="B623" s="23" t="s">
        <v>238</v>
      </c>
      <c r="C623" s="23"/>
      <c r="D623" s="23"/>
      <c r="E623" s="465"/>
      <c r="F623" s="23"/>
    </row>
    <row r="624" spans="1:6">
      <c r="A624" s="23"/>
      <c r="B624" s="23"/>
      <c r="C624" s="23" t="s">
        <v>379</v>
      </c>
      <c r="D624" s="23"/>
      <c r="E624" s="465">
        <f>tlinputCh4Prod2Slot1Promo1ShareFrc</f>
        <v>0.65</v>
      </c>
      <c r="F624" s="23" t="s">
        <v>5842</v>
      </c>
    </row>
    <row r="625" spans="1:6">
      <c r="A625" s="23"/>
      <c r="B625" s="23"/>
      <c r="C625" s="23" t="s">
        <v>394</v>
      </c>
      <c r="D625" s="23"/>
      <c r="E625" s="465">
        <f>tlinputCh4Prod2Slot2Promo1ShareFrc</f>
        <v>0</v>
      </c>
      <c r="F625" s="23" t="s">
        <v>5843</v>
      </c>
    </row>
    <row r="626" spans="1:6">
      <c r="A626" s="23"/>
      <c r="B626" s="23"/>
      <c r="C626" s="23" t="s">
        <v>395</v>
      </c>
      <c r="D626" s="23"/>
      <c r="E626" s="465">
        <f>tlinputCh4Prod2Slot3Promo1ShareFrc</f>
        <v>0</v>
      </c>
      <c r="F626" s="23" t="s">
        <v>5844</v>
      </c>
    </row>
    <row r="627" spans="1:6">
      <c r="A627" s="23"/>
      <c r="B627" s="23" t="s">
        <v>239</v>
      </c>
      <c r="C627" s="23"/>
      <c r="D627" s="23"/>
      <c r="E627" s="465"/>
      <c r="F627" s="23"/>
    </row>
    <row r="628" spans="1:6">
      <c r="A628" s="23"/>
      <c r="B628" s="23"/>
      <c r="C628" s="23" t="s">
        <v>379</v>
      </c>
      <c r="D628" s="23"/>
      <c r="E628" s="465">
        <f>tlinputCh4Prod3Slot1Promo1ShareFrc</f>
        <v>0</v>
      </c>
      <c r="F628" s="23" t="s">
        <v>5845</v>
      </c>
    </row>
    <row r="629" spans="1:6">
      <c r="A629" s="23"/>
      <c r="B629" s="23"/>
      <c r="C629" s="23" t="s">
        <v>394</v>
      </c>
      <c r="D629" s="23"/>
      <c r="E629" s="465">
        <f>tlinputCh4Prod3Slot2Promo1ShareFrc</f>
        <v>0</v>
      </c>
      <c r="F629" s="23" t="s">
        <v>5846</v>
      </c>
    </row>
    <row r="630" spans="1:6">
      <c r="A630" s="23"/>
      <c r="B630" s="23"/>
      <c r="C630" s="23" t="s">
        <v>395</v>
      </c>
      <c r="D630" s="23"/>
      <c r="E630" s="465">
        <f>tlinputCh4Prod3Slot3Promo1ShareFrc</f>
        <v>0</v>
      </c>
      <c r="F630" s="23" t="s">
        <v>5847</v>
      </c>
    </row>
    <row r="631" spans="1:6">
      <c r="A631" s="23"/>
      <c r="B631" s="23" t="s">
        <v>240</v>
      </c>
      <c r="C631" s="23"/>
      <c r="D631" s="23"/>
      <c r="E631" s="465"/>
      <c r="F631" s="23"/>
    </row>
    <row r="632" spans="1:6">
      <c r="A632" s="23"/>
      <c r="B632" s="23"/>
      <c r="C632" s="23" t="s">
        <v>379</v>
      </c>
      <c r="D632" s="23"/>
      <c r="E632" s="465">
        <f>tlinputCh4Prod4Slot1Promo1ShareFrc</f>
        <v>0.1</v>
      </c>
      <c r="F632" s="23" t="s">
        <v>5848</v>
      </c>
    </row>
    <row r="633" spans="1:6">
      <c r="A633" s="23"/>
      <c r="B633" s="23"/>
      <c r="C633" s="23" t="s">
        <v>394</v>
      </c>
      <c r="D633" s="23"/>
      <c r="E633" s="465">
        <f>tlinputCh4Prod4Slot2Promo1ShareFrc</f>
        <v>0</v>
      </c>
      <c r="F633" s="23" t="s">
        <v>5849</v>
      </c>
    </row>
    <row r="634" spans="1:6">
      <c r="A634" s="23"/>
      <c r="B634" s="23"/>
      <c r="C634" s="23" t="s">
        <v>395</v>
      </c>
      <c r="D634" s="23"/>
      <c r="E634" s="465">
        <f>tlinputCh4Prod4Slot3Promo1ShareFrc</f>
        <v>0</v>
      </c>
      <c r="F634" s="23" t="s">
        <v>5850</v>
      </c>
    </row>
    <row r="636" spans="1:6" s="10" customFormat="1" ht="14.25" customHeight="1">
      <c r="A636" s="9" t="s">
        <v>10299</v>
      </c>
      <c r="B636" s="9"/>
      <c r="E636" s="11"/>
    </row>
    <row r="637" spans="1:6" s="610" customFormat="1" ht="14.25" customHeight="1">
      <c r="B637" s="611"/>
      <c r="E637" s="610" t="s">
        <v>10300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F8219"/>
  <sheetViews>
    <sheetView topLeftCell="A5654" zoomScale="80" zoomScaleNormal="80" workbookViewId="0">
      <selection activeCell="E5690" sqref="E5690"/>
    </sheetView>
  </sheetViews>
  <sheetFormatPr defaultColWidth="8.796875" defaultRowHeight="14.25"/>
  <cols>
    <col min="1" max="1" width="5.5" style="23" customWidth="1"/>
    <col min="2" max="2" width="2.296875" style="23" customWidth="1"/>
    <col min="3" max="3" width="2.19921875" style="23" customWidth="1"/>
    <col min="4" max="4" width="28.8984375" style="23" customWidth="1"/>
    <col min="5" max="5" width="21.19921875" style="23" customWidth="1"/>
    <col min="6" max="6" width="30.5" style="23" customWidth="1"/>
    <col min="7" max="16384" width="8.796875" style="23"/>
  </cols>
  <sheetData>
    <row r="1" spans="1:6" s="22" customFormat="1">
      <c r="A1" s="22" t="s">
        <v>32</v>
      </c>
    </row>
    <row r="2" spans="1:6" s="290" customFormat="1"/>
    <row r="3" spans="1:6" s="11" customFormat="1">
      <c r="A3" s="81" t="s">
        <v>629</v>
      </c>
      <c r="B3" s="81"/>
      <c r="C3" s="81"/>
      <c r="D3" s="81"/>
      <c r="E3" s="81"/>
    </row>
    <row r="4" spans="1:6" s="6" customFormat="1">
      <c r="B4" s="7"/>
      <c r="C4" s="7"/>
      <c r="F4" s="7"/>
    </row>
    <row r="5" spans="1:6" s="6" customFormat="1">
      <c r="B5" s="7" t="s">
        <v>244</v>
      </c>
      <c r="C5" s="7"/>
      <c r="F5" s="7"/>
    </row>
    <row r="6" spans="1:6" s="6" customFormat="1">
      <c r="C6" s="7" t="s">
        <v>12868</v>
      </c>
      <c r="E6" s="331">
        <f>IF(calcCh1Prod1Slot1Active=1,(decCh1Prod1Forecast*INDEX(dataCh1Prod1MarketVolume,,4+xxRound)),0)</f>
        <v>57998264.240000002</v>
      </c>
      <c r="F6" s="23" t="s">
        <v>631</v>
      </c>
    </row>
    <row r="7" spans="1:6" s="6" customFormat="1">
      <c r="C7" s="7" t="s">
        <v>238</v>
      </c>
      <c r="E7" s="331">
        <f>IF(calcCh1Prod2Slot1Active=1,(decCh1Prod2Forecast*INDEX(dataCh1Prod2n3MarketVolume,,4+xxRound)),0)</f>
        <v>182694456</v>
      </c>
      <c r="F7" s="23" t="s">
        <v>632</v>
      </c>
    </row>
    <row r="8" spans="1:6" s="6" customFormat="1">
      <c r="C8" s="7" t="s">
        <v>239</v>
      </c>
      <c r="E8" s="331">
        <f>IF(calcCh1Prod3Slot1Active=1,(decCh1Prod3Forecast*INDEX(dataCh1Prod2n3MarketVolume,,4+xxRound)),0)</f>
        <v>121796304</v>
      </c>
      <c r="F8" s="23" t="s">
        <v>633</v>
      </c>
    </row>
    <row r="9" spans="1:6" s="6" customFormat="1">
      <c r="C9" s="7" t="s">
        <v>240</v>
      </c>
      <c r="E9" s="331">
        <f>IF(calcCh1Prod4Slot1Active=1,decCh1Prod4Forecast,0)</f>
        <v>0</v>
      </c>
      <c r="F9" s="23" t="s">
        <v>634</v>
      </c>
    </row>
    <row r="10" spans="1:6" s="6" customFormat="1">
      <c r="B10" s="7" t="s">
        <v>245</v>
      </c>
      <c r="C10" s="7"/>
      <c r="E10" s="331"/>
      <c r="F10" s="7"/>
    </row>
    <row r="11" spans="1:6" s="6" customFormat="1">
      <c r="C11" s="7" t="s">
        <v>12868</v>
      </c>
      <c r="E11" s="331">
        <f>IF(calcCh2Prod1Slot1Active=1,(decCh2Prod1Forecast*INDEX(dataCh2Prod1MarketVolume,,4+xxRound)),0)</f>
        <v>21056760</v>
      </c>
      <c r="F11" s="23" t="s">
        <v>635</v>
      </c>
    </row>
    <row r="12" spans="1:6" s="6" customFormat="1">
      <c r="C12" s="7" t="s">
        <v>238</v>
      </c>
      <c r="E12" s="331">
        <f>IF(calcCh2Prod2Slot1Active=1,(decCh2Prod2Forecast*INDEX(dataCh2Prod2n3MarketVolume,,4+xxRound)),0)</f>
        <v>145291643.99999997</v>
      </c>
      <c r="F12" s="23" t="s">
        <v>636</v>
      </c>
    </row>
    <row r="13" spans="1:6" s="6" customFormat="1">
      <c r="C13" s="7" t="s">
        <v>239</v>
      </c>
      <c r="E13" s="331">
        <f>IF(calcCh2Prod3Slot1Active=1,(decCh2Prod3Forecast*INDEX(dataCh2Prod2n3MarketVolume,,4+xxRound)),0)</f>
        <v>96861095.999999985</v>
      </c>
      <c r="F13" s="23" t="s">
        <v>637</v>
      </c>
    </row>
    <row r="14" spans="1:6" s="6" customFormat="1">
      <c r="C14" s="7" t="s">
        <v>240</v>
      </c>
      <c r="E14" s="331">
        <f>IF(calcCh2Prod4Slot1Active=1,decCh2Prod4Forecast,0)</f>
        <v>0</v>
      </c>
      <c r="F14" s="23" t="s">
        <v>638</v>
      </c>
    </row>
    <row r="15" spans="1:6" s="6" customFormat="1">
      <c r="B15" s="7" t="s">
        <v>5199</v>
      </c>
      <c r="C15" s="7"/>
      <c r="E15" s="331"/>
      <c r="F15" s="7"/>
    </row>
    <row r="16" spans="1:6" s="6" customFormat="1">
      <c r="C16" s="7" t="s">
        <v>12868</v>
      </c>
      <c r="E16" s="331">
        <f>IF(calcCh3Prod1Slot1Active=1,(decCh3Prod1Forecast*INDEX(dataCh3Prod1MarketVolume,,4+xxRound)),0)</f>
        <v>38509485</v>
      </c>
      <c r="F16" s="23" t="s">
        <v>639</v>
      </c>
    </row>
    <row r="17" spans="1:6" s="6" customFormat="1">
      <c r="C17" s="7" t="s">
        <v>238</v>
      </c>
      <c r="E17" s="331">
        <f>IF(calcCh3Prod2Slot1Active=1,(decCh3Prod2Forecast*INDEX(dataCh3Prod2n3MarketVolume,,4+xxRound)),0)</f>
        <v>72434507.5</v>
      </c>
      <c r="F17" s="23" t="s">
        <v>640</v>
      </c>
    </row>
    <row r="18" spans="1:6" s="6" customFormat="1">
      <c r="C18" s="7" t="s">
        <v>239</v>
      </c>
      <c r="E18" s="331">
        <f>IF(calcCh3Prod3Slot1Active=1,(decCh3Prod3Forecast*INDEX(dataCh3Prod2n3MarketVolume,,4+xxRound)),0)</f>
        <v>72434507.5</v>
      </c>
      <c r="F18" s="23" t="s">
        <v>641</v>
      </c>
    </row>
    <row r="19" spans="1:6" s="6" customFormat="1">
      <c r="C19" s="7" t="s">
        <v>240</v>
      </c>
      <c r="E19" s="331">
        <f>IF(calcCh3Prod4Slot1Active=1,decCh3Prod4Forecast,0)</f>
        <v>0</v>
      </c>
      <c r="F19" s="23" t="s">
        <v>642</v>
      </c>
    </row>
    <row r="20" spans="1:6" s="6" customFormat="1">
      <c r="B20" s="7" t="s">
        <v>246</v>
      </c>
      <c r="C20" s="7"/>
      <c r="E20" s="331"/>
      <c r="F20" s="7"/>
    </row>
    <row r="21" spans="1:6" s="6" customFormat="1">
      <c r="C21" s="7" t="s">
        <v>12868</v>
      </c>
      <c r="E21" s="331">
        <f>IF(calcCh4Prod1Slot1Active=1,(decCh4Prod1Forecast*INDEX(dataCh4Prod1MarketVolume,,4+xxRound)),0)</f>
        <v>50706750</v>
      </c>
      <c r="F21" s="23" t="s">
        <v>643</v>
      </c>
    </row>
    <row r="22" spans="1:6" s="6" customFormat="1">
      <c r="C22" s="7" t="s">
        <v>238</v>
      </c>
      <c r="E22" s="331">
        <f>IF(calcCh4Prod2Slot1Active=1,(decCh4Prod2Forecast*INDEX(dataCh4Prod2n3MarketVolume,,4+xxRound)),0)</f>
        <v>35321580</v>
      </c>
      <c r="F22" s="23" t="s">
        <v>644</v>
      </c>
    </row>
    <row r="23" spans="1:6" s="6" customFormat="1">
      <c r="C23" s="7" t="s">
        <v>239</v>
      </c>
      <c r="E23" s="331">
        <f>IF(calcCh4Prod3Slot1Active=1,(decCh4Prod3Forecast*INDEX(dataCh4Prod2n3MarketVolume,,4+xxRound)),0)</f>
        <v>23547720</v>
      </c>
      <c r="F23" s="23" t="s">
        <v>645</v>
      </c>
    </row>
    <row r="24" spans="1:6" s="6" customFormat="1">
      <c r="C24" s="7" t="s">
        <v>240</v>
      </c>
      <c r="E24" s="331">
        <f>IF(calcCh4Prod4Slot1Active=1,(decCh4Prod4Forecast*INDEX(dataCh4Prod4MarketVolume,,4+xxRound)),0)</f>
        <v>60600750</v>
      </c>
      <c r="F24" s="23" t="s">
        <v>646</v>
      </c>
    </row>
    <row r="25" spans="1:6" s="646" customFormat="1"/>
    <row r="26" spans="1:6" s="81" customFormat="1">
      <c r="A26" s="81" t="s">
        <v>1434</v>
      </c>
    </row>
    <row r="28" spans="1:6">
      <c r="B28" s="198" t="s">
        <v>244</v>
      </c>
    </row>
    <row r="29" spans="1:6">
      <c r="C29" s="23" t="s">
        <v>12868</v>
      </c>
    </row>
    <row r="30" spans="1:6">
      <c r="D30" s="23" t="s">
        <v>379</v>
      </c>
      <c r="E30" s="331">
        <f>IF(obalCh1Prod1Slot1Active=0,decCh1Prod1Slot1Active,obalCh1Prod1Slot1Active)</f>
        <v>1</v>
      </c>
      <c r="F30" s="23" t="s">
        <v>1435</v>
      </c>
    </row>
    <row r="31" spans="1:6">
      <c r="D31" s="23" t="s">
        <v>394</v>
      </c>
      <c r="E31" s="331">
        <f>IF(obalCh1Prod1Slot2Active=0,decCh1Prod1Slot2Active,obalCh1Prod1Slot2Active)</f>
        <v>0</v>
      </c>
      <c r="F31" s="23" t="s">
        <v>1436</v>
      </c>
    </row>
    <row r="32" spans="1:6">
      <c r="D32" s="23" t="s">
        <v>395</v>
      </c>
      <c r="E32" s="331">
        <f>IF(obalCh1Prod1Slot3Active=0,decCh1Prod1Slot3Active,obalCh1Prod1Slot3Active)</f>
        <v>0</v>
      </c>
      <c r="F32" s="23" t="s">
        <v>1437</v>
      </c>
    </row>
    <row r="33" spans="3:6" ht="1.5" customHeight="1">
      <c r="C33" s="259"/>
      <c r="D33" s="197"/>
      <c r="E33" s="260"/>
    </row>
    <row r="34" spans="3:6">
      <c r="D34" s="373" t="s">
        <v>14</v>
      </c>
      <c r="E34" s="374">
        <f>SUM(E30:E33)</f>
        <v>1</v>
      </c>
      <c r="F34" s="23" t="s">
        <v>1484</v>
      </c>
    </row>
    <row r="36" spans="3:6">
      <c r="C36" s="23" t="s">
        <v>238</v>
      </c>
      <c r="E36" s="331"/>
    </row>
    <row r="37" spans="3:6">
      <c r="D37" s="23" t="s">
        <v>379</v>
      </c>
      <c r="E37" s="331">
        <f>IF(obalCh1Prod2Slot1Active=0,decCh1Prod2Slot1Active,obalCh1Prod2Slot1Active)</f>
        <v>1</v>
      </c>
      <c r="F37" s="23" t="s">
        <v>1438</v>
      </c>
    </row>
    <row r="38" spans="3:6">
      <c r="D38" s="23" t="s">
        <v>394</v>
      </c>
      <c r="E38" s="331">
        <f>IF(obalCh1Prod2Slot2Active=0,decCh1Prod2Slot2Active,obalCh1Prod2Slot2Active)</f>
        <v>1</v>
      </c>
      <c r="F38" s="23" t="s">
        <v>1439</v>
      </c>
    </row>
    <row r="39" spans="3:6">
      <c r="D39" s="23" t="s">
        <v>395</v>
      </c>
      <c r="E39" s="331">
        <f>IF(obalCh1Prod2Slot3Active=0,decCh1Prod2Slot3Active,obalCh1Prod2Slot3Active)</f>
        <v>0</v>
      </c>
      <c r="F39" s="23" t="s">
        <v>1440</v>
      </c>
    </row>
    <row r="40" spans="3:6" ht="1.5" customHeight="1">
      <c r="C40" s="259"/>
      <c r="D40" s="197"/>
      <c r="E40" s="260"/>
    </row>
    <row r="41" spans="3:6">
      <c r="D41" s="373" t="s">
        <v>14</v>
      </c>
      <c r="E41" s="374">
        <f>SUM(E37:E40)</f>
        <v>2</v>
      </c>
      <c r="F41" s="23" t="s">
        <v>1485</v>
      </c>
    </row>
    <row r="43" spans="3:6">
      <c r="C43" s="23" t="s">
        <v>239</v>
      </c>
      <c r="E43" s="331"/>
    </row>
    <row r="44" spans="3:6">
      <c r="D44" s="23" t="s">
        <v>379</v>
      </c>
      <c r="E44" s="331">
        <f>IF(obalCh1Prod3Slot1Active=0,decCh1Prod3Slot1Active,obalCh1Prod3Slot1Active)</f>
        <v>1</v>
      </c>
      <c r="F44" s="23" t="s">
        <v>1441</v>
      </c>
    </row>
    <row r="45" spans="3:6">
      <c r="D45" s="23" t="s">
        <v>394</v>
      </c>
      <c r="E45" s="331">
        <f>IF(obalCh1Prod3Slot2Active=0,decCh1Prod3Slot2Active,obalCh1Prod3Slot2Active)</f>
        <v>1</v>
      </c>
      <c r="F45" s="23" t="s">
        <v>1442</v>
      </c>
    </row>
    <row r="46" spans="3:6">
      <c r="D46" s="23" t="s">
        <v>395</v>
      </c>
      <c r="E46" s="331">
        <f>IF(obalCh1Prod3Slot3Active=0,decCh1Prod3Slot3Active,obalCh1Prod3Slot3Active)</f>
        <v>0</v>
      </c>
      <c r="F46" s="23" t="s">
        <v>1443</v>
      </c>
    </row>
    <row r="47" spans="3:6" ht="1.5" customHeight="1">
      <c r="C47" s="259"/>
      <c r="D47" s="197"/>
      <c r="E47" s="260"/>
    </row>
    <row r="48" spans="3:6">
      <c r="D48" s="373" t="s">
        <v>14</v>
      </c>
      <c r="E48" s="374">
        <f>SUM(E44:E47)</f>
        <v>2</v>
      </c>
      <c r="F48" s="23" t="s">
        <v>1486</v>
      </c>
    </row>
    <row r="50" spans="2:6">
      <c r="B50" s="198"/>
      <c r="C50" s="23" t="s">
        <v>240</v>
      </c>
      <c r="E50" s="332"/>
    </row>
    <row r="51" spans="2:6">
      <c r="B51" s="198"/>
      <c r="D51" s="23" t="s">
        <v>379</v>
      </c>
      <c r="E51" s="331">
        <f>IF(obalCh1Prod4Slot1Active=0,decCh1Prod4Slot1Active,obalCh1Prod4Slot1Active)</f>
        <v>0</v>
      </c>
      <c r="F51" s="23" t="s">
        <v>1444</v>
      </c>
    </row>
    <row r="52" spans="2:6">
      <c r="B52" s="198"/>
      <c r="D52" s="23" t="s">
        <v>394</v>
      </c>
      <c r="E52" s="331">
        <f>IF(obalCh1Prod4Slot2Active=0,decCh1Prod4Slot2Active,obalCh1Prod4Slot2Active)</f>
        <v>0</v>
      </c>
      <c r="F52" s="23" t="s">
        <v>1445</v>
      </c>
    </row>
    <row r="53" spans="2:6">
      <c r="B53" s="198"/>
      <c r="D53" s="23" t="s">
        <v>395</v>
      </c>
      <c r="E53" s="331">
        <f>IF(obalCh1Prod4Slot3Active=0,decCh1Prod4Slot3Active,obalCh1Prod4Slot3Active)</f>
        <v>0</v>
      </c>
      <c r="F53" s="23" t="s">
        <v>1446</v>
      </c>
    </row>
    <row r="54" spans="2:6" ht="1.5" customHeight="1">
      <c r="C54" s="259"/>
      <c r="D54" s="197"/>
      <c r="E54" s="260"/>
    </row>
    <row r="55" spans="2:6">
      <c r="D55" s="373" t="s">
        <v>14</v>
      </c>
      <c r="E55" s="374">
        <f>SUM(E51:E54)</f>
        <v>0</v>
      </c>
      <c r="F55" s="23" t="s">
        <v>1487</v>
      </c>
    </row>
    <row r="56" spans="2:6">
      <c r="E56" s="331"/>
    </row>
    <row r="57" spans="2:6">
      <c r="C57" s="198" t="s">
        <v>13819</v>
      </c>
      <c r="E57" s="374">
        <f>calcCh1Prod1SlotTotActive+calcCh1Prod2SlotTotActive+calcCh1Prod3SlotTotActive+calcCh1Prod4SlotTotActive</f>
        <v>5</v>
      </c>
      <c r="F57" s="23" t="s">
        <v>1488</v>
      </c>
    </row>
    <row r="59" spans="2:6">
      <c r="B59" s="198" t="s">
        <v>245</v>
      </c>
    </row>
    <row r="60" spans="2:6">
      <c r="C60" s="23" t="s">
        <v>12868</v>
      </c>
    </row>
    <row r="61" spans="2:6">
      <c r="D61" s="23" t="s">
        <v>379</v>
      </c>
      <c r="E61" s="331">
        <f>IF(obalCh2Prod1Slot1Active=0,decCh2Prod1Slot1Active,obalCh2Prod1Slot1Active)</f>
        <v>1</v>
      </c>
      <c r="F61" s="23" t="s">
        <v>1447</v>
      </c>
    </row>
    <row r="62" spans="2:6">
      <c r="D62" s="23" t="s">
        <v>394</v>
      </c>
      <c r="E62" s="331">
        <f>IF(obalCh2Prod1Slot2Active=0,decCh2Prod1Slot2Active,obalCh2Prod1Slot2Active)</f>
        <v>0</v>
      </c>
      <c r="F62" s="23" t="s">
        <v>1448</v>
      </c>
    </row>
    <row r="63" spans="2:6">
      <c r="D63" s="23" t="s">
        <v>395</v>
      </c>
      <c r="E63" s="331">
        <f>IF(obalCh2Prod1Slot3Active=0,decCh2Prod1Slot3Active,obalCh2Prod1Slot3Active)</f>
        <v>0</v>
      </c>
      <c r="F63" s="23" t="s">
        <v>1449</v>
      </c>
    </row>
    <row r="64" spans="2:6" ht="1.5" customHeight="1">
      <c r="C64" s="259"/>
      <c r="D64" s="197"/>
      <c r="E64" s="260"/>
    </row>
    <row r="65" spans="3:6">
      <c r="D65" s="373" t="s">
        <v>14</v>
      </c>
      <c r="E65" s="374">
        <f>SUM(E61:E64)</f>
        <v>1</v>
      </c>
      <c r="F65" s="23" t="s">
        <v>1489</v>
      </c>
    </row>
    <row r="67" spans="3:6">
      <c r="C67" s="23" t="s">
        <v>238</v>
      </c>
      <c r="E67" s="331"/>
    </row>
    <row r="68" spans="3:6">
      <c r="D68" s="23" t="s">
        <v>379</v>
      </c>
      <c r="E68" s="331">
        <f>IF(obalCh2Prod2Slot1Active=0,decCh2Prod2Slot1Active,obalCh2Prod2Slot1Active)</f>
        <v>1</v>
      </c>
      <c r="F68" s="23" t="s">
        <v>1450</v>
      </c>
    </row>
    <row r="69" spans="3:6">
      <c r="D69" s="23" t="s">
        <v>394</v>
      </c>
      <c r="E69" s="331">
        <f>IF(obalCh2Prod2Slot2Active=0,decCh2Prod2Slot2Active,obalCh2Prod2Slot2Active)</f>
        <v>0</v>
      </c>
      <c r="F69" s="23" t="s">
        <v>1451</v>
      </c>
    </row>
    <row r="70" spans="3:6">
      <c r="D70" s="23" t="s">
        <v>395</v>
      </c>
      <c r="E70" s="331">
        <f>IF(obalCh2Prod2Slot3Active=0,decCh2Prod2Slot3Active,obalCh2Prod2Slot3Active)</f>
        <v>0</v>
      </c>
      <c r="F70" s="23" t="s">
        <v>1452</v>
      </c>
    </row>
    <row r="71" spans="3:6" ht="1.5" customHeight="1">
      <c r="C71" s="259"/>
      <c r="D71" s="197"/>
      <c r="E71" s="260"/>
    </row>
    <row r="72" spans="3:6">
      <c r="D72" s="373" t="s">
        <v>14</v>
      </c>
      <c r="E72" s="374">
        <f>SUM(E68:E71)</f>
        <v>1</v>
      </c>
      <c r="F72" s="23" t="s">
        <v>1490</v>
      </c>
    </row>
    <row r="74" spans="3:6">
      <c r="C74" s="23" t="s">
        <v>239</v>
      </c>
      <c r="E74" s="331"/>
    </row>
    <row r="75" spans="3:6">
      <c r="D75" s="23" t="s">
        <v>379</v>
      </c>
      <c r="E75" s="331">
        <f>IF(obalCh2Prod3Slot1Active=0,decCh2Prod3Slot1Active,obalCh2Prod3Slot1Active)</f>
        <v>1</v>
      </c>
      <c r="F75" s="23" t="s">
        <v>1453</v>
      </c>
    </row>
    <row r="76" spans="3:6">
      <c r="D76" s="23" t="s">
        <v>394</v>
      </c>
      <c r="E76" s="331">
        <f>IF(obalCh2Prod3Slot2Active=0,decCh2Prod3Slot2Active,obalCh2Prod3Slot2Active)</f>
        <v>0</v>
      </c>
      <c r="F76" s="23" t="s">
        <v>1454</v>
      </c>
    </row>
    <row r="77" spans="3:6">
      <c r="D77" s="23" t="s">
        <v>395</v>
      </c>
      <c r="E77" s="331">
        <f>IF(obalCh2Prod3Slot3Active=0,decCh2Prod3Slot3Active,obalCh2Prod3Slot3Active)</f>
        <v>0</v>
      </c>
      <c r="F77" s="23" t="s">
        <v>1455</v>
      </c>
    </row>
    <row r="78" spans="3:6" ht="1.5" customHeight="1">
      <c r="C78" s="259"/>
      <c r="D78" s="197"/>
      <c r="E78" s="260"/>
    </row>
    <row r="79" spans="3:6">
      <c r="D79" s="373" t="s">
        <v>14</v>
      </c>
      <c r="E79" s="374">
        <f>SUM(E75:E78)</f>
        <v>1</v>
      </c>
      <c r="F79" s="23" t="s">
        <v>1491</v>
      </c>
    </row>
    <row r="81" spans="2:6">
      <c r="B81" s="198"/>
      <c r="C81" s="23" t="s">
        <v>240</v>
      </c>
      <c r="E81" s="332"/>
    </row>
    <row r="82" spans="2:6">
      <c r="B82" s="198"/>
      <c r="D82" s="23" t="s">
        <v>379</v>
      </c>
      <c r="E82" s="331">
        <f>IF(obalCh2Prod4Slot1Active=0,decCh2Prod4Slot1Active,obalCh2Prod4Slot1Active)</f>
        <v>0</v>
      </c>
      <c r="F82" s="23" t="s">
        <v>1456</v>
      </c>
    </row>
    <row r="83" spans="2:6">
      <c r="B83" s="198"/>
      <c r="D83" s="23" t="s">
        <v>394</v>
      </c>
      <c r="E83" s="331">
        <f>IF(obalCh2Prod4Slot2Active=0,decCh2Prod4Slot2Active,obalCh2Prod4Slot2Active)</f>
        <v>0</v>
      </c>
      <c r="F83" s="23" t="s">
        <v>1457</v>
      </c>
    </row>
    <row r="84" spans="2:6">
      <c r="B84" s="198"/>
      <c r="D84" s="23" t="s">
        <v>395</v>
      </c>
      <c r="E84" s="331">
        <f>IF(obalCh2Prod4Slot3Active=0,decCh2Prod4Slot3Active,obalCh2Prod4Slot3Active)</f>
        <v>0</v>
      </c>
      <c r="F84" s="23" t="s">
        <v>1458</v>
      </c>
    </row>
    <row r="85" spans="2:6" ht="1.5" customHeight="1">
      <c r="C85" s="259"/>
      <c r="D85" s="197"/>
      <c r="E85" s="260"/>
    </row>
    <row r="86" spans="2:6">
      <c r="D86" s="373" t="s">
        <v>14</v>
      </c>
      <c r="E86" s="374">
        <f>SUM(E82:E85)</f>
        <v>0</v>
      </c>
      <c r="F86" s="23" t="s">
        <v>1492</v>
      </c>
    </row>
    <row r="87" spans="2:6">
      <c r="E87" s="331"/>
    </row>
    <row r="88" spans="2:6">
      <c r="C88" s="198" t="s">
        <v>13820</v>
      </c>
      <c r="E88" s="374">
        <f>calcCh2Prod1SlotTotActive+calcCh2Prod2SlotTotActive+calcCh2Prod3SlotTotActive+calcCh2Prod4SlotTotActive</f>
        <v>3</v>
      </c>
      <c r="F88" s="23" t="s">
        <v>1493</v>
      </c>
    </row>
    <row r="89" spans="2:6">
      <c r="E89" s="331"/>
    </row>
    <row r="90" spans="2:6">
      <c r="B90" s="198" t="s">
        <v>5199</v>
      </c>
    </row>
    <row r="91" spans="2:6">
      <c r="C91" s="23" t="s">
        <v>12868</v>
      </c>
    </row>
    <row r="92" spans="2:6">
      <c r="D92" s="23" t="s">
        <v>379</v>
      </c>
      <c r="E92" s="331">
        <f>IF(obalCh3Prod1Slot1Active=0,decCh3Prod1Slot1Active,obalCh3Prod1Slot1Active)</f>
        <v>1</v>
      </c>
      <c r="F92" s="23" t="s">
        <v>1459</v>
      </c>
    </row>
    <row r="93" spans="2:6">
      <c r="D93" s="23" t="s">
        <v>394</v>
      </c>
      <c r="E93" s="331">
        <f>IF(obalCh3Prod1Slot2Active=0,decCh3Prod1Slot2Active,obalCh3Prod1Slot2Active)</f>
        <v>0</v>
      </c>
      <c r="F93" s="23" t="s">
        <v>1460</v>
      </c>
    </row>
    <row r="94" spans="2:6">
      <c r="D94" s="23" t="s">
        <v>395</v>
      </c>
      <c r="E94" s="331">
        <f>IF(obalCh3Prod1Slot3Active=0,decCh3Prod1Slot3Active,obalCh3Prod1Slot3Active)</f>
        <v>0</v>
      </c>
      <c r="F94" s="23" t="s">
        <v>1461</v>
      </c>
    </row>
    <row r="95" spans="2:6" ht="1.5" customHeight="1">
      <c r="C95" s="259"/>
      <c r="D95" s="197"/>
      <c r="E95" s="260"/>
    </row>
    <row r="96" spans="2:6">
      <c r="D96" s="373" t="s">
        <v>14</v>
      </c>
      <c r="E96" s="374">
        <f>SUM(E92:E95)</f>
        <v>1</v>
      </c>
      <c r="F96" s="23" t="s">
        <v>1494</v>
      </c>
    </row>
    <row r="98" spans="2:6">
      <c r="C98" s="23" t="s">
        <v>238</v>
      </c>
      <c r="E98" s="331"/>
    </row>
    <row r="99" spans="2:6">
      <c r="D99" s="23" t="s">
        <v>379</v>
      </c>
      <c r="E99" s="331">
        <f>IF(obalCh3Prod2Slot1Active=0,decCh3Prod2Slot1Active,obalCh3Prod2Slot1Active)</f>
        <v>1</v>
      </c>
      <c r="F99" s="23" t="s">
        <v>1462</v>
      </c>
    </row>
    <row r="100" spans="2:6">
      <c r="D100" s="23" t="s">
        <v>394</v>
      </c>
      <c r="E100" s="331">
        <f>IF(obalCh3Prod2Slot2Active=0,decCh3Prod2Slot2Active,obalCh3Prod2Slot2Active)</f>
        <v>1</v>
      </c>
      <c r="F100" s="23" t="s">
        <v>1463</v>
      </c>
    </row>
    <row r="101" spans="2:6">
      <c r="D101" s="23" t="s">
        <v>395</v>
      </c>
      <c r="E101" s="331">
        <f>IF(obalCh3Prod2Slot3Active=0,decCh3Prod2Slot3Active,obalCh3Prod2Slot3Active)</f>
        <v>0</v>
      </c>
      <c r="F101" s="23" t="s">
        <v>1464</v>
      </c>
    </row>
    <row r="102" spans="2:6" ht="1.5" customHeight="1">
      <c r="C102" s="259"/>
      <c r="D102" s="197"/>
      <c r="E102" s="260"/>
    </row>
    <row r="103" spans="2:6">
      <c r="D103" s="373" t="s">
        <v>14</v>
      </c>
      <c r="E103" s="374">
        <f>SUM(E99:E102)</f>
        <v>2</v>
      </c>
      <c r="F103" s="23" t="s">
        <v>1495</v>
      </c>
    </row>
    <row r="105" spans="2:6">
      <c r="C105" s="23" t="s">
        <v>239</v>
      </c>
      <c r="E105" s="331"/>
    </row>
    <row r="106" spans="2:6">
      <c r="D106" s="23" t="s">
        <v>379</v>
      </c>
      <c r="E106" s="331">
        <f>IF(obalCh3Prod3Slot1Active=0,decCh3Prod3Slot1Active,obalCh3Prod3Slot1Active)</f>
        <v>1</v>
      </c>
      <c r="F106" s="23" t="s">
        <v>1465</v>
      </c>
    </row>
    <row r="107" spans="2:6">
      <c r="D107" s="23" t="s">
        <v>394</v>
      </c>
      <c r="E107" s="331">
        <f>IF(obalCh3Prod3Slot2Active=0,decCh3Prod3Slot2Active,obalCh3Prod3Slot2Active)</f>
        <v>0</v>
      </c>
      <c r="F107" s="23" t="s">
        <v>1466</v>
      </c>
    </row>
    <row r="108" spans="2:6">
      <c r="D108" s="23" t="s">
        <v>395</v>
      </c>
      <c r="E108" s="331">
        <f>IF(obalCh3Prod3Slot3Active=0,decCh3Prod3Slot3Active,obalCh3Prod3Slot3Active)</f>
        <v>0</v>
      </c>
      <c r="F108" s="23" t="s">
        <v>1467</v>
      </c>
    </row>
    <row r="109" spans="2:6" ht="1.5" customHeight="1">
      <c r="C109" s="259"/>
      <c r="D109" s="197"/>
      <c r="E109" s="260"/>
    </row>
    <row r="110" spans="2:6">
      <c r="D110" s="373" t="s">
        <v>14</v>
      </c>
      <c r="E110" s="374">
        <f>SUM(E106:E109)</f>
        <v>1</v>
      </c>
      <c r="F110" s="23" t="s">
        <v>1496</v>
      </c>
    </row>
    <row r="112" spans="2:6">
      <c r="B112" s="198"/>
      <c r="C112" s="23" t="s">
        <v>240</v>
      </c>
      <c r="E112" s="332"/>
    </row>
    <row r="113" spans="2:6">
      <c r="B113" s="198"/>
      <c r="D113" s="23" t="s">
        <v>379</v>
      </c>
      <c r="E113" s="331">
        <f>IF(obalCh3Prod4Slot1Active=0,decCh3Prod4Slot1Active,obalCh3Prod4Slot1Active)</f>
        <v>0</v>
      </c>
      <c r="F113" s="23" t="s">
        <v>1468</v>
      </c>
    </row>
    <row r="114" spans="2:6">
      <c r="B114" s="198"/>
      <c r="D114" s="23" t="s">
        <v>394</v>
      </c>
      <c r="E114" s="331">
        <f>IF(obalCh3Prod4Slot2Active=0,decCh3Prod4Slot2Active,obalCh3Prod4Slot2Active)</f>
        <v>0</v>
      </c>
      <c r="F114" s="23" t="s">
        <v>1469</v>
      </c>
    </row>
    <row r="115" spans="2:6">
      <c r="B115" s="198"/>
      <c r="D115" s="23" t="s">
        <v>395</v>
      </c>
      <c r="E115" s="331">
        <f>IF(obalCh3Prod4Slot3Active=0,decCh3Prod4Slot3Active,obalCh3Prod4Slot3Active)</f>
        <v>0</v>
      </c>
      <c r="F115" s="23" t="s">
        <v>1470</v>
      </c>
    </row>
    <row r="116" spans="2:6" ht="1.5" customHeight="1">
      <c r="C116" s="259"/>
      <c r="D116" s="197"/>
      <c r="E116" s="260"/>
    </row>
    <row r="117" spans="2:6">
      <c r="D117" s="373" t="s">
        <v>14</v>
      </c>
      <c r="E117" s="374">
        <f>SUM(E113:E116)</f>
        <v>0</v>
      </c>
      <c r="F117" s="23" t="s">
        <v>1497</v>
      </c>
    </row>
    <row r="118" spans="2:6">
      <c r="E118" s="331"/>
    </row>
    <row r="119" spans="2:6">
      <c r="C119" s="198" t="s">
        <v>13821</v>
      </c>
      <c r="E119" s="374">
        <f>calcCh3Prod1SlotTotActive+calcCh3Prod2SlotTotActive+calcCh3Prod3SlotTotActive+calcCh3Prod4SlotTotActive</f>
        <v>4</v>
      </c>
      <c r="F119" s="23" t="s">
        <v>1498</v>
      </c>
    </row>
    <row r="120" spans="2:6">
      <c r="E120" s="331"/>
    </row>
    <row r="121" spans="2:6">
      <c r="B121" s="198" t="s">
        <v>246</v>
      </c>
    </row>
    <row r="122" spans="2:6">
      <c r="C122" s="23" t="s">
        <v>12868</v>
      </c>
    </row>
    <row r="123" spans="2:6">
      <c r="D123" s="23" t="s">
        <v>379</v>
      </c>
      <c r="E123" s="331">
        <f>IF(obalCh4Prod1Slot1Active=0,decCh4Prod1Slot1Active,obalCh4Prod1Slot1Active)</f>
        <v>1</v>
      </c>
      <c r="F123" s="23" t="s">
        <v>1471</v>
      </c>
    </row>
    <row r="124" spans="2:6">
      <c r="D124" s="23" t="s">
        <v>394</v>
      </c>
      <c r="E124" s="331">
        <f>IF(obalCh4Prod1Slot2Active=0,decCh4Prod1Slot2Active,obalCh4Prod1Slot2Active)</f>
        <v>0</v>
      </c>
      <c r="F124" s="23" t="s">
        <v>1472</v>
      </c>
    </row>
    <row r="125" spans="2:6">
      <c r="D125" s="23" t="s">
        <v>395</v>
      </c>
      <c r="E125" s="331">
        <f>IF(obalCh4Prod1Slot3Active=0,decCh4Prod1Slot3Active,obalCh4Prod1Slot3Active)</f>
        <v>0</v>
      </c>
      <c r="F125" s="23" t="s">
        <v>1473</v>
      </c>
    </row>
    <row r="126" spans="2:6" ht="1.5" customHeight="1">
      <c r="C126" s="259"/>
      <c r="D126" s="197"/>
      <c r="E126" s="260"/>
    </row>
    <row r="127" spans="2:6">
      <c r="D127" s="373" t="s">
        <v>14</v>
      </c>
      <c r="E127" s="374">
        <f>SUM(E123:E126)</f>
        <v>1</v>
      </c>
      <c r="F127" s="23" t="s">
        <v>1499</v>
      </c>
    </row>
    <row r="129" spans="2:6">
      <c r="C129" s="23" t="s">
        <v>238</v>
      </c>
      <c r="E129" s="331"/>
    </row>
    <row r="130" spans="2:6">
      <c r="D130" s="23" t="s">
        <v>379</v>
      </c>
      <c r="E130" s="331">
        <f>IF(obalCh4Prod2Slot1Active=0,decCh4Prod2Slot1Active,obalCh4Prod2Slot1Active)</f>
        <v>1</v>
      </c>
      <c r="F130" s="23" t="s">
        <v>1474</v>
      </c>
    </row>
    <row r="131" spans="2:6">
      <c r="D131" s="23" t="s">
        <v>394</v>
      </c>
      <c r="E131" s="331">
        <f>IF(obalCh4Prod2Slot2Active=0,decCh4Prod2Slot2Active,obalCh4Prod2Slot2Active)</f>
        <v>0</v>
      </c>
      <c r="F131" s="23" t="s">
        <v>1475</v>
      </c>
    </row>
    <row r="132" spans="2:6">
      <c r="D132" s="23" t="s">
        <v>395</v>
      </c>
      <c r="E132" s="331">
        <f>IF(obalCh4Prod2Slot3Active=0,decCh4Prod2Slot3Active,obalCh4Prod2Slot3Active)</f>
        <v>0</v>
      </c>
      <c r="F132" s="23" t="s">
        <v>1476</v>
      </c>
    </row>
    <row r="133" spans="2:6" ht="1.5" customHeight="1">
      <c r="C133" s="259"/>
      <c r="D133" s="197"/>
      <c r="E133" s="260"/>
    </row>
    <row r="134" spans="2:6">
      <c r="D134" s="373" t="s">
        <v>14</v>
      </c>
      <c r="E134" s="374">
        <f>SUM(E130:E133)</f>
        <v>1</v>
      </c>
      <c r="F134" s="23" t="s">
        <v>1500</v>
      </c>
    </row>
    <row r="136" spans="2:6">
      <c r="C136" s="23" t="s">
        <v>239</v>
      </c>
      <c r="E136" s="331"/>
    </row>
    <row r="137" spans="2:6">
      <c r="D137" s="23" t="s">
        <v>379</v>
      </c>
      <c r="E137" s="331">
        <f>IF(obalCh4Prod3Slot1Active=0,decCh4Prod3Slot1Active,obalCh4Prod3Slot1Active)</f>
        <v>1</v>
      </c>
      <c r="F137" s="23" t="s">
        <v>1477</v>
      </c>
    </row>
    <row r="138" spans="2:6">
      <c r="D138" s="23" t="s">
        <v>394</v>
      </c>
      <c r="E138" s="331">
        <f>IF(obalCh4Prod3Slot2Active=0,decCh4Prod3Slot2Active,obalCh4Prod3Slot2Active)</f>
        <v>0</v>
      </c>
      <c r="F138" s="23" t="s">
        <v>1478</v>
      </c>
    </row>
    <row r="139" spans="2:6">
      <c r="D139" s="23" t="s">
        <v>395</v>
      </c>
      <c r="E139" s="331">
        <f>IF(obalCh4Prod3Slot3Active=0,decCh4Prod3Slot3Active,obalCh4Prod3Slot3Active)</f>
        <v>0</v>
      </c>
      <c r="F139" s="23" t="s">
        <v>1479</v>
      </c>
    </row>
    <row r="140" spans="2:6" ht="1.5" customHeight="1">
      <c r="C140" s="259"/>
      <c r="D140" s="197"/>
      <c r="E140" s="260"/>
    </row>
    <row r="141" spans="2:6">
      <c r="D141" s="373" t="s">
        <v>14</v>
      </c>
      <c r="E141" s="374">
        <f>SUM(E137:E140)</f>
        <v>1</v>
      </c>
      <c r="F141" s="23" t="s">
        <v>1501</v>
      </c>
    </row>
    <row r="143" spans="2:6">
      <c r="B143" s="198"/>
      <c r="C143" s="23" t="s">
        <v>240</v>
      </c>
      <c r="E143" s="332"/>
    </row>
    <row r="144" spans="2:6">
      <c r="B144" s="198"/>
      <c r="D144" s="23" t="s">
        <v>379</v>
      </c>
      <c r="E144" s="331">
        <f>IF(obalCh4Prod4Slot1Active=0,decCh4Prod4Slot1Active,obalCh4Prod4Slot1Active)</f>
        <v>1</v>
      </c>
      <c r="F144" s="23" t="s">
        <v>1480</v>
      </c>
    </row>
    <row r="145" spans="1:6">
      <c r="B145" s="198"/>
      <c r="D145" s="23" t="s">
        <v>394</v>
      </c>
      <c r="E145" s="331">
        <f>IF(obalCh4Prod4Slot2Active=0,decCh4Prod4Slot2Active,obalCh4Prod4Slot2Active)</f>
        <v>0</v>
      </c>
      <c r="F145" s="23" t="s">
        <v>1481</v>
      </c>
    </row>
    <row r="146" spans="1:6">
      <c r="B146" s="198"/>
      <c r="D146" s="23" t="s">
        <v>395</v>
      </c>
      <c r="E146" s="331">
        <f>IF(obalCh4Prod4Slot3Active=0,decCh4Prod4Slot3Active,obalCh4Prod4Slot3Active)</f>
        <v>0</v>
      </c>
      <c r="F146" s="23" t="s">
        <v>1482</v>
      </c>
    </row>
    <row r="147" spans="1:6" ht="1.5" customHeight="1">
      <c r="C147" s="259"/>
      <c r="D147" s="197"/>
      <c r="E147" s="260"/>
    </row>
    <row r="148" spans="1:6">
      <c r="D148" s="373" t="s">
        <v>14</v>
      </c>
      <c r="E148" s="374">
        <f>SUM(E144:E147)</f>
        <v>1</v>
      </c>
      <c r="F148" s="23" t="s">
        <v>1502</v>
      </c>
    </row>
    <row r="149" spans="1:6">
      <c r="E149" s="331"/>
    </row>
    <row r="150" spans="1:6">
      <c r="C150" s="198" t="s">
        <v>13822</v>
      </c>
      <c r="E150" s="374">
        <f>calcCh4Prod1SlotTotActive+calcCh4Prod2SlotTotActive+calcCh4Prod3SlotTotActive+calcCh4Prod4SlotTotActive</f>
        <v>4</v>
      </c>
      <c r="F150" s="23" t="s">
        <v>1503</v>
      </c>
    </row>
    <row r="151" spans="1:6">
      <c r="E151" s="331"/>
    </row>
    <row r="152" spans="1:6">
      <c r="E152" s="331"/>
    </row>
    <row r="153" spans="1:6">
      <c r="B153" s="198" t="s">
        <v>1483</v>
      </c>
      <c r="E153" s="331"/>
    </row>
    <row r="154" spans="1:6">
      <c r="C154" s="23" t="s">
        <v>12868</v>
      </c>
      <c r="E154" s="331">
        <f>calcCh1Prod1SlotTotActive+calcCh2Prod1SlotTotActive+calcCh3Prod1SlotTotActive+calcCh4Prod1SlotTotActive</f>
        <v>4</v>
      </c>
      <c r="F154" s="23" t="s">
        <v>1504</v>
      </c>
    </row>
    <row r="155" spans="1:6">
      <c r="C155" s="23" t="s">
        <v>238</v>
      </c>
      <c r="E155" s="331">
        <f>calcCh1Prod2SlotTotActive+calcCh2Prod2SlotTotActive+calcCh3Prod2SlotTotActive+calcCh4Prod2SlotTotActive</f>
        <v>6</v>
      </c>
      <c r="F155" s="23" t="s">
        <v>1505</v>
      </c>
    </row>
    <row r="156" spans="1:6">
      <c r="C156" s="23" t="s">
        <v>239</v>
      </c>
      <c r="E156" s="331">
        <f>calcCh1Prod3SlotTotActive+calcCh2Prod3SlotTotActive+calcCh3Prod3SlotTotActive+calcCh4Prod3SlotTotActive</f>
        <v>5</v>
      </c>
      <c r="F156" s="23" t="s">
        <v>1506</v>
      </c>
    </row>
    <row r="157" spans="1:6">
      <c r="C157" s="23" t="s">
        <v>240</v>
      </c>
      <c r="E157" s="331">
        <f>calcCh1Prod4SlotTotActive+calcCh2Prod4SlotTotActive+calcCh3Prod4SlotTotActive+calcCh4Prod4SlotTotActive</f>
        <v>1</v>
      </c>
      <c r="F157" s="23" t="s">
        <v>1507</v>
      </c>
    </row>
    <row r="158" spans="1:6">
      <c r="E158" s="331"/>
    </row>
    <row r="159" spans="1:6">
      <c r="E159" s="331"/>
    </row>
    <row r="160" spans="1:6" s="81" customFormat="1">
      <c r="A160" s="81" t="s">
        <v>630</v>
      </c>
    </row>
    <row r="162" spans="2:6">
      <c r="B162" s="23" t="s">
        <v>244</v>
      </c>
    </row>
    <row r="163" spans="2:6">
      <c r="C163" s="23" t="s">
        <v>12868</v>
      </c>
    </row>
    <row r="164" spans="2:6">
      <c r="D164" s="23" t="s">
        <v>379</v>
      </c>
      <c r="E164" s="331">
        <f>IF(decCh1Prod1Slot1Active=1,calcCh1Prod1VolForecastProd*decCh1Prod1Slot1Forecast,0)</f>
        <v>57998264.240000002</v>
      </c>
      <c r="F164" s="23" t="s">
        <v>647</v>
      </c>
    </row>
    <row r="165" spans="2:6">
      <c r="D165" s="23" t="s">
        <v>394</v>
      </c>
      <c r="E165" s="331">
        <f>IF(decCh1Prod1Slot2Active=1,calcCh1Prod1VolForecastProd*decCh1Prod1Slot2Forecast,0)</f>
        <v>0</v>
      </c>
      <c r="F165" s="23" t="s">
        <v>648</v>
      </c>
    </row>
    <row r="166" spans="2:6">
      <c r="D166" s="23" t="s">
        <v>395</v>
      </c>
      <c r="E166" s="331">
        <f>IF(decCh1Prod1Slot3Active=1,calcCh1Prod1VolForecastProd*decCh1Prod1Slot3Forecast,0)</f>
        <v>0</v>
      </c>
      <c r="F166" s="23" t="s">
        <v>649</v>
      </c>
    </row>
    <row r="167" spans="2:6">
      <c r="C167" s="23" t="s">
        <v>238</v>
      </c>
      <c r="E167" s="331"/>
    </row>
    <row r="168" spans="2:6">
      <c r="D168" s="23" t="s">
        <v>379</v>
      </c>
      <c r="E168" s="331">
        <f>IF(decCh1Prod2Slot1Active=1,calcCh1Prod2VolForecastProd*decCh1Prod2Slot1Forecast,0)</f>
        <v>82212505.199999988</v>
      </c>
      <c r="F168" s="23" t="s">
        <v>650</v>
      </c>
    </row>
    <row r="169" spans="2:6">
      <c r="D169" s="23" t="s">
        <v>394</v>
      </c>
      <c r="E169" s="331">
        <f>IF(decCh1Prod2Slot2Active=1,calcCh1Prod2VolForecastProd*decCh1Prod2Slot2Forecast,0)</f>
        <v>100481950.80000001</v>
      </c>
      <c r="F169" s="23" t="s">
        <v>651</v>
      </c>
    </row>
    <row r="170" spans="2:6">
      <c r="D170" s="23" t="s">
        <v>395</v>
      </c>
      <c r="E170" s="331">
        <f>IF(decCh1Prod2Slot3Active=1,calcCh1Prod2VolForecastProd*decCh1Prod2Slot3Forecast,0)</f>
        <v>0</v>
      </c>
      <c r="F170" s="23" t="s">
        <v>652</v>
      </c>
    </row>
    <row r="171" spans="2:6">
      <c r="C171" s="23" t="s">
        <v>239</v>
      </c>
      <c r="E171" s="331"/>
    </row>
    <row r="172" spans="2:6">
      <c r="D172" s="23" t="s">
        <v>379</v>
      </c>
      <c r="E172" s="331">
        <f>IF(decCh1Prod3Slot1Active=1,calcCh1Prod3VolForecastProd*decCh1Prod3Slot1Forecast,0)</f>
        <v>48718521.600000001</v>
      </c>
      <c r="F172" s="23" t="s">
        <v>653</v>
      </c>
    </row>
    <row r="173" spans="2:6">
      <c r="D173" s="23" t="s">
        <v>394</v>
      </c>
      <c r="E173" s="331">
        <f>IF(decCh1Prod3Slot2Active=1,calcCh1Prod3VolForecastProd*decCh1Prod3Slot2Forecast,0)</f>
        <v>73077782.399999991</v>
      </c>
      <c r="F173" s="23" t="s">
        <v>654</v>
      </c>
    </row>
    <row r="174" spans="2:6">
      <c r="D174" s="23" t="s">
        <v>395</v>
      </c>
      <c r="E174" s="331">
        <f>IF(decCh1Prod3Slot3Active=1,calcCh1Prod3VolForecastProd*decCh1Prod3Slot3Forecast,0)</f>
        <v>0</v>
      </c>
      <c r="F174" s="23" t="s">
        <v>655</v>
      </c>
    </row>
    <row r="175" spans="2:6">
      <c r="C175" s="23" t="s">
        <v>240</v>
      </c>
      <c r="E175" s="332"/>
    </row>
    <row r="176" spans="2:6">
      <c r="D176" s="23" t="s">
        <v>379</v>
      </c>
      <c r="E176" s="331">
        <f>IF(decCh1Prod4Slot1Active=1,calcCh1Prod4VolForecastProd*decCh1Prod4Slot1Forecast,0)</f>
        <v>0</v>
      </c>
      <c r="F176" s="23" t="s">
        <v>656</v>
      </c>
    </row>
    <row r="177" spans="2:6">
      <c r="D177" s="23" t="s">
        <v>394</v>
      </c>
      <c r="E177" s="331">
        <f>IF(decCh1Prod4Slot2Active=1,calcCh1Prod4VolForecastProd*decCh1Prod4Slot2Forecast,0)</f>
        <v>0</v>
      </c>
      <c r="F177" s="23" t="s">
        <v>657</v>
      </c>
    </row>
    <row r="178" spans="2:6">
      <c r="D178" s="23" t="s">
        <v>395</v>
      </c>
      <c r="E178" s="331">
        <f>IF(decCh1Prod4Slot3Active=1,calcCh1Prod4VolForecastProd*decCh1Prod4Slot3Forecast,0)</f>
        <v>0</v>
      </c>
      <c r="F178" s="23" t="s">
        <v>658</v>
      </c>
    </row>
    <row r="179" spans="2:6">
      <c r="B179" s="23" t="s">
        <v>245</v>
      </c>
      <c r="E179" s="332"/>
    </row>
    <row r="180" spans="2:6">
      <c r="C180" s="23" t="s">
        <v>12868</v>
      </c>
      <c r="E180" s="332"/>
    </row>
    <row r="181" spans="2:6">
      <c r="D181" s="23" t="s">
        <v>379</v>
      </c>
      <c r="E181" s="331">
        <f>IF(decCh2Prod1Slot1Active=1,calcCh2Prod1VolForecastProd*decCh2Prod1Slot1Forecast,0)</f>
        <v>21056760</v>
      </c>
      <c r="F181" s="23" t="s">
        <v>659</v>
      </c>
    </row>
    <row r="182" spans="2:6">
      <c r="D182" s="23" t="s">
        <v>394</v>
      </c>
      <c r="E182" s="331">
        <f>IF(decCh2Prod1Slot2Active=1,calcCh2Prod1VolForecastProd*decCh2Prod1Slot2Forecast,0)</f>
        <v>0</v>
      </c>
      <c r="F182" s="23" t="s">
        <v>660</v>
      </c>
    </row>
    <row r="183" spans="2:6">
      <c r="D183" s="23" t="s">
        <v>395</v>
      </c>
      <c r="E183" s="331">
        <f>IF(decCh2Prod1Slot3Active=1,calcCh2Prod1VolForecastProd*decCh2Prod1Slot3Forecast,0)</f>
        <v>0</v>
      </c>
      <c r="F183" s="23" t="s">
        <v>661</v>
      </c>
    </row>
    <row r="184" spans="2:6">
      <c r="C184" s="23" t="s">
        <v>238</v>
      </c>
      <c r="E184" s="331"/>
    </row>
    <row r="185" spans="2:6">
      <c r="D185" s="23" t="s">
        <v>379</v>
      </c>
      <c r="E185" s="331">
        <f>IF(decCh2Prod2Slot1Active=1,calcCh2Prod2VolForecastProd*decCh2Prod2Slot1Forecast,0)</f>
        <v>145291643.99999997</v>
      </c>
      <c r="F185" s="23" t="s">
        <v>662</v>
      </c>
    </row>
    <row r="186" spans="2:6">
      <c r="D186" s="23" t="s">
        <v>394</v>
      </c>
      <c r="E186" s="331">
        <f>IF(decCh2Prod2Slot2Active=1,calcCh2Prod2VolForecastProd*decCh2Prod2Slot2Forecast,0)</f>
        <v>0</v>
      </c>
      <c r="F186" s="23" t="s">
        <v>663</v>
      </c>
    </row>
    <row r="187" spans="2:6">
      <c r="D187" s="23" t="s">
        <v>395</v>
      </c>
      <c r="E187" s="331">
        <f>IF(decCh2Prod2Slot3Active=1,calcCh2Prod2VolForecastProd*decCh2Prod2Slot3Forecast,0)</f>
        <v>0</v>
      </c>
      <c r="F187" s="23" t="s">
        <v>664</v>
      </c>
    </row>
    <row r="188" spans="2:6">
      <c r="C188" s="23" t="s">
        <v>239</v>
      </c>
      <c r="E188" s="331"/>
    </row>
    <row r="189" spans="2:6">
      <c r="D189" s="23" t="s">
        <v>379</v>
      </c>
      <c r="E189" s="331">
        <f>IF(decCh2Prod3Slot1Active=1,calcCh2Prod3VolForecastProd*decCh2Prod3Slot1Forecast,0)</f>
        <v>96861095.999999985</v>
      </c>
      <c r="F189" s="23" t="s">
        <v>665</v>
      </c>
    </row>
    <row r="190" spans="2:6">
      <c r="D190" s="23" t="s">
        <v>394</v>
      </c>
      <c r="E190" s="331">
        <f>IF(decCh2Prod3Slot2Active=1,calcCh2Prod3VolForecastProd*decCh2Prod3Slot2Forecast,0)</f>
        <v>0</v>
      </c>
      <c r="F190" s="23" t="s">
        <v>666</v>
      </c>
    </row>
    <row r="191" spans="2:6">
      <c r="D191" s="23" t="s">
        <v>395</v>
      </c>
      <c r="E191" s="331">
        <f>IF(decCh2Prod3Slot3Active=1,calcCh2Prod3VolForecastProd*decCh2Prod3Slot3Forecast,0)</f>
        <v>0</v>
      </c>
      <c r="F191" s="23" t="s">
        <v>667</v>
      </c>
    </row>
    <row r="192" spans="2:6">
      <c r="C192" s="23" t="s">
        <v>240</v>
      </c>
      <c r="E192" s="332"/>
    </row>
    <row r="193" spans="2:6">
      <c r="D193" s="23" t="s">
        <v>379</v>
      </c>
      <c r="E193" s="331">
        <f>IF(decCh2Prod4Slot1Active=1,calcCh2Prod4VolForecastProd*decCh2Prod4Slot1Forecast,0)</f>
        <v>0</v>
      </c>
      <c r="F193" s="23" t="s">
        <v>668</v>
      </c>
    </row>
    <row r="194" spans="2:6">
      <c r="D194" s="23" t="s">
        <v>394</v>
      </c>
      <c r="E194" s="331">
        <f>IF(decCh2Prod4Slot2Active=1,calcCh2Prod4VolForecastProd*decCh2Prod4Slot2Forecast,0)</f>
        <v>0</v>
      </c>
      <c r="F194" s="23" t="s">
        <v>669</v>
      </c>
    </row>
    <row r="195" spans="2:6">
      <c r="D195" s="23" t="s">
        <v>395</v>
      </c>
      <c r="E195" s="331">
        <f>IF(decCh2Prod4Slot3Active=1,calcCh2Prod4VolForecastProd*decCh2Prod4Slot3Forecast,0)</f>
        <v>0</v>
      </c>
      <c r="F195" s="23" t="s">
        <v>670</v>
      </c>
    </row>
    <row r="196" spans="2:6">
      <c r="B196" s="23" t="s">
        <v>5199</v>
      </c>
      <c r="E196" s="332"/>
    </row>
    <row r="197" spans="2:6">
      <c r="C197" s="23" t="s">
        <v>12868</v>
      </c>
      <c r="E197" s="332"/>
    </row>
    <row r="198" spans="2:6">
      <c r="D198" s="23" t="s">
        <v>379</v>
      </c>
      <c r="E198" s="331">
        <f>IF(decCh3Prod1Slot1Active=1,calcCh3Prod1VolForecastProd*decCh3Prod1Slot1Forecast,0)</f>
        <v>38509485</v>
      </c>
      <c r="F198" s="23" t="s">
        <v>671</v>
      </c>
    </row>
    <row r="199" spans="2:6">
      <c r="D199" s="23" t="s">
        <v>394</v>
      </c>
      <c r="E199" s="331">
        <f>IF(decCh3Prod1Slot2Active=1,calcCh3Prod1VolForecastProd*decCh3Prod1Slot2Forecast,0)</f>
        <v>0</v>
      </c>
      <c r="F199" s="23" t="s">
        <v>672</v>
      </c>
    </row>
    <row r="200" spans="2:6">
      <c r="D200" s="23" t="s">
        <v>395</v>
      </c>
      <c r="E200" s="331">
        <f>IF(decCh3Prod1Slot3Active=1,calcCh3Prod1VolForecastProd*decCh3Prod1Slot3Forecast,0)</f>
        <v>0</v>
      </c>
      <c r="F200" s="23" t="s">
        <v>673</v>
      </c>
    </row>
    <row r="201" spans="2:6">
      <c r="C201" s="23" t="s">
        <v>238</v>
      </c>
      <c r="E201" s="331"/>
    </row>
    <row r="202" spans="2:6">
      <c r="D202" s="23" t="s">
        <v>379</v>
      </c>
      <c r="E202" s="331">
        <f>IF(decCh3Prod2Slot1Active=1,calcCh3Prod2VolForecastProd*decCh3Prod2Slot1Forecast,0)</f>
        <v>28973803</v>
      </c>
      <c r="F202" s="23" t="s">
        <v>674</v>
      </c>
    </row>
    <row r="203" spans="2:6">
      <c r="D203" s="23" t="s">
        <v>394</v>
      </c>
      <c r="E203" s="331">
        <f>IF(decCh3Prod2Slot2Active=1,calcCh3Prod2VolForecastProd*decCh3Prod2Slot2Forecast,0)</f>
        <v>43460704.5</v>
      </c>
      <c r="F203" s="23" t="s">
        <v>675</v>
      </c>
    </row>
    <row r="204" spans="2:6">
      <c r="D204" s="23" t="s">
        <v>395</v>
      </c>
      <c r="E204" s="331">
        <f>IF(decCh3Prod2Slot3Active=1,calcCh3Prod2VolForecastProd*decCh3Prod2Slot3Forecast,0)</f>
        <v>0</v>
      </c>
      <c r="F204" s="23" t="s">
        <v>676</v>
      </c>
    </row>
    <row r="205" spans="2:6">
      <c r="C205" s="23" t="s">
        <v>239</v>
      </c>
      <c r="E205" s="331"/>
    </row>
    <row r="206" spans="2:6">
      <c r="D206" s="23" t="s">
        <v>379</v>
      </c>
      <c r="E206" s="331">
        <f>IF(decCh3Prod3Slot1Active=1,calcCh3Prod3VolForecastProd*decCh3Prod3Slot1Forecast,0)</f>
        <v>72434507.5</v>
      </c>
      <c r="F206" s="23" t="s">
        <v>677</v>
      </c>
    </row>
    <row r="207" spans="2:6">
      <c r="D207" s="23" t="s">
        <v>394</v>
      </c>
      <c r="E207" s="331">
        <f>IF(decCh3Prod3Slot2Active=1,calcCh3Prod3VolForecastProd*decCh3Prod3Slot2Forecast,0)</f>
        <v>0</v>
      </c>
      <c r="F207" s="23" t="s">
        <v>678</v>
      </c>
    </row>
    <row r="208" spans="2:6">
      <c r="D208" s="23" t="s">
        <v>395</v>
      </c>
      <c r="E208" s="331">
        <f>IF(decCh3Prod3Slot3Active=1,calcCh3Prod3VolForecastProd*decCh3Prod3Slot3Forecast,0)</f>
        <v>0</v>
      </c>
      <c r="F208" s="23" t="s">
        <v>679</v>
      </c>
    </row>
    <row r="209" spans="2:6">
      <c r="C209" s="23" t="s">
        <v>240</v>
      </c>
      <c r="E209" s="332"/>
    </row>
    <row r="210" spans="2:6">
      <c r="D210" s="23" t="s">
        <v>379</v>
      </c>
      <c r="E210" s="331">
        <f>IF(decCh3Prod4Slot1Active=1,calcCh3Prod4VolForecastProd*decCh3Prod4Slot1Forecast,0)</f>
        <v>0</v>
      </c>
      <c r="F210" s="23" t="s">
        <v>680</v>
      </c>
    </row>
    <row r="211" spans="2:6">
      <c r="D211" s="23" t="s">
        <v>394</v>
      </c>
      <c r="E211" s="331">
        <f>IF(decCh3Prod4Slot2Active=1,calcCh3Prod4VolForecastProd*decCh3Prod4Slot2Forecast,0)</f>
        <v>0</v>
      </c>
      <c r="F211" s="23" t="s">
        <v>681</v>
      </c>
    </row>
    <row r="212" spans="2:6">
      <c r="D212" s="23" t="s">
        <v>395</v>
      </c>
      <c r="E212" s="331">
        <f>IF(decCh3Prod4Slot3Active=1,calcCh3Prod4VolForecastProd*decCh3Prod4Slot3Forecast,0)</f>
        <v>0</v>
      </c>
      <c r="F212" s="23" t="s">
        <v>682</v>
      </c>
    </row>
    <row r="213" spans="2:6">
      <c r="B213" s="23" t="s">
        <v>246</v>
      </c>
      <c r="E213" s="332"/>
    </row>
    <row r="214" spans="2:6">
      <c r="C214" s="23" t="s">
        <v>12868</v>
      </c>
      <c r="E214" s="332"/>
    </row>
    <row r="215" spans="2:6">
      <c r="D215" s="23" t="s">
        <v>379</v>
      </c>
      <c r="E215" s="331">
        <f>IF(decCh4Prod1Slot1Active=1,calcCh4Prod1VolForecastProd*decCh4Prod1Slot1Forecast,0)</f>
        <v>50706750</v>
      </c>
      <c r="F215" s="23" t="s">
        <v>683</v>
      </c>
    </row>
    <row r="216" spans="2:6">
      <c r="D216" s="23" t="s">
        <v>394</v>
      </c>
      <c r="E216" s="331">
        <f>IF(decCh4Prod1Slot2Active=1,calcCh4Prod1VolForecastProd*decCh4Prod1Slot2Forecast,0)</f>
        <v>0</v>
      </c>
      <c r="F216" s="23" t="s">
        <v>684</v>
      </c>
    </row>
    <row r="217" spans="2:6">
      <c r="D217" s="23" t="s">
        <v>395</v>
      </c>
      <c r="E217" s="331">
        <f>IF(decCh4Prod1Slot3Active=1,calcCh4Prod1VolForecastProd*decCh4Prod1Slot3Forecast,0)</f>
        <v>0</v>
      </c>
      <c r="F217" s="23" t="s">
        <v>685</v>
      </c>
    </row>
    <row r="218" spans="2:6">
      <c r="C218" s="23" t="s">
        <v>238</v>
      </c>
      <c r="E218" s="331"/>
    </row>
    <row r="219" spans="2:6">
      <c r="D219" s="23" t="s">
        <v>379</v>
      </c>
      <c r="E219" s="331">
        <f>IF(decCh4Prod2Slot1Active=1,calcCh4Prod2VolForecastProd*decCh4Prod2Slot1Forecast,0)</f>
        <v>35321580</v>
      </c>
      <c r="F219" s="23" t="s">
        <v>686</v>
      </c>
    </row>
    <row r="220" spans="2:6">
      <c r="D220" s="23" t="s">
        <v>394</v>
      </c>
      <c r="E220" s="331">
        <f>IF(decCh4Prod2Slot2Active=1,calcCh4Prod2VolForecastProd*decCh4Prod2Slot2Forecast,0)</f>
        <v>0</v>
      </c>
      <c r="F220" s="23" t="s">
        <v>687</v>
      </c>
    </row>
    <row r="221" spans="2:6">
      <c r="D221" s="23" t="s">
        <v>395</v>
      </c>
      <c r="E221" s="331">
        <f>IF(decCh4Prod2Slot3Active=1,calcCh4Prod2VolForecastProd*decCh4Prod2Slot3Forecast,0)</f>
        <v>0</v>
      </c>
      <c r="F221" s="23" t="s">
        <v>688</v>
      </c>
    </row>
    <row r="222" spans="2:6">
      <c r="C222" s="23" t="s">
        <v>239</v>
      </c>
      <c r="E222" s="331"/>
    </row>
    <row r="223" spans="2:6">
      <c r="D223" s="23" t="s">
        <v>379</v>
      </c>
      <c r="E223" s="331">
        <f>IF(decCh4Prod3Slot1Active=1,calcCh4Prod3VolForecastProd*decCh4Prod3Slot1Forecast,0)</f>
        <v>23547720</v>
      </c>
      <c r="F223" s="23" t="s">
        <v>689</v>
      </c>
    </row>
    <row r="224" spans="2:6">
      <c r="D224" s="23" t="s">
        <v>394</v>
      </c>
      <c r="E224" s="331">
        <f>IF(decCh4Prod3Slot2Active=1,calcCh4Prod3VolForecastProd*decCh4Prod3Slot2Forecast,0)</f>
        <v>0</v>
      </c>
      <c r="F224" s="23" t="s">
        <v>690</v>
      </c>
    </row>
    <row r="225" spans="1:6">
      <c r="D225" s="23" t="s">
        <v>395</v>
      </c>
      <c r="E225" s="331">
        <f>IF(decCh4Prod3Slot3Active=1,calcCh4Prod3VolForecastProd*decCh4Prod3Slot3Forecast,0)</f>
        <v>0</v>
      </c>
      <c r="F225" s="23" t="s">
        <v>691</v>
      </c>
    </row>
    <row r="226" spans="1:6">
      <c r="C226" s="23" t="s">
        <v>240</v>
      </c>
      <c r="E226" s="332"/>
    </row>
    <row r="227" spans="1:6">
      <c r="D227" s="23" t="s">
        <v>379</v>
      </c>
      <c r="E227" s="331">
        <f>IF(decCh4Prod4Slot1Active=1,calcCh4Prod4VolForecastProd*decCh4Prod4Slot1Forecast,0)</f>
        <v>60600750</v>
      </c>
      <c r="F227" s="23" t="s">
        <v>692</v>
      </c>
    </row>
    <row r="228" spans="1:6">
      <c r="D228" s="23" t="s">
        <v>394</v>
      </c>
      <c r="E228" s="331">
        <f>IF(decCh4Prod4Slot2Active=1,calcCh4Prod4VolForecastProd*decCh4Prod4Slot2Forecast,0)</f>
        <v>0</v>
      </c>
      <c r="F228" s="23" t="s">
        <v>693</v>
      </c>
    </row>
    <row r="229" spans="1:6">
      <c r="D229" s="23" t="s">
        <v>395</v>
      </c>
      <c r="E229" s="331">
        <f>IF(decCh4Prod4Slot3Active=1,calcCh4Prod4VolForecastProd*decCh4Prod4Slot3Forecast,0)</f>
        <v>0</v>
      </c>
      <c r="F229" s="23" t="s">
        <v>1546</v>
      </c>
    </row>
    <row r="230" spans="1:6">
      <c r="E230"/>
    </row>
    <row r="231" spans="1:6" s="614" customFormat="1">
      <c r="E231" s="725"/>
    </row>
    <row r="232" spans="1:6" s="647" customFormat="1">
      <c r="A232" s="616" t="s">
        <v>10595</v>
      </c>
    </row>
    <row r="233" spans="1:6" s="645" customFormat="1">
      <c r="A233" s="646"/>
    </row>
    <row r="234" spans="1:6" s="645" customFormat="1">
      <c r="A234" s="646"/>
      <c r="B234" s="769" t="s">
        <v>244</v>
      </c>
    </row>
    <row r="235" spans="1:6" s="645" customFormat="1">
      <c r="A235" s="646"/>
      <c r="B235" s="769" t="s">
        <v>12868</v>
      </c>
    </row>
    <row r="236" spans="1:6" s="645" customFormat="1">
      <c r="A236" s="646"/>
      <c r="C236" s="769" t="s">
        <v>3859</v>
      </c>
    </row>
    <row r="237" spans="1:6" s="645" customFormat="1">
      <c r="A237" s="646"/>
      <c r="D237" s="769" t="s">
        <v>6111</v>
      </c>
      <c r="E237" s="441" t="str">
        <f>decCh1Prod1Slot1Promo1</f>
        <v>TPR 33%</v>
      </c>
      <c r="F237" s="614" t="s">
        <v>5918</v>
      </c>
    </row>
    <row r="238" spans="1:6" s="645" customFormat="1">
      <c r="A238" s="646"/>
      <c r="D238" s="645" t="s">
        <v>5663</v>
      </c>
      <c r="E238" s="645">
        <f>IF(decCh1Prod1Slot1Promo1="No Promotion",0,decCh1Prod1Slot1Promo1Weeks)</f>
        <v>4</v>
      </c>
      <c r="F238" s="645" t="s">
        <v>10597</v>
      </c>
    </row>
    <row r="239" spans="1:6" s="645" customFormat="1">
      <c r="A239" s="646"/>
    </row>
    <row r="240" spans="1:6" s="645" customFormat="1">
      <c r="A240" s="646"/>
      <c r="D240" s="769" t="s">
        <v>241</v>
      </c>
    </row>
    <row r="241" spans="1:6" s="645" customFormat="1" ht="2.25" customHeight="1">
      <c r="A241" s="646"/>
      <c r="C241" s="632"/>
      <c r="D241" s="259"/>
      <c r="E241" s="632"/>
    </row>
    <row r="242" spans="1:6" s="645" customFormat="1">
      <c r="A242" s="646"/>
      <c r="D242" s="943" t="s">
        <v>10604</v>
      </c>
      <c r="E242" s="942">
        <f>VLOOKUP(calcCh1Prod1Slot1Promo1Plan,dataPromoSeg1,1+MATCH(calcCh1Prod1Slot1Pack,dataPackNames,0),FALSE)</f>
        <v>13.536000000000001</v>
      </c>
      <c r="F242" s="645" t="s">
        <v>10603</v>
      </c>
    </row>
    <row r="243" spans="1:6" s="645" customFormat="1">
      <c r="A243" s="646"/>
      <c r="D243" s="943" t="s">
        <v>4412</v>
      </c>
      <c r="E243" s="942">
        <f>calcCh1Prod1Slot1Promo1Seg1Fit*VLOOKUP(calcCh1Prod1Slot1Promo1Weeks,dataPromoWeeksEffect,2,FALSE)</f>
        <v>79.564608000000007</v>
      </c>
      <c r="F243" s="645" t="s">
        <v>10608</v>
      </c>
    </row>
    <row r="244" spans="1:6" s="645" customFormat="1">
      <c r="A244" s="646"/>
      <c r="D244" s="948" t="s">
        <v>2975</v>
      </c>
      <c r="E244" s="946">
        <f>0.02*calcCh1Prod1Slot1Promo1Weeks+VLOOKUP(calcCh1Prod1Slot1Promo1Weeks,dataPromoWeeksShareEffect,2,FALSE)*calcCh1Prod1Slot1Promo1Seg1Fit</f>
        <v>0.37866793994000003</v>
      </c>
      <c r="F244" s="614" t="s">
        <v>11136</v>
      </c>
    </row>
    <row r="245" spans="1:6" s="645" customFormat="1">
      <c r="A245" s="646"/>
    </row>
    <row r="246" spans="1:6" s="645" customFormat="1">
      <c r="A246" s="646"/>
      <c r="D246" s="769" t="s">
        <v>242</v>
      </c>
    </row>
    <row r="247" spans="1:6" s="645" customFormat="1" ht="2.25" customHeight="1">
      <c r="A247" s="646"/>
      <c r="C247" s="632"/>
      <c r="D247" s="259"/>
      <c r="E247" s="632"/>
    </row>
    <row r="248" spans="1:6" s="645" customFormat="1">
      <c r="A248" s="646"/>
      <c r="D248" s="943" t="s">
        <v>10604</v>
      </c>
      <c r="E248" s="942">
        <f>VLOOKUP(calcCh1Prod1Slot1Promo1Plan,dataPromoSeg2,1+MATCH(calcCh1Prod1Slot1Pack,dataPackNames,0),FALSE)</f>
        <v>14.528</v>
      </c>
      <c r="F248" s="645" t="s">
        <v>10614</v>
      </c>
    </row>
    <row r="249" spans="1:6" s="645" customFormat="1">
      <c r="A249" s="646"/>
      <c r="D249" s="943" t="s">
        <v>4412</v>
      </c>
      <c r="E249" s="942">
        <f>calcCh1Prod1Slot1Promo1Seg2Fit*VLOOKUP(calcCh1Prod1Slot1Promo1Weeks,dataPromoWeeksEffect,2,FALSE)</f>
        <v>85.395583999999999</v>
      </c>
      <c r="F249" s="645" t="s">
        <v>10615</v>
      </c>
    </row>
    <row r="250" spans="1:6" s="645" customFormat="1">
      <c r="A250" s="646"/>
      <c r="D250" s="948" t="s">
        <v>2975</v>
      </c>
      <c r="E250" s="946">
        <f>0.02*calcCh1Prod1Slot1Promo1Weeks+VLOOKUP(calcCh1Prod1Slot1Promo1Weeks,dataPromoWeeksShareEffect,2,FALSE)*calcCh1Prod1Slot1Promo1Seg2Fit</f>
        <v>0.40055613412000002</v>
      </c>
      <c r="F250" s="614" t="s">
        <v>11137</v>
      </c>
    </row>
    <row r="251" spans="1:6" s="645" customFormat="1">
      <c r="A251" s="646"/>
    </row>
    <row r="252" spans="1:6" s="645" customFormat="1">
      <c r="A252" s="646"/>
      <c r="D252" s="769" t="s">
        <v>4353</v>
      </c>
    </row>
    <row r="253" spans="1:6" s="645" customFormat="1" ht="2.25" customHeight="1">
      <c r="A253" s="646"/>
      <c r="C253" s="632"/>
      <c r="D253" s="259"/>
      <c r="E253" s="632"/>
    </row>
    <row r="254" spans="1:6" s="645" customFormat="1">
      <c r="A254" s="646"/>
      <c r="D254" s="943" t="s">
        <v>10604</v>
      </c>
      <c r="E254" s="942">
        <f>VLOOKUP(calcCh1Prod1Slot1Promo1Plan,dataPromoSeg3,1+MATCH(calcCh1Prod1Slot1Pack,dataPackNames,0),FALSE)</f>
        <v>14.624000000000001</v>
      </c>
      <c r="F254" s="645" t="s">
        <v>10612</v>
      </c>
    </row>
    <row r="255" spans="1:6" s="645" customFormat="1">
      <c r="A255" s="646"/>
      <c r="D255" s="943" t="s">
        <v>4412</v>
      </c>
      <c r="E255" s="942">
        <f>calcCh1Prod1Slot1Promo1Seg3Fit*VLOOKUP(calcCh1Prod1Slot1Promo1Weeks,dataPromoWeeksEffect,2,FALSE)</f>
        <v>85.959872000000004</v>
      </c>
      <c r="F255" s="645" t="s">
        <v>10613</v>
      </c>
    </row>
    <row r="256" spans="1:6" s="645" customFormat="1">
      <c r="A256" s="646"/>
      <c r="D256" s="948" t="s">
        <v>2975</v>
      </c>
      <c r="E256" s="946">
        <f>0.02*calcCh1Prod1Slot1Promo1Weeks+VLOOKUP(calcCh1Prod1Slot1Promo1Weeks,dataPromoWeeksShareEffect,2,FALSE)*calcCh1Prod1Slot1Promo1Seg3Fit</f>
        <v>0.40267434646000005</v>
      </c>
      <c r="F256" s="614" t="s">
        <v>11138</v>
      </c>
    </row>
    <row r="257" spans="1:6" s="645" customFormat="1">
      <c r="A257" s="646"/>
    </row>
    <row r="258" spans="1:6" s="645" customFormat="1">
      <c r="A258" s="646"/>
      <c r="D258" s="769" t="s">
        <v>243</v>
      </c>
    </row>
    <row r="259" spans="1:6" s="645" customFormat="1" ht="2.25" customHeight="1">
      <c r="A259" s="646"/>
      <c r="C259" s="632"/>
      <c r="D259" s="259"/>
      <c r="E259" s="632"/>
    </row>
    <row r="260" spans="1:6" s="645" customFormat="1">
      <c r="A260" s="646"/>
      <c r="D260" s="943" t="s">
        <v>10604</v>
      </c>
      <c r="E260" s="942">
        <f>VLOOKUP(calcCh1Prod1Slot1Promo1Plan,dataPromoSeg4,1+MATCH(calcCh1Prod1Slot1Pack,dataPackNames,0),FALSE)</f>
        <v>14.048000000000002</v>
      </c>
      <c r="F260" s="645" t="s">
        <v>10610</v>
      </c>
    </row>
    <row r="261" spans="1:6" s="645" customFormat="1">
      <c r="A261" s="646"/>
      <c r="D261" s="943" t="s">
        <v>4412</v>
      </c>
      <c r="E261" s="942">
        <f>calcCh1Prod1Slot1Promo1Seg4Fit*VLOOKUP(calcCh1Prod1Slot1Promo1Weeks,dataPromoWeeksEffect,2,FALSE)</f>
        <v>82.574144000000018</v>
      </c>
      <c r="F261" s="645" t="s">
        <v>10611</v>
      </c>
    </row>
    <row r="262" spans="1:6" s="645" customFormat="1">
      <c r="A262" s="646"/>
      <c r="D262" s="948" t="s">
        <v>2975</v>
      </c>
      <c r="E262" s="946">
        <f>0.02*calcCh1Prod1Slot1Promo1Weeks+VLOOKUP(calcCh1Prod1Slot1Promo1Weeks,dataPromoWeeksShareEffect,2,FALSE)*calcCh1Prod1Slot1Promo1Seg4Fit</f>
        <v>0.38996507242000006</v>
      </c>
      <c r="F262" s="614" t="s">
        <v>11139</v>
      </c>
    </row>
    <row r="263" spans="1:6" s="645" customFormat="1">
      <c r="A263" s="646"/>
      <c r="D263" s="943"/>
    </row>
    <row r="264" spans="1:6" s="645" customFormat="1">
      <c r="A264" s="646"/>
      <c r="D264" s="769" t="s">
        <v>6112</v>
      </c>
      <c r="E264" s="441" t="str">
        <f>decCh1Prod1Slot1Promo2</f>
        <v>TPR 20%</v>
      </c>
      <c r="F264" s="614" t="s">
        <v>5919</v>
      </c>
    </row>
    <row r="265" spans="1:6" s="645" customFormat="1">
      <c r="A265" s="646"/>
      <c r="D265" s="645" t="s">
        <v>5663</v>
      </c>
      <c r="E265" s="645">
        <f>IF(decCh1Prod1Slot1Promo2="No Promotion",0,decCh1Prod1Slot1Promo2Weeks)</f>
        <v>2</v>
      </c>
      <c r="F265" s="645" t="s">
        <v>10617</v>
      </c>
    </row>
    <row r="266" spans="1:6" s="645" customFormat="1">
      <c r="A266" s="646"/>
    </row>
    <row r="267" spans="1:6" s="645" customFormat="1">
      <c r="A267" s="646"/>
      <c r="D267" s="769" t="s">
        <v>241</v>
      </c>
    </row>
    <row r="268" spans="1:6" s="645" customFormat="1" ht="2.25" customHeight="1">
      <c r="A268" s="646"/>
      <c r="C268" s="632"/>
      <c r="D268" s="259"/>
      <c r="E268" s="632"/>
    </row>
    <row r="269" spans="1:6" s="645" customFormat="1">
      <c r="A269" s="646"/>
      <c r="D269" s="943" t="s">
        <v>10604</v>
      </c>
      <c r="E269" s="942">
        <f>VLOOKUP(calcCh1Prod1Slot1Promo2Plan,dataPromoSeg1,1+MATCH(calcCh1Prod1Slot1Pack,dataPackNames,0),FALSE)</f>
        <v>5.96</v>
      </c>
      <c r="F269" s="645" t="s">
        <v>10618</v>
      </c>
    </row>
    <row r="270" spans="1:6" s="645" customFormat="1">
      <c r="A270" s="646"/>
      <c r="D270" s="943" t="s">
        <v>4412</v>
      </c>
      <c r="E270" s="942">
        <f>calcCh1Prod1Slot1Promo2Seg1Fit*VLOOKUP(calcCh1Prod1Slot1Promo2Weeks,dataPromoWeeksEffect,2,FALSE)</f>
        <v>16.687999999999999</v>
      </c>
      <c r="F270" s="645" t="s">
        <v>10619</v>
      </c>
    </row>
    <row r="271" spans="1:6" s="645" customFormat="1">
      <c r="A271" s="646"/>
      <c r="D271" s="948" t="s">
        <v>2975</v>
      </c>
      <c r="E271" s="946">
        <f>0.02*calcCh1Prod1Slot1Promo2Weeks+VLOOKUP(calcCh1Prod1Slot1Promo2Weeks,dataPromoWeeksShareEffect,2,FALSE)*calcCh1Prod1Slot1Promo2Seg1Fit</f>
        <v>0.12627099999999999</v>
      </c>
      <c r="F271" s="614" t="s">
        <v>11140</v>
      </c>
    </row>
    <row r="272" spans="1:6" s="645" customFormat="1">
      <c r="A272" s="646"/>
      <c r="E272" s="946"/>
    </row>
    <row r="273" spans="1:6" s="645" customFormat="1">
      <c r="A273" s="646"/>
      <c r="D273" s="769" t="s">
        <v>242</v>
      </c>
    </row>
    <row r="274" spans="1:6" s="645" customFormat="1" ht="2.25" customHeight="1">
      <c r="A274" s="646"/>
      <c r="C274" s="632"/>
      <c r="D274" s="259"/>
      <c r="E274" s="632"/>
    </row>
    <row r="275" spans="1:6" s="645" customFormat="1">
      <c r="A275" s="646"/>
      <c r="D275" s="943" t="s">
        <v>10604</v>
      </c>
      <c r="E275" s="942">
        <f>VLOOKUP(calcCh1Prod1Slot1Promo2Plan,dataPromoSeg2,1+MATCH(calcCh1Prod1Slot1Pack,dataPackNames,0),FALSE)</f>
        <v>6.5799999999999992</v>
      </c>
      <c r="F275" s="645" t="s">
        <v>10620</v>
      </c>
    </row>
    <row r="276" spans="1:6" s="645" customFormat="1">
      <c r="A276" s="646"/>
      <c r="D276" s="943" t="s">
        <v>4412</v>
      </c>
      <c r="E276" s="942">
        <f>calcCh1Prod1Slot1Promo2Seg2Fit*VLOOKUP(calcCh1Prod1Slot1Promo2Weeks,dataPromoWeeksEffect,2,FALSE)</f>
        <v>18.423999999999996</v>
      </c>
      <c r="F276" s="645" t="s">
        <v>10621</v>
      </c>
    </row>
    <row r="277" spans="1:6" s="645" customFormat="1">
      <c r="A277" s="646"/>
      <c r="D277" s="948" t="s">
        <v>2975</v>
      </c>
      <c r="E277" s="946">
        <f>0.02*calcCh1Prod1Slot1Promo2Weeks+VLOOKUP(calcCh1Prod1Slot1Promo2Weeks,dataPromoWeeksShareEffect,2,FALSE)*calcCh1Prod1Slot1Promo2Seg2Fit</f>
        <v>0.13524549999999999</v>
      </c>
      <c r="F277" s="614" t="s">
        <v>11141</v>
      </c>
    </row>
    <row r="278" spans="1:6" s="645" customFormat="1">
      <c r="A278" s="646"/>
    </row>
    <row r="279" spans="1:6" s="645" customFormat="1">
      <c r="A279" s="646"/>
      <c r="D279" s="769" t="s">
        <v>4353</v>
      </c>
    </row>
    <row r="280" spans="1:6" s="645" customFormat="1" ht="2.25" customHeight="1">
      <c r="A280" s="646"/>
      <c r="C280" s="632"/>
      <c r="D280" s="259"/>
      <c r="E280" s="632"/>
    </row>
    <row r="281" spans="1:6" s="645" customFormat="1">
      <c r="A281" s="646"/>
      <c r="D281" s="943" t="s">
        <v>10604</v>
      </c>
      <c r="E281" s="942">
        <f>VLOOKUP(calcCh1Prod1Slot1Promo2Plan,dataPromoSeg3,1+MATCH(calcCh1Prod1Slot1Pack,dataPackNames,0),FALSE)</f>
        <v>6.6399999999999988</v>
      </c>
      <c r="F281" s="645" t="s">
        <v>10622</v>
      </c>
    </row>
    <row r="282" spans="1:6" s="645" customFormat="1">
      <c r="A282" s="646"/>
      <c r="D282" s="943" t="s">
        <v>4412</v>
      </c>
      <c r="E282" s="942">
        <f>calcCh1Prod1Slot1Promo2Seg3Fit*VLOOKUP(calcCh1Prod1Slot1Promo2Weeks,dataPromoWeeksEffect,2,FALSE)</f>
        <v>18.591999999999995</v>
      </c>
      <c r="F282" s="645" t="s">
        <v>10623</v>
      </c>
    </row>
    <row r="283" spans="1:6" s="645" customFormat="1">
      <c r="A283" s="646"/>
      <c r="D283" s="948" t="s">
        <v>2975</v>
      </c>
      <c r="E283" s="946">
        <f>0.02*calcCh1Prod1Slot1Promo2Weeks+VLOOKUP(calcCh1Prod1Slot1Promo2Weeks,dataPromoWeeksShareEffect,2,FALSE)*calcCh1Prod1Slot1Promo2Seg3Fit</f>
        <v>0.13611399999999999</v>
      </c>
      <c r="F283" s="614" t="s">
        <v>11142</v>
      </c>
    </row>
    <row r="284" spans="1:6" s="645" customFormat="1">
      <c r="A284" s="646"/>
    </row>
    <row r="285" spans="1:6" s="645" customFormat="1">
      <c r="A285" s="646"/>
      <c r="D285" s="769" t="s">
        <v>243</v>
      </c>
    </row>
    <row r="286" spans="1:6" s="645" customFormat="1" ht="2.25" customHeight="1">
      <c r="A286" s="646"/>
      <c r="C286" s="632"/>
      <c r="D286" s="259"/>
      <c r="E286" s="632"/>
    </row>
    <row r="287" spans="1:6" s="645" customFormat="1">
      <c r="A287" s="646"/>
      <c r="D287" s="943" t="s">
        <v>10604</v>
      </c>
      <c r="E287" s="942">
        <f>VLOOKUP(calcCh1Prod1Slot1Promo2Plan,dataPromoSeg4,1+MATCH(calcCh1Prod1Slot1Pack,dataPackNames,0),FALSE)</f>
        <v>6.2799999999999994</v>
      </c>
      <c r="F287" s="645" t="s">
        <v>10624</v>
      </c>
    </row>
    <row r="288" spans="1:6" s="645" customFormat="1">
      <c r="A288" s="646"/>
      <c r="D288" s="943" t="s">
        <v>4412</v>
      </c>
      <c r="E288" s="942">
        <f>calcCh1Prod1Slot1Promo2Seg4Fit*VLOOKUP(calcCh1Prod1Slot1Promo2Weeks,dataPromoWeeksEffect,2,FALSE)</f>
        <v>17.583999999999996</v>
      </c>
      <c r="F288" s="645" t="s">
        <v>10625</v>
      </c>
    </row>
    <row r="289" spans="1:6" s="645" customFormat="1">
      <c r="A289" s="646"/>
      <c r="D289" s="948" t="s">
        <v>2975</v>
      </c>
      <c r="E289" s="946">
        <f>0.02*calcCh1Prod1Slot1Promo2Weeks+VLOOKUP(calcCh1Prod1Slot1Promo2Weeks,dataPromoWeeksShareEffect,2,FALSE)*calcCh1Prod1Slot1Promo2Seg4Fit</f>
        <v>0.13090299999999999</v>
      </c>
      <c r="F289" s="614" t="s">
        <v>11143</v>
      </c>
    </row>
    <row r="290" spans="1:6" s="645" customFormat="1">
      <c r="A290" s="646"/>
      <c r="D290" s="943"/>
    </row>
    <row r="291" spans="1:6" s="645" customFormat="1">
      <c r="A291" s="646"/>
      <c r="C291" s="769" t="s">
        <v>3858</v>
      </c>
    </row>
    <row r="292" spans="1:6" s="645" customFormat="1">
      <c r="A292" s="646"/>
      <c r="D292" s="769" t="s">
        <v>6111</v>
      </c>
      <c r="E292" s="441" t="str">
        <f>decCh1Prod1Slot2Promo1</f>
        <v>No Promotion</v>
      </c>
      <c r="F292" s="614" t="s">
        <v>5922</v>
      </c>
    </row>
    <row r="293" spans="1:6" s="645" customFormat="1">
      <c r="A293" s="646"/>
      <c r="D293" s="645" t="s">
        <v>5663</v>
      </c>
      <c r="E293" s="645">
        <f>IF(decCh1Prod1Slot2Promo1="No Promotion",0,decCh1Prod1Slot2Promo1Weeks)</f>
        <v>0</v>
      </c>
      <c r="F293" s="645" t="s">
        <v>10657</v>
      </c>
    </row>
    <row r="294" spans="1:6" s="645" customFormat="1">
      <c r="A294" s="646"/>
    </row>
    <row r="295" spans="1:6" s="645" customFormat="1">
      <c r="A295" s="646"/>
      <c r="D295" s="769" t="s">
        <v>241</v>
      </c>
    </row>
    <row r="296" spans="1:6" s="645" customFormat="1" ht="2.25" customHeight="1">
      <c r="A296" s="646"/>
      <c r="C296" s="632"/>
      <c r="D296" s="259"/>
      <c r="E296" s="632"/>
    </row>
    <row r="297" spans="1:6" s="645" customFormat="1">
      <c r="A297" s="646"/>
      <c r="D297" s="943" t="s">
        <v>10604</v>
      </c>
      <c r="E297" s="942">
        <f>VLOOKUP(calcCh1Prod1Slot2Promo1Plan,dataPromoSeg1,1+MATCH(calcCh1Prod1Slot2Pack,dataPackNames,0),FALSE)</f>
        <v>0</v>
      </c>
      <c r="F297" s="645" t="s">
        <v>10658</v>
      </c>
    </row>
    <row r="298" spans="1:6" s="645" customFormat="1">
      <c r="A298" s="646"/>
      <c r="D298" s="943" t="s">
        <v>4412</v>
      </c>
      <c r="E298" s="942">
        <f>calcCh1Prod1Slot2Promo1Seg1Fit*VLOOKUP(calcCh1Prod1Slot2Promo1Weeks,dataPromoWeeksEffect,2,FALSE)</f>
        <v>0</v>
      </c>
      <c r="F298" s="645" t="s">
        <v>10659</v>
      </c>
    </row>
    <row r="299" spans="1:6" s="645" customFormat="1">
      <c r="A299" s="646"/>
      <c r="D299" s="948" t="s">
        <v>2975</v>
      </c>
      <c r="E299" s="946">
        <f>0.02*calcCh1Prod1Slot2Promo1Weeks+VLOOKUP(calcCh1Prod1Slot2Promo1Weeks,dataPromoWeeksShareEffect,2,FALSE)*calcCh1Prod1Slot2Promo1Seg1Fit</f>
        <v>0</v>
      </c>
      <c r="F299" s="614" t="s">
        <v>10616</v>
      </c>
    </row>
    <row r="300" spans="1:6" s="645" customFormat="1">
      <c r="A300" s="646"/>
    </row>
    <row r="301" spans="1:6" s="645" customFormat="1">
      <c r="A301" s="646"/>
      <c r="D301" s="769" t="s">
        <v>242</v>
      </c>
    </row>
    <row r="302" spans="1:6" s="645" customFormat="1" ht="2.25" customHeight="1">
      <c r="A302" s="646"/>
      <c r="C302" s="632"/>
      <c r="D302" s="259"/>
      <c r="E302" s="632"/>
    </row>
    <row r="303" spans="1:6" s="645" customFormat="1">
      <c r="A303" s="646"/>
      <c r="D303" s="943" t="s">
        <v>10604</v>
      </c>
      <c r="E303" s="942">
        <f>VLOOKUP(calcCh1Prod1Slot2Promo1Plan,dataPromoSeg2,1+MATCH(calcCh1Prod1Slot2Pack,dataPackNames,0),FALSE)</f>
        <v>0</v>
      </c>
      <c r="F303" s="645" t="s">
        <v>10660</v>
      </c>
    </row>
    <row r="304" spans="1:6" s="645" customFormat="1">
      <c r="A304" s="646"/>
      <c r="D304" s="943" t="s">
        <v>4412</v>
      </c>
      <c r="E304" s="942">
        <f>calcCh1Prod1Slot2Promo1Seg2Fit*VLOOKUP(calcCh1Prod1Slot2Promo1Weeks,dataPromoWeeksEffect,2,FALSE)</f>
        <v>0</v>
      </c>
      <c r="F304" s="645" t="s">
        <v>10661</v>
      </c>
    </row>
    <row r="305" spans="1:6" s="645" customFormat="1">
      <c r="A305" s="646"/>
      <c r="D305" s="948" t="s">
        <v>2975</v>
      </c>
      <c r="E305" s="946">
        <f>0.02*calcCh1Prod1Slot2Promo1Weeks+VLOOKUP(calcCh1Prod1Slot2Promo1Weeks,dataPromoWeeksShareEffect,2,FALSE)*calcCh1Prod1Slot2Promo1Seg2Fit</f>
        <v>0</v>
      </c>
      <c r="F305" s="614" t="s">
        <v>11144</v>
      </c>
    </row>
    <row r="306" spans="1:6" s="645" customFormat="1">
      <c r="A306" s="646"/>
    </row>
    <row r="307" spans="1:6" s="645" customFormat="1">
      <c r="A307" s="646"/>
      <c r="D307" s="769" t="s">
        <v>4353</v>
      </c>
    </row>
    <row r="308" spans="1:6" s="645" customFormat="1" ht="2.25" customHeight="1">
      <c r="A308" s="646"/>
      <c r="C308" s="632"/>
      <c r="D308" s="259"/>
      <c r="E308" s="632"/>
    </row>
    <row r="309" spans="1:6" s="645" customFormat="1">
      <c r="A309" s="646"/>
      <c r="D309" s="943" t="s">
        <v>10604</v>
      </c>
      <c r="E309" s="942">
        <f>VLOOKUP(calcCh1Prod1Slot2Promo1Plan,dataPromoSeg3,1+MATCH(calcCh1Prod1Slot2Pack,dataPackNames,0),FALSE)</f>
        <v>0</v>
      </c>
      <c r="F309" s="645" t="s">
        <v>10662</v>
      </c>
    </row>
    <row r="310" spans="1:6" s="645" customFormat="1">
      <c r="A310" s="646"/>
      <c r="D310" s="943" t="s">
        <v>4412</v>
      </c>
      <c r="E310" s="942">
        <f>calcCh1Prod1Slot2Promo1Seg3Fit*VLOOKUP(calcCh1Prod1Slot2Promo1Weeks,dataPromoWeeksEffect,2,FALSE)</f>
        <v>0</v>
      </c>
      <c r="F310" s="645" t="s">
        <v>10663</v>
      </c>
    </row>
    <row r="311" spans="1:6" s="645" customFormat="1">
      <c r="A311" s="646"/>
      <c r="D311" s="948" t="s">
        <v>2975</v>
      </c>
      <c r="E311" s="946">
        <f>0.02*calcCh1Prod1Slot2Promo1Weeks+VLOOKUP(calcCh1Prod1Slot2Promo1Weeks,dataPromoWeeksShareEffect,2,FALSE)*calcCh1Prod1Slot2Promo1Seg3Fit</f>
        <v>0</v>
      </c>
      <c r="F311" s="614" t="s">
        <v>11145</v>
      </c>
    </row>
    <row r="312" spans="1:6" s="645" customFormat="1">
      <c r="A312" s="646"/>
    </row>
    <row r="313" spans="1:6" s="645" customFormat="1">
      <c r="A313" s="646"/>
      <c r="D313" s="769" t="s">
        <v>243</v>
      </c>
    </row>
    <row r="314" spans="1:6" s="645" customFormat="1" ht="2.25" customHeight="1">
      <c r="A314" s="646"/>
      <c r="C314" s="632"/>
      <c r="D314" s="259"/>
      <c r="E314" s="632"/>
    </row>
    <row r="315" spans="1:6" s="645" customFormat="1">
      <c r="A315" s="646"/>
      <c r="D315" s="943" t="s">
        <v>10604</v>
      </c>
      <c r="E315" s="942">
        <f>VLOOKUP(calcCh1Prod1Slot2Promo1Plan,dataPromoSeg4,1+MATCH(calcCh1Prod1Slot2Pack,dataPackNames,0),FALSE)</f>
        <v>0</v>
      </c>
      <c r="F315" s="645" t="s">
        <v>10664</v>
      </c>
    </row>
    <row r="316" spans="1:6" s="645" customFormat="1">
      <c r="A316" s="646"/>
      <c r="D316" s="943" t="s">
        <v>4412</v>
      </c>
      <c r="E316" s="942">
        <f>calcCh1Prod1Slot2Promo1Seg4Fit*VLOOKUP(calcCh1Prod1Slot2Promo1Weeks,dataPromoWeeksEffect,2,FALSE)</f>
        <v>0</v>
      </c>
      <c r="F316" s="645" t="s">
        <v>10665</v>
      </c>
    </row>
    <row r="317" spans="1:6" s="645" customFormat="1">
      <c r="A317" s="646"/>
      <c r="D317" s="948" t="s">
        <v>2975</v>
      </c>
      <c r="E317" s="946">
        <f>0.02*calcCh1Prod1Slot2Promo1Weeks+VLOOKUP(calcCh1Prod1Slot2Promo1Weeks,dataPromoWeeksShareEffect,2,FALSE)*calcCh1Prod1Slot2Promo1Seg4Fit</f>
        <v>0</v>
      </c>
      <c r="F317" s="614" t="s">
        <v>11146</v>
      </c>
    </row>
    <row r="318" spans="1:6" s="645" customFormat="1">
      <c r="A318" s="646"/>
      <c r="D318" s="943"/>
    </row>
    <row r="319" spans="1:6" s="645" customFormat="1">
      <c r="A319" s="646"/>
      <c r="D319" s="769" t="s">
        <v>6112</v>
      </c>
      <c r="E319" s="441" t="str">
        <f>decCh1Prod1Slot2Promo2</f>
        <v>No Promotion</v>
      </c>
      <c r="F319" s="614" t="s">
        <v>5924</v>
      </c>
    </row>
    <row r="320" spans="1:6" s="645" customFormat="1">
      <c r="A320" s="646"/>
      <c r="D320" s="645" t="s">
        <v>5663</v>
      </c>
      <c r="E320" s="645">
        <f>IF(decCh1Prod1Slot2Promo2="No Promotion",0,decCh1Prod1Slot2Promo2Weeks)</f>
        <v>0</v>
      </c>
      <c r="F320" s="645" t="s">
        <v>10666</v>
      </c>
    </row>
    <row r="321" spans="1:6" s="645" customFormat="1">
      <c r="A321" s="646"/>
    </row>
    <row r="322" spans="1:6" s="645" customFormat="1">
      <c r="A322" s="646"/>
      <c r="D322" s="769" t="s">
        <v>241</v>
      </c>
    </row>
    <row r="323" spans="1:6" s="645" customFormat="1" ht="2.25" customHeight="1">
      <c r="A323" s="646"/>
      <c r="C323" s="632"/>
      <c r="D323" s="259"/>
      <c r="E323" s="632"/>
    </row>
    <row r="324" spans="1:6" s="645" customFormat="1">
      <c r="A324" s="646"/>
      <c r="D324" s="943" t="s">
        <v>10604</v>
      </c>
      <c r="E324" s="942">
        <f>VLOOKUP(calcCh1Prod1Slot2Promo2Plan,dataPromoSeg1,1+MATCH(calcCh1Prod1Slot2Pack,dataPackNames,0),FALSE)</f>
        <v>0</v>
      </c>
      <c r="F324" s="645" t="s">
        <v>10667</v>
      </c>
    </row>
    <row r="325" spans="1:6" s="645" customFormat="1">
      <c r="A325" s="646"/>
      <c r="D325" s="943" t="s">
        <v>4412</v>
      </c>
      <c r="E325" s="942">
        <f>calcCh1Prod1Slot2Promo2Seg1Fit*VLOOKUP(calcCh1Prod1Slot2Promo2Weeks,dataPromoWeeksEffect,2,FALSE)</f>
        <v>0</v>
      </c>
      <c r="F325" s="645" t="s">
        <v>10668</v>
      </c>
    </row>
    <row r="326" spans="1:6" s="645" customFormat="1">
      <c r="A326" s="646"/>
      <c r="D326" s="948" t="s">
        <v>2975</v>
      </c>
      <c r="E326" s="946">
        <f>0.02*calcCh1Prod1Slot2Promo2Weeks+VLOOKUP(calcCh1Prod1Slot2Promo2Weeks,dataPromoWeeksShareEffect,2,FALSE)*calcCh1Prod1Slot2Promo2Seg1Fit</f>
        <v>0</v>
      </c>
      <c r="F326" s="614" t="s">
        <v>11147</v>
      </c>
    </row>
    <row r="327" spans="1:6" s="645" customFormat="1">
      <c r="A327" s="646"/>
      <c r="E327" s="946"/>
    </row>
    <row r="328" spans="1:6" s="645" customFormat="1">
      <c r="A328" s="646"/>
      <c r="D328" s="769" t="s">
        <v>242</v>
      </c>
    </row>
    <row r="329" spans="1:6" s="645" customFormat="1" ht="2.25" customHeight="1">
      <c r="A329" s="646"/>
      <c r="C329" s="632"/>
      <c r="D329" s="259"/>
      <c r="E329" s="632"/>
    </row>
    <row r="330" spans="1:6" s="645" customFormat="1">
      <c r="A330" s="646"/>
      <c r="D330" s="943" t="s">
        <v>10604</v>
      </c>
      <c r="E330" s="942">
        <f>VLOOKUP(calcCh1Prod1Slot2Promo2Plan,dataPromoSeg2,1+MATCH(calcCh1Prod1Slot2Pack,dataPackNames,0),FALSE)</f>
        <v>0</v>
      </c>
      <c r="F330" s="645" t="s">
        <v>10669</v>
      </c>
    </row>
    <row r="331" spans="1:6" s="645" customFormat="1">
      <c r="A331" s="646"/>
      <c r="D331" s="943" t="s">
        <v>4412</v>
      </c>
      <c r="E331" s="942">
        <f>calcCh1Prod1Slot2Promo2Seg2Fit*VLOOKUP(calcCh1Prod1Slot2Promo2Weeks,dataPromoWeeksEffect,2,FALSE)</f>
        <v>0</v>
      </c>
      <c r="F331" s="645" t="s">
        <v>10670</v>
      </c>
    </row>
    <row r="332" spans="1:6" s="645" customFormat="1">
      <c r="A332" s="646"/>
      <c r="D332" s="948" t="s">
        <v>2975</v>
      </c>
      <c r="E332" s="946">
        <f>0.02*calcCh1Prod1Slot2Promo2Weeks+VLOOKUP(calcCh1Prod1Slot2Promo2Weeks,dataPromoWeeksShareEffect,2,FALSE)*calcCh1Prod1Slot2Promo2Seg2Fit</f>
        <v>0</v>
      </c>
      <c r="F332" s="614" t="s">
        <v>11148</v>
      </c>
    </row>
    <row r="333" spans="1:6" s="645" customFormat="1">
      <c r="A333" s="646"/>
    </row>
    <row r="334" spans="1:6" s="645" customFormat="1">
      <c r="A334" s="646"/>
      <c r="D334" s="769" t="s">
        <v>4353</v>
      </c>
    </row>
    <row r="335" spans="1:6" s="645" customFormat="1" ht="2.25" customHeight="1">
      <c r="A335" s="646"/>
      <c r="C335" s="632"/>
      <c r="D335" s="259"/>
      <c r="E335" s="632"/>
    </row>
    <row r="336" spans="1:6" s="645" customFormat="1">
      <c r="A336" s="646"/>
      <c r="D336" s="943" t="s">
        <v>10604</v>
      </c>
      <c r="E336" s="942">
        <f>VLOOKUP(calcCh1Prod1Slot2Promo2Plan,dataPromoSeg3,1+MATCH(calcCh1Prod1Slot2Pack,dataPackNames,0),FALSE)</f>
        <v>0</v>
      </c>
      <c r="F336" s="645" t="s">
        <v>10671</v>
      </c>
    </row>
    <row r="337" spans="1:6" s="645" customFormat="1">
      <c r="A337" s="646"/>
      <c r="D337" s="943" t="s">
        <v>4412</v>
      </c>
      <c r="E337" s="942">
        <f>calcCh1Prod1Slot2Promo2Seg3Fit*VLOOKUP(calcCh1Prod1Slot2Promo2Weeks,dataPromoWeeksEffect,2,FALSE)</f>
        <v>0</v>
      </c>
      <c r="F337" s="645" t="s">
        <v>10672</v>
      </c>
    </row>
    <row r="338" spans="1:6" s="645" customFormat="1">
      <c r="A338" s="646"/>
      <c r="D338" s="948" t="s">
        <v>2975</v>
      </c>
      <c r="E338" s="946">
        <f>0.02*calcCh1Prod1Slot2Promo2Weeks+VLOOKUP(calcCh1Prod1Slot2Promo2Weeks,dataPromoWeeksShareEffect,2,FALSE)*calcCh1Prod1Slot2Promo2Seg3Fit</f>
        <v>0</v>
      </c>
      <c r="F338" s="614" t="s">
        <v>11149</v>
      </c>
    </row>
    <row r="339" spans="1:6" s="645" customFormat="1">
      <c r="A339" s="646"/>
    </row>
    <row r="340" spans="1:6" s="645" customFormat="1">
      <c r="A340" s="646"/>
      <c r="D340" s="769" t="s">
        <v>243</v>
      </c>
    </row>
    <row r="341" spans="1:6" s="645" customFormat="1" ht="2.25" customHeight="1">
      <c r="A341" s="646"/>
      <c r="C341" s="632"/>
      <c r="D341" s="259"/>
      <c r="E341" s="632"/>
    </row>
    <row r="342" spans="1:6" s="645" customFormat="1">
      <c r="A342" s="646"/>
      <c r="D342" s="943" t="s">
        <v>10604</v>
      </c>
      <c r="E342" s="942">
        <f>VLOOKUP(calcCh1Prod1Slot2Promo2Plan,dataPromoSeg4,1+MATCH(calcCh1Prod1Slot2Pack,dataPackNames,0),FALSE)</f>
        <v>0</v>
      </c>
      <c r="F342" s="645" t="s">
        <v>10673</v>
      </c>
    </row>
    <row r="343" spans="1:6" s="645" customFormat="1">
      <c r="A343" s="646"/>
      <c r="D343" s="943" t="s">
        <v>4412</v>
      </c>
      <c r="E343" s="942">
        <f>calcCh1Prod1Slot2Promo2Seg4Fit*VLOOKUP(calcCh1Prod1Slot2Promo2Weeks,dataPromoWeeksEffect,2,FALSE)</f>
        <v>0</v>
      </c>
      <c r="F343" s="645" t="s">
        <v>10674</v>
      </c>
    </row>
    <row r="344" spans="1:6" s="645" customFormat="1">
      <c r="A344" s="646"/>
      <c r="D344" s="948" t="s">
        <v>2975</v>
      </c>
      <c r="E344" s="946">
        <f>0.02*calcCh1Prod1Slot2Promo2Weeks+VLOOKUP(calcCh1Prod1Slot2Promo2Weeks,dataPromoWeeksShareEffect,2,FALSE)*calcCh1Prod1Slot2Promo2Seg4Fit</f>
        <v>0</v>
      </c>
      <c r="F344" s="614" t="s">
        <v>11150</v>
      </c>
    </row>
    <row r="345" spans="1:6" s="645" customFormat="1">
      <c r="A345" s="646"/>
      <c r="D345" s="943"/>
    </row>
    <row r="346" spans="1:6" s="645" customFormat="1">
      <c r="A346" s="646"/>
      <c r="C346" s="769" t="s">
        <v>3860</v>
      </c>
    </row>
    <row r="347" spans="1:6" s="645" customFormat="1">
      <c r="A347" s="646"/>
      <c r="D347" s="769" t="s">
        <v>6111</v>
      </c>
      <c r="E347" s="441" t="str">
        <f>decCh1Prod1Slot3Promo1</f>
        <v>No Promotion</v>
      </c>
      <c r="F347" s="614" t="s">
        <v>5926</v>
      </c>
    </row>
    <row r="348" spans="1:6" s="645" customFormat="1">
      <c r="A348" s="646"/>
      <c r="D348" s="645" t="s">
        <v>5663</v>
      </c>
      <c r="E348" s="645">
        <f>IF(decCh1Prod1Slot3Promo1="No Promotion",0,decCh1Prod1Slot3Promo1Weeks)</f>
        <v>0</v>
      </c>
      <c r="F348" s="645" t="s">
        <v>10639</v>
      </c>
    </row>
    <row r="349" spans="1:6" s="645" customFormat="1">
      <c r="A349" s="646"/>
    </row>
    <row r="350" spans="1:6" s="645" customFormat="1">
      <c r="A350" s="646"/>
      <c r="D350" s="769" t="s">
        <v>241</v>
      </c>
    </row>
    <row r="351" spans="1:6" s="645" customFormat="1" ht="2.25" customHeight="1">
      <c r="A351" s="646"/>
      <c r="C351" s="632"/>
      <c r="D351" s="259"/>
      <c r="E351" s="632"/>
    </row>
    <row r="352" spans="1:6" s="645" customFormat="1">
      <c r="A352" s="646"/>
      <c r="D352" s="943" t="s">
        <v>10604</v>
      </c>
      <c r="E352" s="942">
        <f>VLOOKUP(calcCh1Prod1Slot3Promo1Plan,dataPromoSeg1,1+MATCH(calcCh1Prod1Slot3Pack,dataPackNames,0),FALSE)</f>
        <v>0</v>
      </c>
      <c r="F352" s="645" t="s">
        <v>10640</v>
      </c>
    </row>
    <row r="353" spans="1:6" s="645" customFormat="1">
      <c r="A353" s="646"/>
      <c r="D353" s="943" t="s">
        <v>4412</v>
      </c>
      <c r="E353" s="942">
        <f>calcCh1Prod1Slot3Promo1Seg1Fit*VLOOKUP(calcCh1Prod1Slot3Promo1Weeks,dataPromoWeeksEffect,2,FALSE)</f>
        <v>0</v>
      </c>
      <c r="F353" s="645" t="s">
        <v>10641</v>
      </c>
    </row>
    <row r="354" spans="1:6" s="645" customFormat="1">
      <c r="A354" s="646"/>
      <c r="D354" s="948" t="s">
        <v>2975</v>
      </c>
      <c r="E354" s="946">
        <f>0.02*calcCh1Prod1Slot3Promo1Weeks+VLOOKUP(calcCh1Prod1Slot3Promo1Weeks,dataPromoWeeksShareEffect,2,FALSE)*calcCh1Prod1Slot3Promo1Seg1Fit</f>
        <v>0</v>
      </c>
      <c r="F354" s="614" t="s">
        <v>11151</v>
      </c>
    </row>
    <row r="355" spans="1:6" s="645" customFormat="1">
      <c r="A355" s="646"/>
    </row>
    <row r="356" spans="1:6" s="645" customFormat="1">
      <c r="A356" s="646"/>
      <c r="D356" s="769" t="s">
        <v>242</v>
      </c>
    </row>
    <row r="357" spans="1:6" s="645" customFormat="1" ht="2.25" customHeight="1">
      <c r="A357" s="646"/>
      <c r="C357" s="632"/>
      <c r="D357" s="259"/>
      <c r="E357" s="632"/>
    </row>
    <row r="358" spans="1:6" s="645" customFormat="1">
      <c r="A358" s="646"/>
      <c r="D358" s="943" t="s">
        <v>10604</v>
      </c>
      <c r="E358" s="942">
        <f>VLOOKUP(calcCh1Prod1Slot3Promo1Plan,dataPromoSeg2,1+MATCH(calcCh1Prod1Slot3Pack,dataPackNames,0),FALSE)</f>
        <v>0</v>
      </c>
      <c r="F358" s="645" t="s">
        <v>10642</v>
      </c>
    </row>
    <row r="359" spans="1:6" s="645" customFormat="1">
      <c r="A359" s="646"/>
      <c r="D359" s="943" t="s">
        <v>4412</v>
      </c>
      <c r="E359" s="942">
        <f>calcCh1Prod1Slot3Promo1Seg2Fit*VLOOKUP(calcCh1Prod1Slot3Promo1Weeks,dataPromoWeeksEffect,2,FALSE)</f>
        <v>0</v>
      </c>
      <c r="F359" s="645" t="s">
        <v>10643</v>
      </c>
    </row>
    <row r="360" spans="1:6" s="645" customFormat="1">
      <c r="A360" s="646"/>
      <c r="D360" s="948" t="s">
        <v>2975</v>
      </c>
      <c r="E360" s="946">
        <f>0.02*calcCh1Prod1Slot3Promo1Weeks+VLOOKUP(calcCh1Prod1Slot3Promo1Weeks,dataPromoWeeksShareEffect,2,FALSE)*calcCh1Prod1Slot3Promo1Seg2Fit</f>
        <v>0</v>
      </c>
      <c r="F360" s="614" t="s">
        <v>11152</v>
      </c>
    </row>
    <row r="361" spans="1:6" s="645" customFormat="1">
      <c r="A361" s="646"/>
    </row>
    <row r="362" spans="1:6" s="645" customFormat="1">
      <c r="A362" s="646"/>
      <c r="D362" s="769" t="s">
        <v>4353</v>
      </c>
    </row>
    <row r="363" spans="1:6" s="645" customFormat="1" ht="2.25" customHeight="1">
      <c r="A363" s="646"/>
      <c r="C363" s="632"/>
      <c r="D363" s="259"/>
      <c r="E363" s="632"/>
    </row>
    <row r="364" spans="1:6" s="645" customFormat="1">
      <c r="A364" s="646"/>
      <c r="D364" s="943" t="s">
        <v>10604</v>
      </c>
      <c r="E364" s="942">
        <f>VLOOKUP(calcCh1Prod1Slot3Promo1Plan,dataPromoSeg3,1+MATCH(calcCh1Prod1Slot3Pack,dataPackNames,0),FALSE)</f>
        <v>0</v>
      </c>
      <c r="F364" s="645" t="s">
        <v>10644</v>
      </c>
    </row>
    <row r="365" spans="1:6" s="645" customFormat="1">
      <c r="A365" s="646"/>
      <c r="D365" s="943" t="s">
        <v>4412</v>
      </c>
      <c r="E365" s="942">
        <f>calcCh1Prod1Slot3Promo1Seg3Fit*VLOOKUP(calcCh1Prod1Slot3Promo1Weeks,dataPromoWeeksEffect,2,FALSE)</f>
        <v>0</v>
      </c>
      <c r="F365" s="645" t="s">
        <v>10645</v>
      </c>
    </row>
    <row r="366" spans="1:6" s="645" customFormat="1">
      <c r="A366" s="646"/>
      <c r="D366" s="948" t="s">
        <v>2975</v>
      </c>
      <c r="E366" s="946">
        <f>0.02*calcCh1Prod1Slot3Promo1Weeks+VLOOKUP(calcCh1Prod1Slot3Promo1Weeks,dataPromoWeeksShareEffect,2,FALSE)*calcCh1Prod1Slot3Promo1Seg3Fit</f>
        <v>0</v>
      </c>
      <c r="F366" s="614" t="s">
        <v>11153</v>
      </c>
    </row>
    <row r="367" spans="1:6" s="645" customFormat="1">
      <c r="A367" s="646"/>
    </row>
    <row r="368" spans="1:6" s="645" customFormat="1">
      <c r="A368" s="646"/>
      <c r="D368" s="769" t="s">
        <v>243</v>
      </c>
    </row>
    <row r="369" spans="1:6" s="645" customFormat="1" ht="2.25" customHeight="1">
      <c r="A369" s="646"/>
      <c r="C369" s="632"/>
      <c r="D369" s="259"/>
      <c r="E369" s="632"/>
    </row>
    <row r="370" spans="1:6" s="645" customFormat="1">
      <c r="A370" s="646"/>
      <c r="D370" s="943" t="s">
        <v>10604</v>
      </c>
      <c r="E370" s="942">
        <f>VLOOKUP(calcCh1Prod1Slot3Promo1Plan,dataPromoSeg4,1+MATCH(calcCh1Prod1Slot3Pack,dataPackNames,0),FALSE)</f>
        <v>0</v>
      </c>
      <c r="F370" s="645" t="s">
        <v>10646</v>
      </c>
    </row>
    <row r="371" spans="1:6" s="645" customFormat="1">
      <c r="A371" s="646"/>
      <c r="D371" s="943" t="s">
        <v>4412</v>
      </c>
      <c r="E371" s="942">
        <f>calcCh1Prod1Slot3Promo1Seg4Fit*VLOOKUP(calcCh1Prod1Slot3Promo1Weeks,dataPromoWeeksEffect,2,FALSE)</f>
        <v>0</v>
      </c>
      <c r="F371" s="645" t="s">
        <v>10647</v>
      </c>
    </row>
    <row r="372" spans="1:6" s="645" customFormat="1">
      <c r="A372" s="646"/>
      <c r="D372" s="948" t="s">
        <v>2975</v>
      </c>
      <c r="E372" s="946">
        <f>0.02*calcCh1Prod1Slot3Promo1Weeks+VLOOKUP(calcCh1Prod1Slot3Promo1Weeks,dataPromoWeeksShareEffect,2,FALSE)*calcCh1Prod1Slot3Promo1Seg4Fit</f>
        <v>0</v>
      </c>
      <c r="F372" s="614" t="s">
        <v>11154</v>
      </c>
    </row>
    <row r="373" spans="1:6" s="645" customFormat="1">
      <c r="A373" s="646"/>
      <c r="D373" s="943"/>
    </row>
    <row r="374" spans="1:6" s="645" customFormat="1">
      <c r="A374" s="646"/>
      <c r="D374" s="769" t="s">
        <v>6112</v>
      </c>
      <c r="E374" s="441" t="str">
        <f>decCh1Prod1Slot3Promo2</f>
        <v>No Promotion</v>
      </c>
      <c r="F374" s="614" t="s">
        <v>5928</v>
      </c>
    </row>
    <row r="375" spans="1:6" s="645" customFormat="1">
      <c r="A375" s="646"/>
      <c r="D375" s="645" t="s">
        <v>5663</v>
      </c>
      <c r="E375" s="645">
        <f>IF(decCh1Prod1Slot3Promo2="No Promotion",0,decCh1Prod1Slot3Promo2Weeks)</f>
        <v>0</v>
      </c>
      <c r="F375" s="645" t="s">
        <v>10648</v>
      </c>
    </row>
    <row r="376" spans="1:6" s="645" customFormat="1">
      <c r="A376" s="646"/>
    </row>
    <row r="377" spans="1:6" s="645" customFormat="1">
      <c r="A377" s="646"/>
      <c r="D377" s="769" t="s">
        <v>241</v>
      </c>
    </row>
    <row r="378" spans="1:6" s="645" customFormat="1" ht="2.25" customHeight="1">
      <c r="A378" s="646"/>
      <c r="C378" s="632"/>
      <c r="D378" s="259"/>
      <c r="E378" s="632"/>
    </row>
    <row r="379" spans="1:6" s="645" customFormat="1">
      <c r="A379" s="646"/>
      <c r="D379" s="943" t="s">
        <v>10604</v>
      </c>
      <c r="E379" s="942">
        <f>VLOOKUP(calcCh1Prod1Slot3Promo2Plan,dataPromoSeg1,1+MATCH(calcCh1Prod1Slot3Pack,dataPackNames,0),FALSE)</f>
        <v>0</v>
      </c>
      <c r="F379" s="645" t="s">
        <v>10649</v>
      </c>
    </row>
    <row r="380" spans="1:6" s="645" customFormat="1">
      <c r="A380" s="646"/>
      <c r="D380" s="943" t="s">
        <v>4412</v>
      </c>
      <c r="E380" s="942">
        <f>calcCh1Prod1Slot3Promo2Seg1Fit*VLOOKUP(calcCh1Prod1Slot3Promo2Weeks,dataPromoWeeksEffect,2,FALSE)</f>
        <v>0</v>
      </c>
      <c r="F380" s="645" t="s">
        <v>10650</v>
      </c>
    </row>
    <row r="381" spans="1:6" s="645" customFormat="1">
      <c r="A381" s="646"/>
      <c r="D381" s="948" t="s">
        <v>2975</v>
      </c>
      <c r="E381" s="946">
        <f>0.02*calcCh1Prod1Slot3Promo2Weeks+VLOOKUP(calcCh1Prod1Slot3Promo2Weeks,dataPromoWeeksShareEffect,2,FALSE)*calcCh1Prod1Slot3Promo2Seg1Fit</f>
        <v>0</v>
      </c>
      <c r="F381" s="614" t="s">
        <v>11155</v>
      </c>
    </row>
    <row r="382" spans="1:6" s="645" customFormat="1">
      <c r="A382" s="646"/>
      <c r="E382" s="946"/>
    </row>
    <row r="383" spans="1:6" s="645" customFormat="1">
      <c r="A383" s="646"/>
      <c r="D383" s="769" t="s">
        <v>242</v>
      </c>
    </row>
    <row r="384" spans="1:6" s="645" customFormat="1" ht="2.25" customHeight="1">
      <c r="A384" s="646"/>
      <c r="C384" s="632"/>
      <c r="D384" s="259"/>
      <c r="E384" s="632"/>
    </row>
    <row r="385" spans="1:6" s="645" customFormat="1">
      <c r="A385" s="646"/>
      <c r="D385" s="943" t="s">
        <v>10604</v>
      </c>
      <c r="E385" s="942">
        <f>VLOOKUP(calcCh1Prod1Slot3Promo2Plan,dataPromoSeg2,1+MATCH(calcCh1Prod1Slot3Pack,dataPackNames,0),FALSE)</f>
        <v>0</v>
      </c>
      <c r="F385" s="645" t="s">
        <v>10651</v>
      </c>
    </row>
    <row r="386" spans="1:6" s="645" customFormat="1">
      <c r="A386" s="646"/>
      <c r="D386" s="943" t="s">
        <v>4412</v>
      </c>
      <c r="E386" s="942">
        <f>calcCh1Prod1Slot3Promo2Seg2Fit*VLOOKUP(calcCh1Prod1Slot3Promo2Weeks,dataPromoWeeksEffect,2,FALSE)</f>
        <v>0</v>
      </c>
      <c r="F386" s="645" t="s">
        <v>10652</v>
      </c>
    </row>
    <row r="387" spans="1:6" s="645" customFormat="1">
      <c r="A387" s="646"/>
      <c r="D387" s="948" t="s">
        <v>2975</v>
      </c>
      <c r="E387" s="946">
        <f>0.02*calcCh1Prod1Slot3Promo2Weeks+VLOOKUP(calcCh1Prod1Slot3Promo2Weeks,dataPromoWeeksShareEffect,2,FALSE)*calcCh1Prod1Slot3Promo2Seg2Fit</f>
        <v>0</v>
      </c>
      <c r="F387" s="614" t="s">
        <v>11156</v>
      </c>
    </row>
    <row r="388" spans="1:6" s="645" customFormat="1">
      <c r="A388" s="646"/>
    </row>
    <row r="389" spans="1:6" s="645" customFormat="1">
      <c r="A389" s="646"/>
      <c r="D389" s="769" t="s">
        <v>4353</v>
      </c>
    </row>
    <row r="390" spans="1:6" s="645" customFormat="1" ht="2.25" customHeight="1">
      <c r="A390" s="646"/>
      <c r="C390" s="632"/>
      <c r="D390" s="259"/>
      <c r="E390" s="632"/>
    </row>
    <row r="391" spans="1:6" s="645" customFormat="1">
      <c r="A391" s="646"/>
      <c r="D391" s="943" t="s">
        <v>10604</v>
      </c>
      <c r="E391" s="942">
        <f>VLOOKUP(calcCh1Prod1Slot3Promo2Plan,dataPromoSeg3,1+MATCH(calcCh1Prod1Slot3Pack,dataPackNames,0),FALSE)</f>
        <v>0</v>
      </c>
      <c r="F391" s="645" t="s">
        <v>10653</v>
      </c>
    </row>
    <row r="392" spans="1:6" s="645" customFormat="1">
      <c r="A392" s="646"/>
      <c r="D392" s="943" t="s">
        <v>4412</v>
      </c>
      <c r="E392" s="942">
        <f>calcCh1Prod1Slot3Promo2Seg3Fit*VLOOKUP(calcCh1Prod1Slot3Promo2Weeks,dataPromoWeeksEffect,2,FALSE)</f>
        <v>0</v>
      </c>
      <c r="F392" s="645" t="s">
        <v>10654</v>
      </c>
    </row>
    <row r="393" spans="1:6" s="645" customFormat="1">
      <c r="A393" s="646"/>
      <c r="D393" s="948" t="s">
        <v>2975</v>
      </c>
      <c r="E393" s="946">
        <f>0.02*calcCh1Prod1Slot3Promo2Weeks+VLOOKUP(calcCh1Prod1Slot3Promo2Weeks,dataPromoWeeksShareEffect,2,FALSE)*calcCh1Prod1Slot3Promo2Seg3Fit</f>
        <v>0</v>
      </c>
      <c r="F393" s="614" t="s">
        <v>11157</v>
      </c>
    </row>
    <row r="394" spans="1:6" s="645" customFormat="1">
      <c r="A394" s="646"/>
    </row>
    <row r="395" spans="1:6" s="645" customFormat="1">
      <c r="A395" s="646"/>
      <c r="D395" s="769" t="s">
        <v>243</v>
      </c>
    </row>
    <row r="396" spans="1:6" s="645" customFormat="1" ht="2.25" customHeight="1">
      <c r="A396" s="646"/>
      <c r="C396" s="632"/>
      <c r="D396" s="259"/>
      <c r="E396" s="632"/>
    </row>
    <row r="397" spans="1:6" s="645" customFormat="1">
      <c r="A397" s="646"/>
      <c r="D397" s="943" t="s">
        <v>10604</v>
      </c>
      <c r="E397" s="942">
        <f>VLOOKUP(calcCh1Prod1Slot3Promo2Plan,dataPromoSeg4,1+MATCH(calcCh1Prod1Slot3Pack,dataPackNames,0),FALSE)</f>
        <v>0</v>
      </c>
      <c r="F397" s="645" t="s">
        <v>10655</v>
      </c>
    </row>
    <row r="398" spans="1:6" s="645" customFormat="1">
      <c r="A398" s="646"/>
      <c r="D398" s="943" t="s">
        <v>4412</v>
      </c>
      <c r="E398" s="942">
        <f>calcCh1Prod1Slot3Promo2Seg4Fit*VLOOKUP(calcCh1Prod1Slot3Promo2Weeks,dataPromoWeeksEffect,2,FALSE)</f>
        <v>0</v>
      </c>
      <c r="F398" s="645" t="s">
        <v>10656</v>
      </c>
    </row>
    <row r="399" spans="1:6" s="645" customFormat="1">
      <c r="A399" s="646"/>
      <c r="D399" s="948" t="s">
        <v>2975</v>
      </c>
      <c r="E399" s="946">
        <f>0.02*calcCh1Prod1Slot3Promo2Weeks+VLOOKUP(calcCh1Prod1Slot3Promo2Weeks,dataPromoWeeksShareEffect,2,FALSE)*calcCh1Prod1Slot3Promo2Seg4Fit</f>
        <v>0</v>
      </c>
      <c r="F399" s="614" t="s">
        <v>11158</v>
      </c>
    </row>
    <row r="400" spans="1:6" s="645" customFormat="1">
      <c r="A400" s="646"/>
      <c r="D400" s="943"/>
    </row>
    <row r="401" spans="1:6" s="645" customFormat="1">
      <c r="A401" s="646"/>
      <c r="B401" s="769" t="s">
        <v>238</v>
      </c>
    </row>
    <row r="402" spans="1:6" s="645" customFormat="1">
      <c r="A402" s="646"/>
      <c r="C402" s="769" t="s">
        <v>3859</v>
      </c>
    </row>
    <row r="403" spans="1:6" s="645" customFormat="1">
      <c r="A403" s="646"/>
      <c r="D403" s="769" t="s">
        <v>6111</v>
      </c>
      <c r="E403" s="441" t="str">
        <f>decCh1Prod2Slot1Promo1</f>
        <v>TPR 33%</v>
      </c>
      <c r="F403" s="614" t="s">
        <v>5954</v>
      </c>
    </row>
    <row r="404" spans="1:6" s="645" customFormat="1">
      <c r="A404" s="646"/>
      <c r="D404" s="645" t="s">
        <v>5663</v>
      </c>
      <c r="E404" s="645">
        <f>IF(decCh1Prod2Slot1Promo1="No Promotion",0,decCh1Prod2Slot1Promo1Weeks)</f>
        <v>2</v>
      </c>
      <c r="F404" s="645" t="s">
        <v>10809</v>
      </c>
    </row>
    <row r="405" spans="1:6" s="645" customFormat="1">
      <c r="A405" s="646"/>
    </row>
    <row r="406" spans="1:6" s="645" customFormat="1">
      <c r="A406" s="646"/>
      <c r="D406" s="769" t="s">
        <v>241</v>
      </c>
    </row>
    <row r="407" spans="1:6" s="645" customFormat="1" ht="2.25" customHeight="1">
      <c r="A407" s="646"/>
      <c r="C407" s="632"/>
      <c r="D407" s="259"/>
      <c r="E407" s="632"/>
    </row>
    <row r="408" spans="1:6" s="645" customFormat="1">
      <c r="A408" s="646"/>
      <c r="D408" s="943" t="s">
        <v>10604</v>
      </c>
      <c r="E408" s="942">
        <f>VLOOKUP(calcCh1Prod2Slot1Promo1Plan,dataPromoSeg1,1+MATCH(calcCh1Prod2Slot1Pack,dataPackNames,0),FALSE)</f>
        <v>8.7360000000000007</v>
      </c>
      <c r="F408" s="645" t="s">
        <v>10810</v>
      </c>
    </row>
    <row r="409" spans="1:6" s="645" customFormat="1">
      <c r="A409" s="646"/>
      <c r="D409" s="943" t="s">
        <v>4412</v>
      </c>
      <c r="E409" s="942">
        <f>calcCh1Prod2Slot1Promo1Seg1Fit*VLOOKUP(calcCh1Prod2Slot1Promo1Weeks,dataPromoWeeksEffect,2,FALSE)</f>
        <v>24.460799999999999</v>
      </c>
      <c r="F409" s="645" t="s">
        <v>10811</v>
      </c>
    </row>
    <row r="410" spans="1:6" s="645" customFormat="1">
      <c r="A410" s="646"/>
      <c r="D410" s="948" t="s">
        <v>2975</v>
      </c>
      <c r="E410" s="946">
        <f>0.02*calcCh1Prod2Slot1Promo1Weeks+VLOOKUP(calcCh1Prod2Slot1Promo1Weeks,dataPromoWeeksShareEffect,2,FALSE)*calcCh1Prod2Slot1Promo1Seg1Fit</f>
        <v>0.16645360000000001</v>
      </c>
      <c r="F410" s="614" t="s">
        <v>11159</v>
      </c>
    </row>
    <row r="411" spans="1:6" s="645" customFormat="1">
      <c r="A411" s="646"/>
    </row>
    <row r="412" spans="1:6" s="645" customFormat="1">
      <c r="A412" s="646"/>
      <c r="D412" s="769" t="s">
        <v>242</v>
      </c>
    </row>
    <row r="413" spans="1:6" s="645" customFormat="1" ht="2.25" customHeight="1">
      <c r="A413" s="646"/>
      <c r="C413" s="632"/>
      <c r="D413" s="259"/>
      <c r="E413" s="632"/>
    </row>
    <row r="414" spans="1:6" s="645" customFormat="1">
      <c r="A414" s="646"/>
      <c r="D414" s="943" t="s">
        <v>10604</v>
      </c>
      <c r="E414" s="942">
        <f>VLOOKUP(calcCh1Prod2Slot1Promo1Plan,dataPromoSeg2,1+MATCH(calcCh1Prod2Slot1Pack,dataPackNames,0),FALSE)</f>
        <v>9.7279999999999998</v>
      </c>
      <c r="F414" s="645" t="s">
        <v>10812</v>
      </c>
    </row>
    <row r="415" spans="1:6" s="645" customFormat="1">
      <c r="A415" s="646"/>
      <c r="D415" s="943" t="s">
        <v>4412</v>
      </c>
      <c r="E415" s="942">
        <f>calcCh1Prod2Slot1Promo1Seg2Fit*VLOOKUP(calcCh1Prod2Slot1Promo1Weeks,dataPromoWeeksEffect,2,FALSE)</f>
        <v>27.238399999999999</v>
      </c>
      <c r="F415" s="645" t="s">
        <v>10813</v>
      </c>
    </row>
    <row r="416" spans="1:6" s="645" customFormat="1">
      <c r="A416" s="646"/>
      <c r="D416" s="948" t="s">
        <v>2975</v>
      </c>
      <c r="E416" s="946">
        <f>0.02*calcCh1Prod2Slot1Promo1Weeks+VLOOKUP(calcCh1Prod2Slot1Promo1Weeks,dataPromoWeeksShareEffect,2,FALSE)*calcCh1Prod2Slot1Promo1Seg2Fit</f>
        <v>0.1808128</v>
      </c>
      <c r="F416" s="614" t="s">
        <v>11160</v>
      </c>
    </row>
    <row r="417" spans="1:6" s="645" customFormat="1">
      <c r="A417" s="646"/>
    </row>
    <row r="418" spans="1:6" s="645" customFormat="1">
      <c r="A418" s="646"/>
      <c r="D418" s="769" t="s">
        <v>4353</v>
      </c>
    </row>
    <row r="419" spans="1:6" s="645" customFormat="1" ht="2.25" customHeight="1">
      <c r="A419" s="646"/>
      <c r="C419" s="632"/>
      <c r="D419" s="259"/>
      <c r="E419" s="632"/>
    </row>
    <row r="420" spans="1:6" s="645" customFormat="1">
      <c r="A420" s="646"/>
      <c r="D420" s="943" t="s">
        <v>10604</v>
      </c>
      <c r="E420" s="942">
        <f>VLOOKUP(calcCh1Prod2Slot1Promo1Plan,dataPromoSeg3,1+MATCH(calcCh1Prod2Slot1Pack,dataPackNames,0),FALSE)</f>
        <v>9.8239999999999998</v>
      </c>
      <c r="F420" s="645" t="s">
        <v>10814</v>
      </c>
    </row>
    <row r="421" spans="1:6" s="645" customFormat="1">
      <c r="A421" s="646"/>
      <c r="D421" s="943" t="s">
        <v>4412</v>
      </c>
      <c r="E421" s="942">
        <f>calcCh1Prod2Slot1Promo1Seg3Fit*VLOOKUP(calcCh1Prod2Slot1Promo1Weeks,dataPromoWeeksEffect,2,FALSE)</f>
        <v>27.507199999999997</v>
      </c>
      <c r="F421" s="645" t="s">
        <v>10815</v>
      </c>
    </row>
    <row r="422" spans="1:6" s="645" customFormat="1">
      <c r="A422" s="646"/>
      <c r="D422" s="948" t="s">
        <v>2975</v>
      </c>
      <c r="E422" s="946">
        <f>0.02*calcCh1Prod2Slot1Promo1Weeks+VLOOKUP(calcCh1Prod2Slot1Promo1Weeks,dataPromoWeeksShareEffect,2,FALSE)*calcCh1Prod2Slot1Promo1Seg3Fit</f>
        <v>0.18220240000000001</v>
      </c>
      <c r="F422" s="614" t="s">
        <v>11161</v>
      </c>
    </row>
    <row r="423" spans="1:6" s="645" customFormat="1">
      <c r="A423" s="646"/>
    </row>
    <row r="424" spans="1:6" s="645" customFormat="1">
      <c r="A424" s="646"/>
      <c r="D424" s="769" t="s">
        <v>243</v>
      </c>
    </row>
    <row r="425" spans="1:6" s="645" customFormat="1" ht="2.25" customHeight="1">
      <c r="A425" s="646"/>
      <c r="C425" s="632"/>
      <c r="D425" s="259"/>
      <c r="E425" s="632"/>
    </row>
    <row r="426" spans="1:6" s="645" customFormat="1">
      <c r="A426" s="646"/>
      <c r="D426" s="943" t="s">
        <v>10604</v>
      </c>
      <c r="E426" s="942">
        <f>VLOOKUP(calcCh1Prod2Slot1Promo1Plan,dataPromoSeg4,1+MATCH(calcCh1Prod2Slot1Pack,dataPackNames,0),FALSE)</f>
        <v>9.2480000000000011</v>
      </c>
      <c r="F426" s="645" t="s">
        <v>10816</v>
      </c>
    </row>
    <row r="427" spans="1:6" s="645" customFormat="1">
      <c r="A427" s="646"/>
      <c r="D427" s="943" t="s">
        <v>4412</v>
      </c>
      <c r="E427" s="942">
        <f>calcCh1Prod2Slot1Promo1Seg4Fit*VLOOKUP(calcCh1Prod2Slot1Promo1Weeks,dataPromoWeeksEffect,2,FALSE)</f>
        <v>25.894400000000001</v>
      </c>
      <c r="F427" s="645" t="s">
        <v>10817</v>
      </c>
    </row>
    <row r="428" spans="1:6" s="645" customFormat="1">
      <c r="A428" s="646"/>
      <c r="D428" s="948" t="s">
        <v>2975</v>
      </c>
      <c r="E428" s="946">
        <f>0.02*calcCh1Prod2Slot1Promo1Weeks+VLOOKUP(calcCh1Prod2Slot1Promo1Weeks,dataPromoWeeksShareEffect,2,FALSE)*calcCh1Prod2Slot1Promo1Seg4Fit</f>
        <v>0.17386480000000001</v>
      </c>
      <c r="F428" s="614" t="s">
        <v>11162</v>
      </c>
    </row>
    <row r="429" spans="1:6" s="645" customFormat="1">
      <c r="A429" s="646"/>
      <c r="D429" s="943"/>
    </row>
    <row r="430" spans="1:6" s="645" customFormat="1">
      <c r="A430" s="646"/>
      <c r="D430" s="769" t="s">
        <v>6112</v>
      </c>
      <c r="E430" s="441" t="str">
        <f>decCh1Prod2Slot1Promo2</f>
        <v>No Promotion</v>
      </c>
      <c r="F430" s="614" t="s">
        <v>5956</v>
      </c>
    </row>
    <row r="431" spans="1:6" s="645" customFormat="1">
      <c r="A431" s="646"/>
      <c r="D431" s="645" t="s">
        <v>5663</v>
      </c>
      <c r="E431" s="645">
        <f>IF(decCh1Prod2Slot1Promo2="No Promotion",0,decCh1Prod2Slot1Promo2Weeks)</f>
        <v>0</v>
      </c>
      <c r="F431" s="645" t="s">
        <v>10818</v>
      </c>
    </row>
    <row r="432" spans="1:6" s="645" customFormat="1">
      <c r="A432" s="646"/>
    </row>
    <row r="433" spans="1:6" s="645" customFormat="1">
      <c r="A433" s="646"/>
      <c r="D433" s="769" t="s">
        <v>241</v>
      </c>
    </row>
    <row r="434" spans="1:6" s="645" customFormat="1" ht="2.25" customHeight="1">
      <c r="A434" s="646"/>
      <c r="C434" s="632"/>
      <c r="D434" s="259"/>
      <c r="E434" s="632"/>
    </row>
    <row r="435" spans="1:6" s="645" customFormat="1">
      <c r="A435" s="646"/>
      <c r="D435" s="943" t="s">
        <v>10604</v>
      </c>
      <c r="E435" s="942">
        <f>VLOOKUP(calcCh1Prod2Slot1Promo2Plan,dataPromoSeg1,1+MATCH(calcCh1Prod2Slot1Pack,dataPackNames,0),FALSE)</f>
        <v>0</v>
      </c>
      <c r="F435" s="645" t="s">
        <v>10819</v>
      </c>
    </row>
    <row r="436" spans="1:6" s="645" customFormat="1">
      <c r="A436" s="646"/>
      <c r="D436" s="943" t="s">
        <v>4412</v>
      </c>
      <c r="E436" s="942">
        <f>calcCh1Prod2Slot1Promo2Seg1Fit*VLOOKUP(calcCh1Prod2Slot1Promo2Weeks,dataPromoWeeksEffect,2,FALSE)</f>
        <v>0</v>
      </c>
      <c r="F436" s="645" t="s">
        <v>10820</v>
      </c>
    </row>
    <row r="437" spans="1:6" s="645" customFormat="1">
      <c r="A437" s="646"/>
      <c r="D437" s="948" t="s">
        <v>2975</v>
      </c>
      <c r="E437" s="946">
        <f>0.02*calcCh1Prod2Slot1Promo2Weeks+VLOOKUP(calcCh1Prod2Slot1Promo2Weeks,dataPromoWeeksShareEffect,2,FALSE)*calcCh1Prod2Slot1Promo2Seg1Fit</f>
        <v>0</v>
      </c>
      <c r="F437" s="614" t="s">
        <v>11163</v>
      </c>
    </row>
    <row r="438" spans="1:6" s="645" customFormat="1">
      <c r="A438" s="646"/>
      <c r="E438" s="946"/>
    </row>
    <row r="439" spans="1:6" s="645" customFormat="1">
      <c r="A439" s="646"/>
      <c r="D439" s="769" t="s">
        <v>242</v>
      </c>
    </row>
    <row r="440" spans="1:6" s="645" customFormat="1" ht="2.25" customHeight="1">
      <c r="A440" s="646"/>
      <c r="C440" s="632"/>
      <c r="D440" s="259"/>
      <c r="E440" s="632"/>
    </row>
    <row r="441" spans="1:6" s="645" customFormat="1">
      <c r="A441" s="646"/>
      <c r="D441" s="943" t="s">
        <v>10604</v>
      </c>
      <c r="E441" s="942">
        <f>VLOOKUP(calcCh1Prod2Slot1Promo2Plan,dataPromoSeg2,1+MATCH(calcCh1Prod2Slot1Pack,dataPackNames,0),FALSE)</f>
        <v>0</v>
      </c>
      <c r="F441" s="645" t="s">
        <v>10821</v>
      </c>
    </row>
    <row r="442" spans="1:6" s="645" customFormat="1">
      <c r="A442" s="646"/>
      <c r="D442" s="943" t="s">
        <v>4412</v>
      </c>
      <c r="E442" s="942">
        <f>calcCh1Prod2Slot1Promo2Seg2Fit*VLOOKUP(calcCh1Prod2Slot1Promo2Weeks,dataPromoWeeksEffect,2,FALSE)</f>
        <v>0</v>
      </c>
      <c r="F442" s="645" t="s">
        <v>10822</v>
      </c>
    </row>
    <row r="443" spans="1:6" s="645" customFormat="1">
      <c r="A443" s="646"/>
      <c r="D443" s="948" t="s">
        <v>2975</v>
      </c>
      <c r="E443" s="946">
        <f>0.02*calcCh1Prod2Slot1Promo2Weeks+VLOOKUP(calcCh1Prod2Slot1Promo2Weeks,dataPromoWeeksShareEffect,2,FALSE)*calcCh1Prod2Slot1Promo2Seg2Fit</f>
        <v>0</v>
      </c>
      <c r="F443" s="614" t="s">
        <v>11164</v>
      </c>
    </row>
    <row r="444" spans="1:6" s="645" customFormat="1">
      <c r="A444" s="646"/>
    </row>
    <row r="445" spans="1:6" s="645" customFormat="1">
      <c r="A445" s="646"/>
      <c r="D445" s="769" t="s">
        <v>4353</v>
      </c>
    </row>
    <row r="446" spans="1:6" s="645" customFormat="1" ht="2.25" customHeight="1">
      <c r="A446" s="646"/>
      <c r="C446" s="632"/>
      <c r="D446" s="259"/>
      <c r="E446" s="632"/>
    </row>
    <row r="447" spans="1:6" s="645" customFormat="1">
      <c r="A447" s="646"/>
      <c r="D447" s="943" t="s">
        <v>10604</v>
      </c>
      <c r="E447" s="942">
        <f>VLOOKUP(calcCh1Prod2Slot1Promo2Plan,dataPromoSeg3,1+MATCH(calcCh1Prod2Slot1Pack,dataPackNames,0),FALSE)</f>
        <v>0</v>
      </c>
      <c r="F447" s="645" t="s">
        <v>10823</v>
      </c>
    </row>
    <row r="448" spans="1:6" s="645" customFormat="1">
      <c r="A448" s="646"/>
      <c r="D448" s="943" t="s">
        <v>4412</v>
      </c>
      <c r="E448" s="942">
        <f>calcCh1Prod2Slot1Promo2Seg3Fit*VLOOKUP(calcCh1Prod2Slot1Promo2Weeks,dataPromoWeeksEffect,2,FALSE)</f>
        <v>0</v>
      </c>
      <c r="F448" s="645" t="s">
        <v>10824</v>
      </c>
    </row>
    <row r="449" spans="1:6" s="645" customFormat="1">
      <c r="A449" s="646"/>
      <c r="D449" s="948" t="s">
        <v>2975</v>
      </c>
      <c r="E449" s="946">
        <f>0.02*calcCh1Prod2Slot1Promo2Weeks+VLOOKUP(calcCh1Prod2Slot1Promo2Weeks,dataPromoWeeksShareEffect,2,FALSE)*calcCh1Prod2Slot1Promo2Seg3Fit</f>
        <v>0</v>
      </c>
      <c r="F449" s="614" t="s">
        <v>11165</v>
      </c>
    </row>
    <row r="450" spans="1:6" s="645" customFormat="1">
      <c r="A450" s="646"/>
    </row>
    <row r="451" spans="1:6" s="645" customFormat="1">
      <c r="A451" s="646"/>
      <c r="D451" s="769" t="s">
        <v>243</v>
      </c>
    </row>
    <row r="452" spans="1:6" s="645" customFormat="1" ht="2.25" customHeight="1">
      <c r="A452" s="646"/>
      <c r="C452" s="632"/>
      <c r="D452" s="259"/>
      <c r="E452" s="632"/>
    </row>
    <row r="453" spans="1:6" s="645" customFormat="1">
      <c r="A453" s="646"/>
      <c r="D453" s="943" t="s">
        <v>10604</v>
      </c>
      <c r="E453" s="942">
        <f>VLOOKUP(calcCh1Prod2Slot1Promo2Plan,dataPromoSeg4,1+MATCH(calcCh1Prod2Slot1Pack,dataPackNames,0),FALSE)</f>
        <v>0</v>
      </c>
      <c r="F453" s="645" t="s">
        <v>10825</v>
      </c>
    </row>
    <row r="454" spans="1:6" s="645" customFormat="1">
      <c r="A454" s="646"/>
      <c r="D454" s="943" t="s">
        <v>4412</v>
      </c>
      <c r="E454" s="942">
        <f>calcCh1Prod2Slot1Promo2Seg4Fit*VLOOKUP(calcCh1Prod2Slot1Promo2Weeks,dataPromoWeeksEffect,2,FALSE)</f>
        <v>0</v>
      </c>
      <c r="F454" s="645" t="s">
        <v>10826</v>
      </c>
    </row>
    <row r="455" spans="1:6" s="645" customFormat="1">
      <c r="A455" s="646"/>
      <c r="D455" s="948" t="s">
        <v>2975</v>
      </c>
      <c r="E455" s="946">
        <f>0.02*calcCh1Prod2Slot1Promo2Weeks+VLOOKUP(calcCh1Prod2Slot1Promo2Weeks,dataPromoWeeksShareEffect,2,FALSE)*calcCh1Prod2Slot1Promo2Seg4Fit</f>
        <v>0</v>
      </c>
      <c r="F455" s="614" t="s">
        <v>11166</v>
      </c>
    </row>
    <row r="456" spans="1:6" s="645" customFormat="1">
      <c r="A456" s="646"/>
      <c r="D456" s="943"/>
    </row>
    <row r="457" spans="1:6" s="645" customFormat="1">
      <c r="A457" s="646"/>
      <c r="C457" s="769" t="s">
        <v>3858</v>
      </c>
    </row>
    <row r="458" spans="1:6" s="645" customFormat="1">
      <c r="A458" s="646"/>
      <c r="D458" s="769" t="s">
        <v>6111</v>
      </c>
      <c r="E458" s="441" t="str">
        <f>decCh1Prod2Slot2Promo1</f>
        <v>TPR 20%</v>
      </c>
      <c r="F458" s="614" t="s">
        <v>5958</v>
      </c>
    </row>
    <row r="459" spans="1:6" s="645" customFormat="1">
      <c r="A459" s="646"/>
      <c r="D459" s="645" t="s">
        <v>5663</v>
      </c>
      <c r="E459" s="645">
        <f>IF(decCh1Prod2Slot2Promo1="No Promotion",0,decCh1Prod2Slot2Promo1Weeks)</f>
        <v>3</v>
      </c>
      <c r="F459" s="645" t="s">
        <v>10827</v>
      </c>
    </row>
    <row r="460" spans="1:6" s="645" customFormat="1">
      <c r="A460" s="646"/>
    </row>
    <row r="461" spans="1:6" s="645" customFormat="1">
      <c r="A461" s="646"/>
      <c r="D461" s="769" t="s">
        <v>241</v>
      </c>
    </row>
    <row r="462" spans="1:6" s="645" customFormat="1" ht="2.25" customHeight="1">
      <c r="A462" s="646"/>
      <c r="C462" s="632"/>
      <c r="D462" s="259"/>
      <c r="E462" s="632"/>
    </row>
    <row r="463" spans="1:6" s="645" customFormat="1">
      <c r="A463" s="646"/>
      <c r="D463" s="943" t="s">
        <v>10604</v>
      </c>
      <c r="E463" s="942">
        <f>VLOOKUP(calcCh1Prod2Slot2Promo1Plan,dataPromoSeg1,1+MATCH(calcCh1Prod2Slot2Pack,dataPackNames,0),FALSE)</f>
        <v>4.4600000000000009</v>
      </c>
      <c r="F463" s="645" t="s">
        <v>10828</v>
      </c>
    </row>
    <row r="464" spans="1:6" s="645" customFormat="1">
      <c r="A464" s="646"/>
      <c r="D464" s="943" t="s">
        <v>4412</v>
      </c>
      <c r="E464" s="942">
        <f>calcCh1Prod2Slot2Promo1Seg1Fit*VLOOKUP(calcCh1Prod2Slot2Promo1Weeks,dataPromoWeeksEffect,2,FALSE)</f>
        <v>19.713200000000004</v>
      </c>
      <c r="F464" s="645" t="s">
        <v>10829</v>
      </c>
    </row>
    <row r="465" spans="1:6" s="645" customFormat="1">
      <c r="A465" s="646"/>
      <c r="D465" s="948" t="s">
        <v>2975</v>
      </c>
      <c r="E465" s="946">
        <f>0.02*calcCh1Prod2Slot2Promo1Weeks+VLOOKUP(calcCh1Prod2Slot2Promo1Weeks,dataPromoWeeksShareEffect,2,FALSE)*calcCh1Prod2Slot2Promo1Seg1Fit</f>
        <v>0.14242135750000001</v>
      </c>
      <c r="F465" s="614" t="s">
        <v>11167</v>
      </c>
    </row>
    <row r="466" spans="1:6" s="645" customFormat="1">
      <c r="A466" s="646"/>
    </row>
    <row r="467" spans="1:6" s="645" customFormat="1">
      <c r="A467" s="646"/>
      <c r="D467" s="769" t="s">
        <v>242</v>
      </c>
    </row>
    <row r="468" spans="1:6" s="645" customFormat="1" ht="2.25" customHeight="1">
      <c r="A468" s="646"/>
      <c r="C468" s="632"/>
      <c r="D468" s="259"/>
      <c r="E468" s="632"/>
    </row>
    <row r="469" spans="1:6" s="645" customFormat="1">
      <c r="A469" s="646"/>
      <c r="D469" s="943" t="s">
        <v>10604</v>
      </c>
      <c r="E469" s="942">
        <f>VLOOKUP(calcCh1Prod2Slot2Promo1Plan,dataPromoSeg2,1+MATCH(calcCh1Prod2Slot2Pack,dataPackNames,0),FALSE)</f>
        <v>5.08</v>
      </c>
      <c r="F469" s="645" t="s">
        <v>10830</v>
      </c>
    </row>
    <row r="470" spans="1:6" s="645" customFormat="1">
      <c r="A470" s="646"/>
      <c r="D470" s="943" t="s">
        <v>4412</v>
      </c>
      <c r="E470" s="942">
        <f>calcCh1Prod2Slot2Promo1Seg2Fit*VLOOKUP(calcCh1Prod2Slot2Promo1Weeks,dataPromoWeeksEffect,2,FALSE)</f>
        <v>22.453600000000002</v>
      </c>
      <c r="F470" s="645" t="s">
        <v>10831</v>
      </c>
    </row>
    <row r="471" spans="1:6" s="645" customFormat="1">
      <c r="A471" s="646"/>
      <c r="D471" s="948" t="s">
        <v>2975</v>
      </c>
      <c r="E471" s="946">
        <f>0.02*calcCh1Prod2Slot2Promo1Weeks+VLOOKUP(calcCh1Prod2Slot2Promo1Weeks,dataPromoWeeksShareEffect,2,FALSE)*calcCh1Prod2Slot2Promo1Seg2Fit</f>
        <v>0.153879035</v>
      </c>
      <c r="F471" s="614" t="s">
        <v>11168</v>
      </c>
    </row>
    <row r="472" spans="1:6" s="645" customFormat="1">
      <c r="A472" s="646"/>
    </row>
    <row r="473" spans="1:6" s="645" customFormat="1">
      <c r="A473" s="646"/>
      <c r="D473" s="769" t="s">
        <v>4353</v>
      </c>
    </row>
    <row r="474" spans="1:6" s="645" customFormat="1" ht="2.25" customHeight="1">
      <c r="A474" s="646"/>
      <c r="C474" s="632"/>
      <c r="D474" s="259"/>
      <c r="E474" s="632"/>
    </row>
    <row r="475" spans="1:6" s="645" customFormat="1">
      <c r="A475" s="646"/>
      <c r="D475" s="943" t="s">
        <v>10604</v>
      </c>
      <c r="E475" s="942">
        <f>VLOOKUP(calcCh1Prod2Slot2Promo1Plan,dataPromoSeg3,1+MATCH(calcCh1Prod2Slot2Pack,dataPackNames,0),FALSE)</f>
        <v>5.1400000000000006</v>
      </c>
      <c r="F475" s="645" t="s">
        <v>10832</v>
      </c>
    </row>
    <row r="476" spans="1:6" s="645" customFormat="1">
      <c r="A476" s="646"/>
      <c r="D476" s="943" t="s">
        <v>4412</v>
      </c>
      <c r="E476" s="942">
        <f>calcCh1Prod2Slot2Promo1Seg3Fit*VLOOKUP(calcCh1Prod2Slot2Promo1Weeks,dataPromoWeeksEffect,2,FALSE)</f>
        <v>22.718800000000002</v>
      </c>
      <c r="F476" s="645" t="s">
        <v>10833</v>
      </c>
    </row>
    <row r="477" spans="1:6" s="645" customFormat="1">
      <c r="A477" s="646"/>
      <c r="D477" s="948" t="s">
        <v>2975</v>
      </c>
      <c r="E477" s="946">
        <f>0.02*calcCh1Prod2Slot2Promo1Weeks+VLOOKUP(calcCh1Prod2Slot2Promo1Weeks,dataPromoWeeksShareEffect,2,FALSE)*calcCh1Prod2Slot2Promo1Seg3Fit</f>
        <v>0.15498784250000003</v>
      </c>
      <c r="F477" s="614" t="s">
        <v>11169</v>
      </c>
    </row>
    <row r="478" spans="1:6" s="645" customFormat="1">
      <c r="A478" s="646"/>
    </row>
    <row r="479" spans="1:6" s="645" customFormat="1">
      <c r="A479" s="646"/>
      <c r="D479" s="769" t="s">
        <v>243</v>
      </c>
    </row>
    <row r="480" spans="1:6" s="645" customFormat="1" ht="2.25" customHeight="1">
      <c r="A480" s="646"/>
      <c r="C480" s="632"/>
      <c r="D480" s="259"/>
      <c r="E480" s="632"/>
    </row>
    <row r="481" spans="1:6" s="645" customFormat="1">
      <c r="A481" s="646"/>
      <c r="D481" s="943" t="s">
        <v>10604</v>
      </c>
      <c r="E481" s="942">
        <f>VLOOKUP(calcCh1Prod2Slot2Promo1Plan,dataPromoSeg4,1+MATCH(calcCh1Prod2Slot2Pack,dataPackNames,0),FALSE)</f>
        <v>4.7799999999999994</v>
      </c>
      <c r="F481" s="645" t="s">
        <v>10834</v>
      </c>
    </row>
    <row r="482" spans="1:6" s="645" customFormat="1">
      <c r="A482" s="646"/>
      <c r="D482" s="943" t="s">
        <v>4412</v>
      </c>
      <c r="E482" s="942">
        <f>calcCh1Prod2Slot2Promo1Seg4Fit*VLOOKUP(calcCh1Prod2Slot2Promo1Weeks,dataPromoWeeksEffect,2,FALSE)</f>
        <v>21.127599999999997</v>
      </c>
      <c r="F482" s="645" t="s">
        <v>10835</v>
      </c>
    </row>
    <row r="483" spans="1:6" s="645" customFormat="1">
      <c r="A483" s="646"/>
      <c r="D483" s="948" t="s">
        <v>2975</v>
      </c>
      <c r="E483" s="946">
        <f>0.02*calcCh1Prod2Slot2Promo1Weeks+VLOOKUP(calcCh1Prod2Slot2Promo1Weeks,dataPromoWeeksShareEffect,2,FALSE)*calcCh1Prod2Slot2Promo1Seg4Fit</f>
        <v>0.14833499749999998</v>
      </c>
      <c r="F483" s="614" t="s">
        <v>11170</v>
      </c>
    </row>
    <row r="484" spans="1:6" s="645" customFormat="1">
      <c r="A484" s="646"/>
      <c r="D484" s="943"/>
    </row>
    <row r="485" spans="1:6" s="645" customFormat="1">
      <c r="A485" s="646"/>
      <c r="D485" s="769" t="s">
        <v>6112</v>
      </c>
      <c r="E485" s="441" t="str">
        <f>decCh1Prod2Slot2Promo2</f>
        <v>3/2</v>
      </c>
      <c r="F485" s="614" t="s">
        <v>5960</v>
      </c>
    </row>
    <row r="486" spans="1:6" s="645" customFormat="1">
      <c r="A486" s="646"/>
      <c r="D486" s="645" t="s">
        <v>5663</v>
      </c>
      <c r="E486" s="645">
        <f>IF(decCh1Prod2Slot2Promo2="No Promotion",0,decCh1Prod2Slot2Promo2Weeks)</f>
        <v>2</v>
      </c>
      <c r="F486" s="645" t="s">
        <v>10836</v>
      </c>
    </row>
    <row r="487" spans="1:6" s="645" customFormat="1">
      <c r="A487" s="646"/>
    </row>
    <row r="488" spans="1:6" s="645" customFormat="1">
      <c r="A488" s="646"/>
      <c r="D488" s="769" t="s">
        <v>241</v>
      </c>
    </row>
    <row r="489" spans="1:6" s="645" customFormat="1" ht="2.25" customHeight="1">
      <c r="A489" s="646"/>
      <c r="C489" s="632"/>
      <c r="D489" s="259"/>
      <c r="E489" s="632"/>
    </row>
    <row r="490" spans="1:6" s="645" customFormat="1">
      <c r="A490" s="646"/>
      <c r="D490" s="943" t="s">
        <v>10604</v>
      </c>
      <c r="E490" s="942">
        <f>VLOOKUP(calcCh1Prod2Slot2Promo2Plan,dataPromoSeg1,1+MATCH(calcCh1Prod2Slot2Pack,dataPackNames,0),FALSE)</f>
        <v>14.96</v>
      </c>
      <c r="F490" s="645" t="s">
        <v>10837</v>
      </c>
    </row>
    <row r="491" spans="1:6" s="645" customFormat="1">
      <c r="A491" s="646"/>
      <c r="D491" s="943" t="s">
        <v>4412</v>
      </c>
      <c r="E491" s="942">
        <f>calcCh1Prod2Slot2Promo2Seg1Fit*VLOOKUP(calcCh1Prod2Slot2Promo2Weeks,dataPromoWeeksEffect,2,FALSE)</f>
        <v>41.887999999999998</v>
      </c>
      <c r="F491" s="645" t="s">
        <v>10838</v>
      </c>
    </row>
    <row r="492" spans="1:6" s="645" customFormat="1">
      <c r="A492" s="646"/>
      <c r="D492" s="948" t="s">
        <v>2975</v>
      </c>
      <c r="E492" s="946">
        <f>0.02*calcCh1Prod2Slot2Promo2Weeks+VLOOKUP(calcCh1Prod2Slot2Promo2Weeks,dataPromoWeeksShareEffect,2,FALSE)*calcCh1Prod2Slot2Promo2Seg1Fit</f>
        <v>0.256546</v>
      </c>
      <c r="F492" s="614" t="s">
        <v>11171</v>
      </c>
    </row>
    <row r="493" spans="1:6" s="645" customFormat="1">
      <c r="A493" s="646"/>
      <c r="E493" s="946"/>
    </row>
    <row r="494" spans="1:6" s="645" customFormat="1">
      <c r="A494" s="646"/>
      <c r="D494" s="769" t="s">
        <v>242</v>
      </c>
    </row>
    <row r="495" spans="1:6" s="645" customFormat="1" ht="2.25" customHeight="1">
      <c r="A495" s="646"/>
      <c r="C495" s="632"/>
      <c r="D495" s="259"/>
      <c r="E495" s="632"/>
    </row>
    <row r="496" spans="1:6" s="645" customFormat="1">
      <c r="A496" s="646"/>
      <c r="D496" s="943" t="s">
        <v>10604</v>
      </c>
      <c r="E496" s="942">
        <f>VLOOKUP(calcCh1Prod2Slot2Promo2Plan,dataPromoSeg2,1+MATCH(calcCh1Prod2Slot2Pack,dataPackNames,0),FALSE)</f>
        <v>16.911999999999999</v>
      </c>
      <c r="F496" s="645" t="s">
        <v>10839</v>
      </c>
    </row>
    <row r="497" spans="1:6" s="645" customFormat="1">
      <c r="A497" s="646"/>
      <c r="D497" s="943" t="s">
        <v>4412</v>
      </c>
      <c r="E497" s="942">
        <f>calcCh1Prod2Slot2Promo2Seg2Fit*VLOOKUP(calcCh1Prod2Slot2Promo2Weeks,dataPromoWeeksEffect,2,FALSE)</f>
        <v>47.353599999999993</v>
      </c>
      <c r="F497" s="645" t="s">
        <v>10840</v>
      </c>
    </row>
    <row r="498" spans="1:6" s="645" customFormat="1">
      <c r="A498" s="646"/>
      <c r="D498" s="948" t="s">
        <v>2975</v>
      </c>
      <c r="E498" s="946">
        <f>0.02*calcCh1Prod2Slot2Promo2Weeks+VLOOKUP(calcCh1Prod2Slot2Promo2Weeks,dataPromoWeeksShareEffect,2,FALSE)*calcCh1Prod2Slot2Promo2Seg2Fit</f>
        <v>0.28480119999999998</v>
      </c>
      <c r="F498" s="614" t="s">
        <v>11172</v>
      </c>
    </row>
    <row r="499" spans="1:6" s="645" customFormat="1">
      <c r="A499" s="646"/>
    </row>
    <row r="500" spans="1:6" s="645" customFormat="1">
      <c r="A500" s="646"/>
      <c r="D500" s="769" t="s">
        <v>4353</v>
      </c>
    </row>
    <row r="501" spans="1:6" s="645" customFormat="1" ht="2.25" customHeight="1">
      <c r="A501" s="646"/>
      <c r="C501" s="632"/>
      <c r="D501" s="259"/>
      <c r="E501" s="632"/>
    </row>
    <row r="502" spans="1:6" s="645" customFormat="1">
      <c r="A502" s="646"/>
      <c r="D502" s="943" t="s">
        <v>10604</v>
      </c>
      <c r="E502" s="942">
        <f>VLOOKUP(calcCh1Prod2Slot2Promo2Plan,dataPromoSeg3,1+MATCH(calcCh1Prod2Slot2Pack,dataPackNames,0),FALSE)</f>
        <v>16.576000000000001</v>
      </c>
      <c r="F502" s="645" t="s">
        <v>10841</v>
      </c>
    </row>
    <row r="503" spans="1:6" s="645" customFormat="1">
      <c r="A503" s="646"/>
      <c r="D503" s="943" t="s">
        <v>4412</v>
      </c>
      <c r="E503" s="942">
        <f>calcCh1Prod2Slot2Promo2Seg3Fit*VLOOKUP(calcCh1Prod2Slot2Promo2Weeks,dataPromoWeeksEffect,2,FALSE)</f>
        <v>46.412799999999997</v>
      </c>
      <c r="F503" s="645" t="s">
        <v>10842</v>
      </c>
    </row>
    <row r="504" spans="1:6" s="645" customFormat="1">
      <c r="A504" s="646"/>
      <c r="D504" s="948" t="s">
        <v>2975</v>
      </c>
      <c r="E504" s="946">
        <f>0.02*calcCh1Prod2Slot2Promo2Weeks+VLOOKUP(calcCh1Prod2Slot2Promo2Weeks,dataPromoWeeksShareEffect,2,FALSE)*calcCh1Prod2Slot2Promo2Seg3Fit</f>
        <v>0.27993760000000001</v>
      </c>
      <c r="F504" s="614" t="s">
        <v>11173</v>
      </c>
    </row>
    <row r="505" spans="1:6" s="645" customFormat="1">
      <c r="A505" s="646"/>
    </row>
    <row r="506" spans="1:6" s="645" customFormat="1">
      <c r="A506" s="646"/>
      <c r="D506" s="769" t="s">
        <v>243</v>
      </c>
    </row>
    <row r="507" spans="1:6" s="645" customFormat="1" ht="2.25" customHeight="1">
      <c r="A507" s="646"/>
      <c r="C507" s="632"/>
      <c r="D507" s="259"/>
      <c r="E507" s="632"/>
    </row>
    <row r="508" spans="1:6" s="645" customFormat="1">
      <c r="A508" s="646"/>
      <c r="D508" s="943" t="s">
        <v>10604</v>
      </c>
      <c r="E508" s="942">
        <f>VLOOKUP(calcCh1Prod2Slot2Promo2Plan,dataPromoSeg4,1+MATCH(calcCh1Prod2Slot2Pack,dataPackNames,0),FALSE)</f>
        <v>16.288</v>
      </c>
      <c r="F508" s="645" t="s">
        <v>10843</v>
      </c>
    </row>
    <row r="509" spans="1:6" s="645" customFormat="1">
      <c r="A509" s="646"/>
      <c r="D509" s="943" t="s">
        <v>4412</v>
      </c>
      <c r="E509" s="942">
        <f>calcCh1Prod2Slot2Promo2Seg4Fit*VLOOKUP(calcCh1Prod2Slot2Promo2Weeks,dataPromoWeeksEffect,2,FALSE)</f>
        <v>45.606400000000001</v>
      </c>
      <c r="F509" s="645" t="s">
        <v>10844</v>
      </c>
    </row>
    <row r="510" spans="1:6" s="645" customFormat="1">
      <c r="A510" s="646"/>
      <c r="D510" s="948" t="s">
        <v>2975</v>
      </c>
      <c r="E510" s="946">
        <f>0.02*calcCh1Prod2Slot2Promo2Weeks+VLOOKUP(calcCh1Prod2Slot2Promo2Weeks,dataPromoWeeksShareEffect,2,FALSE)*calcCh1Prod2Slot2Promo2Seg4Fit</f>
        <v>0.27576879999999998</v>
      </c>
      <c r="F510" s="614" t="s">
        <v>11174</v>
      </c>
    </row>
    <row r="511" spans="1:6" s="645" customFormat="1">
      <c r="A511" s="646"/>
      <c r="D511" s="943"/>
    </row>
    <row r="512" spans="1:6" s="645" customFormat="1">
      <c r="A512" s="646"/>
      <c r="C512" s="769" t="s">
        <v>3860</v>
      </c>
    </row>
    <row r="513" spans="1:6" s="645" customFormat="1">
      <c r="A513" s="646"/>
      <c r="D513" s="769" t="s">
        <v>6111</v>
      </c>
      <c r="E513" s="441" t="str">
        <f>decCh1Prod2Slot3Promo1</f>
        <v>No Promotion</v>
      </c>
      <c r="F513" s="614" t="s">
        <v>5962</v>
      </c>
    </row>
    <row r="514" spans="1:6" s="645" customFormat="1">
      <c r="A514" s="646"/>
      <c r="D514" s="645" t="s">
        <v>5663</v>
      </c>
      <c r="E514" s="645">
        <f>IF(decCh1Prod2Slot3Promo1="No Promotion",0,decCh1Prod2Slot3Promo1Weeks)</f>
        <v>0</v>
      </c>
      <c r="F514" s="645" t="s">
        <v>10845</v>
      </c>
    </row>
    <row r="515" spans="1:6" s="645" customFormat="1">
      <c r="A515" s="646"/>
    </row>
    <row r="516" spans="1:6" s="645" customFormat="1">
      <c r="A516" s="646"/>
      <c r="D516" s="769" t="s">
        <v>241</v>
      </c>
    </row>
    <row r="517" spans="1:6" s="645" customFormat="1" ht="2.25" customHeight="1">
      <c r="A517" s="646"/>
      <c r="C517" s="632"/>
      <c r="D517" s="259"/>
      <c r="E517" s="632"/>
    </row>
    <row r="518" spans="1:6" s="645" customFormat="1">
      <c r="A518" s="646"/>
      <c r="D518" s="943" t="s">
        <v>10604</v>
      </c>
      <c r="E518" s="942">
        <f>VLOOKUP(calcCh1Prod2Slot3Promo1Plan,dataPromoSeg1,1+MATCH(calcCh1Prod2Slot3Pack,dataPackNames,0),FALSE)</f>
        <v>0</v>
      </c>
      <c r="F518" s="645" t="s">
        <v>10846</v>
      </c>
    </row>
    <row r="519" spans="1:6" s="645" customFormat="1">
      <c r="A519" s="646"/>
      <c r="D519" s="943" t="s">
        <v>4412</v>
      </c>
      <c r="E519" s="942">
        <f>calcCh1Prod2Slot3Promo1Seg1Fit*VLOOKUP(calcCh1Prod2Slot3Promo1Weeks,dataPromoWeeksEffect,2,FALSE)</f>
        <v>0</v>
      </c>
      <c r="F519" s="645" t="s">
        <v>10847</v>
      </c>
    </row>
    <row r="520" spans="1:6" s="645" customFormat="1">
      <c r="A520" s="646"/>
      <c r="D520" s="948" t="s">
        <v>2975</v>
      </c>
      <c r="E520" s="946">
        <f>0.02*calcCh1Prod2Slot3Promo1Weeks+VLOOKUP(calcCh1Prod2Slot3Promo1Weeks,dataPromoWeeksShareEffect,2,FALSE)*calcCh1Prod2Slot3Promo1Seg1Fit</f>
        <v>0</v>
      </c>
      <c r="F520" s="614" t="s">
        <v>11175</v>
      </c>
    </row>
    <row r="521" spans="1:6" s="645" customFormat="1">
      <c r="A521" s="646"/>
    </row>
    <row r="522" spans="1:6" s="645" customFormat="1">
      <c r="A522" s="646"/>
      <c r="D522" s="769" t="s">
        <v>242</v>
      </c>
    </row>
    <row r="523" spans="1:6" s="645" customFormat="1" ht="2.25" customHeight="1">
      <c r="A523" s="646"/>
      <c r="C523" s="632"/>
      <c r="D523" s="259"/>
      <c r="E523" s="632"/>
    </row>
    <row r="524" spans="1:6" s="645" customFormat="1">
      <c r="A524" s="646"/>
      <c r="D524" s="943" t="s">
        <v>10604</v>
      </c>
      <c r="E524" s="942">
        <f>VLOOKUP(calcCh1Prod2Slot3Promo1Plan,dataPromoSeg2,1+MATCH(calcCh1Prod2Slot3Pack,dataPackNames,0),FALSE)</f>
        <v>0</v>
      </c>
      <c r="F524" s="645" t="s">
        <v>10848</v>
      </c>
    </row>
    <row r="525" spans="1:6" s="645" customFormat="1">
      <c r="A525" s="646"/>
      <c r="D525" s="943" t="s">
        <v>4412</v>
      </c>
      <c r="E525" s="942">
        <f>calcCh1Prod2Slot3Promo1Seg2Fit*VLOOKUP(calcCh1Prod2Slot3Promo1Weeks,dataPromoWeeksEffect,2,FALSE)</f>
        <v>0</v>
      </c>
      <c r="F525" s="645" t="s">
        <v>10849</v>
      </c>
    </row>
    <row r="526" spans="1:6" s="645" customFormat="1">
      <c r="A526" s="646"/>
      <c r="D526" s="948" t="s">
        <v>2975</v>
      </c>
      <c r="E526" s="946">
        <f>0.02*calcCh1Prod2Slot3Promo1Weeks+VLOOKUP(calcCh1Prod2Slot3Promo1Weeks,dataPromoWeeksShareEffect,2,FALSE)*calcCh1Prod2Slot3Promo1Seg2Fit</f>
        <v>0</v>
      </c>
      <c r="F526" s="614" t="s">
        <v>11176</v>
      </c>
    </row>
    <row r="527" spans="1:6" s="645" customFormat="1">
      <c r="A527" s="646"/>
    </row>
    <row r="528" spans="1:6" s="645" customFormat="1">
      <c r="A528" s="646"/>
      <c r="D528" s="769" t="s">
        <v>4353</v>
      </c>
    </row>
    <row r="529" spans="1:6" s="645" customFormat="1" ht="2.25" customHeight="1">
      <c r="A529" s="646"/>
      <c r="C529" s="632"/>
      <c r="D529" s="259"/>
      <c r="E529" s="632"/>
    </row>
    <row r="530" spans="1:6" s="645" customFormat="1">
      <c r="A530" s="646"/>
      <c r="D530" s="943" t="s">
        <v>10604</v>
      </c>
      <c r="E530" s="942">
        <f>VLOOKUP(calcCh1Prod2Slot3Promo1Plan,dataPromoSeg3,1+MATCH(calcCh1Prod2Slot3Pack,dataPackNames,0),FALSE)</f>
        <v>0</v>
      </c>
      <c r="F530" s="645" t="s">
        <v>10850</v>
      </c>
    </row>
    <row r="531" spans="1:6" s="645" customFormat="1">
      <c r="A531" s="646"/>
      <c r="D531" s="943" t="s">
        <v>4412</v>
      </c>
      <c r="E531" s="942">
        <f>calcCh1Prod2Slot3Promo1Seg3Fit*VLOOKUP(calcCh1Prod2Slot3Promo1Weeks,dataPromoWeeksEffect,2,FALSE)</f>
        <v>0</v>
      </c>
      <c r="F531" s="645" t="s">
        <v>10851</v>
      </c>
    </row>
    <row r="532" spans="1:6" s="645" customFormat="1">
      <c r="A532" s="646"/>
      <c r="D532" s="948" t="s">
        <v>2975</v>
      </c>
      <c r="E532" s="946">
        <f>0.02*calcCh1Prod2Slot3Promo1Weeks+VLOOKUP(calcCh1Prod2Slot3Promo1Weeks,dataPromoWeeksShareEffect,2,FALSE)*calcCh1Prod2Slot3Promo1Seg3Fit</f>
        <v>0</v>
      </c>
      <c r="F532" s="614" t="s">
        <v>11177</v>
      </c>
    </row>
    <row r="533" spans="1:6" s="645" customFormat="1">
      <c r="A533" s="646"/>
    </row>
    <row r="534" spans="1:6" s="645" customFormat="1">
      <c r="A534" s="646"/>
      <c r="D534" s="769" t="s">
        <v>243</v>
      </c>
    </row>
    <row r="535" spans="1:6" s="645" customFormat="1" ht="2.25" customHeight="1">
      <c r="A535" s="646"/>
      <c r="C535" s="632"/>
      <c r="D535" s="259"/>
      <c r="E535" s="632"/>
    </row>
    <row r="536" spans="1:6" s="645" customFormat="1">
      <c r="A536" s="646"/>
      <c r="D536" s="943" t="s">
        <v>10604</v>
      </c>
      <c r="E536" s="942">
        <f>VLOOKUP(calcCh1Prod2Slot3Promo1Plan,dataPromoSeg4,1+MATCH(calcCh1Prod2Slot3Pack,dataPackNames,0),FALSE)</f>
        <v>0</v>
      </c>
      <c r="F536" s="645" t="s">
        <v>10852</v>
      </c>
    </row>
    <row r="537" spans="1:6" s="645" customFormat="1">
      <c r="A537" s="646"/>
      <c r="D537" s="943" t="s">
        <v>4412</v>
      </c>
      <c r="E537" s="942">
        <f>calcCh1Prod2Slot3Promo1Seg4Fit*VLOOKUP(calcCh1Prod2Slot3Promo1Weeks,dataPromoWeeksEffect,2,FALSE)</f>
        <v>0</v>
      </c>
      <c r="F537" s="645" t="s">
        <v>10853</v>
      </c>
    </row>
    <row r="538" spans="1:6" s="645" customFormat="1">
      <c r="A538" s="646"/>
      <c r="D538" s="948" t="s">
        <v>2975</v>
      </c>
      <c r="E538" s="946">
        <f>0.02*calcCh1Prod2Slot3Promo1Weeks+VLOOKUP(calcCh1Prod2Slot3Promo1Weeks,dataPromoWeeksShareEffect,2,FALSE)*calcCh1Prod2Slot3Promo1Seg4Fit</f>
        <v>0</v>
      </c>
      <c r="F538" s="614" t="s">
        <v>11178</v>
      </c>
    </row>
    <row r="539" spans="1:6" s="645" customFormat="1">
      <c r="A539" s="646"/>
      <c r="D539" s="943"/>
    </row>
    <row r="540" spans="1:6" s="645" customFormat="1">
      <c r="A540" s="646"/>
      <c r="D540" s="769" t="s">
        <v>6112</v>
      </c>
      <c r="E540" s="441" t="str">
        <f>decCh1Prod2Slot3Promo2</f>
        <v>No Promotion</v>
      </c>
      <c r="F540" s="614" t="s">
        <v>5964</v>
      </c>
    </row>
    <row r="541" spans="1:6" s="645" customFormat="1">
      <c r="A541" s="646"/>
      <c r="D541" s="645" t="s">
        <v>5663</v>
      </c>
      <c r="E541" s="645">
        <f>IF(decCh1Prod2Slot3Promo2="No Promotion",0,decCh1Prod2Slot3Promo2Weeks)</f>
        <v>0</v>
      </c>
      <c r="F541" s="645" t="s">
        <v>10854</v>
      </c>
    </row>
    <row r="542" spans="1:6" s="645" customFormat="1">
      <c r="A542" s="646"/>
    </row>
    <row r="543" spans="1:6" s="645" customFormat="1">
      <c r="A543" s="646"/>
      <c r="D543" s="769" t="s">
        <v>241</v>
      </c>
    </row>
    <row r="544" spans="1:6" s="645" customFormat="1" ht="2.25" customHeight="1">
      <c r="A544" s="646"/>
      <c r="C544" s="632"/>
      <c r="D544" s="259"/>
      <c r="E544" s="632"/>
    </row>
    <row r="545" spans="1:6" s="645" customFormat="1">
      <c r="A545" s="646"/>
      <c r="D545" s="943" t="s">
        <v>10604</v>
      </c>
      <c r="E545" s="942">
        <f>VLOOKUP(calcCh1Prod2Slot3Promo2Plan,dataPromoSeg1,1+MATCH(calcCh1Prod2Slot3Pack,dataPackNames,0),FALSE)</f>
        <v>0</v>
      </c>
      <c r="F545" s="645" t="s">
        <v>10855</v>
      </c>
    </row>
    <row r="546" spans="1:6" s="645" customFormat="1">
      <c r="A546" s="646"/>
      <c r="D546" s="943" t="s">
        <v>4412</v>
      </c>
      <c r="E546" s="942">
        <f>calcCh1Prod2Slot3Promo2Seg1Fit*VLOOKUP(calcCh1Prod2Slot3Promo2Weeks,dataPromoWeeksEffect,2,FALSE)</f>
        <v>0</v>
      </c>
      <c r="F546" s="645" t="s">
        <v>10856</v>
      </c>
    </row>
    <row r="547" spans="1:6" s="645" customFormat="1">
      <c r="A547" s="646"/>
      <c r="D547" s="948" t="s">
        <v>2975</v>
      </c>
      <c r="E547" s="946">
        <f>0.02*calcCh1Prod2Slot3Promo2Weeks+VLOOKUP(calcCh1Prod2Slot3Promo2Weeks,dataPromoWeeksShareEffect,2,FALSE)*calcCh1Prod2Slot3Promo2Seg1Fit</f>
        <v>0</v>
      </c>
      <c r="F547" s="614" t="s">
        <v>11179</v>
      </c>
    </row>
    <row r="548" spans="1:6" s="645" customFormat="1">
      <c r="A548" s="646"/>
      <c r="E548" s="946"/>
    </row>
    <row r="549" spans="1:6" s="645" customFormat="1">
      <c r="A549" s="646"/>
      <c r="D549" s="769" t="s">
        <v>242</v>
      </c>
    </row>
    <row r="550" spans="1:6" s="645" customFormat="1" ht="2.25" customHeight="1">
      <c r="A550" s="646"/>
      <c r="C550" s="632"/>
      <c r="D550" s="259"/>
      <c r="E550" s="632"/>
    </row>
    <row r="551" spans="1:6" s="645" customFormat="1">
      <c r="A551" s="646"/>
      <c r="D551" s="943" t="s">
        <v>10604</v>
      </c>
      <c r="E551" s="942">
        <f>VLOOKUP(calcCh1Prod2Slot3Promo2Plan,dataPromoSeg2,1+MATCH(calcCh1Prod2Slot3Pack,dataPackNames,0),FALSE)</f>
        <v>0</v>
      </c>
      <c r="F551" s="645" t="s">
        <v>10857</v>
      </c>
    </row>
    <row r="552" spans="1:6" s="645" customFormat="1">
      <c r="A552" s="646"/>
      <c r="D552" s="943" t="s">
        <v>4412</v>
      </c>
      <c r="E552" s="942">
        <f>calcCh1Prod2Slot3Promo2Seg2Fit*VLOOKUP(calcCh1Prod2Slot3Promo2Weeks,dataPromoWeeksEffect,2,FALSE)</f>
        <v>0</v>
      </c>
      <c r="F552" s="645" t="s">
        <v>10858</v>
      </c>
    </row>
    <row r="553" spans="1:6" s="645" customFormat="1">
      <c r="A553" s="646"/>
      <c r="D553" s="948" t="s">
        <v>2975</v>
      </c>
      <c r="E553" s="946">
        <f>0.02*calcCh1Prod2Slot3Promo2Weeks+VLOOKUP(calcCh1Prod2Slot3Promo2Weeks,dataPromoWeeksShareEffect,2,FALSE)*calcCh1Prod2Slot3Promo2Seg2Fit</f>
        <v>0</v>
      </c>
      <c r="F553" s="614" t="s">
        <v>11180</v>
      </c>
    </row>
    <row r="554" spans="1:6" s="645" customFormat="1">
      <c r="A554" s="646"/>
    </row>
    <row r="555" spans="1:6" s="645" customFormat="1">
      <c r="A555" s="646"/>
      <c r="D555" s="769" t="s">
        <v>4353</v>
      </c>
    </row>
    <row r="556" spans="1:6" s="645" customFormat="1" ht="2.25" customHeight="1">
      <c r="A556" s="646"/>
      <c r="C556" s="632"/>
      <c r="D556" s="259"/>
      <c r="E556" s="632"/>
    </row>
    <row r="557" spans="1:6" s="645" customFormat="1">
      <c r="A557" s="646"/>
      <c r="D557" s="943" t="s">
        <v>10604</v>
      </c>
      <c r="E557" s="942">
        <f>VLOOKUP(calcCh1Prod2Slot3Promo2Plan,dataPromoSeg3,1+MATCH(calcCh1Prod2Slot3Pack,dataPackNames,0),FALSE)</f>
        <v>0</v>
      </c>
      <c r="F557" s="645" t="s">
        <v>10859</v>
      </c>
    </row>
    <row r="558" spans="1:6" s="645" customFormat="1">
      <c r="A558" s="646"/>
      <c r="D558" s="943" t="s">
        <v>4412</v>
      </c>
      <c r="E558" s="942">
        <f>calcCh1Prod2Slot3Promo2Seg3Fit*VLOOKUP(calcCh1Prod2Slot3Promo2Weeks,dataPromoWeeksEffect,2,FALSE)</f>
        <v>0</v>
      </c>
      <c r="F558" s="645" t="s">
        <v>10860</v>
      </c>
    </row>
    <row r="559" spans="1:6" s="645" customFormat="1">
      <c r="A559" s="646"/>
      <c r="D559" s="948" t="s">
        <v>2975</v>
      </c>
      <c r="E559" s="946">
        <f>0.02*calcCh1Prod2Slot3Promo2Weeks+VLOOKUP(calcCh1Prod2Slot3Promo2Weeks,dataPromoWeeksShareEffect,2,FALSE)*calcCh1Prod2Slot3Promo2Seg3Fit</f>
        <v>0</v>
      </c>
      <c r="F559" s="614" t="s">
        <v>11181</v>
      </c>
    </row>
    <row r="560" spans="1:6" s="645" customFormat="1">
      <c r="A560" s="646"/>
    </row>
    <row r="561" spans="1:6" s="645" customFormat="1">
      <c r="A561" s="646"/>
      <c r="D561" s="769" t="s">
        <v>243</v>
      </c>
    </row>
    <row r="562" spans="1:6" s="645" customFormat="1" ht="2.25" customHeight="1">
      <c r="A562" s="646"/>
      <c r="C562" s="632"/>
      <c r="D562" s="259"/>
      <c r="E562" s="632"/>
    </row>
    <row r="563" spans="1:6" s="645" customFormat="1">
      <c r="A563" s="646"/>
      <c r="D563" s="943" t="s">
        <v>10604</v>
      </c>
      <c r="E563" s="942">
        <f>VLOOKUP(calcCh1Prod2Slot3Promo2Plan,dataPromoSeg4,1+MATCH(calcCh1Prod2Slot3Pack,dataPackNames,0),FALSE)</f>
        <v>0</v>
      </c>
      <c r="F563" s="645" t="s">
        <v>10861</v>
      </c>
    </row>
    <row r="564" spans="1:6" s="645" customFormat="1">
      <c r="A564" s="646"/>
      <c r="D564" s="943" t="s">
        <v>4412</v>
      </c>
      <c r="E564" s="942">
        <f>calcCh1Prod2Slot3Promo2Seg4Fit*VLOOKUP(calcCh1Prod2Slot3Promo2Weeks,dataPromoWeeksEffect,2,FALSE)</f>
        <v>0</v>
      </c>
      <c r="F564" s="645" t="s">
        <v>10862</v>
      </c>
    </row>
    <row r="565" spans="1:6" s="645" customFormat="1">
      <c r="A565" s="646"/>
      <c r="D565" s="948" t="s">
        <v>2975</v>
      </c>
      <c r="E565" s="946">
        <f>0.02*calcCh1Prod2Slot3Promo2Weeks+VLOOKUP(calcCh1Prod2Slot3Promo2Weeks,dataPromoWeeksShareEffect,2,FALSE)*calcCh1Prod2Slot3Promo2Seg4Fit</f>
        <v>0</v>
      </c>
      <c r="F565" s="614" t="s">
        <v>11182</v>
      </c>
    </row>
    <row r="566" spans="1:6" s="645" customFormat="1">
      <c r="A566" s="646"/>
      <c r="D566" s="943"/>
    </row>
    <row r="567" spans="1:6" s="645" customFormat="1">
      <c r="A567" s="646"/>
      <c r="B567" s="769" t="s">
        <v>239</v>
      </c>
    </row>
    <row r="568" spans="1:6" s="645" customFormat="1">
      <c r="A568" s="646"/>
      <c r="C568" s="769" t="s">
        <v>3859</v>
      </c>
    </row>
    <row r="569" spans="1:6" s="645" customFormat="1">
      <c r="A569" s="646"/>
      <c r="D569" s="769" t="s">
        <v>6111</v>
      </c>
      <c r="E569" s="441" t="str">
        <f>decCh1Prod3Slot1Promo1</f>
        <v>TPR 33%</v>
      </c>
      <c r="F569" s="614" t="s">
        <v>5942</v>
      </c>
    </row>
    <row r="570" spans="1:6" s="645" customFormat="1">
      <c r="A570" s="646"/>
      <c r="D570" s="645" t="s">
        <v>5663</v>
      </c>
      <c r="E570" s="645">
        <f>IF(decCh1Prod3Slot1Promo1="No Promotion",0,decCh1Prod3Slot1Promo1Weeks)</f>
        <v>2</v>
      </c>
      <c r="F570" s="645" t="s">
        <v>10755</v>
      </c>
    </row>
    <row r="571" spans="1:6" s="645" customFormat="1">
      <c r="A571" s="646"/>
    </row>
    <row r="572" spans="1:6" s="645" customFormat="1">
      <c r="A572" s="646"/>
      <c r="D572" s="769" t="s">
        <v>241</v>
      </c>
    </row>
    <row r="573" spans="1:6" s="645" customFormat="1" ht="2.25" customHeight="1">
      <c r="A573" s="646"/>
      <c r="C573" s="632"/>
      <c r="D573" s="259"/>
      <c r="E573" s="632"/>
    </row>
    <row r="574" spans="1:6" s="645" customFormat="1">
      <c r="A574" s="646"/>
      <c r="D574" s="943" t="s">
        <v>10604</v>
      </c>
      <c r="E574" s="942">
        <f>VLOOKUP(calcCh1Prod3Slot1Promo1Plan,dataPromoSeg1,1+MATCH(calcCh1Prod3Slot1Pack,dataPackNames,0),FALSE)</f>
        <v>8.7360000000000007</v>
      </c>
      <c r="F574" s="645" t="s">
        <v>10756</v>
      </c>
    </row>
    <row r="575" spans="1:6" s="645" customFormat="1">
      <c r="A575" s="646"/>
      <c r="D575" s="943" t="s">
        <v>4412</v>
      </c>
      <c r="E575" s="942">
        <f>calcCh1Prod3Slot1Promo1Seg1Fit*VLOOKUP(calcCh1Prod3Slot1Promo1Weeks,dataPromoWeeksEffect,2,FALSE)</f>
        <v>24.460799999999999</v>
      </c>
      <c r="F575" s="645" t="s">
        <v>10757</v>
      </c>
    </row>
    <row r="576" spans="1:6" s="645" customFormat="1">
      <c r="A576" s="646"/>
      <c r="D576" s="948" t="s">
        <v>2975</v>
      </c>
      <c r="E576" s="946">
        <f>0.02*calcCh1Prod3Slot1Promo1Weeks+VLOOKUP(calcCh1Prod3Slot1Promo1Weeks,dataPromoWeeksShareEffect,2,FALSE)*calcCh1Prod3Slot1Promo1Seg1Fit</f>
        <v>0.16645360000000001</v>
      </c>
      <c r="F576" s="614" t="s">
        <v>11183</v>
      </c>
    </row>
    <row r="577" spans="1:6" s="645" customFormat="1">
      <c r="A577" s="646"/>
    </row>
    <row r="578" spans="1:6" s="645" customFormat="1">
      <c r="A578" s="646"/>
      <c r="D578" s="769" t="s">
        <v>242</v>
      </c>
    </row>
    <row r="579" spans="1:6" s="645" customFormat="1" ht="2.25" customHeight="1">
      <c r="A579" s="646"/>
      <c r="C579" s="632"/>
      <c r="D579" s="259"/>
      <c r="E579" s="632"/>
    </row>
    <row r="580" spans="1:6" s="645" customFormat="1">
      <c r="A580" s="646"/>
      <c r="D580" s="943" t="s">
        <v>10604</v>
      </c>
      <c r="E580" s="942">
        <f>VLOOKUP(calcCh1Prod3Slot1Promo1Plan,dataPromoSeg2,1+MATCH(calcCh1Prod3Slot1Pack,dataPackNames,0),FALSE)</f>
        <v>9.7279999999999998</v>
      </c>
      <c r="F580" s="645" t="s">
        <v>10758</v>
      </c>
    </row>
    <row r="581" spans="1:6" s="645" customFormat="1">
      <c r="A581" s="646"/>
      <c r="D581" s="943" t="s">
        <v>4412</v>
      </c>
      <c r="E581" s="942">
        <f>calcCh1Prod3Slot1Promo1Seg2Fit*VLOOKUP(calcCh1Prod3Slot1Promo1Weeks,dataPromoWeeksEffect,2,FALSE)</f>
        <v>27.238399999999999</v>
      </c>
      <c r="F581" s="645" t="s">
        <v>10759</v>
      </c>
    </row>
    <row r="582" spans="1:6" s="645" customFormat="1">
      <c r="A582" s="646"/>
      <c r="D582" s="948" t="s">
        <v>2975</v>
      </c>
      <c r="E582" s="946">
        <f>0.02*calcCh1Prod3Slot1Promo1Weeks+VLOOKUP(calcCh1Prod3Slot1Promo1Weeks,dataPromoWeeksShareEffect,2,FALSE)*calcCh1Prod3Slot1Promo1Seg2Fit</f>
        <v>0.1808128</v>
      </c>
      <c r="F582" s="614" t="s">
        <v>11184</v>
      </c>
    </row>
    <row r="583" spans="1:6" s="645" customFormat="1">
      <c r="A583" s="646"/>
    </row>
    <row r="584" spans="1:6" s="645" customFormat="1">
      <c r="A584" s="646"/>
      <c r="D584" s="769" t="s">
        <v>4353</v>
      </c>
    </row>
    <row r="585" spans="1:6" s="645" customFormat="1" ht="2.25" customHeight="1">
      <c r="A585" s="646"/>
      <c r="C585" s="632"/>
      <c r="D585" s="259"/>
      <c r="E585" s="632"/>
    </row>
    <row r="586" spans="1:6" s="645" customFormat="1">
      <c r="A586" s="646"/>
      <c r="D586" s="943" t="s">
        <v>10604</v>
      </c>
      <c r="E586" s="942">
        <f>VLOOKUP(calcCh1Prod3Slot1Promo1Plan,dataPromoSeg3,1+MATCH(calcCh1Prod3Slot1Pack,dataPackNames,0),FALSE)</f>
        <v>9.8239999999999998</v>
      </c>
      <c r="F586" s="645" t="s">
        <v>10760</v>
      </c>
    </row>
    <row r="587" spans="1:6" s="645" customFormat="1">
      <c r="A587" s="646"/>
      <c r="D587" s="943" t="s">
        <v>4412</v>
      </c>
      <c r="E587" s="942">
        <f>calcCh1Prod3Slot1Promo1Seg3Fit*VLOOKUP(calcCh1Prod3Slot1Promo1Weeks,dataPromoWeeksEffect,2,FALSE)</f>
        <v>27.507199999999997</v>
      </c>
      <c r="F587" s="645" t="s">
        <v>10761</v>
      </c>
    </row>
    <row r="588" spans="1:6" s="645" customFormat="1">
      <c r="A588" s="646"/>
      <c r="D588" s="948" t="s">
        <v>2975</v>
      </c>
      <c r="E588" s="946">
        <f>0.02*calcCh1Prod3Slot1Promo1Weeks+VLOOKUP(calcCh1Prod3Slot1Promo1Weeks,dataPromoWeeksShareEffect,2,FALSE)*calcCh1Prod3Slot1Promo1Seg3Fit</f>
        <v>0.18220240000000001</v>
      </c>
      <c r="F588" s="614" t="s">
        <v>11185</v>
      </c>
    </row>
    <row r="589" spans="1:6" s="645" customFormat="1">
      <c r="A589" s="646"/>
    </row>
    <row r="590" spans="1:6" s="645" customFormat="1">
      <c r="A590" s="646"/>
      <c r="D590" s="769" t="s">
        <v>243</v>
      </c>
    </row>
    <row r="591" spans="1:6" s="645" customFormat="1" ht="2.25" customHeight="1">
      <c r="A591" s="646"/>
      <c r="C591" s="632"/>
      <c r="D591" s="259"/>
      <c r="E591" s="632"/>
    </row>
    <row r="592" spans="1:6" s="645" customFormat="1">
      <c r="A592" s="646"/>
      <c r="D592" s="943" t="s">
        <v>10604</v>
      </c>
      <c r="E592" s="942">
        <f>VLOOKUP(calcCh1Prod3Slot1Promo1Plan,dataPromoSeg4,1+MATCH(calcCh1Prod3Slot1Pack,dataPackNames,0),FALSE)</f>
        <v>9.2480000000000011</v>
      </c>
      <c r="F592" s="645" t="s">
        <v>10762</v>
      </c>
    </row>
    <row r="593" spans="1:6" s="645" customFormat="1">
      <c r="A593" s="646"/>
      <c r="D593" s="943" t="s">
        <v>4412</v>
      </c>
      <c r="E593" s="942">
        <f>calcCh1Prod3Slot1Promo1Seg4Fit*VLOOKUP(calcCh1Prod3Slot1Promo1Weeks,dataPromoWeeksEffect,2,FALSE)</f>
        <v>25.894400000000001</v>
      </c>
      <c r="F593" s="645" t="s">
        <v>10763</v>
      </c>
    </row>
    <row r="594" spans="1:6" s="645" customFormat="1">
      <c r="A594" s="646"/>
      <c r="D594" s="948" t="s">
        <v>2975</v>
      </c>
      <c r="E594" s="946">
        <f>0.02*calcCh1Prod3Slot1Promo1Weeks+VLOOKUP(calcCh1Prod3Slot1Promo1Weeks,dataPromoWeeksShareEffect,2,FALSE)*calcCh1Prod3Slot1Promo1Seg4Fit</f>
        <v>0.17386480000000001</v>
      </c>
      <c r="F594" s="614" t="s">
        <v>11186</v>
      </c>
    </row>
    <row r="595" spans="1:6" s="645" customFormat="1">
      <c r="A595" s="646"/>
      <c r="D595" s="943"/>
    </row>
    <row r="596" spans="1:6" s="645" customFormat="1">
      <c r="A596" s="646"/>
      <c r="D596" s="769" t="s">
        <v>6112</v>
      </c>
      <c r="E596" s="441" t="str">
        <f>decCh1Prod3Slot1Promo2</f>
        <v>No Promotion</v>
      </c>
      <c r="F596" s="614" t="s">
        <v>5944</v>
      </c>
    </row>
    <row r="597" spans="1:6" s="645" customFormat="1">
      <c r="A597" s="646"/>
      <c r="D597" s="645" t="s">
        <v>5663</v>
      </c>
      <c r="E597" s="645">
        <f>IF(decCh1Prod3Slot1Promo2="No Promotion",0,decCh1Prod3Slot1Promo2Weeks)</f>
        <v>0</v>
      </c>
      <c r="F597" s="645" t="s">
        <v>10764</v>
      </c>
    </row>
    <row r="598" spans="1:6" s="645" customFormat="1">
      <c r="A598" s="646"/>
    </row>
    <row r="599" spans="1:6" s="645" customFormat="1">
      <c r="A599" s="646"/>
      <c r="D599" s="769" t="s">
        <v>241</v>
      </c>
    </row>
    <row r="600" spans="1:6" s="645" customFormat="1" ht="2.25" customHeight="1">
      <c r="A600" s="646"/>
      <c r="C600" s="632"/>
      <c r="D600" s="259"/>
      <c r="E600" s="632"/>
    </row>
    <row r="601" spans="1:6" s="645" customFormat="1">
      <c r="A601" s="646"/>
      <c r="D601" s="943" t="s">
        <v>10604</v>
      </c>
      <c r="E601" s="942">
        <f>VLOOKUP(calcCh1Prod3Slot1Promo2Plan,dataPromoSeg1,1+MATCH(calcCh1Prod3Slot1Pack,dataPackNames,0),FALSE)</f>
        <v>0</v>
      </c>
      <c r="F601" s="645" t="s">
        <v>10765</v>
      </c>
    </row>
    <row r="602" spans="1:6" s="645" customFormat="1">
      <c r="A602" s="646"/>
      <c r="D602" s="943" t="s">
        <v>4412</v>
      </c>
      <c r="E602" s="942">
        <f>calcCh1Prod3Slot1Promo2Seg1Fit*VLOOKUP(calcCh1Prod3Slot1Promo2Weeks,dataPromoWeeksEffect,2,FALSE)</f>
        <v>0</v>
      </c>
      <c r="F602" s="645" t="s">
        <v>10766</v>
      </c>
    </row>
    <row r="603" spans="1:6" s="645" customFormat="1">
      <c r="A603" s="646"/>
      <c r="D603" s="948" t="s">
        <v>2975</v>
      </c>
      <c r="E603" s="946">
        <f>0.02*calcCh1Prod3Slot1Promo2Weeks+VLOOKUP(calcCh1Prod3Slot1Promo2Weeks,dataPromoWeeksShareEffect,2,FALSE)*calcCh1Prod3Slot1Promo2Seg1Fit</f>
        <v>0</v>
      </c>
      <c r="F603" s="614" t="s">
        <v>11187</v>
      </c>
    </row>
    <row r="604" spans="1:6" s="645" customFormat="1">
      <c r="A604" s="646"/>
      <c r="E604" s="946"/>
    </row>
    <row r="605" spans="1:6" s="645" customFormat="1">
      <c r="A605" s="646"/>
      <c r="D605" s="769" t="s">
        <v>242</v>
      </c>
    </row>
    <row r="606" spans="1:6" s="645" customFormat="1" ht="2.25" customHeight="1">
      <c r="A606" s="646"/>
      <c r="C606" s="632"/>
      <c r="D606" s="259"/>
      <c r="E606" s="632"/>
    </row>
    <row r="607" spans="1:6" s="645" customFormat="1">
      <c r="A607" s="646"/>
      <c r="D607" s="943" t="s">
        <v>10604</v>
      </c>
      <c r="E607" s="942">
        <f>VLOOKUP(calcCh1Prod3Slot1Promo2Plan,dataPromoSeg2,1+MATCH(calcCh1Prod3Slot1Pack,dataPackNames,0),FALSE)</f>
        <v>0</v>
      </c>
      <c r="F607" s="645" t="s">
        <v>10767</v>
      </c>
    </row>
    <row r="608" spans="1:6" s="645" customFormat="1">
      <c r="A608" s="646"/>
      <c r="D608" s="943" t="s">
        <v>4412</v>
      </c>
      <c r="E608" s="942">
        <f>calcCh1Prod3Slot1Promo2Seg2Fit*VLOOKUP(calcCh1Prod3Slot1Promo2Weeks,dataPromoWeeksEffect,2,FALSE)</f>
        <v>0</v>
      </c>
      <c r="F608" s="645" t="s">
        <v>10768</v>
      </c>
    </row>
    <row r="609" spans="1:6" s="645" customFormat="1">
      <c r="A609" s="646"/>
      <c r="D609" s="948" t="s">
        <v>2975</v>
      </c>
      <c r="E609" s="946">
        <f>0.02*calcCh1Prod3Slot1Promo2Weeks+VLOOKUP(calcCh1Prod3Slot1Promo2Weeks,dataPromoWeeksShareEffect,2,FALSE)*calcCh1Prod3Slot1Promo2Seg2Fit</f>
        <v>0</v>
      </c>
      <c r="F609" s="614" t="s">
        <v>11188</v>
      </c>
    </row>
    <row r="610" spans="1:6" s="645" customFormat="1">
      <c r="A610" s="646"/>
    </row>
    <row r="611" spans="1:6" s="645" customFormat="1">
      <c r="A611" s="646"/>
      <c r="D611" s="769" t="s">
        <v>4353</v>
      </c>
    </row>
    <row r="612" spans="1:6" s="645" customFormat="1" ht="2.25" customHeight="1">
      <c r="A612" s="646"/>
      <c r="C612" s="632"/>
      <c r="D612" s="259"/>
      <c r="E612" s="632"/>
    </row>
    <row r="613" spans="1:6" s="645" customFormat="1">
      <c r="A613" s="646"/>
      <c r="D613" s="943" t="s">
        <v>10604</v>
      </c>
      <c r="E613" s="942">
        <f>VLOOKUP(calcCh1Prod3Slot1Promo2Plan,dataPromoSeg3,1+MATCH(calcCh1Prod3Slot1Pack,dataPackNames,0),FALSE)</f>
        <v>0</v>
      </c>
      <c r="F613" s="645" t="s">
        <v>10769</v>
      </c>
    </row>
    <row r="614" spans="1:6" s="645" customFormat="1">
      <c r="A614" s="646"/>
      <c r="D614" s="943" t="s">
        <v>4412</v>
      </c>
      <c r="E614" s="942">
        <f>calcCh1Prod3Slot1Promo2Seg3Fit*VLOOKUP(calcCh1Prod3Slot1Promo2Weeks,dataPromoWeeksEffect,2,FALSE)</f>
        <v>0</v>
      </c>
      <c r="F614" s="645" t="s">
        <v>10770</v>
      </c>
    </row>
    <row r="615" spans="1:6" s="645" customFormat="1">
      <c r="A615" s="646"/>
      <c r="D615" s="948" t="s">
        <v>2975</v>
      </c>
      <c r="E615" s="946">
        <f>0.02*calcCh1Prod3Slot1Promo2Weeks+VLOOKUP(calcCh1Prod3Slot1Promo2Weeks,dataPromoWeeksShareEffect,2,FALSE)*calcCh1Prod3Slot1Promo2Seg3Fit</f>
        <v>0</v>
      </c>
      <c r="F615" s="614" t="s">
        <v>11189</v>
      </c>
    </row>
    <row r="616" spans="1:6" s="645" customFormat="1">
      <c r="A616" s="646"/>
    </row>
    <row r="617" spans="1:6" s="645" customFormat="1">
      <c r="A617" s="646"/>
      <c r="D617" s="769" t="s">
        <v>243</v>
      </c>
    </row>
    <row r="618" spans="1:6" s="645" customFormat="1" ht="2.25" customHeight="1">
      <c r="A618" s="646"/>
      <c r="C618" s="632"/>
      <c r="D618" s="259"/>
      <c r="E618" s="632"/>
    </row>
    <row r="619" spans="1:6" s="645" customFormat="1">
      <c r="A619" s="646"/>
      <c r="D619" s="943" t="s">
        <v>10604</v>
      </c>
      <c r="E619" s="942">
        <f>VLOOKUP(calcCh1Prod3Slot1Promo2Plan,dataPromoSeg4,1+MATCH(calcCh1Prod3Slot1Pack,dataPackNames,0),FALSE)</f>
        <v>0</v>
      </c>
      <c r="F619" s="645" t="s">
        <v>10771</v>
      </c>
    </row>
    <row r="620" spans="1:6" s="645" customFormat="1">
      <c r="A620" s="646"/>
      <c r="D620" s="943" t="s">
        <v>4412</v>
      </c>
      <c r="E620" s="942">
        <f>calcCh1Prod3Slot1Promo2Seg4Fit*VLOOKUP(calcCh1Prod3Slot1Promo2Weeks,dataPromoWeeksEffect,2,FALSE)</f>
        <v>0</v>
      </c>
      <c r="F620" s="645" t="s">
        <v>10772</v>
      </c>
    </row>
    <row r="621" spans="1:6" s="645" customFormat="1">
      <c r="A621" s="646"/>
      <c r="D621" s="948" t="s">
        <v>2975</v>
      </c>
      <c r="E621" s="946">
        <f>0.02*calcCh1Prod3Slot1Promo2Weeks+VLOOKUP(calcCh1Prod3Slot1Promo2Weeks,dataPromoWeeksShareEffect,2,FALSE)*calcCh1Prod3Slot1Promo2Seg4Fit</f>
        <v>0</v>
      </c>
      <c r="F621" s="614" t="s">
        <v>11190</v>
      </c>
    </row>
    <row r="622" spans="1:6" s="645" customFormat="1">
      <c r="A622" s="646"/>
      <c r="D622" s="943"/>
    </row>
    <row r="623" spans="1:6" s="645" customFormat="1">
      <c r="A623" s="646"/>
      <c r="C623" s="769" t="s">
        <v>3858</v>
      </c>
    </row>
    <row r="624" spans="1:6" s="645" customFormat="1">
      <c r="A624" s="646"/>
      <c r="D624" s="769" t="s">
        <v>6111</v>
      </c>
      <c r="E624" s="441" t="str">
        <f>decCh1Prod3Slot2Promo1</f>
        <v>TPR 20%</v>
      </c>
      <c r="F624" s="614" t="s">
        <v>5946</v>
      </c>
    </row>
    <row r="625" spans="1:6" s="645" customFormat="1">
      <c r="A625" s="646"/>
      <c r="D625" s="645" t="s">
        <v>5663</v>
      </c>
      <c r="E625" s="645">
        <f>IF(decCh1Prod3Slot2Promo1="No Promotion",0,decCh1Prod3Slot2Promo1Weeks)</f>
        <v>3</v>
      </c>
      <c r="F625" s="645" t="s">
        <v>10773</v>
      </c>
    </row>
    <row r="626" spans="1:6" s="645" customFormat="1">
      <c r="A626" s="646"/>
    </row>
    <row r="627" spans="1:6" s="645" customFormat="1">
      <c r="A627" s="646"/>
      <c r="D627" s="769" t="s">
        <v>241</v>
      </c>
    </row>
    <row r="628" spans="1:6" s="645" customFormat="1" ht="2.25" customHeight="1">
      <c r="A628" s="646"/>
      <c r="C628" s="632"/>
      <c r="D628" s="259"/>
      <c r="E628" s="632"/>
    </row>
    <row r="629" spans="1:6" s="645" customFormat="1">
      <c r="A629" s="646"/>
      <c r="D629" s="943" t="s">
        <v>10604</v>
      </c>
      <c r="E629" s="942">
        <f>VLOOKUP(calcCh1Prod3Slot2Promo1Plan,dataPromoSeg1,1+MATCH(calcCh1Prod3Slot2Pack,dataPackNames,0),FALSE)</f>
        <v>4.4600000000000009</v>
      </c>
      <c r="F629" s="645" t="s">
        <v>10774</v>
      </c>
    </row>
    <row r="630" spans="1:6" s="645" customFormat="1">
      <c r="A630" s="646"/>
      <c r="D630" s="943" t="s">
        <v>4412</v>
      </c>
      <c r="E630" s="942">
        <f>calcCh1Prod3Slot2Promo1Seg1Fit*VLOOKUP(calcCh1Prod3Slot2Promo1Weeks,dataPromoWeeksEffect,2,FALSE)</f>
        <v>19.713200000000004</v>
      </c>
      <c r="F630" s="645" t="s">
        <v>10775</v>
      </c>
    </row>
    <row r="631" spans="1:6" s="645" customFormat="1">
      <c r="A631" s="646"/>
      <c r="D631" s="948" t="s">
        <v>2975</v>
      </c>
      <c r="E631" s="946">
        <f>0.02*calcCh1Prod3Slot2Promo1Weeks+VLOOKUP(calcCh1Prod3Slot2Promo1Weeks,dataPromoWeeksShareEffect,2,FALSE)*calcCh1Prod3Slot2Promo1Seg1Fit</f>
        <v>0.14242135750000001</v>
      </c>
      <c r="F631" s="614" t="s">
        <v>11191</v>
      </c>
    </row>
    <row r="632" spans="1:6" s="645" customFormat="1">
      <c r="A632" s="646"/>
    </row>
    <row r="633" spans="1:6" s="645" customFormat="1">
      <c r="A633" s="646"/>
      <c r="D633" s="769" t="s">
        <v>242</v>
      </c>
    </row>
    <row r="634" spans="1:6" s="645" customFormat="1" ht="2.25" customHeight="1">
      <c r="A634" s="646"/>
      <c r="C634" s="632"/>
      <c r="D634" s="259"/>
      <c r="E634" s="632"/>
    </row>
    <row r="635" spans="1:6" s="645" customFormat="1">
      <c r="A635" s="646"/>
      <c r="D635" s="943" t="s">
        <v>10604</v>
      </c>
      <c r="E635" s="942">
        <f>VLOOKUP(calcCh1Prod3Slot2Promo1Plan,dataPromoSeg2,1+MATCH(calcCh1Prod3Slot2Pack,dataPackNames,0),FALSE)</f>
        <v>5.08</v>
      </c>
      <c r="F635" s="645" t="s">
        <v>10776</v>
      </c>
    </row>
    <row r="636" spans="1:6" s="645" customFormat="1">
      <c r="A636" s="646"/>
      <c r="D636" s="943" t="s">
        <v>4412</v>
      </c>
      <c r="E636" s="942">
        <f>calcCh1Prod3Slot2Promo1Seg2Fit*VLOOKUP(calcCh1Prod3Slot2Promo1Weeks,dataPromoWeeksEffect,2,FALSE)</f>
        <v>22.453600000000002</v>
      </c>
      <c r="F636" s="645" t="s">
        <v>10777</v>
      </c>
    </row>
    <row r="637" spans="1:6" s="645" customFormat="1">
      <c r="A637" s="646"/>
      <c r="D637" s="948" t="s">
        <v>2975</v>
      </c>
      <c r="E637" s="946">
        <f>0.02*calcCh1Prod3Slot2Promo1Weeks+VLOOKUP(calcCh1Prod3Slot2Promo1Weeks,dataPromoWeeksShareEffect,2,FALSE)*calcCh1Prod3Slot2Promo1Seg2Fit</f>
        <v>0.153879035</v>
      </c>
      <c r="F637" s="614" t="s">
        <v>11192</v>
      </c>
    </row>
    <row r="638" spans="1:6" s="645" customFormat="1">
      <c r="A638" s="646"/>
    </row>
    <row r="639" spans="1:6" s="645" customFormat="1">
      <c r="A639" s="646"/>
      <c r="D639" s="769" t="s">
        <v>4353</v>
      </c>
    </row>
    <row r="640" spans="1:6" s="645" customFormat="1" ht="2.25" customHeight="1">
      <c r="A640" s="646"/>
      <c r="C640" s="632"/>
      <c r="D640" s="259"/>
      <c r="E640" s="632"/>
    </row>
    <row r="641" spans="1:6" s="645" customFormat="1">
      <c r="A641" s="646"/>
      <c r="D641" s="943" t="s">
        <v>10604</v>
      </c>
      <c r="E641" s="942">
        <f>VLOOKUP(calcCh1Prod3Slot2Promo1Plan,dataPromoSeg3,1+MATCH(calcCh1Prod3Slot2Pack,dataPackNames,0),FALSE)</f>
        <v>5.1400000000000006</v>
      </c>
      <c r="F641" s="645" t="s">
        <v>10778</v>
      </c>
    </row>
    <row r="642" spans="1:6" s="645" customFormat="1">
      <c r="A642" s="646"/>
      <c r="D642" s="943" t="s">
        <v>4412</v>
      </c>
      <c r="E642" s="942">
        <f>calcCh1Prod3Slot2Promo1Seg3Fit*VLOOKUP(calcCh1Prod3Slot2Promo1Weeks,dataPromoWeeksEffect,2,FALSE)</f>
        <v>22.718800000000002</v>
      </c>
      <c r="F642" s="645" t="s">
        <v>10779</v>
      </c>
    </row>
    <row r="643" spans="1:6" s="645" customFormat="1">
      <c r="A643" s="646"/>
      <c r="D643" s="948" t="s">
        <v>2975</v>
      </c>
      <c r="E643" s="946">
        <f>0.02*calcCh1Prod3Slot2Promo1Weeks+VLOOKUP(calcCh1Prod3Slot2Promo1Weeks,dataPromoWeeksShareEffect,2,FALSE)*calcCh1Prod3Slot2Promo1Seg3Fit</f>
        <v>0.15498784250000003</v>
      </c>
      <c r="F643" s="614" t="s">
        <v>11193</v>
      </c>
    </row>
    <row r="644" spans="1:6" s="645" customFormat="1">
      <c r="A644" s="646"/>
    </row>
    <row r="645" spans="1:6" s="645" customFormat="1">
      <c r="A645" s="646"/>
      <c r="D645" s="769" t="s">
        <v>243</v>
      </c>
    </row>
    <row r="646" spans="1:6" s="645" customFormat="1" ht="2.25" customHeight="1">
      <c r="A646" s="646"/>
      <c r="C646" s="632"/>
      <c r="D646" s="259"/>
      <c r="E646" s="632"/>
    </row>
    <row r="647" spans="1:6" s="645" customFormat="1">
      <c r="A647" s="646"/>
      <c r="D647" s="943" t="s">
        <v>10604</v>
      </c>
      <c r="E647" s="942">
        <f>VLOOKUP(calcCh1Prod3Slot2Promo1Plan,dataPromoSeg4,1+MATCH(calcCh1Prod3Slot2Pack,dataPackNames,0),FALSE)</f>
        <v>4.7799999999999994</v>
      </c>
      <c r="F647" s="645" t="s">
        <v>10780</v>
      </c>
    </row>
    <row r="648" spans="1:6" s="645" customFormat="1">
      <c r="A648" s="646"/>
      <c r="D648" s="943" t="s">
        <v>4412</v>
      </c>
      <c r="E648" s="942">
        <f>calcCh1Prod3Slot2Promo1Seg4Fit*VLOOKUP(calcCh1Prod3Slot2Promo1Weeks,dataPromoWeeksEffect,2,FALSE)</f>
        <v>21.127599999999997</v>
      </c>
      <c r="F648" s="645" t="s">
        <v>10781</v>
      </c>
    </row>
    <row r="649" spans="1:6" s="645" customFormat="1">
      <c r="A649" s="646"/>
      <c r="D649" s="948" t="s">
        <v>2975</v>
      </c>
      <c r="E649" s="946">
        <f>0.02*calcCh1Prod3Slot2Promo1Weeks+VLOOKUP(calcCh1Prod3Slot2Promo1Weeks,dataPromoWeeksShareEffect,2,FALSE)*calcCh1Prod3Slot2Promo1Seg4Fit</f>
        <v>0.14833499749999998</v>
      </c>
      <c r="F649" s="614" t="s">
        <v>11194</v>
      </c>
    </row>
    <row r="650" spans="1:6" s="645" customFormat="1">
      <c r="A650" s="646"/>
      <c r="D650" s="943"/>
    </row>
    <row r="651" spans="1:6" s="645" customFormat="1">
      <c r="A651" s="646"/>
      <c r="D651" s="769" t="s">
        <v>6112</v>
      </c>
      <c r="E651" s="441" t="str">
        <f>decCh1Prod3Slot2Promo2</f>
        <v>No Promotion</v>
      </c>
      <c r="F651" s="614" t="s">
        <v>5948</v>
      </c>
    </row>
    <row r="652" spans="1:6" s="645" customFormat="1">
      <c r="A652" s="646"/>
      <c r="D652" s="645" t="s">
        <v>5663</v>
      </c>
      <c r="E652" s="645">
        <f>IF(decCh1Prod3Slot2Promo2="No Promotion",0,decCh1Prod3Slot2Promo2Weeks)</f>
        <v>0</v>
      </c>
      <c r="F652" s="645" t="s">
        <v>10782</v>
      </c>
    </row>
    <row r="653" spans="1:6" s="645" customFormat="1">
      <c r="A653" s="646"/>
    </row>
    <row r="654" spans="1:6" s="645" customFormat="1">
      <c r="A654" s="646"/>
      <c r="D654" s="769" t="s">
        <v>241</v>
      </c>
    </row>
    <row r="655" spans="1:6" s="645" customFormat="1" ht="2.25" customHeight="1">
      <c r="A655" s="646"/>
      <c r="C655" s="632"/>
      <c r="D655" s="259"/>
      <c r="E655" s="632"/>
    </row>
    <row r="656" spans="1:6" s="645" customFormat="1">
      <c r="A656" s="646"/>
      <c r="D656" s="943" t="s">
        <v>10604</v>
      </c>
      <c r="E656" s="942">
        <f>VLOOKUP(calcCh1Prod3Slot2Promo2Plan,dataPromoSeg1,1+MATCH(calcCh1Prod3Slot2Pack,dataPackNames,0),FALSE)</f>
        <v>0</v>
      </c>
      <c r="F656" s="645" t="s">
        <v>10783</v>
      </c>
    </row>
    <row r="657" spans="1:6" s="645" customFormat="1">
      <c r="A657" s="646"/>
      <c r="D657" s="943" t="s">
        <v>4412</v>
      </c>
      <c r="E657" s="942">
        <f>calcCh1Prod3Slot2Promo2Seg1Fit*VLOOKUP(calcCh1Prod3Slot2Promo2Weeks,dataPromoWeeksEffect,2,FALSE)</f>
        <v>0</v>
      </c>
      <c r="F657" s="645" t="s">
        <v>10784</v>
      </c>
    </row>
    <row r="658" spans="1:6" s="645" customFormat="1">
      <c r="A658" s="646"/>
      <c r="D658" s="948" t="s">
        <v>2975</v>
      </c>
      <c r="E658" s="946">
        <f>0.02*calcCh1Prod3Slot2Promo2Weeks+VLOOKUP(calcCh1Prod3Slot2Promo2Weeks,dataPromoWeeksShareEffect,2,FALSE)*calcCh1Prod3Slot2Promo2Seg1Fit</f>
        <v>0</v>
      </c>
      <c r="F658" s="614" t="s">
        <v>11195</v>
      </c>
    </row>
    <row r="659" spans="1:6" s="645" customFormat="1">
      <c r="A659" s="646"/>
      <c r="E659" s="946"/>
    </row>
    <row r="660" spans="1:6" s="645" customFormat="1">
      <c r="A660" s="646"/>
      <c r="D660" s="769" t="s">
        <v>242</v>
      </c>
    </row>
    <row r="661" spans="1:6" s="645" customFormat="1" ht="2.25" customHeight="1">
      <c r="A661" s="646"/>
      <c r="C661" s="632"/>
      <c r="D661" s="259"/>
      <c r="E661" s="632"/>
    </row>
    <row r="662" spans="1:6" s="645" customFormat="1">
      <c r="A662" s="646"/>
      <c r="D662" s="943" t="s">
        <v>10604</v>
      </c>
      <c r="E662" s="942">
        <f>VLOOKUP(calcCh1Prod3Slot2Promo2Plan,dataPromoSeg2,1+MATCH(calcCh1Prod3Slot2Pack,dataPackNames,0),FALSE)</f>
        <v>0</v>
      </c>
      <c r="F662" s="645" t="s">
        <v>10785</v>
      </c>
    </row>
    <row r="663" spans="1:6" s="645" customFormat="1">
      <c r="A663" s="646"/>
      <c r="D663" s="943" t="s">
        <v>4412</v>
      </c>
      <c r="E663" s="942">
        <f>calcCh1Prod3Slot2Promo2Seg2Fit*VLOOKUP(calcCh1Prod3Slot2Promo2Weeks,dataPromoWeeksEffect,2,FALSE)</f>
        <v>0</v>
      </c>
      <c r="F663" s="645" t="s">
        <v>10786</v>
      </c>
    </row>
    <row r="664" spans="1:6" s="645" customFormat="1">
      <c r="A664" s="646"/>
      <c r="D664" s="948" t="s">
        <v>2975</v>
      </c>
      <c r="E664" s="946">
        <f>0.02*calcCh1Prod3Slot2Promo2Weeks+VLOOKUP(calcCh1Prod3Slot2Promo2Weeks,dataPromoWeeksShareEffect,2,FALSE)*calcCh1Prod3Slot2Promo2Seg2Fit</f>
        <v>0</v>
      </c>
      <c r="F664" s="614" t="s">
        <v>11196</v>
      </c>
    </row>
    <row r="665" spans="1:6" s="645" customFormat="1">
      <c r="A665" s="646"/>
    </row>
    <row r="666" spans="1:6" s="645" customFormat="1">
      <c r="A666" s="646"/>
      <c r="D666" s="769" t="s">
        <v>4353</v>
      </c>
    </row>
    <row r="667" spans="1:6" s="645" customFormat="1" ht="2.25" customHeight="1">
      <c r="A667" s="646"/>
      <c r="C667" s="632"/>
      <c r="D667" s="259"/>
      <c r="E667" s="632"/>
    </row>
    <row r="668" spans="1:6" s="645" customFormat="1">
      <c r="A668" s="646"/>
      <c r="D668" s="943" t="s">
        <v>10604</v>
      </c>
      <c r="E668" s="942">
        <f>VLOOKUP(calcCh1Prod3Slot2Promo2Plan,dataPromoSeg3,1+MATCH(calcCh1Prod3Slot2Pack,dataPackNames,0),FALSE)</f>
        <v>0</v>
      </c>
      <c r="F668" s="645" t="s">
        <v>10787</v>
      </c>
    </row>
    <row r="669" spans="1:6" s="645" customFormat="1">
      <c r="A669" s="646"/>
      <c r="D669" s="943" t="s">
        <v>4412</v>
      </c>
      <c r="E669" s="942">
        <f>calcCh1Prod3Slot2Promo2Seg3Fit*VLOOKUP(calcCh1Prod3Slot2Promo2Weeks,dataPromoWeeksEffect,2,FALSE)</f>
        <v>0</v>
      </c>
      <c r="F669" s="645" t="s">
        <v>10788</v>
      </c>
    </row>
    <row r="670" spans="1:6" s="645" customFormat="1">
      <c r="A670" s="646"/>
      <c r="D670" s="948" t="s">
        <v>2975</v>
      </c>
      <c r="E670" s="946">
        <f>0.02*calcCh1Prod3Slot2Promo2Weeks+VLOOKUP(calcCh1Prod3Slot2Promo2Weeks,dataPromoWeeksShareEffect,2,FALSE)*calcCh1Prod3Slot2Promo2Seg3Fit</f>
        <v>0</v>
      </c>
      <c r="F670" s="614" t="s">
        <v>11197</v>
      </c>
    </row>
    <row r="671" spans="1:6" s="645" customFormat="1">
      <c r="A671" s="646"/>
    </row>
    <row r="672" spans="1:6" s="645" customFormat="1">
      <c r="A672" s="646"/>
      <c r="D672" s="769" t="s">
        <v>243</v>
      </c>
    </row>
    <row r="673" spans="1:6" s="645" customFormat="1" ht="2.25" customHeight="1">
      <c r="A673" s="646"/>
      <c r="C673" s="632"/>
      <c r="D673" s="259"/>
      <c r="E673" s="632"/>
    </row>
    <row r="674" spans="1:6" s="645" customFormat="1">
      <c r="A674" s="646"/>
      <c r="D674" s="943" t="s">
        <v>10604</v>
      </c>
      <c r="E674" s="942">
        <f>VLOOKUP(calcCh1Prod3Slot2Promo2Plan,dataPromoSeg4,1+MATCH(calcCh1Prod3Slot2Pack,dataPackNames,0),FALSE)</f>
        <v>0</v>
      </c>
      <c r="F674" s="645" t="s">
        <v>10789</v>
      </c>
    </row>
    <row r="675" spans="1:6" s="645" customFormat="1">
      <c r="A675" s="646"/>
      <c r="D675" s="943" t="s">
        <v>4412</v>
      </c>
      <c r="E675" s="942">
        <f>calcCh1Prod3Slot2Promo2Seg4Fit*VLOOKUP(calcCh1Prod3Slot2Promo2Weeks,dataPromoWeeksEffect,2,FALSE)</f>
        <v>0</v>
      </c>
      <c r="F675" s="645" t="s">
        <v>10790</v>
      </c>
    </row>
    <row r="676" spans="1:6" s="645" customFormat="1">
      <c r="A676" s="646"/>
      <c r="D676" s="948" t="s">
        <v>2975</v>
      </c>
      <c r="E676" s="946">
        <f>0.02*calcCh1Prod3Slot2Promo2Weeks+VLOOKUP(calcCh1Prod3Slot2Promo2Weeks,dataPromoWeeksShareEffect,2,FALSE)*calcCh1Prod3Slot2Promo2Seg4Fit</f>
        <v>0</v>
      </c>
      <c r="F676" s="614" t="s">
        <v>11198</v>
      </c>
    </row>
    <row r="677" spans="1:6" s="645" customFormat="1">
      <c r="A677" s="646"/>
      <c r="D677" s="943"/>
    </row>
    <row r="678" spans="1:6" s="645" customFormat="1">
      <c r="A678" s="646"/>
      <c r="C678" s="769" t="s">
        <v>3860</v>
      </c>
    </row>
    <row r="679" spans="1:6" s="645" customFormat="1">
      <c r="A679" s="646"/>
      <c r="D679" s="769" t="s">
        <v>6111</v>
      </c>
      <c r="E679" s="441" t="str">
        <f>decCh1Prod3Slot3Promo1</f>
        <v>No Promotion</v>
      </c>
      <c r="F679" s="614" t="s">
        <v>5950</v>
      </c>
    </row>
    <row r="680" spans="1:6" s="645" customFormat="1">
      <c r="A680" s="646"/>
      <c r="D680" s="645" t="s">
        <v>5663</v>
      </c>
      <c r="E680" s="645">
        <f>IF(decCh1Prod3Slot3Promo1="No Promotion",0,decCh1Prod3Slot3Promo1Weeks)</f>
        <v>0</v>
      </c>
      <c r="F680" s="645" t="s">
        <v>10791</v>
      </c>
    </row>
    <row r="681" spans="1:6" s="645" customFormat="1">
      <c r="A681" s="646"/>
    </row>
    <row r="682" spans="1:6" s="645" customFormat="1">
      <c r="A682" s="646"/>
      <c r="D682" s="769" t="s">
        <v>241</v>
      </c>
    </row>
    <row r="683" spans="1:6" s="645" customFormat="1" ht="2.25" customHeight="1">
      <c r="A683" s="646"/>
      <c r="C683" s="632"/>
      <c r="D683" s="259"/>
      <c r="E683" s="632"/>
    </row>
    <row r="684" spans="1:6" s="645" customFormat="1">
      <c r="A684" s="646"/>
      <c r="D684" s="943" t="s">
        <v>10604</v>
      </c>
      <c r="E684" s="942">
        <f>VLOOKUP(calcCh1Prod3Slot3Promo1Plan,dataPromoSeg1,1+MATCH(calcCh1Prod3Slot3Pack,dataPackNames,0),FALSE)</f>
        <v>0</v>
      </c>
      <c r="F684" s="645" t="s">
        <v>10792</v>
      </c>
    </row>
    <row r="685" spans="1:6" s="645" customFormat="1">
      <c r="A685" s="646"/>
      <c r="D685" s="943" t="s">
        <v>4412</v>
      </c>
      <c r="E685" s="942">
        <f>calcCh1Prod3Slot3Promo1Seg1Fit*VLOOKUP(calcCh1Prod3Slot3Promo1Weeks,dataPromoWeeksEffect,2,FALSE)</f>
        <v>0</v>
      </c>
      <c r="F685" s="645" t="s">
        <v>10793</v>
      </c>
    </row>
    <row r="686" spans="1:6" s="645" customFormat="1">
      <c r="A686" s="646"/>
      <c r="D686" s="948" t="s">
        <v>2975</v>
      </c>
      <c r="E686" s="946">
        <f>0.02*calcCh1Prod3Slot3Promo1Weeks+VLOOKUP(calcCh1Prod3Slot3Promo1Weeks,dataPromoWeeksShareEffect,2,FALSE)*calcCh1Prod3Slot3Promo1Seg1Fit</f>
        <v>0</v>
      </c>
      <c r="F686" s="614" t="s">
        <v>11199</v>
      </c>
    </row>
    <row r="687" spans="1:6" s="645" customFormat="1">
      <c r="A687" s="646"/>
    </row>
    <row r="688" spans="1:6" s="645" customFormat="1">
      <c r="A688" s="646"/>
      <c r="D688" s="769" t="s">
        <v>242</v>
      </c>
    </row>
    <row r="689" spans="1:6" s="645" customFormat="1" ht="2.25" customHeight="1">
      <c r="A689" s="646"/>
      <c r="C689" s="632"/>
      <c r="D689" s="259"/>
      <c r="E689" s="632"/>
    </row>
    <row r="690" spans="1:6" s="645" customFormat="1">
      <c r="A690" s="646"/>
      <c r="D690" s="943" t="s">
        <v>10604</v>
      </c>
      <c r="E690" s="942">
        <f>VLOOKUP(calcCh1Prod3Slot3Promo1Plan,dataPromoSeg2,1+MATCH(calcCh1Prod3Slot3Pack,dataPackNames,0),FALSE)</f>
        <v>0</v>
      </c>
      <c r="F690" s="645" t="s">
        <v>10794</v>
      </c>
    </row>
    <row r="691" spans="1:6" s="645" customFormat="1">
      <c r="A691" s="646"/>
      <c r="D691" s="943" t="s">
        <v>4412</v>
      </c>
      <c r="E691" s="942">
        <f>calcCh1Prod3Slot3Promo1Seg2Fit*VLOOKUP(calcCh1Prod3Slot3Promo1Weeks,dataPromoWeeksEffect,2,FALSE)</f>
        <v>0</v>
      </c>
      <c r="F691" s="645" t="s">
        <v>10795</v>
      </c>
    </row>
    <row r="692" spans="1:6" s="645" customFormat="1">
      <c r="A692" s="646"/>
      <c r="D692" s="948" t="s">
        <v>2975</v>
      </c>
      <c r="E692" s="946">
        <f>0.02*calcCh1Prod3Slot3Promo1Weeks+VLOOKUP(calcCh1Prod3Slot3Promo1Weeks,dataPromoWeeksShareEffect,2,FALSE)*calcCh1Prod3Slot3Promo1Seg2Fit</f>
        <v>0</v>
      </c>
      <c r="F692" s="614" t="s">
        <v>11200</v>
      </c>
    </row>
    <row r="693" spans="1:6" s="645" customFormat="1">
      <c r="A693" s="646"/>
    </row>
    <row r="694" spans="1:6" s="645" customFormat="1">
      <c r="A694" s="646"/>
      <c r="D694" s="769" t="s">
        <v>4353</v>
      </c>
    </row>
    <row r="695" spans="1:6" s="645" customFormat="1" ht="2.25" customHeight="1">
      <c r="A695" s="646"/>
      <c r="C695" s="632"/>
      <c r="D695" s="259"/>
      <c r="E695" s="632"/>
    </row>
    <row r="696" spans="1:6" s="645" customFormat="1">
      <c r="A696" s="646"/>
      <c r="D696" s="943" t="s">
        <v>10604</v>
      </c>
      <c r="E696" s="942">
        <f>VLOOKUP(calcCh1Prod3Slot3Promo1Plan,dataPromoSeg3,1+MATCH(calcCh1Prod3Slot3Pack,dataPackNames,0),FALSE)</f>
        <v>0</v>
      </c>
      <c r="F696" s="645" t="s">
        <v>10796</v>
      </c>
    </row>
    <row r="697" spans="1:6" s="645" customFormat="1">
      <c r="A697" s="646"/>
      <c r="D697" s="943" t="s">
        <v>4412</v>
      </c>
      <c r="E697" s="942">
        <f>calcCh1Prod3Slot3Promo1Seg3Fit*VLOOKUP(calcCh1Prod3Slot3Promo1Weeks,dataPromoWeeksEffect,2,FALSE)</f>
        <v>0</v>
      </c>
      <c r="F697" s="645" t="s">
        <v>10797</v>
      </c>
    </row>
    <row r="698" spans="1:6" s="645" customFormat="1">
      <c r="A698" s="646"/>
      <c r="D698" s="948" t="s">
        <v>2975</v>
      </c>
      <c r="E698" s="946">
        <f>0.02*calcCh1Prod3Slot3Promo1Weeks+VLOOKUP(calcCh1Prod3Slot3Promo1Weeks,dataPromoWeeksShareEffect,2,FALSE)*calcCh1Prod3Slot3Promo1Seg3Fit</f>
        <v>0</v>
      </c>
      <c r="F698" s="614" t="s">
        <v>11201</v>
      </c>
    </row>
    <row r="699" spans="1:6" s="645" customFormat="1">
      <c r="A699" s="646"/>
    </row>
    <row r="700" spans="1:6" s="645" customFormat="1">
      <c r="A700" s="646"/>
      <c r="D700" s="769" t="s">
        <v>243</v>
      </c>
    </row>
    <row r="701" spans="1:6" s="645" customFormat="1" ht="2.25" customHeight="1">
      <c r="A701" s="646"/>
      <c r="C701" s="632"/>
      <c r="D701" s="259"/>
      <c r="E701" s="632"/>
    </row>
    <row r="702" spans="1:6" s="645" customFormat="1">
      <c r="A702" s="646"/>
      <c r="D702" s="943" t="s">
        <v>10604</v>
      </c>
      <c r="E702" s="942">
        <f>VLOOKUP(calcCh1Prod3Slot3Promo1Plan,dataPromoSeg4,1+MATCH(calcCh1Prod3Slot3Pack,dataPackNames,0),FALSE)</f>
        <v>0</v>
      </c>
      <c r="F702" s="645" t="s">
        <v>10798</v>
      </c>
    </row>
    <row r="703" spans="1:6" s="645" customFormat="1">
      <c r="A703" s="646"/>
      <c r="D703" s="943" t="s">
        <v>4412</v>
      </c>
      <c r="E703" s="942">
        <f>calcCh1Prod3Slot3Promo1Seg4Fit*VLOOKUP(calcCh1Prod3Slot3Promo1Weeks,dataPromoWeeksEffect,2,FALSE)</f>
        <v>0</v>
      </c>
      <c r="F703" s="645" t="s">
        <v>10799</v>
      </c>
    </row>
    <row r="704" spans="1:6" s="645" customFormat="1">
      <c r="A704" s="646"/>
      <c r="D704" s="948" t="s">
        <v>2975</v>
      </c>
      <c r="E704" s="946">
        <f>0.02*calcCh1Prod3Slot3Promo1Weeks+VLOOKUP(calcCh1Prod3Slot3Promo1Weeks,dataPromoWeeksShareEffect,2,FALSE)*calcCh1Prod3Slot3Promo1Seg4Fit</f>
        <v>0</v>
      </c>
      <c r="F704" s="614" t="s">
        <v>11202</v>
      </c>
    </row>
    <row r="705" spans="1:6" s="645" customFormat="1">
      <c r="A705" s="646"/>
      <c r="D705" s="943"/>
    </row>
    <row r="706" spans="1:6" s="645" customFormat="1">
      <c r="A706" s="646"/>
      <c r="D706" s="769" t="s">
        <v>6112</v>
      </c>
      <c r="E706" s="441" t="str">
        <f>decCh1Prod3Slot3Promo2</f>
        <v>No Promotion</v>
      </c>
      <c r="F706" s="614" t="s">
        <v>5952</v>
      </c>
    </row>
    <row r="707" spans="1:6" s="645" customFormat="1">
      <c r="A707" s="646"/>
      <c r="D707" s="645" t="s">
        <v>5663</v>
      </c>
      <c r="E707" s="645">
        <f>IF(decCh1Prod3Slot3Promo2="No Promotion",0,decCh1Prod3Slot3Promo2Weeks)</f>
        <v>0</v>
      </c>
      <c r="F707" s="645" t="s">
        <v>10800</v>
      </c>
    </row>
    <row r="708" spans="1:6" s="645" customFormat="1">
      <c r="A708" s="646"/>
    </row>
    <row r="709" spans="1:6" s="645" customFormat="1">
      <c r="A709" s="646"/>
      <c r="D709" s="769" t="s">
        <v>241</v>
      </c>
    </row>
    <row r="710" spans="1:6" s="645" customFormat="1" ht="2.25" customHeight="1">
      <c r="A710" s="646"/>
      <c r="C710" s="632"/>
      <c r="D710" s="259"/>
      <c r="E710" s="632"/>
    </row>
    <row r="711" spans="1:6" s="645" customFormat="1">
      <c r="A711" s="646"/>
      <c r="D711" s="943" t="s">
        <v>10604</v>
      </c>
      <c r="E711" s="942">
        <f>VLOOKUP(calcCh1Prod3Slot3Promo2Plan,dataPromoSeg1,1+MATCH(calcCh1Prod3Slot3Pack,dataPackNames,0),FALSE)</f>
        <v>0</v>
      </c>
      <c r="F711" s="645" t="s">
        <v>10801</v>
      </c>
    </row>
    <row r="712" spans="1:6" s="645" customFormat="1">
      <c r="A712" s="646"/>
      <c r="D712" s="943" t="s">
        <v>4412</v>
      </c>
      <c r="E712" s="942">
        <f>calcCh1Prod3Slot3Promo2Seg1Fit*VLOOKUP(calcCh1Prod3Slot3Promo2Weeks,dataPromoWeeksEffect,2,FALSE)</f>
        <v>0</v>
      </c>
      <c r="F712" s="645" t="s">
        <v>10802</v>
      </c>
    </row>
    <row r="713" spans="1:6" s="645" customFormat="1">
      <c r="A713" s="646"/>
      <c r="D713" s="948" t="s">
        <v>2975</v>
      </c>
      <c r="E713" s="946">
        <f>0.02*calcCh1Prod3Slot3Promo2Weeks+VLOOKUP(calcCh1Prod3Slot3Promo2Weeks,dataPromoWeeksShareEffect,2,FALSE)*calcCh1Prod3Slot3Promo2Seg1Fit</f>
        <v>0</v>
      </c>
      <c r="F713" s="614" t="s">
        <v>11203</v>
      </c>
    </row>
    <row r="714" spans="1:6" s="645" customFormat="1">
      <c r="A714" s="646"/>
      <c r="E714" s="946"/>
    </row>
    <row r="715" spans="1:6" s="645" customFormat="1">
      <c r="A715" s="646"/>
      <c r="D715" s="769" t="s">
        <v>242</v>
      </c>
    </row>
    <row r="716" spans="1:6" s="645" customFormat="1" ht="2.25" customHeight="1">
      <c r="A716" s="646"/>
      <c r="C716" s="632"/>
      <c r="D716" s="259"/>
      <c r="E716" s="632"/>
    </row>
    <row r="717" spans="1:6" s="645" customFormat="1">
      <c r="A717" s="646"/>
      <c r="D717" s="943" t="s">
        <v>10604</v>
      </c>
      <c r="E717" s="942">
        <f>VLOOKUP(calcCh1Prod3Slot3Promo2Plan,dataPromoSeg2,1+MATCH(calcCh1Prod3Slot3Pack,dataPackNames,0),FALSE)</f>
        <v>0</v>
      </c>
      <c r="F717" s="645" t="s">
        <v>10803</v>
      </c>
    </row>
    <row r="718" spans="1:6" s="645" customFormat="1">
      <c r="A718" s="646"/>
      <c r="D718" s="943" t="s">
        <v>4412</v>
      </c>
      <c r="E718" s="942">
        <f>calcCh1Prod3Slot3Promo2Seg2Fit*VLOOKUP(calcCh1Prod3Slot3Promo2Weeks,dataPromoWeeksEffect,2,FALSE)</f>
        <v>0</v>
      </c>
      <c r="F718" s="645" t="s">
        <v>10804</v>
      </c>
    </row>
    <row r="719" spans="1:6" s="645" customFormat="1">
      <c r="A719" s="646"/>
      <c r="D719" s="948" t="s">
        <v>2975</v>
      </c>
      <c r="E719" s="946">
        <f>0.02*calcCh1Prod3Slot3Promo2Weeks+VLOOKUP(calcCh1Prod3Slot3Promo2Weeks,dataPromoWeeksShareEffect,2,FALSE)*calcCh1Prod3Slot3Promo2Seg2Fit</f>
        <v>0</v>
      </c>
      <c r="F719" s="614" t="s">
        <v>11204</v>
      </c>
    </row>
    <row r="720" spans="1:6" s="645" customFormat="1">
      <c r="A720" s="646"/>
    </row>
    <row r="721" spans="1:6" s="645" customFormat="1">
      <c r="A721" s="646"/>
      <c r="D721" s="769" t="s">
        <v>4353</v>
      </c>
    </row>
    <row r="722" spans="1:6" s="645" customFormat="1" ht="2.25" customHeight="1">
      <c r="A722" s="646"/>
      <c r="C722" s="632"/>
      <c r="D722" s="259"/>
      <c r="E722" s="632"/>
    </row>
    <row r="723" spans="1:6" s="645" customFormat="1">
      <c r="A723" s="646"/>
      <c r="D723" s="943" t="s">
        <v>10604</v>
      </c>
      <c r="E723" s="942">
        <f>VLOOKUP(calcCh1Prod3Slot3Promo2Plan,dataPromoSeg3,1+MATCH(calcCh1Prod3Slot3Pack,dataPackNames,0),FALSE)</f>
        <v>0</v>
      </c>
      <c r="F723" s="645" t="s">
        <v>10805</v>
      </c>
    </row>
    <row r="724" spans="1:6" s="645" customFormat="1">
      <c r="A724" s="646"/>
      <c r="D724" s="943" t="s">
        <v>4412</v>
      </c>
      <c r="E724" s="942">
        <f>calcCh1Prod3Slot3Promo2Seg3Fit*VLOOKUP(calcCh1Prod3Slot3Promo2Weeks,dataPromoWeeksEffect,2,FALSE)</f>
        <v>0</v>
      </c>
      <c r="F724" s="645" t="s">
        <v>10806</v>
      </c>
    </row>
    <row r="725" spans="1:6" s="645" customFormat="1">
      <c r="A725" s="646"/>
      <c r="D725" s="948" t="s">
        <v>2975</v>
      </c>
      <c r="E725" s="946">
        <f>0.02*calcCh1Prod3Slot3Promo2Weeks+VLOOKUP(calcCh1Prod3Slot3Promo2Weeks,dataPromoWeeksShareEffect,2,FALSE)*calcCh1Prod3Slot3Promo2Seg3Fit</f>
        <v>0</v>
      </c>
      <c r="F725" s="614" t="s">
        <v>11205</v>
      </c>
    </row>
    <row r="726" spans="1:6" s="645" customFormat="1">
      <c r="A726" s="646"/>
    </row>
    <row r="727" spans="1:6" s="645" customFormat="1">
      <c r="A727" s="646"/>
      <c r="D727" s="769" t="s">
        <v>243</v>
      </c>
    </row>
    <row r="728" spans="1:6" s="645" customFormat="1" ht="2.25" customHeight="1">
      <c r="A728" s="646"/>
      <c r="C728" s="632"/>
      <c r="D728" s="259"/>
      <c r="E728" s="632"/>
    </row>
    <row r="729" spans="1:6" s="645" customFormat="1">
      <c r="A729" s="646"/>
      <c r="D729" s="943" t="s">
        <v>10604</v>
      </c>
      <c r="E729" s="942">
        <f>VLOOKUP(calcCh1Prod3Slot3Promo2Plan,dataPromoSeg4,1+MATCH(calcCh1Prod3Slot3Pack,dataPackNames,0),FALSE)</f>
        <v>0</v>
      </c>
      <c r="F729" s="645" t="s">
        <v>10807</v>
      </c>
    </row>
    <row r="730" spans="1:6" s="645" customFormat="1">
      <c r="A730" s="646"/>
      <c r="D730" s="943" t="s">
        <v>4412</v>
      </c>
      <c r="E730" s="942">
        <f>calcCh1Prod3Slot3Promo2Seg4Fit*VLOOKUP(calcCh1Prod3Slot3Promo2Weeks,dataPromoWeeksEffect,2,FALSE)</f>
        <v>0</v>
      </c>
      <c r="F730" s="645" t="s">
        <v>10808</v>
      </c>
    </row>
    <row r="731" spans="1:6" s="645" customFormat="1">
      <c r="A731" s="646"/>
      <c r="D731" s="948" t="s">
        <v>2975</v>
      </c>
      <c r="E731" s="946">
        <f>0.02*calcCh1Prod3Slot3Promo2Weeks+VLOOKUP(calcCh1Prod3Slot3Promo2Weeks,dataPromoWeeksShareEffect,2,FALSE)*calcCh1Prod3Slot3Promo2Seg4Fit</f>
        <v>0</v>
      </c>
      <c r="F731" s="614" t="s">
        <v>11206</v>
      </c>
    </row>
    <row r="732" spans="1:6" s="645" customFormat="1">
      <c r="A732" s="646"/>
      <c r="D732" s="948"/>
      <c r="E732" s="946"/>
      <c r="F732" s="614"/>
    </row>
    <row r="733" spans="1:6" s="645" customFormat="1">
      <c r="A733" s="646"/>
      <c r="B733" s="769" t="s">
        <v>240</v>
      </c>
    </row>
    <row r="734" spans="1:6" s="645" customFormat="1">
      <c r="A734" s="646"/>
      <c r="C734" s="769" t="s">
        <v>3859</v>
      </c>
    </row>
    <row r="735" spans="1:6" s="645" customFormat="1">
      <c r="A735" s="646"/>
      <c r="D735" s="769" t="s">
        <v>6111</v>
      </c>
      <c r="E735" s="441" t="str">
        <f>decCh1Prod4Slot1Promo1</f>
        <v>No Promotion</v>
      </c>
      <c r="F735" s="614" t="s">
        <v>5930</v>
      </c>
    </row>
    <row r="736" spans="1:6" s="645" customFormat="1">
      <c r="A736" s="646"/>
      <c r="D736" s="645" t="s">
        <v>5663</v>
      </c>
      <c r="E736" s="645">
        <f>IF(decCh1Prod4Slot1Promo1="No Promotion",0,decCh1Prod4Slot1Promo1Weeks)</f>
        <v>0</v>
      </c>
      <c r="F736" s="645" t="s">
        <v>10701</v>
      </c>
    </row>
    <row r="737" spans="1:6" s="645" customFormat="1">
      <c r="A737" s="646"/>
    </row>
    <row r="738" spans="1:6" s="645" customFormat="1">
      <c r="A738" s="646"/>
      <c r="D738" s="769" t="s">
        <v>241</v>
      </c>
    </row>
    <row r="739" spans="1:6" s="645" customFormat="1" ht="2.25" customHeight="1">
      <c r="A739" s="646"/>
      <c r="C739" s="632"/>
      <c r="D739" s="259"/>
      <c r="E739" s="632"/>
    </row>
    <row r="740" spans="1:6" s="645" customFormat="1">
      <c r="A740" s="646"/>
      <c r="D740" s="943" t="s">
        <v>10604</v>
      </c>
      <c r="E740" s="942">
        <f>VLOOKUP(calcCh1Prod4Slot1Promo1Plan,dataPromoSeg1,1+MATCH(calcCh1Prod4Slot1Pack,dataPackNames,0),FALSE)</f>
        <v>0</v>
      </c>
      <c r="F740" s="645" t="s">
        <v>10702</v>
      </c>
    </row>
    <row r="741" spans="1:6" s="645" customFormat="1">
      <c r="A741" s="646"/>
      <c r="D741" s="943" t="s">
        <v>4412</v>
      </c>
      <c r="E741" s="942">
        <f>calcCh1Prod4Slot1Promo1Seg1Fit*VLOOKUP(calcCh1Prod4Slot1Promo1Weeks,dataPromoWeeksEffect,2,FALSE)</f>
        <v>0</v>
      </c>
      <c r="F741" s="645" t="s">
        <v>10703</v>
      </c>
    </row>
    <row r="742" spans="1:6" s="645" customFormat="1">
      <c r="A742" s="646"/>
      <c r="D742" s="948" t="s">
        <v>2975</v>
      </c>
      <c r="E742" s="946">
        <f>0.02*calcCh1Prod4Slot1Promo1Weeks+VLOOKUP(calcCh1Prod4Slot1Promo1Weeks,dataPromoWeeksShareEffect,2,FALSE)*calcCh1Prod4Slot1Promo1Seg1Fit</f>
        <v>0</v>
      </c>
      <c r="F742" s="614" t="s">
        <v>11207</v>
      </c>
    </row>
    <row r="743" spans="1:6" s="645" customFormat="1">
      <c r="A743" s="646"/>
    </row>
    <row r="744" spans="1:6" s="645" customFormat="1">
      <c r="A744" s="646"/>
      <c r="D744" s="769" t="s">
        <v>242</v>
      </c>
    </row>
    <row r="745" spans="1:6" s="645" customFormat="1" ht="2.25" customHeight="1">
      <c r="A745" s="646"/>
      <c r="C745" s="632"/>
      <c r="D745" s="259"/>
      <c r="E745" s="632"/>
    </row>
    <row r="746" spans="1:6" s="645" customFormat="1">
      <c r="A746" s="646"/>
      <c r="D746" s="943" t="s">
        <v>10604</v>
      </c>
      <c r="E746" s="942">
        <f>VLOOKUP(calcCh1Prod4Slot1Promo1Plan,dataPromoSeg2,1+MATCH(calcCh1Prod4Slot1Pack,dataPackNames,0),FALSE)</f>
        <v>0</v>
      </c>
      <c r="F746" s="645" t="s">
        <v>10704</v>
      </c>
    </row>
    <row r="747" spans="1:6" s="645" customFormat="1">
      <c r="A747" s="646"/>
      <c r="D747" s="943" t="s">
        <v>4412</v>
      </c>
      <c r="E747" s="942">
        <f>calcCh1Prod4Slot1Promo1Seg2Fit*VLOOKUP(calcCh1Prod4Slot1Promo1Weeks,dataPromoWeeksEffect,2,FALSE)</f>
        <v>0</v>
      </c>
      <c r="F747" s="645" t="s">
        <v>10705</v>
      </c>
    </row>
    <row r="748" spans="1:6" s="645" customFormat="1">
      <c r="A748" s="646"/>
      <c r="D748" s="948" t="s">
        <v>2975</v>
      </c>
      <c r="E748" s="946">
        <f>0.02*calcCh1Prod4Slot1Promo1Weeks+VLOOKUP(calcCh1Prod4Slot1Promo1Weeks,dataPromoWeeksShareEffect,2,FALSE)*calcCh1Prod4Slot1Promo1Seg2Fit</f>
        <v>0</v>
      </c>
      <c r="F748" s="614" t="s">
        <v>11208</v>
      </c>
    </row>
    <row r="749" spans="1:6" s="645" customFormat="1">
      <c r="A749" s="646"/>
    </row>
    <row r="750" spans="1:6" s="645" customFormat="1">
      <c r="A750" s="646"/>
      <c r="D750" s="769" t="s">
        <v>4353</v>
      </c>
    </row>
    <row r="751" spans="1:6" s="645" customFormat="1" ht="2.25" customHeight="1">
      <c r="A751" s="646"/>
      <c r="C751" s="632"/>
      <c r="D751" s="259"/>
      <c r="E751" s="632"/>
    </row>
    <row r="752" spans="1:6" s="645" customFormat="1">
      <c r="A752" s="646"/>
      <c r="D752" s="943" t="s">
        <v>10604</v>
      </c>
      <c r="E752" s="942">
        <f>VLOOKUP(calcCh1Prod4Slot1Promo1Plan,dataPromoSeg3,1+MATCH(calcCh1Prod4Slot1Pack,dataPackNames,0),FALSE)</f>
        <v>0</v>
      </c>
      <c r="F752" s="645" t="s">
        <v>10706</v>
      </c>
    </row>
    <row r="753" spans="1:6" s="645" customFormat="1">
      <c r="A753" s="646"/>
      <c r="D753" s="943" t="s">
        <v>4412</v>
      </c>
      <c r="E753" s="942">
        <f>calcCh1Prod4Slot1Promo1Seg3Fit*VLOOKUP(calcCh1Prod4Slot1Promo1Weeks,dataPromoWeeksEffect,2,FALSE)</f>
        <v>0</v>
      </c>
      <c r="F753" s="645" t="s">
        <v>10707</v>
      </c>
    </row>
    <row r="754" spans="1:6" s="645" customFormat="1">
      <c r="A754" s="646"/>
      <c r="D754" s="948" t="s">
        <v>2975</v>
      </c>
      <c r="E754" s="946">
        <f>0.02*calcCh1Prod4Slot1Promo1Weeks+VLOOKUP(calcCh1Prod4Slot1Promo1Weeks,dataPromoWeeksShareEffect,2,FALSE)*calcCh1Prod4Slot1Promo1Seg3Fit</f>
        <v>0</v>
      </c>
      <c r="F754" s="614" t="s">
        <v>11209</v>
      </c>
    </row>
    <row r="755" spans="1:6" s="645" customFormat="1">
      <c r="A755" s="646"/>
    </row>
    <row r="756" spans="1:6" s="645" customFormat="1">
      <c r="A756" s="646"/>
      <c r="D756" s="769" t="s">
        <v>243</v>
      </c>
    </row>
    <row r="757" spans="1:6" s="645" customFormat="1" ht="2.25" customHeight="1">
      <c r="A757" s="646"/>
      <c r="C757" s="632"/>
      <c r="D757" s="259"/>
      <c r="E757" s="632"/>
    </row>
    <row r="758" spans="1:6" s="645" customFormat="1">
      <c r="A758" s="646"/>
      <c r="D758" s="943" t="s">
        <v>10604</v>
      </c>
      <c r="E758" s="942">
        <f>VLOOKUP(calcCh1Prod4Slot1Promo1Plan,dataPromoSeg4,1+MATCH(calcCh1Prod4Slot1Pack,dataPackNames,0),FALSE)</f>
        <v>0</v>
      </c>
      <c r="F758" s="645" t="s">
        <v>10708</v>
      </c>
    </row>
    <row r="759" spans="1:6" s="645" customFormat="1">
      <c r="A759" s="646"/>
      <c r="D759" s="943" t="s">
        <v>4412</v>
      </c>
      <c r="E759" s="942">
        <f>calcCh1Prod4Slot1Promo1Seg4Fit*VLOOKUP(calcCh1Prod4Slot1Promo1Weeks,dataPromoWeeksEffect,2,FALSE)</f>
        <v>0</v>
      </c>
      <c r="F759" s="645" t="s">
        <v>10709</v>
      </c>
    </row>
    <row r="760" spans="1:6" s="645" customFormat="1">
      <c r="A760" s="646"/>
      <c r="D760" s="948" t="s">
        <v>2975</v>
      </c>
      <c r="E760" s="946">
        <f>0.02*calcCh1Prod4Slot1Promo1Weeks+VLOOKUP(calcCh1Prod4Slot1Promo1Weeks,dataPromoWeeksShareEffect,2,FALSE)*calcCh1Prod4Slot1Promo1Seg4Fit</f>
        <v>0</v>
      </c>
      <c r="F760" s="614" t="s">
        <v>11210</v>
      </c>
    </row>
    <row r="761" spans="1:6" s="645" customFormat="1">
      <c r="A761" s="646"/>
      <c r="D761" s="943"/>
    </row>
    <row r="762" spans="1:6" s="645" customFormat="1">
      <c r="A762" s="646"/>
      <c r="D762" s="769" t="s">
        <v>6112</v>
      </c>
      <c r="E762" s="441" t="str">
        <f>decCh1Prod4Slot1Promo2</f>
        <v>No Promotion</v>
      </c>
      <c r="F762" s="614" t="s">
        <v>5932</v>
      </c>
    </row>
    <row r="763" spans="1:6" s="645" customFormat="1">
      <c r="A763" s="646"/>
      <c r="D763" s="645" t="s">
        <v>5663</v>
      </c>
      <c r="E763" s="645">
        <f>IF(decCh1Prod4Slot1Promo2="No Promotion",0,decCh1Prod4Slot1Promo2Weeks)</f>
        <v>0</v>
      </c>
      <c r="F763" s="645" t="s">
        <v>10710</v>
      </c>
    </row>
    <row r="764" spans="1:6" s="645" customFormat="1">
      <c r="A764" s="646"/>
    </row>
    <row r="765" spans="1:6" s="645" customFormat="1">
      <c r="A765" s="646"/>
      <c r="D765" s="769" t="s">
        <v>241</v>
      </c>
    </row>
    <row r="766" spans="1:6" s="645" customFormat="1" ht="2.25" customHeight="1">
      <c r="A766" s="646"/>
      <c r="C766" s="632"/>
      <c r="D766" s="259"/>
      <c r="E766" s="632"/>
    </row>
    <row r="767" spans="1:6" s="645" customFormat="1">
      <c r="A767" s="646"/>
      <c r="D767" s="943" t="s">
        <v>10604</v>
      </c>
      <c r="E767" s="942">
        <f>VLOOKUP(calcCh1Prod4Slot1Promo2Plan,dataPromoSeg1,1+MATCH(calcCh1Prod4Slot1Pack,dataPackNames,0),FALSE)</f>
        <v>0</v>
      </c>
      <c r="F767" s="645" t="s">
        <v>10711</v>
      </c>
    </row>
    <row r="768" spans="1:6" s="645" customFormat="1">
      <c r="A768" s="646"/>
      <c r="D768" s="943" t="s">
        <v>4412</v>
      </c>
      <c r="E768" s="942">
        <f>calcCh1Prod4Slot1Promo2Seg1Fit*VLOOKUP(calcCh1Prod4Slot1Promo2Weeks,dataPromoWeeksEffect,2,FALSE)</f>
        <v>0</v>
      </c>
      <c r="F768" s="645" t="s">
        <v>10712</v>
      </c>
    </row>
    <row r="769" spans="1:6" s="645" customFormat="1">
      <c r="A769" s="646"/>
      <c r="D769" s="948" t="s">
        <v>2975</v>
      </c>
      <c r="E769" s="946">
        <f>0.02*calcCh1Prod4Slot1Promo2Weeks+VLOOKUP(calcCh1Prod4Slot1Promo2Weeks,dataPromoWeeksShareEffect,2,FALSE)*calcCh1Prod4Slot1Promo2Seg1Fit</f>
        <v>0</v>
      </c>
      <c r="F769" s="614" t="s">
        <v>11211</v>
      </c>
    </row>
    <row r="770" spans="1:6" s="645" customFormat="1">
      <c r="A770" s="646"/>
      <c r="E770" s="946"/>
    </row>
    <row r="771" spans="1:6" s="645" customFormat="1">
      <c r="A771" s="646"/>
      <c r="D771" s="769" t="s">
        <v>242</v>
      </c>
    </row>
    <row r="772" spans="1:6" s="645" customFormat="1" ht="2.25" customHeight="1">
      <c r="A772" s="646"/>
      <c r="C772" s="632"/>
      <c r="D772" s="259"/>
      <c r="E772" s="632"/>
    </row>
    <row r="773" spans="1:6" s="645" customFormat="1">
      <c r="A773" s="646"/>
      <c r="D773" s="943" t="s">
        <v>10604</v>
      </c>
      <c r="E773" s="942">
        <f>VLOOKUP(calcCh1Prod4Slot1Promo2Plan,dataPromoSeg2,1+MATCH(calcCh1Prod4Slot1Pack,dataPackNames,0),FALSE)</f>
        <v>0</v>
      </c>
      <c r="F773" s="645" t="s">
        <v>10713</v>
      </c>
    </row>
    <row r="774" spans="1:6" s="645" customFormat="1">
      <c r="A774" s="646"/>
      <c r="D774" s="943" t="s">
        <v>4412</v>
      </c>
      <c r="E774" s="942">
        <f>calcCh1Prod4Slot1Promo2Seg2Fit*VLOOKUP(calcCh1Prod4Slot1Promo2Weeks,dataPromoWeeksEffect,2,FALSE)</f>
        <v>0</v>
      </c>
      <c r="F774" s="645" t="s">
        <v>10714</v>
      </c>
    </row>
    <row r="775" spans="1:6" s="645" customFormat="1">
      <c r="A775" s="646"/>
      <c r="D775" s="948" t="s">
        <v>2975</v>
      </c>
      <c r="E775" s="946">
        <f>0.02*calcCh1Prod4Slot1Promo2Weeks+VLOOKUP(calcCh1Prod4Slot1Promo2Weeks,dataPromoWeeksShareEffect,2,FALSE)*calcCh1Prod4Slot1Promo2Seg2Fit</f>
        <v>0</v>
      </c>
      <c r="F775" s="614" t="s">
        <v>11212</v>
      </c>
    </row>
    <row r="776" spans="1:6" s="645" customFormat="1">
      <c r="A776" s="646"/>
    </row>
    <row r="777" spans="1:6" s="645" customFormat="1">
      <c r="A777" s="646"/>
      <c r="D777" s="769" t="s">
        <v>4353</v>
      </c>
    </row>
    <row r="778" spans="1:6" s="645" customFormat="1" ht="2.25" customHeight="1">
      <c r="A778" s="646"/>
      <c r="C778" s="632"/>
      <c r="D778" s="259"/>
      <c r="E778" s="632"/>
    </row>
    <row r="779" spans="1:6" s="645" customFormat="1">
      <c r="A779" s="646"/>
      <c r="D779" s="943" t="s">
        <v>10604</v>
      </c>
      <c r="E779" s="942">
        <f>VLOOKUP(calcCh1Prod4Slot1Promo2Plan,dataPromoSeg3,1+MATCH(calcCh1Prod4Slot1Pack,dataPackNames,0),FALSE)</f>
        <v>0</v>
      </c>
      <c r="F779" s="645" t="s">
        <v>10715</v>
      </c>
    </row>
    <row r="780" spans="1:6" s="645" customFormat="1">
      <c r="A780" s="646"/>
      <c r="D780" s="943" t="s">
        <v>4412</v>
      </c>
      <c r="E780" s="942">
        <f>calcCh1Prod4Slot1Promo2Seg3Fit*VLOOKUP(calcCh1Prod4Slot1Promo2Weeks,dataPromoWeeksEffect,2,FALSE)</f>
        <v>0</v>
      </c>
      <c r="F780" s="645" t="s">
        <v>10716</v>
      </c>
    </row>
    <row r="781" spans="1:6" s="645" customFormat="1">
      <c r="A781" s="646"/>
      <c r="D781" s="948" t="s">
        <v>2975</v>
      </c>
      <c r="E781" s="946">
        <f>0.02*calcCh1Prod4Slot1Promo2Weeks+VLOOKUP(calcCh1Prod4Slot1Promo2Weeks,dataPromoWeeksShareEffect,2,FALSE)*calcCh1Prod4Slot1Promo2Seg3Fit</f>
        <v>0</v>
      </c>
      <c r="F781" s="614" t="s">
        <v>11213</v>
      </c>
    </row>
    <row r="782" spans="1:6" s="645" customFormat="1">
      <c r="A782" s="646"/>
    </row>
    <row r="783" spans="1:6" s="645" customFormat="1">
      <c r="A783" s="646"/>
      <c r="D783" s="769" t="s">
        <v>243</v>
      </c>
    </row>
    <row r="784" spans="1:6" s="645" customFormat="1" ht="2.25" customHeight="1">
      <c r="A784" s="646"/>
      <c r="C784" s="632"/>
      <c r="D784" s="259"/>
      <c r="E784" s="632"/>
    </row>
    <row r="785" spans="1:6" s="645" customFormat="1">
      <c r="A785" s="646"/>
      <c r="D785" s="943" t="s">
        <v>10604</v>
      </c>
      <c r="E785" s="942">
        <f>VLOOKUP(calcCh1Prod4Slot1Promo2Plan,dataPromoSeg4,1+MATCH(calcCh1Prod4Slot1Pack,dataPackNames,0),FALSE)</f>
        <v>0</v>
      </c>
      <c r="F785" s="645" t="s">
        <v>10717</v>
      </c>
    </row>
    <row r="786" spans="1:6" s="645" customFormat="1">
      <c r="A786" s="646"/>
      <c r="D786" s="943" t="s">
        <v>4412</v>
      </c>
      <c r="E786" s="942">
        <f>calcCh1Prod4Slot1Promo2Seg4Fit*VLOOKUP(calcCh1Prod4Slot1Promo2Weeks,dataPromoWeeksEffect,2,FALSE)</f>
        <v>0</v>
      </c>
      <c r="F786" s="645" t="s">
        <v>10718</v>
      </c>
    </row>
    <row r="787" spans="1:6" s="645" customFormat="1">
      <c r="A787" s="646"/>
      <c r="D787" s="948" t="s">
        <v>2975</v>
      </c>
      <c r="E787" s="946">
        <f>0.02*calcCh1Prod4Slot1Promo2Weeks+VLOOKUP(calcCh1Prod4Slot1Promo2Weeks,dataPromoWeeksShareEffect,2,FALSE)*calcCh1Prod4Slot1Promo2Seg4Fit</f>
        <v>0</v>
      </c>
      <c r="F787" s="614" t="s">
        <v>11214</v>
      </c>
    </row>
    <row r="788" spans="1:6" s="645" customFormat="1">
      <c r="A788" s="646"/>
      <c r="D788" s="943"/>
    </row>
    <row r="789" spans="1:6" s="645" customFormat="1">
      <c r="A789" s="646"/>
      <c r="C789" s="769" t="s">
        <v>3858</v>
      </c>
    </row>
    <row r="790" spans="1:6" s="645" customFormat="1">
      <c r="A790" s="646"/>
      <c r="D790" s="769" t="s">
        <v>6111</v>
      </c>
      <c r="E790" s="441" t="str">
        <f>decCh1Prod4Slot2Promo1</f>
        <v>No Promotion</v>
      </c>
      <c r="F790" s="614" t="s">
        <v>5934</v>
      </c>
    </row>
    <row r="791" spans="1:6" s="645" customFormat="1">
      <c r="A791" s="646"/>
      <c r="D791" s="645" t="s">
        <v>5663</v>
      </c>
      <c r="E791" s="645">
        <f>IF(decCh1Prod4Slot2Promo1="No Promotion",0,decCh1Prod4Slot2Promo1Weeks)</f>
        <v>0</v>
      </c>
      <c r="F791" s="645" t="s">
        <v>10719</v>
      </c>
    </row>
    <row r="792" spans="1:6" s="645" customFormat="1">
      <c r="A792" s="646"/>
    </row>
    <row r="793" spans="1:6" s="645" customFormat="1">
      <c r="A793" s="646"/>
      <c r="D793" s="769" t="s">
        <v>241</v>
      </c>
    </row>
    <row r="794" spans="1:6" s="645" customFormat="1" ht="2.25" customHeight="1">
      <c r="A794" s="646"/>
      <c r="C794" s="632"/>
      <c r="D794" s="259"/>
      <c r="E794" s="632"/>
    </row>
    <row r="795" spans="1:6" s="645" customFormat="1">
      <c r="A795" s="646"/>
      <c r="D795" s="943" t="s">
        <v>10604</v>
      </c>
      <c r="E795" s="942">
        <f>VLOOKUP(calcCh1Prod4Slot2Promo1Plan,dataPromoSeg1,1+MATCH(calcCh1Prod4Slot2Pack,dataPackNames,0),FALSE)</f>
        <v>0</v>
      </c>
      <c r="F795" s="645" t="s">
        <v>10720</v>
      </c>
    </row>
    <row r="796" spans="1:6" s="645" customFormat="1">
      <c r="A796" s="646"/>
      <c r="D796" s="943" t="s">
        <v>4412</v>
      </c>
      <c r="E796" s="942">
        <f>calcCh1Prod4Slot2Promo1Seg1Fit*VLOOKUP(calcCh1Prod4Slot2Promo1Weeks,dataPromoWeeksEffect,2,FALSE)</f>
        <v>0</v>
      </c>
      <c r="F796" s="645" t="s">
        <v>10721</v>
      </c>
    </row>
    <row r="797" spans="1:6" s="645" customFormat="1">
      <c r="A797" s="646"/>
      <c r="D797" s="948" t="s">
        <v>2975</v>
      </c>
      <c r="E797" s="946">
        <f>0.02*calcCh1Prod4Slot2Promo1Weeks+VLOOKUP(calcCh1Prod4Slot2Promo1Weeks,dataPromoWeeksShareEffect,2,FALSE)*calcCh1Prod4Slot2Promo1Seg1Fit</f>
        <v>0</v>
      </c>
      <c r="F797" s="614" t="s">
        <v>11215</v>
      </c>
    </row>
    <row r="798" spans="1:6" s="645" customFormat="1">
      <c r="A798" s="646"/>
    </row>
    <row r="799" spans="1:6" s="645" customFormat="1">
      <c r="A799" s="646"/>
      <c r="D799" s="769" t="s">
        <v>242</v>
      </c>
    </row>
    <row r="800" spans="1:6" s="645" customFormat="1" ht="2.25" customHeight="1">
      <c r="A800" s="646"/>
      <c r="C800" s="632"/>
      <c r="D800" s="259"/>
      <c r="E800" s="632"/>
    </row>
    <row r="801" spans="1:6" s="645" customFormat="1">
      <c r="A801" s="646"/>
      <c r="D801" s="943" t="s">
        <v>10604</v>
      </c>
      <c r="E801" s="942">
        <f>VLOOKUP(calcCh1Prod4Slot2Promo1Plan,dataPromoSeg2,1+MATCH(calcCh1Prod4Slot2Pack,dataPackNames,0),FALSE)</f>
        <v>0</v>
      </c>
      <c r="F801" s="645" t="s">
        <v>10722</v>
      </c>
    </row>
    <row r="802" spans="1:6" s="645" customFormat="1">
      <c r="A802" s="646"/>
      <c r="D802" s="943" t="s">
        <v>4412</v>
      </c>
      <c r="E802" s="942">
        <f>calcCh1Prod4Slot2Promo1Seg2Fit*VLOOKUP(calcCh1Prod4Slot2Promo1Weeks,dataPromoWeeksEffect,2,FALSE)</f>
        <v>0</v>
      </c>
      <c r="F802" s="645" t="s">
        <v>10723</v>
      </c>
    </row>
    <row r="803" spans="1:6" s="645" customFormat="1">
      <c r="A803" s="646"/>
      <c r="D803" s="948" t="s">
        <v>2975</v>
      </c>
      <c r="E803" s="946">
        <f>0.02*calcCh1Prod4Slot2Promo1Weeks+VLOOKUP(calcCh1Prod4Slot2Promo1Weeks,dataPromoWeeksShareEffect,2,FALSE)*calcCh1Prod4Slot2Promo1Seg2Fit</f>
        <v>0</v>
      </c>
      <c r="F803" s="614" t="s">
        <v>11216</v>
      </c>
    </row>
    <row r="804" spans="1:6" s="645" customFormat="1">
      <c r="A804" s="646"/>
    </row>
    <row r="805" spans="1:6" s="645" customFormat="1">
      <c r="A805" s="646"/>
      <c r="D805" s="769" t="s">
        <v>4353</v>
      </c>
    </row>
    <row r="806" spans="1:6" s="645" customFormat="1" ht="2.25" customHeight="1">
      <c r="A806" s="646"/>
      <c r="C806" s="632"/>
      <c r="D806" s="259"/>
      <c r="E806" s="632"/>
    </row>
    <row r="807" spans="1:6" s="645" customFormat="1">
      <c r="A807" s="646"/>
      <c r="D807" s="943" t="s">
        <v>10604</v>
      </c>
      <c r="E807" s="942">
        <f>VLOOKUP(calcCh1Prod4Slot2Promo1Plan,dataPromoSeg3,1+MATCH(calcCh1Prod4Slot2Pack,dataPackNames,0),FALSE)</f>
        <v>0</v>
      </c>
      <c r="F807" s="645" t="s">
        <v>10724</v>
      </c>
    </row>
    <row r="808" spans="1:6" s="645" customFormat="1">
      <c r="A808" s="646"/>
      <c r="D808" s="943" t="s">
        <v>4412</v>
      </c>
      <c r="E808" s="942">
        <f>calcCh1Prod4Slot2Promo1Seg3Fit*VLOOKUP(calcCh1Prod4Slot2Promo1Weeks,dataPromoWeeksEffect,2,FALSE)</f>
        <v>0</v>
      </c>
      <c r="F808" s="645" t="s">
        <v>10725</v>
      </c>
    </row>
    <row r="809" spans="1:6" s="645" customFormat="1">
      <c r="A809" s="646"/>
      <c r="D809" s="948" t="s">
        <v>2975</v>
      </c>
      <c r="E809" s="946">
        <f>0.02*calcCh1Prod4Slot2Promo1Weeks+VLOOKUP(calcCh1Prod4Slot2Promo1Weeks,dataPromoWeeksShareEffect,2,FALSE)*calcCh1Prod4Slot2Promo1Seg3Fit</f>
        <v>0</v>
      </c>
      <c r="F809" s="614" t="s">
        <v>11217</v>
      </c>
    </row>
    <row r="810" spans="1:6" s="645" customFormat="1">
      <c r="A810" s="646"/>
    </row>
    <row r="811" spans="1:6" s="645" customFormat="1">
      <c r="A811" s="646"/>
      <c r="D811" s="769" t="s">
        <v>243</v>
      </c>
    </row>
    <row r="812" spans="1:6" s="645" customFormat="1" ht="2.25" customHeight="1">
      <c r="A812" s="646"/>
      <c r="C812" s="632"/>
      <c r="D812" s="259"/>
      <c r="E812" s="632"/>
    </row>
    <row r="813" spans="1:6" s="645" customFormat="1">
      <c r="A813" s="646"/>
      <c r="D813" s="943" t="s">
        <v>10604</v>
      </c>
      <c r="E813" s="942">
        <f>VLOOKUP(calcCh1Prod4Slot2Promo1Plan,dataPromoSeg4,1+MATCH(calcCh1Prod4Slot2Pack,dataPackNames,0),FALSE)</f>
        <v>0</v>
      </c>
      <c r="F813" s="645" t="s">
        <v>10726</v>
      </c>
    </row>
    <row r="814" spans="1:6" s="645" customFormat="1">
      <c r="A814" s="646"/>
      <c r="D814" s="943" t="s">
        <v>4412</v>
      </c>
      <c r="E814" s="942">
        <f>calcCh1Prod4Slot2Promo1Seg4Fit*VLOOKUP(calcCh1Prod4Slot2Promo1Weeks,dataPromoWeeksEffect,2,FALSE)</f>
        <v>0</v>
      </c>
      <c r="F814" s="645" t="s">
        <v>10727</v>
      </c>
    </row>
    <row r="815" spans="1:6" s="645" customFormat="1">
      <c r="A815" s="646"/>
      <c r="D815" s="948" t="s">
        <v>2975</v>
      </c>
      <c r="E815" s="946">
        <f>0.02*calcCh1Prod4Slot2Promo1Weeks+VLOOKUP(calcCh1Prod4Slot2Promo1Weeks,dataPromoWeeksShareEffect,2,FALSE)*calcCh1Prod4Slot2Promo1Seg4Fit</f>
        <v>0</v>
      </c>
      <c r="F815" s="614" t="s">
        <v>11218</v>
      </c>
    </row>
    <row r="816" spans="1:6" s="645" customFormat="1">
      <c r="A816" s="646"/>
      <c r="D816" s="943"/>
    </row>
    <row r="817" spans="1:6" s="645" customFormat="1">
      <c r="A817" s="646"/>
      <c r="D817" s="769" t="s">
        <v>6112</v>
      </c>
      <c r="E817" s="441" t="str">
        <f>decCh1Prod4Slot2Promo2</f>
        <v>No Promotion</v>
      </c>
      <c r="F817" s="614" t="s">
        <v>5936</v>
      </c>
    </row>
    <row r="818" spans="1:6" s="645" customFormat="1">
      <c r="A818" s="646"/>
      <c r="D818" s="645" t="s">
        <v>5663</v>
      </c>
      <c r="E818" s="645">
        <f>IF(decCh1Prod4Slot2Promo2="No Promotion",0,decCh1Prod4Slot2Promo2Weeks)</f>
        <v>0</v>
      </c>
      <c r="F818" s="645" t="s">
        <v>10728</v>
      </c>
    </row>
    <row r="819" spans="1:6" s="645" customFormat="1">
      <c r="A819" s="646"/>
    </row>
    <row r="820" spans="1:6" s="645" customFormat="1">
      <c r="A820" s="646"/>
      <c r="D820" s="769" t="s">
        <v>241</v>
      </c>
    </row>
    <row r="821" spans="1:6" s="645" customFormat="1" ht="2.25" customHeight="1">
      <c r="A821" s="646"/>
      <c r="C821" s="632"/>
      <c r="D821" s="259"/>
      <c r="E821" s="632"/>
    </row>
    <row r="822" spans="1:6" s="645" customFormat="1">
      <c r="A822" s="646"/>
      <c r="D822" s="943" t="s">
        <v>10604</v>
      </c>
      <c r="E822" s="942">
        <f>VLOOKUP(calcCh1Prod4Slot2Promo2Plan,dataPromoSeg1,1+MATCH(calcCh1Prod4Slot2Pack,dataPackNames,0),FALSE)</f>
        <v>0</v>
      </c>
      <c r="F822" s="645" t="s">
        <v>10729</v>
      </c>
    </row>
    <row r="823" spans="1:6" s="645" customFormat="1">
      <c r="A823" s="646"/>
      <c r="D823" s="943" t="s">
        <v>4412</v>
      </c>
      <c r="E823" s="942">
        <f>calcCh1Prod4Slot2Promo2Seg1Fit*VLOOKUP(calcCh1Prod4Slot2Promo2Weeks,dataPromoWeeksEffect,2,FALSE)</f>
        <v>0</v>
      </c>
      <c r="F823" s="645" t="s">
        <v>10730</v>
      </c>
    </row>
    <row r="824" spans="1:6" s="645" customFormat="1">
      <c r="A824" s="646"/>
      <c r="D824" s="948" t="s">
        <v>2975</v>
      </c>
      <c r="E824" s="946">
        <f>0.02*calcCh1Prod4Slot2Promo2Weeks+VLOOKUP(calcCh1Prod4Slot2Promo2Weeks,dataPromoWeeksShareEffect,2,FALSE)*calcCh1Prod4Slot2Promo2Seg1Fit</f>
        <v>0</v>
      </c>
      <c r="F824" s="614" t="s">
        <v>11219</v>
      </c>
    </row>
    <row r="825" spans="1:6" s="645" customFormat="1">
      <c r="A825" s="646"/>
      <c r="E825" s="946"/>
    </row>
    <row r="826" spans="1:6" s="645" customFormat="1">
      <c r="A826" s="646"/>
      <c r="D826" s="769" t="s">
        <v>242</v>
      </c>
    </row>
    <row r="827" spans="1:6" s="645" customFormat="1" ht="2.25" customHeight="1">
      <c r="A827" s="646"/>
      <c r="C827" s="632"/>
      <c r="D827" s="259"/>
      <c r="E827" s="632"/>
    </row>
    <row r="828" spans="1:6" s="645" customFormat="1">
      <c r="A828" s="646"/>
      <c r="D828" s="943" t="s">
        <v>10604</v>
      </c>
      <c r="E828" s="942">
        <f>VLOOKUP(calcCh1Prod4Slot2Promo2Plan,dataPromoSeg2,1+MATCH(calcCh1Prod4Slot2Pack,dataPackNames,0),FALSE)</f>
        <v>0</v>
      </c>
      <c r="F828" s="645" t="s">
        <v>10731</v>
      </c>
    </row>
    <row r="829" spans="1:6" s="645" customFormat="1">
      <c r="A829" s="646"/>
      <c r="D829" s="943" t="s">
        <v>4412</v>
      </c>
      <c r="E829" s="942">
        <f>calcCh1Prod4Slot2Promo2Seg2Fit*VLOOKUP(calcCh1Prod4Slot2Promo2Weeks,dataPromoWeeksEffect,2,FALSE)</f>
        <v>0</v>
      </c>
      <c r="F829" s="645" t="s">
        <v>10732</v>
      </c>
    </row>
    <row r="830" spans="1:6" s="645" customFormat="1">
      <c r="A830" s="646"/>
      <c r="D830" s="948" t="s">
        <v>2975</v>
      </c>
      <c r="E830" s="946">
        <f>0.02*calcCh1Prod4Slot2Promo2Weeks+VLOOKUP(calcCh1Prod4Slot2Promo2Weeks,dataPromoWeeksShareEffect,2,FALSE)*calcCh1Prod4Slot2Promo2Seg2Fit</f>
        <v>0</v>
      </c>
      <c r="F830" s="614" t="s">
        <v>11220</v>
      </c>
    </row>
    <row r="831" spans="1:6" s="645" customFormat="1">
      <c r="A831" s="646"/>
    </row>
    <row r="832" spans="1:6" s="645" customFormat="1">
      <c r="A832" s="646"/>
      <c r="D832" s="769" t="s">
        <v>4353</v>
      </c>
    </row>
    <row r="833" spans="1:6" s="645" customFormat="1" ht="2.25" customHeight="1">
      <c r="A833" s="646"/>
      <c r="C833" s="632"/>
      <c r="D833" s="259"/>
      <c r="E833" s="632"/>
    </row>
    <row r="834" spans="1:6" s="645" customFormat="1">
      <c r="A834" s="646"/>
      <c r="D834" s="943" t="s">
        <v>10604</v>
      </c>
      <c r="E834" s="942">
        <f>VLOOKUP(calcCh1Prod4Slot2Promo2Plan,dataPromoSeg3,1+MATCH(calcCh1Prod4Slot2Pack,dataPackNames,0),FALSE)</f>
        <v>0</v>
      </c>
      <c r="F834" s="645" t="s">
        <v>10733</v>
      </c>
    </row>
    <row r="835" spans="1:6" s="645" customFormat="1">
      <c r="A835" s="646"/>
      <c r="D835" s="943" t="s">
        <v>4412</v>
      </c>
      <c r="E835" s="942">
        <f>calcCh1Prod4Slot2Promo2Seg3Fit*VLOOKUP(calcCh1Prod4Slot2Promo2Weeks,dataPromoWeeksEffect,2,FALSE)</f>
        <v>0</v>
      </c>
      <c r="F835" s="645" t="s">
        <v>10734</v>
      </c>
    </row>
    <row r="836" spans="1:6" s="645" customFormat="1">
      <c r="A836" s="646"/>
      <c r="D836" s="948" t="s">
        <v>2975</v>
      </c>
      <c r="E836" s="946">
        <f>0.02*calcCh1Prod4Slot2Promo2Weeks+VLOOKUP(calcCh1Prod4Slot2Promo2Weeks,dataPromoWeeksShareEffect,2,FALSE)*calcCh1Prod4Slot2Promo2Seg3Fit</f>
        <v>0</v>
      </c>
      <c r="F836" s="614" t="s">
        <v>11221</v>
      </c>
    </row>
    <row r="837" spans="1:6" s="645" customFormat="1">
      <c r="A837" s="646"/>
    </row>
    <row r="838" spans="1:6" s="645" customFormat="1">
      <c r="A838" s="646"/>
      <c r="D838" s="769" t="s">
        <v>243</v>
      </c>
    </row>
    <row r="839" spans="1:6" s="645" customFormat="1" ht="2.25" customHeight="1">
      <c r="A839" s="646"/>
      <c r="C839" s="632"/>
      <c r="D839" s="259"/>
      <c r="E839" s="632"/>
    </row>
    <row r="840" spans="1:6" s="645" customFormat="1">
      <c r="A840" s="646"/>
      <c r="D840" s="943" t="s">
        <v>10604</v>
      </c>
      <c r="E840" s="942">
        <f>VLOOKUP(calcCh1Prod4Slot2Promo2Plan,dataPromoSeg4,1+MATCH(calcCh1Prod4Slot2Pack,dataPackNames,0),FALSE)</f>
        <v>0</v>
      </c>
      <c r="F840" s="645" t="s">
        <v>10735</v>
      </c>
    </row>
    <row r="841" spans="1:6" s="645" customFormat="1">
      <c r="A841" s="646"/>
      <c r="D841" s="943" t="s">
        <v>4412</v>
      </c>
      <c r="E841" s="942">
        <f>calcCh1Prod4Slot2Promo2Seg4Fit*VLOOKUP(calcCh1Prod4Slot2Promo2Weeks,dataPromoWeeksEffect,2,FALSE)</f>
        <v>0</v>
      </c>
      <c r="F841" s="645" t="s">
        <v>10736</v>
      </c>
    </row>
    <row r="842" spans="1:6" s="645" customFormat="1">
      <c r="A842" s="646"/>
      <c r="D842" s="948" t="s">
        <v>2975</v>
      </c>
      <c r="E842" s="946">
        <f>0.02*calcCh1Prod4Slot2Promo2Weeks+VLOOKUP(calcCh1Prod4Slot2Promo2Weeks,dataPromoWeeksShareEffect,2,FALSE)*calcCh1Prod4Slot2Promo2Seg4Fit</f>
        <v>0</v>
      </c>
      <c r="F842" s="614" t="s">
        <v>11222</v>
      </c>
    </row>
    <row r="843" spans="1:6" s="645" customFormat="1">
      <c r="A843" s="646"/>
      <c r="D843" s="943"/>
    </row>
    <row r="844" spans="1:6" s="645" customFormat="1">
      <c r="A844" s="646"/>
      <c r="C844" s="769" t="s">
        <v>3860</v>
      </c>
    </row>
    <row r="845" spans="1:6" s="645" customFormat="1">
      <c r="A845" s="646"/>
      <c r="D845" s="769" t="s">
        <v>6111</v>
      </c>
      <c r="E845" s="441" t="str">
        <f>decCh1Prod4Slot3Promo1</f>
        <v>No Promotion</v>
      </c>
      <c r="F845" s="614" t="s">
        <v>5938</v>
      </c>
    </row>
    <row r="846" spans="1:6" s="645" customFormat="1">
      <c r="A846" s="646"/>
      <c r="D846" s="645" t="s">
        <v>5663</v>
      </c>
      <c r="E846" s="645">
        <f>IF(decCh1Prod4Slot3Promo1="No Promotion",0,decCh1Prod4Slot3Promo1Weeks)</f>
        <v>0</v>
      </c>
      <c r="F846" s="645" t="s">
        <v>10737</v>
      </c>
    </row>
    <row r="847" spans="1:6" s="645" customFormat="1">
      <c r="A847" s="646"/>
    </row>
    <row r="848" spans="1:6" s="645" customFormat="1">
      <c r="A848" s="646"/>
      <c r="D848" s="769" t="s">
        <v>241</v>
      </c>
    </row>
    <row r="849" spans="1:6" s="645" customFormat="1" ht="2.25" customHeight="1">
      <c r="A849" s="646"/>
      <c r="C849" s="632"/>
      <c r="D849" s="259"/>
      <c r="E849" s="632"/>
    </row>
    <row r="850" spans="1:6" s="645" customFormat="1">
      <c r="A850" s="646"/>
      <c r="D850" s="943" t="s">
        <v>10604</v>
      </c>
      <c r="E850" s="942">
        <f>VLOOKUP(calcCh1Prod4Slot3Promo1Plan,dataPromoSeg1,1+MATCH(calcCh1Prod4Slot3Pack,dataPackNames,0),FALSE)</f>
        <v>0</v>
      </c>
      <c r="F850" s="645" t="s">
        <v>10738</v>
      </c>
    </row>
    <row r="851" spans="1:6" s="645" customFormat="1">
      <c r="A851" s="646"/>
      <c r="D851" s="943" t="s">
        <v>4412</v>
      </c>
      <c r="E851" s="942">
        <f>calcCh1Prod4Slot3Promo1Seg1Fit*VLOOKUP(calcCh1Prod4Slot3Promo1Weeks,dataPromoWeeksEffect,2,FALSE)</f>
        <v>0</v>
      </c>
      <c r="F851" s="645" t="s">
        <v>10739</v>
      </c>
    </row>
    <row r="852" spans="1:6" s="645" customFormat="1">
      <c r="A852" s="646"/>
      <c r="D852" s="948" t="s">
        <v>2975</v>
      </c>
      <c r="E852" s="946">
        <f>0.02*calcCh1Prod4Slot3Promo1Weeks+VLOOKUP(calcCh1Prod4Slot3Promo1Weeks,dataPromoWeeksShareEffect,2,FALSE)*calcCh1Prod4Slot3Promo1Seg1Fit</f>
        <v>0</v>
      </c>
      <c r="F852" s="614" t="s">
        <v>11223</v>
      </c>
    </row>
    <row r="853" spans="1:6" s="645" customFormat="1">
      <c r="A853" s="646"/>
    </row>
    <row r="854" spans="1:6" s="645" customFormat="1">
      <c r="A854" s="646"/>
      <c r="D854" s="769" t="s">
        <v>242</v>
      </c>
    </row>
    <row r="855" spans="1:6" s="645" customFormat="1" ht="2.25" customHeight="1">
      <c r="A855" s="646"/>
      <c r="C855" s="632"/>
      <c r="D855" s="259"/>
      <c r="E855" s="632"/>
    </row>
    <row r="856" spans="1:6" s="645" customFormat="1">
      <c r="A856" s="646"/>
      <c r="D856" s="943" t="s">
        <v>10604</v>
      </c>
      <c r="E856" s="942">
        <f>VLOOKUP(calcCh1Prod4Slot3Promo1Plan,dataPromoSeg2,1+MATCH(calcCh1Prod4Slot3Pack,dataPackNames,0),FALSE)</f>
        <v>0</v>
      </c>
      <c r="F856" s="645" t="s">
        <v>10740</v>
      </c>
    </row>
    <row r="857" spans="1:6" s="645" customFormat="1">
      <c r="A857" s="646"/>
      <c r="D857" s="943" t="s">
        <v>4412</v>
      </c>
      <c r="E857" s="942">
        <f>calcCh1Prod4Slot3Promo1Seg2Fit*VLOOKUP(calcCh1Prod4Slot3Promo1Weeks,dataPromoWeeksEffect,2,FALSE)</f>
        <v>0</v>
      </c>
      <c r="F857" s="645" t="s">
        <v>10741</v>
      </c>
    </row>
    <row r="858" spans="1:6" s="645" customFormat="1">
      <c r="A858" s="646"/>
      <c r="D858" s="948" t="s">
        <v>2975</v>
      </c>
      <c r="E858" s="946">
        <f>0.02*calcCh1Prod4Slot3Promo1Weeks+VLOOKUP(calcCh1Prod4Slot3Promo1Weeks,dataPromoWeeksShareEffect,2,FALSE)*calcCh1Prod4Slot3Promo1Seg2Fit</f>
        <v>0</v>
      </c>
      <c r="F858" s="614" t="s">
        <v>11224</v>
      </c>
    </row>
    <row r="859" spans="1:6" s="645" customFormat="1">
      <c r="A859" s="646"/>
    </row>
    <row r="860" spans="1:6" s="645" customFormat="1">
      <c r="A860" s="646"/>
      <c r="D860" s="769" t="s">
        <v>4353</v>
      </c>
    </row>
    <row r="861" spans="1:6" s="645" customFormat="1" ht="2.25" customHeight="1">
      <c r="A861" s="646"/>
      <c r="C861" s="632"/>
      <c r="D861" s="259"/>
      <c r="E861" s="632"/>
    </row>
    <row r="862" spans="1:6" s="645" customFormat="1">
      <c r="A862" s="646"/>
      <c r="D862" s="943" t="s">
        <v>10604</v>
      </c>
      <c r="E862" s="942">
        <f>VLOOKUP(calcCh1Prod4Slot3Promo1Plan,dataPromoSeg3,1+MATCH(calcCh1Prod4Slot3Pack,dataPackNames,0),FALSE)</f>
        <v>0</v>
      </c>
      <c r="F862" s="645" t="s">
        <v>10742</v>
      </c>
    </row>
    <row r="863" spans="1:6" s="645" customFormat="1">
      <c r="A863" s="646"/>
      <c r="D863" s="943" t="s">
        <v>4412</v>
      </c>
      <c r="E863" s="942">
        <f>calcCh1Prod4Slot3Promo1Seg3Fit*VLOOKUP(calcCh1Prod4Slot3Promo1Weeks,dataPromoWeeksEffect,2,FALSE)</f>
        <v>0</v>
      </c>
      <c r="F863" s="645" t="s">
        <v>10743</v>
      </c>
    </row>
    <row r="864" spans="1:6" s="645" customFormat="1">
      <c r="A864" s="646"/>
      <c r="D864" s="948" t="s">
        <v>2975</v>
      </c>
      <c r="E864" s="946">
        <f>0.02*calcCh1Prod4Slot3Promo1Weeks+VLOOKUP(calcCh1Prod4Slot3Promo1Weeks,dataPromoWeeksShareEffect,2,FALSE)*calcCh1Prod4Slot3Promo1Seg3Fit</f>
        <v>0</v>
      </c>
      <c r="F864" s="614" t="s">
        <v>11225</v>
      </c>
    </row>
    <row r="865" spans="1:6" s="645" customFormat="1">
      <c r="A865" s="646"/>
    </row>
    <row r="866" spans="1:6" s="645" customFormat="1">
      <c r="A866" s="646"/>
      <c r="D866" s="769" t="s">
        <v>243</v>
      </c>
    </row>
    <row r="867" spans="1:6" s="645" customFormat="1" ht="2.25" customHeight="1">
      <c r="A867" s="646"/>
      <c r="C867" s="632"/>
      <c r="D867" s="259"/>
      <c r="E867" s="632"/>
    </row>
    <row r="868" spans="1:6" s="645" customFormat="1">
      <c r="A868" s="646"/>
      <c r="D868" s="943" t="s">
        <v>10604</v>
      </c>
      <c r="E868" s="942">
        <f>VLOOKUP(calcCh1Prod4Slot3Promo1Plan,dataPromoSeg4,1+MATCH(calcCh1Prod4Slot3Pack,dataPackNames,0),FALSE)</f>
        <v>0</v>
      </c>
      <c r="F868" s="645" t="s">
        <v>10744</v>
      </c>
    </row>
    <row r="869" spans="1:6" s="645" customFormat="1">
      <c r="A869" s="646"/>
      <c r="D869" s="943" t="s">
        <v>4412</v>
      </c>
      <c r="E869" s="942">
        <f>calcCh1Prod4Slot3Promo1Seg4Fit*VLOOKUP(calcCh1Prod4Slot3Promo1Weeks,dataPromoWeeksEffect,2,FALSE)</f>
        <v>0</v>
      </c>
      <c r="F869" s="645" t="s">
        <v>10745</v>
      </c>
    </row>
    <row r="870" spans="1:6" s="645" customFormat="1">
      <c r="A870" s="646"/>
      <c r="D870" s="948" t="s">
        <v>2975</v>
      </c>
      <c r="E870" s="946">
        <f>0.02*calcCh1Prod4Slot3Promo1Weeks+VLOOKUP(calcCh1Prod4Slot3Promo1Weeks,dataPromoWeeksShareEffect,2,FALSE)*calcCh1Prod4Slot3Promo1Seg4Fit</f>
        <v>0</v>
      </c>
      <c r="F870" s="614" t="s">
        <v>11226</v>
      </c>
    </row>
    <row r="871" spans="1:6" s="645" customFormat="1">
      <c r="A871" s="646"/>
      <c r="D871" s="943"/>
    </row>
    <row r="872" spans="1:6" s="645" customFormat="1">
      <c r="A872" s="646"/>
      <c r="D872" s="769" t="s">
        <v>6112</v>
      </c>
      <c r="E872" s="441" t="str">
        <f>decCh1Prod4Slot3Promo2</f>
        <v>No Promotion</v>
      </c>
      <c r="F872" s="614" t="s">
        <v>5940</v>
      </c>
    </row>
    <row r="873" spans="1:6" s="645" customFormat="1">
      <c r="A873" s="646"/>
      <c r="D873" s="645" t="s">
        <v>5663</v>
      </c>
      <c r="E873" s="645">
        <f>IF(decCh1Prod4Slot3Promo2="No Promotion",0,decCh1Prod4Slot3Promo2Weeks)</f>
        <v>0</v>
      </c>
      <c r="F873" s="645" t="s">
        <v>10746</v>
      </c>
    </row>
    <row r="874" spans="1:6" s="645" customFormat="1">
      <c r="A874" s="646"/>
    </row>
    <row r="875" spans="1:6" s="645" customFormat="1">
      <c r="A875" s="646"/>
      <c r="D875" s="769" t="s">
        <v>241</v>
      </c>
    </row>
    <row r="876" spans="1:6" s="645" customFormat="1" ht="2.25" customHeight="1">
      <c r="A876" s="646"/>
      <c r="C876" s="632"/>
      <c r="D876" s="259"/>
      <c r="E876" s="632"/>
    </row>
    <row r="877" spans="1:6" s="645" customFormat="1">
      <c r="A877" s="646"/>
      <c r="D877" s="943" t="s">
        <v>10604</v>
      </c>
      <c r="E877" s="942">
        <f>VLOOKUP(calcCh1Prod4Slot3Promo2Plan,dataPromoSeg1,1+MATCH(calcCh1Prod4Slot3Pack,dataPackNames,0),FALSE)</f>
        <v>0</v>
      </c>
      <c r="F877" s="645" t="s">
        <v>10747</v>
      </c>
    </row>
    <row r="878" spans="1:6" s="645" customFormat="1">
      <c r="A878" s="646"/>
      <c r="D878" s="943" t="s">
        <v>4412</v>
      </c>
      <c r="E878" s="942">
        <f>calcCh1Prod4Slot3Promo2Seg1Fit*VLOOKUP(calcCh1Prod4Slot3Promo2Weeks,dataPromoWeeksEffect,2,FALSE)</f>
        <v>0</v>
      </c>
      <c r="F878" s="645" t="s">
        <v>10748</v>
      </c>
    </row>
    <row r="879" spans="1:6" s="645" customFormat="1">
      <c r="A879" s="646"/>
      <c r="D879" s="948" t="s">
        <v>2975</v>
      </c>
      <c r="E879" s="946">
        <f>0.02*calcCh1Prod4Slot3Promo2Weeks+VLOOKUP(calcCh1Prod4Slot3Promo2Weeks,dataPromoWeeksShareEffect,2,FALSE)*calcCh1Prod4Slot3Promo2Seg1Fit</f>
        <v>0</v>
      </c>
      <c r="F879" s="614" t="s">
        <v>11227</v>
      </c>
    </row>
    <row r="880" spans="1:6" s="645" customFormat="1">
      <c r="A880" s="646"/>
      <c r="E880" s="946"/>
    </row>
    <row r="881" spans="1:6" s="645" customFormat="1">
      <c r="A881" s="646"/>
      <c r="D881" s="769" t="s">
        <v>242</v>
      </c>
    </row>
    <row r="882" spans="1:6" s="645" customFormat="1" ht="2.25" customHeight="1">
      <c r="A882" s="646"/>
      <c r="C882" s="632"/>
      <c r="D882" s="259"/>
      <c r="E882" s="632"/>
    </row>
    <row r="883" spans="1:6" s="645" customFormat="1">
      <c r="A883" s="646"/>
      <c r="D883" s="943" t="s">
        <v>10604</v>
      </c>
      <c r="E883" s="942">
        <f>VLOOKUP(calcCh1Prod4Slot3Promo2Plan,dataPromoSeg2,1+MATCH(calcCh1Prod4Slot3Pack,dataPackNames,0),FALSE)</f>
        <v>0</v>
      </c>
      <c r="F883" s="645" t="s">
        <v>10749</v>
      </c>
    </row>
    <row r="884" spans="1:6" s="645" customFormat="1">
      <c r="A884" s="646"/>
      <c r="D884" s="943" t="s">
        <v>4412</v>
      </c>
      <c r="E884" s="942">
        <f>calcCh1Prod4Slot3Promo2Seg2Fit*VLOOKUP(calcCh1Prod4Slot3Promo2Weeks,dataPromoWeeksEffect,2,FALSE)</f>
        <v>0</v>
      </c>
      <c r="F884" s="645" t="s">
        <v>10750</v>
      </c>
    </row>
    <row r="885" spans="1:6" s="645" customFormat="1">
      <c r="A885" s="646"/>
      <c r="D885" s="948" t="s">
        <v>2975</v>
      </c>
      <c r="E885" s="946">
        <f>0.02*calcCh1Prod4Slot3Promo2Weeks+VLOOKUP(calcCh1Prod4Slot3Promo2Weeks,dataPromoWeeksShareEffect,2,FALSE)*calcCh1Prod4Slot3Promo2Seg2Fit</f>
        <v>0</v>
      </c>
      <c r="F885" s="614" t="s">
        <v>11228</v>
      </c>
    </row>
    <row r="886" spans="1:6" s="645" customFormat="1">
      <c r="A886" s="646"/>
    </row>
    <row r="887" spans="1:6" s="645" customFormat="1">
      <c r="A887" s="646"/>
      <c r="D887" s="769" t="s">
        <v>4353</v>
      </c>
    </row>
    <row r="888" spans="1:6" s="645" customFormat="1" ht="2.25" customHeight="1">
      <c r="A888" s="646"/>
      <c r="C888" s="632"/>
      <c r="D888" s="259"/>
      <c r="E888" s="632"/>
    </row>
    <row r="889" spans="1:6" s="645" customFormat="1">
      <c r="A889" s="646"/>
      <c r="D889" s="943" t="s">
        <v>10604</v>
      </c>
      <c r="E889" s="942">
        <f>VLOOKUP(calcCh1Prod4Slot3Promo2Plan,dataPromoSeg3,1+MATCH(calcCh1Prod4Slot3Pack,dataPackNames,0),FALSE)</f>
        <v>0</v>
      </c>
      <c r="F889" s="645" t="s">
        <v>10751</v>
      </c>
    </row>
    <row r="890" spans="1:6" s="645" customFormat="1">
      <c r="A890" s="646"/>
      <c r="D890" s="943" t="s">
        <v>4412</v>
      </c>
      <c r="E890" s="942">
        <f>calcCh1Prod4Slot3Promo2Seg3Fit*VLOOKUP(calcCh1Prod4Slot3Promo2Weeks,dataPromoWeeksEffect,2,FALSE)</f>
        <v>0</v>
      </c>
      <c r="F890" s="645" t="s">
        <v>10752</v>
      </c>
    </row>
    <row r="891" spans="1:6" s="645" customFormat="1">
      <c r="A891" s="646"/>
      <c r="D891" s="948" t="s">
        <v>2975</v>
      </c>
      <c r="E891" s="946">
        <f>0.02*calcCh1Prod4Slot3Promo2Weeks+VLOOKUP(calcCh1Prod4Slot3Promo2Weeks,dataPromoWeeksShareEffect,2,FALSE)*calcCh1Prod4Slot3Promo2Seg3Fit</f>
        <v>0</v>
      </c>
      <c r="F891" s="614" t="s">
        <v>11229</v>
      </c>
    </row>
    <row r="892" spans="1:6" s="645" customFormat="1">
      <c r="A892" s="646"/>
    </row>
    <row r="893" spans="1:6" s="645" customFormat="1">
      <c r="A893" s="646"/>
      <c r="D893" s="769" t="s">
        <v>243</v>
      </c>
    </row>
    <row r="894" spans="1:6" s="645" customFormat="1" ht="2.25" customHeight="1">
      <c r="A894" s="646"/>
      <c r="C894" s="632"/>
      <c r="D894" s="259"/>
      <c r="E894" s="632"/>
    </row>
    <row r="895" spans="1:6" s="645" customFormat="1">
      <c r="A895" s="646"/>
      <c r="D895" s="943" t="s">
        <v>10604</v>
      </c>
      <c r="E895" s="942">
        <f>VLOOKUP(calcCh1Prod4Slot3Promo2Plan,dataPromoSeg4,1+MATCH(calcCh1Prod4Slot3Pack,dataPackNames,0),FALSE)</f>
        <v>0</v>
      </c>
      <c r="F895" s="645" t="s">
        <v>10753</v>
      </c>
    </row>
    <row r="896" spans="1:6" s="645" customFormat="1">
      <c r="A896" s="646"/>
      <c r="D896" s="943" t="s">
        <v>4412</v>
      </c>
      <c r="E896" s="942">
        <f>calcCh1Prod4Slot3Promo2Seg4Fit*VLOOKUP(calcCh1Prod4Slot3Promo2Weeks,dataPromoWeeksEffect,2,FALSE)</f>
        <v>0</v>
      </c>
      <c r="F896" s="645" t="s">
        <v>10754</v>
      </c>
    </row>
    <row r="897" spans="1:6" s="645" customFormat="1">
      <c r="A897" s="646"/>
      <c r="D897" s="948" t="s">
        <v>2975</v>
      </c>
      <c r="E897" s="946">
        <f>0.02*calcCh1Prod4Slot3Promo2Weeks+VLOOKUP(calcCh1Prod4Slot3Promo2Weeks,dataPromoWeeksShareEffect,2,FALSE)*calcCh1Prod4Slot3Promo2Seg4Fit</f>
        <v>0</v>
      </c>
      <c r="F897" s="614" t="s">
        <v>11230</v>
      </c>
    </row>
    <row r="898" spans="1:6" s="645" customFormat="1">
      <c r="A898" s="646"/>
      <c r="D898" s="948"/>
      <c r="E898" s="946"/>
      <c r="F898" s="614"/>
    </row>
    <row r="899" spans="1:6" s="645" customFormat="1">
      <c r="A899" s="646"/>
      <c r="D899" s="948"/>
      <c r="E899" s="946"/>
      <c r="F899" s="614"/>
    </row>
    <row r="900" spans="1:6" s="645" customFormat="1">
      <c r="A900" s="646"/>
      <c r="B900" s="769" t="s">
        <v>5199</v>
      </c>
    </row>
    <row r="901" spans="1:6" s="645" customFormat="1">
      <c r="A901" s="646"/>
      <c r="B901" s="769" t="s">
        <v>12868</v>
      </c>
    </row>
    <row r="902" spans="1:6" s="645" customFormat="1">
      <c r="A902" s="646"/>
      <c r="C902" s="769" t="s">
        <v>3859</v>
      </c>
    </row>
    <row r="903" spans="1:6" s="645" customFormat="1">
      <c r="A903" s="646"/>
      <c r="D903" s="769" t="s">
        <v>6111</v>
      </c>
      <c r="E903" s="441" t="str">
        <f>decCh3Prod1Slot1Promo1</f>
        <v>TPR 20%</v>
      </c>
      <c r="F903" s="614" t="s">
        <v>5990</v>
      </c>
    </row>
    <row r="904" spans="1:6" s="645" customFormat="1">
      <c r="A904" s="646"/>
      <c r="D904" s="645" t="s">
        <v>5663</v>
      </c>
      <c r="E904" s="645">
        <f>IF(decCh3Prod1Slot1Promo1="No Promotion",0,decCh3Prod1Slot1Promo1Weeks)</f>
        <v>2</v>
      </c>
      <c r="F904" s="645" t="s">
        <v>10626</v>
      </c>
    </row>
    <row r="905" spans="1:6" s="645" customFormat="1">
      <c r="A905" s="646"/>
    </row>
    <row r="906" spans="1:6" s="645" customFormat="1">
      <c r="A906" s="646"/>
      <c r="D906" s="769" t="s">
        <v>241</v>
      </c>
    </row>
    <row r="907" spans="1:6" s="645" customFormat="1" ht="2.25" customHeight="1">
      <c r="A907" s="646"/>
      <c r="C907" s="632"/>
      <c r="D907" s="259"/>
      <c r="E907" s="632"/>
    </row>
    <row r="908" spans="1:6" s="645" customFormat="1">
      <c r="A908" s="646"/>
      <c r="D908" s="943" t="s">
        <v>10604</v>
      </c>
      <c r="E908" s="942">
        <f>VLOOKUP(calcCh3Prod1Slot1Promo1Plan,dataPromoSeg1,1+MATCH(calcCh3Prod1Slot1Pack,dataPackNames,0),FALSE)</f>
        <v>5.96</v>
      </c>
      <c r="F908" s="645" t="s">
        <v>10627</v>
      </c>
    </row>
    <row r="909" spans="1:6" s="645" customFormat="1">
      <c r="A909" s="646"/>
      <c r="D909" s="943" t="s">
        <v>4412</v>
      </c>
      <c r="E909" s="942">
        <f>calcCh3Prod1Slot1Promo1Seg1Fit*VLOOKUP(calcCh3Prod1Slot1Promo1Weeks,dataPromoWeeksEffect,4,FALSE)</f>
        <v>16.687999999999999</v>
      </c>
      <c r="F909" s="645" t="s">
        <v>10628</v>
      </c>
    </row>
    <row r="910" spans="1:6" s="645" customFormat="1">
      <c r="A910" s="646"/>
      <c r="D910" s="948" t="s">
        <v>2975</v>
      </c>
      <c r="E910" s="946">
        <f>0.02*calcCh3Prod1Slot1Promo1Weeks+VLOOKUP(calcCh3Prod1Slot1Promo1Weeks,dataPromoWeeksShareEffect,4,FALSE)*calcCh3Prod1Slot1Promo1Seg1Fit</f>
        <v>0.15294200000000002</v>
      </c>
      <c r="F910" s="614" t="s">
        <v>10675</v>
      </c>
    </row>
    <row r="911" spans="1:6" s="645" customFormat="1">
      <c r="A911" s="646"/>
    </row>
    <row r="912" spans="1:6" s="645" customFormat="1">
      <c r="A912" s="646"/>
      <c r="D912" s="769" t="s">
        <v>242</v>
      </c>
    </row>
    <row r="913" spans="1:6" s="645" customFormat="1" ht="2.25" customHeight="1">
      <c r="A913" s="646"/>
      <c r="C913" s="632"/>
      <c r="D913" s="259"/>
      <c r="E913" s="632"/>
    </row>
    <row r="914" spans="1:6" s="645" customFormat="1">
      <c r="A914" s="646"/>
      <c r="D914" s="943" t="s">
        <v>10604</v>
      </c>
      <c r="E914" s="942">
        <f>VLOOKUP(calcCh3Prod1Slot1Promo1Plan,dataPromoSeg2,1+MATCH(calcCh3Prod1Slot1Pack,dataPackNames,0),FALSE)</f>
        <v>6.5799999999999992</v>
      </c>
      <c r="F914" s="645" t="s">
        <v>10630</v>
      </c>
    </row>
    <row r="915" spans="1:6" s="645" customFormat="1">
      <c r="A915" s="646"/>
      <c r="D915" s="943" t="s">
        <v>4412</v>
      </c>
      <c r="E915" s="942">
        <f>calcCh3Prod1Slot1Promo1Seg2Fit*VLOOKUP(calcCh3Prod1Slot1Promo1Weeks,dataPromoWeeksEffect,4,FALSE)</f>
        <v>18.423999999999996</v>
      </c>
      <c r="F915" s="645" t="s">
        <v>10631</v>
      </c>
    </row>
    <row r="916" spans="1:6" s="645" customFormat="1">
      <c r="A916" s="646"/>
      <c r="D916" s="948" t="s">
        <v>2975</v>
      </c>
      <c r="E916" s="946">
        <f>0.02*calcCh3Prod1Slot1Promo1Weeks+VLOOKUP(calcCh3Prod1Slot1Promo1Weeks,dataPromoWeeksShareEffect,4,FALSE)*calcCh3Prod1Slot1Promo1Seg2Fit</f>
        <v>0.164691</v>
      </c>
      <c r="F916" s="614" t="s">
        <v>10676</v>
      </c>
    </row>
    <row r="917" spans="1:6" s="645" customFormat="1">
      <c r="A917" s="646"/>
    </row>
    <row r="918" spans="1:6" s="645" customFormat="1">
      <c r="A918" s="646"/>
      <c r="D918" s="769" t="s">
        <v>4353</v>
      </c>
    </row>
    <row r="919" spans="1:6" s="645" customFormat="1" ht="2.25" customHeight="1">
      <c r="A919" s="646"/>
      <c r="C919" s="632"/>
      <c r="D919" s="259"/>
      <c r="E919" s="632"/>
    </row>
    <row r="920" spans="1:6" s="645" customFormat="1">
      <c r="A920" s="646"/>
      <c r="D920" s="943" t="s">
        <v>10604</v>
      </c>
      <c r="E920" s="942">
        <f>VLOOKUP(calcCh3Prod1Slot1Promo1Plan,dataPromoSeg3,1+MATCH(calcCh3Prod1Slot1Pack,dataPackNames,0),FALSE)</f>
        <v>6.6399999999999988</v>
      </c>
      <c r="F920" s="645" t="s">
        <v>10633</v>
      </c>
    </row>
    <row r="921" spans="1:6" s="645" customFormat="1">
      <c r="A921" s="646"/>
      <c r="D921" s="943" t="s">
        <v>4412</v>
      </c>
      <c r="E921" s="942">
        <f>calcCh3Prod1Slot1Promo1Seg3Fit*VLOOKUP(calcCh3Prod1Slot1Promo1Weeks,dataPromoWeeksEffect,4,FALSE)</f>
        <v>18.591999999999995</v>
      </c>
      <c r="F921" s="645" t="s">
        <v>10634</v>
      </c>
    </row>
    <row r="922" spans="1:6" s="645" customFormat="1">
      <c r="A922" s="646"/>
      <c r="D922" s="948" t="s">
        <v>2975</v>
      </c>
      <c r="E922" s="946">
        <f>0.02*calcCh3Prod1Slot1Promo1Weeks+VLOOKUP(calcCh3Prod1Slot1Promo1Weeks,dataPromoWeeksShareEffect,4,FALSE)*calcCh3Prod1Slot1Promo1Seg3Fit</f>
        <v>0.165828</v>
      </c>
      <c r="F922" s="614" t="s">
        <v>10677</v>
      </c>
    </row>
    <row r="923" spans="1:6" s="645" customFormat="1">
      <c r="A923" s="646"/>
    </row>
    <row r="924" spans="1:6" s="645" customFormat="1">
      <c r="A924" s="646"/>
      <c r="D924" s="769" t="s">
        <v>243</v>
      </c>
    </row>
    <row r="925" spans="1:6" s="645" customFormat="1" ht="2.25" customHeight="1">
      <c r="A925" s="646"/>
      <c r="C925" s="632"/>
      <c r="D925" s="259"/>
      <c r="E925" s="632"/>
    </row>
    <row r="926" spans="1:6" s="645" customFormat="1">
      <c r="A926" s="646"/>
      <c r="D926" s="943" t="s">
        <v>10604</v>
      </c>
      <c r="E926" s="942">
        <f>VLOOKUP(calcCh3Prod1Slot1Promo1Plan,dataPromoSeg4,1+MATCH(calcCh3Prod1Slot1Pack,dataPackNames,0),FALSE)</f>
        <v>6.2799999999999994</v>
      </c>
      <c r="F926" s="645" t="s">
        <v>10636</v>
      </c>
    </row>
    <row r="927" spans="1:6" s="645" customFormat="1">
      <c r="A927" s="646"/>
      <c r="D927" s="943" t="s">
        <v>4412</v>
      </c>
      <c r="E927" s="942">
        <f>calcCh3Prod1Slot1Promo1Seg4Fit*VLOOKUP(calcCh3Prod1Slot1Promo1Weeks,dataPromoWeeksEffect,4,FALSE)</f>
        <v>17.583999999999996</v>
      </c>
      <c r="F927" s="645" t="s">
        <v>10637</v>
      </c>
    </row>
    <row r="928" spans="1:6" s="645" customFormat="1">
      <c r="A928" s="646"/>
      <c r="D928" s="948" t="s">
        <v>2975</v>
      </c>
      <c r="E928" s="946">
        <f>0.02*calcCh3Prod1Slot1Promo1Weeks+VLOOKUP(calcCh3Prod1Slot1Promo1Weeks,dataPromoWeeksShareEffect,4,FALSE)*calcCh3Prod1Slot1Promo1Seg4Fit</f>
        <v>0.15900600000000001</v>
      </c>
      <c r="F928" s="614" t="s">
        <v>10678</v>
      </c>
    </row>
    <row r="929" spans="1:6" s="645" customFormat="1">
      <c r="A929" s="646"/>
      <c r="D929" s="943"/>
    </row>
    <row r="930" spans="1:6" s="645" customFormat="1">
      <c r="A930" s="646"/>
      <c r="C930" s="769" t="s">
        <v>3858</v>
      </c>
    </row>
    <row r="931" spans="1:6" s="645" customFormat="1">
      <c r="A931" s="646"/>
      <c r="D931" s="769" t="s">
        <v>6111</v>
      </c>
      <c r="E931" s="441" t="str">
        <f>decCh3Prod1Slot2Promo1</f>
        <v>No Promotion</v>
      </c>
      <c r="F931" s="614" t="s">
        <v>5992</v>
      </c>
    </row>
    <row r="932" spans="1:6" s="645" customFormat="1">
      <c r="A932" s="646"/>
      <c r="D932" s="645" t="s">
        <v>5663</v>
      </c>
      <c r="E932" s="645">
        <f>IF(decCh3Prod1Slot2Promo1="No Promotion",0,decCh3Prod1Slot2Promo1Weeks)</f>
        <v>0</v>
      </c>
      <c r="F932" s="645" t="s">
        <v>10692</v>
      </c>
    </row>
    <row r="933" spans="1:6" s="645" customFormat="1">
      <c r="A933" s="646"/>
    </row>
    <row r="934" spans="1:6" s="645" customFormat="1">
      <c r="A934" s="646"/>
      <c r="D934" s="769" t="s">
        <v>241</v>
      </c>
    </row>
    <row r="935" spans="1:6" s="645" customFormat="1" ht="2.25" customHeight="1">
      <c r="A935" s="646"/>
      <c r="C935" s="632"/>
      <c r="D935" s="259"/>
      <c r="E935" s="632"/>
    </row>
    <row r="936" spans="1:6" s="645" customFormat="1">
      <c r="A936" s="646"/>
      <c r="D936" s="943" t="s">
        <v>10604</v>
      </c>
      <c r="E936" s="942">
        <f>VLOOKUP(calcCh3Prod1Slot2Promo1Plan,dataPromoSeg1,1+MATCH(calcCh3Prod1Slot2Pack,dataPackNames,0),FALSE)</f>
        <v>0</v>
      </c>
      <c r="F936" s="645" t="s">
        <v>10693</v>
      </c>
    </row>
    <row r="937" spans="1:6" s="645" customFormat="1">
      <c r="A937" s="646"/>
      <c r="D937" s="943" t="s">
        <v>4412</v>
      </c>
      <c r="E937" s="942">
        <f>calcCh3Prod1Slot2Promo1Seg1Fit*VLOOKUP(calcCh3Prod1Slot2Promo1Weeks,dataPromoWeeksEffect,4,FALSE)</f>
        <v>0</v>
      </c>
      <c r="F937" s="645" t="s">
        <v>10694</v>
      </c>
    </row>
    <row r="938" spans="1:6" s="645" customFormat="1">
      <c r="A938" s="646"/>
      <c r="D938" s="948" t="s">
        <v>2975</v>
      </c>
      <c r="E938" s="946">
        <f>0.02*calcCh3Prod1Slot2Promo1Weeks+VLOOKUP(calcCh3Prod1Slot2Promo1Weeks,dataPromoWeeksShareEffect,4,FALSE)*calcCh3Prod1Slot2Promo1Seg1Fit</f>
        <v>0</v>
      </c>
      <c r="F938" s="614" t="s">
        <v>10629</v>
      </c>
    </row>
    <row r="939" spans="1:6" s="645" customFormat="1">
      <c r="A939" s="646"/>
    </row>
    <row r="940" spans="1:6" s="645" customFormat="1">
      <c r="A940" s="646"/>
      <c r="D940" s="769" t="s">
        <v>242</v>
      </c>
    </row>
    <row r="941" spans="1:6" s="645" customFormat="1" ht="2.25" customHeight="1">
      <c r="A941" s="646"/>
      <c r="C941" s="632"/>
      <c r="D941" s="259"/>
      <c r="E941" s="632"/>
    </row>
    <row r="942" spans="1:6" s="645" customFormat="1">
      <c r="A942" s="646"/>
      <c r="D942" s="943" t="s">
        <v>10604</v>
      </c>
      <c r="E942" s="942">
        <f>VLOOKUP(calcCh3Prod1Slot2Promo1Plan,dataPromoSeg2,1+MATCH(calcCh3Prod1Slot2Pack,dataPackNames,0),FALSE)</f>
        <v>0</v>
      </c>
      <c r="F942" s="645" t="s">
        <v>10695</v>
      </c>
    </row>
    <row r="943" spans="1:6" s="645" customFormat="1">
      <c r="A943" s="646"/>
      <c r="D943" s="943" t="s">
        <v>4412</v>
      </c>
      <c r="E943" s="942">
        <f>calcCh3Prod1Slot2Promo1Seg2Fit*VLOOKUP(calcCh3Prod1Slot2Promo1Weeks,dataPromoWeeksEffect,4,FALSE)</f>
        <v>0</v>
      </c>
      <c r="F943" s="645" t="s">
        <v>10696</v>
      </c>
    </row>
    <row r="944" spans="1:6" s="645" customFormat="1">
      <c r="A944" s="646"/>
      <c r="D944" s="948" t="s">
        <v>2975</v>
      </c>
      <c r="E944" s="946">
        <f>0.02*calcCh3Prod1Slot2Promo1Weeks+VLOOKUP(calcCh3Prod1Slot2Promo1Weeks,dataPromoWeeksShareEffect,4,FALSE)*calcCh3Prod1Slot2Promo1Seg2Fit</f>
        <v>0</v>
      </c>
      <c r="F944" s="614" t="s">
        <v>10632</v>
      </c>
    </row>
    <row r="945" spans="1:6" s="645" customFormat="1">
      <c r="A945" s="646"/>
    </row>
    <row r="946" spans="1:6" s="645" customFormat="1">
      <c r="A946" s="646"/>
      <c r="D946" s="769" t="s">
        <v>4353</v>
      </c>
    </row>
    <row r="947" spans="1:6" s="645" customFormat="1" ht="2.25" customHeight="1">
      <c r="A947" s="646"/>
      <c r="C947" s="632"/>
      <c r="D947" s="259"/>
      <c r="E947" s="632"/>
    </row>
    <row r="948" spans="1:6" s="645" customFormat="1">
      <c r="A948" s="646"/>
      <c r="D948" s="943" t="s">
        <v>10604</v>
      </c>
      <c r="E948" s="942">
        <f>VLOOKUP(calcCh3Prod1Slot2Promo1Plan,dataPromoSeg3,1+MATCH(calcCh3Prod1Slot2Pack,dataPackNames,0),FALSE)</f>
        <v>0</v>
      </c>
      <c r="F948" s="645" t="s">
        <v>10697</v>
      </c>
    </row>
    <row r="949" spans="1:6" s="645" customFormat="1">
      <c r="A949" s="646"/>
      <c r="D949" s="943" t="s">
        <v>4412</v>
      </c>
      <c r="E949" s="942">
        <f>calcCh3Prod1Slot2Promo1Seg3Fit*VLOOKUP(calcCh3Prod1Slot2Promo1Weeks,dataPromoWeeksEffect,4,FALSE)</f>
        <v>0</v>
      </c>
      <c r="F949" s="645" t="s">
        <v>10698</v>
      </c>
    </row>
    <row r="950" spans="1:6" s="645" customFormat="1">
      <c r="A950" s="646"/>
      <c r="D950" s="948" t="s">
        <v>2975</v>
      </c>
      <c r="E950" s="946">
        <f>0.02*calcCh3Prod1Slot2Promo1Weeks+VLOOKUP(calcCh3Prod1Slot2Promo1Weeks,dataPromoWeeksShareEffect,4,FALSE)*calcCh3Prod1Slot2Promo1Seg3Fit</f>
        <v>0</v>
      </c>
      <c r="F950" s="614" t="s">
        <v>10635</v>
      </c>
    </row>
    <row r="951" spans="1:6" s="645" customFormat="1">
      <c r="A951" s="646"/>
    </row>
    <row r="952" spans="1:6" s="645" customFormat="1">
      <c r="A952" s="646"/>
      <c r="D952" s="769" t="s">
        <v>243</v>
      </c>
    </row>
    <row r="953" spans="1:6" s="645" customFormat="1" ht="2.25" customHeight="1">
      <c r="A953" s="646"/>
      <c r="C953" s="632"/>
      <c r="D953" s="259"/>
      <c r="E953" s="632"/>
    </row>
    <row r="954" spans="1:6" s="645" customFormat="1">
      <c r="A954" s="646"/>
      <c r="D954" s="943" t="s">
        <v>10604</v>
      </c>
      <c r="E954" s="942">
        <f>VLOOKUP(calcCh3Prod1Slot2Promo1Plan,dataPromoSeg4,1+MATCH(calcCh3Prod1Slot2Pack,dataPackNames,0),FALSE)</f>
        <v>0</v>
      </c>
      <c r="F954" s="645" t="s">
        <v>10699</v>
      </c>
    </row>
    <row r="955" spans="1:6" s="645" customFormat="1">
      <c r="A955" s="646"/>
      <c r="D955" s="943" t="s">
        <v>4412</v>
      </c>
      <c r="E955" s="942">
        <f>calcCh3Prod1Slot2Promo1Seg4Fit*VLOOKUP(calcCh3Prod1Slot2Promo1Weeks,dataPromoWeeksEffect,4,FALSE)</f>
        <v>0</v>
      </c>
      <c r="F955" s="645" t="s">
        <v>10700</v>
      </c>
    </row>
    <row r="956" spans="1:6" s="645" customFormat="1">
      <c r="A956" s="646"/>
      <c r="D956" s="948" t="s">
        <v>2975</v>
      </c>
      <c r="E956" s="946">
        <f>0.02*calcCh3Prod1Slot2Promo1Weeks+VLOOKUP(calcCh3Prod1Slot2Promo1Weeks,dataPromoWeeksShareEffect,4,FALSE)*calcCh3Prod1Slot2Promo1Seg4Fit</f>
        <v>0</v>
      </c>
      <c r="F956" s="614" t="s">
        <v>10638</v>
      </c>
    </row>
    <row r="957" spans="1:6" s="645" customFormat="1">
      <c r="A957" s="646"/>
      <c r="D957" s="943"/>
    </row>
    <row r="958" spans="1:6" s="645" customFormat="1">
      <c r="A958" s="646"/>
      <c r="C958" s="769" t="s">
        <v>3860</v>
      </c>
    </row>
    <row r="959" spans="1:6" s="645" customFormat="1">
      <c r="A959" s="646"/>
      <c r="D959" s="769" t="s">
        <v>6111</v>
      </c>
      <c r="E959" s="441" t="str">
        <f>decCh3Prod1Slot3Promo1</f>
        <v>No Promotion</v>
      </c>
      <c r="F959" s="614" t="s">
        <v>5994</v>
      </c>
    </row>
    <row r="960" spans="1:6" s="645" customFormat="1">
      <c r="A960" s="646"/>
      <c r="D960" s="645" t="s">
        <v>5663</v>
      </c>
      <c r="E960" s="645">
        <f>IF(decCh3Prod1Slot3Promo1="No Promotion",0,decCh3Prod1Slot3Promo1Weeks)</f>
        <v>0</v>
      </c>
      <c r="F960" s="645" t="s">
        <v>10679</v>
      </c>
    </row>
    <row r="961" spans="1:6" s="645" customFormat="1">
      <c r="A961" s="646"/>
    </row>
    <row r="962" spans="1:6" s="645" customFormat="1">
      <c r="A962" s="646"/>
      <c r="D962" s="769" t="s">
        <v>241</v>
      </c>
    </row>
    <row r="963" spans="1:6" s="645" customFormat="1" ht="2.25" customHeight="1">
      <c r="A963" s="646"/>
      <c r="C963" s="632"/>
      <c r="D963" s="259"/>
      <c r="E963" s="632"/>
    </row>
    <row r="964" spans="1:6" s="645" customFormat="1">
      <c r="A964" s="646"/>
      <c r="D964" s="943" t="s">
        <v>10604</v>
      </c>
      <c r="E964" s="942">
        <f>VLOOKUP(calcCh3Prod1Slot3Promo1Plan,dataPromoSeg1,1+MATCH(calcCh3Prod1Slot3Pack,dataPackNames,0),FALSE)</f>
        <v>0</v>
      </c>
      <c r="F964" s="645" t="s">
        <v>10680</v>
      </c>
    </row>
    <row r="965" spans="1:6" s="645" customFormat="1">
      <c r="A965" s="646"/>
      <c r="D965" s="943" t="s">
        <v>4412</v>
      </c>
      <c r="E965" s="942">
        <f>calcCh3Prod1Slot3Promo1Seg1Fit*VLOOKUP(calcCh3Prod1Slot3Promo1Weeks,dataPromoWeeksEffect,4,FALSE)</f>
        <v>0</v>
      </c>
      <c r="F965" s="645" t="s">
        <v>10681</v>
      </c>
    </row>
    <row r="966" spans="1:6" s="645" customFormat="1">
      <c r="A966" s="646"/>
      <c r="D966" s="948" t="s">
        <v>2975</v>
      </c>
      <c r="E966" s="946">
        <f>0.02*calcCh3Prod1Slot3Promo1Weeks+VLOOKUP(calcCh3Prod1Slot3Promo1Weeks,dataPromoWeeksShareEffect,4,FALSE)*calcCh3Prod1Slot3Promo1Seg1Fit</f>
        <v>0</v>
      </c>
      <c r="F966" s="614" t="s">
        <v>10682</v>
      </c>
    </row>
    <row r="967" spans="1:6" s="645" customFormat="1">
      <c r="A967" s="646"/>
    </row>
    <row r="968" spans="1:6" s="645" customFormat="1">
      <c r="A968" s="646"/>
      <c r="D968" s="769" t="s">
        <v>242</v>
      </c>
    </row>
    <row r="969" spans="1:6" s="645" customFormat="1" ht="2.25" customHeight="1">
      <c r="A969" s="646"/>
      <c r="C969" s="632"/>
      <c r="D969" s="259"/>
      <c r="E969" s="632"/>
    </row>
    <row r="970" spans="1:6" s="645" customFormat="1">
      <c r="A970" s="646"/>
      <c r="D970" s="943" t="s">
        <v>10604</v>
      </c>
      <c r="E970" s="942">
        <f>VLOOKUP(calcCh3Prod1Slot3Promo1Plan,dataPromoSeg2,1+MATCH(calcCh3Prod1Slot3Pack,dataPackNames,0),FALSE)</f>
        <v>0</v>
      </c>
      <c r="F970" s="645" t="s">
        <v>10683</v>
      </c>
    </row>
    <row r="971" spans="1:6" s="645" customFormat="1">
      <c r="A971" s="646"/>
      <c r="D971" s="943" t="s">
        <v>4412</v>
      </c>
      <c r="E971" s="942">
        <f>calcCh3Prod1Slot3Promo1Seg2Fit*VLOOKUP(calcCh3Prod1Slot3Promo1Weeks,dataPromoWeeksEffect,4,FALSE)</f>
        <v>0</v>
      </c>
      <c r="F971" s="645" t="s">
        <v>10684</v>
      </c>
    </row>
    <row r="972" spans="1:6" s="645" customFormat="1">
      <c r="A972" s="646"/>
      <c r="D972" s="948" t="s">
        <v>2975</v>
      </c>
      <c r="E972" s="946">
        <f>0.02*calcCh3Prod1Slot3Promo1Weeks+VLOOKUP(calcCh3Prod1Slot3Promo1Weeks,dataPromoWeeksShareEffect,4,FALSE)*calcCh3Prod1Slot3Promo1Seg2Fit</f>
        <v>0</v>
      </c>
      <c r="F972" s="614" t="s">
        <v>10685</v>
      </c>
    </row>
    <row r="973" spans="1:6" s="645" customFormat="1">
      <c r="A973" s="646"/>
    </row>
    <row r="974" spans="1:6" s="645" customFormat="1">
      <c r="A974" s="646"/>
      <c r="D974" s="769" t="s">
        <v>4353</v>
      </c>
    </row>
    <row r="975" spans="1:6" s="645" customFormat="1" ht="2.25" customHeight="1">
      <c r="A975" s="646"/>
      <c r="C975" s="632"/>
      <c r="D975" s="259"/>
      <c r="E975" s="632"/>
    </row>
    <row r="976" spans="1:6" s="645" customFormat="1">
      <c r="A976" s="646"/>
      <c r="D976" s="943" t="s">
        <v>10604</v>
      </c>
      <c r="E976" s="942">
        <f>VLOOKUP(calcCh3Prod1Slot3Promo1Plan,dataPromoSeg3,1+MATCH(calcCh3Prod1Slot3Pack,dataPackNames,0),FALSE)</f>
        <v>0</v>
      </c>
      <c r="F976" s="645" t="s">
        <v>10686</v>
      </c>
    </row>
    <row r="977" spans="1:6" s="645" customFormat="1">
      <c r="A977" s="646"/>
      <c r="D977" s="943" t="s">
        <v>4412</v>
      </c>
      <c r="E977" s="942">
        <f>calcCh3Prod1Slot3Promo1Seg3Fit*VLOOKUP(calcCh3Prod1Slot3Promo1Weeks,dataPromoWeeksEffect,4,FALSE)</f>
        <v>0</v>
      </c>
      <c r="F977" s="645" t="s">
        <v>10687</v>
      </c>
    </row>
    <row r="978" spans="1:6" s="645" customFormat="1">
      <c r="A978" s="646"/>
      <c r="D978" s="948" t="s">
        <v>2975</v>
      </c>
      <c r="E978" s="946">
        <f>0.02*calcCh3Prod1Slot3Promo1Weeks+VLOOKUP(calcCh3Prod1Slot3Promo1Weeks,dataPromoWeeksShareEffect,4,FALSE)*calcCh3Prod1Slot3Promo1Seg3Fit</f>
        <v>0</v>
      </c>
      <c r="F978" s="614" t="s">
        <v>10688</v>
      </c>
    </row>
    <row r="979" spans="1:6" s="645" customFormat="1">
      <c r="A979" s="646"/>
    </row>
    <row r="980" spans="1:6" s="645" customFormat="1">
      <c r="A980" s="646"/>
      <c r="D980" s="769" t="s">
        <v>243</v>
      </c>
    </row>
    <row r="981" spans="1:6" s="645" customFormat="1" ht="2.25" customHeight="1">
      <c r="A981" s="646"/>
      <c r="C981" s="632"/>
      <c r="D981" s="259"/>
      <c r="E981" s="632"/>
    </row>
    <row r="982" spans="1:6" s="645" customFormat="1">
      <c r="A982" s="646"/>
      <c r="D982" s="943" t="s">
        <v>10604</v>
      </c>
      <c r="E982" s="942">
        <f>VLOOKUP(calcCh3Prod1Slot3Promo1Plan,dataPromoSeg4,1+MATCH(calcCh3Prod1Slot3Pack,dataPackNames,0),FALSE)</f>
        <v>0</v>
      </c>
      <c r="F982" s="645" t="s">
        <v>10689</v>
      </c>
    </row>
    <row r="983" spans="1:6" s="645" customFormat="1">
      <c r="A983" s="646"/>
      <c r="D983" s="943" t="s">
        <v>4412</v>
      </c>
      <c r="E983" s="942">
        <f>calcCh3Prod1Slot3Promo1Seg4Fit*VLOOKUP(calcCh3Prod1Slot3Promo1Weeks,dataPromoWeeksEffect,4,FALSE)</f>
        <v>0</v>
      </c>
      <c r="F983" s="645" t="s">
        <v>10690</v>
      </c>
    </row>
    <row r="984" spans="1:6" s="645" customFormat="1">
      <c r="A984" s="646"/>
      <c r="D984" s="948" t="s">
        <v>2975</v>
      </c>
      <c r="E984" s="946">
        <f>0.02*calcCh3Prod1Slot3Promo1Weeks+VLOOKUP(calcCh3Prod1Slot3Promo1Weeks,dataPromoWeeksShareEffect,4,FALSE)*calcCh3Prod1Slot3Promo1Seg4Fit</f>
        <v>0</v>
      </c>
      <c r="F984" s="614" t="s">
        <v>10691</v>
      </c>
    </row>
    <row r="985" spans="1:6" s="645" customFormat="1">
      <c r="A985" s="646"/>
      <c r="D985" s="943"/>
    </row>
    <row r="986" spans="1:6" s="645" customFormat="1">
      <c r="A986" s="646"/>
      <c r="B986" s="769" t="s">
        <v>238</v>
      </c>
    </row>
    <row r="987" spans="1:6" s="645" customFormat="1">
      <c r="A987" s="646"/>
      <c r="C987" s="769" t="s">
        <v>3859</v>
      </c>
    </row>
    <row r="988" spans="1:6" s="645" customFormat="1">
      <c r="A988" s="646"/>
      <c r="D988" s="769" t="s">
        <v>6111</v>
      </c>
      <c r="E988" s="441" t="str">
        <f>decCh3Prod2Slot1Promo1</f>
        <v>TPR 33%</v>
      </c>
      <c r="F988" s="614" t="s">
        <v>5996</v>
      </c>
    </row>
    <row r="989" spans="1:6" s="645" customFormat="1">
      <c r="A989" s="646"/>
      <c r="D989" s="645" t="s">
        <v>5663</v>
      </c>
      <c r="E989" s="645">
        <f>IF(decCh3Prod2Slot1Promo1="No Promotion",0,decCh3Prod2Slot1Promo1Weeks)</f>
        <v>2</v>
      </c>
      <c r="F989" s="645" t="s">
        <v>10941</v>
      </c>
    </row>
    <row r="990" spans="1:6" s="645" customFormat="1">
      <c r="A990" s="646"/>
    </row>
    <row r="991" spans="1:6" s="645" customFormat="1">
      <c r="A991" s="646"/>
      <c r="D991" s="769" t="s">
        <v>241</v>
      </c>
    </row>
    <row r="992" spans="1:6" s="645" customFormat="1" ht="2.25" customHeight="1">
      <c r="A992" s="646"/>
      <c r="C992" s="632"/>
      <c r="D992" s="259"/>
      <c r="E992" s="632"/>
    </row>
    <row r="993" spans="1:6" s="645" customFormat="1">
      <c r="A993" s="646"/>
      <c r="D993" s="943" t="s">
        <v>10604</v>
      </c>
      <c r="E993" s="942">
        <f>VLOOKUP(calcCh3Prod2Slot1Promo1Plan,dataPromoSeg1,1+MATCH(calcCh3Prod2Slot1Pack,dataPackNames,0),FALSE)</f>
        <v>8.7360000000000007</v>
      </c>
      <c r="F993" s="645" t="s">
        <v>10942</v>
      </c>
    </row>
    <row r="994" spans="1:6" s="645" customFormat="1">
      <c r="A994" s="646"/>
      <c r="D994" s="943" t="s">
        <v>4412</v>
      </c>
      <c r="E994" s="942">
        <f>calcCh3Prod2Slot1Promo1Seg1Fit*VLOOKUP(calcCh3Prod2Slot1Promo1Weeks,dataPromoWeeksEffect,4,FALSE)</f>
        <v>24.460799999999999</v>
      </c>
      <c r="F994" s="645" t="s">
        <v>10943</v>
      </c>
    </row>
    <row r="995" spans="1:6" s="645" customFormat="1">
      <c r="A995" s="646"/>
      <c r="D995" s="948" t="s">
        <v>2975</v>
      </c>
      <c r="E995" s="946">
        <f>0.02*calcCh3Prod2Slot1Promo1Weeks+VLOOKUP(calcCh3Prod2Slot1Promo1Weeks,dataPromoWeeksShareEffect,4,FALSE)*calcCh3Prod2Slot1Promo1Seg1Fit</f>
        <v>0.20554720000000004</v>
      </c>
      <c r="F995" s="614" t="s">
        <v>10944</v>
      </c>
    </row>
    <row r="996" spans="1:6" s="645" customFormat="1">
      <c r="A996" s="646"/>
    </row>
    <row r="997" spans="1:6" s="645" customFormat="1">
      <c r="A997" s="646"/>
      <c r="D997" s="769" t="s">
        <v>242</v>
      </c>
    </row>
    <row r="998" spans="1:6" s="645" customFormat="1" ht="2.25" customHeight="1">
      <c r="A998" s="646"/>
      <c r="C998" s="632"/>
      <c r="D998" s="259"/>
      <c r="E998" s="632"/>
    </row>
    <row r="999" spans="1:6" s="645" customFormat="1">
      <c r="A999" s="646"/>
      <c r="D999" s="943" t="s">
        <v>10604</v>
      </c>
      <c r="E999" s="942">
        <f>VLOOKUP(calcCh3Prod2Slot1Promo1Plan,dataPromoSeg2,1+MATCH(calcCh3Prod2Slot1Pack,dataPackNames,0),FALSE)</f>
        <v>9.7279999999999998</v>
      </c>
      <c r="F999" s="645" t="s">
        <v>10945</v>
      </c>
    </row>
    <row r="1000" spans="1:6" s="645" customFormat="1">
      <c r="A1000" s="646"/>
      <c r="D1000" s="943" t="s">
        <v>4412</v>
      </c>
      <c r="E1000" s="942">
        <f>calcCh3Prod2Slot1Promo1Seg2Fit*VLOOKUP(calcCh3Prod2Slot1Promo1Weeks,dataPromoWeeksEffect,4,FALSE)</f>
        <v>27.238399999999999</v>
      </c>
      <c r="F1000" s="645" t="s">
        <v>10946</v>
      </c>
    </row>
    <row r="1001" spans="1:6" s="645" customFormat="1">
      <c r="A1001" s="646"/>
      <c r="D1001" s="948" t="s">
        <v>2975</v>
      </c>
      <c r="E1001" s="946">
        <f>0.02*calcCh3Prod2Slot1Promo1Weeks+VLOOKUP(calcCh3Prod2Slot1Promo1Weeks,dataPromoWeeksShareEffect,4,FALSE)*calcCh3Prod2Slot1Promo1Seg2Fit</f>
        <v>0.22434560000000001</v>
      </c>
      <c r="F1001" s="614" t="s">
        <v>10947</v>
      </c>
    </row>
    <row r="1002" spans="1:6" s="645" customFormat="1">
      <c r="A1002" s="646"/>
    </row>
    <row r="1003" spans="1:6" s="645" customFormat="1">
      <c r="A1003" s="646"/>
      <c r="D1003" s="769" t="s">
        <v>4353</v>
      </c>
    </row>
    <row r="1004" spans="1:6" s="645" customFormat="1" ht="2.25" customHeight="1">
      <c r="A1004" s="646"/>
      <c r="C1004" s="632"/>
      <c r="D1004" s="259"/>
      <c r="E1004" s="632"/>
    </row>
    <row r="1005" spans="1:6" s="645" customFormat="1">
      <c r="A1005" s="646"/>
      <c r="D1005" s="943" t="s">
        <v>10604</v>
      </c>
      <c r="E1005" s="942">
        <f>VLOOKUP(calcCh3Prod2Slot1Promo1Plan,dataPromoSeg3,1+MATCH(calcCh3Prod2Slot1Pack,dataPackNames,0),FALSE)</f>
        <v>9.8239999999999998</v>
      </c>
      <c r="F1005" s="645" t="s">
        <v>10948</v>
      </c>
    </row>
    <row r="1006" spans="1:6" s="645" customFormat="1">
      <c r="A1006" s="646"/>
      <c r="D1006" s="943" t="s">
        <v>4412</v>
      </c>
      <c r="E1006" s="942">
        <f>calcCh3Prod2Slot1Promo1Seg3Fit*VLOOKUP(calcCh3Prod2Slot1Promo1Weeks,dataPromoWeeksEffect,4,FALSE)</f>
        <v>27.507199999999997</v>
      </c>
      <c r="F1006" s="645" t="s">
        <v>10949</v>
      </c>
    </row>
    <row r="1007" spans="1:6" s="645" customFormat="1">
      <c r="A1007" s="646"/>
      <c r="D1007" s="948" t="s">
        <v>2975</v>
      </c>
      <c r="E1007" s="946">
        <f>0.02*calcCh3Prod2Slot1Promo1Weeks+VLOOKUP(calcCh3Prod2Slot1Promo1Weeks,dataPromoWeeksShareEffect,4,FALSE)*calcCh3Prod2Slot1Promo1Seg3Fit</f>
        <v>0.22616480000000003</v>
      </c>
      <c r="F1007" s="614" t="s">
        <v>10950</v>
      </c>
    </row>
    <row r="1008" spans="1:6" s="645" customFormat="1">
      <c r="A1008" s="646"/>
    </row>
    <row r="1009" spans="1:6" s="645" customFormat="1">
      <c r="A1009" s="646"/>
      <c r="D1009" s="769" t="s">
        <v>243</v>
      </c>
    </row>
    <row r="1010" spans="1:6" s="645" customFormat="1" ht="2.25" customHeight="1">
      <c r="A1010" s="646"/>
      <c r="C1010" s="632"/>
      <c r="D1010" s="259"/>
      <c r="E1010" s="632"/>
    </row>
    <row r="1011" spans="1:6" s="645" customFormat="1">
      <c r="A1011" s="646"/>
      <c r="D1011" s="943" t="s">
        <v>10604</v>
      </c>
      <c r="E1011" s="942">
        <f>VLOOKUP(calcCh3Prod2Slot1Promo1Plan,dataPromoSeg4,1+MATCH(calcCh3Prod2Slot1Pack,dataPackNames,0),FALSE)</f>
        <v>9.2480000000000011</v>
      </c>
      <c r="F1011" s="645" t="s">
        <v>10951</v>
      </c>
    </row>
    <row r="1012" spans="1:6" s="645" customFormat="1">
      <c r="A1012" s="646"/>
      <c r="D1012" s="943" t="s">
        <v>4412</v>
      </c>
      <c r="E1012" s="942">
        <f>calcCh3Prod2Slot1Promo1Seg4Fit*VLOOKUP(calcCh3Prod2Slot1Promo1Weeks,dataPromoWeeksEffect,4,FALSE)</f>
        <v>25.894400000000001</v>
      </c>
      <c r="F1012" s="645" t="s">
        <v>10952</v>
      </c>
    </row>
    <row r="1013" spans="1:6" s="645" customFormat="1">
      <c r="A1013" s="646"/>
      <c r="D1013" s="948" t="s">
        <v>2975</v>
      </c>
      <c r="E1013" s="946">
        <f>0.02*calcCh3Prod2Slot1Promo1Weeks+VLOOKUP(calcCh3Prod2Slot1Promo1Weeks,dataPromoWeeksShareEffect,4,FALSE)*calcCh3Prod2Slot1Promo1Seg4Fit</f>
        <v>0.21524960000000004</v>
      </c>
      <c r="F1013" s="614" t="s">
        <v>10953</v>
      </c>
    </row>
    <row r="1014" spans="1:6" s="645" customFormat="1">
      <c r="A1014" s="646"/>
      <c r="D1014" s="943"/>
    </row>
    <row r="1015" spans="1:6" s="645" customFormat="1">
      <c r="A1015" s="646"/>
      <c r="C1015" s="769" t="s">
        <v>3858</v>
      </c>
    </row>
    <row r="1016" spans="1:6" s="645" customFormat="1">
      <c r="A1016" s="646"/>
      <c r="D1016" s="769" t="s">
        <v>6111</v>
      </c>
      <c r="E1016" s="441" t="str">
        <f>decCh3Prod2Slot2Promo1</f>
        <v>TPR 20%</v>
      </c>
      <c r="F1016" s="614" t="s">
        <v>5998</v>
      </c>
    </row>
    <row r="1017" spans="1:6" s="645" customFormat="1">
      <c r="A1017" s="646"/>
      <c r="D1017" s="645" t="s">
        <v>5663</v>
      </c>
      <c r="E1017" s="645">
        <f>IF(decCh3Prod2Slot2Promo1="No Promotion",0,decCh3Prod2Slot2Promo1Weeks)</f>
        <v>2</v>
      </c>
      <c r="F1017" s="645" t="s">
        <v>10954</v>
      </c>
    </row>
    <row r="1018" spans="1:6" s="645" customFormat="1">
      <c r="A1018" s="646"/>
    </row>
    <row r="1019" spans="1:6" s="645" customFormat="1">
      <c r="A1019" s="646"/>
      <c r="D1019" s="769" t="s">
        <v>241</v>
      </c>
    </row>
    <row r="1020" spans="1:6" s="645" customFormat="1" ht="2.25" customHeight="1">
      <c r="A1020" s="646"/>
      <c r="C1020" s="632"/>
      <c r="D1020" s="259"/>
      <c r="E1020" s="632"/>
    </row>
    <row r="1021" spans="1:6" s="645" customFormat="1">
      <c r="A1021" s="646"/>
      <c r="D1021" s="943" t="s">
        <v>10604</v>
      </c>
      <c r="E1021" s="942">
        <f>VLOOKUP(calcCh3Prod2Slot2Promo1Plan,dataPromoSeg1,1+MATCH(calcCh3Prod2Slot2Pack,dataPackNames,0),FALSE)</f>
        <v>4.4600000000000009</v>
      </c>
      <c r="F1021" s="645" t="s">
        <v>10955</v>
      </c>
    </row>
    <row r="1022" spans="1:6" s="645" customFormat="1">
      <c r="A1022" s="646"/>
      <c r="D1022" s="943" t="s">
        <v>4412</v>
      </c>
      <c r="E1022" s="942">
        <f>calcCh3Prod2Slot2Promo1Seg1Fit*VLOOKUP(calcCh3Prod2Slot2Promo1Weeks,dataPromoWeeksEffect,4,FALSE)</f>
        <v>12.488000000000001</v>
      </c>
      <c r="F1022" s="645" t="s">
        <v>10956</v>
      </c>
    </row>
    <row r="1023" spans="1:6" s="645" customFormat="1">
      <c r="A1023" s="646"/>
      <c r="D1023" s="948" t="s">
        <v>2975</v>
      </c>
      <c r="E1023" s="946">
        <f>0.02*calcCh3Prod2Slot2Promo1Weeks+VLOOKUP(calcCh3Prod2Slot2Promo1Weeks,dataPromoWeeksShareEffect,4,FALSE)*calcCh3Prod2Slot2Promo1Seg1Fit</f>
        <v>0.12451700000000002</v>
      </c>
      <c r="F1023" s="614" t="s">
        <v>10957</v>
      </c>
    </row>
    <row r="1024" spans="1:6" s="645" customFormat="1">
      <c r="A1024" s="646"/>
    </row>
    <row r="1025" spans="1:6" s="645" customFormat="1">
      <c r="A1025" s="646"/>
      <c r="D1025" s="769" t="s">
        <v>242</v>
      </c>
    </row>
    <row r="1026" spans="1:6" s="645" customFormat="1" ht="2.25" customHeight="1">
      <c r="A1026" s="646"/>
      <c r="C1026" s="632"/>
      <c r="D1026" s="259"/>
      <c r="E1026" s="632"/>
    </row>
    <row r="1027" spans="1:6" s="645" customFormat="1">
      <c r="A1027" s="646"/>
      <c r="D1027" s="943" t="s">
        <v>10604</v>
      </c>
      <c r="E1027" s="942">
        <f>VLOOKUP(calcCh3Prod2Slot2Promo1Plan,dataPromoSeg2,1+MATCH(calcCh3Prod2Slot2Pack,dataPackNames,0),FALSE)</f>
        <v>5.08</v>
      </c>
      <c r="F1027" s="645" t="s">
        <v>10958</v>
      </c>
    </row>
    <row r="1028" spans="1:6" s="645" customFormat="1">
      <c r="A1028" s="646"/>
      <c r="D1028" s="943" t="s">
        <v>4412</v>
      </c>
      <c r="E1028" s="942">
        <f>calcCh3Prod2Slot2Promo1Seg2Fit*VLOOKUP(calcCh3Prod2Slot2Promo1Weeks,dataPromoWeeksEffect,4,FALSE)</f>
        <v>14.223999999999998</v>
      </c>
      <c r="F1028" s="645" t="s">
        <v>10959</v>
      </c>
    </row>
    <row r="1029" spans="1:6" s="645" customFormat="1">
      <c r="A1029" s="646"/>
      <c r="D1029" s="948" t="s">
        <v>2975</v>
      </c>
      <c r="E1029" s="946">
        <f>0.02*calcCh3Prod2Slot2Promo1Weeks+VLOOKUP(calcCh3Prod2Slot2Promo1Weeks,dataPromoWeeksShareEffect,4,FALSE)*calcCh3Prod2Slot2Promo1Seg2Fit</f>
        <v>0.136266</v>
      </c>
      <c r="F1029" s="614" t="s">
        <v>10960</v>
      </c>
    </row>
    <row r="1030" spans="1:6" s="645" customFormat="1">
      <c r="A1030" s="646"/>
    </row>
    <row r="1031" spans="1:6" s="645" customFormat="1">
      <c r="A1031" s="646"/>
      <c r="D1031" s="769" t="s">
        <v>4353</v>
      </c>
    </row>
    <row r="1032" spans="1:6" s="645" customFormat="1" ht="2.25" customHeight="1">
      <c r="A1032" s="646"/>
      <c r="C1032" s="632"/>
      <c r="D1032" s="259"/>
      <c r="E1032" s="632"/>
    </row>
    <row r="1033" spans="1:6" s="645" customFormat="1">
      <c r="A1033" s="646"/>
      <c r="D1033" s="943" t="s">
        <v>10604</v>
      </c>
      <c r="E1033" s="942">
        <f>VLOOKUP(calcCh3Prod2Slot2Promo1Plan,dataPromoSeg3,1+MATCH(calcCh3Prod2Slot2Pack,dataPackNames,0),FALSE)</f>
        <v>5.1400000000000006</v>
      </c>
      <c r="F1033" s="645" t="s">
        <v>10961</v>
      </c>
    </row>
    <row r="1034" spans="1:6" s="645" customFormat="1">
      <c r="A1034" s="646"/>
      <c r="D1034" s="943" t="s">
        <v>4412</v>
      </c>
      <c r="E1034" s="942">
        <f>calcCh3Prod2Slot2Promo1Seg3Fit*VLOOKUP(calcCh3Prod2Slot2Promo1Weeks,dataPromoWeeksEffect,4,FALSE)</f>
        <v>14.392000000000001</v>
      </c>
      <c r="F1034" s="645" t="s">
        <v>10962</v>
      </c>
    </row>
    <row r="1035" spans="1:6" s="645" customFormat="1">
      <c r="A1035" s="646"/>
      <c r="D1035" s="948" t="s">
        <v>2975</v>
      </c>
      <c r="E1035" s="946">
        <f>0.02*calcCh3Prod2Slot2Promo1Weeks+VLOOKUP(calcCh3Prod2Slot2Promo1Weeks,dataPromoWeeksShareEffect,4,FALSE)*calcCh3Prod2Slot2Promo1Seg3Fit</f>
        <v>0.13740300000000003</v>
      </c>
      <c r="F1035" s="614" t="s">
        <v>10963</v>
      </c>
    </row>
    <row r="1036" spans="1:6" s="645" customFormat="1">
      <c r="A1036" s="646"/>
    </row>
    <row r="1037" spans="1:6" s="645" customFormat="1">
      <c r="A1037" s="646"/>
      <c r="D1037" s="769" t="s">
        <v>243</v>
      </c>
    </row>
    <row r="1038" spans="1:6" s="645" customFormat="1" ht="2.25" customHeight="1">
      <c r="A1038" s="646"/>
      <c r="C1038" s="632"/>
      <c r="D1038" s="259"/>
      <c r="E1038" s="632"/>
    </row>
    <row r="1039" spans="1:6" s="645" customFormat="1">
      <c r="A1039" s="646"/>
      <c r="D1039" s="943" t="s">
        <v>10604</v>
      </c>
      <c r="E1039" s="942">
        <f>VLOOKUP(calcCh3Prod2Slot2Promo1Plan,dataPromoSeg4,1+MATCH(calcCh3Prod2Slot2Pack,dataPackNames,0),FALSE)</f>
        <v>4.7799999999999994</v>
      </c>
      <c r="F1039" s="645" t="s">
        <v>10964</v>
      </c>
    </row>
    <row r="1040" spans="1:6" s="645" customFormat="1">
      <c r="A1040" s="646"/>
      <c r="D1040" s="943" t="s">
        <v>4412</v>
      </c>
      <c r="E1040" s="942">
        <f>calcCh3Prod2Slot2Promo1Seg4Fit*VLOOKUP(calcCh3Prod2Slot2Promo1Weeks,dataPromoWeeksEffect,4,FALSE)</f>
        <v>13.383999999999997</v>
      </c>
      <c r="F1040" s="645" t="s">
        <v>10965</v>
      </c>
    </row>
    <row r="1041" spans="1:6" s="645" customFormat="1">
      <c r="A1041" s="646"/>
      <c r="D1041" s="948" t="s">
        <v>2975</v>
      </c>
      <c r="E1041" s="946">
        <f>0.02*calcCh3Prod2Slot2Promo1Weeks+VLOOKUP(calcCh3Prod2Slot2Promo1Weeks,dataPromoWeeksShareEffect,4,FALSE)*calcCh3Prod2Slot2Promo1Seg4Fit</f>
        <v>0.130581</v>
      </c>
      <c r="F1041" s="614" t="s">
        <v>10966</v>
      </c>
    </row>
    <row r="1042" spans="1:6" s="645" customFormat="1">
      <c r="A1042" s="646"/>
      <c r="D1042" s="943"/>
    </row>
    <row r="1043" spans="1:6" s="645" customFormat="1">
      <c r="A1043" s="646"/>
      <c r="C1043" s="769" t="s">
        <v>3860</v>
      </c>
    </row>
    <row r="1044" spans="1:6" s="645" customFormat="1">
      <c r="A1044" s="646"/>
      <c r="D1044" s="769" t="s">
        <v>6111</v>
      </c>
      <c r="E1044" s="441" t="str">
        <f>decCh3Prod2Slot3Promo1</f>
        <v>No Promotion</v>
      </c>
      <c r="F1044" s="614" t="s">
        <v>6000</v>
      </c>
    </row>
    <row r="1045" spans="1:6" s="645" customFormat="1">
      <c r="A1045" s="646"/>
      <c r="D1045" s="645" t="s">
        <v>5663</v>
      </c>
      <c r="E1045" s="645">
        <f>IF(decCh3Prod2Slot3Promo1="No Promotion",0,decCh3Prod2Slot3Promo1Weeks)</f>
        <v>0</v>
      </c>
      <c r="F1045" s="645" t="s">
        <v>10967</v>
      </c>
    </row>
    <row r="1046" spans="1:6" s="645" customFormat="1">
      <c r="A1046" s="646"/>
    </row>
    <row r="1047" spans="1:6" s="645" customFormat="1">
      <c r="A1047" s="646"/>
      <c r="D1047" s="769" t="s">
        <v>241</v>
      </c>
    </row>
    <row r="1048" spans="1:6" s="645" customFormat="1" ht="2.25" customHeight="1">
      <c r="A1048" s="646"/>
      <c r="C1048" s="632"/>
      <c r="D1048" s="259"/>
      <c r="E1048" s="632"/>
    </row>
    <row r="1049" spans="1:6" s="645" customFormat="1">
      <c r="A1049" s="646"/>
      <c r="D1049" s="943" t="s">
        <v>10604</v>
      </c>
      <c r="E1049" s="942">
        <f>VLOOKUP(calcCh3Prod2Slot3Promo1Plan,dataPromoSeg1,1+MATCH(calcCh3Prod2Slot3Pack,dataPackNames,0),FALSE)</f>
        <v>0</v>
      </c>
      <c r="F1049" s="645" t="s">
        <v>10968</v>
      </c>
    </row>
    <row r="1050" spans="1:6" s="645" customFormat="1">
      <c r="A1050" s="646"/>
      <c r="D1050" s="943" t="s">
        <v>4412</v>
      </c>
      <c r="E1050" s="942">
        <f>calcCh3Prod2Slot3Promo1Seg1Fit*VLOOKUP(calcCh3Prod2Slot3Promo1Weeks,dataPromoWeeksEffect,4,FALSE)</f>
        <v>0</v>
      </c>
      <c r="F1050" s="645" t="s">
        <v>10969</v>
      </c>
    </row>
    <row r="1051" spans="1:6" s="645" customFormat="1">
      <c r="A1051" s="646"/>
      <c r="D1051" s="948" t="s">
        <v>2975</v>
      </c>
      <c r="E1051" s="946">
        <f>0.02*calcCh3Prod2Slot3Promo1Weeks+VLOOKUP(calcCh3Prod2Slot3Promo1Weeks,dataPromoWeeksShareEffect,4,FALSE)*calcCh3Prod2Slot3Promo1Seg1Fit</f>
        <v>0</v>
      </c>
      <c r="F1051" s="614" t="s">
        <v>10970</v>
      </c>
    </row>
    <row r="1052" spans="1:6" s="645" customFormat="1">
      <c r="A1052" s="646"/>
    </row>
    <row r="1053" spans="1:6" s="645" customFormat="1">
      <c r="A1053" s="646"/>
      <c r="D1053" s="769" t="s">
        <v>242</v>
      </c>
    </row>
    <row r="1054" spans="1:6" s="645" customFormat="1" ht="2.25" customHeight="1">
      <c r="A1054" s="646"/>
      <c r="C1054" s="632"/>
      <c r="D1054" s="259"/>
      <c r="E1054" s="632"/>
    </row>
    <row r="1055" spans="1:6" s="645" customFormat="1">
      <c r="A1055" s="646"/>
      <c r="D1055" s="943" t="s">
        <v>10604</v>
      </c>
      <c r="E1055" s="942">
        <f>VLOOKUP(calcCh3Prod2Slot3Promo1Plan,dataPromoSeg2,1+MATCH(calcCh3Prod2Slot3Pack,dataPackNames,0),FALSE)</f>
        <v>0</v>
      </c>
      <c r="F1055" s="645" t="s">
        <v>10971</v>
      </c>
    </row>
    <row r="1056" spans="1:6" s="645" customFormat="1">
      <c r="A1056" s="646"/>
      <c r="D1056" s="943" t="s">
        <v>4412</v>
      </c>
      <c r="E1056" s="942">
        <f>calcCh3Prod2Slot3Promo1Seg2Fit*VLOOKUP(calcCh3Prod2Slot3Promo1Weeks,dataPromoWeeksEffect,4,FALSE)</f>
        <v>0</v>
      </c>
      <c r="F1056" s="645" t="s">
        <v>10972</v>
      </c>
    </row>
    <row r="1057" spans="1:6" s="645" customFormat="1">
      <c r="A1057" s="646"/>
      <c r="D1057" s="948" t="s">
        <v>2975</v>
      </c>
      <c r="E1057" s="946">
        <f>0.02*calcCh3Prod2Slot3Promo1Weeks+VLOOKUP(calcCh3Prod2Slot3Promo1Weeks,dataPromoWeeksShareEffect,4,FALSE)*calcCh3Prod2Slot3Promo1Seg2Fit</f>
        <v>0</v>
      </c>
      <c r="F1057" s="614" t="s">
        <v>10973</v>
      </c>
    </row>
    <row r="1058" spans="1:6" s="645" customFormat="1">
      <c r="A1058" s="646"/>
    </row>
    <row r="1059" spans="1:6" s="645" customFormat="1">
      <c r="A1059" s="646"/>
      <c r="D1059" s="769" t="s">
        <v>4353</v>
      </c>
    </row>
    <row r="1060" spans="1:6" s="645" customFormat="1" ht="2.25" customHeight="1">
      <c r="A1060" s="646"/>
      <c r="C1060" s="632"/>
      <c r="D1060" s="259"/>
      <c r="E1060" s="632"/>
    </row>
    <row r="1061" spans="1:6" s="645" customFormat="1">
      <c r="A1061" s="646"/>
      <c r="D1061" s="943" t="s">
        <v>10604</v>
      </c>
      <c r="E1061" s="942">
        <f>VLOOKUP(calcCh3Prod2Slot3Promo1Plan,dataPromoSeg3,1+MATCH(calcCh3Prod2Slot3Pack,dataPackNames,0),FALSE)</f>
        <v>0</v>
      </c>
      <c r="F1061" s="645" t="s">
        <v>10974</v>
      </c>
    </row>
    <row r="1062" spans="1:6" s="645" customFormat="1">
      <c r="A1062" s="646"/>
      <c r="D1062" s="943" t="s">
        <v>4412</v>
      </c>
      <c r="E1062" s="942">
        <f>calcCh3Prod2Slot3Promo1Seg3Fit*VLOOKUP(calcCh3Prod2Slot3Promo1Weeks,dataPromoWeeksEffect,4,FALSE)</f>
        <v>0</v>
      </c>
      <c r="F1062" s="645" t="s">
        <v>10975</v>
      </c>
    </row>
    <row r="1063" spans="1:6" s="645" customFormat="1">
      <c r="A1063" s="646"/>
      <c r="D1063" s="948" t="s">
        <v>2975</v>
      </c>
      <c r="E1063" s="946">
        <f>0.02*calcCh3Prod2Slot3Promo1Weeks+VLOOKUP(calcCh3Prod2Slot3Promo1Weeks,dataPromoWeeksShareEffect,4,FALSE)*calcCh3Prod2Slot3Promo1Seg3Fit</f>
        <v>0</v>
      </c>
      <c r="F1063" s="614" t="s">
        <v>10976</v>
      </c>
    </row>
    <row r="1064" spans="1:6" s="645" customFormat="1">
      <c r="A1064" s="646"/>
    </row>
    <row r="1065" spans="1:6" s="645" customFormat="1">
      <c r="A1065" s="646"/>
      <c r="D1065" s="769" t="s">
        <v>243</v>
      </c>
    </row>
    <row r="1066" spans="1:6" s="645" customFormat="1" ht="2.25" customHeight="1">
      <c r="A1066" s="646"/>
      <c r="C1066" s="632"/>
      <c r="D1066" s="259"/>
      <c r="E1066" s="632"/>
    </row>
    <row r="1067" spans="1:6" s="645" customFormat="1">
      <c r="A1067" s="646"/>
      <c r="D1067" s="943" t="s">
        <v>10604</v>
      </c>
      <c r="E1067" s="942">
        <f>VLOOKUP(calcCh3Prod2Slot3Promo1Plan,dataPromoSeg4,1+MATCH(calcCh3Prod2Slot3Pack,dataPackNames,0),FALSE)</f>
        <v>0</v>
      </c>
      <c r="F1067" s="645" t="s">
        <v>10977</v>
      </c>
    </row>
    <row r="1068" spans="1:6" s="645" customFormat="1">
      <c r="A1068" s="646"/>
      <c r="D1068" s="943" t="s">
        <v>4412</v>
      </c>
      <c r="E1068" s="942">
        <f>calcCh3Prod2Slot3Promo1Seg4Fit*VLOOKUP(calcCh3Prod2Slot3Promo1Weeks,dataPromoWeeksEffect,4,FALSE)</f>
        <v>0</v>
      </c>
      <c r="F1068" s="645" t="s">
        <v>10978</v>
      </c>
    </row>
    <row r="1069" spans="1:6" s="645" customFormat="1">
      <c r="A1069" s="646"/>
      <c r="D1069" s="948" t="s">
        <v>2975</v>
      </c>
      <c r="E1069" s="946">
        <f>0.02*calcCh3Prod2Slot3Promo1Weeks+VLOOKUP(calcCh3Prod2Slot3Promo1Weeks,dataPromoWeeksShareEffect,4,FALSE)*calcCh3Prod2Slot3Promo1Seg4Fit</f>
        <v>0</v>
      </c>
      <c r="F1069" s="614" t="s">
        <v>10979</v>
      </c>
    </row>
    <row r="1070" spans="1:6" s="645" customFormat="1">
      <c r="A1070" s="646"/>
      <c r="D1070" s="943"/>
    </row>
    <row r="1071" spans="1:6" s="645" customFormat="1">
      <c r="A1071" s="646"/>
      <c r="B1071" s="769" t="s">
        <v>239</v>
      </c>
    </row>
    <row r="1072" spans="1:6" s="645" customFormat="1">
      <c r="A1072" s="646"/>
      <c r="C1072" s="769" t="s">
        <v>3859</v>
      </c>
    </row>
    <row r="1073" spans="1:6" s="645" customFormat="1">
      <c r="A1073" s="646"/>
      <c r="D1073" s="769" t="s">
        <v>6111</v>
      </c>
      <c r="E1073" s="441" t="str">
        <f>decCh3Prod3Slot1Promo1</f>
        <v>3/2</v>
      </c>
      <c r="F1073" s="614" t="s">
        <v>6002</v>
      </c>
    </row>
    <row r="1074" spans="1:6" s="645" customFormat="1">
      <c r="A1074" s="646"/>
      <c r="D1074" s="645" t="s">
        <v>5663</v>
      </c>
      <c r="E1074" s="645">
        <f>IF(decCh3Prod3Slot1Promo1="No Promotion",0,decCh3Prod3Slot1Promo1Weeks)</f>
        <v>3</v>
      </c>
      <c r="F1074" s="645" t="s">
        <v>10902</v>
      </c>
    </row>
    <row r="1075" spans="1:6" s="645" customFormat="1">
      <c r="A1075" s="646"/>
    </row>
    <row r="1076" spans="1:6" s="645" customFormat="1">
      <c r="A1076" s="646"/>
      <c r="D1076" s="769" t="s">
        <v>241</v>
      </c>
    </row>
    <row r="1077" spans="1:6" s="645" customFormat="1" ht="2.25" customHeight="1">
      <c r="A1077" s="646"/>
      <c r="C1077" s="632"/>
      <c r="D1077" s="259"/>
      <c r="E1077" s="632"/>
    </row>
    <row r="1078" spans="1:6" s="645" customFormat="1">
      <c r="A1078" s="646"/>
      <c r="D1078" s="943" t="s">
        <v>10604</v>
      </c>
      <c r="E1078" s="942">
        <f>VLOOKUP(calcCh3Prod3Slot1Promo1Plan,dataPromoSeg1,1+MATCH(calcCh3Prod3Slot1Pack,dataPackNames,0),FALSE)</f>
        <v>7.7600000000000007</v>
      </c>
      <c r="F1078" s="645" t="s">
        <v>10903</v>
      </c>
    </row>
    <row r="1079" spans="1:6" s="645" customFormat="1">
      <c r="A1079" s="646"/>
      <c r="D1079" s="943" t="s">
        <v>4412</v>
      </c>
      <c r="E1079" s="942">
        <f>calcCh3Prod3Slot1Promo1Seg1Fit*VLOOKUP(calcCh3Prod3Slot1Promo1Weeks,dataPromoWeeksEffect,4,FALSE)</f>
        <v>34.299199999999999</v>
      </c>
      <c r="F1079" s="645" t="s">
        <v>10904</v>
      </c>
    </row>
    <row r="1080" spans="1:6" s="645" customFormat="1">
      <c r="A1080" s="646"/>
      <c r="D1080" s="948" t="s">
        <v>2975</v>
      </c>
      <c r="E1080" s="946">
        <f>0.02*calcCh3Prod3Slot1Promo1Weeks+VLOOKUP(calcCh3Prod3Slot1Promo1Weeks,dataPromoWeeksShareEffect,4,FALSE)*calcCh3Prod3Slot1Promo1Seg1Fit</f>
        <v>0.26921154000000003</v>
      </c>
      <c r="F1080" s="614" t="s">
        <v>10905</v>
      </c>
    </row>
    <row r="1081" spans="1:6" s="645" customFormat="1">
      <c r="A1081" s="646"/>
    </row>
    <row r="1082" spans="1:6" s="645" customFormat="1">
      <c r="A1082" s="646"/>
      <c r="D1082" s="769" t="s">
        <v>242</v>
      </c>
    </row>
    <row r="1083" spans="1:6" s="645" customFormat="1" ht="2.25" customHeight="1">
      <c r="A1083" s="646"/>
      <c r="C1083" s="632"/>
      <c r="D1083" s="259"/>
      <c r="E1083" s="632"/>
    </row>
    <row r="1084" spans="1:6" s="645" customFormat="1">
      <c r="A1084" s="646"/>
      <c r="D1084" s="943" t="s">
        <v>10604</v>
      </c>
      <c r="E1084" s="942">
        <f>VLOOKUP(calcCh3Prod3Slot1Promo1Plan,dataPromoSeg2,1+MATCH(calcCh3Prod3Slot1Pack,dataPackNames,0),FALSE)</f>
        <v>9.7119999999999997</v>
      </c>
      <c r="F1084" s="645" t="s">
        <v>10906</v>
      </c>
    </row>
    <row r="1085" spans="1:6" s="645" customFormat="1">
      <c r="A1085" s="646"/>
      <c r="D1085" s="943" t="s">
        <v>4412</v>
      </c>
      <c r="E1085" s="942">
        <f>calcCh3Prod3Slot1Promo1Seg2Fit*VLOOKUP(calcCh3Prod3Slot1Promo1Weeks,dataPromoWeeksEffect,4,FALSE)</f>
        <v>42.927039999999998</v>
      </c>
      <c r="F1085" s="645" t="s">
        <v>10907</v>
      </c>
    </row>
    <row r="1086" spans="1:6" s="645" customFormat="1">
      <c r="A1086" s="646"/>
      <c r="D1086" s="948" t="s">
        <v>2975</v>
      </c>
      <c r="E1086" s="946">
        <f>0.02*calcCh3Prod3Slot1Promo1Weeks+VLOOKUP(calcCh3Prod3Slot1Promo1Weeks,dataPromoWeeksShareEffect,4,FALSE)*calcCh3Prod3Slot1Promo1Seg2Fit</f>
        <v>0.32183794799999998</v>
      </c>
      <c r="F1086" s="614" t="s">
        <v>10908</v>
      </c>
    </row>
    <row r="1087" spans="1:6" s="645" customFormat="1">
      <c r="A1087" s="646"/>
    </row>
    <row r="1088" spans="1:6" s="645" customFormat="1">
      <c r="A1088" s="646"/>
      <c r="D1088" s="769" t="s">
        <v>4353</v>
      </c>
    </row>
    <row r="1089" spans="1:6" s="645" customFormat="1" ht="2.25" customHeight="1">
      <c r="A1089" s="646"/>
      <c r="C1089" s="632"/>
      <c r="D1089" s="259"/>
      <c r="E1089" s="632"/>
    </row>
    <row r="1090" spans="1:6" s="645" customFormat="1">
      <c r="A1090" s="646"/>
      <c r="D1090" s="943" t="s">
        <v>10604</v>
      </c>
      <c r="E1090" s="942">
        <f>VLOOKUP(calcCh3Prod3Slot1Promo1Plan,dataPromoSeg3,1+MATCH(calcCh3Prod3Slot1Pack,dataPackNames,0),FALSE)</f>
        <v>9.3760000000000012</v>
      </c>
      <c r="F1090" s="645" t="s">
        <v>10909</v>
      </c>
    </row>
    <row r="1091" spans="1:6" s="645" customFormat="1">
      <c r="A1091" s="646"/>
      <c r="D1091" s="943" t="s">
        <v>4412</v>
      </c>
      <c r="E1091" s="942">
        <f>calcCh3Prod3Slot1Promo1Seg3Fit*VLOOKUP(calcCh3Prod3Slot1Promo1Weeks,dataPromoWeeksEffect,4,FALSE)</f>
        <v>41.441920000000003</v>
      </c>
      <c r="F1091" s="645" t="s">
        <v>10910</v>
      </c>
    </row>
    <row r="1092" spans="1:6" s="645" customFormat="1">
      <c r="A1092" s="646"/>
      <c r="D1092" s="948" t="s">
        <v>2975</v>
      </c>
      <c r="E1092" s="946">
        <f>0.02*calcCh3Prod3Slot1Promo1Weeks+VLOOKUP(calcCh3Prod3Slot1Promo1Weeks,dataPromoWeeksShareEffect,4,FALSE)*calcCh3Prod3Slot1Promo1Seg3Fit</f>
        <v>0.31277930400000004</v>
      </c>
      <c r="F1092" s="614" t="s">
        <v>10911</v>
      </c>
    </row>
    <row r="1093" spans="1:6" s="645" customFormat="1">
      <c r="A1093" s="646"/>
    </row>
    <row r="1094" spans="1:6" s="645" customFormat="1">
      <c r="A1094" s="646"/>
      <c r="D1094" s="769" t="s">
        <v>243</v>
      </c>
    </row>
    <row r="1095" spans="1:6" s="645" customFormat="1" ht="2.25" customHeight="1">
      <c r="A1095" s="646"/>
      <c r="C1095" s="632"/>
      <c r="D1095" s="259"/>
      <c r="E1095" s="632"/>
    </row>
    <row r="1096" spans="1:6" s="645" customFormat="1">
      <c r="A1096" s="646"/>
      <c r="D1096" s="943" t="s">
        <v>10604</v>
      </c>
      <c r="E1096" s="942">
        <f>VLOOKUP(calcCh3Prod3Slot1Promo1Plan,dataPromoSeg4,1+MATCH(calcCh3Prod3Slot1Pack,dataPackNames,0),FALSE)</f>
        <v>9.0879999999999992</v>
      </c>
      <c r="F1096" s="645" t="s">
        <v>10912</v>
      </c>
    </row>
    <row r="1097" spans="1:6" s="645" customFormat="1">
      <c r="A1097" s="646"/>
      <c r="D1097" s="943" t="s">
        <v>4412</v>
      </c>
      <c r="E1097" s="942">
        <f>calcCh3Prod3Slot1Promo1Seg4Fit*VLOOKUP(calcCh3Prod3Slot1Promo1Weeks,dataPromoWeeksEffect,4,FALSE)</f>
        <v>40.168959999999998</v>
      </c>
      <c r="F1097" s="645" t="s">
        <v>10913</v>
      </c>
    </row>
    <row r="1098" spans="1:6" s="645" customFormat="1">
      <c r="A1098" s="646"/>
      <c r="D1098" s="948" t="s">
        <v>2975</v>
      </c>
      <c r="E1098" s="946">
        <f>0.02*calcCh3Prod3Slot1Promo1Weeks+VLOOKUP(calcCh3Prod3Slot1Promo1Weeks,dataPromoWeeksShareEffect,4,FALSE)*calcCh3Prod3Slot1Promo1Seg4Fit</f>
        <v>0.305014752</v>
      </c>
      <c r="F1098" s="614" t="s">
        <v>10914</v>
      </c>
    </row>
    <row r="1099" spans="1:6" s="645" customFormat="1">
      <c r="A1099" s="646"/>
      <c r="D1099" s="943"/>
    </row>
    <row r="1100" spans="1:6" s="645" customFormat="1">
      <c r="A1100" s="646"/>
      <c r="C1100" s="769" t="s">
        <v>3858</v>
      </c>
    </row>
    <row r="1101" spans="1:6" s="645" customFormat="1">
      <c r="A1101" s="646"/>
      <c r="D1101" s="769" t="s">
        <v>6111</v>
      </c>
      <c r="E1101" s="441" t="str">
        <f>decCh3Prod3Slot2Promo1</f>
        <v>No Promotion</v>
      </c>
      <c r="F1101" s="614" t="s">
        <v>6004</v>
      </c>
    </row>
    <row r="1102" spans="1:6" s="645" customFormat="1">
      <c r="A1102" s="646"/>
      <c r="D1102" s="645" t="s">
        <v>5663</v>
      </c>
      <c r="E1102" s="645">
        <f>IF(decCh3Prod3Slot2Promo1="No Promotion",0,decCh3Prod3Slot2Promo1Weeks)</f>
        <v>0</v>
      </c>
      <c r="F1102" s="645" t="s">
        <v>10915</v>
      </c>
    </row>
    <row r="1103" spans="1:6" s="645" customFormat="1">
      <c r="A1103" s="646"/>
    </row>
    <row r="1104" spans="1:6" s="645" customFormat="1">
      <c r="A1104" s="646"/>
      <c r="D1104" s="769" t="s">
        <v>241</v>
      </c>
    </row>
    <row r="1105" spans="1:6" s="645" customFormat="1" ht="2.25" customHeight="1">
      <c r="A1105" s="646"/>
      <c r="C1105" s="632"/>
      <c r="D1105" s="259"/>
      <c r="E1105" s="632"/>
    </row>
    <row r="1106" spans="1:6" s="645" customFormat="1">
      <c r="A1106" s="646"/>
      <c r="D1106" s="943" t="s">
        <v>10604</v>
      </c>
      <c r="E1106" s="942">
        <f>VLOOKUP(calcCh3Prod3Slot2Promo1Plan,dataPromoSeg1,1+MATCH(calcCh3Prod3Slot2Pack,dataPackNames,0),FALSE)</f>
        <v>0</v>
      </c>
      <c r="F1106" s="645" t="s">
        <v>10916</v>
      </c>
    </row>
    <row r="1107" spans="1:6" s="645" customFormat="1">
      <c r="A1107" s="646"/>
      <c r="D1107" s="943" t="s">
        <v>4412</v>
      </c>
      <c r="E1107" s="942">
        <f>calcCh3Prod3Slot2Promo1Seg1Fit*VLOOKUP(calcCh3Prod3Slot2Promo1Weeks,dataPromoWeeksEffect,4,FALSE)</f>
        <v>0</v>
      </c>
      <c r="F1107" s="645" t="s">
        <v>10917</v>
      </c>
    </row>
    <row r="1108" spans="1:6" s="645" customFormat="1">
      <c r="A1108" s="646"/>
      <c r="D1108" s="948" t="s">
        <v>2975</v>
      </c>
      <c r="E1108" s="946">
        <f>0.02*calcCh3Prod3Slot2Promo1Weeks+VLOOKUP(calcCh3Prod3Slot2Promo1Weeks,dataPromoWeeksShareEffect,4,FALSE)*calcCh3Prod3Slot2Promo1Seg1Fit</f>
        <v>0</v>
      </c>
      <c r="F1108" s="614" t="s">
        <v>10918</v>
      </c>
    </row>
    <row r="1109" spans="1:6" s="645" customFormat="1">
      <c r="A1109" s="646"/>
    </row>
    <row r="1110" spans="1:6" s="645" customFormat="1">
      <c r="A1110" s="646"/>
      <c r="D1110" s="769" t="s">
        <v>242</v>
      </c>
    </row>
    <row r="1111" spans="1:6" s="645" customFormat="1" ht="2.25" customHeight="1">
      <c r="A1111" s="646"/>
      <c r="C1111" s="632"/>
      <c r="D1111" s="259"/>
      <c r="E1111" s="632"/>
    </row>
    <row r="1112" spans="1:6" s="645" customFormat="1">
      <c r="A1112" s="646"/>
      <c r="D1112" s="943" t="s">
        <v>10604</v>
      </c>
      <c r="E1112" s="942">
        <f>VLOOKUP(calcCh3Prod3Slot2Promo1Plan,dataPromoSeg2,1+MATCH(calcCh3Prod3Slot2Pack,dataPackNames,0),FALSE)</f>
        <v>0</v>
      </c>
      <c r="F1112" s="645" t="s">
        <v>10919</v>
      </c>
    </row>
    <row r="1113" spans="1:6" s="645" customFormat="1">
      <c r="A1113" s="646"/>
      <c r="D1113" s="943" t="s">
        <v>4412</v>
      </c>
      <c r="E1113" s="942">
        <f>calcCh3Prod3Slot2Promo1Seg2Fit*VLOOKUP(calcCh3Prod3Slot2Promo1Weeks,dataPromoWeeksEffect,4,FALSE)</f>
        <v>0</v>
      </c>
      <c r="F1113" s="645" t="s">
        <v>10920</v>
      </c>
    </row>
    <row r="1114" spans="1:6" s="645" customFormat="1">
      <c r="A1114" s="646"/>
      <c r="D1114" s="948" t="s">
        <v>2975</v>
      </c>
      <c r="E1114" s="946">
        <f>0.02*calcCh3Prod3Slot2Promo1Weeks+VLOOKUP(calcCh3Prod3Slot2Promo1Weeks,dataPromoWeeksShareEffect,4,FALSE)*calcCh3Prod3Slot2Promo1Seg2Fit</f>
        <v>0</v>
      </c>
      <c r="F1114" s="614" t="s">
        <v>10921</v>
      </c>
    </row>
    <row r="1115" spans="1:6" s="645" customFormat="1">
      <c r="A1115" s="646"/>
    </row>
    <row r="1116" spans="1:6" s="645" customFormat="1">
      <c r="A1116" s="646"/>
      <c r="D1116" s="769" t="s">
        <v>4353</v>
      </c>
    </row>
    <row r="1117" spans="1:6" s="645" customFormat="1" ht="2.25" customHeight="1">
      <c r="A1117" s="646"/>
      <c r="C1117" s="632"/>
      <c r="D1117" s="259"/>
      <c r="E1117" s="632"/>
    </row>
    <row r="1118" spans="1:6" s="645" customFormat="1">
      <c r="A1118" s="646"/>
      <c r="D1118" s="943" t="s">
        <v>10604</v>
      </c>
      <c r="E1118" s="942">
        <f>VLOOKUP(calcCh3Prod3Slot2Promo1Plan,dataPromoSeg3,1+MATCH(calcCh3Prod3Slot2Pack,dataPackNames,0),FALSE)</f>
        <v>0</v>
      </c>
      <c r="F1118" s="645" t="s">
        <v>10922</v>
      </c>
    </row>
    <row r="1119" spans="1:6" s="645" customFormat="1">
      <c r="A1119" s="646"/>
      <c r="D1119" s="943" t="s">
        <v>4412</v>
      </c>
      <c r="E1119" s="942">
        <f>calcCh3Prod3Slot2Promo1Seg3Fit*VLOOKUP(calcCh3Prod3Slot2Promo1Weeks,dataPromoWeeksEffect,4,FALSE)</f>
        <v>0</v>
      </c>
      <c r="F1119" s="645" t="s">
        <v>10923</v>
      </c>
    </row>
    <row r="1120" spans="1:6" s="645" customFormat="1">
      <c r="A1120" s="646"/>
      <c r="D1120" s="948" t="s">
        <v>2975</v>
      </c>
      <c r="E1120" s="946">
        <f>0.02*calcCh3Prod3Slot2Promo1Weeks+VLOOKUP(calcCh3Prod3Slot2Promo1Weeks,dataPromoWeeksShareEffect,4,FALSE)*calcCh3Prod3Slot2Promo1Seg3Fit</f>
        <v>0</v>
      </c>
      <c r="F1120" s="614" t="s">
        <v>10924</v>
      </c>
    </row>
    <row r="1121" spans="1:6" s="645" customFormat="1">
      <c r="A1121" s="646"/>
    </row>
    <row r="1122" spans="1:6" s="645" customFormat="1">
      <c r="A1122" s="646"/>
      <c r="D1122" s="769" t="s">
        <v>243</v>
      </c>
    </row>
    <row r="1123" spans="1:6" s="645" customFormat="1" ht="2.25" customHeight="1">
      <c r="A1123" s="646"/>
      <c r="C1123" s="632"/>
      <c r="D1123" s="259"/>
      <c r="E1123" s="632"/>
    </row>
    <row r="1124" spans="1:6" s="645" customFormat="1">
      <c r="A1124" s="646"/>
      <c r="D1124" s="943" t="s">
        <v>10604</v>
      </c>
      <c r="E1124" s="942">
        <f>VLOOKUP(calcCh3Prod3Slot2Promo1Plan,dataPromoSeg4,1+MATCH(calcCh3Prod3Slot2Pack,dataPackNames,0),FALSE)</f>
        <v>0</v>
      </c>
      <c r="F1124" s="645" t="s">
        <v>10925</v>
      </c>
    </row>
    <row r="1125" spans="1:6" s="645" customFormat="1">
      <c r="A1125" s="646"/>
      <c r="D1125" s="943" t="s">
        <v>4412</v>
      </c>
      <c r="E1125" s="942">
        <f>calcCh3Prod3Slot2Promo1Seg4Fit*VLOOKUP(calcCh3Prod3Slot2Promo1Weeks,dataPromoWeeksEffect,4,FALSE)</f>
        <v>0</v>
      </c>
      <c r="F1125" s="645" t="s">
        <v>10926</v>
      </c>
    </row>
    <row r="1126" spans="1:6" s="645" customFormat="1">
      <c r="A1126" s="646"/>
      <c r="D1126" s="948" t="s">
        <v>2975</v>
      </c>
      <c r="E1126" s="946">
        <f>0.02*calcCh3Prod3Slot2Promo1Weeks+VLOOKUP(calcCh3Prod3Slot2Promo1Weeks,dataPromoWeeksShareEffect,4,FALSE)*calcCh3Prod3Slot2Promo1Seg4Fit</f>
        <v>0</v>
      </c>
      <c r="F1126" s="614" t="s">
        <v>10927</v>
      </c>
    </row>
    <row r="1127" spans="1:6" s="645" customFormat="1">
      <c r="A1127" s="646"/>
      <c r="D1127" s="943"/>
    </row>
    <row r="1128" spans="1:6" s="645" customFormat="1">
      <c r="A1128" s="646"/>
      <c r="C1128" s="769" t="s">
        <v>3860</v>
      </c>
    </row>
    <row r="1129" spans="1:6" s="645" customFormat="1">
      <c r="A1129" s="646"/>
      <c r="D1129" s="769" t="s">
        <v>6111</v>
      </c>
      <c r="E1129" s="441" t="str">
        <f>decCh3Prod3Slot3Promo1</f>
        <v>No Promotion</v>
      </c>
      <c r="F1129" s="614" t="s">
        <v>6006</v>
      </c>
    </row>
    <row r="1130" spans="1:6" s="645" customFormat="1">
      <c r="A1130" s="646"/>
      <c r="D1130" s="645" t="s">
        <v>5663</v>
      </c>
      <c r="E1130" s="645">
        <f>IF(decCh3Prod3Slot3Promo1="No Promotion",0,decCh3Prod3Slot3Promo1Weeks)</f>
        <v>0</v>
      </c>
      <c r="F1130" s="645" t="s">
        <v>10928</v>
      </c>
    </row>
    <row r="1131" spans="1:6" s="645" customFormat="1">
      <c r="A1131" s="646"/>
    </row>
    <row r="1132" spans="1:6" s="645" customFormat="1">
      <c r="A1132" s="646"/>
      <c r="D1132" s="769" t="s">
        <v>241</v>
      </c>
    </row>
    <row r="1133" spans="1:6" s="645" customFormat="1" ht="2.25" customHeight="1">
      <c r="A1133" s="646"/>
      <c r="C1133" s="632"/>
      <c r="D1133" s="259"/>
      <c r="E1133" s="632"/>
    </row>
    <row r="1134" spans="1:6" s="645" customFormat="1">
      <c r="A1134" s="646"/>
      <c r="D1134" s="943" t="s">
        <v>10604</v>
      </c>
      <c r="E1134" s="942">
        <f>VLOOKUP(calcCh3Prod3Slot3Promo1Plan,dataPromoSeg1,1+MATCH(calcCh3Prod3Slot3Pack,dataPackNames,0),FALSE)</f>
        <v>0</v>
      </c>
      <c r="F1134" s="645" t="s">
        <v>10929</v>
      </c>
    </row>
    <row r="1135" spans="1:6" s="645" customFormat="1">
      <c r="A1135" s="646"/>
      <c r="D1135" s="943" t="s">
        <v>4412</v>
      </c>
      <c r="E1135" s="942">
        <f>calcCh3Prod3Slot3Promo1Seg1Fit*VLOOKUP(calcCh3Prod3Slot3Promo1Weeks,dataPromoWeeksEffect,4,FALSE)</f>
        <v>0</v>
      </c>
      <c r="F1135" s="645" t="s">
        <v>10930</v>
      </c>
    </row>
    <row r="1136" spans="1:6" s="645" customFormat="1">
      <c r="A1136" s="646"/>
      <c r="D1136" s="948" t="s">
        <v>2975</v>
      </c>
      <c r="E1136" s="946">
        <f>0.02*calcCh3Prod3Slot3Promo1Weeks+VLOOKUP(calcCh3Prod3Slot3Promo1Weeks,dataPromoWeeksShareEffect,4,FALSE)*calcCh3Prod3Slot3Promo1Seg1Fit</f>
        <v>0</v>
      </c>
      <c r="F1136" s="614" t="s">
        <v>10931</v>
      </c>
    </row>
    <row r="1137" spans="1:6" s="645" customFormat="1">
      <c r="A1137" s="646"/>
    </row>
    <row r="1138" spans="1:6" s="645" customFormat="1">
      <c r="A1138" s="646"/>
      <c r="D1138" s="769" t="s">
        <v>242</v>
      </c>
    </row>
    <row r="1139" spans="1:6" s="645" customFormat="1" ht="2.25" customHeight="1">
      <c r="A1139" s="646"/>
      <c r="C1139" s="632"/>
      <c r="D1139" s="259"/>
      <c r="E1139" s="632"/>
    </row>
    <row r="1140" spans="1:6" s="645" customFormat="1">
      <c r="A1140" s="646"/>
      <c r="D1140" s="943" t="s">
        <v>10604</v>
      </c>
      <c r="E1140" s="942">
        <f>VLOOKUP(calcCh3Prod3Slot3Promo1Plan,dataPromoSeg2,1+MATCH(calcCh3Prod3Slot3Pack,dataPackNames,0),FALSE)</f>
        <v>0</v>
      </c>
      <c r="F1140" s="645" t="s">
        <v>10932</v>
      </c>
    </row>
    <row r="1141" spans="1:6" s="645" customFormat="1">
      <c r="A1141" s="646"/>
      <c r="D1141" s="943" t="s">
        <v>4412</v>
      </c>
      <c r="E1141" s="942">
        <f>calcCh3Prod3Slot3Promo1Seg2Fit*VLOOKUP(calcCh3Prod3Slot3Promo1Weeks,dataPromoWeeksEffect,4,FALSE)</f>
        <v>0</v>
      </c>
      <c r="F1141" s="645" t="s">
        <v>10933</v>
      </c>
    </row>
    <row r="1142" spans="1:6" s="645" customFormat="1">
      <c r="A1142" s="646"/>
      <c r="D1142" s="948" t="s">
        <v>2975</v>
      </c>
      <c r="E1142" s="946">
        <f>0.02*calcCh3Prod3Slot3Promo1Weeks+VLOOKUP(calcCh3Prod3Slot3Promo1Weeks,dataPromoWeeksShareEffect,4,FALSE)*calcCh3Prod3Slot3Promo1Seg2Fit</f>
        <v>0</v>
      </c>
      <c r="F1142" s="614" t="s">
        <v>10934</v>
      </c>
    </row>
    <row r="1143" spans="1:6" s="645" customFormat="1">
      <c r="A1143" s="646"/>
    </row>
    <row r="1144" spans="1:6" s="645" customFormat="1">
      <c r="A1144" s="646"/>
      <c r="D1144" s="769" t="s">
        <v>4353</v>
      </c>
    </row>
    <row r="1145" spans="1:6" s="645" customFormat="1" ht="2.25" customHeight="1">
      <c r="A1145" s="646"/>
      <c r="C1145" s="632"/>
      <c r="D1145" s="259"/>
      <c r="E1145" s="632"/>
    </row>
    <row r="1146" spans="1:6" s="645" customFormat="1">
      <c r="A1146" s="646"/>
      <c r="D1146" s="943" t="s">
        <v>10604</v>
      </c>
      <c r="E1146" s="942">
        <f>VLOOKUP(calcCh3Prod3Slot3Promo1Plan,dataPromoSeg3,1+MATCH(calcCh3Prod3Slot3Pack,dataPackNames,0),FALSE)</f>
        <v>0</v>
      </c>
      <c r="F1146" s="645" t="s">
        <v>10935</v>
      </c>
    </row>
    <row r="1147" spans="1:6" s="645" customFormat="1">
      <c r="A1147" s="646"/>
      <c r="D1147" s="943" t="s">
        <v>4412</v>
      </c>
      <c r="E1147" s="942">
        <f>calcCh3Prod3Slot3Promo1Seg3Fit*VLOOKUP(calcCh3Prod3Slot3Promo1Weeks,dataPromoWeeksEffect,4,FALSE)</f>
        <v>0</v>
      </c>
      <c r="F1147" s="645" t="s">
        <v>10936</v>
      </c>
    </row>
    <row r="1148" spans="1:6" s="645" customFormat="1">
      <c r="A1148" s="646"/>
      <c r="D1148" s="948" t="s">
        <v>2975</v>
      </c>
      <c r="E1148" s="946">
        <f>0.02*calcCh3Prod3Slot3Promo1Weeks+VLOOKUP(calcCh3Prod3Slot3Promo1Weeks,dataPromoWeeksShareEffect,4,FALSE)*calcCh3Prod3Slot3Promo1Seg3Fit</f>
        <v>0</v>
      </c>
      <c r="F1148" s="614" t="s">
        <v>10937</v>
      </c>
    </row>
    <row r="1149" spans="1:6" s="645" customFormat="1">
      <c r="A1149" s="646"/>
    </row>
    <row r="1150" spans="1:6" s="645" customFormat="1">
      <c r="A1150" s="646"/>
      <c r="D1150" s="769" t="s">
        <v>243</v>
      </c>
    </row>
    <row r="1151" spans="1:6" s="645" customFormat="1" ht="2.25" customHeight="1">
      <c r="A1151" s="646"/>
      <c r="C1151" s="632"/>
      <c r="D1151" s="259"/>
      <c r="E1151" s="632"/>
    </row>
    <row r="1152" spans="1:6" s="645" customFormat="1">
      <c r="A1152" s="646"/>
      <c r="D1152" s="943" t="s">
        <v>10604</v>
      </c>
      <c r="E1152" s="942">
        <f>VLOOKUP(calcCh3Prod3Slot3Promo1Plan,dataPromoSeg4,1+MATCH(calcCh3Prod3Slot3Pack,dataPackNames,0),FALSE)</f>
        <v>0</v>
      </c>
      <c r="F1152" s="645" t="s">
        <v>10938</v>
      </c>
    </row>
    <row r="1153" spans="1:6" s="645" customFormat="1">
      <c r="A1153" s="646"/>
      <c r="D1153" s="943" t="s">
        <v>4412</v>
      </c>
      <c r="E1153" s="942">
        <f>calcCh3Prod3Slot3Promo1Seg4Fit*VLOOKUP(calcCh3Prod3Slot3Promo1Weeks,dataPromoWeeksEffect,4,FALSE)</f>
        <v>0</v>
      </c>
      <c r="F1153" s="645" t="s">
        <v>10939</v>
      </c>
    </row>
    <row r="1154" spans="1:6" s="645" customFormat="1">
      <c r="A1154" s="646"/>
      <c r="D1154" s="948" t="s">
        <v>2975</v>
      </c>
      <c r="E1154" s="946">
        <f>0.02*calcCh3Prod3Slot3Promo1Weeks+VLOOKUP(calcCh3Prod3Slot3Promo1Weeks,dataPromoWeeksShareEffect,4,FALSE)*calcCh3Prod3Slot3Promo1Seg4Fit</f>
        <v>0</v>
      </c>
      <c r="F1154" s="614" t="s">
        <v>10940</v>
      </c>
    </row>
    <row r="1155" spans="1:6" s="645" customFormat="1">
      <c r="A1155" s="646"/>
      <c r="D1155" s="943"/>
    </row>
    <row r="1156" spans="1:6" s="645" customFormat="1">
      <c r="A1156" s="646"/>
      <c r="B1156" s="769" t="s">
        <v>240</v>
      </c>
    </row>
    <row r="1157" spans="1:6" s="645" customFormat="1">
      <c r="A1157" s="646"/>
      <c r="C1157" s="769" t="s">
        <v>3859</v>
      </c>
    </row>
    <row r="1158" spans="1:6" s="645" customFormat="1">
      <c r="A1158" s="646"/>
      <c r="D1158" s="769" t="s">
        <v>6111</v>
      </c>
      <c r="E1158" s="441" t="str">
        <f>decCh3Prod4Slot1Promo1</f>
        <v>No Promotion</v>
      </c>
      <c r="F1158" s="614" t="s">
        <v>6008</v>
      </c>
    </row>
    <row r="1159" spans="1:6" s="645" customFormat="1">
      <c r="A1159" s="646"/>
      <c r="D1159" s="645" t="s">
        <v>5663</v>
      </c>
      <c r="E1159" s="645">
        <f>IF(decCh3Prod4Slot1Promo1="No Promotion",0,decCh3Prod4Slot1Promo1Weeks)</f>
        <v>0</v>
      </c>
      <c r="F1159" s="645" t="s">
        <v>10863</v>
      </c>
    </row>
    <row r="1160" spans="1:6" s="645" customFormat="1">
      <c r="A1160" s="646"/>
    </row>
    <row r="1161" spans="1:6" s="645" customFormat="1">
      <c r="A1161" s="646"/>
      <c r="D1161" s="769" t="s">
        <v>241</v>
      </c>
    </row>
    <row r="1162" spans="1:6" s="645" customFormat="1" ht="2.25" customHeight="1">
      <c r="A1162" s="646"/>
      <c r="C1162" s="632"/>
      <c r="D1162" s="259"/>
      <c r="E1162" s="632"/>
    </row>
    <row r="1163" spans="1:6" s="645" customFormat="1">
      <c r="A1163" s="646"/>
      <c r="D1163" s="943" t="s">
        <v>10604</v>
      </c>
      <c r="E1163" s="942">
        <f>VLOOKUP(calcCh3Prod4Slot1Promo1Plan,dataPromoSeg1,1+MATCH(calcCh3Prod4Slot1Pack,dataPackNames,0),FALSE)</f>
        <v>0</v>
      </c>
      <c r="F1163" s="645" t="s">
        <v>10864</v>
      </c>
    </row>
    <row r="1164" spans="1:6" s="645" customFormat="1">
      <c r="A1164" s="646"/>
      <c r="D1164" s="943" t="s">
        <v>4412</v>
      </c>
      <c r="E1164" s="942">
        <f>calcCh3Prod4Slot1Promo1Seg1Fit*VLOOKUP(calcCh3Prod4Slot1Promo1Weeks,dataPromoWeeksEffect,4,FALSE)</f>
        <v>0</v>
      </c>
      <c r="F1164" s="645" t="s">
        <v>10865</v>
      </c>
    </row>
    <row r="1165" spans="1:6" s="645" customFormat="1">
      <c r="A1165" s="646"/>
      <c r="D1165" s="948" t="s">
        <v>2975</v>
      </c>
      <c r="E1165" s="946">
        <f>0.02*calcCh3Prod4Slot1Promo1Weeks+VLOOKUP(calcCh3Prod4Slot1Promo1Weeks,dataPromoWeeksShareEffect,4,FALSE)*calcCh3Prod4Slot1Promo1Seg1Fit</f>
        <v>0</v>
      </c>
      <c r="F1165" s="614" t="s">
        <v>10866</v>
      </c>
    </row>
    <row r="1166" spans="1:6" s="645" customFormat="1">
      <c r="A1166" s="646"/>
    </row>
    <row r="1167" spans="1:6" s="645" customFormat="1">
      <c r="A1167" s="646"/>
      <c r="D1167" s="769" t="s">
        <v>242</v>
      </c>
    </row>
    <row r="1168" spans="1:6" s="645" customFormat="1" ht="2.25" customHeight="1">
      <c r="A1168" s="646"/>
      <c r="C1168" s="632"/>
      <c r="D1168" s="259"/>
      <c r="E1168" s="632"/>
    </row>
    <row r="1169" spans="1:6" s="645" customFormat="1">
      <c r="A1169" s="646"/>
      <c r="D1169" s="943" t="s">
        <v>10604</v>
      </c>
      <c r="E1169" s="942">
        <f>VLOOKUP(calcCh3Prod4Slot1Promo1Plan,dataPromoSeg2,1+MATCH(calcCh3Prod4Slot1Pack,dataPackNames,0),FALSE)</f>
        <v>0</v>
      </c>
      <c r="F1169" s="645" t="s">
        <v>10867</v>
      </c>
    </row>
    <row r="1170" spans="1:6" s="645" customFormat="1">
      <c r="A1170" s="646"/>
      <c r="D1170" s="943" t="s">
        <v>4412</v>
      </c>
      <c r="E1170" s="942">
        <f>calcCh3Prod4Slot1Promo1Seg2Fit*VLOOKUP(calcCh3Prod4Slot1Promo1Weeks,dataPromoWeeksEffect,4,FALSE)</f>
        <v>0</v>
      </c>
      <c r="F1170" s="645" t="s">
        <v>10868</v>
      </c>
    </row>
    <row r="1171" spans="1:6" s="645" customFormat="1">
      <c r="A1171" s="646"/>
      <c r="D1171" s="948" t="s">
        <v>2975</v>
      </c>
      <c r="E1171" s="946">
        <f>0.02*calcCh3Prod4Slot1Promo1Weeks+VLOOKUP(calcCh3Prod4Slot1Promo1Weeks,dataPromoWeeksShareEffect,4,FALSE)*calcCh3Prod4Slot1Promo1Seg2Fit</f>
        <v>0</v>
      </c>
      <c r="F1171" s="614" t="s">
        <v>10869</v>
      </c>
    </row>
    <row r="1172" spans="1:6" s="645" customFormat="1">
      <c r="A1172" s="646"/>
    </row>
    <row r="1173" spans="1:6" s="645" customFormat="1">
      <c r="A1173" s="646"/>
      <c r="D1173" s="769" t="s">
        <v>4353</v>
      </c>
    </row>
    <row r="1174" spans="1:6" s="645" customFormat="1" ht="2.25" customHeight="1">
      <c r="A1174" s="646"/>
      <c r="C1174" s="632"/>
      <c r="D1174" s="259"/>
      <c r="E1174" s="632"/>
    </row>
    <row r="1175" spans="1:6" s="645" customFormat="1">
      <c r="A1175" s="646"/>
      <c r="D1175" s="943" t="s">
        <v>10604</v>
      </c>
      <c r="E1175" s="942">
        <f>VLOOKUP(calcCh3Prod4Slot1Promo1Plan,dataPromoSeg3,1+MATCH(calcCh3Prod4Slot1Pack,dataPackNames,0),FALSE)</f>
        <v>0</v>
      </c>
      <c r="F1175" s="645" t="s">
        <v>10870</v>
      </c>
    </row>
    <row r="1176" spans="1:6" s="645" customFormat="1">
      <c r="A1176" s="646"/>
      <c r="D1176" s="943" t="s">
        <v>4412</v>
      </c>
      <c r="E1176" s="942">
        <f>calcCh3Prod4Slot1Promo1Seg3Fit*VLOOKUP(calcCh3Prod4Slot1Promo1Weeks,dataPromoWeeksEffect,4,FALSE)</f>
        <v>0</v>
      </c>
      <c r="F1176" s="645" t="s">
        <v>10871</v>
      </c>
    </row>
    <row r="1177" spans="1:6" s="645" customFormat="1">
      <c r="A1177" s="646"/>
      <c r="D1177" s="948" t="s">
        <v>2975</v>
      </c>
      <c r="E1177" s="946">
        <f>0.02*calcCh3Prod4Slot1Promo1Weeks+VLOOKUP(calcCh3Prod4Slot1Promo1Weeks,dataPromoWeeksShareEffect,4,FALSE)*calcCh3Prod4Slot1Promo1Seg3Fit</f>
        <v>0</v>
      </c>
      <c r="F1177" s="614" t="s">
        <v>10872</v>
      </c>
    </row>
    <row r="1178" spans="1:6" s="645" customFormat="1">
      <c r="A1178" s="646"/>
    </row>
    <row r="1179" spans="1:6" s="645" customFormat="1">
      <c r="A1179" s="646"/>
      <c r="D1179" s="769" t="s">
        <v>243</v>
      </c>
    </row>
    <row r="1180" spans="1:6" s="645" customFormat="1" ht="2.25" customHeight="1">
      <c r="A1180" s="646"/>
      <c r="C1180" s="632"/>
      <c r="D1180" s="259"/>
      <c r="E1180" s="632"/>
    </row>
    <row r="1181" spans="1:6" s="645" customFormat="1">
      <c r="A1181" s="646"/>
      <c r="D1181" s="943" t="s">
        <v>10604</v>
      </c>
      <c r="E1181" s="942">
        <f>VLOOKUP(calcCh3Prod4Slot1Promo1Plan,dataPromoSeg4,1+MATCH(calcCh3Prod4Slot1Pack,dataPackNames,0),FALSE)</f>
        <v>0</v>
      </c>
      <c r="F1181" s="645" t="s">
        <v>10873</v>
      </c>
    </row>
    <row r="1182" spans="1:6" s="645" customFormat="1">
      <c r="A1182" s="646"/>
      <c r="D1182" s="943" t="s">
        <v>4412</v>
      </c>
      <c r="E1182" s="942">
        <f>calcCh3Prod4Slot1Promo1Seg4Fit*VLOOKUP(calcCh3Prod4Slot1Promo1Weeks,dataPromoWeeksEffect,4,FALSE)</f>
        <v>0</v>
      </c>
      <c r="F1182" s="645" t="s">
        <v>10874</v>
      </c>
    </row>
    <row r="1183" spans="1:6" s="645" customFormat="1">
      <c r="A1183" s="646"/>
      <c r="D1183" s="948" t="s">
        <v>2975</v>
      </c>
      <c r="E1183" s="946">
        <f>0.02*calcCh3Prod4Slot1Promo1Weeks+VLOOKUP(calcCh3Prod4Slot1Promo1Weeks,dataPromoWeeksShareEffect,4,FALSE)*calcCh3Prod4Slot1Promo1Seg4Fit</f>
        <v>0</v>
      </c>
      <c r="F1183" s="614" t="s">
        <v>10875</v>
      </c>
    </row>
    <row r="1184" spans="1:6" s="645" customFormat="1">
      <c r="A1184" s="646"/>
      <c r="D1184" s="943"/>
    </row>
    <row r="1185" spans="1:6" s="645" customFormat="1">
      <c r="A1185" s="646"/>
      <c r="C1185" s="769" t="s">
        <v>3858</v>
      </c>
    </row>
    <row r="1186" spans="1:6" s="645" customFormat="1">
      <c r="A1186" s="646"/>
      <c r="D1186" s="769" t="s">
        <v>6111</v>
      </c>
      <c r="E1186" s="441" t="str">
        <f>decCh3Prod4Slot2Promo1</f>
        <v>No Promotion</v>
      </c>
      <c r="F1186" s="614" t="s">
        <v>6010</v>
      </c>
    </row>
    <row r="1187" spans="1:6" s="645" customFormat="1">
      <c r="A1187" s="646"/>
      <c r="D1187" s="645" t="s">
        <v>5663</v>
      </c>
      <c r="E1187" s="645">
        <f>IF(decCh3Prod4Slot2Promo1="No Promotion",0,decCh3Prod4Slot2Promo1Weeks)</f>
        <v>0</v>
      </c>
      <c r="F1187" s="645" t="s">
        <v>10876</v>
      </c>
    </row>
    <row r="1188" spans="1:6" s="645" customFormat="1">
      <c r="A1188" s="646"/>
    </row>
    <row r="1189" spans="1:6" s="645" customFormat="1">
      <c r="A1189" s="646"/>
      <c r="D1189" s="769" t="s">
        <v>241</v>
      </c>
    </row>
    <row r="1190" spans="1:6" s="645" customFormat="1" ht="2.25" customHeight="1">
      <c r="A1190" s="646"/>
      <c r="C1190" s="632"/>
      <c r="D1190" s="259"/>
      <c r="E1190" s="632"/>
    </row>
    <row r="1191" spans="1:6" s="645" customFormat="1">
      <c r="A1191" s="646"/>
      <c r="D1191" s="943" t="s">
        <v>10604</v>
      </c>
      <c r="E1191" s="942">
        <f>VLOOKUP(calcCh3Prod4Slot2Promo1Plan,dataPromoSeg1,1+MATCH(calcCh3Prod4Slot2Pack,dataPackNames,0),FALSE)</f>
        <v>0</v>
      </c>
      <c r="F1191" s="645" t="s">
        <v>10877</v>
      </c>
    </row>
    <row r="1192" spans="1:6" s="645" customFormat="1">
      <c r="A1192" s="646"/>
      <c r="D1192" s="943" t="s">
        <v>4412</v>
      </c>
      <c r="E1192" s="942">
        <f>calcCh3Prod4Slot2Promo1Seg1Fit*VLOOKUP(calcCh3Prod4Slot2Promo1Weeks,dataPromoWeeksEffect,4,FALSE)</f>
        <v>0</v>
      </c>
      <c r="F1192" s="645" t="s">
        <v>10878</v>
      </c>
    </row>
    <row r="1193" spans="1:6" s="645" customFormat="1">
      <c r="A1193" s="646"/>
      <c r="D1193" s="948" t="s">
        <v>2975</v>
      </c>
      <c r="E1193" s="946">
        <f>0.02*calcCh3Prod4Slot2Promo1Weeks+VLOOKUP(calcCh3Prod4Slot2Promo1Weeks,dataPromoWeeksShareEffect,4,FALSE)*calcCh3Prod4Slot2Promo1Seg1Fit</f>
        <v>0</v>
      </c>
      <c r="F1193" s="614" t="s">
        <v>10879</v>
      </c>
    </row>
    <row r="1194" spans="1:6" s="645" customFormat="1">
      <c r="A1194" s="646"/>
    </row>
    <row r="1195" spans="1:6" s="645" customFormat="1">
      <c r="A1195" s="646"/>
      <c r="D1195" s="769" t="s">
        <v>242</v>
      </c>
    </row>
    <row r="1196" spans="1:6" s="645" customFormat="1" ht="2.25" customHeight="1">
      <c r="A1196" s="646"/>
      <c r="C1196" s="632"/>
      <c r="D1196" s="259"/>
      <c r="E1196" s="632"/>
    </row>
    <row r="1197" spans="1:6" s="645" customFormat="1">
      <c r="A1197" s="646"/>
      <c r="D1197" s="943" t="s">
        <v>10604</v>
      </c>
      <c r="E1197" s="942">
        <f>VLOOKUP(calcCh3Prod4Slot2Promo1Plan,dataPromoSeg2,1+MATCH(calcCh3Prod4Slot2Pack,dataPackNames,0),FALSE)</f>
        <v>0</v>
      </c>
      <c r="F1197" s="645" t="s">
        <v>10880</v>
      </c>
    </row>
    <row r="1198" spans="1:6" s="645" customFormat="1">
      <c r="A1198" s="646"/>
      <c r="D1198" s="943" t="s">
        <v>4412</v>
      </c>
      <c r="E1198" s="942">
        <f>calcCh3Prod4Slot2Promo1Seg2Fit*VLOOKUP(calcCh3Prod4Slot2Promo1Weeks,dataPromoWeeksEffect,4,FALSE)</f>
        <v>0</v>
      </c>
      <c r="F1198" s="645" t="s">
        <v>10881</v>
      </c>
    </row>
    <row r="1199" spans="1:6" s="645" customFormat="1">
      <c r="A1199" s="646"/>
      <c r="D1199" s="948" t="s">
        <v>2975</v>
      </c>
      <c r="E1199" s="946">
        <f>0.02*calcCh3Prod4Slot2Promo1Weeks+VLOOKUP(calcCh3Prod4Slot2Promo1Weeks,dataPromoWeeksShareEffect,4,FALSE)*calcCh3Prod4Slot2Promo1Seg2Fit</f>
        <v>0</v>
      </c>
      <c r="F1199" s="614" t="s">
        <v>10882</v>
      </c>
    </row>
    <row r="1200" spans="1:6" s="645" customFormat="1">
      <c r="A1200" s="646"/>
    </row>
    <row r="1201" spans="1:6" s="645" customFormat="1">
      <c r="A1201" s="646"/>
      <c r="D1201" s="769" t="s">
        <v>4353</v>
      </c>
    </row>
    <row r="1202" spans="1:6" s="645" customFormat="1" ht="2.25" customHeight="1">
      <c r="A1202" s="646"/>
      <c r="C1202" s="632"/>
      <c r="D1202" s="259"/>
      <c r="E1202" s="632"/>
    </row>
    <row r="1203" spans="1:6" s="645" customFormat="1">
      <c r="A1203" s="646"/>
      <c r="D1203" s="943" t="s">
        <v>10604</v>
      </c>
      <c r="E1203" s="942">
        <f>VLOOKUP(calcCh3Prod4Slot2Promo1Plan,dataPromoSeg3,1+MATCH(calcCh3Prod4Slot2Pack,dataPackNames,0),FALSE)</f>
        <v>0</v>
      </c>
      <c r="F1203" s="645" t="s">
        <v>10883</v>
      </c>
    </row>
    <row r="1204" spans="1:6" s="645" customFormat="1">
      <c r="A1204" s="646"/>
      <c r="D1204" s="943" t="s">
        <v>4412</v>
      </c>
      <c r="E1204" s="942">
        <f>calcCh3Prod4Slot2Promo1Seg3Fit*VLOOKUP(calcCh3Prod4Slot2Promo1Weeks,dataPromoWeeksEffect,4,FALSE)</f>
        <v>0</v>
      </c>
      <c r="F1204" s="645" t="s">
        <v>10884</v>
      </c>
    </row>
    <row r="1205" spans="1:6" s="645" customFormat="1">
      <c r="A1205" s="646"/>
      <c r="D1205" s="948" t="s">
        <v>2975</v>
      </c>
      <c r="E1205" s="946">
        <f>0.02*calcCh3Prod4Slot2Promo1Weeks+VLOOKUP(calcCh3Prod4Slot2Promo1Weeks,dataPromoWeeksShareEffect,4,FALSE)*calcCh3Prod4Slot2Promo1Seg3Fit</f>
        <v>0</v>
      </c>
      <c r="F1205" s="614" t="s">
        <v>10885</v>
      </c>
    </row>
    <row r="1206" spans="1:6" s="645" customFormat="1">
      <c r="A1206" s="646"/>
    </row>
    <row r="1207" spans="1:6" s="645" customFormat="1">
      <c r="A1207" s="646"/>
      <c r="D1207" s="769" t="s">
        <v>243</v>
      </c>
    </row>
    <row r="1208" spans="1:6" s="645" customFormat="1" ht="2.25" customHeight="1">
      <c r="A1208" s="646"/>
      <c r="C1208" s="632"/>
      <c r="D1208" s="259"/>
      <c r="E1208" s="632"/>
    </row>
    <row r="1209" spans="1:6" s="645" customFormat="1">
      <c r="A1209" s="646"/>
      <c r="D1209" s="943" t="s">
        <v>10604</v>
      </c>
      <c r="E1209" s="942">
        <f>VLOOKUP(calcCh3Prod4Slot2Promo1Plan,dataPromoSeg4,1+MATCH(calcCh3Prod4Slot2Pack,dataPackNames,0),FALSE)</f>
        <v>0</v>
      </c>
      <c r="F1209" s="645" t="s">
        <v>10886</v>
      </c>
    </row>
    <row r="1210" spans="1:6" s="645" customFormat="1">
      <c r="A1210" s="646"/>
      <c r="D1210" s="943" t="s">
        <v>4412</v>
      </c>
      <c r="E1210" s="942">
        <f>calcCh3Prod4Slot2Promo1Seg4Fit*VLOOKUP(calcCh3Prod4Slot2Promo1Weeks,dataPromoWeeksEffect,4,FALSE)</f>
        <v>0</v>
      </c>
      <c r="F1210" s="645" t="s">
        <v>10887</v>
      </c>
    </row>
    <row r="1211" spans="1:6" s="645" customFormat="1">
      <c r="A1211" s="646"/>
      <c r="D1211" s="948" t="s">
        <v>2975</v>
      </c>
      <c r="E1211" s="946">
        <f>0.02*calcCh3Prod4Slot2Promo1Weeks+VLOOKUP(calcCh3Prod4Slot2Promo1Weeks,dataPromoWeeksShareEffect,4,FALSE)*calcCh3Prod4Slot2Promo1Seg4Fit</f>
        <v>0</v>
      </c>
      <c r="F1211" s="614" t="s">
        <v>10888</v>
      </c>
    </row>
    <row r="1212" spans="1:6" s="645" customFormat="1">
      <c r="A1212" s="646"/>
      <c r="D1212" s="943"/>
    </row>
    <row r="1213" spans="1:6" s="645" customFormat="1">
      <c r="A1213" s="646"/>
      <c r="C1213" s="769" t="s">
        <v>3860</v>
      </c>
    </row>
    <row r="1214" spans="1:6" s="645" customFormat="1">
      <c r="A1214" s="646"/>
      <c r="D1214" s="769" t="s">
        <v>6111</v>
      </c>
      <c r="E1214" s="441" t="str">
        <f>decCh3Prod4Slot3Promo1</f>
        <v>No Promotion</v>
      </c>
      <c r="F1214" s="614" t="s">
        <v>6012</v>
      </c>
    </row>
    <row r="1215" spans="1:6" s="645" customFormat="1">
      <c r="A1215" s="646"/>
      <c r="D1215" s="645" t="s">
        <v>5663</v>
      </c>
      <c r="E1215" s="645">
        <f>IF(decCh3Prod4Slot3Promo1="No Promotion",0,decCh3Prod4Slot3Promo1Weeks)</f>
        <v>0</v>
      </c>
      <c r="F1215" s="645" t="s">
        <v>10889</v>
      </c>
    </row>
    <row r="1216" spans="1:6" s="645" customFormat="1">
      <c r="A1216" s="646"/>
    </row>
    <row r="1217" spans="1:6" s="645" customFormat="1">
      <c r="A1217" s="646"/>
      <c r="D1217" s="769" t="s">
        <v>241</v>
      </c>
    </row>
    <row r="1218" spans="1:6" s="645" customFormat="1" ht="2.25" customHeight="1">
      <c r="A1218" s="646"/>
      <c r="C1218" s="632"/>
      <c r="D1218" s="259"/>
      <c r="E1218" s="632"/>
    </row>
    <row r="1219" spans="1:6" s="645" customFormat="1">
      <c r="A1219" s="646"/>
      <c r="D1219" s="943" t="s">
        <v>10604</v>
      </c>
      <c r="E1219" s="942">
        <f>VLOOKUP(calcCh3Prod4Slot3Promo1Plan,dataPromoSeg1,1+MATCH(calcCh3Prod4Slot3Pack,dataPackNames,0),FALSE)</f>
        <v>0</v>
      </c>
      <c r="F1219" s="645" t="s">
        <v>10890</v>
      </c>
    </row>
    <row r="1220" spans="1:6" s="645" customFormat="1">
      <c r="A1220" s="646"/>
      <c r="D1220" s="943" t="s">
        <v>4412</v>
      </c>
      <c r="E1220" s="942">
        <f>calcCh3Prod4Slot3Promo1Seg1Fit*VLOOKUP(calcCh3Prod4Slot3Promo1Weeks,dataPromoWeeksEffect,4,FALSE)</f>
        <v>0</v>
      </c>
      <c r="F1220" s="645" t="s">
        <v>10891</v>
      </c>
    </row>
    <row r="1221" spans="1:6" s="645" customFormat="1">
      <c r="A1221" s="646"/>
      <c r="D1221" s="948" t="s">
        <v>2975</v>
      </c>
      <c r="E1221" s="946">
        <f>0.02*calcCh3Prod4Slot3Promo1Weeks+VLOOKUP(calcCh3Prod4Slot3Promo1Weeks,dataPromoWeeksShareEffect,4,FALSE)*calcCh3Prod4Slot3Promo1Seg1Fit</f>
        <v>0</v>
      </c>
      <c r="F1221" s="614" t="s">
        <v>10892</v>
      </c>
    </row>
    <row r="1222" spans="1:6" s="645" customFormat="1">
      <c r="A1222" s="646"/>
    </row>
    <row r="1223" spans="1:6" s="645" customFormat="1">
      <c r="A1223" s="646"/>
      <c r="D1223" s="769" t="s">
        <v>242</v>
      </c>
    </row>
    <row r="1224" spans="1:6" s="645" customFormat="1" ht="2.25" customHeight="1">
      <c r="A1224" s="646"/>
      <c r="C1224" s="632"/>
      <c r="D1224" s="259"/>
      <c r="E1224" s="632"/>
    </row>
    <row r="1225" spans="1:6" s="645" customFormat="1">
      <c r="A1225" s="646"/>
      <c r="D1225" s="943" t="s">
        <v>10604</v>
      </c>
      <c r="E1225" s="942">
        <f>VLOOKUP(calcCh3Prod4Slot3Promo1Plan,dataPromoSeg2,1+MATCH(calcCh3Prod4Slot3Pack,dataPackNames,0),FALSE)</f>
        <v>0</v>
      </c>
      <c r="F1225" s="645" t="s">
        <v>10893</v>
      </c>
    </row>
    <row r="1226" spans="1:6" s="645" customFormat="1">
      <c r="A1226" s="646"/>
      <c r="D1226" s="943" t="s">
        <v>4412</v>
      </c>
      <c r="E1226" s="942">
        <f>calcCh3Prod4Slot3Promo1Seg2Fit*VLOOKUP(calcCh3Prod4Slot3Promo1Weeks,dataPromoWeeksEffect,4,FALSE)</f>
        <v>0</v>
      </c>
      <c r="F1226" s="645" t="s">
        <v>10894</v>
      </c>
    </row>
    <row r="1227" spans="1:6" s="645" customFormat="1">
      <c r="A1227" s="646"/>
      <c r="D1227" s="948" t="s">
        <v>2975</v>
      </c>
      <c r="E1227" s="946">
        <f>0.02*calcCh3Prod4Slot3Promo1Weeks+VLOOKUP(calcCh3Prod4Slot3Promo1Weeks,dataPromoWeeksShareEffect,4,FALSE)*calcCh3Prod4Slot3Promo1Seg2Fit</f>
        <v>0</v>
      </c>
      <c r="F1227" s="614" t="s">
        <v>10895</v>
      </c>
    </row>
    <row r="1228" spans="1:6" s="645" customFormat="1">
      <c r="A1228" s="646"/>
    </row>
    <row r="1229" spans="1:6" s="645" customFormat="1">
      <c r="A1229" s="646"/>
      <c r="D1229" s="769" t="s">
        <v>4353</v>
      </c>
    </row>
    <row r="1230" spans="1:6" s="645" customFormat="1" ht="2.25" customHeight="1">
      <c r="A1230" s="646"/>
      <c r="C1230" s="632"/>
      <c r="D1230" s="259"/>
      <c r="E1230" s="632"/>
    </row>
    <row r="1231" spans="1:6" s="645" customFormat="1">
      <c r="A1231" s="646"/>
      <c r="D1231" s="943" t="s">
        <v>10604</v>
      </c>
      <c r="E1231" s="942">
        <f>VLOOKUP(calcCh3Prod4Slot3Promo1Plan,dataPromoSeg3,1+MATCH(calcCh3Prod4Slot3Pack,dataPackNames,0),FALSE)</f>
        <v>0</v>
      </c>
      <c r="F1231" s="645" t="s">
        <v>10896</v>
      </c>
    </row>
    <row r="1232" spans="1:6" s="645" customFormat="1">
      <c r="A1232" s="646"/>
      <c r="D1232" s="943" t="s">
        <v>4412</v>
      </c>
      <c r="E1232" s="942">
        <f>calcCh3Prod4Slot3Promo1Seg3Fit*VLOOKUP(calcCh3Prod4Slot3Promo1Weeks,dataPromoWeeksEffect,4,FALSE)</f>
        <v>0</v>
      </c>
      <c r="F1232" s="645" t="s">
        <v>10897</v>
      </c>
    </row>
    <row r="1233" spans="1:6" s="645" customFormat="1">
      <c r="A1233" s="646"/>
      <c r="D1233" s="948" t="s">
        <v>2975</v>
      </c>
      <c r="E1233" s="946">
        <f>0.02*calcCh3Prod4Slot3Promo1Weeks+VLOOKUP(calcCh3Prod4Slot3Promo1Weeks,dataPromoWeeksShareEffect,4,FALSE)*calcCh3Prod4Slot3Promo1Seg3Fit</f>
        <v>0</v>
      </c>
      <c r="F1233" s="614" t="s">
        <v>10898</v>
      </c>
    </row>
    <row r="1234" spans="1:6" s="645" customFormat="1">
      <c r="A1234" s="646"/>
    </row>
    <row r="1235" spans="1:6" s="645" customFormat="1">
      <c r="A1235" s="646"/>
      <c r="D1235" s="769" t="s">
        <v>243</v>
      </c>
    </row>
    <row r="1236" spans="1:6" s="645" customFormat="1" ht="2.25" customHeight="1">
      <c r="A1236" s="646"/>
      <c r="C1236" s="632"/>
      <c r="D1236" s="259"/>
      <c r="E1236" s="632"/>
    </row>
    <row r="1237" spans="1:6" s="645" customFormat="1">
      <c r="A1237" s="646"/>
      <c r="D1237" s="943" t="s">
        <v>10604</v>
      </c>
      <c r="E1237" s="942">
        <f>VLOOKUP(calcCh3Prod4Slot3Promo1Plan,dataPromoSeg4,1+MATCH(calcCh3Prod4Slot3Pack,dataPackNames,0),FALSE)</f>
        <v>0</v>
      </c>
      <c r="F1237" s="645" t="s">
        <v>10899</v>
      </c>
    </row>
    <row r="1238" spans="1:6" s="645" customFormat="1">
      <c r="A1238" s="646"/>
      <c r="D1238" s="943" t="s">
        <v>4412</v>
      </c>
      <c r="E1238" s="942">
        <f>calcCh3Prod4Slot3Promo1Seg4Fit*VLOOKUP(calcCh3Prod4Slot3Promo1Weeks,dataPromoWeeksEffect,4,FALSE)</f>
        <v>0</v>
      </c>
      <c r="F1238" s="645" t="s">
        <v>10900</v>
      </c>
    </row>
    <row r="1239" spans="1:6" s="645" customFormat="1">
      <c r="A1239" s="646"/>
      <c r="D1239" s="948" t="s">
        <v>2975</v>
      </c>
      <c r="E1239" s="946">
        <f>0.02*calcCh3Prod4Slot3Promo1Weeks+VLOOKUP(calcCh3Prod4Slot3Promo1Weeks,dataPromoWeeksShareEffect,4,FALSE)*calcCh3Prod4Slot3Promo1Seg4Fit</f>
        <v>0</v>
      </c>
      <c r="F1239" s="614" t="s">
        <v>10901</v>
      </c>
    </row>
    <row r="1240" spans="1:6" s="645" customFormat="1">
      <c r="A1240" s="646"/>
      <c r="D1240" s="943"/>
    </row>
    <row r="1241" spans="1:6" s="645" customFormat="1">
      <c r="A1241" s="646"/>
      <c r="D1241" s="943"/>
    </row>
    <row r="1242" spans="1:6" s="645" customFormat="1">
      <c r="A1242" s="646"/>
      <c r="B1242" s="769" t="s">
        <v>246</v>
      </c>
    </row>
    <row r="1243" spans="1:6" s="645" customFormat="1">
      <c r="A1243" s="646"/>
      <c r="B1243" s="769" t="s">
        <v>12868</v>
      </c>
    </row>
    <row r="1244" spans="1:6" s="645" customFormat="1">
      <c r="A1244" s="646"/>
      <c r="C1244" s="769" t="s">
        <v>3859</v>
      </c>
    </row>
    <row r="1245" spans="1:6" s="645" customFormat="1">
      <c r="A1245" s="646"/>
      <c r="D1245" s="769" t="s">
        <v>6111</v>
      </c>
      <c r="E1245" s="441" t="str">
        <f>decCh4Prod1Slot1Promo1</f>
        <v>TPR 20%</v>
      </c>
      <c r="F1245" s="614" t="s">
        <v>5966</v>
      </c>
    </row>
    <row r="1246" spans="1:6" s="645" customFormat="1">
      <c r="A1246" s="646"/>
      <c r="D1246" s="645" t="s">
        <v>5663</v>
      </c>
      <c r="E1246" s="645">
        <f>IF(decCh4Prod1Slot1Promo1="No Promotion",0,decCh4Prod1Slot1Promo1Weeks)</f>
        <v>4</v>
      </c>
      <c r="F1246" s="645" t="s">
        <v>10980</v>
      </c>
    </row>
    <row r="1247" spans="1:6" s="645" customFormat="1">
      <c r="A1247" s="646"/>
    </row>
    <row r="1248" spans="1:6" s="645" customFormat="1">
      <c r="A1248" s="646"/>
      <c r="D1248" s="769" t="s">
        <v>241</v>
      </c>
    </row>
    <row r="1249" spans="1:6" s="645" customFormat="1" ht="2.25" customHeight="1">
      <c r="A1249" s="646"/>
      <c r="C1249" s="632"/>
      <c r="D1249" s="259"/>
      <c r="E1249" s="632"/>
    </row>
    <row r="1250" spans="1:6" s="645" customFormat="1">
      <c r="A1250" s="646"/>
      <c r="D1250" s="943" t="s">
        <v>10604</v>
      </c>
      <c r="E1250" s="942">
        <f>VLOOKUP(calcCh4Prod1Slot1Promo1Plan,dataPromoSeg1,1+MATCH(calcCh4Prod1Slot1Pack,dataPackNames,0),FALSE)</f>
        <v>4.4600000000000009</v>
      </c>
      <c r="F1250" s="645" t="s">
        <v>10981</v>
      </c>
    </row>
    <row r="1251" spans="1:6" s="645" customFormat="1">
      <c r="A1251" s="646"/>
      <c r="D1251" s="943" t="s">
        <v>4412</v>
      </c>
      <c r="E1251" s="942">
        <f>calcCh4Prod1Slot1Promo1Seg1Fit*VLOOKUP(calcCh4Prod1Slot1Promo1Weeks,dataPromoWeeksEffect,5,FALSE)</f>
        <v>26.215880000000006</v>
      </c>
      <c r="F1251" s="645" t="s">
        <v>10982</v>
      </c>
    </row>
    <row r="1252" spans="1:6" s="645" customFormat="1">
      <c r="A1252" s="646"/>
      <c r="D1252" s="948" t="s">
        <v>2975</v>
      </c>
      <c r="E1252" s="946">
        <f>0.02*calcCh4Prod1Slot1Promo1Weeks+VLOOKUP(calcCh4Prod1Slot1Promo1Weeks,dataPromoWeeksShareEffect,5,FALSE)*calcCh4Prod1Slot1Promo1Seg1Fit</f>
        <v>0.23221722992500005</v>
      </c>
      <c r="F1252" s="614" t="s">
        <v>10983</v>
      </c>
    </row>
    <row r="1253" spans="1:6" s="645" customFormat="1">
      <c r="A1253" s="646"/>
    </row>
    <row r="1254" spans="1:6" s="645" customFormat="1">
      <c r="A1254" s="646"/>
      <c r="D1254" s="769" t="s">
        <v>242</v>
      </c>
    </row>
    <row r="1255" spans="1:6" s="645" customFormat="1" ht="2.25" customHeight="1">
      <c r="A1255" s="646"/>
      <c r="C1255" s="632"/>
      <c r="D1255" s="259"/>
      <c r="E1255" s="632"/>
    </row>
    <row r="1256" spans="1:6" s="645" customFormat="1">
      <c r="A1256" s="646"/>
      <c r="D1256" s="943" t="s">
        <v>10604</v>
      </c>
      <c r="E1256" s="942">
        <f>VLOOKUP(calcCh4Prod1Slot1Promo1Plan,dataPromoSeg2,1+MATCH(calcCh4Prod1Slot1Pack,dataPackNames,0),FALSE)</f>
        <v>5.08</v>
      </c>
      <c r="F1256" s="645" t="s">
        <v>10984</v>
      </c>
    </row>
    <row r="1257" spans="1:6" s="645" customFormat="1">
      <c r="A1257" s="646"/>
      <c r="D1257" s="943" t="s">
        <v>4412</v>
      </c>
      <c r="E1257" s="942">
        <f>calcCh4Prod1Slot1Promo1Seg2Fit*VLOOKUP(calcCh4Prod1Slot1Promo1Weeks,dataPromoWeeksEffect,5,FALSE)</f>
        <v>29.860240000000001</v>
      </c>
      <c r="F1257" s="645" t="s">
        <v>10985</v>
      </c>
    </row>
    <row r="1258" spans="1:6" s="645" customFormat="1">
      <c r="A1258" s="646"/>
      <c r="D1258" s="948" t="s">
        <v>2975</v>
      </c>
      <c r="E1258" s="946">
        <f>0.02*calcCh4Prod1Slot1Promo1Weeks+VLOOKUP(calcCh4Prod1Slot1Promo1Weeks,dataPromoWeeksShareEffect,5,FALSE)*calcCh4Prod1Slot1Promo1Seg2Fit</f>
        <v>0.25337747264999999</v>
      </c>
      <c r="F1258" s="614" t="s">
        <v>10986</v>
      </c>
    </row>
    <row r="1259" spans="1:6" s="645" customFormat="1">
      <c r="A1259" s="646"/>
    </row>
    <row r="1260" spans="1:6" s="645" customFormat="1">
      <c r="A1260" s="646"/>
      <c r="D1260" s="769" t="s">
        <v>4353</v>
      </c>
    </row>
    <row r="1261" spans="1:6" s="645" customFormat="1" ht="2.25" customHeight="1">
      <c r="A1261" s="646"/>
      <c r="C1261" s="632"/>
      <c r="D1261" s="259"/>
      <c r="E1261" s="632"/>
    </row>
    <row r="1262" spans="1:6" s="645" customFormat="1">
      <c r="A1262" s="646"/>
      <c r="D1262" s="943" t="s">
        <v>10604</v>
      </c>
      <c r="E1262" s="942">
        <f>VLOOKUP(calcCh4Prod1Slot1Promo1Plan,dataPromoSeg3,1+MATCH(calcCh4Prod1Slot1Pack,dataPackNames,0),FALSE)</f>
        <v>5.1400000000000006</v>
      </c>
      <c r="F1262" s="645" t="s">
        <v>10987</v>
      </c>
    </row>
    <row r="1263" spans="1:6" s="645" customFormat="1">
      <c r="A1263" s="646"/>
      <c r="D1263" s="943" t="s">
        <v>4412</v>
      </c>
      <c r="E1263" s="942">
        <f>calcCh4Prod1Slot1Promo1Seg3Fit*VLOOKUP(calcCh4Prod1Slot1Promo1Weeks,dataPromoWeeksEffect,5,FALSE)</f>
        <v>30.212920000000004</v>
      </c>
      <c r="F1263" s="645" t="s">
        <v>10988</v>
      </c>
    </row>
    <row r="1264" spans="1:6" s="645" customFormat="1">
      <c r="A1264" s="646"/>
      <c r="D1264" s="948" t="s">
        <v>2975</v>
      </c>
      <c r="E1264" s="946">
        <f>0.02*calcCh4Prod1Slot1Promo1Weeks+VLOOKUP(calcCh4Prod1Slot1Promo1Weeks,dataPromoWeeksShareEffect,5,FALSE)*calcCh4Prod1Slot1Promo1Seg3Fit</f>
        <v>0.25542523807500001</v>
      </c>
      <c r="F1264" s="614" t="s">
        <v>10989</v>
      </c>
    </row>
    <row r="1265" spans="1:6" s="645" customFormat="1">
      <c r="A1265" s="646"/>
    </row>
    <row r="1266" spans="1:6" s="645" customFormat="1">
      <c r="A1266" s="646"/>
      <c r="D1266" s="769" t="s">
        <v>243</v>
      </c>
    </row>
    <row r="1267" spans="1:6" s="645" customFormat="1" ht="2.25" customHeight="1">
      <c r="A1267" s="646"/>
      <c r="C1267" s="632"/>
      <c r="D1267" s="259"/>
      <c r="E1267" s="632"/>
    </row>
    <row r="1268" spans="1:6" s="645" customFormat="1">
      <c r="A1268" s="646"/>
      <c r="D1268" s="943" t="s">
        <v>10604</v>
      </c>
      <c r="E1268" s="942">
        <f>VLOOKUP(calcCh4Prod1Slot1Promo1Plan,dataPromoSeg4,1+MATCH(calcCh4Prod1Slot1Pack,dataPackNames,0),FALSE)</f>
        <v>4.7799999999999994</v>
      </c>
      <c r="F1268" s="645" t="s">
        <v>10990</v>
      </c>
    </row>
    <row r="1269" spans="1:6" s="645" customFormat="1">
      <c r="A1269" s="646"/>
      <c r="D1269" s="943" t="s">
        <v>4412</v>
      </c>
      <c r="E1269" s="942">
        <f>calcCh4Prod1Slot1Promo1Seg4Fit*VLOOKUP(calcCh4Prod1Slot1Promo1Weeks,dataPromoWeeksEffect,5,FALSE)</f>
        <v>28.096839999999997</v>
      </c>
      <c r="F1269" s="645" t="s">
        <v>10991</v>
      </c>
    </row>
    <row r="1270" spans="1:6" s="645" customFormat="1">
      <c r="A1270" s="646"/>
      <c r="D1270" s="948" t="s">
        <v>2975</v>
      </c>
      <c r="E1270" s="946">
        <f>0.02*calcCh4Prod1Slot1Promo1Weeks+VLOOKUP(calcCh4Prod1Slot1Promo1Weeks,dataPromoWeeksShareEffect,5,FALSE)*calcCh4Prod1Slot1Promo1Seg4Fit</f>
        <v>0.24313864552499997</v>
      </c>
      <c r="F1270" s="614" t="s">
        <v>10992</v>
      </c>
    </row>
    <row r="1271" spans="1:6" s="645" customFormat="1">
      <c r="A1271" s="646"/>
      <c r="D1271" s="943"/>
    </row>
    <row r="1272" spans="1:6" s="645" customFormat="1">
      <c r="A1272" s="646"/>
      <c r="C1272" s="769" t="s">
        <v>3858</v>
      </c>
    </row>
    <row r="1273" spans="1:6" s="645" customFormat="1">
      <c r="A1273" s="646"/>
      <c r="D1273" s="769" t="s">
        <v>6111</v>
      </c>
      <c r="E1273" s="441" t="str">
        <f>decCh4Prod1Slot2Promo1</f>
        <v>No Promotion</v>
      </c>
      <c r="F1273" s="614" t="s">
        <v>5968</v>
      </c>
    </row>
    <row r="1274" spans="1:6" s="645" customFormat="1">
      <c r="A1274" s="646"/>
      <c r="D1274" s="645" t="s">
        <v>5663</v>
      </c>
      <c r="E1274" s="645">
        <f>IF(decCh4Prod1Slot2Promo1="No Promotion",0,decCh4Prod1Slot2Promo1Weeks)</f>
        <v>0</v>
      </c>
      <c r="F1274" s="645" t="s">
        <v>10993</v>
      </c>
    </row>
    <row r="1275" spans="1:6" s="645" customFormat="1">
      <c r="A1275" s="646"/>
    </row>
    <row r="1276" spans="1:6" s="645" customFormat="1">
      <c r="A1276" s="646"/>
      <c r="D1276" s="769" t="s">
        <v>241</v>
      </c>
    </row>
    <row r="1277" spans="1:6" s="645" customFormat="1" ht="2.25" customHeight="1">
      <c r="A1277" s="646"/>
      <c r="C1277" s="632"/>
      <c r="D1277" s="259"/>
      <c r="E1277" s="632"/>
    </row>
    <row r="1278" spans="1:6" s="645" customFormat="1">
      <c r="A1278" s="646"/>
      <c r="D1278" s="943" t="s">
        <v>10604</v>
      </c>
      <c r="E1278" s="942">
        <f>VLOOKUP(calcCh4Prod1Slot2Promo1Plan,dataPromoSeg1,1+MATCH(calcCh4Prod1Slot2Pack,dataPackNames,0),FALSE)</f>
        <v>0</v>
      </c>
      <c r="F1278" s="645" t="s">
        <v>10994</v>
      </c>
    </row>
    <row r="1279" spans="1:6" s="645" customFormat="1">
      <c r="A1279" s="646"/>
      <c r="D1279" s="943" t="s">
        <v>4412</v>
      </c>
      <c r="E1279" s="942">
        <f>calcCh4Prod1Slot2Promo1Seg1Fit*VLOOKUP(calcCh4Prod1Slot2Promo1Weeks,dataPromoWeeksEffect,5,FALSE)</f>
        <v>0</v>
      </c>
      <c r="F1279" s="645" t="s">
        <v>10995</v>
      </c>
    </row>
    <row r="1280" spans="1:6" s="645" customFormat="1">
      <c r="A1280" s="646"/>
      <c r="D1280" s="948" t="s">
        <v>2975</v>
      </c>
      <c r="E1280" s="946">
        <f>0.02*calcCh4Prod1Slot2Promo1Weeks+VLOOKUP(calcCh4Prod1Slot2Promo1Weeks,dataPromoWeeksShareEffect,5,FALSE)*calcCh4Prod1Slot2Promo1Seg1Fit</f>
        <v>0</v>
      </c>
      <c r="F1280" s="614" t="s">
        <v>10996</v>
      </c>
    </row>
    <row r="1281" spans="1:6" s="645" customFormat="1">
      <c r="A1281" s="646"/>
    </row>
    <row r="1282" spans="1:6" s="645" customFormat="1">
      <c r="A1282" s="646"/>
      <c r="D1282" s="769" t="s">
        <v>242</v>
      </c>
    </row>
    <row r="1283" spans="1:6" s="645" customFormat="1" ht="2.25" customHeight="1">
      <c r="A1283" s="646"/>
      <c r="C1283" s="632"/>
      <c r="D1283" s="259"/>
      <c r="E1283" s="632"/>
    </row>
    <row r="1284" spans="1:6" s="645" customFormat="1">
      <c r="A1284" s="646"/>
      <c r="D1284" s="943" t="s">
        <v>10604</v>
      </c>
      <c r="E1284" s="942">
        <f>VLOOKUP(calcCh4Prod1Slot2Promo1Plan,dataPromoSeg2,1+MATCH(calcCh4Prod1Slot2Pack,dataPackNames,0),FALSE)</f>
        <v>0</v>
      </c>
      <c r="F1284" s="645" t="s">
        <v>10997</v>
      </c>
    </row>
    <row r="1285" spans="1:6" s="645" customFormat="1">
      <c r="A1285" s="646"/>
      <c r="D1285" s="943" t="s">
        <v>4412</v>
      </c>
      <c r="E1285" s="942">
        <f>calcCh4Prod1Slot2Promo1Seg2Fit*VLOOKUP(calcCh4Prod1Slot2Promo1Weeks,dataPromoWeeksEffect,5,FALSE)</f>
        <v>0</v>
      </c>
      <c r="F1285" s="645" t="s">
        <v>10998</v>
      </c>
    </row>
    <row r="1286" spans="1:6" s="645" customFormat="1">
      <c r="A1286" s="646"/>
      <c r="D1286" s="948" t="s">
        <v>2975</v>
      </c>
      <c r="E1286" s="946">
        <f>0.02*calcCh4Prod1Slot2Promo1Weeks+VLOOKUP(calcCh4Prod1Slot2Promo1Weeks,dataPromoWeeksShareEffect,5,FALSE)*calcCh4Prod1Slot2Promo1Seg2Fit</f>
        <v>0</v>
      </c>
      <c r="F1286" s="614" t="s">
        <v>10999</v>
      </c>
    </row>
    <row r="1287" spans="1:6" s="645" customFormat="1">
      <c r="A1287" s="646"/>
    </row>
    <row r="1288" spans="1:6" s="645" customFormat="1">
      <c r="A1288" s="646"/>
      <c r="D1288" s="769" t="s">
        <v>4353</v>
      </c>
    </row>
    <row r="1289" spans="1:6" s="645" customFormat="1" ht="2.25" customHeight="1">
      <c r="A1289" s="646"/>
      <c r="C1289" s="632"/>
      <c r="D1289" s="259"/>
      <c r="E1289" s="632"/>
    </row>
    <row r="1290" spans="1:6" s="645" customFormat="1">
      <c r="A1290" s="646"/>
      <c r="D1290" s="943" t="s">
        <v>10604</v>
      </c>
      <c r="E1290" s="942">
        <f>VLOOKUP(calcCh4Prod1Slot2Promo1Plan,dataPromoSeg3,1+MATCH(calcCh4Prod1Slot2Pack,dataPackNames,0),FALSE)</f>
        <v>0</v>
      </c>
      <c r="F1290" s="645" t="s">
        <v>11000</v>
      </c>
    </row>
    <row r="1291" spans="1:6" s="645" customFormat="1">
      <c r="A1291" s="646"/>
      <c r="D1291" s="943" t="s">
        <v>4412</v>
      </c>
      <c r="E1291" s="942">
        <f>calcCh4Prod1Slot2Promo1Seg3Fit*VLOOKUP(calcCh4Prod1Slot2Promo1Weeks,dataPromoWeeksEffect,5,FALSE)</f>
        <v>0</v>
      </c>
      <c r="F1291" s="645" t="s">
        <v>11001</v>
      </c>
    </row>
    <row r="1292" spans="1:6" s="645" customFormat="1">
      <c r="A1292" s="646"/>
      <c r="D1292" s="948" t="s">
        <v>2975</v>
      </c>
      <c r="E1292" s="946">
        <f>0.02*calcCh4Prod1Slot2Promo1Weeks+VLOOKUP(calcCh4Prod1Slot2Promo1Weeks,dataPromoWeeksShareEffect,5,FALSE)*calcCh4Prod1Slot2Promo1Seg3Fit</f>
        <v>0</v>
      </c>
      <c r="F1292" s="614" t="s">
        <v>11002</v>
      </c>
    </row>
    <row r="1293" spans="1:6" s="645" customFormat="1">
      <c r="A1293" s="646"/>
    </row>
    <row r="1294" spans="1:6" s="645" customFormat="1">
      <c r="A1294" s="646"/>
      <c r="D1294" s="769" t="s">
        <v>243</v>
      </c>
    </row>
    <row r="1295" spans="1:6" s="645" customFormat="1" ht="2.25" customHeight="1">
      <c r="A1295" s="646"/>
      <c r="C1295" s="632"/>
      <c r="D1295" s="259"/>
      <c r="E1295" s="632"/>
    </row>
    <row r="1296" spans="1:6" s="645" customFormat="1">
      <c r="A1296" s="646"/>
      <c r="D1296" s="943" t="s">
        <v>10604</v>
      </c>
      <c r="E1296" s="942">
        <f>VLOOKUP(calcCh4Prod1Slot2Promo1Plan,dataPromoSeg4,1+MATCH(calcCh4Prod1Slot2Pack,dataPackNames,0),FALSE)</f>
        <v>0</v>
      </c>
      <c r="F1296" s="645" t="s">
        <v>11003</v>
      </c>
    </row>
    <row r="1297" spans="1:6" s="645" customFormat="1">
      <c r="A1297" s="646"/>
      <c r="D1297" s="943" t="s">
        <v>4412</v>
      </c>
      <c r="E1297" s="942">
        <f>calcCh4Prod1Slot2Promo1Seg4Fit*VLOOKUP(calcCh4Prod1Slot2Promo1Weeks,dataPromoWeeksEffect,5,FALSE)</f>
        <v>0</v>
      </c>
      <c r="F1297" s="645" t="s">
        <v>11004</v>
      </c>
    </row>
    <row r="1298" spans="1:6" s="645" customFormat="1">
      <c r="A1298" s="646"/>
      <c r="D1298" s="948" t="s">
        <v>2975</v>
      </c>
      <c r="E1298" s="946">
        <f>0.02*calcCh4Prod1Slot2Promo1Weeks+VLOOKUP(calcCh4Prod1Slot2Promo1Weeks,dataPromoWeeksShareEffect,5,FALSE)*calcCh4Prod1Slot2Promo1Seg4Fit</f>
        <v>0</v>
      </c>
      <c r="F1298" s="614" t="s">
        <v>11005</v>
      </c>
    </row>
    <row r="1299" spans="1:6" s="645" customFormat="1">
      <c r="A1299" s="646"/>
      <c r="D1299" s="943"/>
    </row>
    <row r="1300" spans="1:6" s="645" customFormat="1">
      <c r="A1300" s="646"/>
      <c r="C1300" s="769" t="s">
        <v>3860</v>
      </c>
    </row>
    <row r="1301" spans="1:6" s="645" customFormat="1">
      <c r="A1301" s="646"/>
      <c r="D1301" s="769" t="s">
        <v>6111</v>
      </c>
      <c r="E1301" s="441" t="str">
        <f>decCh4Prod1Slot3Promo1</f>
        <v>No Promotion</v>
      </c>
      <c r="F1301" s="614" t="s">
        <v>5970</v>
      </c>
    </row>
    <row r="1302" spans="1:6" s="645" customFormat="1">
      <c r="A1302" s="646"/>
      <c r="D1302" s="645" t="s">
        <v>5663</v>
      </c>
      <c r="E1302" s="645">
        <f>IF(decCh4Prod1Slot3Promo1="No Promotion",0,decCh4Prod1Slot3Promo1Weeks)</f>
        <v>0</v>
      </c>
      <c r="F1302" s="645" t="s">
        <v>11006</v>
      </c>
    </row>
    <row r="1303" spans="1:6" s="645" customFormat="1">
      <c r="A1303" s="646"/>
    </row>
    <row r="1304" spans="1:6" s="645" customFormat="1">
      <c r="A1304" s="646"/>
      <c r="D1304" s="769" t="s">
        <v>241</v>
      </c>
    </row>
    <row r="1305" spans="1:6" s="645" customFormat="1" ht="2.25" customHeight="1">
      <c r="A1305" s="646"/>
      <c r="C1305" s="632"/>
      <c r="D1305" s="259"/>
      <c r="E1305" s="632"/>
    </row>
    <row r="1306" spans="1:6" s="645" customFormat="1">
      <c r="A1306" s="646"/>
      <c r="D1306" s="943" t="s">
        <v>10604</v>
      </c>
      <c r="E1306" s="942">
        <f>VLOOKUP(calcCh4Prod1Slot3Promo1Plan,dataPromoSeg1,1+MATCH(calcCh4Prod1Slot3Pack,dataPackNames,0),FALSE)</f>
        <v>0</v>
      </c>
      <c r="F1306" s="645" t="s">
        <v>11007</v>
      </c>
    </row>
    <row r="1307" spans="1:6" s="645" customFormat="1">
      <c r="A1307" s="646"/>
      <c r="D1307" s="943" t="s">
        <v>4412</v>
      </c>
      <c r="E1307" s="942">
        <f>calcCh4Prod1Slot3Promo1Seg1Fit*VLOOKUP(calcCh4Prod1Slot3Promo1Weeks,dataPromoWeeksEffect,5,FALSE)</f>
        <v>0</v>
      </c>
      <c r="F1307" s="645" t="s">
        <v>11008</v>
      </c>
    </row>
    <row r="1308" spans="1:6" s="645" customFormat="1">
      <c r="A1308" s="646"/>
      <c r="D1308" s="948" t="s">
        <v>2975</v>
      </c>
      <c r="E1308" s="946">
        <f>0.02*calcCh4Prod1Slot3Promo1Weeks+VLOOKUP(calcCh4Prod1Slot3Promo1Weeks,dataPromoWeeksShareEffect,5,FALSE)*calcCh4Prod1Slot3Promo1Seg1Fit</f>
        <v>0</v>
      </c>
      <c r="F1308" s="614" t="s">
        <v>11009</v>
      </c>
    </row>
    <row r="1309" spans="1:6" s="645" customFormat="1">
      <c r="A1309" s="646"/>
    </row>
    <row r="1310" spans="1:6" s="645" customFormat="1">
      <c r="A1310" s="646"/>
      <c r="D1310" s="769" t="s">
        <v>242</v>
      </c>
    </row>
    <row r="1311" spans="1:6" s="645" customFormat="1" ht="2.25" customHeight="1">
      <c r="A1311" s="646"/>
      <c r="C1311" s="632"/>
      <c r="D1311" s="259"/>
      <c r="E1311" s="632"/>
    </row>
    <row r="1312" spans="1:6" s="645" customFormat="1">
      <c r="A1312" s="646"/>
      <c r="D1312" s="943" t="s">
        <v>10604</v>
      </c>
      <c r="E1312" s="942">
        <f>VLOOKUP(calcCh4Prod1Slot3Promo1Plan,dataPromoSeg2,1+MATCH(calcCh4Prod1Slot3Pack,dataPackNames,0),FALSE)</f>
        <v>0</v>
      </c>
      <c r="F1312" s="645" t="s">
        <v>11010</v>
      </c>
    </row>
    <row r="1313" spans="1:6" s="645" customFormat="1">
      <c r="A1313" s="646"/>
      <c r="D1313" s="943" t="s">
        <v>4412</v>
      </c>
      <c r="E1313" s="942">
        <f>calcCh4Prod1Slot3Promo1Seg2Fit*VLOOKUP(calcCh4Prod1Slot3Promo1Weeks,dataPromoWeeksEffect,5,FALSE)</f>
        <v>0</v>
      </c>
      <c r="F1313" s="645" t="s">
        <v>11011</v>
      </c>
    </row>
    <row r="1314" spans="1:6" s="645" customFormat="1">
      <c r="A1314" s="646"/>
      <c r="D1314" s="948" t="s">
        <v>2975</v>
      </c>
      <c r="E1314" s="946">
        <f>0.02*calcCh4Prod1Slot3Promo1Weeks+VLOOKUP(calcCh4Prod1Slot3Promo1Weeks,dataPromoWeeksShareEffect,5,FALSE)*calcCh4Prod1Slot3Promo1Seg2Fit</f>
        <v>0</v>
      </c>
      <c r="F1314" s="614" t="s">
        <v>11012</v>
      </c>
    </row>
    <row r="1315" spans="1:6" s="645" customFormat="1">
      <c r="A1315" s="646"/>
    </row>
    <row r="1316" spans="1:6" s="645" customFormat="1">
      <c r="A1316" s="646"/>
      <c r="D1316" s="769" t="s">
        <v>4353</v>
      </c>
    </row>
    <row r="1317" spans="1:6" s="645" customFormat="1" ht="2.25" customHeight="1">
      <c r="A1317" s="646"/>
      <c r="C1317" s="632"/>
      <c r="D1317" s="259"/>
      <c r="E1317" s="632"/>
    </row>
    <row r="1318" spans="1:6" s="645" customFormat="1">
      <c r="A1318" s="646"/>
      <c r="D1318" s="943" t="s">
        <v>10604</v>
      </c>
      <c r="E1318" s="942">
        <f>VLOOKUP(calcCh4Prod1Slot3Promo1Plan,dataPromoSeg3,1+MATCH(calcCh4Prod1Slot3Pack,dataPackNames,0),FALSE)</f>
        <v>0</v>
      </c>
      <c r="F1318" s="645" t="s">
        <v>11013</v>
      </c>
    </row>
    <row r="1319" spans="1:6" s="645" customFormat="1">
      <c r="A1319" s="646"/>
      <c r="D1319" s="943" t="s">
        <v>4412</v>
      </c>
      <c r="E1319" s="942">
        <f>calcCh4Prod1Slot3Promo1Seg3Fit*VLOOKUP(calcCh4Prod1Slot3Promo1Weeks,dataPromoWeeksEffect,5,FALSE)</f>
        <v>0</v>
      </c>
      <c r="F1319" s="645" t="s">
        <v>11014</v>
      </c>
    </row>
    <row r="1320" spans="1:6" s="645" customFormat="1">
      <c r="A1320" s="646"/>
      <c r="D1320" s="948" t="s">
        <v>2975</v>
      </c>
      <c r="E1320" s="946">
        <f>0.02*calcCh4Prod1Slot3Promo1Weeks+VLOOKUP(calcCh4Prod1Slot3Promo1Weeks,dataPromoWeeksShareEffect,5,FALSE)*calcCh4Prod1Slot3Promo1Seg3Fit</f>
        <v>0</v>
      </c>
      <c r="F1320" s="614" t="s">
        <v>11015</v>
      </c>
    </row>
    <row r="1321" spans="1:6" s="645" customFormat="1">
      <c r="A1321" s="646"/>
    </row>
    <row r="1322" spans="1:6" s="645" customFormat="1">
      <c r="A1322" s="646"/>
      <c r="D1322" s="769" t="s">
        <v>243</v>
      </c>
    </row>
    <row r="1323" spans="1:6" s="645" customFormat="1" ht="2.25" customHeight="1">
      <c r="A1323" s="646"/>
      <c r="C1323" s="632"/>
      <c r="D1323" s="259"/>
      <c r="E1323" s="632"/>
    </row>
    <row r="1324" spans="1:6" s="645" customFormat="1">
      <c r="A1324" s="646"/>
      <c r="D1324" s="943" t="s">
        <v>10604</v>
      </c>
      <c r="E1324" s="942">
        <f>VLOOKUP(calcCh4Prod1Slot3Promo1Plan,dataPromoSeg4,1+MATCH(calcCh4Prod1Slot3Pack,dataPackNames,0),FALSE)</f>
        <v>0</v>
      </c>
      <c r="F1324" s="645" t="s">
        <v>11016</v>
      </c>
    </row>
    <row r="1325" spans="1:6" s="645" customFormat="1">
      <c r="A1325" s="646"/>
      <c r="D1325" s="943" t="s">
        <v>4412</v>
      </c>
      <c r="E1325" s="942">
        <f>calcCh4Prod1Slot3Promo1Seg4Fit*VLOOKUP(calcCh4Prod1Slot3Promo1Weeks,dataPromoWeeksEffect,5,FALSE)</f>
        <v>0</v>
      </c>
      <c r="F1325" s="645" t="s">
        <v>11017</v>
      </c>
    </row>
    <row r="1326" spans="1:6" s="645" customFormat="1">
      <c r="A1326" s="646"/>
      <c r="D1326" s="948" t="s">
        <v>2975</v>
      </c>
      <c r="E1326" s="946">
        <f>0.02*calcCh4Prod1Slot3Promo1Weeks+VLOOKUP(calcCh4Prod1Slot3Promo1Weeks,dataPromoWeeksShareEffect,5,FALSE)*calcCh4Prod1Slot3Promo1Seg4Fit</f>
        <v>0</v>
      </c>
      <c r="F1326" s="614" t="s">
        <v>11018</v>
      </c>
    </row>
    <row r="1327" spans="1:6" s="645" customFormat="1">
      <c r="A1327" s="646"/>
      <c r="D1327" s="943"/>
    </row>
    <row r="1328" spans="1:6" s="645" customFormat="1">
      <c r="A1328" s="646"/>
      <c r="B1328" s="769" t="s">
        <v>238</v>
      </c>
    </row>
    <row r="1329" spans="1:6" s="645" customFormat="1">
      <c r="A1329" s="646"/>
      <c r="C1329" s="769" t="s">
        <v>3859</v>
      </c>
    </row>
    <row r="1330" spans="1:6" s="645" customFormat="1">
      <c r="A1330" s="646"/>
      <c r="D1330" s="769" t="s">
        <v>6111</v>
      </c>
      <c r="E1330" s="441" t="str">
        <f>decCh4Prod2Slot1Promo1</f>
        <v>TPR 33%</v>
      </c>
      <c r="F1330" s="614" t="s">
        <v>5972</v>
      </c>
    </row>
    <row r="1331" spans="1:6" s="645" customFormat="1">
      <c r="A1331" s="646"/>
      <c r="D1331" s="645" t="s">
        <v>5663</v>
      </c>
      <c r="E1331" s="645">
        <f>IF(decCh4Prod2Slot1Promo1="No Promotion",0,decCh4Prod2Slot1Promo1Weeks)</f>
        <v>8</v>
      </c>
      <c r="F1331" s="645" t="s">
        <v>11019</v>
      </c>
    </row>
    <row r="1332" spans="1:6" s="645" customFormat="1">
      <c r="A1332" s="646"/>
    </row>
    <row r="1333" spans="1:6" s="645" customFormat="1">
      <c r="A1333" s="646"/>
      <c r="D1333" s="769" t="s">
        <v>241</v>
      </c>
    </row>
    <row r="1334" spans="1:6" s="645" customFormat="1" ht="2.25" customHeight="1">
      <c r="A1334" s="646"/>
      <c r="C1334" s="632"/>
      <c r="D1334" s="259"/>
      <c r="E1334" s="632"/>
    </row>
    <row r="1335" spans="1:6" s="645" customFormat="1">
      <c r="A1335" s="646"/>
      <c r="D1335" s="943" t="s">
        <v>10604</v>
      </c>
      <c r="E1335" s="942">
        <f>VLOOKUP(calcCh4Prod2Slot1Promo1Plan,dataPromoSeg1,1+MATCH(calcCh4Prod2Slot1Pack,dataPackNames,0),FALSE)</f>
        <v>8.7360000000000007</v>
      </c>
      <c r="F1335" s="645" t="s">
        <v>11020</v>
      </c>
    </row>
    <row r="1336" spans="1:6" s="645" customFormat="1">
      <c r="A1336" s="646"/>
      <c r="D1336" s="943" t="s">
        <v>4412</v>
      </c>
      <c r="E1336" s="942">
        <f>calcCh4Prod2Slot1Promo1Seg1Fit*VLOOKUP(calcCh4Prod2Slot1Promo1Weeks,dataPromoWeeksEffect,5,FALSE)</f>
        <v>90.772769068800017</v>
      </c>
      <c r="F1336" s="645" t="s">
        <v>11021</v>
      </c>
    </row>
    <row r="1337" spans="1:6" s="645" customFormat="1">
      <c r="A1337" s="646"/>
      <c r="D1337" s="948" t="s">
        <v>2975</v>
      </c>
      <c r="E1337" s="946">
        <f>0.02*calcCh4Prod2Slot1Promo1Weeks+VLOOKUP(calcCh4Prod2Slot1Promo1Weeks,dataPromoWeeksShareEffect,5,FALSE)*calcCh4Prod2Slot1Promo1Seg1Fit</f>
        <v>0.64946290611116797</v>
      </c>
      <c r="F1337" s="614" t="s">
        <v>11022</v>
      </c>
    </row>
    <row r="1338" spans="1:6" s="645" customFormat="1">
      <c r="A1338" s="646"/>
    </row>
    <row r="1339" spans="1:6" s="645" customFormat="1">
      <c r="A1339" s="646"/>
      <c r="D1339" s="769" t="s">
        <v>242</v>
      </c>
    </row>
    <row r="1340" spans="1:6" s="645" customFormat="1" ht="2.25" customHeight="1">
      <c r="A1340" s="646"/>
      <c r="C1340" s="632"/>
      <c r="D1340" s="259"/>
      <c r="E1340" s="632"/>
    </row>
    <row r="1341" spans="1:6" s="645" customFormat="1">
      <c r="A1341" s="646"/>
      <c r="D1341" s="943" t="s">
        <v>10604</v>
      </c>
      <c r="E1341" s="942">
        <f>VLOOKUP(calcCh4Prod2Slot1Promo1Plan,dataPromoSeg2,1+MATCH(calcCh4Prod2Slot1Pack,dataPackNames,0),FALSE)</f>
        <v>9.7279999999999998</v>
      </c>
      <c r="F1341" s="645" t="s">
        <v>11023</v>
      </c>
    </row>
    <row r="1342" spans="1:6" s="645" customFormat="1">
      <c r="A1342" s="646"/>
      <c r="D1342" s="943" t="s">
        <v>4412</v>
      </c>
      <c r="E1342" s="942">
        <f>calcCh4Prod2Slot1Promo1Seg2Fit*VLOOKUP(calcCh4Prod2Slot1Promo1Weeks,dataPromoWeeksEffect,5,FALSE)</f>
        <v>101.08029962240001</v>
      </c>
      <c r="F1342" s="645" t="s">
        <v>11024</v>
      </c>
    </row>
    <row r="1343" spans="1:6" s="645" customFormat="1">
      <c r="A1343" s="646"/>
      <c r="D1343" s="948" t="s">
        <v>2975</v>
      </c>
      <c r="E1343" s="946">
        <f>0.02*calcCh4Prod2Slot1Promo1Weeks+VLOOKUP(calcCh4Prod2Slot1Promo1Weeks,dataPromoWeeksShareEffect,5,FALSE)*calcCh4Prod2Slot1Promo1Seg2Fit</f>
        <v>0.70504294306884641</v>
      </c>
      <c r="F1343" s="614" t="s">
        <v>11025</v>
      </c>
    </row>
    <row r="1344" spans="1:6" s="645" customFormat="1">
      <c r="A1344" s="646"/>
    </row>
    <row r="1345" spans="1:6" s="645" customFormat="1">
      <c r="A1345" s="646"/>
      <c r="D1345" s="769" t="s">
        <v>4353</v>
      </c>
    </row>
    <row r="1346" spans="1:6" s="645" customFormat="1" ht="2.25" customHeight="1">
      <c r="A1346" s="646"/>
      <c r="C1346" s="632"/>
      <c r="D1346" s="259"/>
      <c r="E1346" s="632"/>
    </row>
    <row r="1347" spans="1:6" s="645" customFormat="1">
      <c r="A1347" s="646"/>
      <c r="D1347" s="943" t="s">
        <v>10604</v>
      </c>
      <c r="E1347" s="942">
        <f>VLOOKUP(calcCh4Prod2Slot1Promo1Plan,dataPromoSeg3,1+MATCH(calcCh4Prod2Slot1Pack,dataPackNames,0),FALSE)</f>
        <v>9.8239999999999998</v>
      </c>
      <c r="F1347" s="645" t="s">
        <v>11026</v>
      </c>
    </row>
    <row r="1348" spans="1:6" s="645" customFormat="1">
      <c r="A1348" s="646"/>
      <c r="D1348" s="943" t="s">
        <v>4412</v>
      </c>
      <c r="E1348" s="942">
        <f>calcCh4Prod2Slot1Promo1Seg3Fit*VLOOKUP(calcCh4Prod2Slot1Promo1Weeks,dataPromoWeeksEffect,5,FALSE)</f>
        <v>102.07780257920001</v>
      </c>
      <c r="F1348" s="645" t="s">
        <v>11027</v>
      </c>
    </row>
    <row r="1349" spans="1:6" s="645" customFormat="1">
      <c r="A1349" s="646"/>
      <c r="D1349" s="948" t="s">
        <v>2975</v>
      </c>
      <c r="E1349" s="946">
        <f>0.02*calcCh4Prod2Slot1Promo1Weeks+VLOOKUP(calcCh4Prod2Slot1Promo1Weeks,dataPromoWeeksShareEffect,5,FALSE)*calcCh4Prod2Slot1Promo1Seg3Fit</f>
        <v>0.71042165632281529</v>
      </c>
      <c r="F1349" s="614" t="s">
        <v>11028</v>
      </c>
    </row>
    <row r="1350" spans="1:6" s="645" customFormat="1">
      <c r="A1350" s="646"/>
    </row>
    <row r="1351" spans="1:6" s="645" customFormat="1">
      <c r="A1351" s="646"/>
      <c r="D1351" s="769" t="s">
        <v>243</v>
      </c>
    </row>
    <row r="1352" spans="1:6" s="645" customFormat="1" ht="2.25" customHeight="1">
      <c r="A1352" s="646"/>
      <c r="C1352" s="632"/>
      <c r="D1352" s="259"/>
      <c r="E1352" s="632"/>
    </row>
    <row r="1353" spans="1:6" s="645" customFormat="1">
      <c r="A1353" s="646"/>
      <c r="D1353" s="943" t="s">
        <v>10604</v>
      </c>
      <c r="E1353" s="942">
        <f>VLOOKUP(calcCh4Prod2Slot1Promo1Plan,dataPromoSeg4,1+MATCH(calcCh4Prod2Slot1Pack,dataPackNames,0),FALSE)</f>
        <v>9.2480000000000011</v>
      </c>
      <c r="F1353" s="645" t="s">
        <v>11029</v>
      </c>
    </row>
    <row r="1354" spans="1:6" s="645" customFormat="1">
      <c r="A1354" s="646"/>
      <c r="D1354" s="943" t="s">
        <v>4412</v>
      </c>
      <c r="E1354" s="942">
        <f>calcCh4Prod2Slot1Promo1Seg4Fit*VLOOKUP(calcCh4Prod2Slot1Promo1Weeks,dataPromoWeeksEffect,5,FALSE)</f>
        <v>96.092784838400021</v>
      </c>
      <c r="F1354" s="645" t="s">
        <v>11030</v>
      </c>
    </row>
    <row r="1355" spans="1:6" s="645" customFormat="1">
      <c r="A1355" s="646"/>
      <c r="D1355" s="948" t="s">
        <v>2975</v>
      </c>
      <c r="E1355" s="946">
        <f>0.02*calcCh4Prod2Slot1Promo1Weeks+VLOOKUP(calcCh4Prod2Slot1Promo1Weeks,dataPromoWeeksShareEffect,5,FALSE)*calcCh4Prod2Slot1Promo1Seg4Fit</f>
        <v>0.67814937679900211</v>
      </c>
      <c r="F1355" s="614" t="s">
        <v>11031</v>
      </c>
    </row>
    <row r="1356" spans="1:6" s="645" customFormat="1">
      <c r="A1356" s="646"/>
      <c r="D1356" s="943"/>
    </row>
    <row r="1357" spans="1:6" s="645" customFormat="1">
      <c r="A1357" s="646"/>
      <c r="C1357" s="769" t="s">
        <v>3858</v>
      </c>
    </row>
    <row r="1358" spans="1:6" s="645" customFormat="1">
      <c r="A1358" s="646"/>
      <c r="D1358" s="769" t="s">
        <v>6111</v>
      </c>
      <c r="E1358" s="441" t="str">
        <f>decCh4Prod2Slot2Promo1</f>
        <v>No Promotion</v>
      </c>
      <c r="F1358" s="614" t="s">
        <v>5974</v>
      </c>
    </row>
    <row r="1359" spans="1:6" s="645" customFormat="1">
      <c r="A1359" s="646"/>
      <c r="D1359" s="645" t="s">
        <v>5663</v>
      </c>
      <c r="E1359" s="645">
        <f>IF(decCh4Prod2Slot2Promo1="No Promotion",0,decCh4Prod2Slot2Promo1Weeks)</f>
        <v>0</v>
      </c>
      <c r="F1359" s="645" t="s">
        <v>11032</v>
      </c>
    </row>
    <row r="1360" spans="1:6" s="645" customFormat="1">
      <c r="A1360" s="646"/>
    </row>
    <row r="1361" spans="1:6" s="645" customFormat="1">
      <c r="A1361" s="646"/>
      <c r="D1361" s="769" t="s">
        <v>241</v>
      </c>
    </row>
    <row r="1362" spans="1:6" s="645" customFormat="1" ht="2.25" customHeight="1">
      <c r="A1362" s="646"/>
      <c r="C1362" s="632"/>
      <c r="D1362" s="259"/>
      <c r="E1362" s="632"/>
    </row>
    <row r="1363" spans="1:6" s="645" customFormat="1">
      <c r="A1363" s="646"/>
      <c r="D1363" s="943" t="s">
        <v>10604</v>
      </c>
      <c r="E1363" s="942">
        <f>VLOOKUP(calcCh4Prod2Slot2Promo1Plan,dataPromoSeg1,1+MATCH(calcCh4Prod2Slot2Pack,dataPackNames,0),FALSE)</f>
        <v>0</v>
      </c>
      <c r="F1363" s="645" t="s">
        <v>11033</v>
      </c>
    </row>
    <row r="1364" spans="1:6" s="645" customFormat="1">
      <c r="A1364" s="646"/>
      <c r="D1364" s="943" t="s">
        <v>4412</v>
      </c>
      <c r="E1364" s="942">
        <f>calcCh4Prod2Slot2Promo1Seg1Fit*VLOOKUP(calcCh4Prod2Slot2Promo1Weeks,dataPromoWeeksEffect,5,FALSE)</f>
        <v>0</v>
      </c>
      <c r="F1364" s="645" t="s">
        <v>11034</v>
      </c>
    </row>
    <row r="1365" spans="1:6" s="645" customFormat="1">
      <c r="A1365" s="646"/>
      <c r="D1365" s="948" t="s">
        <v>2975</v>
      </c>
      <c r="E1365" s="946">
        <f>0.02*calcCh4Prod2Slot2Promo1Weeks+VLOOKUP(calcCh4Prod2Slot2Promo1Weeks,dataPromoWeeksShareEffect,5,FALSE)*calcCh4Prod2Slot2Promo1Seg1Fit</f>
        <v>0</v>
      </c>
      <c r="F1365" s="614" t="s">
        <v>11035</v>
      </c>
    </row>
    <row r="1366" spans="1:6" s="645" customFormat="1">
      <c r="A1366" s="646"/>
    </row>
    <row r="1367" spans="1:6" s="645" customFormat="1">
      <c r="A1367" s="646"/>
      <c r="D1367" s="769" t="s">
        <v>242</v>
      </c>
    </row>
    <row r="1368" spans="1:6" s="645" customFormat="1" ht="2.25" customHeight="1">
      <c r="A1368" s="646"/>
      <c r="C1368" s="632"/>
      <c r="D1368" s="259"/>
      <c r="E1368" s="632"/>
    </row>
    <row r="1369" spans="1:6" s="645" customFormat="1">
      <c r="A1369" s="646"/>
      <c r="D1369" s="943" t="s">
        <v>10604</v>
      </c>
      <c r="E1369" s="942">
        <f>VLOOKUP(calcCh4Prod2Slot2Promo1Plan,dataPromoSeg2,1+MATCH(calcCh4Prod2Slot2Pack,dataPackNames,0),FALSE)</f>
        <v>0</v>
      </c>
      <c r="F1369" s="645" t="s">
        <v>11036</v>
      </c>
    </row>
    <row r="1370" spans="1:6" s="645" customFormat="1">
      <c r="A1370" s="646"/>
      <c r="D1370" s="943" t="s">
        <v>4412</v>
      </c>
      <c r="E1370" s="942">
        <f>calcCh4Prod2Slot2Promo1Seg2Fit*VLOOKUP(calcCh4Prod2Slot2Promo1Weeks,dataPromoWeeksEffect,5,FALSE)</f>
        <v>0</v>
      </c>
      <c r="F1370" s="645" t="s">
        <v>11037</v>
      </c>
    </row>
    <row r="1371" spans="1:6" s="645" customFormat="1">
      <c r="A1371" s="646"/>
      <c r="D1371" s="948" t="s">
        <v>2975</v>
      </c>
      <c r="E1371" s="946">
        <f>0.02*calcCh4Prod2Slot2Promo1Weeks+VLOOKUP(calcCh4Prod2Slot2Promo1Weeks,dataPromoWeeksShareEffect,5,FALSE)*calcCh4Prod2Slot2Promo1Seg2Fit</f>
        <v>0</v>
      </c>
      <c r="F1371" s="614" t="s">
        <v>11038</v>
      </c>
    </row>
    <row r="1372" spans="1:6" s="645" customFormat="1">
      <c r="A1372" s="646"/>
    </row>
    <row r="1373" spans="1:6" s="645" customFormat="1">
      <c r="A1373" s="646"/>
      <c r="D1373" s="769" t="s">
        <v>4353</v>
      </c>
    </row>
    <row r="1374" spans="1:6" s="645" customFormat="1" ht="2.25" customHeight="1">
      <c r="A1374" s="646"/>
      <c r="C1374" s="632"/>
      <c r="D1374" s="259"/>
      <c r="E1374" s="632"/>
    </row>
    <row r="1375" spans="1:6" s="645" customFormat="1">
      <c r="A1375" s="646"/>
      <c r="D1375" s="943" t="s">
        <v>10604</v>
      </c>
      <c r="E1375" s="942">
        <f>VLOOKUP(calcCh4Prod2Slot2Promo1Plan,dataPromoSeg3,1+MATCH(calcCh4Prod2Slot2Pack,dataPackNames,0),FALSE)</f>
        <v>0</v>
      </c>
      <c r="F1375" s="645" t="s">
        <v>11039</v>
      </c>
    </row>
    <row r="1376" spans="1:6" s="645" customFormat="1">
      <c r="A1376" s="646"/>
      <c r="D1376" s="943" t="s">
        <v>4412</v>
      </c>
      <c r="E1376" s="942">
        <f>calcCh4Prod2Slot2Promo1Seg3Fit*VLOOKUP(calcCh4Prod2Slot2Promo1Weeks,dataPromoWeeksEffect,5,FALSE)</f>
        <v>0</v>
      </c>
      <c r="F1376" s="645" t="s">
        <v>11040</v>
      </c>
    </row>
    <row r="1377" spans="1:6" s="645" customFormat="1">
      <c r="A1377" s="646"/>
      <c r="D1377" s="948" t="s">
        <v>2975</v>
      </c>
      <c r="E1377" s="946">
        <f>0.02*calcCh4Prod2Slot2Promo1Weeks+VLOOKUP(calcCh4Prod2Slot2Promo1Weeks,dataPromoWeeksShareEffect,5,FALSE)*calcCh4Prod2Slot2Promo1Seg3Fit</f>
        <v>0</v>
      </c>
      <c r="F1377" s="614" t="s">
        <v>11041</v>
      </c>
    </row>
    <row r="1378" spans="1:6" s="645" customFormat="1">
      <c r="A1378" s="646"/>
    </row>
    <row r="1379" spans="1:6" s="645" customFormat="1">
      <c r="A1379" s="646"/>
      <c r="D1379" s="769" t="s">
        <v>243</v>
      </c>
    </row>
    <row r="1380" spans="1:6" s="645" customFormat="1" ht="2.25" customHeight="1">
      <c r="A1380" s="646"/>
      <c r="C1380" s="632"/>
      <c r="D1380" s="259"/>
      <c r="E1380" s="632"/>
    </row>
    <row r="1381" spans="1:6" s="645" customFormat="1">
      <c r="A1381" s="646"/>
      <c r="D1381" s="943" t="s">
        <v>10604</v>
      </c>
      <c r="E1381" s="942">
        <f>VLOOKUP(calcCh4Prod2Slot2Promo1Plan,dataPromoSeg4,1+MATCH(calcCh4Prod2Slot2Pack,dataPackNames,0),FALSE)</f>
        <v>0</v>
      </c>
      <c r="F1381" s="645" t="s">
        <v>11042</v>
      </c>
    </row>
    <row r="1382" spans="1:6" s="645" customFormat="1">
      <c r="A1382" s="646"/>
      <c r="D1382" s="943" t="s">
        <v>4412</v>
      </c>
      <c r="E1382" s="942">
        <f>calcCh4Prod2Slot2Promo1Seg4Fit*VLOOKUP(calcCh4Prod2Slot2Promo1Weeks,dataPromoWeeksEffect,5,FALSE)</f>
        <v>0</v>
      </c>
      <c r="F1382" s="645" t="s">
        <v>11043</v>
      </c>
    </row>
    <row r="1383" spans="1:6" s="645" customFormat="1">
      <c r="A1383" s="646"/>
      <c r="D1383" s="948" t="s">
        <v>2975</v>
      </c>
      <c r="E1383" s="946">
        <f>0.02*calcCh4Prod2Slot2Promo1Weeks+VLOOKUP(calcCh4Prod2Slot2Promo1Weeks,dataPromoWeeksShareEffect,5,FALSE)*calcCh4Prod2Slot2Promo1Seg4Fit</f>
        <v>0</v>
      </c>
      <c r="F1383" s="614" t="s">
        <v>11044</v>
      </c>
    </row>
    <row r="1384" spans="1:6" s="645" customFormat="1">
      <c r="A1384" s="646"/>
      <c r="D1384" s="943"/>
    </row>
    <row r="1385" spans="1:6" s="645" customFormat="1">
      <c r="A1385" s="646"/>
      <c r="C1385" s="769" t="s">
        <v>3860</v>
      </c>
    </row>
    <row r="1386" spans="1:6" s="645" customFormat="1">
      <c r="A1386" s="646"/>
      <c r="D1386" s="769" t="s">
        <v>6111</v>
      </c>
      <c r="E1386" s="441" t="str">
        <f>decCh4Prod2Slot3Promo1</f>
        <v>No Promotion</v>
      </c>
      <c r="F1386" s="614" t="s">
        <v>5976</v>
      </c>
    </row>
    <row r="1387" spans="1:6" s="645" customFormat="1">
      <c r="A1387" s="646"/>
      <c r="D1387" s="645" t="s">
        <v>5663</v>
      </c>
      <c r="E1387" s="645">
        <f>IF(decCh4Prod2Slot3Promo1="No Promotion",0,decCh4Prod2Slot3Promo1Weeks)</f>
        <v>0</v>
      </c>
      <c r="F1387" s="645" t="s">
        <v>11045</v>
      </c>
    </row>
    <row r="1388" spans="1:6" s="645" customFormat="1">
      <c r="A1388" s="646"/>
    </row>
    <row r="1389" spans="1:6" s="645" customFormat="1">
      <c r="A1389" s="646"/>
      <c r="D1389" s="769" t="s">
        <v>241</v>
      </c>
    </row>
    <row r="1390" spans="1:6" s="645" customFormat="1" ht="2.25" customHeight="1">
      <c r="A1390" s="646"/>
      <c r="C1390" s="632"/>
      <c r="D1390" s="259"/>
      <c r="E1390" s="632"/>
    </row>
    <row r="1391" spans="1:6" s="645" customFormat="1">
      <c r="A1391" s="646"/>
      <c r="D1391" s="943" t="s">
        <v>10604</v>
      </c>
      <c r="E1391" s="942">
        <f>VLOOKUP(calcCh4Prod2Slot3Promo1Plan,dataPromoSeg1,1+MATCH(calcCh4Prod2Slot3Pack,dataPackNames,0),FALSE)</f>
        <v>0</v>
      </c>
      <c r="F1391" s="645" t="s">
        <v>11046</v>
      </c>
    </row>
    <row r="1392" spans="1:6" s="645" customFormat="1">
      <c r="A1392" s="646"/>
      <c r="D1392" s="943" t="s">
        <v>4412</v>
      </c>
      <c r="E1392" s="942">
        <f>calcCh4Prod2Slot3Promo1Seg1Fit*VLOOKUP(calcCh4Prod2Slot3Promo1Weeks,dataPromoWeeksEffect,5,FALSE)</f>
        <v>0</v>
      </c>
      <c r="F1392" s="645" t="s">
        <v>11047</v>
      </c>
    </row>
    <row r="1393" spans="1:6" s="645" customFormat="1">
      <c r="A1393" s="646"/>
      <c r="D1393" s="948" t="s">
        <v>2975</v>
      </c>
      <c r="E1393" s="946">
        <f>0.02*calcCh4Prod2Slot3Promo1Weeks+VLOOKUP(calcCh4Prod2Slot3Promo1Weeks,dataPromoWeeksShareEffect,5,FALSE)*calcCh4Prod2Slot3Promo1Seg1Fit</f>
        <v>0</v>
      </c>
      <c r="F1393" s="614" t="s">
        <v>11048</v>
      </c>
    </row>
    <row r="1394" spans="1:6" s="645" customFormat="1">
      <c r="A1394" s="646"/>
    </row>
    <row r="1395" spans="1:6" s="645" customFormat="1">
      <c r="A1395" s="646"/>
      <c r="D1395" s="769" t="s">
        <v>242</v>
      </c>
    </row>
    <row r="1396" spans="1:6" s="645" customFormat="1" ht="2.25" customHeight="1">
      <c r="A1396" s="646"/>
      <c r="C1396" s="632"/>
      <c r="D1396" s="259"/>
      <c r="E1396" s="632"/>
    </row>
    <row r="1397" spans="1:6" s="645" customFormat="1">
      <c r="A1397" s="646"/>
      <c r="D1397" s="943" t="s">
        <v>10604</v>
      </c>
      <c r="E1397" s="942">
        <f>VLOOKUP(calcCh4Prod2Slot3Promo1Plan,dataPromoSeg2,1+MATCH(calcCh4Prod2Slot3Pack,dataPackNames,0),FALSE)</f>
        <v>0</v>
      </c>
      <c r="F1397" s="645" t="s">
        <v>11049</v>
      </c>
    </row>
    <row r="1398" spans="1:6" s="645" customFormat="1">
      <c r="A1398" s="646"/>
      <c r="D1398" s="943" t="s">
        <v>4412</v>
      </c>
      <c r="E1398" s="942">
        <f>calcCh4Prod2Slot3Promo1Seg2Fit*VLOOKUP(calcCh4Prod2Slot3Promo1Weeks,dataPromoWeeksEffect,5,FALSE)</f>
        <v>0</v>
      </c>
      <c r="F1398" s="645" t="s">
        <v>11050</v>
      </c>
    </row>
    <row r="1399" spans="1:6" s="645" customFormat="1">
      <c r="A1399" s="646"/>
      <c r="D1399" s="948" t="s">
        <v>2975</v>
      </c>
      <c r="E1399" s="946">
        <f>0.02*calcCh4Prod2Slot3Promo1Weeks+VLOOKUP(calcCh4Prod2Slot3Promo1Weeks,dataPromoWeeksShareEffect,5,FALSE)*calcCh4Prod2Slot3Promo1Seg2Fit</f>
        <v>0</v>
      </c>
      <c r="F1399" s="614" t="s">
        <v>11051</v>
      </c>
    </row>
    <row r="1400" spans="1:6" s="645" customFormat="1">
      <c r="A1400" s="646"/>
    </row>
    <row r="1401" spans="1:6" s="645" customFormat="1">
      <c r="A1401" s="646"/>
      <c r="D1401" s="769" t="s">
        <v>4353</v>
      </c>
    </row>
    <row r="1402" spans="1:6" s="645" customFormat="1" ht="2.25" customHeight="1">
      <c r="A1402" s="646"/>
      <c r="C1402" s="632"/>
      <c r="D1402" s="259"/>
      <c r="E1402" s="632"/>
    </row>
    <row r="1403" spans="1:6" s="645" customFormat="1">
      <c r="A1403" s="646"/>
      <c r="D1403" s="943" t="s">
        <v>10604</v>
      </c>
      <c r="E1403" s="942">
        <f>VLOOKUP(calcCh4Prod2Slot3Promo1Plan,dataPromoSeg3,1+MATCH(calcCh4Prod2Slot3Pack,dataPackNames,0),FALSE)</f>
        <v>0</v>
      </c>
      <c r="F1403" s="645" t="s">
        <v>11052</v>
      </c>
    </row>
    <row r="1404" spans="1:6" s="645" customFormat="1">
      <c r="A1404" s="646"/>
      <c r="D1404" s="943" t="s">
        <v>4412</v>
      </c>
      <c r="E1404" s="942">
        <f>calcCh4Prod2Slot3Promo1Seg3Fit*VLOOKUP(calcCh4Prod2Slot3Promo1Weeks,dataPromoWeeksEffect,5,FALSE)</f>
        <v>0</v>
      </c>
      <c r="F1404" s="645" t="s">
        <v>11053</v>
      </c>
    </row>
    <row r="1405" spans="1:6" s="645" customFormat="1">
      <c r="A1405" s="646"/>
      <c r="D1405" s="948" t="s">
        <v>2975</v>
      </c>
      <c r="E1405" s="946">
        <f>0.02*calcCh4Prod2Slot3Promo1Weeks+VLOOKUP(calcCh4Prod2Slot3Promo1Weeks,dataPromoWeeksShareEffect,5,FALSE)*calcCh4Prod2Slot3Promo1Seg3Fit</f>
        <v>0</v>
      </c>
      <c r="F1405" s="614" t="s">
        <v>11054</v>
      </c>
    </row>
    <row r="1406" spans="1:6" s="645" customFormat="1">
      <c r="A1406" s="646"/>
    </row>
    <row r="1407" spans="1:6" s="645" customFormat="1">
      <c r="A1407" s="646"/>
      <c r="D1407" s="769" t="s">
        <v>243</v>
      </c>
    </row>
    <row r="1408" spans="1:6" s="645" customFormat="1" ht="2.25" customHeight="1">
      <c r="A1408" s="646"/>
      <c r="C1408" s="632"/>
      <c r="D1408" s="259"/>
      <c r="E1408" s="632"/>
    </row>
    <row r="1409" spans="1:6" s="645" customFormat="1">
      <c r="A1409" s="646"/>
      <c r="D1409" s="943" t="s">
        <v>10604</v>
      </c>
      <c r="E1409" s="942">
        <f>VLOOKUP(calcCh4Prod2Slot3Promo1Plan,dataPromoSeg4,1+MATCH(calcCh4Prod2Slot3Pack,dataPackNames,0),FALSE)</f>
        <v>0</v>
      </c>
      <c r="F1409" s="645" t="s">
        <v>11055</v>
      </c>
    </row>
    <row r="1410" spans="1:6" s="645" customFormat="1">
      <c r="A1410" s="646"/>
      <c r="D1410" s="943" t="s">
        <v>4412</v>
      </c>
      <c r="E1410" s="942">
        <f>calcCh4Prod2Slot3Promo1Seg4Fit*VLOOKUP(calcCh4Prod2Slot3Promo1Weeks,dataPromoWeeksEffect,5,FALSE)</f>
        <v>0</v>
      </c>
      <c r="F1410" s="645" t="s">
        <v>11056</v>
      </c>
    </row>
    <row r="1411" spans="1:6" s="645" customFormat="1">
      <c r="A1411" s="646"/>
      <c r="D1411" s="948" t="s">
        <v>2975</v>
      </c>
      <c r="E1411" s="946">
        <f>0.02*calcCh4Prod2Slot3Promo1Weeks+VLOOKUP(calcCh4Prod2Slot3Promo1Weeks,dataPromoWeeksShareEffect,5,FALSE)*calcCh4Prod2Slot3Promo1Seg4Fit</f>
        <v>0</v>
      </c>
      <c r="F1411" s="614" t="s">
        <v>11057</v>
      </c>
    </row>
    <row r="1412" spans="1:6" s="645" customFormat="1">
      <c r="A1412" s="646"/>
      <c r="D1412" s="943"/>
    </row>
    <row r="1413" spans="1:6" s="645" customFormat="1">
      <c r="A1413" s="646"/>
      <c r="B1413" s="769" t="s">
        <v>239</v>
      </c>
    </row>
    <row r="1414" spans="1:6" s="645" customFormat="1">
      <c r="A1414" s="646"/>
      <c r="C1414" s="769" t="s">
        <v>3859</v>
      </c>
    </row>
    <row r="1415" spans="1:6" s="645" customFormat="1">
      <c r="A1415" s="646"/>
      <c r="D1415" s="769" t="s">
        <v>6111</v>
      </c>
      <c r="E1415" s="441" t="str">
        <f>decCh4Prod3Slot1Promo1</f>
        <v>No Promotion</v>
      </c>
      <c r="F1415" s="614" t="s">
        <v>5978</v>
      </c>
    </row>
    <row r="1416" spans="1:6" s="645" customFormat="1">
      <c r="A1416" s="646"/>
      <c r="D1416" s="645" t="s">
        <v>5663</v>
      </c>
      <c r="E1416" s="645">
        <f>IF(decCh4Prod3Slot1Promo1="No Promotion",0,decCh4Prod3Slot1Promo1Weeks)</f>
        <v>0</v>
      </c>
      <c r="F1416" s="645" t="s">
        <v>11058</v>
      </c>
    </row>
    <row r="1417" spans="1:6" s="645" customFormat="1">
      <c r="A1417" s="646"/>
    </row>
    <row r="1418" spans="1:6" s="645" customFormat="1">
      <c r="A1418" s="646"/>
      <c r="D1418" s="769" t="s">
        <v>241</v>
      </c>
    </row>
    <row r="1419" spans="1:6" s="645" customFormat="1" ht="2.25" customHeight="1">
      <c r="A1419" s="646"/>
      <c r="C1419" s="632"/>
      <c r="D1419" s="259"/>
      <c r="E1419" s="632"/>
    </row>
    <row r="1420" spans="1:6" s="645" customFormat="1">
      <c r="A1420" s="646"/>
      <c r="D1420" s="943" t="s">
        <v>10604</v>
      </c>
      <c r="E1420" s="942">
        <f>VLOOKUP(calcCh4Prod3Slot1Promo1Plan,dataPromoSeg1,1+MATCH(calcCh4Prod3Slot1Pack,dataPackNames,0),FALSE)</f>
        <v>0</v>
      </c>
      <c r="F1420" s="645" t="s">
        <v>11059</v>
      </c>
    </row>
    <row r="1421" spans="1:6" s="645" customFormat="1">
      <c r="A1421" s="646"/>
      <c r="D1421" s="943" t="s">
        <v>4412</v>
      </c>
      <c r="E1421" s="942">
        <f>calcCh4Prod3Slot1Promo1Seg1Fit*VLOOKUP(calcCh4Prod3Slot1Promo1Weeks,dataPromoWeeksEffect,5,FALSE)</f>
        <v>0</v>
      </c>
      <c r="F1421" s="645" t="s">
        <v>11060</v>
      </c>
    </row>
    <row r="1422" spans="1:6" s="645" customFormat="1">
      <c r="A1422" s="646"/>
      <c r="D1422" s="948" t="s">
        <v>2975</v>
      </c>
      <c r="E1422" s="946">
        <f>0.02*calcCh4Prod3Slot1Promo1Weeks+VLOOKUP(calcCh4Prod3Slot1Promo1Weeks,dataPromoWeeksShareEffect,5,FALSE)*calcCh4Prod3Slot1Promo1Seg1Fit</f>
        <v>0</v>
      </c>
      <c r="F1422" s="614" t="s">
        <v>11061</v>
      </c>
    </row>
    <row r="1423" spans="1:6" s="645" customFormat="1">
      <c r="A1423" s="646"/>
    </row>
    <row r="1424" spans="1:6" s="645" customFormat="1">
      <c r="A1424" s="646"/>
      <c r="D1424" s="769" t="s">
        <v>242</v>
      </c>
    </row>
    <row r="1425" spans="1:6" s="645" customFormat="1" ht="2.25" customHeight="1">
      <c r="A1425" s="646"/>
      <c r="C1425" s="632"/>
      <c r="D1425" s="259"/>
      <c r="E1425" s="632"/>
    </row>
    <row r="1426" spans="1:6" s="645" customFormat="1">
      <c r="A1426" s="646"/>
      <c r="D1426" s="943" t="s">
        <v>10604</v>
      </c>
      <c r="E1426" s="942">
        <f>VLOOKUP(calcCh4Prod3Slot1Promo1Plan,dataPromoSeg2,1+MATCH(calcCh4Prod3Slot1Pack,dataPackNames,0),FALSE)</f>
        <v>0</v>
      </c>
      <c r="F1426" s="645" t="s">
        <v>11062</v>
      </c>
    </row>
    <row r="1427" spans="1:6" s="645" customFormat="1">
      <c r="A1427" s="646"/>
      <c r="D1427" s="943" t="s">
        <v>4412</v>
      </c>
      <c r="E1427" s="942">
        <f>calcCh4Prod3Slot1Promo1Seg2Fit*VLOOKUP(calcCh4Prod3Slot1Promo1Weeks,dataPromoWeeksEffect,5,FALSE)</f>
        <v>0</v>
      </c>
      <c r="F1427" s="645" t="s">
        <v>11063</v>
      </c>
    </row>
    <row r="1428" spans="1:6" s="645" customFormat="1">
      <c r="A1428" s="646"/>
      <c r="D1428" s="948" t="s">
        <v>2975</v>
      </c>
      <c r="E1428" s="946">
        <f>0.02*calcCh4Prod3Slot1Promo1Weeks+VLOOKUP(calcCh4Prod3Slot1Promo1Weeks,dataPromoWeeksShareEffect,5,FALSE)*calcCh4Prod3Slot1Promo1Seg2Fit</f>
        <v>0</v>
      </c>
      <c r="F1428" s="614" t="s">
        <v>11064</v>
      </c>
    </row>
    <row r="1429" spans="1:6" s="645" customFormat="1">
      <c r="A1429" s="646"/>
    </row>
    <row r="1430" spans="1:6" s="645" customFormat="1">
      <c r="A1430" s="646"/>
      <c r="D1430" s="769" t="s">
        <v>4353</v>
      </c>
    </row>
    <row r="1431" spans="1:6" s="645" customFormat="1" ht="2.25" customHeight="1">
      <c r="A1431" s="646"/>
      <c r="C1431" s="632"/>
      <c r="D1431" s="259"/>
      <c r="E1431" s="632"/>
    </row>
    <row r="1432" spans="1:6" s="645" customFormat="1">
      <c r="A1432" s="646"/>
      <c r="D1432" s="943" t="s">
        <v>10604</v>
      </c>
      <c r="E1432" s="942">
        <f>VLOOKUP(calcCh4Prod3Slot1Promo1Plan,dataPromoSeg3,1+MATCH(calcCh4Prod3Slot1Pack,dataPackNames,0),FALSE)</f>
        <v>0</v>
      </c>
      <c r="F1432" s="645" t="s">
        <v>11065</v>
      </c>
    </row>
    <row r="1433" spans="1:6" s="645" customFormat="1">
      <c r="A1433" s="646"/>
      <c r="D1433" s="943" t="s">
        <v>4412</v>
      </c>
      <c r="E1433" s="942">
        <f>calcCh4Prod3Slot1Promo1Seg3Fit*VLOOKUP(calcCh4Prod3Slot1Promo1Weeks,dataPromoWeeksEffect,5,FALSE)</f>
        <v>0</v>
      </c>
      <c r="F1433" s="645" t="s">
        <v>11066</v>
      </c>
    </row>
    <row r="1434" spans="1:6" s="645" customFormat="1">
      <c r="A1434" s="646"/>
      <c r="D1434" s="948" t="s">
        <v>2975</v>
      </c>
      <c r="E1434" s="946">
        <f>0.02*calcCh4Prod3Slot1Promo1Weeks+VLOOKUP(calcCh4Prod3Slot1Promo1Weeks,dataPromoWeeksShareEffect,5,FALSE)*calcCh4Prod3Slot1Promo1Seg3Fit</f>
        <v>0</v>
      </c>
      <c r="F1434" s="614" t="s">
        <v>11067</v>
      </c>
    </row>
    <row r="1435" spans="1:6" s="645" customFormat="1">
      <c r="A1435" s="646"/>
    </row>
    <row r="1436" spans="1:6" s="645" customFormat="1">
      <c r="A1436" s="646"/>
      <c r="D1436" s="769" t="s">
        <v>243</v>
      </c>
    </row>
    <row r="1437" spans="1:6" s="645" customFormat="1" ht="2.25" customHeight="1">
      <c r="A1437" s="646"/>
      <c r="C1437" s="632"/>
      <c r="D1437" s="259"/>
      <c r="E1437" s="632"/>
    </row>
    <row r="1438" spans="1:6" s="645" customFormat="1">
      <c r="A1438" s="646"/>
      <c r="D1438" s="943" t="s">
        <v>10604</v>
      </c>
      <c r="E1438" s="942">
        <f>VLOOKUP(calcCh4Prod3Slot1Promo1Plan,dataPromoSeg4,1+MATCH(calcCh4Prod3Slot1Pack,dataPackNames,0),FALSE)</f>
        <v>0</v>
      </c>
      <c r="F1438" s="645" t="s">
        <v>11068</v>
      </c>
    </row>
    <row r="1439" spans="1:6" s="645" customFormat="1">
      <c r="A1439" s="646"/>
      <c r="D1439" s="943" t="s">
        <v>4412</v>
      </c>
      <c r="E1439" s="942">
        <f>calcCh4Prod3Slot1Promo1Seg4Fit*VLOOKUP(calcCh4Prod3Slot1Promo1Weeks,dataPromoWeeksEffect,5,FALSE)</f>
        <v>0</v>
      </c>
      <c r="F1439" s="645" t="s">
        <v>11069</v>
      </c>
    </row>
    <row r="1440" spans="1:6" s="645" customFormat="1">
      <c r="A1440" s="646"/>
      <c r="D1440" s="948" t="s">
        <v>2975</v>
      </c>
      <c r="E1440" s="946">
        <f>0.02*calcCh4Prod3Slot1Promo1Weeks+VLOOKUP(calcCh4Prod3Slot1Promo1Weeks,dataPromoWeeksShareEffect,5,FALSE)*calcCh4Prod3Slot1Promo1Seg4Fit</f>
        <v>0</v>
      </c>
      <c r="F1440" s="614" t="s">
        <v>11070</v>
      </c>
    </row>
    <row r="1441" spans="1:6" s="645" customFormat="1">
      <c r="A1441" s="646"/>
      <c r="D1441" s="943"/>
    </row>
    <row r="1442" spans="1:6" s="645" customFormat="1">
      <c r="A1442" s="646"/>
      <c r="C1442" s="769" t="s">
        <v>3858</v>
      </c>
    </row>
    <row r="1443" spans="1:6" s="645" customFormat="1">
      <c r="A1443" s="646"/>
      <c r="D1443" s="769" t="s">
        <v>6111</v>
      </c>
      <c r="E1443" s="441" t="str">
        <f>decCh4Prod3Slot2Promo1</f>
        <v>No Promotion</v>
      </c>
      <c r="F1443" s="614" t="s">
        <v>5980</v>
      </c>
    </row>
    <row r="1444" spans="1:6" s="645" customFormat="1">
      <c r="A1444" s="646"/>
      <c r="D1444" s="645" t="s">
        <v>5663</v>
      </c>
      <c r="E1444" s="645">
        <f>IF(decCh4Prod3Slot2Promo1="No Promotion",0,decCh4Prod3Slot2Promo1Weeks)</f>
        <v>0</v>
      </c>
      <c r="F1444" s="645" t="s">
        <v>11071</v>
      </c>
    </row>
    <row r="1445" spans="1:6" s="645" customFormat="1">
      <c r="A1445" s="646"/>
    </row>
    <row r="1446" spans="1:6" s="645" customFormat="1">
      <c r="A1446" s="646"/>
      <c r="D1446" s="769" t="s">
        <v>241</v>
      </c>
    </row>
    <row r="1447" spans="1:6" s="645" customFormat="1" ht="2.25" customHeight="1">
      <c r="A1447" s="646"/>
      <c r="C1447" s="632"/>
      <c r="D1447" s="259"/>
      <c r="E1447" s="632"/>
    </row>
    <row r="1448" spans="1:6" s="645" customFormat="1">
      <c r="A1448" s="646"/>
      <c r="D1448" s="943" t="s">
        <v>10604</v>
      </c>
      <c r="E1448" s="942">
        <f>VLOOKUP(calcCh4Prod3Slot2Promo1Plan,dataPromoSeg1,1+MATCH(calcCh4Prod3Slot2Pack,dataPackNames,0),FALSE)</f>
        <v>0</v>
      </c>
      <c r="F1448" s="645" t="s">
        <v>11072</v>
      </c>
    </row>
    <row r="1449" spans="1:6" s="645" customFormat="1">
      <c r="A1449" s="646"/>
      <c r="D1449" s="943" t="s">
        <v>4412</v>
      </c>
      <c r="E1449" s="942">
        <f>calcCh4Prod3Slot2Promo1Seg1Fit*VLOOKUP(calcCh4Prod3Slot2Promo1Weeks,dataPromoWeeksEffect,5,FALSE)</f>
        <v>0</v>
      </c>
      <c r="F1449" s="645" t="s">
        <v>11073</v>
      </c>
    </row>
    <row r="1450" spans="1:6" s="645" customFormat="1">
      <c r="A1450" s="646"/>
      <c r="D1450" s="948" t="s">
        <v>2975</v>
      </c>
      <c r="E1450" s="946">
        <f>0.02*calcCh4Prod3Slot2Promo1Weeks+VLOOKUP(calcCh4Prod3Slot2Promo1Weeks,dataPromoWeeksShareEffect,5,FALSE)*calcCh4Prod3Slot2Promo1Seg1Fit</f>
        <v>0</v>
      </c>
      <c r="F1450" s="614" t="s">
        <v>11074</v>
      </c>
    </row>
    <row r="1451" spans="1:6" s="645" customFormat="1">
      <c r="A1451" s="646"/>
    </row>
    <row r="1452" spans="1:6" s="645" customFormat="1">
      <c r="A1452" s="646"/>
      <c r="D1452" s="769" t="s">
        <v>242</v>
      </c>
    </row>
    <row r="1453" spans="1:6" s="645" customFormat="1" ht="2.25" customHeight="1">
      <c r="A1453" s="646"/>
      <c r="C1453" s="632"/>
      <c r="D1453" s="259"/>
      <c r="E1453" s="632"/>
    </row>
    <row r="1454" spans="1:6" s="645" customFormat="1">
      <c r="A1454" s="646"/>
      <c r="D1454" s="943" t="s">
        <v>10604</v>
      </c>
      <c r="E1454" s="942">
        <f>VLOOKUP(calcCh4Prod3Slot2Promo1Plan,dataPromoSeg2,1+MATCH(calcCh4Prod3Slot2Pack,dataPackNames,0),FALSE)</f>
        <v>0</v>
      </c>
      <c r="F1454" s="645" t="s">
        <v>11075</v>
      </c>
    </row>
    <row r="1455" spans="1:6" s="645" customFormat="1">
      <c r="A1455" s="646"/>
      <c r="D1455" s="943" t="s">
        <v>4412</v>
      </c>
      <c r="E1455" s="942">
        <f>calcCh4Prod3Slot2Promo1Seg2Fit*VLOOKUP(calcCh4Prod3Slot2Promo1Weeks,dataPromoWeeksEffect,5,FALSE)</f>
        <v>0</v>
      </c>
      <c r="F1455" s="645" t="s">
        <v>11076</v>
      </c>
    </row>
    <row r="1456" spans="1:6" s="645" customFormat="1">
      <c r="A1456" s="646"/>
      <c r="D1456" s="948" t="s">
        <v>2975</v>
      </c>
      <c r="E1456" s="946">
        <f>0.02*calcCh4Prod3Slot2Promo1Weeks+VLOOKUP(calcCh4Prod3Slot2Promo1Weeks,dataPromoWeeksShareEffect,5,FALSE)*calcCh4Prod3Slot2Promo1Seg2Fit</f>
        <v>0</v>
      </c>
      <c r="F1456" s="614" t="s">
        <v>11077</v>
      </c>
    </row>
    <row r="1457" spans="1:6" s="645" customFormat="1">
      <c r="A1457" s="646"/>
    </row>
    <row r="1458" spans="1:6" s="645" customFormat="1">
      <c r="A1458" s="646"/>
      <c r="D1458" s="769" t="s">
        <v>4353</v>
      </c>
    </row>
    <row r="1459" spans="1:6" s="645" customFormat="1" ht="2.25" customHeight="1">
      <c r="A1459" s="646"/>
      <c r="C1459" s="632"/>
      <c r="D1459" s="259"/>
      <c r="E1459" s="632"/>
    </row>
    <row r="1460" spans="1:6" s="645" customFormat="1">
      <c r="A1460" s="646"/>
      <c r="D1460" s="943" t="s">
        <v>10604</v>
      </c>
      <c r="E1460" s="942">
        <f>VLOOKUP(calcCh4Prod3Slot2Promo1Plan,dataPromoSeg3,1+MATCH(calcCh4Prod3Slot2Pack,dataPackNames,0),FALSE)</f>
        <v>0</v>
      </c>
      <c r="F1460" s="645" t="s">
        <v>11078</v>
      </c>
    </row>
    <row r="1461" spans="1:6" s="645" customFormat="1">
      <c r="A1461" s="646"/>
      <c r="D1461" s="943" t="s">
        <v>4412</v>
      </c>
      <c r="E1461" s="942">
        <f>calcCh4Prod3Slot2Promo1Seg3Fit*VLOOKUP(calcCh4Prod3Slot2Promo1Weeks,dataPromoWeeksEffect,5,FALSE)</f>
        <v>0</v>
      </c>
      <c r="F1461" s="645" t="s">
        <v>11079</v>
      </c>
    </row>
    <row r="1462" spans="1:6" s="645" customFormat="1">
      <c r="A1462" s="646"/>
      <c r="D1462" s="948" t="s">
        <v>2975</v>
      </c>
      <c r="E1462" s="946">
        <f>0.02*calcCh4Prod3Slot2Promo1Weeks+VLOOKUP(calcCh4Prod3Slot2Promo1Weeks,dataPromoWeeksShareEffect,5,FALSE)*calcCh4Prod3Slot2Promo1Seg3Fit</f>
        <v>0</v>
      </c>
      <c r="F1462" s="614" t="s">
        <v>11080</v>
      </c>
    </row>
    <row r="1463" spans="1:6" s="645" customFormat="1">
      <c r="A1463" s="646"/>
    </row>
    <row r="1464" spans="1:6" s="645" customFormat="1">
      <c r="A1464" s="646"/>
      <c r="D1464" s="769" t="s">
        <v>243</v>
      </c>
    </row>
    <row r="1465" spans="1:6" s="645" customFormat="1" ht="2.25" customHeight="1">
      <c r="A1465" s="646"/>
      <c r="C1465" s="632"/>
      <c r="D1465" s="259"/>
      <c r="E1465" s="632"/>
    </row>
    <row r="1466" spans="1:6" s="645" customFormat="1">
      <c r="A1466" s="646"/>
      <c r="D1466" s="943" t="s">
        <v>10604</v>
      </c>
      <c r="E1466" s="942">
        <f>VLOOKUP(calcCh4Prod3Slot2Promo1Plan,dataPromoSeg4,1+MATCH(calcCh4Prod3Slot2Pack,dataPackNames,0),FALSE)</f>
        <v>0</v>
      </c>
      <c r="F1466" s="645" t="s">
        <v>11081</v>
      </c>
    </row>
    <row r="1467" spans="1:6" s="645" customFormat="1">
      <c r="A1467" s="646"/>
      <c r="D1467" s="943" t="s">
        <v>4412</v>
      </c>
      <c r="E1467" s="942">
        <f>calcCh4Prod3Slot2Promo1Seg4Fit*VLOOKUP(calcCh4Prod3Slot2Promo1Weeks,dataPromoWeeksEffect,5,FALSE)</f>
        <v>0</v>
      </c>
      <c r="F1467" s="645" t="s">
        <v>11082</v>
      </c>
    </row>
    <row r="1468" spans="1:6" s="645" customFormat="1">
      <c r="A1468" s="646"/>
      <c r="D1468" s="948" t="s">
        <v>2975</v>
      </c>
      <c r="E1468" s="946">
        <f>0.02*calcCh4Prod3Slot2Promo1Weeks+VLOOKUP(calcCh4Prod3Slot2Promo1Weeks,dataPromoWeeksShareEffect,5,FALSE)*calcCh4Prod3Slot2Promo1Seg4Fit</f>
        <v>0</v>
      </c>
      <c r="F1468" s="614" t="s">
        <v>11083</v>
      </c>
    </row>
    <row r="1469" spans="1:6" s="645" customFormat="1">
      <c r="A1469" s="646"/>
      <c r="D1469" s="943"/>
    </row>
    <row r="1470" spans="1:6" s="645" customFormat="1">
      <c r="A1470" s="646"/>
      <c r="C1470" s="769" t="s">
        <v>3860</v>
      </c>
    </row>
    <row r="1471" spans="1:6" s="645" customFormat="1">
      <c r="A1471" s="646"/>
      <c r="D1471" s="769" t="s">
        <v>6111</v>
      </c>
      <c r="E1471" s="441" t="str">
        <f>decCh4Prod3Slot3Promo1</f>
        <v>No Promotion</v>
      </c>
      <c r="F1471" s="614" t="s">
        <v>5982</v>
      </c>
    </row>
    <row r="1472" spans="1:6" s="645" customFormat="1">
      <c r="A1472" s="646"/>
      <c r="D1472" s="645" t="s">
        <v>5663</v>
      </c>
      <c r="E1472" s="645">
        <f>IF(decCh4Prod3Slot3Promo1="No Promotion",0,decCh4Prod3Slot3Promo1Weeks)</f>
        <v>0</v>
      </c>
      <c r="F1472" s="645" t="s">
        <v>11084</v>
      </c>
    </row>
    <row r="1473" spans="1:6" s="645" customFormat="1">
      <c r="A1473" s="646"/>
    </row>
    <row r="1474" spans="1:6" s="645" customFormat="1">
      <c r="A1474" s="646"/>
      <c r="D1474" s="769" t="s">
        <v>241</v>
      </c>
    </row>
    <row r="1475" spans="1:6" s="645" customFormat="1" ht="2.25" customHeight="1">
      <c r="A1475" s="646"/>
      <c r="C1475" s="632"/>
      <c r="D1475" s="259"/>
      <c r="E1475" s="632"/>
    </row>
    <row r="1476" spans="1:6" s="645" customFormat="1">
      <c r="A1476" s="646"/>
      <c r="D1476" s="943" t="s">
        <v>10604</v>
      </c>
      <c r="E1476" s="942">
        <f>VLOOKUP(calcCh4Prod3Slot3Promo1Plan,dataPromoSeg1,1+MATCH(calcCh4Prod3Slot3Pack,dataPackNames,0),FALSE)</f>
        <v>0</v>
      </c>
      <c r="F1476" s="645" t="s">
        <v>11085</v>
      </c>
    </row>
    <row r="1477" spans="1:6" s="645" customFormat="1">
      <c r="A1477" s="646"/>
      <c r="D1477" s="943" t="s">
        <v>4412</v>
      </c>
      <c r="E1477" s="942">
        <f>calcCh4Prod3Slot3Promo1Seg1Fit*VLOOKUP(calcCh4Prod3Slot3Promo1Weeks,dataPromoWeeksEffect,5,FALSE)</f>
        <v>0</v>
      </c>
      <c r="F1477" s="645" t="s">
        <v>11086</v>
      </c>
    </row>
    <row r="1478" spans="1:6" s="645" customFormat="1">
      <c r="A1478" s="646"/>
      <c r="D1478" s="948" t="s">
        <v>2975</v>
      </c>
      <c r="E1478" s="946">
        <f>0.02*calcCh4Prod3Slot3Promo1Weeks+VLOOKUP(calcCh4Prod3Slot3Promo1Weeks,dataPromoWeeksShareEffect,5,FALSE)*calcCh4Prod3Slot3Promo1Seg1Fit</f>
        <v>0</v>
      </c>
      <c r="F1478" s="614" t="s">
        <v>11087</v>
      </c>
    </row>
    <row r="1479" spans="1:6" s="645" customFormat="1">
      <c r="A1479" s="646"/>
    </row>
    <row r="1480" spans="1:6" s="645" customFormat="1">
      <c r="A1480" s="646"/>
      <c r="D1480" s="769" t="s">
        <v>242</v>
      </c>
    </row>
    <row r="1481" spans="1:6" s="645" customFormat="1" ht="2.25" customHeight="1">
      <c r="A1481" s="646"/>
      <c r="C1481" s="632"/>
      <c r="D1481" s="259"/>
      <c r="E1481" s="632"/>
    </row>
    <row r="1482" spans="1:6" s="645" customFormat="1">
      <c r="A1482" s="646"/>
      <c r="D1482" s="943" t="s">
        <v>10604</v>
      </c>
      <c r="E1482" s="942">
        <f>VLOOKUP(calcCh4Prod3Slot3Promo1Plan,dataPromoSeg2,1+MATCH(calcCh4Prod3Slot3Pack,dataPackNames,0),FALSE)</f>
        <v>0</v>
      </c>
      <c r="F1482" s="645" t="s">
        <v>11088</v>
      </c>
    </row>
    <row r="1483" spans="1:6" s="645" customFormat="1">
      <c r="A1483" s="646"/>
      <c r="D1483" s="943" t="s">
        <v>4412</v>
      </c>
      <c r="E1483" s="942">
        <f>calcCh4Prod3Slot3Promo1Seg2Fit*VLOOKUP(calcCh4Prod3Slot3Promo1Weeks,dataPromoWeeksEffect,5,FALSE)</f>
        <v>0</v>
      </c>
      <c r="F1483" s="645" t="s">
        <v>11089</v>
      </c>
    </row>
    <row r="1484" spans="1:6" s="645" customFormat="1">
      <c r="A1484" s="646"/>
      <c r="D1484" s="948" t="s">
        <v>2975</v>
      </c>
      <c r="E1484" s="946">
        <f>0.02*calcCh4Prod3Slot3Promo1Weeks+VLOOKUP(calcCh4Prod3Slot3Promo1Weeks,dataPromoWeeksShareEffect,5,FALSE)*calcCh4Prod3Slot3Promo1Seg2Fit</f>
        <v>0</v>
      </c>
      <c r="F1484" s="614" t="s">
        <v>11090</v>
      </c>
    </row>
    <row r="1485" spans="1:6" s="645" customFormat="1">
      <c r="A1485" s="646"/>
    </row>
    <row r="1486" spans="1:6" s="645" customFormat="1">
      <c r="A1486" s="646"/>
      <c r="D1486" s="769" t="s">
        <v>4353</v>
      </c>
    </row>
    <row r="1487" spans="1:6" s="645" customFormat="1" ht="2.25" customHeight="1">
      <c r="A1487" s="646"/>
      <c r="C1487" s="632"/>
      <c r="D1487" s="259"/>
      <c r="E1487" s="632"/>
    </row>
    <row r="1488" spans="1:6" s="645" customFormat="1">
      <c r="A1488" s="646"/>
      <c r="D1488" s="943" t="s">
        <v>10604</v>
      </c>
      <c r="E1488" s="942">
        <f>VLOOKUP(calcCh4Prod3Slot3Promo1Plan,dataPromoSeg3,1+MATCH(calcCh4Prod3Slot3Pack,dataPackNames,0),FALSE)</f>
        <v>0</v>
      </c>
      <c r="F1488" s="645" t="s">
        <v>11091</v>
      </c>
    </row>
    <row r="1489" spans="1:6" s="645" customFormat="1">
      <c r="A1489" s="646"/>
      <c r="D1489" s="943" t="s">
        <v>4412</v>
      </c>
      <c r="E1489" s="942">
        <f>calcCh4Prod3Slot3Promo1Seg3Fit*VLOOKUP(calcCh4Prod3Slot3Promo1Weeks,dataPromoWeeksEffect,5,FALSE)</f>
        <v>0</v>
      </c>
      <c r="F1489" s="645" t="s">
        <v>11092</v>
      </c>
    </row>
    <row r="1490" spans="1:6" s="645" customFormat="1">
      <c r="A1490" s="646"/>
      <c r="D1490" s="948" t="s">
        <v>2975</v>
      </c>
      <c r="E1490" s="946">
        <f>0.02*calcCh4Prod3Slot3Promo1Weeks+VLOOKUP(calcCh4Prod3Slot3Promo1Weeks,dataPromoWeeksShareEffect,5,FALSE)*calcCh4Prod3Slot3Promo1Seg3Fit</f>
        <v>0</v>
      </c>
      <c r="F1490" s="614" t="s">
        <v>11093</v>
      </c>
    </row>
    <row r="1491" spans="1:6" s="645" customFormat="1">
      <c r="A1491" s="646"/>
    </row>
    <row r="1492" spans="1:6" s="645" customFormat="1">
      <c r="A1492" s="646"/>
      <c r="D1492" s="769" t="s">
        <v>243</v>
      </c>
    </row>
    <row r="1493" spans="1:6" s="645" customFormat="1" ht="2.25" customHeight="1">
      <c r="A1493" s="646"/>
      <c r="C1493" s="632"/>
      <c r="D1493" s="259"/>
      <c r="E1493" s="632"/>
    </row>
    <row r="1494" spans="1:6" s="645" customFormat="1">
      <c r="A1494" s="646"/>
      <c r="D1494" s="943" t="s">
        <v>10604</v>
      </c>
      <c r="E1494" s="942">
        <f>VLOOKUP(calcCh4Prod3Slot3Promo1Plan,dataPromoSeg4,1+MATCH(calcCh4Prod3Slot3Pack,dataPackNames,0),FALSE)</f>
        <v>0</v>
      </c>
      <c r="F1494" s="645" t="s">
        <v>11094</v>
      </c>
    </row>
    <row r="1495" spans="1:6" s="645" customFormat="1">
      <c r="A1495" s="646"/>
      <c r="D1495" s="943" t="s">
        <v>4412</v>
      </c>
      <c r="E1495" s="942">
        <f>calcCh4Prod3Slot3Promo1Seg4Fit*VLOOKUP(calcCh4Prod3Slot3Promo1Weeks,dataPromoWeeksEffect,5,FALSE)</f>
        <v>0</v>
      </c>
      <c r="F1495" s="645" t="s">
        <v>11095</v>
      </c>
    </row>
    <row r="1496" spans="1:6" s="645" customFormat="1">
      <c r="A1496" s="646"/>
      <c r="D1496" s="948" t="s">
        <v>2975</v>
      </c>
      <c r="E1496" s="946">
        <f>0.02*calcCh4Prod3Slot3Promo1Weeks+VLOOKUP(calcCh4Prod3Slot3Promo1Weeks,dataPromoWeeksShareEffect,5,FALSE)*calcCh4Prod3Slot3Promo1Seg4Fit</f>
        <v>0</v>
      </c>
      <c r="F1496" s="614" t="s">
        <v>11096</v>
      </c>
    </row>
    <row r="1497" spans="1:6" s="645" customFormat="1">
      <c r="A1497" s="646"/>
      <c r="D1497" s="943"/>
    </row>
    <row r="1498" spans="1:6" s="645" customFormat="1">
      <c r="A1498" s="646"/>
      <c r="B1498" s="769" t="s">
        <v>240</v>
      </c>
    </row>
    <row r="1499" spans="1:6" s="645" customFormat="1">
      <c r="A1499" s="646"/>
      <c r="C1499" s="769" t="s">
        <v>3859</v>
      </c>
    </row>
    <row r="1500" spans="1:6" s="645" customFormat="1">
      <c r="A1500" s="646"/>
      <c r="D1500" s="769" t="s">
        <v>6111</v>
      </c>
      <c r="E1500" s="441" t="str">
        <f>decCh4Prod4Slot1Promo1</f>
        <v>TPR 20%</v>
      </c>
      <c r="F1500" s="614" t="s">
        <v>5984</v>
      </c>
    </row>
    <row r="1501" spans="1:6" s="645" customFormat="1">
      <c r="A1501" s="646"/>
      <c r="D1501" s="645" t="s">
        <v>5663</v>
      </c>
      <c r="E1501" s="645">
        <f>IF(decCh4Prod4Slot1Promo1="No Promotion",0,decCh4Prod4Slot1Promo1Weeks)</f>
        <v>2</v>
      </c>
      <c r="F1501" s="645" t="s">
        <v>11097</v>
      </c>
    </row>
    <row r="1502" spans="1:6" s="645" customFormat="1">
      <c r="A1502" s="646"/>
    </row>
    <row r="1503" spans="1:6" s="645" customFormat="1">
      <c r="A1503" s="646"/>
      <c r="D1503" s="769" t="s">
        <v>241</v>
      </c>
    </row>
    <row r="1504" spans="1:6" s="645" customFormat="1" ht="2.25" customHeight="1">
      <c r="A1504" s="646"/>
      <c r="C1504" s="632"/>
      <c r="D1504" s="259"/>
      <c r="E1504" s="632"/>
    </row>
    <row r="1505" spans="1:6" s="645" customFormat="1">
      <c r="A1505" s="646"/>
      <c r="D1505" s="943" t="s">
        <v>10604</v>
      </c>
      <c r="E1505" s="942">
        <f>VLOOKUP(calcCh4Prod4Slot1Promo1Plan,dataPromoSeg1,1+MATCH(calcCh4Prod4Slot1Pack,dataPackNames,0),FALSE)</f>
        <v>4.4600000000000009</v>
      </c>
      <c r="F1505" s="645" t="s">
        <v>11098</v>
      </c>
    </row>
    <row r="1506" spans="1:6" s="645" customFormat="1">
      <c r="A1506" s="646"/>
      <c r="D1506" s="943" t="s">
        <v>4412</v>
      </c>
      <c r="E1506" s="942">
        <f>calcCh4Prod4Slot1Promo1Seg1Fit*VLOOKUP(calcCh4Prod4Slot1Promo1Weeks,dataPromoWeeksEffect,5,FALSE)</f>
        <v>12.488000000000001</v>
      </c>
      <c r="F1506" s="645" t="s">
        <v>11099</v>
      </c>
    </row>
    <row r="1507" spans="1:6" s="645" customFormat="1">
      <c r="A1507" s="646"/>
      <c r="D1507" s="948" t="s">
        <v>2975</v>
      </c>
      <c r="E1507" s="946">
        <f>0.02*calcCh4Prod4Slot1Promo1Weeks+VLOOKUP(calcCh4Prod4Slot1Promo1Weeks,dataPromoWeeksShareEffect,5,FALSE)*calcCh4Prod4Slot1Promo1Seg1Fit</f>
        <v>0.12451700000000002</v>
      </c>
      <c r="F1507" s="614" t="s">
        <v>11100</v>
      </c>
    </row>
    <row r="1508" spans="1:6" s="645" customFormat="1">
      <c r="A1508" s="646"/>
    </row>
    <row r="1509" spans="1:6" s="645" customFormat="1">
      <c r="A1509" s="646"/>
      <c r="D1509" s="769" t="s">
        <v>242</v>
      </c>
    </row>
    <row r="1510" spans="1:6" s="645" customFormat="1" ht="2.25" customHeight="1">
      <c r="A1510" s="646"/>
      <c r="C1510" s="632"/>
      <c r="D1510" s="259"/>
      <c r="E1510" s="632"/>
    </row>
    <row r="1511" spans="1:6" s="645" customFormat="1">
      <c r="A1511" s="646"/>
      <c r="D1511" s="943" t="s">
        <v>10604</v>
      </c>
      <c r="E1511" s="942">
        <f>VLOOKUP(calcCh4Prod4Slot1Promo1Plan,dataPromoSeg2,1+MATCH(calcCh4Prod4Slot1Pack,dataPackNames,0),FALSE)</f>
        <v>5.08</v>
      </c>
      <c r="F1511" s="645" t="s">
        <v>11101</v>
      </c>
    </row>
    <row r="1512" spans="1:6" s="645" customFormat="1">
      <c r="A1512" s="646"/>
      <c r="D1512" s="943" t="s">
        <v>4412</v>
      </c>
      <c r="E1512" s="942">
        <f>calcCh4Prod4Slot1Promo1Seg2Fit*VLOOKUP(calcCh4Prod4Slot1Promo1Weeks,dataPromoWeeksEffect,5,FALSE)</f>
        <v>14.223999999999998</v>
      </c>
      <c r="F1512" s="645" t="s">
        <v>11102</v>
      </c>
    </row>
    <row r="1513" spans="1:6" s="645" customFormat="1">
      <c r="A1513" s="646"/>
      <c r="D1513" s="948" t="s">
        <v>2975</v>
      </c>
      <c r="E1513" s="946">
        <f>0.02*calcCh4Prod4Slot1Promo1Weeks+VLOOKUP(calcCh4Prod4Slot1Promo1Weeks,dataPromoWeeksShareEffect,5,FALSE)*calcCh4Prod4Slot1Promo1Seg2Fit</f>
        <v>0.136266</v>
      </c>
      <c r="F1513" s="614" t="s">
        <v>11103</v>
      </c>
    </row>
    <row r="1514" spans="1:6" s="645" customFormat="1">
      <c r="A1514" s="646"/>
    </row>
    <row r="1515" spans="1:6" s="645" customFormat="1">
      <c r="A1515" s="646"/>
      <c r="D1515" s="769" t="s">
        <v>4353</v>
      </c>
    </row>
    <row r="1516" spans="1:6" s="645" customFormat="1" ht="2.25" customHeight="1">
      <c r="A1516" s="646"/>
      <c r="C1516" s="632"/>
      <c r="D1516" s="259"/>
      <c r="E1516" s="632"/>
    </row>
    <row r="1517" spans="1:6" s="645" customFormat="1">
      <c r="A1517" s="646"/>
      <c r="D1517" s="943" t="s">
        <v>10604</v>
      </c>
      <c r="E1517" s="942">
        <f>VLOOKUP(calcCh4Prod4Slot1Promo1Plan,dataPromoSeg3,1+MATCH(calcCh4Prod4Slot1Pack,dataPackNames,0),FALSE)</f>
        <v>5.1400000000000006</v>
      </c>
      <c r="F1517" s="645" t="s">
        <v>11104</v>
      </c>
    </row>
    <row r="1518" spans="1:6" s="645" customFormat="1">
      <c r="A1518" s="646"/>
      <c r="D1518" s="943" t="s">
        <v>4412</v>
      </c>
      <c r="E1518" s="942">
        <f>calcCh4Prod4Slot1Promo1Seg3Fit*VLOOKUP(calcCh4Prod4Slot1Promo1Weeks,dataPromoWeeksEffect,5,FALSE)</f>
        <v>14.392000000000001</v>
      </c>
      <c r="F1518" s="645" t="s">
        <v>11105</v>
      </c>
    </row>
    <row r="1519" spans="1:6" s="645" customFormat="1">
      <c r="A1519" s="646"/>
      <c r="D1519" s="948" t="s">
        <v>2975</v>
      </c>
      <c r="E1519" s="946">
        <f>0.02*calcCh4Prod4Slot1Promo1Weeks+VLOOKUP(calcCh4Prod4Slot1Promo1Weeks,dataPromoWeeksShareEffect,5,FALSE)*calcCh4Prod4Slot1Promo1Seg3Fit</f>
        <v>0.13740300000000003</v>
      </c>
      <c r="F1519" s="614" t="s">
        <v>11106</v>
      </c>
    </row>
    <row r="1520" spans="1:6" s="645" customFormat="1">
      <c r="A1520" s="646"/>
    </row>
    <row r="1521" spans="1:6" s="645" customFormat="1">
      <c r="A1521" s="646"/>
      <c r="D1521" s="769" t="s">
        <v>243</v>
      </c>
    </row>
    <row r="1522" spans="1:6" s="645" customFormat="1" ht="2.25" customHeight="1">
      <c r="A1522" s="646"/>
      <c r="C1522" s="632"/>
      <c r="D1522" s="259"/>
      <c r="E1522" s="632"/>
    </row>
    <row r="1523" spans="1:6" s="645" customFormat="1">
      <c r="A1523" s="646"/>
      <c r="D1523" s="943" t="s">
        <v>10604</v>
      </c>
      <c r="E1523" s="942">
        <f>VLOOKUP(calcCh4Prod4Slot1Promo1Plan,dataPromoSeg4,1+MATCH(calcCh4Prod4Slot1Pack,dataPackNames,0),FALSE)</f>
        <v>4.7799999999999994</v>
      </c>
      <c r="F1523" s="645" t="s">
        <v>11107</v>
      </c>
    </row>
    <row r="1524" spans="1:6" s="645" customFormat="1">
      <c r="A1524" s="646"/>
      <c r="D1524" s="943" t="s">
        <v>4412</v>
      </c>
      <c r="E1524" s="942">
        <f>calcCh4Prod4Slot1Promo1Seg4Fit*VLOOKUP(calcCh4Prod4Slot1Promo1Weeks,dataPromoWeeksEffect,5,FALSE)</f>
        <v>13.383999999999997</v>
      </c>
      <c r="F1524" s="645" t="s">
        <v>11108</v>
      </c>
    </row>
    <row r="1525" spans="1:6" s="645" customFormat="1">
      <c r="A1525" s="646"/>
      <c r="D1525" s="948" t="s">
        <v>2975</v>
      </c>
      <c r="E1525" s="946">
        <f>0.02*calcCh4Prod4Slot1Promo1Weeks+VLOOKUP(calcCh4Prod4Slot1Promo1Weeks,dataPromoWeeksShareEffect,5,FALSE)*calcCh4Prod4Slot1Promo1Seg4Fit</f>
        <v>0.130581</v>
      </c>
      <c r="F1525" s="614" t="s">
        <v>11109</v>
      </c>
    </row>
    <row r="1526" spans="1:6" s="645" customFormat="1">
      <c r="A1526" s="646"/>
      <c r="D1526" s="943"/>
    </row>
    <row r="1527" spans="1:6" s="645" customFormat="1">
      <c r="A1527" s="646"/>
      <c r="C1527" s="769" t="s">
        <v>3858</v>
      </c>
    </row>
    <row r="1528" spans="1:6" s="645" customFormat="1">
      <c r="A1528" s="646"/>
      <c r="D1528" s="769" t="s">
        <v>6111</v>
      </c>
      <c r="E1528" s="441" t="str">
        <f>decCh4Prod4Slot2Promo1</f>
        <v>No Promotion</v>
      </c>
      <c r="F1528" s="614" t="s">
        <v>5986</v>
      </c>
    </row>
    <row r="1529" spans="1:6" s="645" customFormat="1">
      <c r="A1529" s="646"/>
      <c r="D1529" s="645" t="s">
        <v>5663</v>
      </c>
      <c r="E1529" s="645">
        <f>IF(decCh4Prod4Slot2Promo1="No Promotion",0,decCh4Prod4Slot2Promo1Weeks)</f>
        <v>0</v>
      </c>
      <c r="F1529" s="645" t="s">
        <v>11110</v>
      </c>
    </row>
    <row r="1530" spans="1:6" s="645" customFormat="1">
      <c r="A1530" s="646"/>
    </row>
    <row r="1531" spans="1:6" s="645" customFormat="1">
      <c r="A1531" s="646"/>
      <c r="D1531" s="769" t="s">
        <v>241</v>
      </c>
    </row>
    <row r="1532" spans="1:6" s="645" customFormat="1" ht="2.25" customHeight="1">
      <c r="A1532" s="646"/>
      <c r="C1532" s="632"/>
      <c r="D1532" s="259"/>
      <c r="E1532" s="632"/>
    </row>
    <row r="1533" spans="1:6" s="645" customFormat="1">
      <c r="A1533" s="646"/>
      <c r="D1533" s="943" t="s">
        <v>10604</v>
      </c>
      <c r="E1533" s="942">
        <f>VLOOKUP(calcCh4Prod4Slot2Promo1Plan,dataPromoSeg1,1+MATCH(calcCh4Prod4Slot2Pack,dataPackNames,0),FALSE)</f>
        <v>0</v>
      </c>
      <c r="F1533" s="645" t="s">
        <v>11111</v>
      </c>
    </row>
    <row r="1534" spans="1:6" s="645" customFormat="1">
      <c r="A1534" s="646"/>
      <c r="D1534" s="943" t="s">
        <v>4412</v>
      </c>
      <c r="E1534" s="942">
        <f>calcCh4Prod4Slot2Promo1Seg1Fit*VLOOKUP(calcCh4Prod4Slot2Promo1Weeks,dataPromoWeeksEffect,5,FALSE)</f>
        <v>0</v>
      </c>
      <c r="F1534" s="645" t="s">
        <v>11112</v>
      </c>
    </row>
    <row r="1535" spans="1:6" s="645" customFormat="1">
      <c r="A1535" s="646"/>
      <c r="D1535" s="948" t="s">
        <v>2975</v>
      </c>
      <c r="E1535" s="946">
        <f>0.02*calcCh4Prod4Slot2Promo1Weeks+VLOOKUP(calcCh4Prod4Slot2Promo1Weeks,dataPromoWeeksShareEffect,5,FALSE)*calcCh4Prod4Slot2Promo1Seg1Fit</f>
        <v>0</v>
      </c>
      <c r="F1535" s="614" t="s">
        <v>11113</v>
      </c>
    </row>
    <row r="1536" spans="1:6" s="645" customFormat="1">
      <c r="A1536" s="646"/>
    </row>
    <row r="1537" spans="1:6" s="645" customFormat="1">
      <c r="A1537" s="646"/>
      <c r="D1537" s="769" t="s">
        <v>242</v>
      </c>
    </row>
    <row r="1538" spans="1:6" s="645" customFormat="1" ht="2.25" customHeight="1">
      <c r="A1538" s="646"/>
      <c r="C1538" s="632"/>
      <c r="D1538" s="259"/>
      <c r="E1538" s="632"/>
    </row>
    <row r="1539" spans="1:6" s="645" customFormat="1">
      <c r="A1539" s="646"/>
      <c r="D1539" s="943" t="s">
        <v>10604</v>
      </c>
      <c r="E1539" s="942">
        <f>VLOOKUP(calcCh4Prod4Slot2Promo1Plan,dataPromoSeg2,1+MATCH(calcCh4Prod4Slot2Pack,dataPackNames,0),FALSE)</f>
        <v>0</v>
      </c>
      <c r="F1539" s="645" t="s">
        <v>11114</v>
      </c>
    </row>
    <row r="1540" spans="1:6" s="645" customFormat="1">
      <c r="A1540" s="646"/>
      <c r="D1540" s="943" t="s">
        <v>4412</v>
      </c>
      <c r="E1540" s="942">
        <f>calcCh4Prod4Slot2Promo1Seg2Fit*VLOOKUP(calcCh4Prod4Slot2Promo1Weeks,dataPromoWeeksEffect,5,FALSE)</f>
        <v>0</v>
      </c>
      <c r="F1540" s="645" t="s">
        <v>11115</v>
      </c>
    </row>
    <row r="1541" spans="1:6" s="645" customFormat="1">
      <c r="A1541" s="646"/>
      <c r="D1541" s="948" t="s">
        <v>2975</v>
      </c>
      <c r="E1541" s="946">
        <f>0.02*calcCh4Prod4Slot2Promo1Weeks+VLOOKUP(calcCh4Prod4Slot2Promo1Weeks,dataPromoWeeksShareEffect,5,FALSE)*calcCh4Prod4Slot2Promo1Seg2Fit</f>
        <v>0</v>
      </c>
      <c r="F1541" s="614" t="s">
        <v>11116</v>
      </c>
    </row>
    <row r="1542" spans="1:6" s="645" customFormat="1">
      <c r="A1542" s="646"/>
    </row>
    <row r="1543" spans="1:6" s="645" customFormat="1">
      <c r="A1543" s="646"/>
      <c r="D1543" s="769" t="s">
        <v>4353</v>
      </c>
    </row>
    <row r="1544" spans="1:6" s="645" customFormat="1" ht="2.25" customHeight="1">
      <c r="A1544" s="646"/>
      <c r="C1544" s="632"/>
      <c r="D1544" s="259"/>
      <c r="E1544" s="632"/>
    </row>
    <row r="1545" spans="1:6" s="645" customFormat="1">
      <c r="A1545" s="646"/>
      <c r="D1545" s="943" t="s">
        <v>10604</v>
      </c>
      <c r="E1545" s="942">
        <f>VLOOKUP(calcCh4Prod4Slot2Promo1Plan,dataPromoSeg3,1+MATCH(calcCh4Prod4Slot2Pack,dataPackNames,0),FALSE)</f>
        <v>0</v>
      </c>
      <c r="F1545" s="645" t="s">
        <v>11117</v>
      </c>
    </row>
    <row r="1546" spans="1:6" s="645" customFormat="1">
      <c r="A1546" s="646"/>
      <c r="D1546" s="943" t="s">
        <v>4412</v>
      </c>
      <c r="E1546" s="942">
        <f>calcCh4Prod4Slot2Promo1Seg3Fit*VLOOKUP(calcCh4Prod4Slot2Promo1Weeks,dataPromoWeeksEffect,5,FALSE)</f>
        <v>0</v>
      </c>
      <c r="F1546" s="645" t="s">
        <v>11118</v>
      </c>
    </row>
    <row r="1547" spans="1:6" s="645" customFormat="1">
      <c r="A1547" s="646"/>
      <c r="D1547" s="948" t="s">
        <v>2975</v>
      </c>
      <c r="E1547" s="946">
        <f>0.02*calcCh4Prod4Slot2Promo1Weeks+VLOOKUP(calcCh4Prod4Slot2Promo1Weeks,dataPromoWeeksShareEffect,5,FALSE)*calcCh4Prod4Slot2Promo1Seg3Fit</f>
        <v>0</v>
      </c>
      <c r="F1547" s="614" t="s">
        <v>11119</v>
      </c>
    </row>
    <row r="1548" spans="1:6" s="645" customFormat="1">
      <c r="A1548" s="646"/>
    </row>
    <row r="1549" spans="1:6" s="645" customFormat="1">
      <c r="A1549" s="646"/>
      <c r="D1549" s="769" t="s">
        <v>243</v>
      </c>
    </row>
    <row r="1550" spans="1:6" s="645" customFormat="1" ht="2.25" customHeight="1">
      <c r="A1550" s="646"/>
      <c r="C1550" s="632"/>
      <c r="D1550" s="259"/>
      <c r="E1550" s="632"/>
    </row>
    <row r="1551" spans="1:6" s="645" customFormat="1">
      <c r="A1551" s="646"/>
      <c r="D1551" s="943" t="s">
        <v>10604</v>
      </c>
      <c r="E1551" s="942">
        <f>VLOOKUP(calcCh4Prod4Slot2Promo1Plan,dataPromoSeg4,1+MATCH(calcCh4Prod4Slot2Pack,dataPackNames,0),FALSE)</f>
        <v>0</v>
      </c>
      <c r="F1551" s="645" t="s">
        <v>11120</v>
      </c>
    </row>
    <row r="1552" spans="1:6" s="645" customFormat="1">
      <c r="A1552" s="646"/>
      <c r="D1552" s="943" t="s">
        <v>4412</v>
      </c>
      <c r="E1552" s="942">
        <f>calcCh4Prod4Slot2Promo1Seg4Fit*VLOOKUP(calcCh4Prod4Slot2Promo1Weeks,dataPromoWeeksEffect,5,FALSE)</f>
        <v>0</v>
      </c>
      <c r="F1552" s="645" t="s">
        <v>11121</v>
      </c>
    </row>
    <row r="1553" spans="1:6" s="645" customFormat="1">
      <c r="A1553" s="646"/>
      <c r="D1553" s="948" t="s">
        <v>2975</v>
      </c>
      <c r="E1553" s="946">
        <f>0.02*calcCh4Prod4Slot2Promo1Weeks+VLOOKUP(calcCh4Prod4Slot2Promo1Weeks,dataPromoWeeksShareEffect,5,FALSE)*calcCh4Prod4Slot2Promo1Seg4Fit</f>
        <v>0</v>
      </c>
      <c r="F1553" s="614" t="s">
        <v>11122</v>
      </c>
    </row>
    <row r="1554" spans="1:6" s="645" customFormat="1">
      <c r="A1554" s="646"/>
      <c r="D1554" s="943"/>
    </row>
    <row r="1555" spans="1:6" s="645" customFormat="1">
      <c r="A1555" s="646"/>
      <c r="C1555" s="769" t="s">
        <v>3860</v>
      </c>
    </row>
    <row r="1556" spans="1:6" s="645" customFormat="1">
      <c r="A1556" s="646"/>
      <c r="D1556" s="769" t="s">
        <v>6111</v>
      </c>
      <c r="E1556" s="441" t="str">
        <f>decCh4Prod4Slot3Promo1</f>
        <v>No Promotion</v>
      </c>
      <c r="F1556" s="614" t="s">
        <v>5988</v>
      </c>
    </row>
    <row r="1557" spans="1:6" s="645" customFormat="1">
      <c r="A1557" s="646"/>
      <c r="D1557" s="645" t="s">
        <v>5663</v>
      </c>
      <c r="E1557" s="645">
        <f>IF(decCh4Prod4Slot3Promo1="No Promotion",0,decCh4Prod4Slot3Promo1Weeks)</f>
        <v>0</v>
      </c>
      <c r="F1557" s="645" t="s">
        <v>11123</v>
      </c>
    </row>
    <row r="1558" spans="1:6" s="645" customFormat="1">
      <c r="A1558" s="646"/>
    </row>
    <row r="1559" spans="1:6" s="645" customFormat="1">
      <c r="A1559" s="646"/>
      <c r="D1559" s="769" t="s">
        <v>241</v>
      </c>
    </row>
    <row r="1560" spans="1:6" s="645" customFormat="1" ht="2.25" customHeight="1">
      <c r="A1560" s="646"/>
      <c r="C1560" s="632"/>
      <c r="D1560" s="259"/>
      <c r="E1560" s="632"/>
    </row>
    <row r="1561" spans="1:6" s="645" customFormat="1">
      <c r="A1561" s="646"/>
      <c r="D1561" s="943" t="s">
        <v>10604</v>
      </c>
      <c r="E1561" s="942">
        <f>VLOOKUP(calcCh4Prod4Slot3Promo1Plan,dataPromoSeg1,1+MATCH(calcCh4Prod4Slot3Pack,dataPackNames,0),FALSE)</f>
        <v>0</v>
      </c>
      <c r="F1561" s="645" t="s">
        <v>11124</v>
      </c>
    </row>
    <row r="1562" spans="1:6" s="645" customFormat="1">
      <c r="A1562" s="646"/>
      <c r="D1562" s="943" t="s">
        <v>4412</v>
      </c>
      <c r="E1562" s="942">
        <f>calcCh4Prod4Slot3Promo1Seg1Fit*VLOOKUP(calcCh4Prod4Slot3Promo1Weeks,dataPromoWeeksEffect,5,FALSE)</f>
        <v>0</v>
      </c>
      <c r="F1562" s="645" t="s">
        <v>11125</v>
      </c>
    </row>
    <row r="1563" spans="1:6" s="645" customFormat="1">
      <c r="A1563" s="646"/>
      <c r="D1563" s="948" t="s">
        <v>2975</v>
      </c>
      <c r="E1563" s="946">
        <f>0.02*calcCh4Prod4Slot3Promo1Weeks+VLOOKUP(calcCh4Prod4Slot3Promo1Weeks,dataPromoWeeksShareEffect,5,FALSE)*calcCh4Prod4Slot3Promo1Seg1Fit</f>
        <v>0</v>
      </c>
      <c r="F1563" s="614" t="s">
        <v>11126</v>
      </c>
    </row>
    <row r="1564" spans="1:6" s="645" customFormat="1">
      <c r="A1564" s="646"/>
    </row>
    <row r="1565" spans="1:6" s="645" customFormat="1">
      <c r="A1565" s="646"/>
      <c r="D1565" s="769" t="s">
        <v>242</v>
      </c>
    </row>
    <row r="1566" spans="1:6" s="645" customFormat="1" ht="2.25" customHeight="1">
      <c r="A1566" s="646"/>
      <c r="C1566" s="632"/>
      <c r="D1566" s="259"/>
      <c r="E1566" s="632"/>
    </row>
    <row r="1567" spans="1:6" s="645" customFormat="1">
      <c r="A1567" s="646"/>
      <c r="D1567" s="943" t="s">
        <v>10604</v>
      </c>
      <c r="E1567" s="942">
        <f>VLOOKUP(calcCh4Prod4Slot3Promo1Plan,dataPromoSeg2,1+MATCH(calcCh4Prod4Slot3Pack,dataPackNames,0),FALSE)</f>
        <v>0</v>
      </c>
      <c r="F1567" s="645" t="s">
        <v>11127</v>
      </c>
    </row>
    <row r="1568" spans="1:6" s="645" customFormat="1">
      <c r="A1568" s="646"/>
      <c r="D1568" s="943" t="s">
        <v>4412</v>
      </c>
      <c r="E1568" s="942">
        <f>calcCh4Prod4Slot3Promo1Seg2Fit*VLOOKUP(calcCh4Prod4Slot3Promo1Weeks,dataPromoWeeksEffect,5,FALSE)</f>
        <v>0</v>
      </c>
      <c r="F1568" s="645" t="s">
        <v>11128</v>
      </c>
    </row>
    <row r="1569" spans="1:6" s="645" customFormat="1">
      <c r="A1569" s="646"/>
      <c r="D1569" s="948" t="s">
        <v>2975</v>
      </c>
      <c r="E1569" s="946">
        <f>0.02*calcCh4Prod4Slot3Promo1Weeks+VLOOKUP(calcCh4Prod4Slot3Promo1Weeks,dataPromoWeeksShareEffect,5,FALSE)*calcCh4Prod4Slot3Promo1Seg2Fit</f>
        <v>0</v>
      </c>
      <c r="F1569" s="614" t="s">
        <v>11129</v>
      </c>
    </row>
    <row r="1570" spans="1:6" s="645" customFormat="1">
      <c r="A1570" s="646"/>
    </row>
    <row r="1571" spans="1:6" s="645" customFormat="1">
      <c r="A1571" s="646"/>
      <c r="D1571" s="769" t="s">
        <v>4353</v>
      </c>
    </row>
    <row r="1572" spans="1:6" s="645" customFormat="1" ht="2.25" customHeight="1">
      <c r="A1572" s="646"/>
      <c r="C1572" s="632"/>
      <c r="D1572" s="259"/>
      <c r="E1572" s="632"/>
    </row>
    <row r="1573" spans="1:6" s="645" customFormat="1">
      <c r="A1573" s="646"/>
      <c r="D1573" s="943" t="s">
        <v>10604</v>
      </c>
      <c r="E1573" s="942">
        <f>VLOOKUP(calcCh4Prod4Slot3Promo1Plan,dataPromoSeg3,1+MATCH(calcCh4Prod4Slot3Pack,dataPackNames,0),FALSE)</f>
        <v>0</v>
      </c>
      <c r="F1573" s="645" t="s">
        <v>11130</v>
      </c>
    </row>
    <row r="1574" spans="1:6" s="645" customFormat="1">
      <c r="A1574" s="646"/>
      <c r="D1574" s="943" t="s">
        <v>4412</v>
      </c>
      <c r="E1574" s="942">
        <f>calcCh4Prod4Slot3Promo1Seg3Fit*VLOOKUP(calcCh4Prod4Slot3Promo1Weeks,dataPromoWeeksEffect,5,FALSE)</f>
        <v>0</v>
      </c>
      <c r="F1574" s="645" t="s">
        <v>11131</v>
      </c>
    </row>
    <row r="1575" spans="1:6" s="645" customFormat="1">
      <c r="A1575" s="646"/>
      <c r="D1575" s="948" t="s">
        <v>2975</v>
      </c>
      <c r="E1575" s="946">
        <f>0.02*calcCh4Prod4Slot3Promo1Weeks+VLOOKUP(calcCh4Prod4Slot3Promo1Weeks,dataPromoWeeksShareEffect,5,FALSE)*calcCh4Prod4Slot3Promo1Seg3Fit</f>
        <v>0</v>
      </c>
      <c r="F1575" s="614" t="s">
        <v>11132</v>
      </c>
    </row>
    <row r="1576" spans="1:6" s="645" customFormat="1">
      <c r="A1576" s="646"/>
    </row>
    <row r="1577" spans="1:6" s="645" customFormat="1">
      <c r="A1577" s="646"/>
      <c r="D1577" s="769" t="s">
        <v>243</v>
      </c>
    </row>
    <row r="1578" spans="1:6" s="645" customFormat="1" ht="2.25" customHeight="1">
      <c r="A1578" s="646"/>
      <c r="C1578" s="632"/>
      <c r="D1578" s="259"/>
      <c r="E1578" s="632"/>
    </row>
    <row r="1579" spans="1:6" s="645" customFormat="1">
      <c r="A1579" s="646"/>
      <c r="D1579" s="943" t="s">
        <v>10604</v>
      </c>
      <c r="E1579" s="942">
        <f>VLOOKUP(calcCh4Prod4Slot3Promo1Plan,dataPromoSeg4,1+MATCH(calcCh4Prod4Slot3Pack,dataPackNames,0),FALSE)</f>
        <v>0</v>
      </c>
      <c r="F1579" s="645" t="s">
        <v>11133</v>
      </c>
    </row>
    <row r="1580" spans="1:6" s="645" customFormat="1">
      <c r="A1580" s="646"/>
      <c r="D1580" s="943" t="s">
        <v>4412</v>
      </c>
      <c r="E1580" s="942">
        <f>calcCh4Prod4Slot3Promo1Seg4Fit*VLOOKUP(calcCh4Prod4Slot3Promo1Weeks,dataPromoWeeksEffect,5,FALSE)</f>
        <v>0</v>
      </c>
      <c r="F1580" s="645" t="s">
        <v>11134</v>
      </c>
    </row>
    <row r="1581" spans="1:6" s="645" customFormat="1">
      <c r="A1581" s="646"/>
      <c r="D1581" s="948" t="s">
        <v>2975</v>
      </c>
      <c r="E1581" s="946">
        <f>0.02*calcCh4Prod4Slot3Promo1Weeks+VLOOKUP(calcCh4Prod4Slot3Promo1Weeks,dataPromoWeeksShareEffect,5,FALSE)*calcCh4Prod4Slot3Promo1Seg4Fit</f>
        <v>0</v>
      </c>
      <c r="F1581" s="614" t="s">
        <v>11135</v>
      </c>
    </row>
    <row r="1582" spans="1:6" s="645" customFormat="1">
      <c r="A1582" s="646"/>
      <c r="D1582" s="943"/>
    </row>
    <row r="1583" spans="1:6" s="291" customFormat="1">
      <c r="A1583" s="81" t="s">
        <v>13823</v>
      </c>
    </row>
    <row r="1584" spans="1:6" s="282" customFormat="1">
      <c r="A1584" s="290"/>
    </row>
    <row r="1585" spans="2:6">
      <c r="B1585" s="23" t="s">
        <v>12868</v>
      </c>
    </row>
    <row r="1586" spans="2:6">
      <c r="C1586" s="23" t="s">
        <v>379</v>
      </c>
    </row>
    <row r="1587" spans="2:6">
      <c r="D1587" s="23" t="s">
        <v>1770</v>
      </c>
      <c r="E1587" s="953">
        <f>IF(decCh1Prod1Slot1Active=1,decCh1Prod1Slot1CustPrice,0)</f>
        <v>7.7</v>
      </c>
      <c r="F1587" s="312" t="s">
        <v>1822</v>
      </c>
    </row>
    <row r="1588" spans="2:6">
      <c r="D1588" s="23" t="s">
        <v>5194</v>
      </c>
      <c r="E1588" s="953">
        <f>calcCh1Prod1Slot1CustPrice*(1+VLOOKUP(nmProd1,dataCustomerMargin,2,FALSE))</f>
        <v>9.24</v>
      </c>
      <c r="F1588" s="23" t="s">
        <v>6062</v>
      </c>
    </row>
    <row r="1589" spans="2:6">
      <c r="D1589" s="23" t="s">
        <v>5914</v>
      </c>
      <c r="E1589" s="724" t="str">
        <f>decCh1Prod1Slot1Promo1</f>
        <v>TPR 33%</v>
      </c>
    </row>
    <row r="1590" spans="2:6">
      <c r="D1590" s="23" t="s">
        <v>5912</v>
      </c>
      <c r="E1590" s="954">
        <f>IF(calcCh1Prod1Slot1Active=1,IF(xxSim0Tool1=1,decCh1Prod1Slot1Promo1ShareFrc,(MMCh1Prod1Seg1Slot1UnitsSoldPromo1+MMCh1Prod1Seg2Slot1UnitsSoldPromo1+MMCh1Prod1Seg3Slot1UnitsSoldPromo1+MMCh1Prod1Seg4Slot1UnitsSoldPromo1)/(MMCh1Prod1Seg1Slot1UnitsSold+MMCh1Prod1Seg2Slot1UnitsSold+MMCh1Prod1Seg3Slot1UnitsSold+MMCh1Prod1Seg4Slot1UnitsSold)),0)</f>
        <v>0.4</v>
      </c>
    </row>
    <row r="1591" spans="2:6">
      <c r="D1591" s="23" t="s">
        <v>5913</v>
      </c>
      <c r="E1591" s="953">
        <f>calcCh1Prod1Slot1CustPrice*(1-VLOOKUP(calcCh1Prod1Slot1Promo1Plan,dataPromoPlanDisc,2,FALSE))</f>
        <v>5.1589999999999998</v>
      </c>
      <c r="F1591" s="23" t="s">
        <v>5920</v>
      </c>
    </row>
    <row r="1592" spans="2:6" s="614" customFormat="1">
      <c r="D1592" s="614" t="s">
        <v>5915</v>
      </c>
      <c r="E1592" s="724" t="str">
        <f>decCh1Prod1Slot1Promo2</f>
        <v>TPR 20%</v>
      </c>
    </row>
    <row r="1593" spans="2:6" s="614" customFormat="1">
      <c r="D1593" s="614" t="s">
        <v>5916</v>
      </c>
      <c r="E1593" s="954">
        <f>IF(calcCh1Prod1Slot1Active=1,IF(xxSim0Tool1=1,decCh1Prod1Slot1Promo1ShareFrc,(MMCh1Prod1Seg1Slot1UnitsSoldPromo2+MMCh1Prod1Seg2Slot1UnitsSoldPromo2+MMCh1Prod1Seg3Slot1UnitsSoldPromo2+MMCh1Prod1Seg4Slot1UnitsSoldPromo2)/(MMCh1Prod1Seg1Slot1UnitsSold+MMCh1Prod1Seg2Slot1UnitsSold+MMCh1Prod1Seg3Slot1UnitsSold+MMCh1Prod1Seg4Slot1UnitsSold)),0)</f>
        <v>0.4</v>
      </c>
    </row>
    <row r="1594" spans="2:6" s="614" customFormat="1">
      <c r="D1594" s="614" t="s">
        <v>5917</v>
      </c>
      <c r="E1594" s="953">
        <f>calcCh1Prod1Slot1CustPrice*(1-VLOOKUP(calcCh1Prod1Slot1Promo2Plan,dataPromoPlanDisc,2,FALSE))</f>
        <v>6.16</v>
      </c>
      <c r="F1594" s="614" t="s">
        <v>5921</v>
      </c>
    </row>
    <row r="1595" spans="2:6">
      <c r="D1595" s="23" t="s">
        <v>1821</v>
      </c>
      <c r="E1595" s="955">
        <f>calcCh1Prod1Slot1Promo1CustPrice*calcCh1Prod1Slot1Promo1PlanShare+calcCh1Prod1Slot1Promo2CustPrice*calcCh1Prod1Slot1Promo2PlanShare+((1-calcCh1Prod1Slot1Promo1PlanShare-calcCh1Prod1Slot1Promo2PlanShare)*calcCh1Prod1Slot1CustPrice)</f>
        <v>6.0676000000000005</v>
      </c>
      <c r="F1595" s="23" t="s">
        <v>1823</v>
      </c>
    </row>
    <row r="1596" spans="2:6" s="614" customFormat="1">
      <c r="E1596" s="725"/>
    </row>
    <row r="1597" spans="2:6" s="614" customFormat="1">
      <c r="C1597" s="614" t="s">
        <v>394</v>
      </c>
    </row>
    <row r="1598" spans="2:6" s="614" customFormat="1">
      <c r="D1598" s="614" t="s">
        <v>1770</v>
      </c>
      <c r="E1598" s="953">
        <f>IF(decCh1Prod1Slot2Active=1,decCh1Prod1Slot2CustPrice,0)</f>
        <v>0</v>
      </c>
      <c r="F1598" s="652" t="s">
        <v>2109</v>
      </c>
    </row>
    <row r="1599" spans="2:6" s="614" customFormat="1">
      <c r="D1599" s="614" t="s">
        <v>5194</v>
      </c>
      <c r="E1599" s="953">
        <f>calcCh1Prod1Slot2CustPrice*(1+VLOOKUP(nmProd1,dataCustomerMargin,2,FALSE))</f>
        <v>0</v>
      </c>
      <c r="F1599" s="614" t="s">
        <v>6063</v>
      </c>
    </row>
    <row r="1600" spans="2:6" s="614" customFormat="1">
      <c r="D1600" s="614" t="s">
        <v>5914</v>
      </c>
      <c r="E1600" s="724" t="str">
        <f>decCh1Prod1Slot2Promo1</f>
        <v>No Promotion</v>
      </c>
    </row>
    <row r="1601" spans="3:6" s="614" customFormat="1">
      <c r="D1601" s="614" t="s">
        <v>5912</v>
      </c>
      <c r="E1601" s="954">
        <f>IF(calcCh1Prod1Slot2Active=1,IF(xxSim0Tool1=1,decCh1Prod1Slot2Promo1ShareFrc,(MMCh1Prod1Seg1Slot2UnitsSoldPromo1+MMCh1Prod1Seg2Slot2UnitsSoldPromo1+MMCh1Prod1Seg3Slot2UnitsSoldPromo1+MMCh1Prod1Seg4Slot2UnitsSoldPromo1)/(MMCh1Prod1Seg1Slot2UnitsSold+MMCh1Prod1Seg2Slot2UnitsSold+MMCh1Prod1Seg3Slot2UnitsSold+MMCh1Prod1Seg4Slot2UnitsSold)),0)</f>
        <v>0</v>
      </c>
    </row>
    <row r="1602" spans="3:6" s="614" customFormat="1">
      <c r="D1602" s="614" t="s">
        <v>5913</v>
      </c>
      <c r="E1602" s="953">
        <f>calcCh1Prod1Slot2CustPrice*(1-VLOOKUP(calcCh1Prod1Slot2Promo1Plan,dataPromoPlanDisc,2,FALSE))</f>
        <v>0</v>
      </c>
      <c r="F1602" s="614" t="s">
        <v>5923</v>
      </c>
    </row>
    <row r="1603" spans="3:6" s="614" customFormat="1">
      <c r="D1603" s="614" t="s">
        <v>5915</v>
      </c>
      <c r="E1603" s="724" t="str">
        <f>decCh1Prod1Slot2Promo2</f>
        <v>No Promotion</v>
      </c>
    </row>
    <row r="1604" spans="3:6" s="614" customFormat="1">
      <c r="D1604" s="614" t="s">
        <v>5916</v>
      </c>
      <c r="E1604" s="954">
        <f>IF(calcCh1Prod1Slot2Active=1,IF(xxSim0Tool1=1,decCh1Prod1Slot2Promo1ShareFrc,(MMCh1Prod1Seg1Slot2UnitsSoldPromo2+MMCh1Prod1Seg2Slot2UnitsSoldPromo2+MMCh1Prod1Seg3Slot2UnitsSoldPromo2+MMCh1Prod1Seg4Slot2UnitsSoldPromo2)/(MMCh1Prod1Seg1Slot2UnitsSold+MMCh1Prod1Seg2Slot2UnitsSold+MMCh1Prod1Seg3Slot2UnitsSold+MMCh1Prod1Seg4Slot2UnitsSold)),0)</f>
        <v>0</v>
      </c>
    </row>
    <row r="1605" spans="3:6" s="614" customFormat="1">
      <c r="D1605" s="614" t="s">
        <v>5917</v>
      </c>
      <c r="E1605" s="953">
        <f>calcCh1Prod1Slot2CustPrice*(1-VLOOKUP(calcCh1Prod1Slot2Promo2Plan,dataPromoPlanDisc,2,FALSE))</f>
        <v>0</v>
      </c>
      <c r="F1605" s="614" t="s">
        <v>5925</v>
      </c>
    </row>
    <row r="1606" spans="3:6" s="614" customFormat="1">
      <c r="D1606" s="614" t="s">
        <v>1821</v>
      </c>
      <c r="E1606" s="955">
        <f>calcCh1Prod1Slot2Promo1CustPrice*calcCh1Prod1Slot2Promo1PlanShare+calcCh1Prod1Slot2Promo2CustPrice*calcCh1Prod1Slot2Promo2PlanShare+((1-calcCh1Prod1Slot2Promo1PlanShare-calcCh1Prod1Slot2Promo2PlanShare)*calcCh1Prod1Slot2CustPrice)</f>
        <v>0</v>
      </c>
      <c r="F1606" s="614" t="s">
        <v>2110</v>
      </c>
    </row>
    <row r="1607" spans="3:6" s="614" customFormat="1">
      <c r="E1607" s="725"/>
    </row>
    <row r="1608" spans="3:6" s="614" customFormat="1">
      <c r="C1608" s="614" t="s">
        <v>395</v>
      </c>
    </row>
    <row r="1609" spans="3:6" s="614" customFormat="1">
      <c r="D1609" s="614" t="s">
        <v>1770</v>
      </c>
      <c r="E1609" s="953">
        <f>IF(decCh1Prod1Slot3Active=1,decCh1Prod1Slot3CustPrice,0)</f>
        <v>0</v>
      </c>
      <c r="F1609" s="652" t="s">
        <v>2111</v>
      </c>
    </row>
    <row r="1610" spans="3:6" s="614" customFormat="1">
      <c r="D1610" s="614" t="s">
        <v>5194</v>
      </c>
      <c r="E1610" s="953">
        <f>calcCh1Prod1Slot3CustPrice*(1+VLOOKUP(nmProd1,dataCustomerMargin,2,FALSE))</f>
        <v>0</v>
      </c>
      <c r="F1610" s="614" t="s">
        <v>6064</v>
      </c>
    </row>
    <row r="1611" spans="3:6" s="614" customFormat="1">
      <c r="D1611" s="614" t="s">
        <v>5914</v>
      </c>
      <c r="E1611" s="724" t="str">
        <f>decCh1Prod1Slot3Promo1</f>
        <v>No Promotion</v>
      </c>
    </row>
    <row r="1612" spans="3:6" s="614" customFormat="1">
      <c r="D1612" s="614" t="s">
        <v>5912</v>
      </c>
      <c r="E1612" s="954">
        <f>IF(calcCh1Prod1Slot3Active=1,IF(xxSim0Tool1=1,decCh1Prod1Slot3Promo1ShareFrc,(MMCh1Prod1Seg1Slot3UnitsSoldPromo1+MMCh1Prod1Seg2Slot3UnitsSoldPromo1+MMCh1Prod1Seg3Slot3UnitsSoldPromo1+MMCh1Prod1Seg4Slot3UnitsSoldPromo1)/(MMCh1Prod1Seg1Slot3UnitsSold+MMCh1Prod1Seg2Slot3UnitsSold+MMCh1Prod1Seg3Slot3UnitsSold+MMCh1Prod1Seg4Slot3UnitsSold)),0)</f>
        <v>0</v>
      </c>
    </row>
    <row r="1613" spans="3:6" s="614" customFormat="1">
      <c r="D1613" s="614" t="s">
        <v>5913</v>
      </c>
      <c r="E1613" s="953">
        <f>calcCh1Prod1Slot3CustPrice*(1-VLOOKUP(calcCh1Prod1Slot3Promo1Plan,dataPromoPlanDisc,2,FALSE))</f>
        <v>0</v>
      </c>
      <c r="F1613" s="614" t="s">
        <v>5927</v>
      </c>
    </row>
    <row r="1614" spans="3:6" s="614" customFormat="1">
      <c r="D1614" s="614" t="s">
        <v>5915</v>
      </c>
      <c r="E1614" s="724" t="str">
        <f>decCh1Prod1Slot3Promo2</f>
        <v>No Promotion</v>
      </c>
    </row>
    <row r="1615" spans="3:6" s="614" customFormat="1">
      <c r="D1615" s="614" t="s">
        <v>5916</v>
      </c>
      <c r="E1615" s="954">
        <f>IF(calcCh1Prod1Slot3Active=1,IF(xxSim0Tool1=1,decCh1Prod1Slot3Promo1ShareFrc,(MMCh1Prod1Seg1Slot3UnitsSoldPromo2+MMCh1Prod1Seg2Slot3UnitsSoldPromo2+MMCh1Prod1Seg3Slot3UnitsSoldPromo2+MMCh1Prod1Seg4Slot3UnitsSoldPromo2)/(MMCh1Prod1Seg1Slot3UnitsSold+MMCh1Prod1Seg2Slot3UnitsSold+MMCh1Prod1Seg3Slot3UnitsSold+MMCh1Prod1Seg4Slot3UnitsSold)),0)</f>
        <v>0</v>
      </c>
    </row>
    <row r="1616" spans="3:6" s="614" customFormat="1">
      <c r="D1616" s="614" t="s">
        <v>5917</v>
      </c>
      <c r="E1616" s="953">
        <f>calcCh1Prod1Slot3CustPrice*(1-VLOOKUP(calcCh1Prod1Slot3Promo2Plan,dataPromoPlanDisc,2,FALSE))</f>
        <v>0</v>
      </c>
      <c r="F1616" s="614" t="s">
        <v>5929</v>
      </c>
    </row>
    <row r="1617" spans="2:6" s="614" customFormat="1">
      <c r="D1617" s="614" t="s">
        <v>1821</v>
      </c>
      <c r="E1617" s="955">
        <f>calcCh1Prod1Slot3Promo1CustPrice*calcCh1Prod1Slot3Promo1PlanShare+calcCh1Prod1Slot3Promo2CustPrice*calcCh1Prod1Slot3Promo2PlanShare+((1-calcCh1Prod1Slot3Promo1PlanShare-calcCh1Prod1Slot3Promo2PlanShare)*calcCh1Prod1Slot3CustPrice)</f>
        <v>0</v>
      </c>
      <c r="F1617" s="614" t="s">
        <v>2112</v>
      </c>
    </row>
    <row r="1618" spans="2:6" s="614" customFormat="1">
      <c r="E1618" s="725"/>
    </row>
    <row r="1619" spans="2:6" s="614" customFormat="1">
      <c r="B1619" s="614" t="s">
        <v>238</v>
      </c>
    </row>
    <row r="1620" spans="2:6" s="614" customFormat="1">
      <c r="C1620" s="614" t="s">
        <v>379</v>
      </c>
    </row>
    <row r="1621" spans="2:6" s="614" customFormat="1">
      <c r="D1621" s="614" t="s">
        <v>1770</v>
      </c>
      <c r="E1621" s="953">
        <f>IF(decCh1Prod2Slot1Active=1,decCh1Prod2Slot1CustPrice,0)</f>
        <v>7.9</v>
      </c>
      <c r="F1621" s="652" t="s">
        <v>2113</v>
      </c>
    </row>
    <row r="1622" spans="2:6" s="614" customFormat="1">
      <c r="D1622" s="614" t="s">
        <v>5194</v>
      </c>
      <c r="E1622" s="953">
        <f>calcCh1Prod2Slot1CustPrice*(1+VLOOKUP(nmProd2,dataCustomerMargin,2,FALSE))</f>
        <v>9.48</v>
      </c>
      <c r="F1622" s="614" t="s">
        <v>6065</v>
      </c>
    </row>
    <row r="1623" spans="2:6" s="614" customFormat="1">
      <c r="D1623" s="614" t="s">
        <v>5914</v>
      </c>
      <c r="E1623" s="724" t="str">
        <f>decCh1Prod2Slot1Promo1</f>
        <v>TPR 33%</v>
      </c>
    </row>
    <row r="1624" spans="2:6" s="614" customFormat="1">
      <c r="D1624" s="614" t="s">
        <v>5912</v>
      </c>
      <c r="E1624" s="954">
        <f>IF(calcCh1Prod2Slot1Active=1,IF(xxSim0Tool1=1,decCh1Prod2Slot1Promo1ShareFrc,(MMCh1Prod2Seg1Slot1UnitsSoldPromo1+MMCh1Prod2Seg2Slot1UnitsSoldPromo1+MMCh1Prod2Seg3Slot1UnitsSoldPromo1+MMCh1Prod2Seg4Slot1UnitsSoldPromo1)/(MMCh1Prod2Seg1Slot1UnitsSold+MMCh1Prod2Seg2Slot1UnitsSold+MMCh1Prod2Seg3Slot1UnitsSold+MMCh1Prod2Seg4Slot1UnitsSold)),0)</f>
        <v>0.1</v>
      </c>
    </row>
    <row r="1625" spans="2:6" s="614" customFormat="1">
      <c r="D1625" s="614" t="s">
        <v>5913</v>
      </c>
      <c r="E1625" s="953">
        <f>calcCh1Prod2Slot1CustPrice*(1-VLOOKUP(calcCh1Prod2Slot1Promo1Plan,dataPromoPlanDisc,2,FALSE))</f>
        <v>5.2929999999999993</v>
      </c>
      <c r="F1625" s="614" t="s">
        <v>5955</v>
      </c>
    </row>
    <row r="1626" spans="2:6" s="614" customFormat="1">
      <c r="D1626" s="614" t="s">
        <v>5915</v>
      </c>
      <c r="E1626" s="724" t="str">
        <f>decCh1Prod2Slot1Promo2</f>
        <v>No Promotion</v>
      </c>
    </row>
    <row r="1627" spans="2:6" s="614" customFormat="1">
      <c r="D1627" s="614" t="s">
        <v>5916</v>
      </c>
      <c r="E1627" s="954">
        <f>IF(calcCh1Prod2Slot1Active=1,IF(xxSim0Tool1=1,decCh1Prod2Slot1Promo1ShareFrc,(MMCh1Prod2Seg1Slot1UnitsSoldPromo2+MMCh1Prod2Seg2Slot1UnitsSoldPromo2+MMCh1Prod2Seg3Slot1UnitsSoldPromo2+MMCh1Prod2Seg4Slot1UnitsSoldPromo2)/(MMCh1Prod2Seg1Slot1UnitsSold+MMCh1Prod2Seg2Slot1UnitsSold+MMCh1Prod2Seg3Slot1UnitsSold+MMCh1Prod2Seg4Slot1UnitsSold)),0)</f>
        <v>0.1</v>
      </c>
    </row>
    <row r="1628" spans="2:6" s="614" customFormat="1">
      <c r="D1628" s="614" t="s">
        <v>5917</v>
      </c>
      <c r="E1628" s="953">
        <f>calcCh1Prod2Slot1CustPrice*(1-VLOOKUP(calcCh1Prod2Slot1Promo2Plan,dataPromoPlanDisc,2,FALSE))</f>
        <v>7.9</v>
      </c>
      <c r="F1628" s="614" t="s">
        <v>5957</v>
      </c>
    </row>
    <row r="1629" spans="2:6" s="614" customFormat="1">
      <c r="D1629" s="614" t="s">
        <v>1821</v>
      </c>
      <c r="E1629" s="955">
        <f>calcCh1Prod2Slot1Promo1CustPrice*calcCh1Prod2Slot1Promo1PlanShare+calcCh1Prod2Slot1Promo2CustPrice*calcCh1Prod2Slot1Promo2PlanShare+((1-calcCh1Prod2Slot1Promo1PlanShare-calcCh1Prod2Slot1Promo2PlanShare)*calcCh1Prod2Slot1CustPrice)</f>
        <v>7.6393000000000004</v>
      </c>
      <c r="F1629" s="614" t="s">
        <v>2114</v>
      </c>
    </row>
    <row r="1630" spans="2:6" s="614" customFormat="1">
      <c r="E1630" s="725"/>
    </row>
    <row r="1631" spans="2:6" s="614" customFormat="1">
      <c r="C1631" s="614" t="s">
        <v>394</v>
      </c>
    </row>
    <row r="1632" spans="2:6" s="614" customFormat="1">
      <c r="D1632" s="614" t="s">
        <v>1770</v>
      </c>
      <c r="E1632" s="953">
        <f>IF(decCh1Prod2Slot2Active=1,decCh1Prod2Slot2CustPrice,0)</f>
        <v>7.55</v>
      </c>
      <c r="F1632" s="652" t="s">
        <v>2115</v>
      </c>
    </row>
    <row r="1633" spans="3:6" s="614" customFormat="1">
      <c r="D1633" s="614" t="s">
        <v>5194</v>
      </c>
      <c r="E1633" s="953">
        <f>calcCh1Prod2Slot2CustPrice*(1+VLOOKUP(nmProd2,dataCustomerMargin,2,FALSE))</f>
        <v>9.0599999999999987</v>
      </c>
      <c r="F1633" s="614" t="s">
        <v>6066</v>
      </c>
    </row>
    <row r="1634" spans="3:6" s="614" customFormat="1">
      <c r="D1634" s="614" t="s">
        <v>5914</v>
      </c>
      <c r="E1634" s="724" t="str">
        <f>decCh1Prod2Slot2Promo1</f>
        <v>TPR 20%</v>
      </c>
    </row>
    <row r="1635" spans="3:6" s="614" customFormat="1">
      <c r="D1635" s="614" t="s">
        <v>5912</v>
      </c>
      <c r="E1635" s="954">
        <f>IF(calcCh1Prod2Slot2Active=1,IF(xxSim0Tool1=1,decCh1Prod2Slot2Promo1ShareFrc,(MMCh1Prod2Seg1Slot2UnitsSoldPromo1+MMCh1Prod2Seg2Slot2UnitsSoldPromo1+MMCh1Prod2Seg3Slot2UnitsSoldPromo1+MMCh1Prod2Seg4Slot2UnitsSoldPromo1)/(MMCh1Prod2Seg1Slot2UnitsSold+MMCh1Prod2Seg2Slot2UnitsSold+MMCh1Prod2Seg3Slot2UnitsSold+MMCh1Prod2Seg4Slot2UnitsSold)),0)</f>
        <v>0.3</v>
      </c>
    </row>
    <row r="1636" spans="3:6" s="614" customFormat="1">
      <c r="D1636" s="614" t="s">
        <v>5913</v>
      </c>
      <c r="E1636" s="953">
        <f>calcCh1Prod2Slot2CustPrice*(1-VLOOKUP(calcCh1Prod2Slot2Promo1Plan,dataPromoPlanDisc,2,FALSE))</f>
        <v>6.04</v>
      </c>
      <c r="F1636" s="614" t="s">
        <v>5959</v>
      </c>
    </row>
    <row r="1637" spans="3:6" s="614" customFormat="1">
      <c r="D1637" s="614" t="s">
        <v>5915</v>
      </c>
      <c r="E1637" s="724" t="str">
        <f>decCh1Prod2Slot2Promo2</f>
        <v>3/2</v>
      </c>
    </row>
    <row r="1638" spans="3:6" s="614" customFormat="1">
      <c r="D1638" s="614" t="s">
        <v>5916</v>
      </c>
      <c r="E1638" s="954">
        <f>IF(calcCh1Prod2Slot2Active=1,IF(xxSim0Tool1=1,decCh1Prod2Slot2Promo1ShareFrc,(MMCh1Prod2Seg1Slot2UnitsSoldPromo2+MMCh1Prod2Seg2Slot2UnitsSoldPromo2+MMCh1Prod2Seg3Slot2UnitsSoldPromo2+MMCh1Prod2Seg4Slot2UnitsSoldPromo2)/(MMCh1Prod2Seg1Slot2UnitsSold+MMCh1Prod2Seg2Slot2UnitsSold+MMCh1Prod2Seg3Slot2UnitsSold+MMCh1Prod2Seg4Slot2UnitsSold)),0)</f>
        <v>0.3</v>
      </c>
    </row>
    <row r="1639" spans="3:6" s="614" customFormat="1">
      <c r="D1639" s="614" t="s">
        <v>5917</v>
      </c>
      <c r="E1639" s="953">
        <f>calcCh1Prod2Slot2CustPrice*(1-VLOOKUP(calcCh1Prod2Slot2Promo2Plan,dataPromoPlanDisc,2,FALSE))</f>
        <v>5.0584999999999996</v>
      </c>
      <c r="F1639" s="614" t="s">
        <v>5961</v>
      </c>
    </row>
    <row r="1640" spans="3:6" s="614" customFormat="1">
      <c r="D1640" s="614" t="s">
        <v>1821</v>
      </c>
      <c r="E1640" s="955">
        <f>calcCh1Prod2Slot2Promo1CustPrice*calcCh1Prod2Slot2Promo1PlanShare+calcCh1Prod2Slot2Promo2CustPrice*calcCh1Prod2Slot2Promo2PlanShare+((1-calcCh1Prod2Slot2Promo1PlanShare-calcCh1Prod2Slot2Promo2PlanShare)*calcCh1Prod2Slot2CustPrice)</f>
        <v>6.3495499999999989</v>
      </c>
      <c r="F1640" s="614" t="s">
        <v>2116</v>
      </c>
    </row>
    <row r="1641" spans="3:6" s="614" customFormat="1">
      <c r="E1641" s="725"/>
    </row>
    <row r="1642" spans="3:6" s="614" customFormat="1">
      <c r="C1642" s="614" t="s">
        <v>395</v>
      </c>
    </row>
    <row r="1643" spans="3:6" s="614" customFormat="1">
      <c r="D1643" s="614" t="s">
        <v>1770</v>
      </c>
      <c r="E1643" s="953">
        <f>IF(decCh1Prod2Slot3Active=1,decCh1Prod2Slot3CustPrice,0)</f>
        <v>0</v>
      </c>
      <c r="F1643" s="652" t="s">
        <v>2117</v>
      </c>
    </row>
    <row r="1644" spans="3:6" s="614" customFormat="1">
      <c r="D1644" s="614" t="s">
        <v>5194</v>
      </c>
      <c r="E1644" s="953">
        <f>calcCh1Prod2Slot3CustPrice*(1+VLOOKUP(nmProd2,dataCustomerMargin,2,FALSE))</f>
        <v>0</v>
      </c>
      <c r="F1644" s="614" t="s">
        <v>6067</v>
      </c>
    </row>
    <row r="1645" spans="3:6" s="614" customFormat="1">
      <c r="D1645" s="614" t="s">
        <v>5914</v>
      </c>
      <c r="E1645" s="724" t="str">
        <f>decCh1Prod2Slot3Promo1</f>
        <v>No Promotion</v>
      </c>
    </row>
    <row r="1646" spans="3:6" s="614" customFormat="1">
      <c r="D1646" s="614" t="s">
        <v>5912</v>
      </c>
      <c r="E1646" s="954">
        <f>IF(calcCh1Prod2Slot3Active=1,IF(xxSim0Tool1=1,decCh1Prod2Slot3Promo1ShareFrc,(MMCh1Prod2Seg1Slot3UnitsSoldPromo1+MMCh1Prod2Seg2Slot3UnitsSoldPromo1+MMCh1Prod2Seg3Slot3UnitsSoldPromo1+MMCh1Prod2Seg4Slot3UnitsSoldPromo1)/(MMCh1Prod2Seg1Slot3UnitsSold+MMCh1Prod2Seg2Slot3UnitsSold+MMCh1Prod2Seg3Slot3UnitsSold+MMCh1Prod2Seg4Slot3UnitsSold)),0)</f>
        <v>0</v>
      </c>
    </row>
    <row r="1647" spans="3:6" s="614" customFormat="1">
      <c r="D1647" s="614" t="s">
        <v>5913</v>
      </c>
      <c r="E1647" s="953">
        <f>calcCh1Prod2Slot3CustPrice*(1-VLOOKUP(calcCh1Prod2Slot3Promo1Plan,dataPromoPlanDisc,2,FALSE))</f>
        <v>0</v>
      </c>
      <c r="F1647" s="614" t="s">
        <v>5963</v>
      </c>
    </row>
    <row r="1648" spans="3:6" s="614" customFormat="1">
      <c r="D1648" s="614" t="s">
        <v>5915</v>
      </c>
      <c r="E1648" s="724" t="str">
        <f>decCh1Prod2Slot3Promo2</f>
        <v>No Promotion</v>
      </c>
    </row>
    <row r="1649" spans="2:6" s="614" customFormat="1">
      <c r="D1649" s="614" t="s">
        <v>5916</v>
      </c>
      <c r="E1649" s="954">
        <f>IF(calcCh1Prod2Slot3Active=1,IF(xxSim0Tool1=1,decCh1Prod2Slot3Promo1ShareFrc,(MMCh1Prod2Seg1Slot3UnitsSoldPromo2+MMCh1Prod2Seg2Slot3UnitsSoldPromo2+MMCh1Prod2Seg3Slot3UnitsSoldPromo2+MMCh1Prod2Seg4Slot3UnitsSoldPromo2)/(MMCh1Prod2Seg1Slot3UnitsSold+MMCh1Prod2Seg2Slot3UnitsSold+MMCh1Prod2Seg3Slot3UnitsSold+MMCh1Prod2Seg4Slot3UnitsSold)),0)</f>
        <v>0</v>
      </c>
    </row>
    <row r="1650" spans="2:6" s="614" customFormat="1">
      <c r="D1650" s="614" t="s">
        <v>5917</v>
      </c>
      <c r="E1650" s="953">
        <f>calcCh1Prod2Slot3CustPrice*(1-VLOOKUP(calcCh1Prod2Slot3Promo2Plan,dataPromoPlanDisc,2,FALSE))</f>
        <v>0</v>
      </c>
      <c r="F1650" s="614" t="s">
        <v>5965</v>
      </c>
    </row>
    <row r="1651" spans="2:6" s="614" customFormat="1">
      <c r="D1651" s="614" t="s">
        <v>1821</v>
      </c>
      <c r="E1651" s="955">
        <f>calcCh1Prod2Slot3Promo1CustPrice*calcCh1Prod2Slot3Promo1PlanShare+calcCh1Prod2Slot3Promo2CustPrice*calcCh1Prod2Slot3Promo2PlanShare+((1-calcCh1Prod2Slot3Promo1PlanShare-calcCh1Prod2Slot3Promo2PlanShare)*calcCh1Prod2Slot3CustPrice)</f>
        <v>0</v>
      </c>
      <c r="F1651" s="614" t="s">
        <v>2118</v>
      </c>
    </row>
    <row r="1652" spans="2:6" s="614" customFormat="1">
      <c r="E1652" s="725"/>
    </row>
    <row r="1653" spans="2:6" s="614" customFormat="1">
      <c r="B1653" s="614" t="s">
        <v>239</v>
      </c>
    </row>
    <row r="1654" spans="2:6" s="614" customFormat="1">
      <c r="C1654" s="614" t="s">
        <v>379</v>
      </c>
    </row>
    <row r="1655" spans="2:6" s="614" customFormat="1">
      <c r="D1655" s="614" t="s">
        <v>1770</v>
      </c>
      <c r="E1655" s="953">
        <f>IF(decCh1Prod3Slot1Active=1,decCh1Prod3Slot1CustPrice,0)</f>
        <v>7.6</v>
      </c>
      <c r="F1655" s="652" t="s">
        <v>2119</v>
      </c>
    </row>
    <row r="1656" spans="2:6" s="614" customFormat="1">
      <c r="D1656" s="614" t="s">
        <v>5194</v>
      </c>
      <c r="E1656" s="953">
        <f>calcCh1Prod3Slot1CustPrice*(1+VLOOKUP(nmProd3,dataCustomerMargin,2,FALSE))</f>
        <v>9.4239999999999995</v>
      </c>
      <c r="F1656" s="614" t="s">
        <v>6068</v>
      </c>
    </row>
    <row r="1657" spans="2:6" s="614" customFormat="1">
      <c r="D1657" s="614" t="s">
        <v>5914</v>
      </c>
      <c r="E1657" s="724" t="str">
        <f>decCh1Prod3Slot1Promo1</f>
        <v>TPR 33%</v>
      </c>
    </row>
    <row r="1658" spans="2:6" s="614" customFormat="1">
      <c r="D1658" s="614" t="s">
        <v>5912</v>
      </c>
      <c r="E1658" s="954">
        <f>IF(calcCh1Prod3Slot1Active=1,IF(xxSim0Tool1=1,decCh1Prod3Slot1Promo1ShareFrc,(MMCh1Prod3Seg1Slot1UnitsSoldPromo1+MMCh1Prod3Seg2Slot1UnitsSoldPromo1+MMCh1Prod3Seg3Slot1UnitsSoldPromo1+MMCh1Prod3Seg4Slot1UnitsSoldPromo1)/(MMCh1Prod3Seg1Slot1UnitsSold+MMCh1Prod3Seg2Slot1UnitsSold+MMCh1Prod3Seg3Slot1UnitsSold+MMCh1Prod3Seg4Slot1UnitsSold)),0)</f>
        <v>0.1</v>
      </c>
    </row>
    <row r="1659" spans="2:6" s="614" customFormat="1">
      <c r="D1659" s="614" t="s">
        <v>5913</v>
      </c>
      <c r="E1659" s="953">
        <f>calcCh1Prod3Slot1CustPrice*(1-VLOOKUP(calcCh1Prod3Slot1Promo1Plan,dataPromoPlanDisc,2,FALSE))</f>
        <v>5.0919999999999996</v>
      </c>
      <c r="F1659" s="614" t="s">
        <v>5943</v>
      </c>
    </row>
    <row r="1660" spans="2:6" s="614" customFormat="1">
      <c r="D1660" s="614" t="s">
        <v>5915</v>
      </c>
      <c r="E1660" s="724" t="str">
        <f>decCh1Prod3Slot1Promo2</f>
        <v>No Promotion</v>
      </c>
    </row>
    <row r="1661" spans="2:6" s="614" customFormat="1">
      <c r="D1661" s="614" t="s">
        <v>5916</v>
      </c>
      <c r="E1661" s="954">
        <f>IF(calcCh1Prod3Slot1Active=1,IF(xxSim0Tool1=1,decCh1Prod3Slot1Promo1ShareFrc,(MMCh1Prod3Seg1Slot1UnitsSoldPromo2+MMCh1Prod3Seg2Slot1UnitsSoldPromo2+MMCh1Prod3Seg3Slot1UnitsSoldPromo2+MMCh1Prod3Seg4Slot1UnitsSoldPromo2)/(MMCh1Prod3Seg1Slot1UnitsSold+MMCh1Prod3Seg2Slot1UnitsSold+MMCh1Prod3Seg3Slot1UnitsSold+MMCh1Prod3Seg4Slot1UnitsSold)),0)</f>
        <v>0.1</v>
      </c>
    </row>
    <row r="1662" spans="2:6" s="614" customFormat="1">
      <c r="D1662" s="614" t="s">
        <v>5917</v>
      </c>
      <c r="E1662" s="953">
        <f>calcCh1Prod3Slot1CustPrice*(1-VLOOKUP(calcCh1Prod3Slot1Promo2Plan,dataPromoPlanDisc,2,FALSE))</f>
        <v>7.6</v>
      </c>
      <c r="F1662" s="614" t="s">
        <v>5945</v>
      </c>
    </row>
    <row r="1663" spans="2:6" s="614" customFormat="1">
      <c r="D1663" s="614" t="s">
        <v>1821</v>
      </c>
      <c r="E1663" s="955">
        <f>calcCh1Prod3Slot1Promo1CustPrice*calcCh1Prod3Slot1Promo1PlanShare+calcCh1Prod3Slot1Promo2CustPrice*calcCh1Prod3Slot1Promo2PlanShare+((1-calcCh1Prod3Slot1Promo1PlanShare-calcCh1Prod3Slot1Promo2PlanShare)*calcCh1Prod3Slot1CustPrice)</f>
        <v>7.3491999999999997</v>
      </c>
      <c r="F1663" s="614" t="s">
        <v>2120</v>
      </c>
    </row>
    <row r="1664" spans="2:6" s="614" customFormat="1">
      <c r="E1664" s="725"/>
    </row>
    <row r="1665" spans="3:6" s="614" customFormat="1">
      <c r="C1665" s="614" t="s">
        <v>394</v>
      </c>
    </row>
    <row r="1666" spans="3:6" s="614" customFormat="1">
      <c r="D1666" s="614" t="s">
        <v>1770</v>
      </c>
      <c r="E1666" s="953">
        <f>IF(decCh1Prod3Slot2Active=1,decCh1Prod3Slot2CustPrice,0)</f>
        <v>7.68</v>
      </c>
      <c r="F1666" s="652" t="s">
        <v>2121</v>
      </c>
    </row>
    <row r="1667" spans="3:6" s="614" customFormat="1">
      <c r="D1667" s="614" t="s">
        <v>5194</v>
      </c>
      <c r="E1667" s="953">
        <f>calcCh1Prod3Slot2CustPrice*(1+VLOOKUP(nmProd3,dataCustomerMargin,2,FALSE))</f>
        <v>9.5231999999999992</v>
      </c>
      <c r="F1667" s="614" t="s">
        <v>6069</v>
      </c>
    </row>
    <row r="1668" spans="3:6" s="614" customFormat="1">
      <c r="D1668" s="614" t="s">
        <v>5914</v>
      </c>
      <c r="E1668" s="724" t="str">
        <f>decCh1Prod3Slot2Promo1</f>
        <v>TPR 20%</v>
      </c>
    </row>
    <row r="1669" spans="3:6" s="614" customFormat="1">
      <c r="D1669" s="614" t="s">
        <v>5912</v>
      </c>
      <c r="E1669" s="954">
        <f>IF(calcCh1Prod3Slot2Active=1,IF(xxSim0Tool1=1,decCh1Prod3Slot2Promo1ShareFrc,(MMCh1Prod3Seg1Slot2UnitsSoldPromo1+MMCh1Prod3Seg2Slot2UnitsSoldPromo1+MMCh1Prod3Seg3Slot2UnitsSoldPromo1+MMCh1Prod3Seg4Slot2UnitsSoldPromo1)/(MMCh1Prod3Seg1Slot2UnitsSold+MMCh1Prod3Seg2Slot2UnitsSold+MMCh1Prod3Seg3Slot2UnitsSold+MMCh1Prod3Seg4Slot2UnitsSold)),0)</f>
        <v>0.4</v>
      </c>
    </row>
    <row r="1670" spans="3:6" s="614" customFormat="1">
      <c r="D1670" s="614" t="s">
        <v>5913</v>
      </c>
      <c r="E1670" s="953">
        <f>calcCh1Prod3Slot2CustPrice*(1-VLOOKUP(calcCh1Prod3Slot2Promo1Plan,dataPromoPlanDisc,2,FALSE))</f>
        <v>6.1440000000000001</v>
      </c>
      <c r="F1670" s="614" t="s">
        <v>5947</v>
      </c>
    </row>
    <row r="1671" spans="3:6" s="614" customFormat="1">
      <c r="D1671" s="614" t="s">
        <v>5915</v>
      </c>
      <c r="E1671" s="724" t="str">
        <f>decCh1Prod3Slot2Promo2</f>
        <v>No Promotion</v>
      </c>
    </row>
    <row r="1672" spans="3:6" s="614" customFormat="1">
      <c r="D1672" s="614" t="s">
        <v>5916</v>
      </c>
      <c r="E1672" s="954">
        <f>IF(calcCh1Prod3Slot2Active=1,IF(xxSim0Tool1=1,decCh1Prod3Slot2Promo1ShareFrc,(MMCh1Prod3Seg1Slot2UnitsSoldPromo2+MMCh1Prod3Seg2Slot2UnitsSoldPromo2+MMCh1Prod3Seg3Slot2UnitsSoldPromo2+MMCh1Prod3Seg4Slot2UnitsSoldPromo2)/(MMCh1Prod3Seg1Slot2UnitsSold+MMCh1Prod3Seg2Slot2UnitsSold+MMCh1Prod3Seg3Slot2UnitsSold+MMCh1Prod3Seg4Slot2UnitsSold)),0)</f>
        <v>0.4</v>
      </c>
    </row>
    <row r="1673" spans="3:6" s="614" customFormat="1">
      <c r="D1673" s="614" t="s">
        <v>5917</v>
      </c>
      <c r="E1673" s="953">
        <f>calcCh1Prod3Slot2CustPrice*(1-VLOOKUP(calcCh1Prod3Slot2Promo2Plan,dataPromoPlanDisc,2,FALSE))</f>
        <v>7.68</v>
      </c>
      <c r="F1673" s="614" t="s">
        <v>5949</v>
      </c>
    </row>
    <row r="1674" spans="3:6" s="614" customFormat="1">
      <c r="D1674" s="614" t="s">
        <v>1821</v>
      </c>
      <c r="E1674" s="955">
        <f>calcCh1Prod3Slot2Promo1CustPrice*calcCh1Prod3Slot2Promo1PlanShare+calcCh1Prod3Slot2Promo2CustPrice*calcCh1Prod3Slot2Promo2PlanShare+((1-calcCh1Prod3Slot2Promo1PlanShare-calcCh1Prod3Slot2Promo2PlanShare)*calcCh1Prod3Slot2CustPrice)</f>
        <v>7.0655999999999999</v>
      </c>
      <c r="F1674" s="614" t="s">
        <v>2122</v>
      </c>
    </row>
    <row r="1675" spans="3:6" s="614" customFormat="1">
      <c r="E1675" s="725"/>
    </row>
    <row r="1676" spans="3:6" s="614" customFormat="1">
      <c r="C1676" s="614" t="s">
        <v>395</v>
      </c>
    </row>
    <row r="1677" spans="3:6" s="614" customFormat="1">
      <c r="D1677" s="614" t="s">
        <v>1770</v>
      </c>
      <c r="E1677" s="953">
        <f>IF(decCh1Prod3Slot3Active=1,decCh1Prod3Slot3CustPrice,0)</f>
        <v>0</v>
      </c>
      <c r="F1677" s="652" t="s">
        <v>2123</v>
      </c>
    </row>
    <row r="1678" spans="3:6" s="614" customFormat="1">
      <c r="D1678" s="614" t="s">
        <v>5194</v>
      </c>
      <c r="E1678" s="953">
        <f>calcCh1Prod3Slot3CustPrice*(1+VLOOKUP(nmProd3,dataCustomerMargin,2,FALSE))</f>
        <v>0</v>
      </c>
      <c r="F1678" s="614" t="s">
        <v>6070</v>
      </c>
    </row>
    <row r="1679" spans="3:6" s="614" customFormat="1">
      <c r="D1679" s="614" t="s">
        <v>5914</v>
      </c>
      <c r="E1679" s="724" t="str">
        <f>decCh1Prod3Slot3Promo1</f>
        <v>No Promotion</v>
      </c>
    </row>
    <row r="1680" spans="3:6" s="614" customFormat="1">
      <c r="D1680" s="614" t="s">
        <v>5912</v>
      </c>
      <c r="E1680" s="954">
        <f>IF(calcCh1Prod3Slot3Active=1,IF(xxSim0Tool1=1,decCh1Prod3Slot3Promo1ShareFrc,(MMCh1Prod3Seg1Slot3UnitsSoldPromo1+MMCh1Prod3Seg2Slot3UnitsSoldPromo1+MMCh1Prod3Seg3Slot3UnitsSoldPromo1+MMCh1Prod3Seg4Slot3UnitsSoldPromo1)/(MMCh1Prod3Seg1Slot3UnitsSold+MMCh1Prod3Seg2Slot3UnitsSold+MMCh1Prod3Seg3Slot3UnitsSold+MMCh1Prod3Seg4Slot3UnitsSold)),0)</f>
        <v>0</v>
      </c>
    </row>
    <row r="1681" spans="2:6" s="614" customFormat="1">
      <c r="D1681" s="614" t="s">
        <v>5913</v>
      </c>
      <c r="E1681" s="953">
        <f>calcCh1Prod3Slot3CustPrice*(1-VLOOKUP(calcCh1Prod3Slot3Promo1Plan,dataPromoPlanDisc,2,FALSE))</f>
        <v>0</v>
      </c>
      <c r="F1681" s="614" t="s">
        <v>5951</v>
      </c>
    </row>
    <row r="1682" spans="2:6" s="614" customFormat="1">
      <c r="D1682" s="614" t="s">
        <v>5915</v>
      </c>
      <c r="E1682" s="724" t="str">
        <f>decCh1Prod3Slot3Promo2</f>
        <v>No Promotion</v>
      </c>
    </row>
    <row r="1683" spans="2:6" s="614" customFormat="1">
      <c r="D1683" s="614" t="s">
        <v>5916</v>
      </c>
      <c r="E1683" s="954">
        <f>IF(calcCh1Prod3Slot3Active=1,IF(xxSim0Tool1=1,decCh1Prod3Slot3Promo1ShareFrc,(MMCh1Prod3Seg1Slot3UnitsSoldPromo2+MMCh1Prod3Seg2Slot3UnitsSoldPromo2+MMCh1Prod3Seg3Slot3UnitsSoldPromo2+MMCh1Prod3Seg4Slot3UnitsSoldPromo2)/(MMCh1Prod3Seg1Slot3UnitsSold+MMCh1Prod3Seg2Slot3UnitsSold+MMCh1Prod3Seg3Slot3UnitsSold+MMCh1Prod3Seg4Slot3UnitsSold)),0)</f>
        <v>0</v>
      </c>
    </row>
    <row r="1684" spans="2:6" s="614" customFormat="1">
      <c r="D1684" s="614" t="s">
        <v>5917</v>
      </c>
      <c r="E1684" s="953">
        <f>calcCh1Prod3Slot3CustPrice*(1-VLOOKUP(calcCh1Prod3Slot3Promo2Plan,dataPromoPlanDisc,2,FALSE))</f>
        <v>0</v>
      </c>
      <c r="F1684" s="614" t="s">
        <v>5953</v>
      </c>
    </row>
    <row r="1685" spans="2:6" s="614" customFormat="1">
      <c r="D1685" s="614" t="s">
        <v>1821</v>
      </c>
      <c r="E1685" s="955">
        <f>calcCh1Prod3Slot3Promo1CustPrice*calcCh1Prod3Slot3Promo1PlanShare+calcCh1Prod3Slot3Promo2CustPrice*calcCh1Prod3Slot3Promo2PlanShare+((1-calcCh1Prod3Slot3Promo1PlanShare-calcCh1Prod3Slot3Promo2PlanShare)*calcCh1Prod3Slot3CustPrice)</f>
        <v>0</v>
      </c>
      <c r="F1685" s="614" t="s">
        <v>2124</v>
      </c>
    </row>
    <row r="1686" spans="2:6" s="614" customFormat="1">
      <c r="E1686" s="725"/>
    </row>
    <row r="1687" spans="2:6" s="614" customFormat="1">
      <c r="B1687" s="614" t="s">
        <v>240</v>
      </c>
    </row>
    <row r="1688" spans="2:6" s="614" customFormat="1">
      <c r="C1688" s="614" t="s">
        <v>379</v>
      </c>
    </row>
    <row r="1689" spans="2:6" s="614" customFormat="1">
      <c r="D1689" s="614" t="s">
        <v>1770</v>
      </c>
      <c r="E1689" s="953">
        <f>IF(decCh1Prod4Slot1Active=1,decCh1Prod4Slot1CustPrice,0)</f>
        <v>0</v>
      </c>
      <c r="F1689" s="652" t="s">
        <v>2125</v>
      </c>
    </row>
    <row r="1690" spans="2:6" s="614" customFormat="1">
      <c r="D1690" s="614" t="s">
        <v>5194</v>
      </c>
      <c r="E1690" s="953">
        <f>calcCh1Prod4Slot1CustPrice*(1+VLOOKUP(nmProd4,dataCustomerMargin,2,FALSE))</f>
        <v>0</v>
      </c>
      <c r="F1690" s="614" t="s">
        <v>6071</v>
      </c>
    </row>
    <row r="1691" spans="2:6" s="614" customFormat="1">
      <c r="D1691" s="614" t="s">
        <v>5914</v>
      </c>
      <c r="E1691" s="724" t="str">
        <f>decCh1Prod4Slot1Promo1</f>
        <v>No Promotion</v>
      </c>
    </row>
    <row r="1692" spans="2:6" s="614" customFormat="1">
      <c r="D1692" s="614" t="s">
        <v>5912</v>
      </c>
      <c r="E1692" s="954">
        <f>IF(calcCh1Prod4Slot1Active=1,IF(xxSim0Tool1=1,decCh1Prod4Slot1Promo1ShareFrc,(MMCh1Prod4Seg1Slot1UnitsSoldPromo1+MMCh1Prod4Seg2Slot1UnitsSoldPromo1+MMCh1Prod4Seg3Slot1UnitsSoldPromo1+MMCh1Prod4Seg4Slot1UnitsSoldPromo1)/(MMCh1Prod4Seg1Slot1UnitsSold+MMCh1Prod4Seg2Slot1UnitsSold+MMCh1Prod4Seg3Slot1UnitsSold+MMCh1Prod4Seg4Slot1UnitsSold)),0)</f>
        <v>0</v>
      </c>
    </row>
    <row r="1693" spans="2:6" s="614" customFormat="1">
      <c r="D1693" s="614" t="s">
        <v>5913</v>
      </c>
      <c r="E1693" s="953">
        <f>calcCh1Prod4Slot1CustPrice*(1-VLOOKUP(calcCh1Prod4Slot1Promo1Plan,dataPromoPlanDisc,2,FALSE))</f>
        <v>0</v>
      </c>
      <c r="F1693" s="614" t="s">
        <v>5931</v>
      </c>
    </row>
    <row r="1694" spans="2:6" s="614" customFormat="1">
      <c r="D1694" s="614" t="s">
        <v>5915</v>
      </c>
      <c r="E1694" s="724" t="str">
        <f>decCh1Prod4Slot1Promo2</f>
        <v>No Promotion</v>
      </c>
    </row>
    <row r="1695" spans="2:6" s="614" customFormat="1">
      <c r="D1695" s="614" t="s">
        <v>5916</v>
      </c>
      <c r="E1695" s="954">
        <f>IF(calcCh1Prod4Slot1Active=1,IF(xxSim0Tool1=1,decCh1Prod4Slot1Promo1ShareFrc,(MMCh1Prod4Seg1Slot1UnitsSoldPromo2+MMCh1Prod4Seg2Slot1UnitsSoldPromo2+MMCh1Prod4Seg3Slot1UnitsSoldPromo2+MMCh1Prod4Seg4Slot1UnitsSoldPromo2)/(MMCh1Prod4Seg1Slot1UnitsSold+MMCh1Prod4Seg2Slot1UnitsSold+MMCh1Prod4Seg3Slot1UnitsSold+MMCh1Prod4Seg4Slot1UnitsSold)),0)</f>
        <v>0</v>
      </c>
    </row>
    <row r="1696" spans="2:6" s="614" customFormat="1">
      <c r="D1696" s="614" t="s">
        <v>5917</v>
      </c>
      <c r="E1696" s="953">
        <f>calcCh1Prod4Slot1CustPrice*(1-VLOOKUP(calcCh1Prod4Slot1Promo2Plan,dataPromoPlanDisc,2,FALSE))</f>
        <v>0</v>
      </c>
      <c r="F1696" s="614" t="s">
        <v>5933</v>
      </c>
    </row>
    <row r="1697" spans="3:6" s="614" customFormat="1">
      <c r="D1697" s="614" t="s">
        <v>1821</v>
      </c>
      <c r="E1697" s="955">
        <f>calcCh1Prod4Slot1Promo1CustPrice*calcCh1Prod4Slot1Promo1PlanShare+calcCh1Prod4Slot1Promo2CustPrice*calcCh1Prod4Slot1Promo2PlanShare+((1-calcCh1Prod4Slot1Promo1PlanShare-calcCh1Prod4Slot1Promo2PlanShare)*calcCh1Prod4Slot1CustPrice)</f>
        <v>0</v>
      </c>
      <c r="F1697" s="614" t="s">
        <v>2126</v>
      </c>
    </row>
    <row r="1698" spans="3:6" s="614" customFormat="1">
      <c r="E1698" s="725"/>
    </row>
    <row r="1699" spans="3:6" s="614" customFormat="1">
      <c r="C1699" s="614" t="s">
        <v>394</v>
      </c>
    </row>
    <row r="1700" spans="3:6" s="614" customFormat="1">
      <c r="D1700" s="614" t="s">
        <v>1770</v>
      </c>
      <c r="E1700" s="953">
        <f>IF(decCh1Prod4Slot2Active=1,decCh1Prod4Slot2CustPrice,0)</f>
        <v>0</v>
      </c>
      <c r="F1700" s="652" t="s">
        <v>2127</v>
      </c>
    </row>
    <row r="1701" spans="3:6" s="614" customFormat="1">
      <c r="D1701" s="614" t="s">
        <v>5194</v>
      </c>
      <c r="E1701" s="953">
        <f>calcCh1Prod4Slot2CustPrice*(1+VLOOKUP(nmProd4,dataCustomerMargin,2,FALSE))</f>
        <v>0</v>
      </c>
      <c r="F1701" s="614" t="s">
        <v>6072</v>
      </c>
    </row>
    <row r="1702" spans="3:6" s="614" customFormat="1">
      <c r="D1702" s="614" t="s">
        <v>5914</v>
      </c>
      <c r="E1702" s="724" t="str">
        <f>decCh1Prod4Slot2Promo1</f>
        <v>No Promotion</v>
      </c>
    </row>
    <row r="1703" spans="3:6" s="614" customFormat="1">
      <c r="D1703" s="614" t="s">
        <v>5912</v>
      </c>
      <c r="E1703" s="954">
        <f>IF(calcCh1Prod4Slot2Active=1,IF(xxSim0Tool1=1,decCh1Prod4Slot2Promo1ShareFrc,(MMCh1Prod4Seg1Slot2UnitsSoldPromo1+MMCh1Prod4Seg2Slot2UnitsSoldPromo1+MMCh1Prod4Seg3Slot2UnitsSoldPromo1+MMCh1Prod4Seg4Slot2UnitsSoldPromo1)/(MMCh1Prod4Seg1Slot2UnitsSold+MMCh1Prod4Seg2Slot2UnitsSold+MMCh1Prod4Seg3Slot2UnitsSold+MMCh1Prod4Seg4Slot2UnitsSold)),0)</f>
        <v>0</v>
      </c>
    </row>
    <row r="1704" spans="3:6" s="614" customFormat="1">
      <c r="D1704" s="614" t="s">
        <v>5913</v>
      </c>
      <c r="E1704" s="953">
        <f>calcCh1Prod4Slot2CustPrice*(1-VLOOKUP(calcCh1Prod4Slot2Promo1Plan,dataPromoPlanDisc,2,FALSE))</f>
        <v>0</v>
      </c>
      <c r="F1704" s="614" t="s">
        <v>5935</v>
      </c>
    </row>
    <row r="1705" spans="3:6" s="614" customFormat="1">
      <c r="D1705" s="614" t="s">
        <v>5915</v>
      </c>
      <c r="E1705" s="724" t="str">
        <f>decCh1Prod4Slot2Promo2</f>
        <v>No Promotion</v>
      </c>
    </row>
    <row r="1706" spans="3:6" s="614" customFormat="1">
      <c r="D1706" s="614" t="s">
        <v>5916</v>
      </c>
      <c r="E1706" s="954">
        <f>IF(calcCh1Prod4Slot2Active=1,IF(xxSim0Tool1=1,decCh1Prod4Slot2Promo1ShareFrc,(MMCh1Prod4Seg1Slot2UnitsSoldPromo2+MMCh1Prod4Seg2Slot2UnitsSoldPromo2+MMCh1Prod4Seg3Slot2UnitsSoldPromo2+MMCh1Prod4Seg4Slot2UnitsSoldPromo2)/(MMCh1Prod4Seg1Slot2UnitsSold+MMCh1Prod4Seg2Slot2UnitsSold+MMCh1Prod4Seg3Slot2UnitsSold+MMCh1Prod4Seg4Slot2UnitsSold)),0)</f>
        <v>0</v>
      </c>
    </row>
    <row r="1707" spans="3:6" s="614" customFormat="1">
      <c r="D1707" s="614" t="s">
        <v>5917</v>
      </c>
      <c r="E1707" s="953">
        <f>calcCh1Prod4Slot2CustPrice*(1-VLOOKUP(calcCh1Prod4Slot2Promo2Plan,dataPromoPlanDisc,2,FALSE))</f>
        <v>0</v>
      </c>
      <c r="F1707" s="614" t="s">
        <v>5937</v>
      </c>
    </row>
    <row r="1708" spans="3:6" s="614" customFormat="1">
      <c r="D1708" s="614" t="s">
        <v>1821</v>
      </c>
      <c r="E1708" s="955">
        <f>calcCh1Prod4Slot2Promo1CustPrice*calcCh1Prod4Slot2Promo1PlanShare+calcCh1Prod4Slot2Promo2CustPrice*calcCh1Prod4Slot2Promo2PlanShare+((1-calcCh1Prod4Slot2Promo1PlanShare-calcCh1Prod4Slot2Promo2PlanShare)*calcCh1Prod4Slot2CustPrice)</f>
        <v>0</v>
      </c>
      <c r="F1708" s="614" t="s">
        <v>2128</v>
      </c>
    </row>
    <row r="1709" spans="3:6" s="614" customFormat="1">
      <c r="E1709" s="725"/>
    </row>
    <row r="1710" spans="3:6" s="614" customFormat="1">
      <c r="C1710" s="614" t="s">
        <v>395</v>
      </c>
    </row>
    <row r="1711" spans="3:6" s="614" customFormat="1">
      <c r="D1711" s="614" t="s">
        <v>1770</v>
      </c>
      <c r="E1711" s="953">
        <f>IF(decCh1Prod4Slot3Active=1,decCh1Prod4Slot3CustPrice,0)</f>
        <v>0</v>
      </c>
      <c r="F1711" s="652" t="s">
        <v>2129</v>
      </c>
    </row>
    <row r="1712" spans="3:6" s="614" customFormat="1">
      <c r="D1712" s="614" t="s">
        <v>5194</v>
      </c>
      <c r="E1712" s="953">
        <f>calcCh1Prod4Slot3CustPrice*(1+VLOOKUP(nmProd4,dataCustomerMargin,2,FALSE))</f>
        <v>0</v>
      </c>
      <c r="F1712" s="614" t="s">
        <v>6073</v>
      </c>
    </row>
    <row r="1713" spans="1:6" s="614" customFormat="1">
      <c r="D1713" s="614" t="s">
        <v>5914</v>
      </c>
      <c r="E1713" s="724" t="str">
        <f>decCh1Prod4Slot3Promo1</f>
        <v>No Promotion</v>
      </c>
    </row>
    <row r="1714" spans="1:6" s="614" customFormat="1">
      <c r="D1714" s="614" t="s">
        <v>5912</v>
      </c>
      <c r="E1714" s="954">
        <f>IF(calcCh1Prod4Slot3Active=1,IF(xxSim0Tool1=1,decCh1Prod4Slot3Promo1ShareFrc,(MMCh1Prod4Seg1Slot3UnitsSoldPromo1+MMCh1Prod4Seg2Slot3UnitsSoldPromo1+MMCh1Prod4Seg3Slot3UnitsSoldPromo1+MMCh1Prod4Seg4Slot3UnitsSoldPromo1)/(MMCh1Prod4Seg1Slot3UnitsSold+MMCh1Prod4Seg2Slot3UnitsSold+MMCh1Prod4Seg3Slot3UnitsSold+MMCh1Prod4Seg4Slot3UnitsSold)),0)</f>
        <v>0</v>
      </c>
    </row>
    <row r="1715" spans="1:6" s="614" customFormat="1">
      <c r="D1715" s="614" t="s">
        <v>5913</v>
      </c>
      <c r="E1715" s="953">
        <f>calcCh1Prod4Slot3CustPrice*(1-VLOOKUP(calcCh1Prod4Slot3Promo1Plan,dataPromoPlanDisc,2,FALSE))</f>
        <v>0</v>
      </c>
      <c r="F1715" s="614" t="s">
        <v>5939</v>
      </c>
    </row>
    <row r="1716" spans="1:6" s="614" customFormat="1">
      <c r="D1716" s="614" t="s">
        <v>5915</v>
      </c>
      <c r="E1716" s="724" t="str">
        <f>decCh1Prod4Slot3Promo2</f>
        <v>No Promotion</v>
      </c>
    </row>
    <row r="1717" spans="1:6" s="614" customFormat="1">
      <c r="D1717" s="614" t="s">
        <v>5916</v>
      </c>
      <c r="E1717" s="954">
        <f>IF(calcCh1Prod4Slot3Active=1,IF(xxSim0Tool1=1,decCh1Prod4Slot3Promo1ShareFrc,(MMCh1Prod4Seg1Slot3UnitsSoldPromo2+MMCh1Prod4Seg2Slot3UnitsSoldPromo2+MMCh1Prod4Seg3Slot3UnitsSoldPromo2+MMCh1Prod4Seg4Slot3UnitsSoldPromo2)/(MMCh1Prod4Seg1Slot3UnitsSold+MMCh1Prod4Seg2Slot3UnitsSold+MMCh1Prod4Seg3Slot3UnitsSold+MMCh1Prod4Seg4Slot3UnitsSold)),0)</f>
        <v>0</v>
      </c>
    </row>
    <row r="1718" spans="1:6" s="614" customFormat="1">
      <c r="D1718" s="614" t="s">
        <v>5917</v>
      </c>
      <c r="E1718" s="953">
        <f>calcCh1Prod4Slot3CustPrice*(1-VLOOKUP(calcCh1Prod4Slot3Promo2Plan,dataPromoPlanDisc,2,FALSE))</f>
        <v>0</v>
      </c>
      <c r="F1718" s="614" t="s">
        <v>5941</v>
      </c>
    </row>
    <row r="1719" spans="1:6" s="614" customFormat="1">
      <c r="D1719" s="614" t="s">
        <v>1821</v>
      </c>
      <c r="E1719" s="955">
        <f>calcCh1Prod4Slot3Promo1CustPrice*calcCh1Prod4Slot3Promo1PlanShare+calcCh1Prod4Slot3Promo2CustPrice*calcCh1Prod4Slot3Promo2PlanShare+((1-calcCh1Prod4Slot3Promo1PlanShare-calcCh1Prod4Slot3Promo2PlanShare)*calcCh1Prod4Slot3CustPrice)</f>
        <v>0</v>
      </c>
      <c r="F1719" s="614" t="s">
        <v>2130</v>
      </c>
    </row>
    <row r="1720" spans="1:6" s="645" customFormat="1">
      <c r="A1720" s="646"/>
    </row>
    <row r="1721" spans="1:6" s="647" customFormat="1">
      <c r="A1721" s="616" t="s">
        <v>13824</v>
      </c>
    </row>
    <row r="1722" spans="1:6" s="645" customFormat="1">
      <c r="A1722" s="646"/>
    </row>
    <row r="1723" spans="1:6" s="614" customFormat="1">
      <c r="B1723" s="614" t="s">
        <v>12868</v>
      </c>
    </row>
    <row r="1724" spans="1:6" s="614" customFormat="1">
      <c r="C1724" s="614" t="s">
        <v>379</v>
      </c>
    </row>
    <row r="1725" spans="1:6" s="614" customFormat="1">
      <c r="D1725" s="614" t="s">
        <v>1770</v>
      </c>
      <c r="E1725" s="686">
        <f>IF(decCh2Prod1Slot1Active=1,decCh2Prod1Slot1CustPrice,0)</f>
        <v>7.9</v>
      </c>
      <c r="F1725" s="652" t="s">
        <v>2131</v>
      </c>
    </row>
    <row r="1726" spans="1:6" s="614" customFormat="1">
      <c r="D1726" s="614" t="s">
        <v>5194</v>
      </c>
      <c r="E1726" s="685">
        <f>calcCh2Prod1Slot1CustPrice*(1+VLOOKUP(nmProd1,dataCustomerMargin,3,FALSE))</f>
        <v>9.0849999999999991</v>
      </c>
      <c r="F1726" s="614" t="s">
        <v>6074</v>
      </c>
    </row>
    <row r="1727" spans="1:6" s="614" customFormat="1">
      <c r="D1727" s="614" t="s">
        <v>1821</v>
      </c>
      <c r="E1727" s="725">
        <f>calcCh2Prod1Slot1CustPrice</f>
        <v>7.9</v>
      </c>
      <c r="F1727" s="614" t="s">
        <v>2132</v>
      </c>
    </row>
    <row r="1728" spans="1:6" s="614" customFormat="1">
      <c r="E1728" s="725"/>
    </row>
    <row r="1729" spans="2:6" s="614" customFormat="1">
      <c r="C1729" s="614" t="s">
        <v>394</v>
      </c>
    </row>
    <row r="1730" spans="2:6" s="614" customFormat="1">
      <c r="D1730" s="614" t="s">
        <v>1770</v>
      </c>
      <c r="E1730" s="686">
        <f>IF(decCh2Prod1Slot2Active=1,decCh2Prod1Slot2CustPrice,0)</f>
        <v>0</v>
      </c>
      <c r="F1730" s="652" t="s">
        <v>2133</v>
      </c>
    </row>
    <row r="1731" spans="2:6" s="614" customFormat="1">
      <c r="D1731" s="614" t="s">
        <v>5194</v>
      </c>
      <c r="E1731" s="685">
        <f>calcCh2Prod1Slot2CustPrice*(1+VLOOKUP(nmProd1,dataCustomerMargin,3,FALSE))</f>
        <v>0</v>
      </c>
      <c r="F1731" s="614" t="s">
        <v>6075</v>
      </c>
    </row>
    <row r="1732" spans="2:6" s="614" customFormat="1">
      <c r="D1732" s="614" t="s">
        <v>1821</v>
      </c>
      <c r="E1732" s="725">
        <f>calcCh2Prod1Slot2CustPrice</f>
        <v>0</v>
      </c>
      <c r="F1732" s="614" t="s">
        <v>2134</v>
      </c>
    </row>
    <row r="1733" spans="2:6" s="614" customFormat="1">
      <c r="E1733" s="725"/>
    </row>
    <row r="1734" spans="2:6" s="614" customFormat="1">
      <c r="C1734" s="614" t="s">
        <v>395</v>
      </c>
    </row>
    <row r="1735" spans="2:6" s="614" customFormat="1">
      <c r="D1735" s="614" t="s">
        <v>1770</v>
      </c>
      <c r="E1735" s="686">
        <f>IF(decCh2Prod1Slot3Active=1,decCh2Prod1Slot3CustPrice,0)</f>
        <v>0</v>
      </c>
      <c r="F1735" s="652" t="s">
        <v>2135</v>
      </c>
    </row>
    <row r="1736" spans="2:6" s="614" customFormat="1">
      <c r="D1736" s="614" t="s">
        <v>5194</v>
      </c>
      <c r="E1736" s="685">
        <f>calcCh2Prod1Slot3CustPrice*(1+VLOOKUP(nmProd1,dataCustomerMargin,3,FALSE))</f>
        <v>0</v>
      </c>
      <c r="F1736" s="614" t="s">
        <v>6076</v>
      </c>
    </row>
    <row r="1737" spans="2:6" s="614" customFormat="1">
      <c r="D1737" s="614" t="s">
        <v>1821</v>
      </c>
      <c r="E1737" s="725">
        <f>calcCh2Prod1Slot3CustPrice</f>
        <v>0</v>
      </c>
      <c r="F1737" s="614" t="s">
        <v>2136</v>
      </c>
    </row>
    <row r="1738" spans="2:6" s="614" customFormat="1">
      <c r="E1738" s="725"/>
    </row>
    <row r="1739" spans="2:6" s="614" customFormat="1">
      <c r="B1739" s="614" t="s">
        <v>238</v>
      </c>
    </row>
    <row r="1740" spans="2:6" s="614" customFormat="1">
      <c r="C1740" s="614" t="s">
        <v>379</v>
      </c>
    </row>
    <row r="1741" spans="2:6" s="614" customFormat="1">
      <c r="D1741" s="614" t="s">
        <v>1770</v>
      </c>
      <c r="E1741" s="686">
        <f>IF(decCh2Prod2Slot1Active=1,decCh2Prod2Slot1CustPrice,0)</f>
        <v>7.3</v>
      </c>
      <c r="F1741" s="652" t="s">
        <v>2137</v>
      </c>
    </row>
    <row r="1742" spans="2:6" s="614" customFormat="1">
      <c r="D1742" s="614" t="s">
        <v>5194</v>
      </c>
      <c r="E1742" s="685">
        <f>calcCh2Prod2Slot1CustPrice*(1+VLOOKUP(nmProd2,dataCustomerMargin,3,FALSE))</f>
        <v>8.3949999999999996</v>
      </c>
      <c r="F1742" s="614" t="s">
        <v>6077</v>
      </c>
    </row>
    <row r="1743" spans="2:6" s="614" customFormat="1">
      <c r="D1743" s="614" t="s">
        <v>1821</v>
      </c>
      <c r="E1743" s="725">
        <f>calcCh2Prod2Slot1CustPrice</f>
        <v>7.3</v>
      </c>
      <c r="F1743" s="614" t="s">
        <v>2138</v>
      </c>
    </row>
    <row r="1744" spans="2:6" s="614" customFormat="1">
      <c r="E1744" s="725"/>
    </row>
    <row r="1745" spans="2:6" s="614" customFormat="1">
      <c r="C1745" s="614" t="s">
        <v>394</v>
      </c>
    </row>
    <row r="1746" spans="2:6" s="614" customFormat="1">
      <c r="D1746" s="614" t="s">
        <v>1770</v>
      </c>
      <c r="E1746" s="686">
        <f>IF(decCh2Prod2Slot2Active=1,decCh2Prod2Slot2CustPrice,0)</f>
        <v>0</v>
      </c>
      <c r="F1746" s="652" t="s">
        <v>2139</v>
      </c>
    </row>
    <row r="1747" spans="2:6" s="614" customFormat="1">
      <c r="D1747" s="614" t="s">
        <v>5194</v>
      </c>
      <c r="E1747" s="685">
        <f>calcCh2Prod2Slot2CustPrice*(1+VLOOKUP(nmProd2,dataCustomerMargin,3,FALSE))</f>
        <v>0</v>
      </c>
      <c r="F1747" s="614" t="s">
        <v>6078</v>
      </c>
    </row>
    <row r="1748" spans="2:6" s="614" customFormat="1">
      <c r="D1748" s="614" t="s">
        <v>1821</v>
      </c>
      <c r="E1748" s="725">
        <f>calcCh2Prod2Slot2CustPrice</f>
        <v>0</v>
      </c>
      <c r="F1748" s="614" t="s">
        <v>2140</v>
      </c>
    </row>
    <row r="1749" spans="2:6" s="614" customFormat="1">
      <c r="E1749" s="725"/>
    </row>
    <row r="1750" spans="2:6" s="614" customFormat="1">
      <c r="C1750" s="614" t="s">
        <v>395</v>
      </c>
    </row>
    <row r="1751" spans="2:6" s="614" customFormat="1">
      <c r="D1751" s="614" t="s">
        <v>1770</v>
      </c>
      <c r="E1751" s="686">
        <f>IF(decCh2Prod2Slot3Active=1,decCh2Prod2Slot3CustPrice,0)</f>
        <v>0</v>
      </c>
      <c r="F1751" s="652" t="s">
        <v>2141</v>
      </c>
    </row>
    <row r="1752" spans="2:6" s="614" customFormat="1">
      <c r="D1752" s="614" t="s">
        <v>5194</v>
      </c>
      <c r="E1752" s="685">
        <f>calcCh2Prod2Slot3CustPrice*(1+VLOOKUP(nmProd2,dataCustomerMargin,3,FALSE))</f>
        <v>0</v>
      </c>
      <c r="F1752" s="614" t="s">
        <v>6079</v>
      </c>
    </row>
    <row r="1753" spans="2:6" s="614" customFormat="1">
      <c r="D1753" s="614" t="s">
        <v>1821</v>
      </c>
      <c r="E1753" s="725">
        <f>calcCh2Prod2Slot3CustPrice</f>
        <v>0</v>
      </c>
      <c r="F1753" s="614" t="s">
        <v>2142</v>
      </c>
    </row>
    <row r="1754" spans="2:6" s="614" customFormat="1">
      <c r="E1754" s="725"/>
    </row>
    <row r="1755" spans="2:6" s="614" customFormat="1">
      <c r="B1755" s="614" t="s">
        <v>239</v>
      </c>
    </row>
    <row r="1756" spans="2:6" s="614" customFormat="1">
      <c r="C1756" s="614" t="s">
        <v>379</v>
      </c>
    </row>
    <row r="1757" spans="2:6" s="614" customFormat="1">
      <c r="D1757" s="614" t="s">
        <v>1770</v>
      </c>
      <c r="E1757" s="686">
        <f>IF(decCh2Prod3Slot1Active=1,decCh2Prod3Slot1CustPrice,0)</f>
        <v>7</v>
      </c>
      <c r="F1757" s="652" t="s">
        <v>2143</v>
      </c>
    </row>
    <row r="1758" spans="2:6" s="614" customFormat="1">
      <c r="D1758" s="614" t="s">
        <v>5194</v>
      </c>
      <c r="E1758" s="685">
        <f>calcCh2Prod3Slot1CustPrice*(1+VLOOKUP(nmProd3,dataCustomerMargin,3,FALSE))</f>
        <v>8.26</v>
      </c>
      <c r="F1758" s="614" t="s">
        <v>6080</v>
      </c>
    </row>
    <row r="1759" spans="2:6" s="614" customFormat="1">
      <c r="D1759" s="614" t="s">
        <v>1821</v>
      </c>
      <c r="E1759" s="725">
        <f>calcCh2Prod3Slot1CustPrice</f>
        <v>7</v>
      </c>
      <c r="F1759" s="614" t="s">
        <v>2144</v>
      </c>
    </row>
    <row r="1760" spans="2:6" s="614" customFormat="1">
      <c r="E1760" s="725"/>
    </row>
    <row r="1761" spans="2:6" s="614" customFormat="1">
      <c r="C1761" s="614" t="s">
        <v>394</v>
      </c>
    </row>
    <row r="1762" spans="2:6" s="614" customFormat="1">
      <c r="D1762" s="614" t="s">
        <v>1770</v>
      </c>
      <c r="E1762" s="686">
        <f>IF(decCh2Prod3Slot2Active=1,decCh2Prod3Slot2CustPrice,0)</f>
        <v>0</v>
      </c>
      <c r="F1762" s="652" t="s">
        <v>2145</v>
      </c>
    </row>
    <row r="1763" spans="2:6" s="614" customFormat="1">
      <c r="D1763" s="614" t="s">
        <v>5194</v>
      </c>
      <c r="E1763" s="685">
        <f>calcCh2Prod3Slot2CustPrice*(1+VLOOKUP(nmProd3,dataCustomerMargin,3,FALSE))</f>
        <v>0</v>
      </c>
      <c r="F1763" s="614" t="s">
        <v>6081</v>
      </c>
    </row>
    <row r="1764" spans="2:6" s="614" customFormat="1">
      <c r="D1764" s="614" t="s">
        <v>1821</v>
      </c>
      <c r="E1764" s="725">
        <f>calcCh2Prod3Slot2CustPrice</f>
        <v>0</v>
      </c>
      <c r="F1764" s="614" t="s">
        <v>2146</v>
      </c>
    </row>
    <row r="1765" spans="2:6" s="614" customFormat="1">
      <c r="E1765" s="725"/>
    </row>
    <row r="1766" spans="2:6" s="614" customFormat="1">
      <c r="C1766" s="614" t="s">
        <v>395</v>
      </c>
    </row>
    <row r="1767" spans="2:6" s="614" customFormat="1">
      <c r="D1767" s="614" t="s">
        <v>1770</v>
      </c>
      <c r="E1767" s="686">
        <f>IF(decCh2Prod3Slot3Active=1,decCh2Prod3Slot3CustPrice,0)</f>
        <v>0</v>
      </c>
      <c r="F1767" s="652" t="s">
        <v>2147</v>
      </c>
    </row>
    <row r="1768" spans="2:6" s="614" customFormat="1">
      <c r="D1768" s="614" t="s">
        <v>5194</v>
      </c>
      <c r="E1768" s="685">
        <f>calcCh2Prod3Slot3CustPrice*(1+VLOOKUP(nmProd3,dataCustomerMargin,3,FALSE))</f>
        <v>0</v>
      </c>
      <c r="F1768" s="614" t="s">
        <v>6082</v>
      </c>
    </row>
    <row r="1769" spans="2:6" s="614" customFormat="1">
      <c r="D1769" s="614" t="s">
        <v>1821</v>
      </c>
      <c r="E1769" s="725">
        <f>calcCh2Prod3Slot3CustPrice</f>
        <v>0</v>
      </c>
      <c r="F1769" s="614" t="s">
        <v>2148</v>
      </c>
    </row>
    <row r="1770" spans="2:6" s="614" customFormat="1">
      <c r="E1770" s="725"/>
    </row>
    <row r="1771" spans="2:6" s="614" customFormat="1">
      <c r="B1771" s="614" t="s">
        <v>240</v>
      </c>
    </row>
    <row r="1772" spans="2:6" s="614" customFormat="1">
      <c r="C1772" s="614" t="s">
        <v>379</v>
      </c>
    </row>
    <row r="1773" spans="2:6" s="614" customFormat="1">
      <c r="D1773" s="614" t="s">
        <v>1770</v>
      </c>
      <c r="E1773" s="686">
        <f>IF(decCh2Prod4Slot1Active=1,decCh2Prod4Slot1CustPrice,0)</f>
        <v>0</v>
      </c>
      <c r="F1773" s="652" t="s">
        <v>2149</v>
      </c>
    </row>
    <row r="1774" spans="2:6" s="614" customFormat="1">
      <c r="D1774" s="614" t="s">
        <v>5194</v>
      </c>
      <c r="E1774" s="685">
        <f>calcCh2Prod4Slot1CustPrice*(1+VLOOKUP(nmProd4,dataCustomerMargin,3,FALSE))</f>
        <v>0</v>
      </c>
      <c r="F1774" s="614" t="s">
        <v>6083</v>
      </c>
    </row>
    <row r="1775" spans="2:6" s="614" customFormat="1">
      <c r="D1775" s="614" t="s">
        <v>1821</v>
      </c>
      <c r="E1775" s="725">
        <f>calcCh2Prod4Slot1CustPrice</f>
        <v>0</v>
      </c>
      <c r="F1775" s="614" t="s">
        <v>2150</v>
      </c>
    </row>
    <row r="1776" spans="2:6" s="614" customFormat="1">
      <c r="E1776" s="725"/>
    </row>
    <row r="1777" spans="1:6" s="614" customFormat="1">
      <c r="C1777" s="614" t="s">
        <v>394</v>
      </c>
    </row>
    <row r="1778" spans="1:6" s="614" customFormat="1">
      <c r="D1778" s="614" t="s">
        <v>1770</v>
      </c>
      <c r="E1778" s="686">
        <f>IF(decCh2Prod4Slot2Active=1,decCh2Prod4Slot2CustPrice,0)</f>
        <v>0</v>
      </c>
      <c r="F1778" s="652" t="s">
        <v>2151</v>
      </c>
    </row>
    <row r="1779" spans="1:6" s="614" customFormat="1">
      <c r="D1779" s="614" t="s">
        <v>5194</v>
      </c>
      <c r="E1779" s="685">
        <f>calcCh2Prod4Slot2CustPrice*(1+VLOOKUP(nmProd4,dataCustomerMargin,3,FALSE))</f>
        <v>0</v>
      </c>
      <c r="F1779" s="614" t="s">
        <v>6084</v>
      </c>
    </row>
    <row r="1780" spans="1:6" s="614" customFormat="1">
      <c r="D1780" s="614" t="s">
        <v>1821</v>
      </c>
      <c r="E1780" s="725">
        <f>calcCh2Prod4Slot2CustPrice</f>
        <v>0</v>
      </c>
      <c r="F1780" s="614" t="s">
        <v>2152</v>
      </c>
    </row>
    <row r="1781" spans="1:6" s="614" customFormat="1">
      <c r="E1781" s="725"/>
    </row>
    <row r="1782" spans="1:6" s="614" customFormat="1">
      <c r="C1782" s="614" t="s">
        <v>395</v>
      </c>
    </row>
    <row r="1783" spans="1:6" s="614" customFormat="1">
      <c r="D1783" s="614" t="s">
        <v>1770</v>
      </c>
      <c r="E1783" s="686">
        <f>IF(decCh2Prod4Slot3Active=1,decCh2Prod4Slot3CustPrice,0)</f>
        <v>0</v>
      </c>
      <c r="F1783" s="652" t="s">
        <v>2153</v>
      </c>
    </row>
    <row r="1784" spans="1:6" s="614" customFormat="1">
      <c r="D1784" s="614" t="s">
        <v>5194</v>
      </c>
      <c r="E1784" s="685">
        <f>calcCh2Prod4Slot3CustPrice*(1+VLOOKUP(nmProd4,dataCustomerMargin,3,FALSE))</f>
        <v>0</v>
      </c>
      <c r="F1784" s="614" t="s">
        <v>6085</v>
      </c>
    </row>
    <row r="1785" spans="1:6" s="614" customFormat="1">
      <c r="D1785" s="614" t="s">
        <v>1821</v>
      </c>
      <c r="E1785" s="725">
        <f>calcCh2Prod4Slot3CustPrice</f>
        <v>0</v>
      </c>
      <c r="F1785" s="614" t="s">
        <v>2154</v>
      </c>
    </row>
    <row r="1786" spans="1:6" s="614" customFormat="1">
      <c r="E1786" s="725"/>
    </row>
    <row r="1787" spans="1:6" s="647" customFormat="1">
      <c r="A1787" s="616" t="s">
        <v>13825</v>
      </c>
    </row>
    <row r="1788" spans="1:6" s="645" customFormat="1">
      <c r="A1788" s="646"/>
    </row>
    <row r="1789" spans="1:6" s="614" customFormat="1">
      <c r="B1789" s="614" t="s">
        <v>12868</v>
      </c>
    </row>
    <row r="1790" spans="1:6" s="614" customFormat="1">
      <c r="C1790" s="614" t="s">
        <v>379</v>
      </c>
    </row>
    <row r="1791" spans="1:6" s="614" customFormat="1">
      <c r="D1791" s="614" t="s">
        <v>1770</v>
      </c>
      <c r="E1791" s="686">
        <f>IF(decCh3Prod1Slot1Active=1,decCh3Prod1Slot1CustPrice,0)</f>
        <v>7.05</v>
      </c>
      <c r="F1791" s="652" t="s">
        <v>2155</v>
      </c>
    </row>
    <row r="1792" spans="1:6" s="614" customFormat="1">
      <c r="D1792" s="614" t="s">
        <v>5194</v>
      </c>
      <c r="E1792" s="685">
        <f>calcCh3Prod1Slot1CustPrice*(1+VLOOKUP(nmProd1,dataCustomerMargin,4,FALSE))</f>
        <v>9.1650000000000009</v>
      </c>
      <c r="F1792" s="614" t="s">
        <v>6086</v>
      </c>
    </row>
    <row r="1793" spans="3:6" s="614" customFormat="1">
      <c r="D1793" s="614" t="s">
        <v>5914</v>
      </c>
      <c r="E1793" s="724" t="str">
        <f>decCh3Prod1Slot1Promo1</f>
        <v>TPR 20%</v>
      </c>
    </row>
    <row r="1794" spans="3:6" s="614" customFormat="1">
      <c r="D1794" s="614" t="s">
        <v>5912</v>
      </c>
      <c r="E1794" s="954">
        <f>IF(calcCh3Prod1Slot1Active=1,IF(xxSim0Tool1=1,decCh3Prod1Slot1Promo1ShareFrc,(MMCh3Prod1Seg1Slot1UnitsSoldPromo1+MMCh3Prod1Seg2Slot1UnitsSoldPromo1+MMCh3Prod1Seg3Slot1UnitsSoldPromo1+MMCh3Prod1Seg4Slot1UnitsSoldPromo1)/(MMCh3Prod1Seg1Slot1UnitsSold+MMCh3Prod1Seg2Slot1UnitsSold+MMCh3Prod1Seg3Slot1UnitsSold+MMCh3Prod1Seg4Slot1UnitsSold)),0)</f>
        <v>0.25</v>
      </c>
    </row>
    <row r="1795" spans="3:6" s="614" customFormat="1">
      <c r="D1795" s="614" t="s">
        <v>5913</v>
      </c>
      <c r="E1795" s="685">
        <f>calcCh3Prod1Slot1CustPrice*(1-VLOOKUP(calcCh3Prod1Slot1Promo1Plan,dataPromoPlanDisc,4,FALSE))</f>
        <v>5.6400000000000006</v>
      </c>
      <c r="F1795" s="614" t="s">
        <v>5991</v>
      </c>
    </row>
    <row r="1796" spans="3:6" s="614" customFormat="1">
      <c r="D1796" s="614" t="s">
        <v>1821</v>
      </c>
      <c r="E1796" s="725">
        <f>calcCh3Prod1Slot1Promo1CustPrice*calcCh3Prod1Slot1Promo1PlanShare+((1-calcCh3Prod1Slot1Promo1PlanShare)*calcCh3Prod1Slot1CustPrice)</f>
        <v>6.6974999999999998</v>
      </c>
      <c r="F1796" s="614" t="s">
        <v>2156</v>
      </c>
    </row>
    <row r="1797" spans="3:6" s="614" customFormat="1">
      <c r="E1797" s="725"/>
    </row>
    <row r="1798" spans="3:6" s="614" customFormat="1">
      <c r="C1798" s="614" t="s">
        <v>394</v>
      </c>
    </row>
    <row r="1799" spans="3:6" s="614" customFormat="1">
      <c r="D1799" s="614" t="s">
        <v>1770</v>
      </c>
      <c r="E1799" s="686">
        <f>IF(decCh3Prod1Slot2Active=1,decCh3Prod1Slot2CustPrice,0)</f>
        <v>0</v>
      </c>
      <c r="F1799" s="652" t="s">
        <v>2157</v>
      </c>
    </row>
    <row r="1800" spans="3:6" s="614" customFormat="1">
      <c r="D1800" s="614" t="s">
        <v>5194</v>
      </c>
      <c r="E1800" s="685">
        <f>calcCh3Prod1Slot2CustPrice*(1+VLOOKUP(nmProd1,dataCustomerMargin,4,FALSE))</f>
        <v>0</v>
      </c>
      <c r="F1800" s="614" t="s">
        <v>6087</v>
      </c>
    </row>
    <row r="1801" spans="3:6" s="614" customFormat="1">
      <c r="D1801" s="614" t="s">
        <v>5914</v>
      </c>
      <c r="E1801" s="724" t="str">
        <f>decCh3Prod1Slot2Promo1</f>
        <v>No Promotion</v>
      </c>
    </row>
    <row r="1802" spans="3:6" s="614" customFormat="1">
      <c r="D1802" s="614" t="s">
        <v>5912</v>
      </c>
      <c r="E1802" s="954">
        <f>IF(calcCh3Prod1Slot2Active=1,IF(xxSim0Tool1=1,decCh3Prod1Slot2Promo1ShareFrc,(MMCh3Prod1Seg1Slot2UnitsSoldPromo1+MMCh3Prod1Seg2Slot2UnitsSoldPromo1+MMCh3Prod1Seg3Slot2UnitsSoldPromo1+MMCh3Prod1Seg4Slot2UnitsSoldPromo1)/(MMCh3Prod1Seg1Slot2UnitsSold+MMCh3Prod1Seg2Slot2UnitsSold+MMCh3Prod1Seg3Slot2UnitsSold+MMCh3Prod1Seg4Slot2UnitsSold)),0)</f>
        <v>0</v>
      </c>
    </row>
    <row r="1803" spans="3:6" s="614" customFormat="1">
      <c r="D1803" s="614" t="s">
        <v>5913</v>
      </c>
      <c r="E1803" s="685">
        <f>calcCh3Prod1Slot2CustPrice*(1-VLOOKUP(calcCh3Prod1Slot2Promo1Plan,dataPromoPlanDisc,4,FALSE))</f>
        <v>0</v>
      </c>
      <c r="F1803" s="614" t="s">
        <v>5993</v>
      </c>
    </row>
    <row r="1804" spans="3:6" s="614" customFormat="1">
      <c r="D1804" s="614" t="s">
        <v>1821</v>
      </c>
      <c r="E1804" s="725">
        <f>calcCh3Prod1Slot2Promo1CustPrice*calcCh3Prod1Slot2Promo1PlanShare+((1-calcCh3Prod1Slot2Promo1PlanShare)*calcCh3Prod1Slot2CustPrice)</f>
        <v>0</v>
      </c>
      <c r="F1804" s="614" t="s">
        <v>2158</v>
      </c>
    </row>
    <row r="1805" spans="3:6" s="614" customFormat="1">
      <c r="E1805" s="725"/>
    </row>
    <row r="1806" spans="3:6" s="614" customFormat="1">
      <c r="C1806" s="614" t="s">
        <v>395</v>
      </c>
    </row>
    <row r="1807" spans="3:6" s="614" customFormat="1">
      <c r="D1807" s="614" t="s">
        <v>1770</v>
      </c>
      <c r="E1807" s="686">
        <f>IF(decCh3Prod1Slot3Active=1,decCh3Prod1Slot3CustPrice,0)</f>
        <v>0</v>
      </c>
      <c r="F1807" s="652" t="s">
        <v>2159</v>
      </c>
    </row>
    <row r="1808" spans="3:6" s="614" customFormat="1">
      <c r="D1808" s="614" t="s">
        <v>5194</v>
      </c>
      <c r="E1808" s="685">
        <f>calcCh3Prod1Slot3CustPrice*(1+VLOOKUP(nmProd1,dataCustomerMargin,4,FALSE))</f>
        <v>0</v>
      </c>
      <c r="F1808" s="614" t="s">
        <v>6088</v>
      </c>
    </row>
    <row r="1809" spans="2:6" s="614" customFormat="1">
      <c r="D1809" s="614" t="s">
        <v>5914</v>
      </c>
      <c r="E1809" s="724" t="str">
        <f>decCh3Prod1Slot3Promo1</f>
        <v>No Promotion</v>
      </c>
    </row>
    <row r="1810" spans="2:6" s="614" customFormat="1">
      <c r="D1810" s="614" t="s">
        <v>5912</v>
      </c>
      <c r="E1810" s="954">
        <f>IF(calcCh3Prod1Slot3Active=1,IF(xxSim0Tool1=1,decCh3Prod1Slot3Promo1ShareFrc,(MMCh3Prod1Seg1Slot3UnitsSoldPromo1+MMCh3Prod1Seg2Slot3UnitsSoldPromo1+MMCh3Prod1Seg3Slot3UnitsSoldPromo1+MMCh3Prod1Seg4Slot3UnitsSoldPromo1)/(MMCh3Prod1Seg1Slot3UnitsSold+MMCh3Prod1Seg2Slot3UnitsSold+MMCh3Prod1Seg3Slot3UnitsSold+MMCh3Prod1Seg4Slot3UnitsSold)),0)</f>
        <v>0</v>
      </c>
    </row>
    <row r="1811" spans="2:6" s="614" customFormat="1">
      <c r="D1811" s="614" t="s">
        <v>5913</v>
      </c>
      <c r="E1811" s="685">
        <f>calcCh3Prod1Slot3CustPrice*(1-VLOOKUP(calcCh3Prod1Slot3Promo1Plan,dataPromoPlanDisc,4,FALSE))</f>
        <v>0</v>
      </c>
      <c r="F1811" s="614" t="s">
        <v>5995</v>
      </c>
    </row>
    <row r="1812" spans="2:6" s="614" customFormat="1">
      <c r="D1812" s="614" t="s">
        <v>1821</v>
      </c>
      <c r="E1812" s="725">
        <f>calcCh3Prod1Slot3Promo1CustPrice*calcCh3Prod1Slot3Promo1PlanShare+((1-calcCh3Prod1Slot3Promo1PlanShare)*calcCh3Prod1Slot3CustPrice)</f>
        <v>0</v>
      </c>
      <c r="F1812" s="614" t="s">
        <v>2160</v>
      </c>
    </row>
    <row r="1813" spans="2:6" s="614" customFormat="1">
      <c r="E1813" s="725"/>
    </row>
    <row r="1814" spans="2:6" s="614" customFormat="1">
      <c r="B1814" s="614" t="s">
        <v>238</v>
      </c>
    </row>
    <row r="1815" spans="2:6" s="614" customFormat="1">
      <c r="C1815" s="614" t="s">
        <v>379</v>
      </c>
    </row>
    <row r="1816" spans="2:6" s="614" customFormat="1">
      <c r="D1816" s="614" t="s">
        <v>1770</v>
      </c>
      <c r="E1816" s="686">
        <f>IF(decCh3Prod2Slot1Active=1,decCh3Prod2Slot1CustPrice,0)</f>
        <v>7.9</v>
      </c>
      <c r="F1816" s="652" t="s">
        <v>2161</v>
      </c>
    </row>
    <row r="1817" spans="2:6" s="614" customFormat="1">
      <c r="D1817" s="614" t="s">
        <v>5194</v>
      </c>
      <c r="E1817" s="685">
        <f>calcCh3Prod2Slot1CustPrice*(1+VLOOKUP(nmProd2,dataCustomerMargin,4,FALSE))</f>
        <v>10.270000000000001</v>
      </c>
      <c r="F1817" s="614" t="s">
        <v>6089</v>
      </c>
    </row>
    <row r="1818" spans="2:6" s="614" customFormat="1">
      <c r="D1818" s="614" t="s">
        <v>5914</v>
      </c>
      <c r="E1818" s="724" t="str">
        <f>decCh3Prod2Slot1Promo1</f>
        <v>TPR 33%</v>
      </c>
    </row>
    <row r="1819" spans="2:6" s="614" customFormat="1">
      <c r="D1819" s="614" t="s">
        <v>5912</v>
      </c>
      <c r="E1819" s="954">
        <f>IF(calcCh3Prod2Slot1Active=1,IF(xxSim0Tool1=1,decCh3Prod2Slot1Promo1ShareFrc,(MMCh3Prod2Seg1Slot1UnitsSoldPromo1+MMCh3Prod2Seg2Slot1UnitsSoldPromo1+MMCh3Prod2Seg3Slot1UnitsSoldPromo1+MMCh3Prod2Seg4Slot1UnitsSoldPromo1)/(MMCh3Prod2Seg1Slot1UnitsSold+MMCh3Prod2Seg2Slot1UnitsSold+MMCh3Prod2Seg3Slot1UnitsSold+MMCh3Prod2Seg4Slot1UnitsSold)),0)</f>
        <v>0.2</v>
      </c>
    </row>
    <row r="1820" spans="2:6" s="614" customFormat="1">
      <c r="D1820" s="614" t="s">
        <v>5913</v>
      </c>
      <c r="E1820" s="685">
        <f>calcCh3Prod2Slot1CustPrice*(1-VLOOKUP(calcCh3Prod2Slot1Promo1Plan,dataPromoPlanDisc,4,FALSE))</f>
        <v>5.2929999999999993</v>
      </c>
      <c r="F1820" s="614" t="s">
        <v>5997</v>
      </c>
    </row>
    <row r="1821" spans="2:6" s="614" customFormat="1">
      <c r="D1821" s="614" t="s">
        <v>1821</v>
      </c>
      <c r="E1821" s="725">
        <f>calcCh3Prod2Slot1Promo1CustPrice*calcCh3Prod2Slot1Promo1PlanShare+((1-calcCh3Prod2Slot1Promo1PlanShare)*calcCh3Prod2Slot1CustPrice)</f>
        <v>7.3786000000000005</v>
      </c>
      <c r="F1821" s="614" t="s">
        <v>2162</v>
      </c>
    </row>
    <row r="1822" spans="2:6" s="614" customFormat="1">
      <c r="E1822" s="725"/>
    </row>
    <row r="1823" spans="2:6" s="614" customFormat="1">
      <c r="C1823" s="614" t="s">
        <v>394</v>
      </c>
    </row>
    <row r="1824" spans="2:6" s="614" customFormat="1">
      <c r="D1824" s="614" t="s">
        <v>1770</v>
      </c>
      <c r="E1824" s="686">
        <f>IF(decCh3Prod2Slot2Active=1,decCh3Prod2Slot2CustPrice,0)</f>
        <v>8</v>
      </c>
      <c r="F1824" s="652" t="s">
        <v>2163</v>
      </c>
    </row>
    <row r="1825" spans="2:6" s="614" customFormat="1">
      <c r="D1825" s="614" t="s">
        <v>5194</v>
      </c>
      <c r="E1825" s="685">
        <f>calcCh3Prod2Slot2CustPrice*(1+VLOOKUP(nmProd2,dataCustomerMargin,4,FALSE))</f>
        <v>10.4</v>
      </c>
      <c r="F1825" s="614" t="s">
        <v>6090</v>
      </c>
    </row>
    <row r="1826" spans="2:6" s="614" customFormat="1">
      <c r="D1826" s="614" t="s">
        <v>5914</v>
      </c>
      <c r="E1826" s="724" t="str">
        <f>decCh3Prod2Slot2Promo1</f>
        <v>TPR 20%</v>
      </c>
    </row>
    <row r="1827" spans="2:6" s="614" customFormat="1">
      <c r="D1827" s="614" t="s">
        <v>5912</v>
      </c>
      <c r="E1827" s="954">
        <f>IF(calcCh3Prod2Slot2Active=1,IF(xxSim0Tool1=1,decCh3Prod2Slot2Promo1ShareFrc,(MMCh3Prod2Seg1Slot2UnitsSoldPromo1+MMCh3Prod2Seg2Slot2UnitsSoldPromo1+MMCh3Prod2Seg3Slot2UnitsSoldPromo1+MMCh3Prod2Seg4Slot2UnitsSoldPromo1)/(MMCh3Prod2Seg1Slot2UnitsSold+MMCh3Prod2Seg2Slot2UnitsSold+MMCh3Prod2Seg3Slot2UnitsSold+MMCh3Prod2Seg4Slot2UnitsSold)),0)</f>
        <v>0.2</v>
      </c>
    </row>
    <row r="1828" spans="2:6" s="614" customFormat="1">
      <c r="D1828" s="614" t="s">
        <v>5913</v>
      </c>
      <c r="E1828" s="685">
        <f>calcCh3Prod2Slot2CustPrice*(1-VLOOKUP(calcCh3Prod2Slot2Promo1Plan,dataPromoPlanDisc,4,FALSE))</f>
        <v>6.4</v>
      </c>
      <c r="F1828" s="614" t="s">
        <v>5999</v>
      </c>
    </row>
    <row r="1829" spans="2:6" s="614" customFormat="1">
      <c r="D1829" s="614" t="s">
        <v>1821</v>
      </c>
      <c r="E1829" s="725">
        <f>calcCh3Prod2Slot2Promo1CustPrice*calcCh3Prod2Slot2Promo1PlanShare+((1-calcCh3Prod2Slot2Promo1PlanShare)*calcCh3Prod2Slot2CustPrice)</f>
        <v>7.6800000000000006</v>
      </c>
      <c r="F1829" s="614" t="s">
        <v>2164</v>
      </c>
    </row>
    <row r="1830" spans="2:6" s="614" customFormat="1">
      <c r="E1830" s="725"/>
    </row>
    <row r="1831" spans="2:6" s="614" customFormat="1">
      <c r="C1831" s="614" t="s">
        <v>395</v>
      </c>
    </row>
    <row r="1832" spans="2:6" s="614" customFormat="1">
      <c r="D1832" s="614" t="s">
        <v>1770</v>
      </c>
      <c r="E1832" s="686">
        <f>IF(decCh3Prod2Slot3Active=1,decCh3Prod2Slot3CustPrice,0)</f>
        <v>0</v>
      </c>
      <c r="F1832" s="652" t="s">
        <v>2165</v>
      </c>
    </row>
    <row r="1833" spans="2:6" s="614" customFormat="1">
      <c r="D1833" s="614" t="s">
        <v>5194</v>
      </c>
      <c r="E1833" s="685">
        <f>calcCh3Prod2Slot3CustPrice*(1+VLOOKUP(nmProd2,dataCustomerMargin,4,FALSE))</f>
        <v>0</v>
      </c>
      <c r="F1833" s="614" t="s">
        <v>6091</v>
      </c>
    </row>
    <row r="1834" spans="2:6" s="614" customFormat="1">
      <c r="D1834" s="614" t="s">
        <v>5914</v>
      </c>
      <c r="E1834" s="724" t="str">
        <f>decCh3Prod2Slot3Promo1</f>
        <v>No Promotion</v>
      </c>
    </row>
    <row r="1835" spans="2:6" s="614" customFormat="1">
      <c r="D1835" s="614" t="s">
        <v>5912</v>
      </c>
      <c r="E1835" s="954">
        <f>IF(calcCh3Prod2Slot3Active=1,IF(xxSim0Tool1=1,decCh3Prod2Slot3Promo1ShareFrc,(MMCh3Prod2Seg1Slot3UnitsSoldPromo1+MMCh3Prod2Seg2Slot3UnitsSoldPromo1+MMCh3Prod2Seg3Slot3UnitsSoldPromo1+MMCh3Prod2Seg4Slot3UnitsSoldPromo1)/(MMCh3Prod2Seg1Slot3UnitsSold+MMCh3Prod2Seg2Slot3UnitsSold+MMCh3Prod2Seg3Slot3UnitsSold+MMCh3Prod2Seg4Slot3UnitsSold)),0)</f>
        <v>0</v>
      </c>
    </row>
    <row r="1836" spans="2:6" s="614" customFormat="1">
      <c r="D1836" s="614" t="s">
        <v>5913</v>
      </c>
      <c r="E1836" s="685">
        <f>calcCh3Prod2Slot3CustPrice*(1-VLOOKUP(calcCh3Prod2Slot3Promo1Plan,dataPromoPlanDisc,4,FALSE))</f>
        <v>0</v>
      </c>
      <c r="F1836" s="614" t="s">
        <v>6001</v>
      </c>
    </row>
    <row r="1837" spans="2:6" s="614" customFormat="1">
      <c r="D1837" s="614" t="s">
        <v>1821</v>
      </c>
      <c r="E1837" s="725">
        <f>calcCh3Prod2Slot3Promo1CustPrice*calcCh3Prod2Slot3Promo1PlanShare+((1-calcCh3Prod2Slot3Promo1PlanShare)*calcCh3Prod2Slot3CustPrice)</f>
        <v>0</v>
      </c>
      <c r="F1837" s="614" t="s">
        <v>2166</v>
      </c>
    </row>
    <row r="1838" spans="2:6" s="614" customFormat="1">
      <c r="E1838" s="725"/>
    </row>
    <row r="1839" spans="2:6" s="614" customFormat="1">
      <c r="B1839" s="614" t="s">
        <v>239</v>
      </c>
    </row>
    <row r="1840" spans="2:6" s="614" customFormat="1">
      <c r="C1840" s="614" t="s">
        <v>379</v>
      </c>
    </row>
    <row r="1841" spans="3:6" s="614" customFormat="1">
      <c r="D1841" s="614" t="s">
        <v>1770</v>
      </c>
      <c r="E1841" s="686">
        <f>IF(decCh3Prod3Slot1Active=1,decCh3Prod3Slot1CustPrice,0)</f>
        <v>7.6</v>
      </c>
      <c r="F1841" s="652" t="s">
        <v>2167</v>
      </c>
    </row>
    <row r="1842" spans="3:6" s="614" customFormat="1">
      <c r="D1842" s="614" t="s">
        <v>5194</v>
      </c>
      <c r="E1842" s="685">
        <f>calcCh3Prod3Slot1CustPrice*(1+VLOOKUP(nmProd3,dataCustomerMargin,4,FALSE))</f>
        <v>10.108000000000001</v>
      </c>
      <c r="F1842" s="614" t="s">
        <v>6092</v>
      </c>
    </row>
    <row r="1843" spans="3:6" s="614" customFormat="1">
      <c r="D1843" s="614" t="s">
        <v>5914</v>
      </c>
      <c r="E1843" s="724" t="str">
        <f>decCh3Prod3Slot1Promo1</f>
        <v>3/2</v>
      </c>
    </row>
    <row r="1844" spans="3:6" s="614" customFormat="1">
      <c r="D1844" s="614" t="s">
        <v>5912</v>
      </c>
      <c r="E1844" s="954">
        <f>IF(calcCh3Prod3Slot1Active=1,IF(xxSim0Tool1=1,decCh3Prod3Slot1Promo1ShareFrc,(MMCh3Prod3Seg1Slot1UnitsSoldPromo1+MMCh3Prod3Seg2Slot1UnitsSoldPromo1+MMCh3Prod3Seg3Slot1UnitsSoldPromo1+MMCh3Prod3Seg4Slot1UnitsSoldPromo1)/(MMCh3Prod3Seg1Slot1UnitsSold+MMCh3Prod3Seg2Slot1UnitsSold+MMCh3Prod3Seg3Slot1UnitsSold+MMCh3Prod3Seg4Slot1UnitsSold)),0)</f>
        <v>0.35</v>
      </c>
    </row>
    <row r="1845" spans="3:6" s="614" customFormat="1">
      <c r="D1845" s="614" t="s">
        <v>5913</v>
      </c>
      <c r="E1845" s="685">
        <f>calcCh3Prod3Slot1CustPrice*(1-VLOOKUP(calcCh3Prod3Slot1Promo1Plan,dataPromoPlanDisc,4,FALSE))</f>
        <v>5.0919999999999996</v>
      </c>
      <c r="F1845" s="614" t="s">
        <v>6003</v>
      </c>
    </row>
    <row r="1846" spans="3:6" s="614" customFormat="1">
      <c r="D1846" s="614" t="s">
        <v>1821</v>
      </c>
      <c r="E1846" s="725">
        <f>calcCh3Prod3Slot1Promo1CustPrice*calcCh3Prod3Slot1Promo1PlanShare+((1-calcCh3Prod3Slot1Promo1PlanShare)*calcCh3Prod3Slot1CustPrice)</f>
        <v>6.7221999999999991</v>
      </c>
      <c r="F1846" s="614" t="s">
        <v>2168</v>
      </c>
    </row>
    <row r="1847" spans="3:6" s="614" customFormat="1">
      <c r="E1847" s="725"/>
    </row>
    <row r="1848" spans="3:6" s="614" customFormat="1">
      <c r="C1848" s="614" t="s">
        <v>394</v>
      </c>
    </row>
    <row r="1849" spans="3:6" s="614" customFormat="1">
      <c r="D1849" s="614" t="s">
        <v>1770</v>
      </c>
      <c r="E1849" s="686">
        <f>IF(decCh3Prod3Slot2Active=1,decCh3Prod3Slot2CustPrice,0)</f>
        <v>0</v>
      </c>
      <c r="F1849" s="652" t="s">
        <v>2169</v>
      </c>
    </row>
    <row r="1850" spans="3:6" s="614" customFormat="1">
      <c r="D1850" s="614" t="s">
        <v>5194</v>
      </c>
      <c r="E1850" s="685">
        <f>calcCh3Prod3Slot2CustPrice*(1+VLOOKUP(nmProd3,dataCustomerMargin,4,FALSE))</f>
        <v>0</v>
      </c>
      <c r="F1850" s="614" t="s">
        <v>6093</v>
      </c>
    </row>
    <row r="1851" spans="3:6" s="614" customFormat="1">
      <c r="D1851" s="614" t="s">
        <v>5914</v>
      </c>
      <c r="E1851" s="724" t="str">
        <f>decCh3Prod3Slot2Promo1</f>
        <v>No Promotion</v>
      </c>
    </row>
    <row r="1852" spans="3:6" s="614" customFormat="1">
      <c r="D1852" s="614" t="s">
        <v>5912</v>
      </c>
      <c r="E1852" s="954">
        <f>IF(calcCh3Prod3Slot2Active=1,IF(xxSim0Tool1=1,decCh3Prod3Slot2Promo1ShareFrc,(MMCh3Prod3Seg1Slot2UnitsSoldPromo1+MMCh3Prod3Seg2Slot2UnitsSoldPromo1+MMCh3Prod3Seg3Slot2UnitsSoldPromo1+MMCh3Prod3Seg4Slot2UnitsSoldPromo1)/(MMCh3Prod3Seg1Slot2UnitsSold+MMCh3Prod3Seg2Slot2UnitsSold+MMCh3Prod3Seg3Slot2UnitsSold+MMCh3Prod3Seg4Slot2UnitsSold)),0)</f>
        <v>0</v>
      </c>
    </row>
    <row r="1853" spans="3:6" s="614" customFormat="1">
      <c r="D1853" s="614" t="s">
        <v>5913</v>
      </c>
      <c r="E1853" s="685">
        <f>calcCh3Prod3Slot2CustPrice*(1-VLOOKUP(calcCh3Prod3Slot2Promo1Plan,dataPromoPlanDisc,4,FALSE))</f>
        <v>0</v>
      </c>
      <c r="F1853" s="614" t="s">
        <v>6005</v>
      </c>
    </row>
    <row r="1854" spans="3:6" s="614" customFormat="1">
      <c r="D1854" s="614" t="s">
        <v>1821</v>
      </c>
      <c r="E1854" s="725">
        <f>calcCh3Prod3Slot2Promo1CustPrice*calcCh3Prod3Slot2Promo1PlanShare+((1-calcCh3Prod3Slot2Promo1PlanShare)*calcCh3Prod3Slot2CustPrice)</f>
        <v>0</v>
      </c>
      <c r="F1854" s="614" t="s">
        <v>2170</v>
      </c>
    </row>
    <row r="1855" spans="3:6" s="614" customFormat="1">
      <c r="E1855" s="725"/>
    </row>
    <row r="1856" spans="3:6" s="614" customFormat="1">
      <c r="C1856" s="614" t="s">
        <v>395</v>
      </c>
    </row>
    <row r="1857" spans="2:6" s="614" customFormat="1">
      <c r="D1857" s="614" t="s">
        <v>1770</v>
      </c>
      <c r="E1857" s="686">
        <f>IF(decCh3Prod3Slot3Active=1,decCh3Prod3Slot3CustPrice,0)</f>
        <v>0</v>
      </c>
      <c r="F1857" s="652" t="s">
        <v>2171</v>
      </c>
    </row>
    <row r="1858" spans="2:6" s="614" customFormat="1">
      <c r="D1858" s="614" t="s">
        <v>5194</v>
      </c>
      <c r="E1858" s="685">
        <f>calcCh3Prod3Slot3CustPrice*(1+VLOOKUP(nmProd3,dataCustomerMargin,4,FALSE))</f>
        <v>0</v>
      </c>
      <c r="F1858" s="614" t="s">
        <v>6094</v>
      </c>
    </row>
    <row r="1859" spans="2:6" s="614" customFormat="1">
      <c r="D1859" s="614" t="s">
        <v>5914</v>
      </c>
      <c r="E1859" s="724" t="str">
        <f>decCh3Prod3Slot3Promo1</f>
        <v>No Promotion</v>
      </c>
    </row>
    <row r="1860" spans="2:6" s="614" customFormat="1">
      <c r="D1860" s="614" t="s">
        <v>5912</v>
      </c>
      <c r="E1860" s="954">
        <f>IF(calcCh3Prod3Slot3Active=1,IF(xxSim0Tool1=1,decCh3Prod3Slot3Promo1ShareFrc,(MMCh3Prod3Seg1Slot3UnitsSoldPromo1+MMCh3Prod3Seg2Slot3UnitsSoldPromo1+MMCh3Prod3Seg3Slot3UnitsSoldPromo1+MMCh3Prod3Seg4Slot3UnitsSoldPromo1)/(MMCh3Prod3Seg1Slot3UnitsSold+MMCh3Prod3Seg2Slot3UnitsSold+MMCh3Prod3Seg3Slot3UnitsSold+MMCh3Prod3Seg4Slot3UnitsSold)),0)</f>
        <v>0</v>
      </c>
    </row>
    <row r="1861" spans="2:6" s="614" customFormat="1">
      <c r="D1861" s="614" t="s">
        <v>5913</v>
      </c>
      <c r="E1861" s="685">
        <f>calcCh3Prod3Slot3CustPrice*(1-VLOOKUP(calcCh3Prod3Slot3Promo1Plan,dataPromoPlanDisc,4,FALSE))</f>
        <v>0</v>
      </c>
      <c r="F1861" s="614" t="s">
        <v>6007</v>
      </c>
    </row>
    <row r="1862" spans="2:6" s="614" customFormat="1">
      <c r="D1862" s="614" t="s">
        <v>1821</v>
      </c>
      <c r="E1862" s="725">
        <f>calcCh3Prod3Slot3Promo1CustPrice*calcCh3Prod3Slot3Promo1PlanShare+((1-calcCh3Prod3Slot3Promo1PlanShare)*calcCh3Prod3Slot3CustPrice)</f>
        <v>0</v>
      </c>
      <c r="F1862" s="614" t="s">
        <v>2172</v>
      </c>
    </row>
    <row r="1863" spans="2:6" s="614" customFormat="1">
      <c r="E1863" s="725"/>
    </row>
    <row r="1864" spans="2:6" s="614" customFormat="1">
      <c r="B1864" s="614" t="s">
        <v>240</v>
      </c>
    </row>
    <row r="1865" spans="2:6" s="614" customFormat="1">
      <c r="C1865" s="614" t="s">
        <v>379</v>
      </c>
    </row>
    <row r="1866" spans="2:6" s="614" customFormat="1">
      <c r="D1866" s="614" t="s">
        <v>1770</v>
      </c>
      <c r="E1866" s="686">
        <f>IF(decCh3Prod4Slot1Active=1,decCh3Prod4Slot1CustPrice,0)</f>
        <v>0</v>
      </c>
      <c r="F1866" s="652" t="s">
        <v>2173</v>
      </c>
    </row>
    <row r="1867" spans="2:6" s="614" customFormat="1">
      <c r="D1867" s="614" t="s">
        <v>5194</v>
      </c>
      <c r="E1867" s="685">
        <f>calcCh3Prod4Slot1CustPrice*(1+VLOOKUP(nmProd4,dataCustomerMargin,4,FALSE))</f>
        <v>0</v>
      </c>
      <c r="F1867" s="614" t="s">
        <v>6095</v>
      </c>
    </row>
    <row r="1868" spans="2:6" s="614" customFormat="1">
      <c r="D1868" s="614" t="s">
        <v>5914</v>
      </c>
      <c r="E1868" s="724" t="str">
        <f>decCh3Prod4Slot1Promo1</f>
        <v>No Promotion</v>
      </c>
    </row>
    <row r="1869" spans="2:6" s="614" customFormat="1">
      <c r="D1869" s="614" t="s">
        <v>5912</v>
      </c>
      <c r="E1869" s="954">
        <f>IF(calcCh3Prod4Slot1Active=1,IF(xxSim0Tool1=1,decCh3Prod4Slot1Promo1ShareFrc,(MMCh3Prod4Seg1Slot1UnitsSoldPromo1+MMCh3Prod4Seg2Slot1UnitsSoldPromo1+MMCh3Prod4Seg3Slot1UnitsSoldPromo1+MMCh3Prod4Seg4Slot1UnitsSoldPromo1)/(MMCh3Prod4Seg1Slot1UnitsSold+MMCh3Prod4Seg2Slot1UnitsSold+MMCh3Prod4Seg3Slot1UnitsSold+MMCh3Prod4Seg4Slot1UnitsSold)),0)</f>
        <v>0</v>
      </c>
    </row>
    <row r="1870" spans="2:6" s="614" customFormat="1">
      <c r="D1870" s="614" t="s">
        <v>5913</v>
      </c>
      <c r="E1870" s="685">
        <f>calcCh3Prod4Slot1CustPrice*(1-VLOOKUP(calcCh3Prod4Slot1Promo1Plan,dataPromoPlanDisc,4,FALSE))</f>
        <v>0</v>
      </c>
      <c r="F1870" s="614" t="s">
        <v>6009</v>
      </c>
    </row>
    <row r="1871" spans="2:6" s="614" customFormat="1">
      <c r="D1871" s="614" t="s">
        <v>1821</v>
      </c>
      <c r="E1871" s="725">
        <f>calcCh3Prod4Slot1Promo1CustPrice*calcCh3Prod4Slot1Promo1PlanShare+((1-calcCh3Prod4Slot1Promo1PlanShare)*calcCh3Prod4Slot1CustPrice)</f>
        <v>0</v>
      </c>
      <c r="F1871" s="614" t="s">
        <v>2174</v>
      </c>
    </row>
    <row r="1872" spans="2:6" s="614" customFormat="1">
      <c r="E1872" s="725"/>
    </row>
    <row r="1873" spans="3:6" s="614" customFormat="1">
      <c r="C1873" s="614" t="s">
        <v>394</v>
      </c>
    </row>
    <row r="1874" spans="3:6" s="614" customFormat="1">
      <c r="D1874" s="614" t="s">
        <v>1770</v>
      </c>
      <c r="E1874" s="686">
        <f>IF(decCh3Prod4Slot2Active=1,decCh3Prod4Slot2CustPrice,0)</f>
        <v>0</v>
      </c>
      <c r="F1874" s="652" t="s">
        <v>2175</v>
      </c>
    </row>
    <row r="1875" spans="3:6" s="614" customFormat="1">
      <c r="D1875" s="614" t="s">
        <v>5194</v>
      </c>
      <c r="E1875" s="685">
        <f>calcCh3Prod4Slot2CustPrice*(1+VLOOKUP(nmProd4,dataCustomerMargin,4,FALSE))</f>
        <v>0</v>
      </c>
      <c r="F1875" s="614" t="s">
        <v>6096</v>
      </c>
    </row>
    <row r="1876" spans="3:6" s="614" customFormat="1">
      <c r="D1876" s="614" t="s">
        <v>5914</v>
      </c>
      <c r="E1876" s="724" t="str">
        <f>decCh3Prod4Slot2Promo1</f>
        <v>No Promotion</v>
      </c>
    </row>
    <row r="1877" spans="3:6" s="614" customFormat="1">
      <c r="D1877" s="614" t="s">
        <v>5912</v>
      </c>
      <c r="E1877" s="954">
        <f>IF(calcCh3Prod4Slot2Active=1,IF(xxSim0Tool1=1,decCh3Prod4Slot2Promo1ShareFrc,(MMCh3Prod4Seg1Slot2UnitsSoldPromo1+MMCh3Prod4Seg2Slot2UnitsSoldPromo1+MMCh3Prod4Seg3Slot2UnitsSoldPromo1+MMCh3Prod4Seg4Slot2UnitsSoldPromo1)/(MMCh3Prod4Seg1Slot2UnitsSold+MMCh3Prod4Seg2Slot2UnitsSold+MMCh3Prod4Seg3Slot2UnitsSold+MMCh3Prod4Seg4Slot2UnitsSold)),0)</f>
        <v>0</v>
      </c>
    </row>
    <row r="1878" spans="3:6" s="614" customFormat="1">
      <c r="D1878" s="614" t="s">
        <v>5913</v>
      </c>
      <c r="E1878" s="685">
        <f>calcCh3Prod4Slot2CustPrice*(1-VLOOKUP(calcCh3Prod4Slot2Promo1Plan,dataPromoPlanDisc,4,FALSE))</f>
        <v>0</v>
      </c>
      <c r="F1878" s="614" t="s">
        <v>6011</v>
      </c>
    </row>
    <row r="1879" spans="3:6" s="614" customFormat="1">
      <c r="D1879" s="614" t="s">
        <v>1821</v>
      </c>
      <c r="E1879" s="725">
        <f>calcCh3Prod4Slot2Promo1CustPrice*calcCh3Prod4Slot2Promo1PlanShare+((1-calcCh3Prod4Slot2Promo1PlanShare)*calcCh3Prod4Slot2CustPrice)</f>
        <v>0</v>
      </c>
      <c r="F1879" s="614" t="s">
        <v>2176</v>
      </c>
    </row>
    <row r="1880" spans="3:6" s="614" customFormat="1">
      <c r="E1880" s="725"/>
    </row>
    <row r="1881" spans="3:6" s="614" customFormat="1">
      <c r="C1881" s="614" t="s">
        <v>395</v>
      </c>
    </row>
    <row r="1882" spans="3:6" s="614" customFormat="1">
      <c r="D1882" s="614" t="s">
        <v>1770</v>
      </c>
      <c r="E1882" s="686">
        <f>IF(decCh3Prod4Slot3Active=1,decCh3Prod4Slot3CustPrice,0)</f>
        <v>0</v>
      </c>
      <c r="F1882" s="652" t="s">
        <v>2177</v>
      </c>
    </row>
    <row r="1883" spans="3:6" s="614" customFormat="1">
      <c r="D1883" s="614" t="s">
        <v>5194</v>
      </c>
      <c r="E1883" s="685">
        <f>calcCh3Prod4Slot3CustPrice*(1+VLOOKUP(nmProd4,dataCustomerMargin,4,FALSE))</f>
        <v>0</v>
      </c>
      <c r="F1883" s="614" t="s">
        <v>6097</v>
      </c>
    </row>
    <row r="1884" spans="3:6" s="614" customFormat="1">
      <c r="D1884" s="614" t="s">
        <v>5914</v>
      </c>
      <c r="E1884" s="724" t="str">
        <f>decCh3Prod4Slot3Promo1</f>
        <v>No Promotion</v>
      </c>
    </row>
    <row r="1885" spans="3:6" s="614" customFormat="1">
      <c r="D1885" s="614" t="s">
        <v>5912</v>
      </c>
      <c r="E1885" s="954">
        <f>IF(calcCh3Prod4Slot3Active=1,IF(xxSim0Tool1=1,decCh3Prod4Slot3Promo1ShareFrc,(MMCh3Prod4Seg1Slot3UnitsSoldPromo1+MMCh3Prod4Seg2Slot3UnitsSoldPromo1+MMCh3Prod4Seg3Slot3UnitsSoldPromo1+MMCh3Prod4Seg4Slot3UnitsSoldPromo1)/(MMCh3Prod4Seg1Slot3UnitsSold+MMCh3Prod4Seg2Slot3UnitsSold+MMCh3Prod4Seg3Slot3UnitsSold+MMCh3Prod4Seg4Slot3UnitsSold)),0)</f>
        <v>0</v>
      </c>
    </row>
    <row r="1886" spans="3:6" s="614" customFormat="1">
      <c r="D1886" s="614" t="s">
        <v>5913</v>
      </c>
      <c r="E1886" s="685">
        <f>calcCh3Prod4Slot3CustPrice*(1-VLOOKUP(calcCh3Prod4Slot3Promo1Plan,dataPromoPlanDisc,4,FALSE))</f>
        <v>0</v>
      </c>
      <c r="F1886" s="614" t="s">
        <v>6013</v>
      </c>
    </row>
    <row r="1887" spans="3:6" s="614" customFormat="1">
      <c r="D1887" s="614" t="s">
        <v>1821</v>
      </c>
      <c r="E1887" s="725">
        <f>calcCh3Prod4Slot3Promo1CustPrice*calcCh3Prod4Slot3Promo1PlanShare+((1-calcCh3Prod4Slot3Promo1PlanShare)*calcCh3Prod4Slot3CustPrice)</f>
        <v>0</v>
      </c>
      <c r="F1887" s="614" t="s">
        <v>2178</v>
      </c>
    </row>
    <row r="1889" spans="1:6" s="647" customFormat="1">
      <c r="A1889" s="616" t="s">
        <v>13826</v>
      </c>
    </row>
    <row r="1890" spans="1:6" s="645" customFormat="1">
      <c r="A1890" s="646"/>
    </row>
    <row r="1891" spans="1:6" s="614" customFormat="1">
      <c r="B1891" s="614" t="s">
        <v>12868</v>
      </c>
    </row>
    <row r="1892" spans="1:6" s="614" customFormat="1">
      <c r="C1892" s="614" t="s">
        <v>379</v>
      </c>
    </row>
    <row r="1893" spans="1:6" s="614" customFormat="1">
      <c r="D1893" s="614" t="s">
        <v>1770</v>
      </c>
      <c r="E1893" s="686">
        <f>IF(decCh4Prod1Slot1Active=1,decCh4Prod1Slot1CustPrice,0)</f>
        <v>7.2</v>
      </c>
      <c r="F1893" s="652" t="s">
        <v>2179</v>
      </c>
    </row>
    <row r="1894" spans="1:6" s="614" customFormat="1">
      <c r="D1894" s="614" t="s">
        <v>5194</v>
      </c>
      <c r="E1894" s="685">
        <f>calcCh4Prod1Slot1CustPrice*(1+VLOOKUP(nmProd1,dataCustomerMargin,5,FALSE))</f>
        <v>43.2</v>
      </c>
      <c r="F1894" s="614" t="s">
        <v>6098</v>
      </c>
    </row>
    <row r="1895" spans="1:6" s="614" customFormat="1">
      <c r="D1895" s="614" t="s">
        <v>5914</v>
      </c>
      <c r="E1895" s="724" t="str">
        <f>decCh4Prod1Slot1Promo1</f>
        <v>TPR 20%</v>
      </c>
    </row>
    <row r="1896" spans="1:6" s="614" customFormat="1">
      <c r="D1896" s="614" t="s">
        <v>5912</v>
      </c>
      <c r="E1896" s="954">
        <f>IF(calcCh4Prod1Slot1Active=1,IF(xxSim0Tool1=1,decCh4Prod1Slot1Promo1ShareFrc,(MMCh4Prod1Seg1Slot1UnitsSoldPromo1+MMCh4Prod1Seg2Slot1UnitsSoldPromo1+MMCh4Prod1Seg3Slot1UnitsSoldPromo1+MMCh4Prod1Seg4Slot1UnitsSoldPromo1)/(MMCh4Prod1Seg1Slot1UnitsSold+MMCh4Prod1Seg2Slot1UnitsSold+MMCh4Prod1Seg3Slot1UnitsSold+MMCh4Prod1Seg4Slot1UnitsSold)),0)</f>
        <v>0.25</v>
      </c>
    </row>
    <row r="1897" spans="1:6" s="614" customFormat="1">
      <c r="D1897" s="614" t="s">
        <v>5913</v>
      </c>
      <c r="E1897" s="685">
        <f>calcCh4Prod1Slot1CustPrice*(1-VLOOKUP(calcCh4Prod1Slot1Promo1Plan,dataPromoPlanDisc,5,FALSE))</f>
        <v>5.7600000000000007</v>
      </c>
      <c r="F1897" s="614" t="s">
        <v>5967</v>
      </c>
    </row>
    <row r="1898" spans="1:6" s="614" customFormat="1">
      <c r="D1898" s="614" t="s">
        <v>1821</v>
      </c>
      <c r="E1898" s="725">
        <f>calcCh4Prod1Slot1Promo1CustPrice*calcCh4Prod1Slot1Promo1PlanShare+((1-calcCh4Prod1Slot1Promo1PlanShare)*calcCh4Prod1Slot1CustPrice)</f>
        <v>6.8400000000000007</v>
      </c>
      <c r="F1898" s="614" t="s">
        <v>2180</v>
      </c>
    </row>
    <row r="1899" spans="1:6" s="614" customFormat="1">
      <c r="E1899" s="725"/>
    </row>
    <row r="1900" spans="1:6" s="614" customFormat="1">
      <c r="C1900" s="614" t="s">
        <v>394</v>
      </c>
    </row>
    <row r="1901" spans="1:6" s="614" customFormat="1">
      <c r="D1901" s="614" t="s">
        <v>1770</v>
      </c>
      <c r="E1901" s="686">
        <f>IF(decCh4Prod1Slot2Active=1,decCh4Prod1Slot2CustPrice,0)</f>
        <v>0</v>
      </c>
      <c r="F1901" s="652" t="s">
        <v>2181</v>
      </c>
    </row>
    <row r="1902" spans="1:6" s="614" customFormat="1">
      <c r="D1902" s="614" t="s">
        <v>5194</v>
      </c>
      <c r="E1902" s="685">
        <f>calcCh4Prod1Slot2CustPrice*(1+VLOOKUP(nmProd1,dataCustomerMargin,5,FALSE))</f>
        <v>0</v>
      </c>
      <c r="F1902" s="614" t="s">
        <v>6099</v>
      </c>
    </row>
    <row r="1903" spans="1:6" s="614" customFormat="1">
      <c r="D1903" s="614" t="s">
        <v>5914</v>
      </c>
      <c r="E1903" s="724" t="str">
        <f>decCh4Prod1Slot2Promo1</f>
        <v>No Promotion</v>
      </c>
    </row>
    <row r="1904" spans="1:6" s="614" customFormat="1">
      <c r="D1904" s="614" t="s">
        <v>5912</v>
      </c>
      <c r="E1904" s="954">
        <f>IF(calcCh4Prod1Slot2Active=1,IF(xxSim0Tool1=1,decCh4Prod1Slot2Promo1ShareFrc,(MMCh4Prod1Seg1Slot2UnitsSoldPromo1+MMCh4Prod1Seg2Slot2UnitsSoldPromo1+MMCh4Prod1Seg3Slot2UnitsSoldPromo1+MMCh4Prod1Seg4Slot2UnitsSoldPromo1)/(MMCh4Prod1Seg1Slot2UnitsSold+MMCh4Prod1Seg2Slot2UnitsSold+MMCh4Prod1Seg3Slot2UnitsSold+MMCh4Prod1Seg4Slot2UnitsSold)),0)</f>
        <v>0</v>
      </c>
    </row>
    <row r="1905" spans="2:6" s="614" customFormat="1">
      <c r="D1905" s="614" t="s">
        <v>5913</v>
      </c>
      <c r="E1905" s="685">
        <f>calcCh4Prod1Slot2CustPrice*(1-VLOOKUP(calcCh4Prod1Slot2Promo1Plan,dataPromoPlanDisc,5,FALSE))</f>
        <v>0</v>
      </c>
      <c r="F1905" s="614" t="s">
        <v>5969</v>
      </c>
    </row>
    <row r="1906" spans="2:6" s="614" customFormat="1">
      <c r="D1906" s="614" t="s">
        <v>1821</v>
      </c>
      <c r="E1906" s="725">
        <f>calcCh4Prod1Slot2Promo1CustPrice*calcCh4Prod1Slot2Promo1PlanShare+((1-calcCh4Prod1Slot2Promo1PlanShare)*calcCh4Prod1Slot2CustPrice)</f>
        <v>0</v>
      </c>
      <c r="F1906" s="614" t="s">
        <v>2182</v>
      </c>
    </row>
    <row r="1907" spans="2:6" s="614" customFormat="1">
      <c r="E1907" s="725"/>
    </row>
    <row r="1908" spans="2:6" s="614" customFormat="1">
      <c r="C1908" s="614" t="s">
        <v>395</v>
      </c>
    </row>
    <row r="1909" spans="2:6" s="614" customFormat="1">
      <c r="D1909" s="614" t="s">
        <v>1770</v>
      </c>
      <c r="E1909" s="686">
        <f>IF(decCh4Prod1Slot3Active=1,decCh4Prod1Slot3CustPrice,0)</f>
        <v>0</v>
      </c>
      <c r="F1909" s="652" t="s">
        <v>2183</v>
      </c>
    </row>
    <row r="1910" spans="2:6" s="614" customFormat="1">
      <c r="D1910" s="614" t="s">
        <v>5194</v>
      </c>
      <c r="E1910" s="685">
        <f>calcCh4Prod1Slot3CustPrice*(1+VLOOKUP(nmProd1,dataCustomerMargin,5,FALSE))</f>
        <v>0</v>
      </c>
      <c r="F1910" s="614" t="s">
        <v>6100</v>
      </c>
    </row>
    <row r="1911" spans="2:6" s="614" customFormat="1">
      <c r="D1911" s="614" t="s">
        <v>5914</v>
      </c>
      <c r="E1911" s="724" t="str">
        <f>decCh4Prod1Slot3Promo1</f>
        <v>No Promotion</v>
      </c>
    </row>
    <row r="1912" spans="2:6" s="614" customFormat="1">
      <c r="D1912" s="614" t="s">
        <v>5912</v>
      </c>
      <c r="E1912" s="954">
        <f>IF(calcCh4Prod1Slot3Active=1,IF(xxSim0Tool1=1,decCh4Prod1Slot3Promo1ShareFrc,(MMCh4Prod1Seg1Slot3UnitsSoldPromo1+MMCh4Prod1Seg2Slot3UnitsSoldPromo1+MMCh4Prod1Seg3Slot3UnitsSoldPromo1+MMCh4Prod1Seg4Slot3UnitsSoldPromo1)/(MMCh4Prod1Seg1Slot3UnitsSold+MMCh4Prod1Seg2Slot3UnitsSold+MMCh4Prod1Seg3Slot3UnitsSold+MMCh4Prod1Seg4Slot3UnitsSold)),0)</f>
        <v>0</v>
      </c>
    </row>
    <row r="1913" spans="2:6" s="614" customFormat="1">
      <c r="D1913" s="614" t="s">
        <v>5913</v>
      </c>
      <c r="E1913" s="685">
        <f>calcCh4Prod1Slot3CustPrice*(1-VLOOKUP(calcCh4Prod1Slot3Promo1Plan,dataPromoPlanDisc,5,FALSE))</f>
        <v>0</v>
      </c>
      <c r="F1913" s="614" t="s">
        <v>5971</v>
      </c>
    </row>
    <row r="1914" spans="2:6" s="614" customFormat="1">
      <c r="D1914" s="614" t="s">
        <v>1821</v>
      </c>
      <c r="E1914" s="725">
        <f>calcCh4Prod1Slot3Promo1CustPrice*calcCh4Prod1Slot3Promo1PlanShare+((1-calcCh4Prod1Slot3Promo1PlanShare)*calcCh4Prod1Slot3CustPrice)</f>
        <v>0</v>
      </c>
      <c r="F1914" s="614" t="s">
        <v>2184</v>
      </c>
    </row>
    <row r="1915" spans="2:6" s="614" customFormat="1">
      <c r="E1915" s="725"/>
    </row>
    <row r="1916" spans="2:6" s="614" customFormat="1">
      <c r="B1916" s="614" t="s">
        <v>238</v>
      </c>
    </row>
    <row r="1917" spans="2:6" s="614" customFormat="1">
      <c r="C1917" s="614" t="s">
        <v>379</v>
      </c>
    </row>
    <row r="1918" spans="2:6" s="614" customFormat="1">
      <c r="D1918" s="614" t="s">
        <v>1770</v>
      </c>
      <c r="E1918" s="686">
        <f>IF(decCh4Prod2Slot1Active=1,decCh4Prod2Slot1CustPrice,0)</f>
        <v>7.2</v>
      </c>
      <c r="F1918" s="652" t="s">
        <v>2185</v>
      </c>
    </row>
    <row r="1919" spans="2:6" s="614" customFormat="1">
      <c r="D1919" s="614" t="s">
        <v>5194</v>
      </c>
      <c r="E1919" s="685">
        <f>calcCh4Prod2Slot1CustPrice*(1+VLOOKUP(nmProd2,dataCustomerMargin,5,FALSE))</f>
        <v>43.2</v>
      </c>
      <c r="F1919" s="614" t="s">
        <v>6101</v>
      </c>
    </row>
    <row r="1920" spans="2:6" s="614" customFormat="1">
      <c r="D1920" s="614" t="s">
        <v>5914</v>
      </c>
      <c r="E1920" s="724" t="str">
        <f>decCh4Prod2Slot1Promo1</f>
        <v>TPR 33%</v>
      </c>
    </row>
    <row r="1921" spans="3:6" s="614" customFormat="1">
      <c r="D1921" s="614" t="s">
        <v>5912</v>
      </c>
      <c r="E1921" s="954">
        <f>IF(calcCh4Prod2Slot1Active=1,IF(xxSim0Tool1=1,decCh4Prod2Slot1Promo1ShareFrc,(MMCh4Prod2Seg1Slot1UnitsSoldPromo1+MMCh4Prod2Seg2Slot1UnitsSoldPromo1+MMCh4Prod2Seg3Slot1UnitsSoldPromo1+MMCh4Prod2Seg4Slot1UnitsSoldPromo1)/(MMCh4Prod2Seg1Slot1UnitsSold+MMCh4Prod2Seg2Slot1UnitsSold+MMCh4Prod2Seg3Slot1UnitsSold+MMCh4Prod2Seg4Slot1UnitsSold)),0)</f>
        <v>0.65</v>
      </c>
    </row>
    <row r="1922" spans="3:6" s="614" customFormat="1">
      <c r="D1922" s="614" t="s">
        <v>5913</v>
      </c>
      <c r="E1922" s="685">
        <f>calcCh4Prod2Slot1CustPrice*(1-VLOOKUP(calcCh4Prod2Slot1Promo1Plan,dataPromoPlanDisc,5,FALSE))</f>
        <v>4.8239999999999998</v>
      </c>
      <c r="F1922" s="614" t="s">
        <v>5973</v>
      </c>
    </row>
    <row r="1923" spans="3:6" s="614" customFormat="1">
      <c r="D1923" s="614" t="s">
        <v>1821</v>
      </c>
      <c r="E1923" s="725">
        <f>calcCh4Prod2Slot1Promo1CustPrice*calcCh4Prod2Slot1Promo1PlanShare+((1-calcCh4Prod2Slot1Promo1PlanShare)*calcCh4Prod2Slot1CustPrice)</f>
        <v>5.6555999999999997</v>
      </c>
      <c r="F1923" s="614" t="s">
        <v>2186</v>
      </c>
    </row>
    <row r="1924" spans="3:6" s="614" customFormat="1">
      <c r="E1924" s="725"/>
    </row>
    <row r="1925" spans="3:6" s="614" customFormat="1">
      <c r="C1925" s="614" t="s">
        <v>394</v>
      </c>
    </row>
    <row r="1926" spans="3:6" s="614" customFormat="1">
      <c r="D1926" s="614" t="s">
        <v>1770</v>
      </c>
      <c r="E1926" s="686">
        <f>IF(decCh4Prod2Slot2Active=1,decCh4Prod2Slot2CustPrice,0)</f>
        <v>0</v>
      </c>
      <c r="F1926" s="652" t="s">
        <v>2187</v>
      </c>
    </row>
    <row r="1927" spans="3:6" s="614" customFormat="1">
      <c r="D1927" s="614" t="s">
        <v>5194</v>
      </c>
      <c r="E1927" s="685">
        <f>calcCh4Prod2Slot2CustPrice*(1+VLOOKUP(nmProd2,dataCustomerMargin,5,FALSE))</f>
        <v>0</v>
      </c>
      <c r="F1927" s="614" t="s">
        <v>6102</v>
      </c>
    </row>
    <row r="1928" spans="3:6" s="614" customFormat="1">
      <c r="D1928" s="614" t="s">
        <v>5914</v>
      </c>
      <c r="E1928" s="724" t="str">
        <f>decCh4Prod2Slot2Promo1</f>
        <v>No Promotion</v>
      </c>
    </row>
    <row r="1929" spans="3:6" s="614" customFormat="1">
      <c r="D1929" s="614" t="s">
        <v>5912</v>
      </c>
      <c r="E1929" s="954">
        <f>IF(calcCh4Prod2Slot2Active=1,IF(xxSim0Tool1=1,decCh4Prod2Slot2Promo1ShareFrc,(MMCh4Prod2Seg1Slot2UnitsSoldPromo1+MMCh4Prod2Seg2Slot2UnitsSoldPromo1+MMCh4Prod2Seg3Slot2UnitsSoldPromo1+MMCh4Prod2Seg4Slot2UnitsSoldPromo1)/(MMCh4Prod2Seg1Slot2UnitsSold+MMCh4Prod2Seg2Slot2UnitsSold+MMCh4Prod2Seg3Slot2UnitsSold+MMCh4Prod2Seg4Slot2UnitsSold)),0)</f>
        <v>0</v>
      </c>
    </row>
    <row r="1930" spans="3:6" s="614" customFormat="1">
      <c r="D1930" s="614" t="s">
        <v>5913</v>
      </c>
      <c r="E1930" s="685">
        <f>calcCh4Prod2Slot2CustPrice*(1-VLOOKUP(calcCh4Prod2Slot2Promo1Plan,dataPromoPlanDisc,5,FALSE))</f>
        <v>0</v>
      </c>
      <c r="F1930" s="614" t="s">
        <v>5975</v>
      </c>
    </row>
    <row r="1931" spans="3:6" s="614" customFormat="1">
      <c r="D1931" s="614" t="s">
        <v>1821</v>
      </c>
      <c r="E1931" s="725">
        <f>calcCh4Prod2Slot2Promo1CustPrice*calcCh4Prod2Slot2Promo1PlanShare+((1-calcCh4Prod2Slot2Promo1PlanShare)*calcCh4Prod2Slot2CustPrice)</f>
        <v>0</v>
      </c>
      <c r="F1931" s="614" t="s">
        <v>2188</v>
      </c>
    </row>
    <row r="1932" spans="3:6" s="614" customFormat="1">
      <c r="E1932" s="725"/>
    </row>
    <row r="1933" spans="3:6" s="614" customFormat="1">
      <c r="C1933" s="614" t="s">
        <v>395</v>
      </c>
    </row>
    <row r="1934" spans="3:6" s="614" customFormat="1">
      <c r="D1934" s="614" t="s">
        <v>1770</v>
      </c>
      <c r="E1934" s="686">
        <f>IF(decCh4Prod2Slot3Active=1,decCh4Prod2Slot3CustPrice,0)</f>
        <v>0</v>
      </c>
      <c r="F1934" s="652" t="s">
        <v>2189</v>
      </c>
    </row>
    <row r="1935" spans="3:6" s="614" customFormat="1">
      <c r="D1935" s="614" t="s">
        <v>5194</v>
      </c>
      <c r="E1935" s="685">
        <f>calcCh4Prod2Slot3CustPrice*(1+VLOOKUP(nmProd2,dataCustomerMargin,5,FALSE))</f>
        <v>0</v>
      </c>
      <c r="F1935" s="614" t="s">
        <v>6103</v>
      </c>
    </row>
    <row r="1936" spans="3:6" s="614" customFormat="1">
      <c r="D1936" s="614" t="s">
        <v>5914</v>
      </c>
      <c r="E1936" s="724" t="str">
        <f>decCh4Prod2Slot3Promo1</f>
        <v>No Promotion</v>
      </c>
    </row>
    <row r="1937" spans="2:6" s="614" customFormat="1">
      <c r="D1937" s="614" t="s">
        <v>5912</v>
      </c>
      <c r="E1937" s="954">
        <f>IF(calcCh4Prod2Slot3Active=1,IF(xxSim0Tool1=1,decCh4Prod2Slot3Promo1ShareFrc,(MMCh4Prod2Seg1Slot3UnitsSoldPromo1+MMCh4Prod2Seg2Slot3UnitsSoldPromo1+MMCh4Prod2Seg3Slot3UnitsSoldPromo1+MMCh4Prod2Seg4Slot3UnitsSoldPromo1)/(MMCh4Prod2Seg1Slot3UnitsSold+MMCh4Prod2Seg2Slot3UnitsSold+MMCh4Prod2Seg3Slot3UnitsSold+MMCh4Prod2Seg4Slot3UnitsSold)),0)</f>
        <v>0</v>
      </c>
    </row>
    <row r="1938" spans="2:6" s="614" customFormat="1">
      <c r="D1938" s="614" t="s">
        <v>5913</v>
      </c>
      <c r="E1938" s="685">
        <f>calcCh4Prod2Slot3CustPrice*(1-VLOOKUP(calcCh4Prod2Slot3Promo1Plan,dataPromoPlanDisc,5,FALSE))</f>
        <v>0</v>
      </c>
      <c r="F1938" s="614" t="s">
        <v>5977</v>
      </c>
    </row>
    <row r="1939" spans="2:6" s="614" customFormat="1">
      <c r="D1939" s="614" t="s">
        <v>1821</v>
      </c>
      <c r="E1939" s="725">
        <f>calcCh4Prod2Slot3Promo1CustPrice*calcCh4Prod2Slot3Promo1PlanShare+((1-calcCh4Prod2Slot3Promo1PlanShare)*calcCh4Prod2Slot3CustPrice)</f>
        <v>0</v>
      </c>
      <c r="F1939" s="614" t="s">
        <v>2190</v>
      </c>
    </row>
    <row r="1940" spans="2:6" s="614" customFormat="1">
      <c r="E1940" s="725"/>
    </row>
    <row r="1941" spans="2:6" s="614" customFormat="1">
      <c r="B1941" s="614" t="s">
        <v>239</v>
      </c>
    </row>
    <row r="1942" spans="2:6" s="614" customFormat="1">
      <c r="C1942" s="614" t="s">
        <v>379</v>
      </c>
    </row>
    <row r="1943" spans="2:6" s="614" customFormat="1">
      <c r="D1943" s="614" t="s">
        <v>1770</v>
      </c>
      <c r="E1943" s="686">
        <f>IF(decCh4Prod3Slot1Active=1,decCh4Prod3Slot1CustPrice,0)</f>
        <v>7.2</v>
      </c>
      <c r="F1943" s="652" t="s">
        <v>2191</v>
      </c>
    </row>
    <row r="1944" spans="2:6" s="614" customFormat="1">
      <c r="D1944" s="614" t="s">
        <v>5194</v>
      </c>
      <c r="E1944" s="685">
        <f>calcCh4Prod3Slot1CustPrice*(1+VLOOKUP(nmProd3,dataCustomerMargin,5,FALSE))</f>
        <v>43.2</v>
      </c>
      <c r="F1944" s="614" t="s">
        <v>6104</v>
      </c>
    </row>
    <row r="1945" spans="2:6" s="614" customFormat="1">
      <c r="D1945" s="614" t="s">
        <v>5914</v>
      </c>
      <c r="E1945" s="724" t="str">
        <f>decCh4Prod3Slot1Promo1</f>
        <v>No Promotion</v>
      </c>
    </row>
    <row r="1946" spans="2:6" s="614" customFormat="1">
      <c r="D1946" s="614" t="s">
        <v>5912</v>
      </c>
      <c r="E1946" s="954">
        <f>IF(calcCh4Prod3Slot1Active=1,IF(xxSim0Tool1=1,decCh4Prod3Slot1Promo1ShareFrc,(MMCh4Prod3Seg1Slot1UnitsSoldPromo1+MMCh4Prod3Seg2Slot1UnitsSoldPromo1+MMCh4Prod3Seg3Slot1UnitsSoldPromo1+MMCh4Prod3Seg4Slot1UnitsSoldPromo1)/(MMCh4Prod3Seg1Slot1UnitsSold+MMCh4Prod3Seg2Slot1UnitsSold+MMCh4Prod3Seg3Slot1UnitsSold+MMCh4Prod3Seg4Slot1UnitsSold)),0)</f>
        <v>0</v>
      </c>
    </row>
    <row r="1947" spans="2:6" s="614" customFormat="1">
      <c r="D1947" s="614" t="s">
        <v>5913</v>
      </c>
      <c r="E1947" s="685">
        <f>calcCh4Prod3Slot1CustPrice*(1-VLOOKUP(calcCh4Prod3Slot1Promo1Plan,dataPromoPlanDisc,5,FALSE))</f>
        <v>7.2</v>
      </c>
      <c r="F1947" s="614" t="s">
        <v>5979</v>
      </c>
    </row>
    <row r="1948" spans="2:6" s="614" customFormat="1">
      <c r="D1948" s="614" t="s">
        <v>1821</v>
      </c>
      <c r="E1948" s="725">
        <f>calcCh4Prod3Slot1Promo1CustPrice*calcCh4Prod3Slot1Promo1PlanShare+((1-calcCh4Prod3Slot1Promo1PlanShare)*calcCh4Prod3Slot1CustPrice)</f>
        <v>7.2</v>
      </c>
      <c r="F1948" s="614" t="s">
        <v>2192</v>
      </c>
    </row>
    <row r="1949" spans="2:6" s="614" customFormat="1">
      <c r="E1949" s="725"/>
    </row>
    <row r="1950" spans="2:6" s="614" customFormat="1">
      <c r="C1950" s="614" t="s">
        <v>394</v>
      </c>
    </row>
    <row r="1951" spans="2:6" s="614" customFormat="1">
      <c r="D1951" s="614" t="s">
        <v>1770</v>
      </c>
      <c r="E1951" s="686">
        <f>IF(decCh4Prod3Slot2Active=1,decCh4Prod3Slot2CustPrice,0)</f>
        <v>0</v>
      </c>
      <c r="F1951" s="652" t="s">
        <v>2193</v>
      </c>
    </row>
    <row r="1952" spans="2:6" s="614" customFormat="1">
      <c r="D1952" s="614" t="s">
        <v>5194</v>
      </c>
      <c r="E1952" s="685">
        <f>calcCh4Prod3Slot2CustPrice*(1+VLOOKUP(nmProd3,dataCustomerMargin,5,FALSE))</f>
        <v>0</v>
      </c>
      <c r="F1952" s="614" t="s">
        <v>6105</v>
      </c>
    </row>
    <row r="1953" spans="2:6" s="614" customFormat="1">
      <c r="D1953" s="614" t="s">
        <v>5914</v>
      </c>
      <c r="E1953" s="724" t="str">
        <f>decCh4Prod3Slot2Promo1</f>
        <v>No Promotion</v>
      </c>
    </row>
    <row r="1954" spans="2:6" s="614" customFormat="1">
      <c r="D1954" s="614" t="s">
        <v>5912</v>
      </c>
      <c r="E1954" s="954">
        <f>IF(calcCh4Prod3Slot2Active=1,IF(xxSim0Tool1=1,decCh4Prod3Slot2Promo1ShareFrc,(MMCh4Prod3Seg1Slot2UnitsSoldPromo1+MMCh4Prod3Seg2Slot2UnitsSoldPromo1+MMCh4Prod3Seg3Slot2UnitsSoldPromo1+MMCh4Prod3Seg4Slot2UnitsSoldPromo1)/(MMCh4Prod3Seg1Slot2UnitsSold+MMCh4Prod3Seg2Slot2UnitsSold+MMCh4Prod3Seg3Slot2UnitsSold+MMCh4Prod3Seg4Slot2UnitsSold)),0)</f>
        <v>0</v>
      </c>
    </row>
    <row r="1955" spans="2:6" s="614" customFormat="1">
      <c r="D1955" s="614" t="s">
        <v>5913</v>
      </c>
      <c r="E1955" s="685">
        <f>calcCh4Prod3Slot2CustPrice*(1-VLOOKUP(calcCh4Prod3Slot2Promo1Plan,dataPromoPlanDisc,5,FALSE))</f>
        <v>0</v>
      </c>
      <c r="F1955" s="614" t="s">
        <v>5981</v>
      </c>
    </row>
    <row r="1956" spans="2:6" s="614" customFormat="1">
      <c r="D1956" s="614" t="s">
        <v>1821</v>
      </c>
      <c r="E1956" s="725">
        <f>calcCh4Prod3Slot2Promo1CustPrice*calcCh4Prod3Slot2Promo1PlanShare+((1-calcCh4Prod3Slot2Promo1PlanShare)*calcCh4Prod3Slot2CustPrice)</f>
        <v>0</v>
      </c>
      <c r="F1956" s="614" t="s">
        <v>2194</v>
      </c>
    </row>
    <row r="1957" spans="2:6" s="614" customFormat="1">
      <c r="E1957" s="725"/>
    </row>
    <row r="1958" spans="2:6" s="614" customFormat="1">
      <c r="C1958" s="614" t="s">
        <v>395</v>
      </c>
    </row>
    <row r="1959" spans="2:6" s="614" customFormat="1">
      <c r="D1959" s="614" t="s">
        <v>1770</v>
      </c>
      <c r="E1959" s="686">
        <f>IF(decCh4Prod3Slot3Active=1,decCh4Prod3Slot3CustPrice,0)</f>
        <v>0</v>
      </c>
      <c r="F1959" s="652" t="s">
        <v>2195</v>
      </c>
    </row>
    <row r="1960" spans="2:6" s="614" customFormat="1">
      <c r="D1960" s="614" t="s">
        <v>5194</v>
      </c>
      <c r="E1960" s="685">
        <f>calcCh4Prod3Slot3CustPrice*(1+VLOOKUP(nmProd3,dataCustomerMargin,5,FALSE))</f>
        <v>0</v>
      </c>
      <c r="F1960" s="614" t="s">
        <v>6106</v>
      </c>
    </row>
    <row r="1961" spans="2:6" s="614" customFormat="1">
      <c r="D1961" s="614" t="s">
        <v>5914</v>
      </c>
      <c r="E1961" s="724" t="str">
        <f>decCh4Prod3Slot3Promo1</f>
        <v>No Promotion</v>
      </c>
    </row>
    <row r="1962" spans="2:6" s="614" customFormat="1">
      <c r="D1962" s="614" t="s">
        <v>5912</v>
      </c>
      <c r="E1962" s="954">
        <f>IF(calcCh4Prod3Slot3Active=1,IF(xxSim0Tool1=1,decCh4Prod3Slot3Promo1ShareFrc,(MMCh4Prod3Seg1Slot3UnitsSoldPromo1+MMCh4Prod3Seg2Slot3UnitsSoldPromo1+MMCh4Prod3Seg3Slot3UnitsSoldPromo1+MMCh4Prod3Seg4Slot3UnitsSoldPromo1)/(MMCh4Prod3Seg1Slot3UnitsSold+MMCh4Prod3Seg2Slot3UnitsSold+MMCh4Prod3Seg3Slot3UnitsSold+MMCh4Prod3Seg4Slot3UnitsSold)),0)</f>
        <v>0</v>
      </c>
    </row>
    <row r="1963" spans="2:6" s="614" customFormat="1">
      <c r="D1963" s="614" t="s">
        <v>5913</v>
      </c>
      <c r="E1963" s="685">
        <f>calcCh4Prod3Slot3CustPrice*(1-VLOOKUP(calcCh4Prod3Slot3Promo1Plan,dataPromoPlanDisc,5,FALSE))</f>
        <v>0</v>
      </c>
      <c r="F1963" s="614" t="s">
        <v>5983</v>
      </c>
    </row>
    <row r="1964" spans="2:6" s="614" customFormat="1">
      <c r="D1964" s="614" t="s">
        <v>1821</v>
      </c>
      <c r="E1964" s="725">
        <f>calcCh4Prod3Slot3Promo1CustPrice*calcCh4Prod3Slot3Promo1PlanShare+((1-calcCh4Prod3Slot3Promo1PlanShare)*calcCh4Prod3Slot3CustPrice)</f>
        <v>0</v>
      </c>
      <c r="F1964" s="614" t="s">
        <v>2196</v>
      </c>
    </row>
    <row r="1965" spans="2:6" s="614" customFormat="1">
      <c r="E1965" s="725"/>
    </row>
    <row r="1966" spans="2:6" s="614" customFormat="1">
      <c r="B1966" s="614" t="s">
        <v>240</v>
      </c>
    </row>
    <row r="1967" spans="2:6" s="614" customFormat="1">
      <c r="C1967" s="614" t="s">
        <v>379</v>
      </c>
    </row>
    <row r="1968" spans="2:6" s="614" customFormat="1">
      <c r="D1968" s="614" t="s">
        <v>1770</v>
      </c>
      <c r="E1968" s="686">
        <f>IF(decCh4Prod4Slot1Active=1,decCh4Prod4Slot1CustPrice,0)</f>
        <v>8.35</v>
      </c>
      <c r="F1968" s="652" t="s">
        <v>2197</v>
      </c>
    </row>
    <row r="1969" spans="3:6" s="614" customFormat="1">
      <c r="D1969" s="614" t="s">
        <v>5194</v>
      </c>
      <c r="E1969" s="685">
        <f>calcCh4Prod4Slot1CustPrice*(1+VLOOKUP(nmProd4,dataCustomerMargin,5,FALSE))</f>
        <v>50.099999999999994</v>
      </c>
      <c r="F1969" s="614" t="s">
        <v>6107</v>
      </c>
    </row>
    <row r="1970" spans="3:6" s="614" customFormat="1">
      <c r="D1970" s="614" t="s">
        <v>5914</v>
      </c>
      <c r="E1970" s="724" t="str">
        <f>decCh4Prod4Slot1Promo1</f>
        <v>TPR 20%</v>
      </c>
    </row>
    <row r="1971" spans="3:6" s="614" customFormat="1">
      <c r="D1971" s="614" t="s">
        <v>5912</v>
      </c>
      <c r="E1971" s="954">
        <f>IF(calcCh4Prod4Slot1Active=1,IF(xxSim0Tool1=1,decCh4Prod4Slot1Promo1ShareFrc,(MMCh4Prod4Seg1Slot1UnitsSoldPromo1+MMCh4Prod4Seg2Slot1UnitsSoldPromo1+MMCh4Prod4Seg3Slot1UnitsSoldPromo1+MMCh4Prod4Seg4Slot1UnitsSoldPromo1)/(MMCh4Prod4Seg1Slot1UnitsSold+MMCh4Prod4Seg2Slot1UnitsSold+MMCh4Prod4Seg3Slot1UnitsSold+MMCh4Prod4Seg4Slot1UnitsSold)),0)</f>
        <v>0.1</v>
      </c>
    </row>
    <row r="1972" spans="3:6" s="614" customFormat="1">
      <c r="D1972" s="614" t="s">
        <v>5913</v>
      </c>
      <c r="E1972" s="685">
        <f>calcCh4Prod4Slot1CustPrice*(1-VLOOKUP(calcCh4Prod4Slot1Promo1Plan,dataPromoPlanDisc,5,FALSE))</f>
        <v>6.68</v>
      </c>
      <c r="F1972" s="614" t="s">
        <v>5985</v>
      </c>
    </row>
    <row r="1973" spans="3:6" s="614" customFormat="1">
      <c r="D1973" s="614" t="s">
        <v>1821</v>
      </c>
      <c r="E1973" s="725">
        <f>calcCh4Prod4Slot1Promo1CustPrice*calcCh4Prod4Slot1Promo1PlanShare+((1-calcCh4Prod4Slot1Promo1PlanShare)*calcCh4Prod4Slot1CustPrice)</f>
        <v>8.1829999999999998</v>
      </c>
      <c r="F1973" s="614" t="s">
        <v>2198</v>
      </c>
    </row>
    <row r="1974" spans="3:6" s="614" customFormat="1">
      <c r="E1974" s="725"/>
    </row>
    <row r="1975" spans="3:6" s="614" customFormat="1">
      <c r="C1975" s="614" t="s">
        <v>394</v>
      </c>
    </row>
    <row r="1976" spans="3:6" s="614" customFormat="1">
      <c r="D1976" s="614" t="s">
        <v>1770</v>
      </c>
      <c r="E1976" s="686">
        <f>IF(decCh4Prod4Slot2Active=1,decCh4Prod4Slot2CustPrice,0)</f>
        <v>0</v>
      </c>
      <c r="F1976" s="652" t="s">
        <v>2199</v>
      </c>
    </row>
    <row r="1977" spans="3:6" s="614" customFormat="1">
      <c r="D1977" s="614" t="s">
        <v>5194</v>
      </c>
      <c r="E1977" s="685">
        <f>calcCh4Prod4Slot2CustPrice*(1+VLOOKUP(nmProd4,dataCustomerMargin,5,FALSE))</f>
        <v>0</v>
      </c>
      <c r="F1977" s="614" t="s">
        <v>6108</v>
      </c>
    </row>
    <row r="1978" spans="3:6" s="614" customFormat="1">
      <c r="D1978" s="614" t="s">
        <v>5914</v>
      </c>
      <c r="E1978" s="724" t="str">
        <f>decCh4Prod4Slot2Promo1</f>
        <v>No Promotion</v>
      </c>
    </row>
    <row r="1979" spans="3:6" s="614" customFormat="1">
      <c r="D1979" s="614" t="s">
        <v>5912</v>
      </c>
      <c r="E1979" s="954">
        <f>IF(calcCh4Prod4Slot2Active=1,IF(xxSim0Tool1=1,decCh4Prod4Slot2Promo1ShareFrc,(MMCh4Prod4Seg1Slot2UnitsSoldPromo1+MMCh4Prod4Seg2Slot2UnitsSoldPromo1+MMCh4Prod4Seg3Slot2UnitsSoldPromo1+MMCh4Prod4Seg4Slot2UnitsSoldPromo1)/(MMCh4Prod4Seg1Slot2UnitsSold+MMCh4Prod4Seg2Slot2UnitsSold+MMCh4Prod4Seg3Slot2UnitsSold+MMCh4Prod4Seg4Slot2UnitsSold)),0)</f>
        <v>0</v>
      </c>
    </row>
    <row r="1980" spans="3:6" s="614" customFormat="1">
      <c r="D1980" s="614" t="s">
        <v>5913</v>
      </c>
      <c r="E1980" s="685">
        <f>calcCh4Prod4Slot2CustPrice*(1-VLOOKUP(calcCh4Prod4Slot2Promo1Plan,dataPromoPlanDisc,5,FALSE))</f>
        <v>0</v>
      </c>
      <c r="F1980" s="614" t="s">
        <v>5987</v>
      </c>
    </row>
    <row r="1981" spans="3:6" s="614" customFormat="1">
      <c r="D1981" s="614" t="s">
        <v>1821</v>
      </c>
      <c r="E1981" s="725">
        <f>calcCh4Prod4Slot2Promo1CustPrice*calcCh4Prod4Slot2Promo1PlanShare+((1-calcCh4Prod4Slot2Promo1PlanShare)*calcCh4Prod4Slot2CustPrice)</f>
        <v>0</v>
      </c>
      <c r="F1981" s="614" t="s">
        <v>2200</v>
      </c>
    </row>
    <row r="1982" spans="3:6" s="614" customFormat="1">
      <c r="E1982" s="725"/>
    </row>
    <row r="1983" spans="3:6" s="614" customFormat="1">
      <c r="C1983" s="614" t="s">
        <v>395</v>
      </c>
    </row>
    <row r="1984" spans="3:6" s="614" customFormat="1">
      <c r="D1984" s="614" t="s">
        <v>1770</v>
      </c>
      <c r="E1984" s="686">
        <f>IF(decCh4Prod4Slot3Active=1,decCh4Prod4Slot3CustPrice,0)</f>
        <v>0</v>
      </c>
      <c r="F1984" s="652" t="s">
        <v>2201</v>
      </c>
    </row>
    <row r="1985" spans="1:6" s="614" customFormat="1">
      <c r="D1985" s="614" t="s">
        <v>5194</v>
      </c>
      <c r="E1985" s="685">
        <f>calcCh4Prod4Slot3CustPrice*(1+VLOOKUP(nmProd4,dataCustomerMargin,5,FALSE))</f>
        <v>0</v>
      </c>
      <c r="F1985" s="614" t="s">
        <v>6109</v>
      </c>
    </row>
    <row r="1986" spans="1:6" s="614" customFormat="1">
      <c r="D1986" s="614" t="s">
        <v>5914</v>
      </c>
      <c r="E1986" s="724" t="str">
        <f>decCh4Prod4Slot3Promo1</f>
        <v>No Promotion</v>
      </c>
    </row>
    <row r="1987" spans="1:6" s="614" customFormat="1">
      <c r="D1987" s="614" t="s">
        <v>5912</v>
      </c>
      <c r="E1987" s="954">
        <f>IF(calcCh4Prod4Slot3Active=1,IF(xxSim0Tool1=1,decCh4Prod4Slot3Promo1ShareFrc,(MMCh4Prod4Seg1Slot3UnitsSoldPromo1+MMCh4Prod4Seg2Slot3UnitsSoldPromo1+MMCh4Prod4Seg3Slot3UnitsSoldPromo1+MMCh4Prod4Seg4Slot3UnitsSoldPromo1)/(MMCh4Prod4Seg1Slot3UnitsSold+MMCh4Prod4Seg2Slot3UnitsSold+MMCh4Prod4Seg3Slot3UnitsSold+MMCh4Prod4Seg4Slot3UnitsSold)),0)</f>
        <v>0</v>
      </c>
    </row>
    <row r="1988" spans="1:6" s="614" customFormat="1">
      <c r="D1988" s="614" t="s">
        <v>5913</v>
      </c>
      <c r="E1988" s="685">
        <f>calcCh4Prod4Slot3CustPrice*(1-VLOOKUP(calcCh4Prod4Slot3Promo1Plan,dataPromoPlanDisc,5,FALSE))</f>
        <v>0</v>
      </c>
      <c r="F1988" s="614" t="s">
        <v>5989</v>
      </c>
    </row>
    <row r="1989" spans="1:6" s="614" customFormat="1">
      <c r="D1989" s="614" t="s">
        <v>1821</v>
      </c>
      <c r="E1989" s="725">
        <f>calcCh4Prod4Slot3Promo1CustPrice*calcCh4Prod4Slot3Promo1PlanShare+((1-calcCh4Prod4Slot3Promo1PlanShare)*calcCh4Prod4Slot3CustPrice)</f>
        <v>0</v>
      </c>
      <c r="F1989" s="614" t="s">
        <v>2202</v>
      </c>
    </row>
    <row r="1990" spans="1:6" s="614" customFormat="1">
      <c r="E1990" s="725"/>
    </row>
    <row r="1991" spans="1:6" s="616" customFormat="1">
      <c r="A1991" s="616" t="s">
        <v>13392</v>
      </c>
    </row>
    <row r="1992" spans="1:6" s="614" customFormat="1">
      <c r="E1992" s="725"/>
    </row>
    <row r="1993" spans="1:6" s="614" customFormat="1">
      <c r="B1993" s="614" t="s">
        <v>244</v>
      </c>
      <c r="E1993" s="725"/>
    </row>
    <row r="1994" spans="1:6" s="614" customFormat="1">
      <c r="B1994" s="614" t="s">
        <v>12868</v>
      </c>
      <c r="E1994" s="725"/>
    </row>
    <row r="1995" spans="1:6" s="614" customFormat="1">
      <c r="C1995" s="614" t="s">
        <v>379</v>
      </c>
      <c r="E1995" s="725"/>
    </row>
    <row r="1996" spans="1:6" s="614" customFormat="1">
      <c r="D1996" s="614" t="s">
        <v>13393</v>
      </c>
      <c r="E1996" s="653">
        <f>finCalcCh1Prod1Slot1VolSold*calcCh1Prod1Slot1Promo1PlanShare</f>
        <v>23199305.696000002</v>
      </c>
      <c r="F1996" s="614" t="s">
        <v>13394</v>
      </c>
    </row>
    <row r="1997" spans="1:6" s="614" customFormat="1">
      <c r="D1997" s="614" t="s">
        <v>13395</v>
      </c>
      <c r="E1997" s="725">
        <f>calcCh1Prod1Slot1Promo1CustPrice</f>
        <v>5.1589999999999998</v>
      </c>
      <c r="F1997" s="614" t="s">
        <v>13396</v>
      </c>
    </row>
    <row r="1998" spans="1:6" s="614" customFormat="1">
      <c r="D1998" s="614" t="s">
        <v>13397</v>
      </c>
      <c r="E1998" s="653">
        <f>finCalcCh1Prod1Slot1VolSold*calcCh1Prod1Slot1Promo2PlanShare</f>
        <v>23199305.696000002</v>
      </c>
      <c r="F1998" s="614" t="s">
        <v>13398</v>
      </c>
    </row>
    <row r="1999" spans="1:6" s="614" customFormat="1">
      <c r="D1999" s="614" t="s">
        <v>13399</v>
      </c>
      <c r="E1999" s="725">
        <f>calcCh1Prod1Slot1Promo2CustPrice</f>
        <v>6.16</v>
      </c>
      <c r="F1999" s="614" t="s">
        <v>13400</v>
      </c>
    </row>
    <row r="2000" spans="1:6" s="614" customFormat="1">
      <c r="D2000" s="614" t="s">
        <v>13401</v>
      </c>
      <c r="E2000" s="653">
        <f>finCalcCh1Prod1Slot1VolSold-E1996-E1998</f>
        <v>11599652.847999997</v>
      </c>
      <c r="F2000" s="614" t="s">
        <v>13402</v>
      </c>
    </row>
    <row r="2001" spans="3:6" s="614" customFormat="1">
      <c r="D2001" s="614" t="s">
        <v>13392</v>
      </c>
      <c r="E2001" s="725">
        <f>calcCh1Prod1Slot1CustPrice</f>
        <v>7.7</v>
      </c>
      <c r="F2001" s="614" t="s">
        <v>13403</v>
      </c>
    </row>
    <row r="2002" spans="3:6" s="614" customFormat="1">
      <c r="D2002" s="614" t="s">
        <v>13404</v>
      </c>
      <c r="E2002" s="653">
        <f>E1996+E1998+E2000</f>
        <v>57998264.240000002</v>
      </c>
      <c r="F2002" s="614" t="s">
        <v>13405</v>
      </c>
    </row>
    <row r="2003" spans="3:6" s="614" customFormat="1">
      <c r="D2003" s="614" t="s">
        <v>13406</v>
      </c>
      <c r="E2003" s="685">
        <f>IF(decCh1Prod1Slot1Active=1,(E1997*(E1996/E2002))+(E1999*(E1998/E2002))+(E2001*(E2000/E2002)),0)</f>
        <v>6.0676000000000005</v>
      </c>
      <c r="F2003" s="614" t="s">
        <v>13407</v>
      </c>
    </row>
    <row r="2004" spans="3:6" s="614" customFormat="1">
      <c r="E2004" s="725"/>
    </row>
    <row r="2005" spans="3:6" s="614" customFormat="1">
      <c r="C2005" s="614" t="s">
        <v>394</v>
      </c>
      <c r="E2005" s="725"/>
    </row>
    <row r="2006" spans="3:6" s="614" customFormat="1">
      <c r="D2006" s="614" t="s">
        <v>13393</v>
      </c>
      <c r="E2006" s="653">
        <f>finCalcCh1Prod1Slot2VolSold*calcCh1Prod1Slot2Promo1PlanShare</f>
        <v>0</v>
      </c>
      <c r="F2006" s="614" t="s">
        <v>13408</v>
      </c>
    </row>
    <row r="2007" spans="3:6" s="614" customFormat="1">
      <c r="D2007" s="614" t="s">
        <v>13395</v>
      </c>
      <c r="E2007" s="725">
        <f>calcCh1Prod1Slot2Promo1CustPrice</f>
        <v>0</v>
      </c>
      <c r="F2007" s="614" t="s">
        <v>13409</v>
      </c>
    </row>
    <row r="2008" spans="3:6" s="614" customFormat="1">
      <c r="D2008" s="614" t="s">
        <v>13397</v>
      </c>
      <c r="E2008" s="653">
        <f>finCalcCh1Prod1Slot2VolSold*calcCh1Prod1Slot2Promo2PlanShare</f>
        <v>0</v>
      </c>
      <c r="F2008" s="614" t="s">
        <v>13410</v>
      </c>
    </row>
    <row r="2009" spans="3:6" s="614" customFormat="1">
      <c r="D2009" s="614" t="s">
        <v>13399</v>
      </c>
      <c r="E2009" s="725">
        <f>calcCh1Prod1Slot2Promo2CustPrice</f>
        <v>0</v>
      </c>
      <c r="F2009" s="614" t="s">
        <v>13411</v>
      </c>
    </row>
    <row r="2010" spans="3:6" s="614" customFormat="1">
      <c r="D2010" s="614" t="s">
        <v>13401</v>
      </c>
      <c r="E2010" s="653">
        <f>finCalcCh1Prod1Slot2VolSold-E2006-E2008</f>
        <v>0</v>
      </c>
      <c r="F2010" s="614" t="s">
        <v>13412</v>
      </c>
    </row>
    <row r="2011" spans="3:6" s="614" customFormat="1">
      <c r="D2011" s="614" t="s">
        <v>13392</v>
      </c>
      <c r="E2011" s="725">
        <f>calcCh1Prod1Slot2CustPrice</f>
        <v>0</v>
      </c>
      <c r="F2011" s="614" t="s">
        <v>13413</v>
      </c>
    </row>
    <row r="2012" spans="3:6" s="614" customFormat="1">
      <c r="D2012" s="614" t="s">
        <v>13404</v>
      </c>
      <c r="E2012" s="653">
        <f>E2006+E2008+E2010</f>
        <v>0</v>
      </c>
      <c r="F2012" s="614" t="s">
        <v>13414</v>
      </c>
    </row>
    <row r="2013" spans="3:6" s="614" customFormat="1">
      <c r="D2013" s="614" t="s">
        <v>13406</v>
      </c>
      <c r="E2013" s="685">
        <f>IF(decCh1Prod1Slot2Active=1,(E2007*(E2006/E2012))+(E2009*(E2008/E2012))+(E2011*(E2010/E2012)),0)</f>
        <v>0</v>
      </c>
      <c r="F2013" s="614" t="s">
        <v>13415</v>
      </c>
    </row>
    <row r="2014" spans="3:6" s="614" customFormat="1">
      <c r="E2014" s="725"/>
    </row>
    <row r="2015" spans="3:6" s="614" customFormat="1">
      <c r="C2015" s="614" t="s">
        <v>395</v>
      </c>
      <c r="E2015" s="725"/>
    </row>
    <row r="2016" spans="3:6" s="614" customFormat="1">
      <c r="D2016" s="614" t="s">
        <v>13393</v>
      </c>
      <c r="E2016" s="653">
        <f>finCalcCh1Prod1Slot3VolSold*calcCh1Prod1Slot3Promo1PlanShare</f>
        <v>0</v>
      </c>
      <c r="F2016" s="614" t="s">
        <v>13416</v>
      </c>
    </row>
    <row r="2017" spans="3:6" s="614" customFormat="1">
      <c r="D2017" s="614" t="s">
        <v>13395</v>
      </c>
      <c r="E2017" s="725">
        <f>calcCh1Prod1Slot3Promo1CustPrice</f>
        <v>0</v>
      </c>
      <c r="F2017" s="614" t="s">
        <v>13417</v>
      </c>
    </row>
    <row r="2018" spans="3:6" s="614" customFormat="1">
      <c r="D2018" s="614" t="s">
        <v>13397</v>
      </c>
      <c r="E2018" s="653">
        <f>finCalcCh1Prod1Slot3VolSold*calcCh1Prod1Slot3Promo2PlanShare</f>
        <v>0</v>
      </c>
      <c r="F2018" s="614" t="s">
        <v>13418</v>
      </c>
    </row>
    <row r="2019" spans="3:6" s="614" customFormat="1">
      <c r="D2019" s="614" t="s">
        <v>13399</v>
      </c>
      <c r="E2019" s="725">
        <f>calcCh1Prod1Slot3Promo2CustPrice</f>
        <v>0</v>
      </c>
      <c r="F2019" s="614" t="s">
        <v>13419</v>
      </c>
    </row>
    <row r="2020" spans="3:6" s="614" customFormat="1">
      <c r="D2020" s="614" t="s">
        <v>13401</v>
      </c>
      <c r="E2020" s="653">
        <f>finCalcCh1Prod1Slot3VolSold-E2016-E2018</f>
        <v>0</v>
      </c>
      <c r="F2020" s="614" t="s">
        <v>13420</v>
      </c>
    </row>
    <row r="2021" spans="3:6" s="614" customFormat="1">
      <c r="D2021" s="614" t="s">
        <v>13392</v>
      </c>
      <c r="E2021" s="725">
        <f>calcCh1Prod1Slot3CustPrice</f>
        <v>0</v>
      </c>
      <c r="F2021" s="614" t="s">
        <v>13421</v>
      </c>
    </row>
    <row r="2022" spans="3:6" s="614" customFormat="1">
      <c r="D2022" s="614" t="s">
        <v>13404</v>
      </c>
      <c r="E2022" s="653">
        <f>E2016+E2018+E2020</f>
        <v>0</v>
      </c>
      <c r="F2022" s="614" t="s">
        <v>13422</v>
      </c>
    </row>
    <row r="2023" spans="3:6" s="614" customFormat="1">
      <c r="D2023" s="614" t="s">
        <v>13406</v>
      </c>
      <c r="E2023" s="685">
        <f>IF(decCh1Prod1Slot3Active=1,(E2017*(E2016/E2022))+(E2019*(E2018/E2022))+(E2021*(E2020/E2022)),0)</f>
        <v>0</v>
      </c>
      <c r="F2023" s="614" t="s">
        <v>13423</v>
      </c>
    </row>
    <row r="2024" spans="3:6" s="614" customFormat="1">
      <c r="D2024" s="800"/>
      <c r="E2024" s="800"/>
    </row>
    <row r="2025" spans="3:6" s="614" customFormat="1">
      <c r="D2025" s="800"/>
      <c r="E2025" s="800"/>
    </row>
    <row r="2026" spans="3:6" s="614" customFormat="1">
      <c r="C2026" s="614" t="s">
        <v>13424</v>
      </c>
      <c r="E2026" s="725"/>
    </row>
    <row r="2027" spans="3:6" s="614" customFormat="1">
      <c r="D2027" s="614" t="s">
        <v>13404</v>
      </c>
      <c r="E2027" s="653">
        <f>E2022+E2012+E2002</f>
        <v>57998264.240000002</v>
      </c>
      <c r="F2027" s="614" t="s">
        <v>13425</v>
      </c>
    </row>
    <row r="2028" spans="3:6" s="614" customFormat="1">
      <c r="D2028" s="614" t="s">
        <v>13406</v>
      </c>
      <c r="E2028" s="990">
        <f>IF(E2002&gt;0,E2003*(E2002/E2027)+E2013*(E2012/E2027)+E2023*(E2022/E2027),0)</f>
        <v>6.0676000000000005</v>
      </c>
      <c r="F2028" s="614" t="s">
        <v>13426</v>
      </c>
    </row>
    <row r="2029" spans="3:6" s="614" customFormat="1">
      <c r="E2029" s="991"/>
    </row>
    <row r="2030" spans="3:6" s="614" customFormat="1">
      <c r="D2030" s="614" t="s">
        <v>13427</v>
      </c>
      <c r="E2030" s="653">
        <f>E2000+E2010+E2020</f>
        <v>11599652.847999997</v>
      </c>
      <c r="F2030" s="614" t="s">
        <v>13428</v>
      </c>
    </row>
    <row r="2031" spans="3:6" s="614" customFormat="1">
      <c r="D2031" s="614" t="s">
        <v>13429</v>
      </c>
      <c r="E2031" s="990">
        <f>E2001*(E2000/E2030)+E2011*(E2010/E2030)+E2021*(E2020/E2030)</f>
        <v>7.7</v>
      </c>
      <c r="F2031" s="614" t="s">
        <v>13430</v>
      </c>
    </row>
    <row r="2032" spans="3:6" s="614" customFormat="1">
      <c r="E2032" s="991"/>
    </row>
    <row r="2033" spans="2:6" s="614" customFormat="1">
      <c r="D2033" s="614" t="s">
        <v>13431</v>
      </c>
      <c r="E2033" s="653">
        <f>E1996+E2006+E2016</f>
        <v>23199305.696000002</v>
      </c>
      <c r="F2033" s="614" t="s">
        <v>13432</v>
      </c>
    </row>
    <row r="2034" spans="2:6" s="614" customFormat="1">
      <c r="D2034" s="614" t="s">
        <v>13433</v>
      </c>
      <c r="E2034" s="990">
        <f>IF(E2033=0,0,E1997*(E1996/E2033)+E2007*(E2006/E2033)+E2017*(E2016/E2033))</f>
        <v>5.1589999999999998</v>
      </c>
      <c r="F2034" s="614" t="s">
        <v>13434</v>
      </c>
    </row>
    <row r="2035" spans="2:6" s="614" customFormat="1">
      <c r="D2035" s="614" t="s">
        <v>13435</v>
      </c>
      <c r="E2035" s="653">
        <f>E1998+E2008+E2018</f>
        <v>23199305.696000002</v>
      </c>
      <c r="F2035" s="614" t="s">
        <v>13436</v>
      </c>
    </row>
    <row r="2036" spans="2:6" s="614" customFormat="1">
      <c r="D2036" s="614" t="s">
        <v>13437</v>
      </c>
      <c r="E2036" s="990">
        <f>IF(E2035=0,0,E1999*(E1998/E2035)+E2009*(E2008/E2035)+E2019*(E2018/E2035))</f>
        <v>6.16</v>
      </c>
      <c r="F2036" s="614" t="s">
        <v>13438</v>
      </c>
    </row>
    <row r="2037" spans="2:6" s="614" customFormat="1" ht="5.45" customHeight="1">
      <c r="E2037" s="991"/>
    </row>
    <row r="2038" spans="2:6" s="614" customFormat="1">
      <c r="D2038" s="614" t="s">
        <v>8607</v>
      </c>
      <c r="E2038" s="990">
        <f>IF((E2033+E2035)=0,0,E2036*(E2035/(E2035+E2033))+(E2034*(E2033/(E2033+E2035))))</f>
        <v>5.6594999999999995</v>
      </c>
      <c r="F2038" s="614" t="s">
        <v>13439</v>
      </c>
    </row>
    <row r="2039" spans="2:6" s="614" customFormat="1">
      <c r="E2039" s="725"/>
    </row>
    <row r="2040" spans="2:6" s="614" customFormat="1">
      <c r="B2040" s="614" t="s">
        <v>238</v>
      </c>
      <c r="E2040" s="725"/>
    </row>
    <row r="2041" spans="2:6" s="614" customFormat="1">
      <c r="C2041" s="614" t="s">
        <v>379</v>
      </c>
      <c r="E2041" s="725"/>
    </row>
    <row r="2042" spans="2:6" s="614" customFormat="1">
      <c r="D2042" s="614" t="s">
        <v>13393</v>
      </c>
      <c r="E2042" s="653">
        <f>finCalcCh1Prod2Slot1VolSold*calcCh1Prod2Slot1Promo1PlanShare</f>
        <v>8221250.5199999996</v>
      </c>
      <c r="F2042" s="614" t="s">
        <v>13440</v>
      </c>
    </row>
    <row r="2043" spans="2:6" s="614" customFormat="1">
      <c r="D2043" s="614" t="s">
        <v>13395</v>
      </c>
      <c r="E2043" s="725">
        <f>calcCh1Prod2Slot1Promo1CustPrice</f>
        <v>5.2929999999999993</v>
      </c>
      <c r="F2043" s="614" t="s">
        <v>13441</v>
      </c>
    </row>
    <row r="2044" spans="2:6" s="614" customFormat="1">
      <c r="D2044" s="614" t="s">
        <v>13397</v>
      </c>
      <c r="E2044" s="653">
        <f>finCalcCh1Prod2Slot1VolSold*calcCh1Prod2Slot1Promo2PlanShare</f>
        <v>8221250.5199999996</v>
      </c>
      <c r="F2044" s="614" t="s">
        <v>13442</v>
      </c>
    </row>
    <row r="2045" spans="2:6" s="614" customFormat="1">
      <c r="D2045" s="614" t="s">
        <v>13399</v>
      </c>
      <c r="E2045" s="725">
        <f>calcCh1Prod2Slot1Promo2CustPrice</f>
        <v>7.9</v>
      </c>
      <c r="F2045" s="614" t="s">
        <v>13443</v>
      </c>
    </row>
    <row r="2046" spans="2:6" s="614" customFormat="1">
      <c r="D2046" s="614" t="s">
        <v>13401</v>
      </c>
      <c r="E2046" s="653">
        <f>finCalcCh1Prod2Slot1VolSold-E2042-E2044</f>
        <v>65770004.159999996</v>
      </c>
      <c r="F2046" s="614" t="s">
        <v>13444</v>
      </c>
    </row>
    <row r="2047" spans="2:6" s="614" customFormat="1">
      <c r="D2047" s="614" t="s">
        <v>13392</v>
      </c>
      <c r="E2047" s="725">
        <f>calcCh1Prod2Slot1CustPrice</f>
        <v>7.9</v>
      </c>
      <c r="F2047" s="614" t="s">
        <v>13445</v>
      </c>
    </row>
    <row r="2048" spans="2:6" s="614" customFormat="1">
      <c r="D2048" s="614" t="s">
        <v>13404</v>
      </c>
      <c r="E2048" s="653">
        <f>E2042+E2044+E2046</f>
        <v>82212505.199999988</v>
      </c>
      <c r="F2048" s="614" t="s">
        <v>13446</v>
      </c>
    </row>
    <row r="2049" spans="3:6" s="614" customFormat="1">
      <c r="D2049" s="614" t="s">
        <v>13406</v>
      </c>
      <c r="E2049" s="685">
        <f>IF(decCh1Prod2Slot1Active=1,(E2043*(E2042/E2048))+(E2045*(E2044/E2048))+(E2047*(E2046/E2048)),0)</f>
        <v>7.6393000000000004</v>
      </c>
      <c r="F2049" s="614" t="s">
        <v>13447</v>
      </c>
    </row>
    <row r="2050" spans="3:6" s="614" customFormat="1">
      <c r="E2050" s="725"/>
    </row>
    <row r="2051" spans="3:6" s="614" customFormat="1">
      <c r="C2051" s="614" t="s">
        <v>394</v>
      </c>
      <c r="E2051" s="725"/>
    </row>
    <row r="2052" spans="3:6" s="614" customFormat="1">
      <c r="D2052" s="614" t="s">
        <v>13393</v>
      </c>
      <c r="E2052" s="653">
        <f>finCalcCh1Prod2Slot2VolSold*calcCh1Prod2Slot2Promo1PlanShare</f>
        <v>30144585.240000002</v>
      </c>
      <c r="F2052" s="614" t="s">
        <v>13448</v>
      </c>
    </row>
    <row r="2053" spans="3:6" s="614" customFormat="1">
      <c r="D2053" s="614" t="s">
        <v>13395</v>
      </c>
      <c r="E2053" s="725">
        <f>calcCh1Prod2Slot2Promo1CustPrice</f>
        <v>6.04</v>
      </c>
      <c r="F2053" s="614" t="s">
        <v>13449</v>
      </c>
    </row>
    <row r="2054" spans="3:6" s="614" customFormat="1">
      <c r="D2054" s="614" t="s">
        <v>13397</v>
      </c>
      <c r="E2054" s="653">
        <f>finCalcCh1Prod2Slot2VolSold*calcCh1Prod2Slot2Promo2PlanShare</f>
        <v>30144585.240000002</v>
      </c>
      <c r="F2054" s="614" t="s">
        <v>13450</v>
      </c>
    </row>
    <row r="2055" spans="3:6" s="614" customFormat="1">
      <c r="D2055" s="614" t="s">
        <v>13399</v>
      </c>
      <c r="E2055" s="725">
        <f>calcCh1Prod2Slot2Promo2CustPrice</f>
        <v>5.0584999999999996</v>
      </c>
      <c r="F2055" s="614" t="s">
        <v>13451</v>
      </c>
    </row>
    <row r="2056" spans="3:6" s="614" customFormat="1">
      <c r="D2056" s="614" t="s">
        <v>13401</v>
      </c>
      <c r="E2056" s="653">
        <f>finCalcCh1Prod2Slot2VolSold-E2052-E2054</f>
        <v>40192780.32</v>
      </c>
      <c r="F2056" s="614" t="s">
        <v>13452</v>
      </c>
    </row>
    <row r="2057" spans="3:6" s="614" customFormat="1">
      <c r="D2057" s="614" t="s">
        <v>13392</v>
      </c>
      <c r="E2057" s="725">
        <f>calcCh1Prod2Slot2CustPrice</f>
        <v>7.55</v>
      </c>
      <c r="F2057" s="614" t="s">
        <v>13453</v>
      </c>
    </row>
    <row r="2058" spans="3:6" s="614" customFormat="1">
      <c r="D2058" s="614" t="s">
        <v>13404</v>
      </c>
      <c r="E2058" s="653">
        <f>E2052+E2054+E2056</f>
        <v>100481950.80000001</v>
      </c>
      <c r="F2058" s="614" t="s">
        <v>13454</v>
      </c>
    </row>
    <row r="2059" spans="3:6" s="614" customFormat="1">
      <c r="D2059" s="614" t="s">
        <v>13406</v>
      </c>
      <c r="E2059" s="685">
        <f>IF(decCh1Prod2Slot2Active=1,(E2053*(E2052/E2058))+(E2055*(E2054/E2058))+(E2057*(E2056/E2058)),0)</f>
        <v>6.3495499999999989</v>
      </c>
      <c r="F2059" s="614" t="s">
        <v>13455</v>
      </c>
    </row>
    <row r="2060" spans="3:6" s="614" customFormat="1">
      <c r="E2060" s="725"/>
    </row>
    <row r="2061" spans="3:6" s="614" customFormat="1">
      <c r="C2061" s="614" t="s">
        <v>395</v>
      </c>
      <c r="E2061" s="725"/>
    </row>
    <row r="2062" spans="3:6" s="614" customFormat="1">
      <c r="D2062" s="614" t="s">
        <v>13393</v>
      </c>
      <c r="E2062" s="653">
        <f>finCalcCh1Prod2Slot3VolSold*calcCh1Prod2Slot3Promo1PlanShare</f>
        <v>0</v>
      </c>
      <c r="F2062" s="614" t="s">
        <v>13456</v>
      </c>
    </row>
    <row r="2063" spans="3:6" s="614" customFormat="1">
      <c r="D2063" s="614" t="s">
        <v>13395</v>
      </c>
      <c r="E2063" s="725">
        <f>calcCh1Prod2Slot3Promo1CustPrice</f>
        <v>0</v>
      </c>
      <c r="F2063" s="614" t="s">
        <v>13457</v>
      </c>
    </row>
    <row r="2064" spans="3:6" s="614" customFormat="1">
      <c r="D2064" s="614" t="s">
        <v>13397</v>
      </c>
      <c r="E2064" s="653">
        <f>finCalcCh1Prod2Slot3VolSold*calcCh1Prod2Slot3Promo2PlanShare</f>
        <v>0</v>
      </c>
      <c r="F2064" s="614" t="s">
        <v>13458</v>
      </c>
    </row>
    <row r="2065" spans="3:6" s="614" customFormat="1">
      <c r="D2065" s="614" t="s">
        <v>13399</v>
      </c>
      <c r="E2065" s="725">
        <f>calcCh1Prod2Slot3Promo2CustPrice</f>
        <v>0</v>
      </c>
      <c r="F2065" s="614" t="s">
        <v>13459</v>
      </c>
    </row>
    <row r="2066" spans="3:6" s="614" customFormat="1">
      <c r="D2066" s="614" t="s">
        <v>13401</v>
      </c>
      <c r="E2066" s="653">
        <f>finCalcCh1Prod2Slot3VolSold-E2062-E2064</f>
        <v>0</v>
      </c>
      <c r="F2066" s="614" t="s">
        <v>13460</v>
      </c>
    </row>
    <row r="2067" spans="3:6" s="614" customFormat="1">
      <c r="D2067" s="614" t="s">
        <v>13392</v>
      </c>
      <c r="E2067" s="725">
        <f>calcCh1Prod2Slot3CustPrice</f>
        <v>0</v>
      </c>
      <c r="F2067" s="614" t="s">
        <v>13461</v>
      </c>
    </row>
    <row r="2068" spans="3:6" s="614" customFormat="1">
      <c r="D2068" s="614" t="s">
        <v>13404</v>
      </c>
      <c r="E2068" s="653">
        <f>E2062+E2064+E2066</f>
        <v>0</v>
      </c>
      <c r="F2068" s="614" t="s">
        <v>13462</v>
      </c>
    </row>
    <row r="2069" spans="3:6" s="614" customFormat="1">
      <c r="D2069" s="614" t="s">
        <v>13406</v>
      </c>
      <c r="E2069" s="685">
        <f>IF(decCh1Prod2Slot3Active=1,(E2063*(E2062/E2068))+(E2065*(E2064/E2068))+(E2067*(E2066/E2068)),0)</f>
        <v>0</v>
      </c>
      <c r="F2069" s="614" t="s">
        <v>13463</v>
      </c>
    </row>
    <row r="2070" spans="3:6" s="614" customFormat="1">
      <c r="D2070" s="800"/>
      <c r="E2070" s="800"/>
    </row>
    <row r="2071" spans="3:6" s="614" customFormat="1">
      <c r="D2071" s="800"/>
      <c r="E2071" s="800"/>
    </row>
    <row r="2072" spans="3:6" s="614" customFormat="1">
      <c r="C2072" s="614" t="s">
        <v>13424</v>
      </c>
      <c r="E2072" s="725"/>
    </row>
    <row r="2073" spans="3:6" s="614" customFormat="1">
      <c r="D2073" s="614" t="s">
        <v>13404</v>
      </c>
      <c r="E2073" s="725">
        <f>E2068+E2058+E2048</f>
        <v>182694456</v>
      </c>
      <c r="F2073" s="614" t="s">
        <v>13464</v>
      </c>
    </row>
    <row r="2074" spans="3:6" s="614" customFormat="1">
      <c r="D2074" s="614" t="s">
        <v>13406</v>
      </c>
      <c r="E2074" s="990">
        <f>IF(E2048&gt;0,E2049*(E2048/E2073)+E2059*(E2058/E2073)+E2069*(E2068/E2073),0)</f>
        <v>6.9299374999999994</v>
      </c>
      <c r="F2074" s="614" t="s">
        <v>13465</v>
      </c>
    </row>
    <row r="2075" spans="3:6" s="614" customFormat="1">
      <c r="E2075" s="991"/>
    </row>
    <row r="2076" spans="3:6" s="614" customFormat="1">
      <c r="D2076" s="614" t="s">
        <v>13427</v>
      </c>
      <c r="E2076" s="653">
        <f>E2046+E2056+E2066</f>
        <v>105962784.47999999</v>
      </c>
      <c r="F2076" s="614" t="s">
        <v>13466</v>
      </c>
    </row>
    <row r="2077" spans="3:6" s="614" customFormat="1">
      <c r="D2077" s="614" t="s">
        <v>13429</v>
      </c>
      <c r="E2077" s="990">
        <f>IF(E2073=0,0,E2047*(E2046/E2076)+E2057*(E2056/E2076)+E2067*(E2066/E2076))</f>
        <v>7.7672413793103452</v>
      </c>
      <c r="F2077" s="614" t="s">
        <v>13467</v>
      </c>
    </row>
    <row r="2078" spans="3:6" s="614" customFormat="1">
      <c r="E2078" s="991"/>
    </row>
    <row r="2079" spans="3:6" s="614" customFormat="1">
      <c r="D2079" s="614" t="s">
        <v>13431</v>
      </c>
      <c r="E2079" s="653">
        <f>E2042+E2052+E2062</f>
        <v>38365835.760000005</v>
      </c>
      <c r="F2079" s="614" t="s">
        <v>13468</v>
      </c>
    </row>
    <row r="2080" spans="3:6" s="614" customFormat="1">
      <c r="D2080" s="614" t="s">
        <v>13433</v>
      </c>
      <c r="E2080" s="990">
        <f>IF(E2079=0,0,E2043*(E2042/E2079)+E2053*(E2052/E2079)+E2063*(E2062/E2079))</f>
        <v>5.8799285714285707</v>
      </c>
      <c r="F2080" s="614" t="s">
        <v>13469</v>
      </c>
    </row>
    <row r="2081" spans="2:6" s="614" customFormat="1">
      <c r="D2081" s="614" t="s">
        <v>13435</v>
      </c>
      <c r="E2081" s="991">
        <f>E2044+E2054+E2064</f>
        <v>38365835.760000005</v>
      </c>
      <c r="F2081" s="614" t="s">
        <v>13470</v>
      </c>
    </row>
    <row r="2082" spans="2:6" s="614" customFormat="1">
      <c r="D2082" s="614" t="s">
        <v>13437</v>
      </c>
      <c r="E2082" s="990">
        <f>IF(E2081=0,0,E2045*(E2044/E2081)+E2055*(E2054/E2081)+E2065*(E2064/E2081))</f>
        <v>5.6673928571428567</v>
      </c>
      <c r="F2082" s="614" t="s">
        <v>13471</v>
      </c>
    </row>
    <row r="2083" spans="2:6" s="614" customFormat="1">
      <c r="E2083" s="991"/>
    </row>
    <row r="2084" spans="2:6" s="614" customFormat="1">
      <c r="D2084" s="614" t="s">
        <v>8607</v>
      </c>
      <c r="E2084" s="990">
        <f>IF((E2079+E2081)=0,0,E2082*(E2081/(E2081+E2079))+(E2080*(E2079/(E2079+E2081))))</f>
        <v>5.7736607142857137</v>
      </c>
      <c r="F2084" s="614" t="s">
        <v>13472</v>
      </c>
    </row>
    <row r="2085" spans="2:6" s="614" customFormat="1">
      <c r="E2085" s="990"/>
    </row>
    <row r="2086" spans="2:6" s="614" customFormat="1">
      <c r="B2086" s="614" t="s">
        <v>239</v>
      </c>
      <c r="E2086" s="725"/>
    </row>
    <row r="2087" spans="2:6" s="614" customFormat="1">
      <c r="C2087" s="614" t="s">
        <v>379</v>
      </c>
      <c r="E2087" s="725"/>
    </row>
    <row r="2088" spans="2:6" s="614" customFormat="1">
      <c r="D2088" s="614" t="s">
        <v>13393</v>
      </c>
      <c r="E2088" s="653">
        <f>finCalcCh1Prod3Slot1VolSold*calcCh1Prod3Slot1Promo1PlanShare</f>
        <v>4871852.16</v>
      </c>
      <c r="F2088" s="614" t="s">
        <v>13473</v>
      </c>
    </row>
    <row r="2089" spans="2:6" s="614" customFormat="1">
      <c r="D2089" s="614" t="s">
        <v>13395</v>
      </c>
      <c r="E2089" s="725">
        <f>calcCh1Prod3Slot1Promo1CustPrice</f>
        <v>5.0919999999999996</v>
      </c>
      <c r="F2089" s="614" t="s">
        <v>13474</v>
      </c>
    </row>
    <row r="2090" spans="2:6" s="614" customFormat="1">
      <c r="D2090" s="614" t="s">
        <v>13397</v>
      </c>
      <c r="E2090" s="653">
        <f>finCalcCh1Prod3Slot1VolSold*calcCh1Prod3Slot1Promo2PlanShare</f>
        <v>4871852.16</v>
      </c>
      <c r="F2090" s="614" t="s">
        <v>13475</v>
      </c>
    </row>
    <row r="2091" spans="2:6" s="614" customFormat="1">
      <c r="D2091" s="614" t="s">
        <v>13399</v>
      </c>
      <c r="E2091" s="725">
        <f>calcCh1Prod3Slot1Promo2CustPrice</f>
        <v>7.6</v>
      </c>
      <c r="F2091" s="614" t="s">
        <v>13476</v>
      </c>
    </row>
    <row r="2092" spans="2:6" s="614" customFormat="1">
      <c r="D2092" s="614" t="s">
        <v>13401</v>
      </c>
      <c r="E2092" s="653">
        <f>finCalcCh1Prod3Slot1VolSold-E2088-E2090</f>
        <v>38974817.280000001</v>
      </c>
      <c r="F2092" s="614" t="s">
        <v>13477</v>
      </c>
    </row>
    <row r="2093" spans="2:6" s="614" customFormat="1">
      <c r="D2093" s="614" t="s">
        <v>13392</v>
      </c>
      <c r="E2093" s="725">
        <f>calcCh1Prod3Slot1CustPrice</f>
        <v>7.6</v>
      </c>
      <c r="F2093" s="614" t="s">
        <v>13478</v>
      </c>
    </row>
    <row r="2094" spans="2:6" s="614" customFormat="1">
      <c r="D2094" s="614" t="s">
        <v>13404</v>
      </c>
      <c r="E2094" s="653">
        <f>E2088+E2090+E2092</f>
        <v>48718521.600000001</v>
      </c>
      <c r="F2094" s="614" t="s">
        <v>13479</v>
      </c>
    </row>
    <row r="2095" spans="2:6" s="614" customFormat="1">
      <c r="D2095" s="614" t="s">
        <v>13406</v>
      </c>
      <c r="E2095" s="685">
        <f>IF(decCh1Prod3Slot1Active=1,(E2089*(E2088/E2094))+(E2091*(E2090/E2094))+(E2093*(E2092/E2094)),0)</f>
        <v>7.3491999999999997</v>
      </c>
      <c r="F2095" s="614" t="s">
        <v>13480</v>
      </c>
    </row>
    <row r="2096" spans="2:6" s="614" customFormat="1">
      <c r="E2096" s="725"/>
    </row>
    <row r="2097" spans="3:6" s="614" customFormat="1">
      <c r="C2097" s="614" t="s">
        <v>394</v>
      </c>
      <c r="E2097" s="725"/>
    </row>
    <row r="2098" spans="3:6" s="614" customFormat="1">
      <c r="D2098" s="614" t="s">
        <v>13393</v>
      </c>
      <c r="E2098" s="653">
        <f>finCalcCh1Prod3Slot2VolSold*calcCh1Prod3Slot2Promo1PlanShare</f>
        <v>29231112.959999997</v>
      </c>
      <c r="F2098" s="614" t="s">
        <v>13481</v>
      </c>
    </row>
    <row r="2099" spans="3:6" s="614" customFormat="1">
      <c r="D2099" s="614" t="s">
        <v>13395</v>
      </c>
      <c r="E2099" s="725">
        <f>calcCh1Prod3Slot2Promo1CustPrice</f>
        <v>6.1440000000000001</v>
      </c>
      <c r="F2099" s="614" t="s">
        <v>13482</v>
      </c>
    </row>
    <row r="2100" spans="3:6" s="614" customFormat="1">
      <c r="D2100" s="614" t="s">
        <v>13397</v>
      </c>
      <c r="E2100" s="653">
        <f>finCalcCh1Prod3Slot2VolSold*calcCh1Prod3Slot2Promo2PlanShare</f>
        <v>29231112.959999997</v>
      </c>
      <c r="F2100" s="614" t="s">
        <v>13483</v>
      </c>
    </row>
    <row r="2101" spans="3:6" s="614" customFormat="1">
      <c r="D2101" s="614" t="s">
        <v>13399</v>
      </c>
      <c r="E2101" s="725">
        <f>calcCh1Prod3Slot2Promo2CustPrice</f>
        <v>7.68</v>
      </c>
      <c r="F2101" s="614" t="s">
        <v>13484</v>
      </c>
    </row>
    <row r="2102" spans="3:6" s="614" customFormat="1">
      <c r="D2102" s="614" t="s">
        <v>13401</v>
      </c>
      <c r="E2102" s="653">
        <f>finCalcCh1Prod3Slot2VolSold-E2098-E2100</f>
        <v>14615556.48</v>
      </c>
      <c r="F2102" s="614" t="s">
        <v>13485</v>
      </c>
    </row>
    <row r="2103" spans="3:6" s="614" customFormat="1">
      <c r="D2103" s="614" t="s">
        <v>13392</v>
      </c>
      <c r="E2103" s="725">
        <f>calcCh1Prod3Slot2CustPrice</f>
        <v>7.68</v>
      </c>
      <c r="F2103" s="614" t="s">
        <v>13486</v>
      </c>
    </row>
    <row r="2104" spans="3:6" s="614" customFormat="1">
      <c r="D2104" s="614" t="s">
        <v>13404</v>
      </c>
      <c r="E2104" s="653">
        <f>E2098+E2100+E2102</f>
        <v>73077782.399999991</v>
      </c>
      <c r="F2104" s="614" t="s">
        <v>13487</v>
      </c>
    </row>
    <row r="2105" spans="3:6" s="614" customFormat="1">
      <c r="D2105" s="614" t="s">
        <v>13406</v>
      </c>
      <c r="E2105" s="685">
        <f>IF(decCh1Prod3Slot2Active=1,(E2099*(E2098/E2104))+(E2101*(E2100/E2104))+(E2103*(E2102/E2104)),0)</f>
        <v>7.0656000000000008</v>
      </c>
      <c r="F2105" s="614" t="s">
        <v>13488</v>
      </c>
    </row>
    <row r="2106" spans="3:6" s="614" customFormat="1">
      <c r="E2106" s="725"/>
    </row>
    <row r="2107" spans="3:6" s="614" customFormat="1">
      <c r="C2107" s="614" t="s">
        <v>395</v>
      </c>
      <c r="E2107" s="725"/>
    </row>
    <row r="2108" spans="3:6" s="614" customFormat="1">
      <c r="D2108" s="614" t="s">
        <v>13393</v>
      </c>
      <c r="E2108" s="653">
        <f>finCalcCh1Prod3Slot3VolSold*calcCh1Prod3Slot3Promo1PlanShare</f>
        <v>0</v>
      </c>
      <c r="F2108" s="614" t="s">
        <v>13489</v>
      </c>
    </row>
    <row r="2109" spans="3:6" s="614" customFormat="1">
      <c r="D2109" s="614" t="s">
        <v>13395</v>
      </c>
      <c r="E2109" s="725">
        <f>calcCh1Prod3Slot3Promo1CustPrice</f>
        <v>0</v>
      </c>
      <c r="F2109" s="614" t="s">
        <v>13490</v>
      </c>
    </row>
    <row r="2110" spans="3:6" s="614" customFormat="1">
      <c r="D2110" s="614" t="s">
        <v>13397</v>
      </c>
      <c r="E2110" s="653">
        <f>finCalcCh1Prod3Slot3VolSold*calcCh1Prod3Slot3Promo2PlanShare</f>
        <v>0</v>
      </c>
      <c r="F2110" s="614" t="s">
        <v>13491</v>
      </c>
    </row>
    <row r="2111" spans="3:6" s="614" customFormat="1">
      <c r="D2111" s="614" t="s">
        <v>13399</v>
      </c>
      <c r="E2111" s="725">
        <f>calcCh1Prod3Slot3Promo2CustPrice</f>
        <v>0</v>
      </c>
      <c r="F2111" s="614" t="s">
        <v>13492</v>
      </c>
    </row>
    <row r="2112" spans="3:6" s="614" customFormat="1">
      <c r="D2112" s="614" t="s">
        <v>13401</v>
      </c>
      <c r="E2112" s="653">
        <f>finCalcCh1Prod3Slot3VolSold-E2108-E2110</f>
        <v>0</v>
      </c>
      <c r="F2112" s="614" t="s">
        <v>13493</v>
      </c>
    </row>
    <row r="2113" spans="3:6" s="614" customFormat="1">
      <c r="D2113" s="614" t="s">
        <v>13392</v>
      </c>
      <c r="E2113" s="725">
        <f>calcCh1Prod3Slot3CustPrice</f>
        <v>0</v>
      </c>
      <c r="F2113" s="614" t="s">
        <v>13494</v>
      </c>
    </row>
    <row r="2114" spans="3:6" s="614" customFormat="1">
      <c r="D2114" s="614" t="s">
        <v>13404</v>
      </c>
      <c r="E2114" s="653">
        <f>E2108+E2110+E2112</f>
        <v>0</v>
      </c>
      <c r="F2114" s="614" t="s">
        <v>13495</v>
      </c>
    </row>
    <row r="2115" spans="3:6" s="614" customFormat="1">
      <c r="D2115" s="614" t="s">
        <v>13406</v>
      </c>
      <c r="E2115" s="685">
        <f>IF(decCh1Prod3Slot3Active=1,(E2109*(E2108/E2114))+(E2111*(E2110/E2114))+(E2113*(E2112/E2114)),0)</f>
        <v>0</v>
      </c>
      <c r="F2115" s="614" t="s">
        <v>13496</v>
      </c>
    </row>
    <row r="2116" spans="3:6" s="614" customFormat="1">
      <c r="D2116" s="800"/>
      <c r="E2116" s="800"/>
    </row>
    <row r="2117" spans="3:6" s="614" customFormat="1">
      <c r="D2117" s="800"/>
      <c r="E2117" s="800"/>
    </row>
    <row r="2118" spans="3:6" s="614" customFormat="1">
      <c r="C2118" s="614" t="s">
        <v>13424</v>
      </c>
      <c r="E2118" s="725"/>
    </row>
    <row r="2119" spans="3:6" s="614" customFormat="1">
      <c r="D2119" s="614" t="s">
        <v>13404</v>
      </c>
      <c r="E2119" s="725">
        <f>E2114+E2104+E2094</f>
        <v>121796304</v>
      </c>
      <c r="F2119" s="614" t="s">
        <v>13497</v>
      </c>
    </row>
    <row r="2120" spans="3:6" s="614" customFormat="1">
      <c r="D2120" s="614" t="s">
        <v>13406</v>
      </c>
      <c r="E2120" s="990">
        <f>IF(E2094&gt;0,E2095*(E2094/E2119)+E2105*(E2104/E2119)+E2115*(E2114/E2119),0)</f>
        <v>7.1790400000000005</v>
      </c>
      <c r="F2120" s="614" t="s">
        <v>13498</v>
      </c>
    </row>
    <row r="2121" spans="3:6" s="614" customFormat="1">
      <c r="E2121" s="991"/>
    </row>
    <row r="2122" spans="3:6" s="614" customFormat="1">
      <c r="D2122" s="614" t="s">
        <v>13427</v>
      </c>
      <c r="E2122" s="653">
        <f>E2092+E2102+E2112</f>
        <v>53590373.760000005</v>
      </c>
      <c r="F2122" s="614" t="s">
        <v>13499</v>
      </c>
    </row>
    <row r="2123" spans="3:6" s="614" customFormat="1">
      <c r="D2123" s="614" t="s">
        <v>13429</v>
      </c>
      <c r="E2123" s="990">
        <f>IF(E2119=0,0,E2093*(E2092/E2122)+E2103*(E2102/E2122)+E2113*(E2112/E2122))</f>
        <v>7.6218181818181812</v>
      </c>
      <c r="F2123" s="614" t="s">
        <v>13500</v>
      </c>
    </row>
    <row r="2124" spans="3:6" s="614" customFormat="1">
      <c r="E2124" s="991"/>
    </row>
    <row r="2125" spans="3:6" s="614" customFormat="1">
      <c r="D2125" s="614" t="s">
        <v>13431</v>
      </c>
      <c r="E2125" s="653">
        <f>E2088+E2098+E2108</f>
        <v>34102965.119999997</v>
      </c>
      <c r="F2125" s="614" t="s">
        <v>13501</v>
      </c>
    </row>
    <row r="2126" spans="3:6" s="614" customFormat="1">
      <c r="D2126" s="614" t="s">
        <v>13433</v>
      </c>
      <c r="E2126" s="990">
        <f>IF(E2125=0,0,E2089*(E2088/E2125)+E2099*(E2098/E2125)+E2109*(E2108/E2125))</f>
        <v>5.9937142857142858</v>
      </c>
      <c r="F2126" s="614" t="s">
        <v>13502</v>
      </c>
    </row>
    <row r="2127" spans="3:6" s="614" customFormat="1">
      <c r="D2127" s="614" t="s">
        <v>13435</v>
      </c>
      <c r="E2127" s="991">
        <f>E2090+E2100+E2110</f>
        <v>34102965.119999997</v>
      </c>
      <c r="F2127" s="614" t="s">
        <v>13503</v>
      </c>
    </row>
    <row r="2128" spans="3:6" s="614" customFormat="1" ht="5.45" customHeight="1">
      <c r="D2128" s="614" t="s">
        <v>13437</v>
      </c>
      <c r="E2128" s="990">
        <f>IF(E2127=0,0,E2091*(E2090/E2127)+E2101*(E2100/E2127)+E2111*(E2110/E2127))</f>
        <v>7.6685714285714273</v>
      </c>
      <c r="F2128" s="614" t="s">
        <v>13504</v>
      </c>
    </row>
    <row r="2129" spans="2:6" s="614" customFormat="1">
      <c r="E2129" s="991"/>
    </row>
    <row r="2130" spans="2:6" s="614" customFormat="1">
      <c r="D2130" s="614" t="s">
        <v>8607</v>
      </c>
      <c r="E2130" s="990">
        <f>IF((E2125+E2127)=0,0,E2128*(E2127/(E2127+E2125))+(E2126*(E2125/(E2125+E2127))))</f>
        <v>6.8311428571428561</v>
      </c>
      <c r="F2130" s="614" t="s">
        <v>13505</v>
      </c>
    </row>
    <row r="2131" spans="2:6" s="614" customFormat="1">
      <c r="E2131" s="990"/>
    </row>
    <row r="2132" spans="2:6" s="614" customFormat="1">
      <c r="B2132" s="614" t="s">
        <v>240</v>
      </c>
      <c r="E2132" s="725"/>
    </row>
    <row r="2133" spans="2:6" s="614" customFormat="1">
      <c r="C2133" s="614" t="s">
        <v>379</v>
      </c>
      <c r="E2133" s="725"/>
    </row>
    <row r="2134" spans="2:6" s="614" customFormat="1">
      <c r="D2134" s="614" t="s">
        <v>13393</v>
      </c>
      <c r="E2134" s="653">
        <f>finCalcCh1Prod4Slot1VolSold*calcCh1Prod4Slot1Promo1PlanShare</f>
        <v>0</v>
      </c>
      <c r="F2134" s="614" t="s">
        <v>13506</v>
      </c>
    </row>
    <row r="2135" spans="2:6" s="614" customFormat="1">
      <c r="D2135" s="614" t="s">
        <v>13395</v>
      </c>
      <c r="E2135" s="725">
        <f>calcCh1Prod4Slot1Promo1CustPrice</f>
        <v>0</v>
      </c>
      <c r="F2135" s="614" t="s">
        <v>13507</v>
      </c>
    </row>
    <row r="2136" spans="2:6" s="614" customFormat="1">
      <c r="D2136" s="614" t="s">
        <v>13397</v>
      </c>
      <c r="E2136" s="653">
        <f>finCalcCh1Prod4Slot1VolSold*calcCh1Prod4Slot1Promo2PlanShare</f>
        <v>0</v>
      </c>
      <c r="F2136" s="614" t="s">
        <v>13508</v>
      </c>
    </row>
    <row r="2137" spans="2:6" s="614" customFormat="1">
      <c r="D2137" s="614" t="s">
        <v>13399</v>
      </c>
      <c r="E2137" s="725">
        <f>calcCh1Prod4Slot1Promo2CustPrice</f>
        <v>0</v>
      </c>
      <c r="F2137" s="614" t="s">
        <v>13509</v>
      </c>
    </row>
    <row r="2138" spans="2:6" s="614" customFormat="1">
      <c r="D2138" s="614" t="s">
        <v>13401</v>
      </c>
      <c r="E2138" s="653">
        <f>finCalcCh1Prod4Slot1VolSold-E2134-E2136</f>
        <v>0</v>
      </c>
      <c r="F2138" s="614" t="s">
        <v>13510</v>
      </c>
    </row>
    <row r="2139" spans="2:6" s="614" customFormat="1">
      <c r="D2139" s="614" t="s">
        <v>13392</v>
      </c>
      <c r="E2139" s="725">
        <f>calcCh1Prod4Slot1CustPrice</f>
        <v>0</v>
      </c>
      <c r="F2139" s="614" t="s">
        <v>13511</v>
      </c>
    </row>
    <row r="2140" spans="2:6" s="614" customFormat="1">
      <c r="D2140" s="614" t="s">
        <v>13404</v>
      </c>
      <c r="E2140" s="653">
        <f>E2134+E2136+E2138</f>
        <v>0</v>
      </c>
      <c r="F2140" s="614" t="s">
        <v>13512</v>
      </c>
    </row>
    <row r="2141" spans="2:6" s="614" customFormat="1">
      <c r="D2141" s="614" t="s">
        <v>13406</v>
      </c>
      <c r="E2141" s="685">
        <f>IF(decCh1Prod4Slot1Active=1,(E2135*(E2134/E2140))+(E2137*(E2136/E2140))+(E2139*(E2138/E2140)),0)</f>
        <v>0</v>
      </c>
      <c r="F2141" s="614" t="s">
        <v>13513</v>
      </c>
    </row>
    <row r="2142" spans="2:6" s="614" customFormat="1">
      <c r="E2142" s="725"/>
    </row>
    <row r="2143" spans="2:6" s="614" customFormat="1">
      <c r="C2143" s="614" t="s">
        <v>394</v>
      </c>
      <c r="E2143" s="725"/>
    </row>
    <row r="2144" spans="2:6" s="614" customFormat="1">
      <c r="D2144" s="614" t="s">
        <v>13393</v>
      </c>
      <c r="E2144" s="653">
        <f>finCalcCh1Prod4Slot2VolSold*calcCh1Prod4Slot2Promo1PlanShare</f>
        <v>0</v>
      </c>
      <c r="F2144" s="614" t="s">
        <v>13514</v>
      </c>
    </row>
    <row r="2145" spans="3:6" s="614" customFormat="1">
      <c r="D2145" s="614" t="s">
        <v>13395</v>
      </c>
      <c r="E2145" s="725">
        <f>calcCh1Prod4Slot2Promo1CustPrice</f>
        <v>0</v>
      </c>
      <c r="F2145" s="614" t="s">
        <v>13515</v>
      </c>
    </row>
    <row r="2146" spans="3:6" s="614" customFormat="1">
      <c r="D2146" s="614" t="s">
        <v>13397</v>
      </c>
      <c r="E2146" s="653">
        <f>finCalcCh1Prod4Slot2VolSold*calcCh1Prod4Slot2Promo2PlanShare</f>
        <v>0</v>
      </c>
      <c r="F2146" s="614" t="s">
        <v>13516</v>
      </c>
    </row>
    <row r="2147" spans="3:6" s="614" customFormat="1">
      <c r="D2147" s="614" t="s">
        <v>13399</v>
      </c>
      <c r="E2147" s="725">
        <f>calcCh1Prod4Slot2Promo2CustPrice</f>
        <v>0</v>
      </c>
      <c r="F2147" s="614" t="s">
        <v>13517</v>
      </c>
    </row>
    <row r="2148" spans="3:6" s="614" customFormat="1">
      <c r="D2148" s="614" t="s">
        <v>13401</v>
      </c>
      <c r="E2148" s="653">
        <f>finCalcCh1Prod4Slot2VolSold-E2144-E2146</f>
        <v>0</v>
      </c>
      <c r="F2148" s="614" t="s">
        <v>13518</v>
      </c>
    </row>
    <row r="2149" spans="3:6" s="614" customFormat="1">
      <c r="D2149" s="614" t="s">
        <v>13392</v>
      </c>
      <c r="E2149" s="725">
        <f>calcCh1Prod4Slot2CustPrice</f>
        <v>0</v>
      </c>
      <c r="F2149" s="614" t="s">
        <v>13519</v>
      </c>
    </row>
    <row r="2150" spans="3:6" s="614" customFormat="1">
      <c r="D2150" s="614" t="s">
        <v>13404</v>
      </c>
      <c r="E2150" s="653">
        <f>E2144+E2146+E2148</f>
        <v>0</v>
      </c>
      <c r="F2150" s="614" t="s">
        <v>13520</v>
      </c>
    </row>
    <row r="2151" spans="3:6" s="614" customFormat="1">
      <c r="D2151" s="614" t="s">
        <v>13406</v>
      </c>
      <c r="E2151" s="685">
        <f>IF(decCh1Prod4Slot2Active=1,(E2145*(E2144/E2150))+(E2147*(E2146/E2150))+(E2149*(E2148/E2150)),0)</f>
        <v>0</v>
      </c>
      <c r="F2151" s="614" t="s">
        <v>13521</v>
      </c>
    </row>
    <row r="2152" spans="3:6" s="614" customFormat="1">
      <c r="E2152" s="725"/>
    </row>
    <row r="2153" spans="3:6" s="614" customFormat="1">
      <c r="C2153" s="614" t="s">
        <v>395</v>
      </c>
      <c r="E2153" s="725"/>
    </row>
    <row r="2154" spans="3:6" s="614" customFormat="1">
      <c r="D2154" s="614" t="s">
        <v>13393</v>
      </c>
      <c r="E2154" s="653">
        <f>finCalcCh1Prod4Slot3VolSold*calcCh1Prod4Slot3Promo1PlanShare</f>
        <v>0</v>
      </c>
      <c r="F2154" s="614" t="s">
        <v>13522</v>
      </c>
    </row>
    <row r="2155" spans="3:6" s="614" customFormat="1">
      <c r="D2155" s="614" t="s">
        <v>13395</v>
      </c>
      <c r="E2155" s="725">
        <f>calcCh1Prod4Slot3Promo1CustPrice</f>
        <v>0</v>
      </c>
      <c r="F2155" s="614" t="s">
        <v>13523</v>
      </c>
    </row>
    <row r="2156" spans="3:6" s="614" customFormat="1">
      <c r="D2156" s="614" t="s">
        <v>13397</v>
      </c>
      <c r="E2156" s="653">
        <f>finCalcCh1Prod4Slot3VolSold*calcCh1Prod4Slot3Promo2PlanShare</f>
        <v>0</v>
      </c>
      <c r="F2156" s="614" t="s">
        <v>13524</v>
      </c>
    </row>
    <row r="2157" spans="3:6" s="614" customFormat="1">
      <c r="D2157" s="614" t="s">
        <v>13399</v>
      </c>
      <c r="E2157" s="725">
        <f>calcCh1Prod4Slot3Promo2CustPrice</f>
        <v>0</v>
      </c>
      <c r="F2157" s="614" t="s">
        <v>13525</v>
      </c>
    </row>
    <row r="2158" spans="3:6" s="614" customFormat="1">
      <c r="D2158" s="614" t="s">
        <v>13401</v>
      </c>
      <c r="E2158" s="653">
        <f>finCalcCh1Prod4Slot3VolSold-E2154-E2156</f>
        <v>0</v>
      </c>
      <c r="F2158" s="614" t="s">
        <v>13526</v>
      </c>
    </row>
    <row r="2159" spans="3:6" s="614" customFormat="1">
      <c r="D2159" s="614" t="s">
        <v>13392</v>
      </c>
      <c r="E2159" s="725">
        <f>calcCh1Prod4Slot3CustPrice</f>
        <v>0</v>
      </c>
      <c r="F2159" s="614" t="s">
        <v>13527</v>
      </c>
    </row>
    <row r="2160" spans="3:6" s="614" customFormat="1">
      <c r="D2160" s="614" t="s">
        <v>13404</v>
      </c>
      <c r="E2160" s="653">
        <f>E2154+E2156+E2158</f>
        <v>0</v>
      </c>
      <c r="F2160" s="614" t="s">
        <v>13528</v>
      </c>
    </row>
    <row r="2161" spans="3:6" s="614" customFormat="1">
      <c r="D2161" s="614" t="s">
        <v>13406</v>
      </c>
      <c r="E2161" s="685">
        <f>IF(decCh1Prod4Slot3Active=1,(E2155*(E2154/E2160))+(E2157*(E2156/E2160))+(E2159*(E2158/E2160)),0)</f>
        <v>0</v>
      </c>
      <c r="F2161" s="614" t="s">
        <v>13529</v>
      </c>
    </row>
    <row r="2162" spans="3:6" s="614" customFormat="1">
      <c r="D2162" s="800"/>
      <c r="E2162" s="800"/>
    </row>
    <row r="2163" spans="3:6" s="614" customFormat="1">
      <c r="D2163" s="800"/>
      <c r="E2163" s="800"/>
    </row>
    <row r="2164" spans="3:6" s="614" customFormat="1">
      <c r="C2164" s="614" t="s">
        <v>13424</v>
      </c>
      <c r="E2164" s="725"/>
    </row>
    <row r="2165" spans="3:6" s="614" customFormat="1">
      <c r="D2165" s="614" t="s">
        <v>13404</v>
      </c>
      <c r="E2165" s="725">
        <f>E2160+E2150+E2140</f>
        <v>0</v>
      </c>
      <c r="F2165" s="614" t="s">
        <v>13530</v>
      </c>
    </row>
    <row r="2166" spans="3:6" s="614" customFormat="1">
      <c r="D2166" s="614" t="s">
        <v>13406</v>
      </c>
      <c r="E2166" s="990">
        <f>IF(E2140&gt;0,E2141*(E2140/E2165)+E2151*(E2150/E2165)+E2161*(E2160/E2165),0)</f>
        <v>0</v>
      </c>
      <c r="F2166" s="614" t="s">
        <v>13531</v>
      </c>
    </row>
    <row r="2167" spans="3:6" s="614" customFormat="1">
      <c r="E2167" s="991"/>
    </row>
    <row r="2168" spans="3:6" s="614" customFormat="1">
      <c r="D2168" s="614" t="s">
        <v>13427</v>
      </c>
      <c r="E2168" s="653">
        <f>E2138+E2148+E2158</f>
        <v>0</v>
      </c>
      <c r="F2168" s="614" t="s">
        <v>13532</v>
      </c>
    </row>
    <row r="2169" spans="3:6" s="614" customFormat="1">
      <c r="D2169" s="614" t="s">
        <v>13429</v>
      </c>
      <c r="E2169" s="990">
        <f>IF(E2165=0,0,E2139*(E2138/E2168)+E2149*(E2148/E2168)+E2159*(E2158/E2168))</f>
        <v>0</v>
      </c>
      <c r="F2169" s="614" t="s">
        <v>13533</v>
      </c>
    </row>
    <row r="2170" spans="3:6" s="614" customFormat="1">
      <c r="E2170" s="991"/>
    </row>
    <row r="2171" spans="3:6" s="614" customFormat="1">
      <c r="D2171" s="614" t="s">
        <v>13431</v>
      </c>
      <c r="E2171" s="653">
        <f>E2134+E2144+E2154</f>
        <v>0</v>
      </c>
      <c r="F2171" s="614" t="s">
        <v>13534</v>
      </c>
    </row>
    <row r="2172" spans="3:6" s="614" customFormat="1">
      <c r="D2172" s="614" t="s">
        <v>13433</v>
      </c>
      <c r="E2172" s="990">
        <f>IF(E2171=0,0,E2135*(E2134/E2171)+E2145*(E2144/E2171)+E2155*(E2154/E2171))</f>
        <v>0</v>
      </c>
      <c r="F2172" s="614" t="s">
        <v>13535</v>
      </c>
    </row>
    <row r="2173" spans="3:6" s="614" customFormat="1">
      <c r="D2173" s="614" t="s">
        <v>13435</v>
      </c>
      <c r="E2173" s="991">
        <f>E2136+E2146+E2156</f>
        <v>0</v>
      </c>
      <c r="F2173" s="614" t="s">
        <v>13536</v>
      </c>
    </row>
    <row r="2174" spans="3:6" s="614" customFormat="1">
      <c r="D2174" s="614" t="s">
        <v>13437</v>
      </c>
      <c r="E2174" s="990">
        <f>IF(E2173=0,0,E2137*(E2136/E2173)+E2147*(E2146/E2173)+E2157*(E2156/E2173))</f>
        <v>0</v>
      </c>
      <c r="F2174" s="614" t="s">
        <v>13537</v>
      </c>
    </row>
    <row r="2175" spans="3:6" s="614" customFormat="1">
      <c r="E2175" s="991"/>
    </row>
    <row r="2176" spans="3:6" s="614" customFormat="1">
      <c r="D2176" s="614" t="s">
        <v>8607</v>
      </c>
      <c r="E2176" s="990">
        <f>IF((E2171+E2173)=0,0,E2174*(E2173/(E2173+E2171))+(E2172*(E2171/(E2171+E2173))))</f>
        <v>0</v>
      </c>
      <c r="F2176" s="614" t="s">
        <v>13538</v>
      </c>
    </row>
    <row r="2177" spans="2:6" s="614" customFormat="1">
      <c r="E2177" s="990"/>
    </row>
    <row r="2178" spans="2:6" s="614" customFormat="1">
      <c r="B2178" s="614" t="s">
        <v>5199</v>
      </c>
      <c r="E2178" s="725"/>
    </row>
    <row r="2179" spans="2:6" s="614" customFormat="1">
      <c r="B2179" s="614" t="s">
        <v>12868</v>
      </c>
      <c r="E2179" s="725"/>
    </row>
    <row r="2180" spans="2:6" s="614" customFormat="1">
      <c r="C2180" s="614" t="s">
        <v>379</v>
      </c>
      <c r="E2180" s="725"/>
    </row>
    <row r="2181" spans="2:6" s="614" customFormat="1">
      <c r="D2181" s="614" t="s">
        <v>13393</v>
      </c>
      <c r="E2181" s="653">
        <f>finCalcCh3Prod1Slot1VolSold*calcCh3Prod1Slot1Promo1PlanShare</f>
        <v>9627371.25</v>
      </c>
      <c r="F2181" s="614" t="s">
        <v>13539</v>
      </c>
    </row>
    <row r="2182" spans="2:6" s="614" customFormat="1">
      <c r="D2182" s="614" t="s">
        <v>13395</v>
      </c>
      <c r="E2182" s="725">
        <f>calcCh3Prod1Slot1Promo1CustPrice</f>
        <v>5.6400000000000006</v>
      </c>
      <c r="F2182" s="614" t="s">
        <v>13540</v>
      </c>
    </row>
    <row r="2183" spans="2:6" s="614" customFormat="1">
      <c r="D2183" s="614" t="s">
        <v>13401</v>
      </c>
      <c r="E2183" s="653">
        <f>finCalcCh3Prod1Slot1VolSold-E2181</f>
        <v>28882113.75</v>
      </c>
      <c r="F2183" s="614" t="s">
        <v>13541</v>
      </c>
    </row>
    <row r="2184" spans="2:6" s="614" customFormat="1">
      <c r="D2184" s="614" t="s">
        <v>13392</v>
      </c>
      <c r="E2184" s="725">
        <f>calcCh3Prod1Slot1CustPrice</f>
        <v>7.05</v>
      </c>
      <c r="F2184" s="614" t="s">
        <v>13542</v>
      </c>
    </row>
    <row r="2185" spans="2:6" s="614" customFormat="1">
      <c r="D2185" s="614" t="s">
        <v>13404</v>
      </c>
      <c r="E2185" s="653">
        <f>E2181+E2183</f>
        <v>38509485</v>
      </c>
      <c r="F2185" s="614" t="s">
        <v>13543</v>
      </c>
    </row>
    <row r="2186" spans="2:6" s="614" customFormat="1">
      <c r="D2186" s="614" t="s">
        <v>13406</v>
      </c>
      <c r="E2186" s="685">
        <f>IF(decCh3Prod1Slot1Active=1,(E2182*(E2181/E2185))+(E2184*(E2183/E2185)),0)</f>
        <v>6.6974999999999998</v>
      </c>
      <c r="F2186" s="614" t="s">
        <v>13544</v>
      </c>
    </row>
    <row r="2187" spans="2:6" s="614" customFormat="1">
      <c r="E2187" s="725"/>
    </row>
    <row r="2188" spans="2:6" s="614" customFormat="1">
      <c r="C2188" s="614" t="s">
        <v>394</v>
      </c>
      <c r="E2188" s="725"/>
    </row>
    <row r="2189" spans="2:6" s="614" customFormat="1">
      <c r="D2189" s="614" t="s">
        <v>13393</v>
      </c>
      <c r="E2189" s="653">
        <f>finCalcCh3Prod1Slot2VolSold*calcCh3Prod1Slot2Promo1PlanShare</f>
        <v>0</v>
      </c>
      <c r="F2189" s="614" t="s">
        <v>13545</v>
      </c>
    </row>
    <row r="2190" spans="2:6" s="614" customFormat="1">
      <c r="D2190" s="614" t="s">
        <v>13395</v>
      </c>
      <c r="E2190" s="725">
        <f>calcCh3Prod1Slot2Promo1CustPrice</f>
        <v>0</v>
      </c>
      <c r="F2190" s="614" t="s">
        <v>13546</v>
      </c>
    </row>
    <row r="2191" spans="2:6" s="614" customFormat="1">
      <c r="D2191" s="614" t="s">
        <v>13401</v>
      </c>
      <c r="E2191" s="653">
        <f>finCalcCh3Prod1Slot2VolSold-E2189</f>
        <v>0</v>
      </c>
      <c r="F2191" s="614" t="s">
        <v>13547</v>
      </c>
    </row>
    <row r="2192" spans="2:6" s="614" customFormat="1">
      <c r="D2192" s="614" t="s">
        <v>13392</v>
      </c>
      <c r="E2192" s="725">
        <f>calcCh3Prod1Slot2CustPrice</f>
        <v>0</v>
      </c>
      <c r="F2192" s="614" t="s">
        <v>13548</v>
      </c>
    </row>
    <row r="2193" spans="3:6" s="614" customFormat="1">
      <c r="D2193" s="614" t="s">
        <v>13404</v>
      </c>
      <c r="E2193" s="653">
        <f>E2189+E2191</f>
        <v>0</v>
      </c>
      <c r="F2193" s="614" t="s">
        <v>13549</v>
      </c>
    </row>
    <row r="2194" spans="3:6" s="614" customFormat="1">
      <c r="D2194" s="614" t="s">
        <v>13406</v>
      </c>
      <c r="E2194" s="685">
        <f>IF(decCh3Prod1Slot2Active=1,(E2190*(E2189/E2193))+(E2192*(E2191/E2193)),0)</f>
        <v>0</v>
      </c>
      <c r="F2194" s="614" t="s">
        <v>13550</v>
      </c>
    </row>
    <row r="2195" spans="3:6" s="614" customFormat="1">
      <c r="E2195" s="725"/>
    </row>
    <row r="2196" spans="3:6" s="614" customFormat="1">
      <c r="C2196" s="614" t="s">
        <v>395</v>
      </c>
      <c r="E2196" s="725"/>
    </row>
    <row r="2197" spans="3:6" s="614" customFormat="1">
      <c r="D2197" s="614" t="s">
        <v>13393</v>
      </c>
      <c r="E2197" s="653">
        <f>finCalcCh3Prod1Slot3VolSold*calcCh3Prod1Slot3Promo1PlanShare</f>
        <v>0</v>
      </c>
      <c r="F2197" s="614" t="s">
        <v>13551</v>
      </c>
    </row>
    <row r="2198" spans="3:6" s="614" customFormat="1">
      <c r="D2198" s="614" t="s">
        <v>13395</v>
      </c>
      <c r="E2198" s="725">
        <f>calcCh3Prod1Slot3Promo1CustPrice</f>
        <v>0</v>
      </c>
      <c r="F2198" s="614" t="s">
        <v>13552</v>
      </c>
    </row>
    <row r="2199" spans="3:6" s="614" customFormat="1">
      <c r="D2199" s="614" t="s">
        <v>13401</v>
      </c>
      <c r="E2199" s="653">
        <f>finCalcCh3Prod1Slot3VolSold-E2197</f>
        <v>0</v>
      </c>
      <c r="F2199" s="614" t="s">
        <v>13553</v>
      </c>
    </row>
    <row r="2200" spans="3:6" s="614" customFormat="1">
      <c r="D2200" s="614" t="s">
        <v>13392</v>
      </c>
      <c r="E2200" s="725">
        <f>calcCh3Prod1Slot3CustPrice</f>
        <v>0</v>
      </c>
      <c r="F2200" s="614" t="s">
        <v>13554</v>
      </c>
    </row>
    <row r="2201" spans="3:6" s="614" customFormat="1">
      <c r="D2201" s="614" t="s">
        <v>13404</v>
      </c>
      <c r="E2201" s="653">
        <f>E2197+E2199</f>
        <v>0</v>
      </c>
      <c r="F2201" s="614" t="s">
        <v>13555</v>
      </c>
    </row>
    <row r="2202" spans="3:6" s="614" customFormat="1">
      <c r="D2202" s="614" t="s">
        <v>13406</v>
      </c>
      <c r="E2202" s="685">
        <f>IF(decCh3Prod1Slot3Active=1,(E2198*(E2197/E2201))+(E2200*(E2199/E2201)),0)</f>
        <v>0</v>
      </c>
      <c r="F2202" s="614" t="s">
        <v>13556</v>
      </c>
    </row>
    <row r="2203" spans="3:6" s="614" customFormat="1">
      <c r="D2203" s="800"/>
      <c r="E2203" s="800"/>
    </row>
    <row r="2204" spans="3:6" s="614" customFormat="1">
      <c r="D2204" s="800"/>
      <c r="E2204" s="800"/>
    </row>
    <row r="2205" spans="3:6" s="614" customFormat="1">
      <c r="C2205" s="614" t="s">
        <v>13424</v>
      </c>
      <c r="E2205" s="725"/>
    </row>
    <row r="2206" spans="3:6" s="614" customFormat="1">
      <c r="D2206" s="614" t="s">
        <v>13404</v>
      </c>
      <c r="E2206" s="725">
        <f>E2201+E2193+E2185</f>
        <v>38509485</v>
      </c>
      <c r="F2206" s="614" t="s">
        <v>13557</v>
      </c>
    </row>
    <row r="2207" spans="3:6" s="614" customFormat="1">
      <c r="D2207" s="614" t="s">
        <v>13406</v>
      </c>
      <c r="E2207" s="990">
        <f>IF(E2185&gt;0,E2186*(E2185/E2206)+E2194*(E2193/E2206)+E2202*(E2201/E2206),0)</f>
        <v>6.6974999999999998</v>
      </c>
      <c r="F2207" s="614" t="s">
        <v>13558</v>
      </c>
    </row>
    <row r="2208" spans="3:6" s="614" customFormat="1">
      <c r="E2208" s="991"/>
    </row>
    <row r="2209" spans="2:6" s="614" customFormat="1">
      <c r="D2209" s="614" t="s">
        <v>13427</v>
      </c>
      <c r="E2209" s="653">
        <f>E2183+E2191+E2199</f>
        <v>28882113.75</v>
      </c>
      <c r="F2209" s="614" t="s">
        <v>13559</v>
      </c>
    </row>
    <row r="2210" spans="2:6" s="614" customFormat="1">
      <c r="D2210" s="614" t="s">
        <v>13429</v>
      </c>
      <c r="E2210" s="990">
        <f>IF(E2206=0,0,E2184*(E2183/E2209)+E2192*(E2191/E2209)+E2200*(E2199/E2209))</f>
        <v>7.05</v>
      </c>
      <c r="F2210" s="614" t="s">
        <v>13560</v>
      </c>
    </row>
    <row r="2211" spans="2:6" s="614" customFormat="1">
      <c r="E2211" s="991"/>
    </row>
    <row r="2212" spans="2:6" s="614" customFormat="1">
      <c r="D2212" s="614" t="s">
        <v>13431</v>
      </c>
      <c r="E2212" s="653">
        <f>E2181+E2189+E2197</f>
        <v>9627371.25</v>
      </c>
      <c r="F2212" s="614" t="s">
        <v>13561</v>
      </c>
    </row>
    <row r="2213" spans="2:6" s="614" customFormat="1">
      <c r="D2213" s="614" t="s">
        <v>13433</v>
      </c>
      <c r="E2213" s="990">
        <f>IF(E2212=0,0,E2182*(E2181/E2212)+E2190*(E2189/E2212)+E2198*(E2197/E2212))</f>
        <v>5.6400000000000006</v>
      </c>
      <c r="F2213" s="614" t="s">
        <v>13562</v>
      </c>
    </row>
    <row r="2214" spans="2:6" s="614" customFormat="1" ht="5.45" customHeight="1">
      <c r="E2214" s="991"/>
    </row>
    <row r="2215" spans="2:6" s="614" customFormat="1">
      <c r="D2215" s="614" t="s">
        <v>8607</v>
      </c>
      <c r="E2215" s="990">
        <f>IF((E2212)=0,0,(E2213*(E2212/(E2212))))</f>
        <v>5.6400000000000006</v>
      </c>
      <c r="F2215" s="614" t="s">
        <v>13731</v>
      </c>
    </row>
    <row r="2216" spans="2:6" s="614" customFormat="1">
      <c r="E2216" s="725"/>
    </row>
    <row r="2217" spans="2:6" s="614" customFormat="1">
      <c r="B2217" s="614" t="s">
        <v>238</v>
      </c>
      <c r="E2217" s="725"/>
    </row>
    <row r="2218" spans="2:6" s="614" customFormat="1">
      <c r="C2218" s="614" t="s">
        <v>379</v>
      </c>
      <c r="E2218" s="725"/>
    </row>
    <row r="2219" spans="2:6" s="614" customFormat="1">
      <c r="D2219" s="614" t="s">
        <v>13393</v>
      </c>
      <c r="E2219" s="653">
        <f>finCalcCh3Prod2Slot1VolSold*calcCh3Prod2Slot1Promo1PlanShare</f>
        <v>5794760.6000000006</v>
      </c>
      <c r="F2219" s="614" t="s">
        <v>13563</v>
      </c>
    </row>
    <row r="2220" spans="2:6" s="614" customFormat="1">
      <c r="D2220" s="614" t="s">
        <v>13395</v>
      </c>
      <c r="E2220" s="725">
        <f>calcCh3Prod2Slot1Promo1CustPrice</f>
        <v>5.2929999999999993</v>
      </c>
      <c r="F2220" s="614" t="s">
        <v>13564</v>
      </c>
    </row>
    <row r="2221" spans="2:6" s="614" customFormat="1">
      <c r="D2221" s="614" t="s">
        <v>13401</v>
      </c>
      <c r="E2221" s="653">
        <f>finCalcCh3Prod2Slot1VolSold-E2219</f>
        <v>23179042.399999999</v>
      </c>
      <c r="F2221" s="614" t="s">
        <v>13565</v>
      </c>
    </row>
    <row r="2222" spans="2:6" s="614" customFormat="1">
      <c r="D2222" s="614" t="s">
        <v>13392</v>
      </c>
      <c r="E2222" s="725">
        <f>calcCh3Prod2Slot1CustPrice</f>
        <v>7.9</v>
      </c>
      <c r="F2222" s="614" t="s">
        <v>13566</v>
      </c>
    </row>
    <row r="2223" spans="2:6" s="614" customFormat="1">
      <c r="D2223" s="614" t="s">
        <v>13404</v>
      </c>
      <c r="E2223" s="653">
        <f>E2219+E2221</f>
        <v>28973803</v>
      </c>
      <c r="F2223" s="614" t="s">
        <v>13567</v>
      </c>
    </row>
    <row r="2224" spans="2:6" s="614" customFormat="1">
      <c r="D2224" s="614" t="s">
        <v>13406</v>
      </c>
      <c r="E2224" s="685">
        <f>IF(decCh3Prod2Slot1Active=1,(E2220*(E2219/E2223))+(E2222*(E2221/E2223)),0)</f>
        <v>7.3785999999999996</v>
      </c>
      <c r="F2224" s="614" t="s">
        <v>13568</v>
      </c>
    </row>
    <row r="2225" spans="3:6" s="614" customFormat="1">
      <c r="E2225" s="725"/>
    </row>
    <row r="2226" spans="3:6" s="614" customFormat="1">
      <c r="C2226" s="614" t="s">
        <v>394</v>
      </c>
      <c r="E2226" s="725"/>
    </row>
    <row r="2227" spans="3:6" s="614" customFormat="1">
      <c r="D2227" s="614" t="s">
        <v>13393</v>
      </c>
      <c r="E2227" s="653">
        <f>finCalcCh3Prod2Slot2VolSold*calcCh3Prod2Slot2Promo1PlanShare</f>
        <v>8692140.9000000004</v>
      </c>
      <c r="F2227" s="614" t="s">
        <v>13569</v>
      </c>
    </row>
    <row r="2228" spans="3:6" s="614" customFormat="1">
      <c r="D2228" s="614" t="s">
        <v>13395</v>
      </c>
      <c r="E2228" s="725">
        <f>calcCh3Prod2Slot2Promo1CustPrice</f>
        <v>6.4</v>
      </c>
      <c r="F2228" s="614" t="s">
        <v>13570</v>
      </c>
    </row>
    <row r="2229" spans="3:6" s="614" customFormat="1">
      <c r="D2229" s="614" t="s">
        <v>13401</v>
      </c>
      <c r="E2229" s="653">
        <f>finCalcCh3Prod2Slot2VolSold-E2227</f>
        <v>34768563.600000001</v>
      </c>
      <c r="F2229" s="614" t="s">
        <v>13571</v>
      </c>
    </row>
    <row r="2230" spans="3:6" s="614" customFormat="1">
      <c r="D2230" s="614" t="s">
        <v>13392</v>
      </c>
      <c r="E2230" s="725">
        <f>calcCh3Prod2Slot2CustPrice</f>
        <v>8</v>
      </c>
      <c r="F2230" s="614" t="s">
        <v>13572</v>
      </c>
    </row>
    <row r="2231" spans="3:6" s="614" customFormat="1">
      <c r="D2231" s="614" t="s">
        <v>13404</v>
      </c>
      <c r="E2231" s="653">
        <f>E2227+E2229</f>
        <v>43460704.5</v>
      </c>
      <c r="F2231" s="614" t="s">
        <v>13573</v>
      </c>
    </row>
    <row r="2232" spans="3:6" s="614" customFormat="1">
      <c r="D2232" s="614" t="s">
        <v>13406</v>
      </c>
      <c r="E2232" s="685">
        <f>IF(decCh3Prod2Slot2Active=1,(E2228*(E2227/E2231))+(E2230*(E2229/E2231)),0)</f>
        <v>7.6800000000000006</v>
      </c>
      <c r="F2232" s="614" t="s">
        <v>13574</v>
      </c>
    </row>
    <row r="2233" spans="3:6" s="614" customFormat="1">
      <c r="E2233" s="725"/>
    </row>
    <row r="2234" spans="3:6" s="614" customFormat="1">
      <c r="C2234" s="614" t="s">
        <v>395</v>
      </c>
      <c r="E2234" s="725"/>
    </row>
    <row r="2235" spans="3:6" s="614" customFormat="1">
      <c r="D2235" s="614" t="s">
        <v>13393</v>
      </c>
      <c r="E2235" s="653">
        <f>finCalcCh3Prod2Slot3VolSold*calcCh3Prod2Slot3Promo1PlanShare</f>
        <v>0</v>
      </c>
      <c r="F2235" s="614" t="s">
        <v>13575</v>
      </c>
    </row>
    <row r="2236" spans="3:6" s="614" customFormat="1">
      <c r="D2236" s="614" t="s">
        <v>13395</v>
      </c>
      <c r="E2236" s="725">
        <f>calcCh3Prod2Slot3Promo1CustPrice</f>
        <v>0</v>
      </c>
      <c r="F2236" s="614" t="s">
        <v>13576</v>
      </c>
    </row>
    <row r="2237" spans="3:6" s="614" customFormat="1">
      <c r="D2237" s="614" t="s">
        <v>13401</v>
      </c>
      <c r="E2237" s="653">
        <f>finCalcCh3Prod2Slot3VolSold-E2235</f>
        <v>0</v>
      </c>
      <c r="F2237" s="614" t="s">
        <v>13577</v>
      </c>
    </row>
    <row r="2238" spans="3:6" s="614" customFormat="1">
      <c r="D2238" s="614" t="s">
        <v>13392</v>
      </c>
      <c r="E2238" s="725">
        <f>calcCh3Prod2Slot3CustPrice</f>
        <v>0</v>
      </c>
      <c r="F2238" s="614" t="s">
        <v>13578</v>
      </c>
    </row>
    <row r="2239" spans="3:6" s="614" customFormat="1">
      <c r="D2239" s="614" t="s">
        <v>13404</v>
      </c>
      <c r="E2239" s="653">
        <f>E2235+E2237</f>
        <v>0</v>
      </c>
      <c r="F2239" s="614" t="s">
        <v>13579</v>
      </c>
    </row>
    <row r="2240" spans="3:6" s="614" customFormat="1">
      <c r="D2240" s="614" t="s">
        <v>13406</v>
      </c>
      <c r="E2240" s="685">
        <f>IF(decCh3Prod2Slot3Active=1,(E2236*(E2235/E2239))+(E2238*(E2237/E2239)),0)</f>
        <v>0</v>
      </c>
      <c r="F2240" s="614" t="s">
        <v>13580</v>
      </c>
    </row>
    <row r="2241" spans="2:6" s="614" customFormat="1">
      <c r="D2241" s="800"/>
      <c r="E2241" s="800"/>
    </row>
    <row r="2242" spans="2:6" s="614" customFormat="1">
      <c r="D2242" s="800"/>
      <c r="E2242" s="800"/>
    </row>
    <row r="2243" spans="2:6" s="614" customFormat="1">
      <c r="C2243" s="614" t="s">
        <v>13424</v>
      </c>
      <c r="E2243" s="725"/>
    </row>
    <row r="2244" spans="2:6" s="614" customFormat="1">
      <c r="D2244" s="614" t="s">
        <v>13404</v>
      </c>
      <c r="E2244" s="725">
        <f>E2239+E2231+E2223</f>
        <v>72434507.5</v>
      </c>
      <c r="F2244" s="614" t="s">
        <v>13581</v>
      </c>
    </row>
    <row r="2245" spans="2:6" s="614" customFormat="1">
      <c r="D2245" s="614" t="s">
        <v>13406</v>
      </c>
      <c r="E2245" s="990">
        <f>IF(E2223&gt;0,E2224*(E2223/E2244)+E2232*(E2231/E2244)+E2240*(E2239/E2244),0)</f>
        <v>7.5594400000000004</v>
      </c>
      <c r="F2245" s="614" t="s">
        <v>13582</v>
      </c>
    </row>
    <row r="2246" spans="2:6" s="614" customFormat="1">
      <c r="E2246" s="991"/>
    </row>
    <row r="2247" spans="2:6" s="614" customFormat="1">
      <c r="D2247" s="614" t="s">
        <v>13427</v>
      </c>
      <c r="E2247" s="653">
        <f>E2221+E2229+E2237</f>
        <v>57947606</v>
      </c>
      <c r="F2247" s="614" t="s">
        <v>13583</v>
      </c>
    </row>
    <row r="2248" spans="2:6" s="614" customFormat="1">
      <c r="D2248" s="614" t="s">
        <v>13429</v>
      </c>
      <c r="E2248" s="990">
        <f>IF(E2244=0,0,E2222*(E2221/E2247)+E2230*(E2229/E2247)+E2238*(E2237/E2247))</f>
        <v>7.9599999999999991</v>
      </c>
      <c r="F2248" s="614" t="s">
        <v>13584</v>
      </c>
    </row>
    <row r="2249" spans="2:6" s="614" customFormat="1">
      <c r="E2249" s="991"/>
    </row>
    <row r="2250" spans="2:6" s="614" customFormat="1">
      <c r="D2250" s="614" t="s">
        <v>13431</v>
      </c>
      <c r="E2250" s="653">
        <f>E2219+E2227+E2235</f>
        <v>14486901.5</v>
      </c>
      <c r="F2250" s="614" t="s">
        <v>13585</v>
      </c>
    </row>
    <row r="2251" spans="2:6" s="614" customFormat="1">
      <c r="D2251" s="614" t="s">
        <v>13433</v>
      </c>
      <c r="E2251" s="990">
        <f>IF(E2250=0,0,E2220*(E2219/E2250)+E2228*(E2227/E2250)+E2236*(E2235/E2250))</f>
        <v>5.9572000000000003</v>
      </c>
      <c r="F2251" s="614" t="s">
        <v>13586</v>
      </c>
    </row>
    <row r="2252" spans="2:6" s="614" customFormat="1" ht="5.45" customHeight="1">
      <c r="E2252" s="991"/>
    </row>
    <row r="2253" spans="2:6" s="614" customFormat="1">
      <c r="D2253" s="614" t="s">
        <v>8607</v>
      </c>
      <c r="E2253" s="990">
        <f>IF((E2250)=0,0,(E2251*(E2250/(E2250))))</f>
        <v>5.9572000000000003</v>
      </c>
      <c r="F2253" s="614" t="s">
        <v>13732</v>
      </c>
    </row>
    <row r="2254" spans="2:6" s="614" customFormat="1">
      <c r="E2254" s="725"/>
    </row>
    <row r="2255" spans="2:6" s="614" customFormat="1">
      <c r="B2255" s="614" t="s">
        <v>239</v>
      </c>
      <c r="E2255" s="725"/>
    </row>
    <row r="2256" spans="2:6" s="614" customFormat="1">
      <c r="C2256" s="614" t="s">
        <v>379</v>
      </c>
      <c r="E2256" s="725"/>
    </row>
    <row r="2257" spans="3:6" s="614" customFormat="1">
      <c r="D2257" s="614" t="s">
        <v>13393</v>
      </c>
      <c r="E2257" s="653">
        <f>finCalcCh3Prod3Slot1VolSold*calcCh3Prod3Slot1Promo1PlanShare</f>
        <v>25352077.625</v>
      </c>
      <c r="F2257" s="614" t="s">
        <v>13587</v>
      </c>
    </row>
    <row r="2258" spans="3:6" s="614" customFormat="1">
      <c r="D2258" s="614" t="s">
        <v>13395</v>
      </c>
      <c r="E2258" s="725">
        <f>calcCh3Prod3Slot1Promo1CustPrice</f>
        <v>5.0919999999999996</v>
      </c>
      <c r="F2258" s="614" t="s">
        <v>13588</v>
      </c>
    </row>
    <row r="2259" spans="3:6" s="614" customFormat="1">
      <c r="D2259" s="614" t="s">
        <v>13401</v>
      </c>
      <c r="E2259" s="653">
        <f>finCalcCh3Prod3Slot1VolSold-E2257</f>
        <v>47082429.875</v>
      </c>
      <c r="F2259" s="614" t="s">
        <v>13589</v>
      </c>
    </row>
    <row r="2260" spans="3:6" s="614" customFormat="1">
      <c r="D2260" s="614" t="s">
        <v>13392</v>
      </c>
      <c r="E2260" s="725">
        <f>calcCh3Prod3Slot1CustPrice</f>
        <v>7.6</v>
      </c>
      <c r="F2260" s="614" t="s">
        <v>13590</v>
      </c>
    </row>
    <row r="2261" spans="3:6" s="614" customFormat="1">
      <c r="D2261" s="614" t="s">
        <v>13404</v>
      </c>
      <c r="E2261" s="653">
        <f>E2257+E2259</f>
        <v>72434507.5</v>
      </c>
      <c r="F2261" s="614" t="s">
        <v>13591</v>
      </c>
    </row>
    <row r="2262" spans="3:6" s="614" customFormat="1">
      <c r="D2262" s="614" t="s">
        <v>13406</v>
      </c>
      <c r="E2262" s="685">
        <f>IF(decCh3Prod3Slot1Active=1,(E2258*(E2257/E2261))+(E2260*(E2259/E2261)),0)</f>
        <v>6.7221999999999991</v>
      </c>
      <c r="F2262" s="614" t="s">
        <v>13592</v>
      </c>
    </row>
    <row r="2263" spans="3:6" s="614" customFormat="1">
      <c r="E2263" s="725"/>
    </row>
    <row r="2264" spans="3:6" s="614" customFormat="1">
      <c r="C2264" s="614" t="s">
        <v>394</v>
      </c>
      <c r="E2264" s="725"/>
    </row>
    <row r="2265" spans="3:6" s="614" customFormat="1">
      <c r="D2265" s="614" t="s">
        <v>13393</v>
      </c>
      <c r="E2265" s="653">
        <f>finCalcCh3Prod3Slot2VolSold*calcCh3Prod3Slot2Promo1PlanShare</f>
        <v>0</v>
      </c>
      <c r="F2265" s="614" t="s">
        <v>13593</v>
      </c>
    </row>
    <row r="2266" spans="3:6" s="614" customFormat="1">
      <c r="D2266" s="614" t="s">
        <v>13395</v>
      </c>
      <c r="E2266" s="725">
        <f>calcCh3Prod3Slot2Promo1CustPrice</f>
        <v>0</v>
      </c>
      <c r="F2266" s="614" t="s">
        <v>13594</v>
      </c>
    </row>
    <row r="2267" spans="3:6" s="614" customFormat="1">
      <c r="D2267" s="614" t="s">
        <v>13401</v>
      </c>
      <c r="E2267" s="653">
        <f>finCalcCh3Prod3Slot2VolSold-E2265</f>
        <v>0</v>
      </c>
      <c r="F2267" s="614" t="s">
        <v>13595</v>
      </c>
    </row>
    <row r="2268" spans="3:6" s="614" customFormat="1">
      <c r="D2268" s="614" t="s">
        <v>13392</v>
      </c>
      <c r="E2268" s="725">
        <f>calcCh3Prod3Slot2CustPrice</f>
        <v>0</v>
      </c>
      <c r="F2268" s="614" t="s">
        <v>13596</v>
      </c>
    </row>
    <row r="2269" spans="3:6" s="614" customFormat="1">
      <c r="D2269" s="614" t="s">
        <v>13404</v>
      </c>
      <c r="E2269" s="653">
        <f>E2265+E2267</f>
        <v>0</v>
      </c>
      <c r="F2269" s="614" t="s">
        <v>13597</v>
      </c>
    </row>
    <row r="2270" spans="3:6" s="614" customFormat="1">
      <c r="D2270" s="614" t="s">
        <v>13406</v>
      </c>
      <c r="E2270" s="685">
        <f>IF(decCh3Prod3Slot2Active=1,(E2266*(E2265/E2269))+(E2268*(E2267/E2269)),0)</f>
        <v>0</v>
      </c>
      <c r="F2270" s="614" t="s">
        <v>13598</v>
      </c>
    </row>
    <row r="2271" spans="3:6" s="614" customFormat="1">
      <c r="E2271" s="725"/>
    </row>
    <row r="2272" spans="3:6" s="614" customFormat="1">
      <c r="C2272" s="614" t="s">
        <v>395</v>
      </c>
      <c r="E2272" s="725"/>
    </row>
    <row r="2273" spans="3:6" s="614" customFormat="1">
      <c r="D2273" s="614" t="s">
        <v>13393</v>
      </c>
      <c r="E2273" s="653">
        <f>finCalcCh3Prod3Slot3VolSold*calcCh3Prod3Slot3Promo1PlanShare</f>
        <v>0</v>
      </c>
      <c r="F2273" s="614" t="s">
        <v>13599</v>
      </c>
    </row>
    <row r="2274" spans="3:6" s="614" customFormat="1">
      <c r="D2274" s="614" t="s">
        <v>13395</v>
      </c>
      <c r="E2274" s="725">
        <f>calcCh3Prod3Slot3Promo1CustPrice</f>
        <v>0</v>
      </c>
      <c r="F2274" s="614" t="s">
        <v>13600</v>
      </c>
    </row>
    <row r="2275" spans="3:6" s="614" customFormat="1">
      <c r="D2275" s="614" t="s">
        <v>13401</v>
      </c>
      <c r="E2275" s="653">
        <f>finCalcCh3Prod3Slot3VolSold-E2273</f>
        <v>0</v>
      </c>
      <c r="F2275" s="614" t="s">
        <v>13601</v>
      </c>
    </row>
    <row r="2276" spans="3:6" s="614" customFormat="1">
      <c r="D2276" s="614" t="s">
        <v>13392</v>
      </c>
      <c r="E2276" s="725">
        <f>calcCh3Prod3Slot3CustPrice</f>
        <v>0</v>
      </c>
      <c r="F2276" s="614" t="s">
        <v>13602</v>
      </c>
    </row>
    <row r="2277" spans="3:6" s="614" customFormat="1">
      <c r="D2277" s="614" t="s">
        <v>13404</v>
      </c>
      <c r="E2277" s="653">
        <f>E2273+E2275</f>
        <v>0</v>
      </c>
      <c r="F2277" s="614" t="s">
        <v>13603</v>
      </c>
    </row>
    <row r="2278" spans="3:6" s="614" customFormat="1">
      <c r="D2278" s="614" t="s">
        <v>13406</v>
      </c>
      <c r="E2278" s="685">
        <f>IF(decCh3Prod3Slot3Active=1,(E2274*(E2273/E2277))+(E2276*(E2275/E2277)),0)</f>
        <v>0</v>
      </c>
      <c r="F2278" s="614" t="s">
        <v>13604</v>
      </c>
    </row>
    <row r="2279" spans="3:6" s="614" customFormat="1">
      <c r="D2279" s="800"/>
      <c r="E2279" s="800"/>
    </row>
    <row r="2280" spans="3:6" s="614" customFormat="1">
      <c r="D2280" s="800"/>
      <c r="E2280" s="800"/>
    </row>
    <row r="2281" spans="3:6" s="614" customFormat="1">
      <c r="C2281" s="614" t="s">
        <v>13424</v>
      </c>
      <c r="E2281" s="725"/>
    </row>
    <row r="2282" spans="3:6" s="614" customFormat="1">
      <c r="D2282" s="614" t="s">
        <v>13404</v>
      </c>
      <c r="E2282" s="725">
        <f>E2277+E2269+E2261</f>
        <v>72434507.5</v>
      </c>
      <c r="F2282" s="614" t="s">
        <v>13605</v>
      </c>
    </row>
    <row r="2283" spans="3:6" s="614" customFormat="1">
      <c r="D2283" s="614" t="s">
        <v>13406</v>
      </c>
      <c r="E2283" s="990">
        <f>IF(E2261&gt;0,E2262*(E2261/E2282)+E2270*(E2269/E2282)+E2278*(E2277/E2282),0)</f>
        <v>6.7221999999999991</v>
      </c>
      <c r="F2283" s="614" t="s">
        <v>13606</v>
      </c>
    </row>
    <row r="2284" spans="3:6" s="614" customFormat="1">
      <c r="E2284" s="991"/>
    </row>
    <row r="2285" spans="3:6" s="614" customFormat="1">
      <c r="D2285" s="614" t="s">
        <v>13427</v>
      </c>
      <c r="E2285" s="653">
        <f>E2259+E2267+E2275</f>
        <v>47082429.875</v>
      </c>
      <c r="F2285" s="614" t="s">
        <v>13607</v>
      </c>
    </row>
    <row r="2286" spans="3:6" s="614" customFormat="1">
      <c r="D2286" s="614" t="s">
        <v>13429</v>
      </c>
      <c r="E2286" s="990">
        <f>IF(E2282=0,0,E2260*(E2259/E2285)+E2268*(E2267/E2285)+E2276*(E2275/E2285))</f>
        <v>7.6</v>
      </c>
      <c r="F2286" s="614" t="s">
        <v>13608</v>
      </c>
    </row>
    <row r="2287" spans="3:6" s="614" customFormat="1">
      <c r="E2287" s="991"/>
    </row>
    <row r="2288" spans="3:6" s="614" customFormat="1">
      <c r="D2288" s="614" t="s">
        <v>13431</v>
      </c>
      <c r="E2288" s="653">
        <f>E2257+E2265+E2273</f>
        <v>25352077.625</v>
      </c>
      <c r="F2288" s="614" t="s">
        <v>13609</v>
      </c>
    </row>
    <row r="2289" spans="2:6" s="614" customFormat="1">
      <c r="D2289" s="614" t="s">
        <v>13433</v>
      </c>
      <c r="E2289" s="990">
        <f>IF(E2288=0,0,E2258*(E2257/E2288)+E2266*(E2265/E2288)+E2274*(E2273/E2288))</f>
        <v>5.0919999999999996</v>
      </c>
      <c r="F2289" s="614" t="s">
        <v>13610</v>
      </c>
    </row>
    <row r="2290" spans="2:6" s="614" customFormat="1" ht="5.45" customHeight="1">
      <c r="E2290" s="991"/>
    </row>
    <row r="2291" spans="2:6" s="614" customFormat="1">
      <c r="D2291" s="614" t="s">
        <v>8607</v>
      </c>
      <c r="E2291" s="990">
        <f>IF((E2288)=0,0,(E2289*(E2288/(E2288))))</f>
        <v>5.0919999999999996</v>
      </c>
      <c r="F2291" s="614" t="s">
        <v>13733</v>
      </c>
    </row>
    <row r="2292" spans="2:6" s="614" customFormat="1">
      <c r="E2292" s="725"/>
    </row>
    <row r="2293" spans="2:6" s="614" customFormat="1">
      <c r="B2293" s="614" t="s">
        <v>240</v>
      </c>
      <c r="E2293" s="725"/>
    </row>
    <row r="2294" spans="2:6" s="614" customFormat="1">
      <c r="C2294" s="614" t="s">
        <v>379</v>
      </c>
      <c r="E2294" s="725"/>
    </row>
    <row r="2295" spans="2:6" s="614" customFormat="1">
      <c r="D2295" s="614" t="s">
        <v>13393</v>
      </c>
      <c r="E2295" s="653">
        <f>finCalcCh3Prod4Slot1VolSold*calcCh3Prod4Slot1Promo1PlanShare</f>
        <v>0</v>
      </c>
      <c r="F2295" s="614" t="s">
        <v>13611</v>
      </c>
    </row>
    <row r="2296" spans="2:6" s="614" customFormat="1">
      <c r="D2296" s="614" t="s">
        <v>13395</v>
      </c>
      <c r="E2296" s="725">
        <f>calcCh3Prod4Slot1Promo1CustPrice</f>
        <v>0</v>
      </c>
      <c r="F2296" s="614" t="s">
        <v>13612</v>
      </c>
    </row>
    <row r="2297" spans="2:6" s="614" customFormat="1">
      <c r="D2297" s="614" t="s">
        <v>13401</v>
      </c>
      <c r="E2297" s="653">
        <f>finCalcCh3Prod4Slot1VolSold-E2295</f>
        <v>0</v>
      </c>
      <c r="F2297" s="614" t="s">
        <v>13613</v>
      </c>
    </row>
    <row r="2298" spans="2:6" s="614" customFormat="1">
      <c r="D2298" s="614" t="s">
        <v>13392</v>
      </c>
      <c r="E2298" s="725">
        <f>calcCh3Prod4Slot1CustPrice</f>
        <v>0</v>
      </c>
      <c r="F2298" s="614" t="s">
        <v>13614</v>
      </c>
    </row>
    <row r="2299" spans="2:6" s="614" customFormat="1">
      <c r="D2299" s="614" t="s">
        <v>13404</v>
      </c>
      <c r="E2299" s="653">
        <f>E2295+E2297</f>
        <v>0</v>
      </c>
      <c r="F2299" s="614" t="s">
        <v>13615</v>
      </c>
    </row>
    <row r="2300" spans="2:6" s="614" customFormat="1">
      <c r="D2300" s="614" t="s">
        <v>13406</v>
      </c>
      <c r="E2300" s="685">
        <f>IF(decCh3Prod4Slot1Active=1,(E2296*(E2295/E2299))+(E2298*(E2297/E2299)),0)</f>
        <v>0</v>
      </c>
      <c r="F2300" s="614" t="s">
        <v>13616</v>
      </c>
    </row>
    <row r="2301" spans="2:6" s="614" customFormat="1">
      <c r="E2301" s="725"/>
    </row>
    <row r="2302" spans="2:6" s="614" customFormat="1">
      <c r="C2302" s="614" t="s">
        <v>394</v>
      </c>
      <c r="E2302" s="725"/>
    </row>
    <row r="2303" spans="2:6" s="614" customFormat="1">
      <c r="D2303" s="614" t="s">
        <v>13393</v>
      </c>
      <c r="E2303" s="653">
        <f>finCalcCh3Prod4Slot2VolSold*calcCh3Prod4Slot2Promo1PlanShare</f>
        <v>0</v>
      </c>
      <c r="F2303" s="614" t="s">
        <v>13617</v>
      </c>
    </row>
    <row r="2304" spans="2:6" s="614" customFormat="1">
      <c r="D2304" s="614" t="s">
        <v>13395</v>
      </c>
      <c r="E2304" s="725">
        <f>calcCh3Prod4Slot2Promo1CustPrice</f>
        <v>0</v>
      </c>
      <c r="F2304" s="614" t="s">
        <v>13618</v>
      </c>
    </row>
    <row r="2305" spans="3:6" s="614" customFormat="1">
      <c r="D2305" s="614" t="s">
        <v>13401</v>
      </c>
      <c r="E2305" s="653">
        <f>finCalcCh3Prod4Slot2VolSold-E2303</f>
        <v>0</v>
      </c>
      <c r="F2305" s="614" t="s">
        <v>13619</v>
      </c>
    </row>
    <row r="2306" spans="3:6" s="614" customFormat="1">
      <c r="D2306" s="614" t="s">
        <v>13392</v>
      </c>
      <c r="E2306" s="725">
        <f>calcCh3Prod4Slot2CustPrice</f>
        <v>0</v>
      </c>
      <c r="F2306" s="614" t="s">
        <v>13620</v>
      </c>
    </row>
    <row r="2307" spans="3:6" s="614" customFormat="1">
      <c r="D2307" s="614" t="s">
        <v>13404</v>
      </c>
      <c r="E2307" s="653">
        <f>E2303+E2305</f>
        <v>0</v>
      </c>
      <c r="F2307" s="614" t="s">
        <v>13621</v>
      </c>
    </row>
    <row r="2308" spans="3:6" s="614" customFormat="1">
      <c r="D2308" s="614" t="s">
        <v>13406</v>
      </c>
      <c r="E2308" s="685">
        <f>IF(decCh3Prod4Slot2Active=1,(E2304*(E2303/E2307))+(E2306*(E2305/E2307)),0)</f>
        <v>0</v>
      </c>
      <c r="F2308" s="614" t="s">
        <v>13622</v>
      </c>
    </row>
    <row r="2309" spans="3:6" s="614" customFormat="1">
      <c r="E2309" s="725"/>
    </row>
    <row r="2310" spans="3:6" s="614" customFormat="1">
      <c r="C2310" s="614" t="s">
        <v>395</v>
      </c>
      <c r="E2310" s="725"/>
    </row>
    <row r="2311" spans="3:6" s="614" customFormat="1">
      <c r="D2311" s="614" t="s">
        <v>13393</v>
      </c>
      <c r="E2311" s="653">
        <f>finCalcCh3Prod4Slot3VolSold*calcCh3Prod4Slot3Promo1PlanShare</f>
        <v>0</v>
      </c>
      <c r="F2311" s="614" t="s">
        <v>13623</v>
      </c>
    </row>
    <row r="2312" spans="3:6" s="614" customFormat="1">
      <c r="D2312" s="614" t="s">
        <v>13395</v>
      </c>
      <c r="E2312" s="725">
        <f>calcCh3Prod4Slot3Promo1CustPrice</f>
        <v>0</v>
      </c>
      <c r="F2312" s="614" t="s">
        <v>13624</v>
      </c>
    </row>
    <row r="2313" spans="3:6" s="614" customFormat="1">
      <c r="D2313" s="614" t="s">
        <v>13401</v>
      </c>
      <c r="E2313" s="653">
        <f>finCalcCh3Prod4Slot3VolSold-E2311</f>
        <v>0</v>
      </c>
      <c r="F2313" s="614" t="s">
        <v>13625</v>
      </c>
    </row>
    <row r="2314" spans="3:6" s="614" customFormat="1">
      <c r="D2314" s="614" t="s">
        <v>13392</v>
      </c>
      <c r="E2314" s="725">
        <f>calcCh3Prod4Slot3CustPrice</f>
        <v>0</v>
      </c>
      <c r="F2314" s="614" t="s">
        <v>13626</v>
      </c>
    </row>
    <row r="2315" spans="3:6" s="614" customFormat="1">
      <c r="D2315" s="614" t="s">
        <v>13404</v>
      </c>
      <c r="E2315" s="653">
        <f>E2311+E2313</f>
        <v>0</v>
      </c>
      <c r="F2315" s="614" t="s">
        <v>13627</v>
      </c>
    </row>
    <row r="2316" spans="3:6" s="614" customFormat="1">
      <c r="D2316" s="614" t="s">
        <v>13406</v>
      </c>
      <c r="E2316" s="685">
        <f>IF(decCh3Prod4Slot3Active=1,(E2312*(E2311/E2315))+(E2314*(E2313/E2315)),0)</f>
        <v>0</v>
      </c>
      <c r="F2316" s="614" t="s">
        <v>13628</v>
      </c>
    </row>
    <row r="2317" spans="3:6" s="614" customFormat="1">
      <c r="D2317" s="800"/>
      <c r="E2317" s="800"/>
    </row>
    <row r="2318" spans="3:6" s="614" customFormat="1">
      <c r="D2318" s="800"/>
      <c r="E2318" s="800"/>
    </row>
    <row r="2319" spans="3:6" s="614" customFormat="1">
      <c r="C2319" s="614" t="s">
        <v>13424</v>
      </c>
      <c r="E2319" s="725"/>
    </row>
    <row r="2320" spans="3:6" s="614" customFormat="1">
      <c r="D2320" s="614" t="s">
        <v>13404</v>
      </c>
      <c r="E2320" s="725">
        <f>E2315+E2307+E2299</f>
        <v>0</v>
      </c>
      <c r="F2320" s="614" t="s">
        <v>13629</v>
      </c>
    </row>
    <row r="2321" spans="2:6" s="614" customFormat="1">
      <c r="D2321" s="614" t="s">
        <v>13406</v>
      </c>
      <c r="E2321" s="990">
        <f>IF(E2299&gt;0,E2300*(E2299/E2320)+E2308*(E2307/E2320)+E2316*(E2315/E2320),0)</f>
        <v>0</v>
      </c>
      <c r="F2321" s="614" t="s">
        <v>13630</v>
      </c>
    </row>
    <row r="2322" spans="2:6" s="614" customFormat="1">
      <c r="E2322" s="991"/>
    </row>
    <row r="2323" spans="2:6" s="614" customFormat="1">
      <c r="D2323" s="614" t="s">
        <v>13427</v>
      </c>
      <c r="E2323" s="653">
        <f>E2297+E2305+E2313</f>
        <v>0</v>
      </c>
      <c r="F2323" s="614" t="s">
        <v>13631</v>
      </c>
    </row>
    <row r="2324" spans="2:6" s="614" customFormat="1">
      <c r="D2324" s="614" t="s">
        <v>13429</v>
      </c>
      <c r="E2324" s="990">
        <f>IF(E2320=0,0,E2298*(E2297/E2323)+E2306*(E2305/E2323)+E2314*(E2313/E2323))</f>
        <v>0</v>
      </c>
      <c r="F2324" s="614" t="s">
        <v>13632</v>
      </c>
    </row>
    <row r="2325" spans="2:6" s="614" customFormat="1">
      <c r="E2325" s="991"/>
    </row>
    <row r="2326" spans="2:6" s="614" customFormat="1">
      <c r="D2326" s="614" t="s">
        <v>13431</v>
      </c>
      <c r="E2326" s="653">
        <f>E2295+E2303+E2311</f>
        <v>0</v>
      </c>
      <c r="F2326" s="614" t="s">
        <v>13633</v>
      </c>
    </row>
    <row r="2327" spans="2:6" s="614" customFormat="1">
      <c r="D2327" s="614" t="s">
        <v>13433</v>
      </c>
      <c r="E2327" s="990">
        <f>IF(E2326=0,0,E2296*(E2295/E2326)+E2304*(E2303/E2326)+E2312*(E2311/E2326))</f>
        <v>0</v>
      </c>
      <c r="F2327" s="614" t="s">
        <v>13634</v>
      </c>
    </row>
    <row r="2328" spans="2:6" s="614" customFormat="1" ht="5.45" customHeight="1">
      <c r="E2328" s="991"/>
    </row>
    <row r="2329" spans="2:6" s="614" customFormat="1">
      <c r="D2329" s="614" t="s">
        <v>8607</v>
      </c>
      <c r="E2329" s="990">
        <f>IF((E2326)=0,0,(E2327*(E2326/(E2326))))</f>
        <v>0</v>
      </c>
      <c r="F2329" s="614" t="s">
        <v>13734</v>
      </c>
    </row>
    <row r="2330" spans="2:6" s="614" customFormat="1">
      <c r="E2330" s="725"/>
    </row>
    <row r="2331" spans="2:6" s="614" customFormat="1">
      <c r="B2331" s="614" t="s">
        <v>246</v>
      </c>
      <c r="E2331" s="725"/>
    </row>
    <row r="2332" spans="2:6" s="614" customFormat="1">
      <c r="B2332" s="614" t="s">
        <v>12868</v>
      </c>
      <c r="E2332" s="725"/>
    </row>
    <row r="2333" spans="2:6" s="614" customFormat="1">
      <c r="C2333" s="614" t="s">
        <v>379</v>
      </c>
      <c r="E2333" s="725"/>
    </row>
    <row r="2334" spans="2:6" s="614" customFormat="1">
      <c r="D2334" s="614" t="s">
        <v>13393</v>
      </c>
      <c r="E2334" s="653">
        <f>finCalcCh4Prod1Slot1VolSold*calcCh4Prod1Slot1Promo1PlanShare</f>
        <v>12676687.5</v>
      </c>
      <c r="F2334" s="614" t="s">
        <v>13635</v>
      </c>
    </row>
    <row r="2335" spans="2:6" s="614" customFormat="1">
      <c r="D2335" s="614" t="s">
        <v>13395</v>
      </c>
      <c r="E2335" s="725">
        <f>calcCh4Prod1Slot1Promo1CustPrice</f>
        <v>5.7600000000000007</v>
      </c>
      <c r="F2335" s="614" t="s">
        <v>13636</v>
      </c>
    </row>
    <row r="2336" spans="2:6" s="614" customFormat="1">
      <c r="D2336" s="614" t="s">
        <v>13401</v>
      </c>
      <c r="E2336" s="653">
        <f>finCalcCh4Prod1Slot1VolSold-E2334</f>
        <v>38030062.5</v>
      </c>
      <c r="F2336" s="614" t="s">
        <v>13637</v>
      </c>
    </row>
    <row r="2337" spans="3:6" s="614" customFormat="1">
      <c r="D2337" s="614" t="s">
        <v>13392</v>
      </c>
      <c r="E2337" s="725">
        <f>calcCh4Prod1Slot1CustPrice</f>
        <v>7.2</v>
      </c>
      <c r="F2337" s="614" t="s">
        <v>13638</v>
      </c>
    </row>
    <row r="2338" spans="3:6" s="614" customFormat="1">
      <c r="D2338" s="614" t="s">
        <v>13404</v>
      </c>
      <c r="E2338" s="653">
        <f>E2334+E2336</f>
        <v>50706750</v>
      </c>
      <c r="F2338" s="614" t="s">
        <v>13639</v>
      </c>
    </row>
    <row r="2339" spans="3:6" s="614" customFormat="1">
      <c r="D2339" s="614" t="s">
        <v>13406</v>
      </c>
      <c r="E2339" s="685">
        <f>IF(decCh4Prod1Slot1Active=1,(E2335*(E2334/E2338))+(E2337*(E2336/E2338)),0)</f>
        <v>6.8400000000000007</v>
      </c>
      <c r="F2339" s="614" t="s">
        <v>13640</v>
      </c>
    </row>
    <row r="2340" spans="3:6" s="614" customFormat="1">
      <c r="E2340" s="725"/>
    </row>
    <row r="2341" spans="3:6" s="614" customFormat="1">
      <c r="C2341" s="614" t="s">
        <v>394</v>
      </c>
      <c r="E2341" s="725"/>
    </row>
    <row r="2342" spans="3:6" s="614" customFormat="1">
      <c r="D2342" s="614" t="s">
        <v>13393</v>
      </c>
      <c r="E2342" s="653">
        <f>finCalcCh4Prod1Slot2VolSold*calcCh4Prod1Slot2Promo1PlanShare</f>
        <v>0</v>
      </c>
      <c r="F2342" s="614" t="s">
        <v>13641</v>
      </c>
    </row>
    <row r="2343" spans="3:6" s="614" customFormat="1">
      <c r="D2343" s="614" t="s">
        <v>13395</v>
      </c>
      <c r="E2343" s="725">
        <f>calcCh4Prod1Slot2Promo1CustPrice</f>
        <v>0</v>
      </c>
      <c r="F2343" s="614" t="s">
        <v>13642</v>
      </c>
    </row>
    <row r="2344" spans="3:6" s="614" customFormat="1">
      <c r="D2344" s="614" t="s">
        <v>13401</v>
      </c>
      <c r="E2344" s="653">
        <f>finCalcCh4Prod1Slot2VolSold-E2342</f>
        <v>0</v>
      </c>
      <c r="F2344" s="614" t="s">
        <v>13643</v>
      </c>
    </row>
    <row r="2345" spans="3:6" s="614" customFormat="1">
      <c r="D2345" s="614" t="s">
        <v>13392</v>
      </c>
      <c r="E2345" s="725">
        <f>calcCh4Prod1Slot2CustPrice</f>
        <v>0</v>
      </c>
      <c r="F2345" s="614" t="s">
        <v>13644</v>
      </c>
    </row>
    <row r="2346" spans="3:6" s="614" customFormat="1">
      <c r="D2346" s="614" t="s">
        <v>13404</v>
      </c>
      <c r="E2346" s="653">
        <f>E2342+E2344</f>
        <v>0</v>
      </c>
      <c r="F2346" s="614" t="s">
        <v>13645</v>
      </c>
    </row>
    <row r="2347" spans="3:6" s="614" customFormat="1">
      <c r="D2347" s="614" t="s">
        <v>13406</v>
      </c>
      <c r="E2347" s="685">
        <f>IF(decCh4Prod1Slot2Active=1,(E2343*(E2342/E2346))+(E2345*(E2344/E2346)),0)</f>
        <v>0</v>
      </c>
      <c r="F2347" s="614" t="s">
        <v>13646</v>
      </c>
    </row>
    <row r="2348" spans="3:6" s="614" customFormat="1">
      <c r="E2348" s="725"/>
    </row>
    <row r="2349" spans="3:6" s="614" customFormat="1">
      <c r="C2349" s="614" t="s">
        <v>395</v>
      </c>
      <c r="E2349" s="725"/>
    </row>
    <row r="2350" spans="3:6" s="614" customFormat="1">
      <c r="D2350" s="614" t="s">
        <v>13393</v>
      </c>
      <c r="E2350" s="653">
        <f>finCalcCh4Prod1Slot3VolSold*calcCh4Prod1Slot3Promo1PlanShare</f>
        <v>0</v>
      </c>
      <c r="F2350" s="614" t="s">
        <v>13647</v>
      </c>
    </row>
    <row r="2351" spans="3:6" s="614" customFormat="1">
      <c r="D2351" s="614" t="s">
        <v>13395</v>
      </c>
      <c r="E2351" s="725">
        <f>calcCh4Prod1Slot3Promo1CustPrice</f>
        <v>0</v>
      </c>
      <c r="F2351" s="614" t="s">
        <v>13648</v>
      </c>
    </row>
    <row r="2352" spans="3:6" s="614" customFormat="1">
      <c r="D2352" s="614" t="s">
        <v>13401</v>
      </c>
      <c r="E2352" s="653">
        <f>finCalcCh4Prod1Slot3VolSold-E2350</f>
        <v>0</v>
      </c>
      <c r="F2352" s="614" t="s">
        <v>13649</v>
      </c>
    </row>
    <row r="2353" spans="3:6" s="614" customFormat="1">
      <c r="D2353" s="614" t="s">
        <v>13392</v>
      </c>
      <c r="E2353" s="725">
        <f>calcCh4Prod1Slot3CustPrice</f>
        <v>0</v>
      </c>
      <c r="F2353" s="614" t="s">
        <v>13650</v>
      </c>
    </row>
    <row r="2354" spans="3:6" s="614" customFormat="1">
      <c r="D2354" s="614" t="s">
        <v>13404</v>
      </c>
      <c r="E2354" s="653">
        <f>E2350+E2352</f>
        <v>0</v>
      </c>
      <c r="F2354" s="614" t="s">
        <v>13651</v>
      </c>
    </row>
    <row r="2355" spans="3:6" s="614" customFormat="1">
      <c r="D2355" s="614" t="s">
        <v>13406</v>
      </c>
      <c r="E2355" s="685">
        <f>IF(decCh4Prod1Slot3Active=1,(E2351*(E2350/E2354))+(E2353*(E2352/E2354)),0)</f>
        <v>0</v>
      </c>
      <c r="F2355" s="614" t="s">
        <v>13652</v>
      </c>
    </row>
    <row r="2356" spans="3:6" s="614" customFormat="1">
      <c r="D2356" s="800"/>
      <c r="E2356" s="800"/>
    </row>
    <row r="2357" spans="3:6" s="614" customFormat="1">
      <c r="D2357" s="800"/>
      <c r="E2357" s="800"/>
    </row>
    <row r="2358" spans="3:6" s="614" customFormat="1">
      <c r="C2358" s="614" t="s">
        <v>13424</v>
      </c>
      <c r="E2358" s="725"/>
    </row>
    <row r="2359" spans="3:6" s="614" customFormat="1">
      <c r="D2359" s="614" t="s">
        <v>13404</v>
      </c>
      <c r="E2359" s="725">
        <f>E2354+E2346+E2338</f>
        <v>50706750</v>
      </c>
      <c r="F2359" s="614" t="s">
        <v>13653</v>
      </c>
    </row>
    <row r="2360" spans="3:6" s="614" customFormat="1">
      <c r="D2360" s="614" t="s">
        <v>13406</v>
      </c>
      <c r="E2360" s="990">
        <f>IF(E2338&gt;0,E2339*(E2338/E2359)+E2347*(E2346/E2359)+E2355*(E2354/E2359),0)</f>
        <v>6.8400000000000007</v>
      </c>
      <c r="F2360" s="614" t="s">
        <v>13654</v>
      </c>
    </row>
    <row r="2361" spans="3:6" s="614" customFormat="1">
      <c r="E2361" s="991"/>
    </row>
    <row r="2362" spans="3:6" s="614" customFormat="1">
      <c r="D2362" s="614" t="s">
        <v>13427</v>
      </c>
      <c r="E2362" s="653">
        <f>E2336+E2344+E2352</f>
        <v>38030062.5</v>
      </c>
      <c r="F2362" s="614" t="s">
        <v>13655</v>
      </c>
    </row>
    <row r="2363" spans="3:6" s="614" customFormat="1">
      <c r="D2363" s="614" t="s">
        <v>13429</v>
      </c>
      <c r="E2363" s="990">
        <f>IF(E2359=0,0,E2337*(E2336/E2362)+E2345*(E2344/E2362)+E2353*(E2352/E2362))</f>
        <v>7.2</v>
      </c>
      <c r="F2363" s="614" t="s">
        <v>13656</v>
      </c>
    </row>
    <row r="2364" spans="3:6" s="614" customFormat="1">
      <c r="E2364" s="991"/>
    </row>
    <row r="2365" spans="3:6" s="614" customFormat="1">
      <c r="D2365" s="614" t="s">
        <v>13431</v>
      </c>
      <c r="E2365" s="653">
        <f>E2334+E2342+E2350</f>
        <v>12676687.5</v>
      </c>
      <c r="F2365" s="614" t="s">
        <v>13657</v>
      </c>
    </row>
    <row r="2366" spans="3:6" s="614" customFormat="1">
      <c r="D2366" s="614" t="s">
        <v>13433</v>
      </c>
      <c r="E2366" s="990">
        <f>IF(E2365=0,0,E2335*(E2334/E2365)+E2343*(E2342/E2365)+E2351*(E2350/E2365))</f>
        <v>5.7600000000000007</v>
      </c>
      <c r="F2366" s="614" t="s">
        <v>13658</v>
      </c>
    </row>
    <row r="2367" spans="3:6" s="614" customFormat="1" ht="5.45" customHeight="1">
      <c r="E2367" s="991"/>
    </row>
    <row r="2368" spans="3:6" s="614" customFormat="1">
      <c r="D2368" s="614" t="s">
        <v>8607</v>
      </c>
      <c r="E2368" s="990">
        <f>IF((E2365)=0,0,(E2366*(E2365/(E2365))))</f>
        <v>5.7600000000000007</v>
      </c>
      <c r="F2368" s="614" t="s">
        <v>13735</v>
      </c>
    </row>
    <row r="2369" spans="2:6" s="614" customFormat="1">
      <c r="E2369" s="725"/>
    </row>
    <row r="2370" spans="2:6" s="614" customFormat="1">
      <c r="B2370" s="614" t="s">
        <v>238</v>
      </c>
      <c r="E2370" s="725"/>
    </row>
    <row r="2371" spans="2:6" s="614" customFormat="1">
      <c r="C2371" s="614" t="s">
        <v>379</v>
      </c>
      <c r="E2371" s="725"/>
    </row>
    <row r="2372" spans="2:6" s="614" customFormat="1">
      <c r="D2372" s="614" t="s">
        <v>13393</v>
      </c>
      <c r="E2372" s="653">
        <f>finCalcCh4Prod2Slot1VolSold*calcCh4Prod2Slot1Promo1PlanShare</f>
        <v>22959027</v>
      </c>
      <c r="F2372" s="614" t="s">
        <v>13659</v>
      </c>
    </row>
    <row r="2373" spans="2:6" s="614" customFormat="1">
      <c r="D2373" s="614" t="s">
        <v>13395</v>
      </c>
      <c r="E2373" s="725">
        <f>calcCh4Prod2Slot1Promo1CustPrice</f>
        <v>4.8239999999999998</v>
      </c>
      <c r="F2373" s="614" t="s">
        <v>13660</v>
      </c>
    </row>
    <row r="2374" spans="2:6" s="614" customFormat="1">
      <c r="D2374" s="614" t="s">
        <v>13401</v>
      </c>
      <c r="E2374" s="653">
        <f>finCalcCh4Prod2Slot1VolSold-E2372</f>
        <v>12362553</v>
      </c>
      <c r="F2374" s="614" t="s">
        <v>13661</v>
      </c>
    </row>
    <row r="2375" spans="2:6" s="614" customFormat="1">
      <c r="D2375" s="614" t="s">
        <v>13392</v>
      </c>
      <c r="E2375" s="725">
        <f>calcCh4Prod2Slot1CustPrice</f>
        <v>7.2</v>
      </c>
      <c r="F2375" s="614" t="s">
        <v>13662</v>
      </c>
    </row>
    <row r="2376" spans="2:6" s="614" customFormat="1">
      <c r="D2376" s="614" t="s">
        <v>13404</v>
      </c>
      <c r="E2376" s="653">
        <f>E2372+E2374</f>
        <v>35321580</v>
      </c>
      <c r="F2376" s="614" t="s">
        <v>13663</v>
      </c>
    </row>
    <row r="2377" spans="2:6" s="614" customFormat="1">
      <c r="D2377" s="614" t="s">
        <v>13406</v>
      </c>
      <c r="E2377" s="685">
        <f>IF(decCh4Prod2Slot1Active=1,(E2373*(E2372/E2376))+(E2375*(E2374/E2376)),0)</f>
        <v>5.6555999999999997</v>
      </c>
      <c r="F2377" s="614" t="s">
        <v>13664</v>
      </c>
    </row>
    <row r="2378" spans="2:6" s="614" customFormat="1">
      <c r="E2378" s="725"/>
    </row>
    <row r="2379" spans="2:6" s="614" customFormat="1">
      <c r="C2379" s="614" t="s">
        <v>394</v>
      </c>
      <c r="E2379" s="725"/>
    </row>
    <row r="2380" spans="2:6" s="614" customFormat="1">
      <c r="D2380" s="614" t="s">
        <v>13393</v>
      </c>
      <c r="E2380" s="653">
        <f>finCalcCh4Prod2Slot2VolSold*calcCh4Prod2Slot2Promo1PlanShare</f>
        <v>0</v>
      </c>
      <c r="F2380" s="614" t="s">
        <v>13665</v>
      </c>
    </row>
    <row r="2381" spans="2:6" s="614" customFormat="1">
      <c r="D2381" s="614" t="s">
        <v>13395</v>
      </c>
      <c r="E2381" s="725">
        <f>calcCh4Prod2Slot2Promo1CustPrice</f>
        <v>0</v>
      </c>
      <c r="F2381" s="614" t="s">
        <v>13666</v>
      </c>
    </row>
    <row r="2382" spans="2:6" s="614" customFormat="1">
      <c r="D2382" s="614" t="s">
        <v>13401</v>
      </c>
      <c r="E2382" s="653">
        <f>finCalcCh4Prod2Slot2VolSold-E2380</f>
        <v>0</v>
      </c>
      <c r="F2382" s="614" t="s">
        <v>13667</v>
      </c>
    </row>
    <row r="2383" spans="2:6" s="614" customFormat="1">
      <c r="D2383" s="614" t="s">
        <v>13392</v>
      </c>
      <c r="E2383" s="725">
        <f>calcCh4Prod2Slot2CustPrice</f>
        <v>0</v>
      </c>
      <c r="F2383" s="614" t="s">
        <v>13668</v>
      </c>
    </row>
    <row r="2384" spans="2:6" s="614" customFormat="1">
      <c r="D2384" s="614" t="s">
        <v>13404</v>
      </c>
      <c r="E2384" s="653">
        <f>E2380+E2382</f>
        <v>0</v>
      </c>
      <c r="F2384" s="614" t="s">
        <v>13669</v>
      </c>
    </row>
    <row r="2385" spans="3:6" s="614" customFormat="1">
      <c r="D2385" s="614" t="s">
        <v>13406</v>
      </c>
      <c r="E2385" s="685">
        <f>IF(decCh4Prod2Slot2Active=1,(E2381*(E2380/E2384))+(E2383*(E2382/E2384)),0)</f>
        <v>0</v>
      </c>
      <c r="F2385" s="614" t="s">
        <v>13670</v>
      </c>
    </row>
    <row r="2386" spans="3:6" s="614" customFormat="1">
      <c r="E2386" s="725"/>
    </row>
    <row r="2387" spans="3:6" s="614" customFormat="1">
      <c r="C2387" s="614" t="s">
        <v>395</v>
      </c>
      <c r="E2387" s="725"/>
    </row>
    <row r="2388" spans="3:6" s="614" customFormat="1">
      <c r="D2388" s="614" t="s">
        <v>13393</v>
      </c>
      <c r="E2388" s="653">
        <f>finCalcCh4Prod2Slot3VolSold*calcCh4Prod2Slot3Promo1PlanShare</f>
        <v>0</v>
      </c>
      <c r="F2388" s="614" t="s">
        <v>13671</v>
      </c>
    </row>
    <row r="2389" spans="3:6" s="614" customFormat="1">
      <c r="D2389" s="614" t="s">
        <v>13395</v>
      </c>
      <c r="E2389" s="725">
        <f>calcCh4Prod2Slot3Promo1CustPrice</f>
        <v>0</v>
      </c>
      <c r="F2389" s="614" t="s">
        <v>13672</v>
      </c>
    </row>
    <row r="2390" spans="3:6" s="614" customFormat="1">
      <c r="D2390" s="614" t="s">
        <v>13401</v>
      </c>
      <c r="E2390" s="653">
        <f>finCalcCh4Prod2Slot3VolSold-E2388</f>
        <v>0</v>
      </c>
      <c r="F2390" s="614" t="s">
        <v>13673</v>
      </c>
    </row>
    <row r="2391" spans="3:6" s="614" customFormat="1">
      <c r="D2391" s="614" t="s">
        <v>13392</v>
      </c>
      <c r="E2391" s="725">
        <f>calcCh4Prod2Slot3CustPrice</f>
        <v>0</v>
      </c>
      <c r="F2391" s="614" t="s">
        <v>13674</v>
      </c>
    </row>
    <row r="2392" spans="3:6" s="614" customFormat="1">
      <c r="D2392" s="614" t="s">
        <v>13404</v>
      </c>
      <c r="E2392" s="653">
        <f>E2388+E2390</f>
        <v>0</v>
      </c>
      <c r="F2392" s="614" t="s">
        <v>13675</v>
      </c>
    </row>
    <row r="2393" spans="3:6" s="614" customFormat="1">
      <c r="D2393" s="614" t="s">
        <v>13406</v>
      </c>
      <c r="E2393" s="685">
        <f>IF(decCh4Prod2Slot3Active=1,(E2389*(E2388/E2392))+(E2391*(E2390/E2392)),0)</f>
        <v>0</v>
      </c>
      <c r="F2393" s="614" t="s">
        <v>13676</v>
      </c>
    </row>
    <row r="2394" spans="3:6" s="614" customFormat="1">
      <c r="D2394" s="800"/>
      <c r="E2394" s="800"/>
    </row>
    <row r="2395" spans="3:6" s="614" customFormat="1">
      <c r="D2395" s="800"/>
      <c r="E2395" s="800"/>
    </row>
    <row r="2396" spans="3:6" s="614" customFormat="1">
      <c r="C2396" s="614" t="s">
        <v>13424</v>
      </c>
      <c r="E2396" s="725"/>
    </row>
    <row r="2397" spans="3:6" s="614" customFormat="1">
      <c r="D2397" s="614" t="s">
        <v>13404</v>
      </c>
      <c r="E2397" s="725">
        <f>E2392+E2384+E2376</f>
        <v>35321580</v>
      </c>
      <c r="F2397" s="614" t="s">
        <v>13677</v>
      </c>
    </row>
    <row r="2398" spans="3:6" s="614" customFormat="1">
      <c r="D2398" s="614" t="s">
        <v>13406</v>
      </c>
      <c r="E2398" s="990">
        <f>IF(E2376&gt;0,E2377*(E2376/E2397)+E2385*(E2384/E2397)+E2393*(E2392/E2397),0)</f>
        <v>5.6555999999999997</v>
      </c>
      <c r="F2398" s="614" t="s">
        <v>13678</v>
      </c>
    </row>
    <row r="2399" spans="3:6" s="614" customFormat="1">
      <c r="E2399" s="991"/>
    </row>
    <row r="2400" spans="3:6" s="614" customFormat="1">
      <c r="D2400" s="614" t="s">
        <v>13427</v>
      </c>
      <c r="E2400" s="653">
        <f>E2374+E2382+E2390</f>
        <v>12362553</v>
      </c>
      <c r="F2400" s="614" t="s">
        <v>13679</v>
      </c>
    </row>
    <row r="2401" spans="2:6" s="614" customFormat="1">
      <c r="D2401" s="614" t="s">
        <v>13429</v>
      </c>
      <c r="E2401" s="990">
        <f>IF(E2397=0,0,E2375*(E2374/E2400)+E2383*(E2382/E2400)+E2391*(E2390/E2400))</f>
        <v>7.2</v>
      </c>
      <c r="F2401" s="614" t="s">
        <v>13680</v>
      </c>
    </row>
    <row r="2402" spans="2:6" s="614" customFormat="1">
      <c r="E2402" s="991"/>
    </row>
    <row r="2403" spans="2:6" s="614" customFormat="1">
      <c r="D2403" s="614" t="s">
        <v>13431</v>
      </c>
      <c r="E2403" s="653">
        <f>E2372+E2380+E2388</f>
        <v>22959027</v>
      </c>
      <c r="F2403" s="614" t="s">
        <v>13681</v>
      </c>
    </row>
    <row r="2404" spans="2:6" s="614" customFormat="1">
      <c r="D2404" s="614" t="s">
        <v>13433</v>
      </c>
      <c r="E2404" s="990">
        <f>IF(E2403=0,0,E2373*(E2372/E2403)+E2381*(E2380/E2403)+E2389*(E2388/E2403))</f>
        <v>4.8239999999999998</v>
      </c>
      <c r="F2404" s="614" t="s">
        <v>13682</v>
      </c>
    </row>
    <row r="2405" spans="2:6" s="614" customFormat="1" ht="5.45" customHeight="1">
      <c r="E2405" s="991"/>
    </row>
    <row r="2406" spans="2:6" s="614" customFormat="1">
      <c r="D2406" s="614" t="s">
        <v>8607</v>
      </c>
      <c r="E2406" s="990">
        <f>IF((E2403)=0,0,(E2404*(E2403/(E2403))))</f>
        <v>4.8239999999999998</v>
      </c>
      <c r="F2406" s="614" t="s">
        <v>13736</v>
      </c>
    </row>
    <row r="2407" spans="2:6" s="614" customFormat="1">
      <c r="E2407" s="725"/>
    </row>
    <row r="2408" spans="2:6" s="614" customFormat="1">
      <c r="B2408" s="614" t="s">
        <v>239</v>
      </c>
      <c r="E2408" s="725"/>
    </row>
    <row r="2409" spans="2:6" s="614" customFormat="1">
      <c r="C2409" s="614" t="s">
        <v>379</v>
      </c>
      <c r="E2409" s="725"/>
    </row>
    <row r="2410" spans="2:6" s="614" customFormat="1">
      <c r="D2410" s="614" t="s">
        <v>13393</v>
      </c>
      <c r="E2410" s="653">
        <f>finCalcCh4Prod3Slot1VolSold*calcCh4Prod3Slot1Promo1PlanShare</f>
        <v>0</v>
      </c>
      <c r="F2410" s="614" t="s">
        <v>13683</v>
      </c>
    </row>
    <row r="2411" spans="2:6" s="614" customFormat="1">
      <c r="D2411" s="614" t="s">
        <v>13395</v>
      </c>
      <c r="E2411" s="725">
        <f>calcCh4Prod3Slot1Promo1CustPrice</f>
        <v>7.2</v>
      </c>
      <c r="F2411" s="614" t="s">
        <v>13684</v>
      </c>
    </row>
    <row r="2412" spans="2:6" s="614" customFormat="1">
      <c r="D2412" s="614" t="s">
        <v>13401</v>
      </c>
      <c r="E2412" s="653">
        <f>finCalcCh4Prod3Slot1VolSold-E2410</f>
        <v>23547720</v>
      </c>
      <c r="F2412" s="614" t="s">
        <v>13685</v>
      </c>
    </row>
    <row r="2413" spans="2:6" s="614" customFormat="1">
      <c r="D2413" s="614" t="s">
        <v>13392</v>
      </c>
      <c r="E2413" s="725">
        <f>calcCh4Prod3Slot1CustPrice</f>
        <v>7.2</v>
      </c>
      <c r="F2413" s="614" t="s">
        <v>13686</v>
      </c>
    </row>
    <row r="2414" spans="2:6" s="614" customFormat="1">
      <c r="D2414" s="614" t="s">
        <v>13404</v>
      </c>
      <c r="E2414" s="653">
        <f>E2410+E2412</f>
        <v>23547720</v>
      </c>
      <c r="F2414" s="614" t="s">
        <v>13687</v>
      </c>
    </row>
    <row r="2415" spans="2:6" s="614" customFormat="1">
      <c r="D2415" s="614" t="s">
        <v>13406</v>
      </c>
      <c r="E2415" s="685">
        <f>IF(decCh4Prod3Slot1Active=1,(E2411*(E2410/E2414))+(E2413*(E2412/E2414)),0)</f>
        <v>7.2</v>
      </c>
      <c r="F2415" s="614" t="s">
        <v>13688</v>
      </c>
    </row>
    <row r="2416" spans="2:6" s="614" customFormat="1">
      <c r="E2416" s="725"/>
    </row>
    <row r="2417" spans="3:6" s="614" customFormat="1">
      <c r="C2417" s="614" t="s">
        <v>394</v>
      </c>
      <c r="E2417" s="725"/>
    </row>
    <row r="2418" spans="3:6" s="614" customFormat="1">
      <c r="D2418" s="614" t="s">
        <v>13393</v>
      </c>
      <c r="E2418" s="653">
        <f>finCalcCh4Prod3Slot2VolSold*calcCh4Prod3Slot2Promo1PlanShare</f>
        <v>0</v>
      </c>
      <c r="F2418" s="614" t="s">
        <v>13689</v>
      </c>
    </row>
    <row r="2419" spans="3:6" s="614" customFormat="1">
      <c r="D2419" s="614" t="s">
        <v>13395</v>
      </c>
      <c r="E2419" s="725">
        <f>calcCh4Prod3Slot2Promo1CustPrice</f>
        <v>0</v>
      </c>
      <c r="F2419" s="614" t="s">
        <v>13690</v>
      </c>
    </row>
    <row r="2420" spans="3:6" s="614" customFormat="1">
      <c r="D2420" s="614" t="s">
        <v>13401</v>
      </c>
      <c r="E2420" s="653">
        <f>finCalcCh4Prod3Slot2VolSold-E2418</f>
        <v>0</v>
      </c>
      <c r="F2420" s="614" t="s">
        <v>13691</v>
      </c>
    </row>
    <row r="2421" spans="3:6" s="614" customFormat="1">
      <c r="D2421" s="614" t="s">
        <v>13392</v>
      </c>
      <c r="E2421" s="725">
        <f>calcCh4Prod3Slot2CustPrice</f>
        <v>0</v>
      </c>
      <c r="F2421" s="614" t="s">
        <v>13692</v>
      </c>
    </row>
    <row r="2422" spans="3:6" s="614" customFormat="1">
      <c r="D2422" s="614" t="s">
        <v>13404</v>
      </c>
      <c r="E2422" s="653">
        <f>E2418+E2420</f>
        <v>0</v>
      </c>
      <c r="F2422" s="614" t="s">
        <v>13693</v>
      </c>
    </row>
    <row r="2423" spans="3:6" s="614" customFormat="1">
      <c r="D2423" s="614" t="s">
        <v>13406</v>
      </c>
      <c r="E2423" s="685">
        <f>IF(decCh4Prod3Slot2Active=1,(E2419*(E2418/E2422))+(E2421*(E2420/E2422)),0)</f>
        <v>0</v>
      </c>
      <c r="F2423" s="614" t="s">
        <v>13694</v>
      </c>
    </row>
    <row r="2424" spans="3:6" s="614" customFormat="1">
      <c r="E2424" s="725"/>
    </row>
    <row r="2425" spans="3:6" s="614" customFormat="1">
      <c r="C2425" s="614" t="s">
        <v>395</v>
      </c>
      <c r="E2425" s="725"/>
    </row>
    <row r="2426" spans="3:6" s="614" customFormat="1">
      <c r="D2426" s="614" t="s">
        <v>13393</v>
      </c>
      <c r="E2426" s="653">
        <f>finCalcCh4Prod3Slot3VolSold*calcCh4Prod3Slot3Promo1PlanShare</f>
        <v>0</v>
      </c>
      <c r="F2426" s="614" t="s">
        <v>13695</v>
      </c>
    </row>
    <row r="2427" spans="3:6" s="614" customFormat="1">
      <c r="D2427" s="614" t="s">
        <v>13395</v>
      </c>
      <c r="E2427" s="725">
        <f>calcCh4Prod3Slot3Promo1CustPrice</f>
        <v>0</v>
      </c>
      <c r="F2427" s="614" t="s">
        <v>13696</v>
      </c>
    </row>
    <row r="2428" spans="3:6" s="614" customFormat="1">
      <c r="D2428" s="614" t="s">
        <v>13401</v>
      </c>
      <c r="E2428" s="653">
        <f>finCalcCh4Prod3Slot3VolSold-E2426</f>
        <v>0</v>
      </c>
      <c r="F2428" s="614" t="s">
        <v>13697</v>
      </c>
    </row>
    <row r="2429" spans="3:6" s="614" customFormat="1">
      <c r="D2429" s="614" t="s">
        <v>13392</v>
      </c>
      <c r="E2429" s="725">
        <f>calcCh4Prod3Slot3CustPrice</f>
        <v>0</v>
      </c>
      <c r="F2429" s="614" t="s">
        <v>13698</v>
      </c>
    </row>
    <row r="2430" spans="3:6" s="614" customFormat="1">
      <c r="D2430" s="614" t="s">
        <v>13404</v>
      </c>
      <c r="E2430" s="653">
        <f>E2426+E2428</f>
        <v>0</v>
      </c>
      <c r="F2430" s="614" t="s">
        <v>13699</v>
      </c>
    </row>
    <row r="2431" spans="3:6" s="614" customFormat="1">
      <c r="D2431" s="614" t="s">
        <v>13406</v>
      </c>
      <c r="E2431" s="685">
        <f>IF(decCh4Prod3Slot3Active=1,(E2427*(E2426/E2430))+(E2429*(E2428/E2430)),0)</f>
        <v>0</v>
      </c>
      <c r="F2431" s="614" t="s">
        <v>13700</v>
      </c>
    </row>
    <row r="2432" spans="3:6" s="614" customFormat="1">
      <c r="D2432" s="800"/>
      <c r="E2432" s="800"/>
    </row>
    <row r="2433" spans="2:6" s="614" customFormat="1">
      <c r="D2433" s="800"/>
      <c r="E2433" s="800"/>
    </row>
    <row r="2434" spans="2:6" s="614" customFormat="1">
      <c r="C2434" s="614" t="s">
        <v>13424</v>
      </c>
      <c r="E2434" s="725"/>
    </row>
    <row r="2435" spans="2:6" s="614" customFormat="1">
      <c r="D2435" s="614" t="s">
        <v>13404</v>
      </c>
      <c r="E2435" s="725">
        <f>E2430+E2422+E2414</f>
        <v>23547720</v>
      </c>
      <c r="F2435" s="614" t="s">
        <v>13701</v>
      </c>
    </row>
    <row r="2436" spans="2:6" s="614" customFormat="1">
      <c r="D2436" s="614" t="s">
        <v>13406</v>
      </c>
      <c r="E2436" s="990">
        <f>IF(E2414&gt;0,E2415*(E2414/E2435)+E2423*(E2422/E2435)+E2431*(E2430/E2435),0)</f>
        <v>7.2</v>
      </c>
      <c r="F2436" s="614" t="s">
        <v>13702</v>
      </c>
    </row>
    <row r="2437" spans="2:6" s="614" customFormat="1">
      <c r="E2437" s="991"/>
    </row>
    <row r="2438" spans="2:6" s="614" customFormat="1">
      <c r="D2438" s="614" t="s">
        <v>13427</v>
      </c>
      <c r="E2438" s="653">
        <f>E2412+E2420+E2428</f>
        <v>23547720</v>
      </c>
      <c r="F2438" s="614" t="s">
        <v>13703</v>
      </c>
    </row>
    <row r="2439" spans="2:6" s="614" customFormat="1">
      <c r="D2439" s="614" t="s">
        <v>13429</v>
      </c>
      <c r="E2439" s="990">
        <f>IF(E2435=0,0,E2413*(E2412/E2438)+E2421*(E2420/E2438)+E2429*(E2428/E2438))</f>
        <v>7.2</v>
      </c>
      <c r="F2439" s="614" t="s">
        <v>13704</v>
      </c>
    </row>
    <row r="2440" spans="2:6" s="614" customFormat="1">
      <c r="E2440" s="991"/>
    </row>
    <row r="2441" spans="2:6" s="614" customFormat="1">
      <c r="D2441" s="614" t="s">
        <v>13431</v>
      </c>
      <c r="E2441" s="653">
        <f>E2410+E2418+E2426</f>
        <v>0</v>
      </c>
      <c r="F2441" s="614" t="s">
        <v>13705</v>
      </c>
    </row>
    <row r="2442" spans="2:6" s="614" customFormat="1">
      <c r="D2442" s="614" t="s">
        <v>13433</v>
      </c>
      <c r="E2442" s="990">
        <f>IF(E2441=0,0,E2411*(E2410/E2441)+E2419*(E2418/E2441)+E2427*(E2426/E2441))</f>
        <v>0</v>
      </c>
      <c r="F2442" s="614" t="s">
        <v>13706</v>
      </c>
    </row>
    <row r="2443" spans="2:6" s="614" customFormat="1" ht="5.45" customHeight="1">
      <c r="E2443" s="991"/>
    </row>
    <row r="2444" spans="2:6" s="614" customFormat="1">
      <c r="D2444" s="614" t="s">
        <v>8607</v>
      </c>
      <c r="E2444" s="990">
        <f>IF((E2441)=0,0,(E2442*(E2441/(E2441))))</f>
        <v>0</v>
      </c>
      <c r="F2444" s="614" t="s">
        <v>13737</v>
      </c>
    </row>
    <row r="2445" spans="2:6" s="614" customFormat="1">
      <c r="E2445" s="725"/>
    </row>
    <row r="2446" spans="2:6" s="614" customFormat="1">
      <c r="B2446" s="614" t="s">
        <v>240</v>
      </c>
      <c r="E2446" s="725"/>
    </row>
    <row r="2447" spans="2:6" s="614" customFormat="1">
      <c r="C2447" s="614" t="s">
        <v>379</v>
      </c>
      <c r="E2447" s="725"/>
    </row>
    <row r="2448" spans="2:6" s="614" customFormat="1">
      <c r="D2448" s="614" t="s">
        <v>13393</v>
      </c>
      <c r="E2448" s="653">
        <f>finCalcCh4Prod4Slot1VolSold*calcCh4Prod4Slot1Promo1PlanShare</f>
        <v>6060075</v>
      </c>
      <c r="F2448" s="614" t="s">
        <v>13707</v>
      </c>
    </row>
    <row r="2449" spans="3:6" s="614" customFormat="1">
      <c r="D2449" s="614" t="s">
        <v>13395</v>
      </c>
      <c r="E2449" s="725">
        <f>calcCh4Prod4Slot1Promo1CustPrice</f>
        <v>6.68</v>
      </c>
      <c r="F2449" s="614" t="s">
        <v>13708</v>
      </c>
    </row>
    <row r="2450" spans="3:6" s="614" customFormat="1">
      <c r="D2450" s="614" t="s">
        <v>13401</v>
      </c>
      <c r="E2450" s="653">
        <f>finCalcCh4Prod4Slot1VolSold-E2448</f>
        <v>54540675</v>
      </c>
      <c r="F2450" s="614" t="s">
        <v>13709</v>
      </c>
    </row>
    <row r="2451" spans="3:6" s="614" customFormat="1">
      <c r="D2451" s="614" t="s">
        <v>13392</v>
      </c>
      <c r="E2451" s="725">
        <f>calcCh4Prod4Slot1CustPrice</f>
        <v>8.35</v>
      </c>
      <c r="F2451" s="614" t="s">
        <v>13710</v>
      </c>
    </row>
    <row r="2452" spans="3:6" s="614" customFormat="1">
      <c r="D2452" s="614" t="s">
        <v>13404</v>
      </c>
      <c r="E2452" s="653">
        <f>E2448+E2450</f>
        <v>60600750</v>
      </c>
      <c r="F2452" s="614" t="s">
        <v>13711</v>
      </c>
    </row>
    <row r="2453" spans="3:6" s="614" customFormat="1">
      <c r="D2453" s="614" t="s">
        <v>13406</v>
      </c>
      <c r="E2453" s="685">
        <f>IF(decCh4Prod4Slot1Active=1,(E2449*(E2448/E2452))+(E2451*(E2450/E2452)),0)</f>
        <v>8.1829999999999998</v>
      </c>
      <c r="F2453" s="614" t="s">
        <v>13712</v>
      </c>
    </row>
    <row r="2454" spans="3:6" s="614" customFormat="1">
      <c r="E2454" s="725"/>
    </row>
    <row r="2455" spans="3:6" s="614" customFormat="1">
      <c r="C2455" s="614" t="s">
        <v>394</v>
      </c>
      <c r="E2455" s="725"/>
    </row>
    <row r="2456" spans="3:6" s="614" customFormat="1">
      <c r="D2456" s="614" t="s">
        <v>13393</v>
      </c>
      <c r="E2456" s="653">
        <f>finCalcCh4Prod4Slot2VolSold*calcCh4Prod4Slot2Promo1PlanShare</f>
        <v>0</v>
      </c>
      <c r="F2456" s="614" t="s">
        <v>13713</v>
      </c>
    </row>
    <row r="2457" spans="3:6" s="614" customFormat="1">
      <c r="D2457" s="614" t="s">
        <v>13395</v>
      </c>
      <c r="E2457" s="725">
        <f>calcCh4Prod4Slot2Promo1CustPrice</f>
        <v>0</v>
      </c>
      <c r="F2457" s="614" t="s">
        <v>13714</v>
      </c>
    </row>
    <row r="2458" spans="3:6" s="614" customFormat="1">
      <c r="D2458" s="614" t="s">
        <v>13401</v>
      </c>
      <c r="E2458" s="653">
        <f>finCalcCh4Prod4Slot2VolSold-E2456</f>
        <v>0</v>
      </c>
      <c r="F2458" s="614" t="s">
        <v>13715</v>
      </c>
    </row>
    <row r="2459" spans="3:6" s="614" customFormat="1">
      <c r="D2459" s="614" t="s">
        <v>13392</v>
      </c>
      <c r="E2459" s="725">
        <f>calcCh4Prod4Slot2CustPrice</f>
        <v>0</v>
      </c>
      <c r="F2459" s="614" t="s">
        <v>13716</v>
      </c>
    </row>
    <row r="2460" spans="3:6" s="614" customFormat="1">
      <c r="D2460" s="614" t="s">
        <v>13404</v>
      </c>
      <c r="E2460" s="653">
        <f>E2456+E2458</f>
        <v>0</v>
      </c>
      <c r="F2460" s="614" t="s">
        <v>13717</v>
      </c>
    </row>
    <row r="2461" spans="3:6" s="614" customFormat="1">
      <c r="D2461" s="614" t="s">
        <v>13406</v>
      </c>
      <c r="E2461" s="685">
        <f>IF(decCh4Prod4Slot2Active=1,(E2457*(E2456/E2460))+(E2459*(E2458/E2460)),0)</f>
        <v>0</v>
      </c>
      <c r="F2461" s="614" t="s">
        <v>13718</v>
      </c>
    </row>
    <row r="2462" spans="3:6" s="614" customFormat="1">
      <c r="E2462" s="725"/>
    </row>
    <row r="2463" spans="3:6" s="614" customFormat="1">
      <c r="C2463" s="614" t="s">
        <v>395</v>
      </c>
      <c r="E2463" s="725"/>
    </row>
    <row r="2464" spans="3:6" s="614" customFormat="1">
      <c r="D2464" s="614" t="s">
        <v>13393</v>
      </c>
      <c r="E2464" s="653">
        <f>finCalcCh4Prod4Slot3VolSold*calcCh4Prod4Slot3Promo1PlanShare</f>
        <v>0</v>
      </c>
      <c r="F2464" s="614" t="s">
        <v>13719</v>
      </c>
    </row>
    <row r="2465" spans="3:6" s="614" customFormat="1">
      <c r="D2465" s="614" t="s">
        <v>13395</v>
      </c>
      <c r="E2465" s="725">
        <f>calcCh4Prod4Slot3Promo1CustPrice</f>
        <v>0</v>
      </c>
      <c r="F2465" s="614" t="s">
        <v>13720</v>
      </c>
    </row>
    <row r="2466" spans="3:6" s="614" customFormat="1">
      <c r="D2466" s="614" t="s">
        <v>13401</v>
      </c>
      <c r="E2466" s="653">
        <f>finCalcCh4Prod4Slot3VolSold-E2464</f>
        <v>0</v>
      </c>
      <c r="F2466" s="614" t="s">
        <v>13721</v>
      </c>
    </row>
    <row r="2467" spans="3:6" s="614" customFormat="1">
      <c r="D2467" s="614" t="s">
        <v>13392</v>
      </c>
      <c r="E2467" s="725">
        <f>calcCh4Prod4Slot3CustPrice</f>
        <v>0</v>
      </c>
      <c r="F2467" s="614" t="s">
        <v>13722</v>
      </c>
    </row>
    <row r="2468" spans="3:6" s="614" customFormat="1">
      <c r="D2468" s="614" t="s">
        <v>13404</v>
      </c>
      <c r="E2468" s="653">
        <f>E2464+E2466</f>
        <v>0</v>
      </c>
      <c r="F2468" s="614" t="s">
        <v>13723</v>
      </c>
    </row>
    <row r="2469" spans="3:6" s="614" customFormat="1">
      <c r="D2469" s="614" t="s">
        <v>13406</v>
      </c>
      <c r="E2469" s="685">
        <f>IF(decCh4Prod4Slot3Active=1,(E2465*(E2464/E2468))+(E2467*(E2466/E2468)),0)</f>
        <v>0</v>
      </c>
      <c r="F2469" s="614" t="s">
        <v>13724</v>
      </c>
    </row>
    <row r="2470" spans="3:6" s="614" customFormat="1">
      <c r="D2470" s="800"/>
      <c r="E2470" s="800"/>
    </row>
    <row r="2471" spans="3:6" s="614" customFormat="1">
      <c r="D2471" s="800"/>
      <c r="E2471" s="800"/>
    </row>
    <row r="2472" spans="3:6" s="614" customFormat="1">
      <c r="C2472" s="614" t="s">
        <v>13424</v>
      </c>
      <c r="E2472" s="725"/>
    </row>
    <row r="2473" spans="3:6" s="614" customFormat="1">
      <c r="D2473" s="614" t="s">
        <v>13404</v>
      </c>
      <c r="E2473" s="725">
        <f>E2468+E2460+E2452</f>
        <v>60600750</v>
      </c>
      <c r="F2473" s="614" t="s">
        <v>13725</v>
      </c>
    </row>
    <row r="2474" spans="3:6" s="614" customFormat="1">
      <c r="D2474" s="614" t="s">
        <v>13406</v>
      </c>
      <c r="E2474" s="990">
        <f>IF(E2452&gt;0,E2453*(E2452/E2473)+E2461*(E2460/E2473)+E2469*(E2468/E2473),0)</f>
        <v>8.1829999999999998</v>
      </c>
      <c r="F2474" s="614" t="s">
        <v>13726</v>
      </c>
    </row>
    <row r="2475" spans="3:6" s="614" customFormat="1">
      <c r="E2475" s="991"/>
    </row>
    <row r="2476" spans="3:6" s="614" customFormat="1">
      <c r="D2476" s="614" t="s">
        <v>13427</v>
      </c>
      <c r="E2476" s="653">
        <f>E2450+E2458+E2466</f>
        <v>54540675</v>
      </c>
      <c r="F2476" s="614" t="s">
        <v>13727</v>
      </c>
    </row>
    <row r="2477" spans="3:6" s="614" customFormat="1">
      <c r="D2477" s="614" t="s">
        <v>13429</v>
      </c>
      <c r="E2477" s="990">
        <f>IF(E2473=0,0,E2451*(E2450/E2476)+E2459*(E2458/E2476)+E2467*(E2466/E2476))</f>
        <v>8.35</v>
      </c>
      <c r="F2477" s="614" t="s">
        <v>13728</v>
      </c>
    </row>
    <row r="2478" spans="3:6" s="614" customFormat="1">
      <c r="E2478" s="991"/>
    </row>
    <row r="2479" spans="3:6" s="614" customFormat="1">
      <c r="D2479" s="614" t="s">
        <v>13431</v>
      </c>
      <c r="E2479" s="653">
        <f>E2448+E2456+E2464</f>
        <v>6060075</v>
      </c>
      <c r="F2479" s="614" t="s">
        <v>13729</v>
      </c>
    </row>
    <row r="2480" spans="3:6" s="614" customFormat="1">
      <c r="D2480" s="614" t="s">
        <v>13433</v>
      </c>
      <c r="E2480" s="990">
        <f>IF(E2479=0,0,E2449*(E2448/E2479)+E2457*(E2456/E2479)+E2465*(E2464/E2479))</f>
        <v>6.68</v>
      </c>
      <c r="F2480" s="614" t="s">
        <v>13730</v>
      </c>
    </row>
    <row r="2481" spans="1:6" s="614" customFormat="1" ht="5.45" customHeight="1">
      <c r="E2481" s="991"/>
    </row>
    <row r="2482" spans="1:6" s="614" customFormat="1">
      <c r="D2482" s="614" t="s">
        <v>8607</v>
      </c>
      <c r="E2482" s="990">
        <f>IF((E2479)=0,0,(E2480*(E2479/(E2479))))</f>
        <v>6.68</v>
      </c>
      <c r="F2482" s="614" t="s">
        <v>13738</v>
      </c>
    </row>
    <row r="2483" spans="1:6" s="614" customFormat="1">
      <c r="E2483" s="725"/>
    </row>
    <row r="2484" spans="1:6" s="614" customFormat="1">
      <c r="E2484" s="990"/>
    </row>
    <row r="2485" spans="1:6" s="614" customFormat="1"/>
    <row r="2486" spans="1:6" s="81" customFormat="1">
      <c r="A2486" s="81" t="s">
        <v>517</v>
      </c>
    </row>
    <row r="2488" spans="1:6">
      <c r="B2488" s="198" t="s">
        <v>244</v>
      </c>
    </row>
    <row r="2489" spans="1:6">
      <c r="C2489" s="198" t="s">
        <v>13069</v>
      </c>
    </row>
    <row r="2490" spans="1:6">
      <c r="D2490" s="198" t="s">
        <v>4396</v>
      </c>
    </row>
    <row r="2491" spans="1:6">
      <c r="D2491" s="23" t="s">
        <v>4402</v>
      </c>
      <c r="E2491" s="709">
        <f>IF(calcCh1Prod1Slot1Active=1,(calcCh1Prod1Slot1ShelfPrice-calcCh1Prod1Slot1CustPrice),0)</f>
        <v>1.54</v>
      </c>
      <c r="F2491" s="23" t="s">
        <v>4633</v>
      </c>
    </row>
    <row r="2492" spans="1:6">
      <c r="D2492" s="23" t="s">
        <v>4403</v>
      </c>
      <c r="E2492" s="690">
        <f>IF(calcCh1Prod1Slot1Active=1,(calcCh1Prod1Slot1ShelfPrice-calcCh1Prod1Slot1CustPrice)/calcCh1Prod1Slot1ShelfPrice,0)</f>
        <v>0.16666666666666666</v>
      </c>
      <c r="F2492" s="23" t="s">
        <v>4404</v>
      </c>
    </row>
    <row r="2493" spans="1:6">
      <c r="D2493" s="23" t="s">
        <v>4394</v>
      </c>
      <c r="E2493" s="331">
        <f>IF(xxSim0Tool1=0,MMCh1Prod1Seg1Slot1UnitsSoldRSP+MMCh1Prod1Seg2Slot1UnitsSoldRSP+MMCh1Prod1Seg3Slot1UnitsSoldRSP+MMCh1Prod1Seg4Slot1UnitsSoldRSP,calcCh1Prod1VolForecastProd*decCh1Prod1Slot1Forecast*(1-decCh1Prod1Slot1Promo1ShareFrc-decCh1Prod1Slot1Promo2ShareFrc))</f>
        <v>23199305.695999999</v>
      </c>
      <c r="F2493" s="23" t="s">
        <v>4632</v>
      </c>
    </row>
    <row r="2494" spans="1:6" ht="2.25" customHeight="1">
      <c r="D2494" s="197"/>
      <c r="E2494" s="632"/>
    </row>
    <row r="2495" spans="1:6">
      <c r="D2495" s="23" t="s">
        <v>4395</v>
      </c>
      <c r="E2495" s="640">
        <f>calcCh1Prod1Slot1CustProfitBaseMarginAbs*calcCh1Prod1Slot1CustProfitBaseVol</f>
        <v>35726930.771839999</v>
      </c>
      <c r="F2495" s="23" t="s">
        <v>4399</v>
      </c>
    </row>
    <row r="2496" spans="1:6">
      <c r="E2496" s="614"/>
    </row>
    <row r="2497" spans="3:6">
      <c r="D2497" s="198" t="s">
        <v>6111</v>
      </c>
      <c r="E2497" s="614"/>
    </row>
    <row r="2498" spans="3:6">
      <c r="D2498" s="23" t="s">
        <v>4397</v>
      </c>
      <c r="E2498" s="709">
        <f>IF(calcCh1Prod1Slot1Active=1,(calcCh1Prod1Slot1Promo1CustPrice*(1+VLOOKUP(nmProd1,dataCustomerMargin,2,FALSE))-calcCh1Prod1Slot1Promo1CustPrice),0)</f>
        <v>1.0317999999999996</v>
      </c>
      <c r="F2498" s="23" t="s">
        <v>6236</v>
      </c>
    </row>
    <row r="2499" spans="3:6">
      <c r="D2499" s="23" t="s">
        <v>4394</v>
      </c>
      <c r="E2499" s="331">
        <f>IF(xxSim0Tool1=0,MMCh1Prod1Seg1Slot1UnitsSoldPromo1+MMCh1Prod1Seg2Slot1UnitsSoldPromo1+MMCh1Prod1Seg3Slot1UnitsSoldPromo1+MMCh1Prod1Seg4Slot1UnitsSoldPromo1,calcCh1Prod1VolForecastProd*decCh1Prod1Slot1Promo1ShareFrc)</f>
        <v>23199305.696000002</v>
      </c>
      <c r="F2499" s="23" t="s">
        <v>6237</v>
      </c>
    </row>
    <row r="2500" spans="3:6" ht="2.25" customHeight="1">
      <c r="D2500" s="197"/>
      <c r="E2500" s="632"/>
    </row>
    <row r="2501" spans="3:6">
      <c r="D2501" s="23" t="s">
        <v>4398</v>
      </c>
      <c r="E2501" s="640">
        <f>calcCh1Prod1Slot1CustProfitPromo1MarginAbs*calcCh1Prod1Slot1CustProfitPromo1Vol</f>
        <v>23937043.617132794</v>
      </c>
      <c r="F2501" s="23" t="s">
        <v>6238</v>
      </c>
    </row>
    <row r="2502" spans="3:6" s="614" customFormat="1"/>
    <row r="2503" spans="3:6" s="614" customFormat="1">
      <c r="D2503" s="633" t="s">
        <v>6112</v>
      </c>
    </row>
    <row r="2504" spans="3:6" s="614" customFormat="1">
      <c r="D2504" s="614" t="s">
        <v>4397</v>
      </c>
      <c r="E2504" s="709">
        <f>IF(calcCh1Prod1Slot1Active=1,(calcCh1Prod1Slot1Promo2CustPrice*(1+VLOOKUP(nmProd1,dataCustomerMargin,2,FALSE))-calcCh1Prod1Slot1Promo2CustPrice),0)</f>
        <v>1.2319999999999993</v>
      </c>
      <c r="F2504" s="614" t="s">
        <v>6239</v>
      </c>
    </row>
    <row r="2505" spans="3:6" s="614" customFormat="1">
      <c r="D2505" s="614" t="s">
        <v>4394</v>
      </c>
      <c r="E2505" s="331">
        <f>IF(xxSim0Tool1=0,MMCh1Prod1Seg1Slot1UnitsSoldPromo2+MMCh1Prod1Seg2Slot1UnitsSoldPromo2+MMCh1Prod1Seg3Slot1UnitsSoldPromo2+MMCh1Prod1Seg4Slot1UnitsSoldPromo2,calcCh1Prod1VolForecastProd*decCh1Prod1Slot1Promo2ShareFrc)</f>
        <v>11599652.848000001</v>
      </c>
      <c r="F2505" s="614" t="s">
        <v>6240</v>
      </c>
    </row>
    <row r="2506" spans="3:6" s="614" customFormat="1" ht="2.25" customHeight="1">
      <c r="D2506" s="632"/>
      <c r="E2506" s="632"/>
    </row>
    <row r="2507" spans="3:6" s="614" customFormat="1">
      <c r="D2507" s="614" t="s">
        <v>4398</v>
      </c>
      <c r="E2507" s="640">
        <f>calcCh1Prod1Slot1CustProfitPromo2MarginAbs*calcCh1Prod1Slot1CustProfitPromo2Vol</f>
        <v>14290772.308735993</v>
      </c>
      <c r="F2507" s="614" t="s">
        <v>6241</v>
      </c>
    </row>
    <row r="2508" spans="3:6" s="614" customFormat="1">
      <c r="E2508" s="640"/>
    </row>
    <row r="2509" spans="3:6" s="614" customFormat="1">
      <c r="D2509" s="633" t="s">
        <v>14</v>
      </c>
      <c r="E2509" s="640">
        <f>calcCh1Prod1Slot1CustProfitBase+calcCh1Prod1Slot1CustProfitPromo1+calcCh1Prod1Slot1CustProfitPromo2</f>
        <v>73954746.697708786</v>
      </c>
      <c r="F2509" s="614" t="s">
        <v>6405</v>
      </c>
    </row>
    <row r="2510" spans="3:6" s="614" customFormat="1">
      <c r="E2510" s="640"/>
    </row>
    <row r="2511" spans="3:6" s="614" customFormat="1">
      <c r="C2511" s="633" t="s">
        <v>13827</v>
      </c>
    </row>
    <row r="2512" spans="3:6" s="614" customFormat="1">
      <c r="D2512" s="633" t="s">
        <v>4396</v>
      </c>
    </row>
    <row r="2513" spans="4:6" s="614" customFormat="1">
      <c r="D2513" s="614" t="s">
        <v>4402</v>
      </c>
      <c r="E2513" s="709">
        <f>IF(calcCh1Prod1Slot2Active=1,(calcCh1Prod1Slot2ShelfPrice-calcCh1Prod1Slot2CustPrice),0)</f>
        <v>0</v>
      </c>
      <c r="F2513" s="614" t="s">
        <v>4636</v>
      </c>
    </row>
    <row r="2514" spans="4:6" s="614" customFormat="1">
      <c r="D2514" s="614" t="s">
        <v>4403</v>
      </c>
      <c r="E2514" s="690">
        <f>IF(calcCh1Prod1Slot2Active=1,(calcCh1Prod1Slot2ShelfPrice-calcCh1Prod1Slot2CustPrice)/calcCh1Prod1Slot2ShelfPrice,0)</f>
        <v>0</v>
      </c>
      <c r="F2514" s="614" t="s">
        <v>4518</v>
      </c>
    </row>
    <row r="2515" spans="4:6" s="614" customFormat="1">
      <c r="D2515" s="614" t="s">
        <v>4394</v>
      </c>
      <c r="E2515" s="331">
        <f>IF(xxSim0Tool1=0,MMCh1Prod1Seg1Slot2UnitsSoldRSP+MMCh1Prod1Seg2Slot2UnitsSoldRSP+MMCh1Prod1Seg3Slot2UnitsSoldRSP+MMCh1Prod1Seg4Slot2UnitsSoldRSP,calcCh1Prod1VolForecastProd*decCh1Prod1Slot2Forecast*(1-decCh1Prod1Slot2Promo1ShareFrc-decCh1Prod1Slot2Promo2ShareFrc))</f>
        <v>0</v>
      </c>
      <c r="F2515" s="614" t="s">
        <v>4637</v>
      </c>
    </row>
    <row r="2516" spans="4:6" s="614" customFormat="1" ht="2.25" customHeight="1">
      <c r="D2516" s="632"/>
      <c r="E2516" s="632"/>
    </row>
    <row r="2517" spans="4:6" s="614" customFormat="1">
      <c r="D2517" s="614" t="s">
        <v>4395</v>
      </c>
      <c r="E2517" s="640">
        <f>calcCh1Prod1Slot2CustProfitBaseMarginAbs*calcCh1Prod1Slot2CustProfitBaseVol</f>
        <v>0</v>
      </c>
      <c r="F2517" s="614" t="s">
        <v>4519</v>
      </c>
    </row>
    <row r="2518" spans="4:6" s="614" customFormat="1"/>
    <row r="2519" spans="4:6" s="614" customFormat="1">
      <c r="D2519" s="633" t="s">
        <v>6111</v>
      </c>
    </row>
    <row r="2520" spans="4:6" s="614" customFormat="1">
      <c r="D2520" s="614" t="s">
        <v>4397</v>
      </c>
      <c r="E2520" s="709">
        <f>IF(calcCh1Prod1Slot2Active=1,(calcCh1Prod1Slot2Promo1CustPrice*(1+VLOOKUP(nmProd1,dataCustomerMargin,2,FALSE))-calcCh1Prod1Slot2Promo1CustPrice),0)</f>
        <v>0</v>
      </c>
      <c r="F2520" s="614" t="s">
        <v>6242</v>
      </c>
    </row>
    <row r="2521" spans="4:6" s="614" customFormat="1">
      <c r="D2521" s="614" t="s">
        <v>4394</v>
      </c>
      <c r="E2521" s="331">
        <f>IF(xxSim0Tool1=0,MMCh1Prod1Seg1Slot2UnitsSoldPromo1+MMCh1Prod1Seg2Slot2UnitsSoldPromo1+MMCh1Prod1Seg3Slot2UnitsSoldPromo1+MMCh1Prod1Seg4Slot2UnitsSoldPromo1,calcCh1Prod1VolForecastProd*decCh1Prod1Slot2Promo1ShareFrc)</f>
        <v>0</v>
      </c>
      <c r="F2521" s="614" t="s">
        <v>6243</v>
      </c>
    </row>
    <row r="2522" spans="4:6" s="614" customFormat="1" ht="2.25" customHeight="1">
      <c r="D2522" s="632"/>
      <c r="E2522" s="632"/>
    </row>
    <row r="2523" spans="4:6" s="614" customFormat="1">
      <c r="D2523" s="614" t="s">
        <v>4398</v>
      </c>
      <c r="E2523" s="640">
        <f>calcCh1Prod1Slot2CustProfitPromo1MarginAbs*calcCh1Prod1Slot2CustProfitPromo1Vol</f>
        <v>0</v>
      </c>
      <c r="F2523" s="614" t="s">
        <v>6244</v>
      </c>
    </row>
    <row r="2524" spans="4:6" s="614" customFormat="1"/>
    <row r="2525" spans="4:6" s="614" customFormat="1">
      <c r="D2525" s="633" t="s">
        <v>6112</v>
      </c>
    </row>
    <row r="2526" spans="4:6" s="614" customFormat="1">
      <c r="D2526" s="614" t="s">
        <v>4397</v>
      </c>
      <c r="E2526" s="709">
        <f>IF(calcCh1Prod1Slot2Active=1,(calcCh1Prod1Slot2Promo2CustPrice*(1+VLOOKUP(nmProd1,dataCustomerMargin,2,FALSE))-calcCh1Prod1Slot2Promo2CustPrice),0)</f>
        <v>0</v>
      </c>
      <c r="F2526" s="614" t="s">
        <v>6245</v>
      </c>
    </row>
    <row r="2527" spans="4:6" s="614" customFormat="1">
      <c r="D2527" s="614" t="s">
        <v>4394</v>
      </c>
      <c r="E2527" s="331">
        <f>IF(xxSim0Tool1=0,MMCh1Prod1Seg1Slot2UnitsSoldPromo2+MMCh1Prod1Seg2Slot2UnitsSoldPromo2+MMCh1Prod1Seg3Slot2UnitsSoldPromo2+MMCh1Prod1Seg4Slot2UnitsSoldPromo2,calcCh1Prod1VolForecastProd*decCh1Prod1Slot2Promo2ShareFrc)</f>
        <v>0</v>
      </c>
      <c r="F2527" s="614" t="s">
        <v>6246</v>
      </c>
    </row>
    <row r="2528" spans="4:6" s="614" customFormat="1" ht="2.25" customHeight="1">
      <c r="D2528" s="632"/>
      <c r="E2528" s="632"/>
    </row>
    <row r="2529" spans="3:6" s="614" customFormat="1">
      <c r="D2529" s="614" t="s">
        <v>4398</v>
      </c>
      <c r="E2529" s="640">
        <f>calcCh1Prod1Slot2CustProfitPromo2MarginAbs*calcCh1Prod1Slot2CustProfitPromo2Vol</f>
        <v>0</v>
      </c>
      <c r="F2529" s="614" t="s">
        <v>6247</v>
      </c>
    </row>
    <row r="2530" spans="3:6" s="614" customFormat="1">
      <c r="E2530" s="640"/>
    </row>
    <row r="2531" spans="3:6" s="614" customFormat="1">
      <c r="D2531" s="633" t="s">
        <v>14</v>
      </c>
      <c r="E2531" s="640">
        <f>calcCh1Prod1Slot2CustProfitBase+calcCh1Prod1Slot2CustProfitPromo1+calcCh1Prod1Slot2CustProfitPromo2</f>
        <v>0</v>
      </c>
      <c r="F2531" s="614" t="s">
        <v>6407</v>
      </c>
    </row>
    <row r="2532" spans="3:6" s="614" customFormat="1">
      <c r="E2532" s="640"/>
    </row>
    <row r="2533" spans="3:6" s="614" customFormat="1">
      <c r="C2533" s="633" t="s">
        <v>13828</v>
      </c>
    </row>
    <row r="2534" spans="3:6" s="614" customFormat="1">
      <c r="D2534" s="633" t="s">
        <v>4396</v>
      </c>
    </row>
    <row r="2535" spans="3:6" s="614" customFormat="1">
      <c r="D2535" s="614" t="s">
        <v>4402</v>
      </c>
      <c r="E2535" s="709">
        <f>IF(calcCh1Prod1Slot3Active=1,(calcCh1Prod1Slot3ShelfPrice-calcCh1Prod1Slot3CustPrice),0)</f>
        <v>0</v>
      </c>
      <c r="F2535" s="614" t="s">
        <v>4634</v>
      </c>
    </row>
    <row r="2536" spans="3:6" s="614" customFormat="1">
      <c r="D2536" s="614" t="s">
        <v>4403</v>
      </c>
      <c r="E2536" s="690">
        <f>IF(calcCh1Prod1Slot3Active=1,(calcCh1Prod1Slot3ShelfPrice-calcCh1Prod1Slot3CustPrice)/calcCh1Prod1Slot3ShelfPrice,0)</f>
        <v>0</v>
      </c>
      <c r="F2536" s="614" t="s">
        <v>4520</v>
      </c>
    </row>
    <row r="2537" spans="3:6" s="614" customFormat="1">
      <c r="D2537" s="614" t="s">
        <v>4394</v>
      </c>
      <c r="E2537" s="331">
        <f>IF(xxSim0Tool1=0,MMCh1Prod1Seg1Slot3UnitsSoldRSP+MMCh1Prod1Seg2Slot3UnitsSoldRSP+MMCh1Prod1Seg3Slot3UnitsSoldRSP+MMCh1Prod1Seg4Slot3UnitsSoldRSP,calcCh1Prod1VolForecastProd*decCh1Prod1Slot3Forecast*(1-decCh1Prod1Slot3Promo1ShareFrc-decCh1Prod1Slot3Promo2ShareFrc))</f>
        <v>0</v>
      </c>
      <c r="F2537" s="614" t="s">
        <v>4635</v>
      </c>
    </row>
    <row r="2538" spans="3:6" s="614" customFormat="1" ht="2.25" customHeight="1">
      <c r="D2538" s="632"/>
      <c r="E2538" s="632"/>
    </row>
    <row r="2539" spans="3:6" s="614" customFormat="1">
      <c r="D2539" s="614" t="s">
        <v>4395</v>
      </c>
      <c r="E2539" s="640">
        <f>calcCh1Prod1Slot3CustProfitBaseMarginAbs*calcCh1Prod1Slot3CustProfitBaseVol</f>
        <v>0</v>
      </c>
      <c r="F2539" s="614" t="s">
        <v>4521</v>
      </c>
    </row>
    <row r="2540" spans="3:6" s="614" customFormat="1"/>
    <row r="2541" spans="3:6" s="614" customFormat="1">
      <c r="D2541" s="633" t="s">
        <v>6111</v>
      </c>
    </row>
    <row r="2542" spans="3:6" s="614" customFormat="1">
      <c r="D2542" s="614" t="s">
        <v>4397</v>
      </c>
      <c r="E2542" s="709">
        <f>IF(calcCh1Prod1Slot3Active=1,(calcCh1Prod1Slot3Promo1CustPrice*(1+VLOOKUP(nmProd1,dataCustomerMargin,2,FALSE))-calcCh1Prod1Slot3Promo1CustPrice),0)</f>
        <v>0</v>
      </c>
      <c r="F2542" s="614" t="s">
        <v>6248</v>
      </c>
    </row>
    <row r="2543" spans="3:6" s="614" customFormat="1">
      <c r="D2543" s="614" t="s">
        <v>4394</v>
      </c>
      <c r="E2543" s="331">
        <f>IF(xxSim0Tool1=0,MMCh1Prod1Seg1Slot3UnitsSoldPromo1+MMCh1Prod1Seg2Slot3UnitsSoldPromo1+MMCh1Prod1Seg3Slot3UnitsSoldPromo1+MMCh1Prod1Seg4Slot3UnitsSoldPromo1,calcCh1Prod1VolForecastProd*decCh1Prod1Slot3Promo1ShareFrc)</f>
        <v>0</v>
      </c>
      <c r="F2543" s="614" t="s">
        <v>6249</v>
      </c>
    </row>
    <row r="2544" spans="3:6" s="614" customFormat="1" ht="2.25" customHeight="1">
      <c r="D2544" s="632"/>
      <c r="E2544" s="632"/>
    </row>
    <row r="2545" spans="3:6" s="614" customFormat="1">
      <c r="D2545" s="614" t="s">
        <v>4398</v>
      </c>
      <c r="E2545" s="640">
        <f>calcCh1Prod1Slot3CustProfitPromo1MarginAbs*calcCh1Prod1Slot3CustProfitPromo1Vol</f>
        <v>0</v>
      </c>
      <c r="F2545" s="614" t="s">
        <v>6250</v>
      </c>
    </row>
    <row r="2546" spans="3:6" s="614" customFormat="1"/>
    <row r="2547" spans="3:6" s="614" customFormat="1">
      <c r="D2547" s="633" t="s">
        <v>6112</v>
      </c>
    </row>
    <row r="2548" spans="3:6" s="614" customFormat="1">
      <c r="D2548" s="614" t="s">
        <v>4397</v>
      </c>
      <c r="E2548" s="709">
        <f>IF(calcCh1Prod1Slot3Active=1,(calcCh1Prod1Slot3Promo2CustPrice*(1+VLOOKUP(nmProd1,dataCustomerMargin,2,FALSE))-calcCh1Prod1Slot3Promo2CustPrice),0)</f>
        <v>0</v>
      </c>
      <c r="F2548" s="614" t="s">
        <v>6251</v>
      </c>
    </row>
    <row r="2549" spans="3:6" s="614" customFormat="1">
      <c r="D2549" s="614" t="s">
        <v>4394</v>
      </c>
      <c r="E2549" s="331">
        <f>IF(xxSim0Tool1=0,MMCh1Prod1Seg1Slot3UnitsSoldPromo2+MMCh1Prod1Seg2Slot3UnitsSoldPromo2+MMCh1Prod1Seg3Slot3UnitsSoldPromo2+MMCh1Prod1Seg4Slot3UnitsSoldPromo2,calcCh1Prod1VolForecastProd*decCh1Prod1Slot3Promo2ShareFrc)</f>
        <v>0</v>
      </c>
      <c r="F2549" s="614" t="s">
        <v>6252</v>
      </c>
    </row>
    <row r="2550" spans="3:6" s="614" customFormat="1" ht="2.25" customHeight="1">
      <c r="D2550" s="632"/>
      <c r="E2550" s="632"/>
    </row>
    <row r="2551" spans="3:6" s="614" customFormat="1">
      <c r="D2551" s="614" t="s">
        <v>4398</v>
      </c>
      <c r="E2551" s="640">
        <f>calcCh1Prod1Slot3CustProfitPromo2MarginAbs*calcCh1Prod1Slot3CustProfitPromo2Vol</f>
        <v>0</v>
      </c>
      <c r="F2551" s="614" t="s">
        <v>6253</v>
      </c>
    </row>
    <row r="2552" spans="3:6" s="614" customFormat="1">
      <c r="E2552" s="640"/>
    </row>
    <row r="2553" spans="3:6" s="614" customFormat="1">
      <c r="D2553" s="633" t="s">
        <v>14</v>
      </c>
      <c r="E2553" s="640">
        <f>calcCh1Prod1Slot3CustProfitBase+calcCh1Prod1Slot3CustProfitPromo1+calcCh1Prod1Slot3CustProfitPromo2</f>
        <v>0</v>
      </c>
      <c r="F2553" s="614" t="s">
        <v>6406</v>
      </c>
    </row>
    <row r="2554" spans="3:6" s="614" customFormat="1">
      <c r="E2554" s="640"/>
    </row>
    <row r="2555" spans="3:6" s="614" customFormat="1">
      <c r="C2555" s="633" t="s">
        <v>4729</v>
      </c>
    </row>
    <row r="2556" spans="3:6" s="614" customFormat="1">
      <c r="D2556" s="633" t="s">
        <v>4396</v>
      </c>
    </row>
    <row r="2557" spans="3:6" s="614" customFormat="1">
      <c r="D2557" s="614" t="s">
        <v>4402</v>
      </c>
      <c r="E2557" s="709">
        <f>IF(calcCh1Prod2Slot1Active=1,(calcCh1Prod2Slot1ShelfPrice-calcCh1Prod2Slot1CustPrice),0)</f>
        <v>1.58</v>
      </c>
      <c r="F2557" s="614" t="s">
        <v>4638</v>
      </c>
    </row>
    <row r="2558" spans="3:6" s="614" customFormat="1">
      <c r="D2558" s="614" t="s">
        <v>4403</v>
      </c>
      <c r="E2558" s="690">
        <f>IF(calcCh1Prod2Slot1Active=1,(calcCh1Prod2Slot1ShelfPrice-calcCh1Prod2Slot1CustPrice)/calcCh1Prod2Slot1ShelfPrice,0)</f>
        <v>0.16666666666666666</v>
      </c>
      <c r="F2558" s="614" t="s">
        <v>4522</v>
      </c>
    </row>
    <row r="2559" spans="3:6" s="614" customFormat="1">
      <c r="D2559" s="614" t="s">
        <v>4394</v>
      </c>
      <c r="E2559" s="331">
        <f>IF(xxSim0Tool1=0,MMCh1Prod2Seg1Slot1UnitsSoldRSP+MMCh1Prod2Seg2Slot1UnitsSoldRSP+MMCh1Prod2Seg3Slot1UnitsSoldRSP+MMCh1Prod2Seg4Slot1UnitsSoldRSP,calcCh1Prod2VolForecastProd*decCh1Prod2Slot1Forecast*(1-decCh1Prod2Slot1Promo1ShareFrc-decCh1Prod2Slot1Promo2ShareFrc))</f>
        <v>73991254.679999992</v>
      </c>
      <c r="F2559" s="614" t="s">
        <v>4639</v>
      </c>
    </row>
    <row r="2560" spans="3:6" s="614" customFormat="1" ht="2.25" customHeight="1">
      <c r="D2560" s="632"/>
      <c r="E2560" s="632"/>
    </row>
    <row r="2561" spans="4:6" s="614" customFormat="1">
      <c r="D2561" s="614" t="s">
        <v>4395</v>
      </c>
      <c r="E2561" s="640">
        <f>calcCh1Prod2Slot1CustProfitBaseMarginAbs*calcCh1Prod2Slot1CustProfitBaseVol</f>
        <v>116906182.39439999</v>
      </c>
      <c r="F2561" s="614" t="s">
        <v>4523</v>
      </c>
    </row>
    <row r="2562" spans="4:6" s="614" customFormat="1"/>
    <row r="2563" spans="4:6" s="614" customFormat="1">
      <c r="D2563" s="633" t="s">
        <v>6111</v>
      </c>
    </row>
    <row r="2564" spans="4:6" s="614" customFormat="1">
      <c r="D2564" s="614" t="s">
        <v>4397</v>
      </c>
      <c r="E2564" s="709">
        <f>IF(calcCh1Prod2Slot1Active=1,(calcCh1Prod2Slot1Promo1CustPrice*(1+VLOOKUP(nmProd2,dataCustomerMargin,2,FALSE))-calcCh1Prod2Slot1Promo1CustPrice),0)</f>
        <v>1.0585999999999993</v>
      </c>
      <c r="F2564" s="614" t="s">
        <v>6290</v>
      </c>
    </row>
    <row r="2565" spans="4:6" s="614" customFormat="1">
      <c r="D2565" s="614" t="s">
        <v>4394</v>
      </c>
      <c r="E2565" s="331">
        <f>IF(xxSim0Tool1=0,MMCh1Prod2Seg1Slot1UnitsSoldPromo1+MMCh1Prod2Seg2Slot1UnitsSoldPromo1+MMCh1Prod2Seg3Slot1UnitsSoldPromo1+MMCh1Prod2Seg4Slot1UnitsSoldPromo1,calcCh1Prod2VolForecastProd*decCh1Prod2Slot1Promo1ShareFrc)</f>
        <v>18269445.600000001</v>
      </c>
      <c r="F2565" s="614" t="s">
        <v>6291</v>
      </c>
    </row>
    <row r="2566" spans="4:6" s="614" customFormat="1" ht="2.25" customHeight="1">
      <c r="D2566" s="632"/>
      <c r="E2566" s="632"/>
    </row>
    <row r="2567" spans="4:6" s="614" customFormat="1">
      <c r="D2567" s="614" t="s">
        <v>4398</v>
      </c>
      <c r="E2567" s="640">
        <f>calcCh1Prod2Slot1CustProfitPromo1MarginAbs*calcCh1Prod2Slot1CustProfitPromo1Vol</f>
        <v>19340035.11215999</v>
      </c>
      <c r="F2567" s="614" t="s">
        <v>6292</v>
      </c>
    </row>
    <row r="2568" spans="4:6" s="614" customFormat="1"/>
    <row r="2569" spans="4:6" s="614" customFormat="1">
      <c r="D2569" s="633" t="s">
        <v>6112</v>
      </c>
    </row>
    <row r="2570" spans="4:6" s="614" customFormat="1">
      <c r="D2570" s="614" t="s">
        <v>4397</v>
      </c>
      <c r="E2570" s="709">
        <f>IF(calcCh1Prod2Slot1Active=1,(calcCh1Prod2Slot1Promo2CustPrice*(1+VLOOKUP(nmProd2,dataCustomerMargin,2,FALSE))-calcCh1Prod2Slot1Promo2CustPrice),0)</f>
        <v>1.58</v>
      </c>
      <c r="F2570" s="614" t="s">
        <v>6293</v>
      </c>
    </row>
    <row r="2571" spans="4:6" s="614" customFormat="1">
      <c r="D2571" s="614" t="s">
        <v>4394</v>
      </c>
      <c r="E2571" s="331">
        <f>IF(xxSim0Tool1=0,MMCh1Prod2Seg1Slot1UnitsSoldPromo2+MMCh1Prod2Seg2Slot1UnitsSoldPromo2+MMCh1Prod2Seg3Slot1UnitsSoldPromo2+MMCh1Prod2Seg4Slot1UnitsSoldPromo2,calcCh1Prod2VolForecastProd*decCh1Prod2Slot1Promo2ShareFrc)</f>
        <v>0</v>
      </c>
      <c r="F2571" s="614" t="s">
        <v>6294</v>
      </c>
    </row>
    <row r="2572" spans="4:6" s="614" customFormat="1" ht="2.25" customHeight="1">
      <c r="D2572" s="632"/>
      <c r="E2572" s="632"/>
    </row>
    <row r="2573" spans="4:6" s="614" customFormat="1">
      <c r="D2573" s="614" t="s">
        <v>4398</v>
      </c>
      <c r="E2573" s="640">
        <f>calcCh1Prod2Slot1CustProfitPromo2MarginAbs*calcCh1Prod2Slot1CustProfitPromo2Vol</f>
        <v>0</v>
      </c>
      <c r="F2573" s="614" t="s">
        <v>6295</v>
      </c>
    </row>
    <row r="2574" spans="4:6" s="614" customFormat="1">
      <c r="E2574" s="640"/>
    </row>
    <row r="2575" spans="4:6" s="614" customFormat="1">
      <c r="D2575" s="633" t="s">
        <v>14</v>
      </c>
      <c r="E2575" s="640">
        <f>calcCh1Prod2Slot1CustProfitBase+calcCh1Prod2Slot1CustProfitPromo1+calcCh1Prod2Slot1CustProfitPromo2</f>
        <v>136246217.50655997</v>
      </c>
      <c r="F2575" s="614" t="s">
        <v>6414</v>
      </c>
    </row>
    <row r="2576" spans="4:6" s="614" customFormat="1">
      <c r="E2576" s="640"/>
    </row>
    <row r="2577" spans="3:6" s="614" customFormat="1">
      <c r="C2577" s="633" t="s">
        <v>13829</v>
      </c>
    </row>
    <row r="2578" spans="3:6" s="614" customFormat="1">
      <c r="D2578" s="633" t="s">
        <v>4396</v>
      </c>
    </row>
    <row r="2579" spans="3:6" s="614" customFormat="1">
      <c r="D2579" s="614" t="s">
        <v>4402</v>
      </c>
      <c r="E2579" s="709">
        <f>IF(calcCh1Prod2Slot2Active=1,(calcCh1Prod2Slot2ShelfPrice-calcCh1Prod2Slot2CustPrice),0)</f>
        <v>1.5099999999999989</v>
      </c>
      <c r="F2579" s="614" t="s">
        <v>4640</v>
      </c>
    </row>
    <row r="2580" spans="3:6" s="614" customFormat="1">
      <c r="D2580" s="614" t="s">
        <v>4403</v>
      </c>
      <c r="E2580" s="690">
        <f>IF(calcCh1Prod2Slot2Active=1,(calcCh1Prod2Slot2ShelfPrice-calcCh1Prod2Slot2CustPrice)/calcCh1Prod2Slot2ShelfPrice,0)</f>
        <v>0.16666666666666657</v>
      </c>
      <c r="F2580" s="614" t="s">
        <v>4524</v>
      </c>
    </row>
    <row r="2581" spans="3:6" s="614" customFormat="1">
      <c r="D2581" s="614" t="s">
        <v>4394</v>
      </c>
      <c r="E2581" s="331">
        <f>IF(xxSim0Tool1=0,MMCh1Prod2Seg1Slot2UnitsSoldRSP+MMCh1Prod2Seg2Slot2UnitsSoldRSP+MMCh1Prod2Seg3Slot2UnitsSoldRSP+MMCh1Prod2Seg4Slot2UnitsSoldRSP,calcCh1Prod2VolForecastProd*decCh1Prod2Slot2Forecast*(1-decCh1Prod2Slot2Promo1ShareFrc-decCh1Prod2Slot2Promo2ShareFrc))</f>
        <v>45216877.859999999</v>
      </c>
      <c r="F2581" s="614" t="s">
        <v>4641</v>
      </c>
    </row>
    <row r="2582" spans="3:6" s="614" customFormat="1" ht="2.25" customHeight="1">
      <c r="D2582" s="632"/>
      <c r="E2582" s="632"/>
    </row>
    <row r="2583" spans="3:6" s="614" customFormat="1">
      <c r="D2583" s="614" t="s">
        <v>4395</v>
      </c>
      <c r="E2583" s="640">
        <f>calcCh1Prod2Slot2CustProfitBaseMarginAbs*calcCh1Prod2Slot2CustProfitBaseVol</f>
        <v>68277485.568599954</v>
      </c>
      <c r="F2583" s="614" t="s">
        <v>4525</v>
      </c>
    </row>
    <row r="2584" spans="3:6" s="614" customFormat="1"/>
    <row r="2585" spans="3:6" s="614" customFormat="1">
      <c r="D2585" s="633" t="s">
        <v>6111</v>
      </c>
    </row>
    <row r="2586" spans="3:6" s="614" customFormat="1">
      <c r="D2586" s="614" t="s">
        <v>4397</v>
      </c>
      <c r="E2586" s="709">
        <f>IF(calcCh1Prod2Slot2Active=1,(calcCh1Prod2Slot2Promo1CustPrice*(1+VLOOKUP(nmProd2,dataCustomerMargin,2,FALSE))-calcCh1Prod2Slot2Promo1CustPrice),0)</f>
        <v>1.2079999999999993</v>
      </c>
      <c r="F2586" s="614" t="s">
        <v>6296</v>
      </c>
    </row>
    <row r="2587" spans="3:6" s="614" customFormat="1">
      <c r="D2587" s="614" t="s">
        <v>4394</v>
      </c>
      <c r="E2587" s="331">
        <f>IF(xxSim0Tool1=0,MMCh1Prod2Seg1Slot2UnitsSoldPromo1+MMCh1Prod2Seg2Slot2UnitsSoldPromo1+MMCh1Prod2Seg3Slot2UnitsSoldPromo1+MMCh1Prod2Seg4Slot2UnitsSoldPromo1,calcCh1Prod2VolForecastProd*decCh1Prod2Slot2Promo1ShareFrc)</f>
        <v>54808336.799999997</v>
      </c>
      <c r="F2587" s="614" t="s">
        <v>6297</v>
      </c>
    </row>
    <row r="2588" spans="3:6" s="614" customFormat="1" ht="2.25" customHeight="1">
      <c r="D2588" s="632"/>
      <c r="E2588" s="632"/>
    </row>
    <row r="2589" spans="3:6" s="614" customFormat="1">
      <c r="D2589" s="614" t="s">
        <v>4398</v>
      </c>
      <c r="E2589" s="640">
        <f>calcCh1Prod2Slot2CustProfitPromo1MarginAbs*calcCh1Prod2Slot2CustProfitPromo1Vol</f>
        <v>66208470.854399957</v>
      </c>
      <c r="F2589" s="614" t="s">
        <v>6298</v>
      </c>
    </row>
    <row r="2590" spans="3:6" s="614" customFormat="1"/>
    <row r="2591" spans="3:6" s="614" customFormat="1">
      <c r="D2591" s="633" t="s">
        <v>6112</v>
      </c>
    </row>
    <row r="2592" spans="3:6" s="614" customFormat="1">
      <c r="D2592" s="614" t="s">
        <v>4397</v>
      </c>
      <c r="E2592" s="709">
        <f>IF(calcCh1Prod2Slot2Active=1,(calcCh1Prod2Slot2Promo2CustPrice*(1+VLOOKUP(nmProd2,dataCustomerMargin,2,FALSE))-calcCh1Prod2Slot2Promo2CustPrice),0)</f>
        <v>1.0116999999999994</v>
      </c>
      <c r="F2592" s="614" t="s">
        <v>6299</v>
      </c>
    </row>
    <row r="2593" spans="3:6" s="614" customFormat="1">
      <c r="D2593" s="614" t="s">
        <v>4394</v>
      </c>
      <c r="E2593" s="331">
        <f>IF(xxSim0Tool1=0,MMCh1Prod2Seg1Slot2UnitsSoldPromo2+MMCh1Prod2Seg2Slot2UnitsSoldPromo2+MMCh1Prod2Seg3Slot2UnitsSoldPromo2+MMCh1Prod2Seg4Slot2UnitsSoldPromo2,calcCh1Prod2VolForecastProd*decCh1Prod2Slot2Promo2ShareFrc)</f>
        <v>45673614</v>
      </c>
      <c r="F2593" s="614" t="s">
        <v>6300</v>
      </c>
    </row>
    <row r="2594" spans="3:6" s="614" customFormat="1" ht="2.25" customHeight="1">
      <c r="D2594" s="632"/>
      <c r="E2594" s="632"/>
    </row>
    <row r="2595" spans="3:6" s="614" customFormat="1">
      <c r="D2595" s="614" t="s">
        <v>4398</v>
      </c>
      <c r="E2595" s="640">
        <f>calcCh1Prod2Slot2CustProfitPromo2MarginAbs*calcCh1Prod2Slot2CustProfitPromo2Vol</f>
        <v>46207995.283799969</v>
      </c>
      <c r="F2595" s="614" t="s">
        <v>6301</v>
      </c>
    </row>
    <row r="2596" spans="3:6" s="614" customFormat="1">
      <c r="E2596" s="640"/>
    </row>
    <row r="2597" spans="3:6" s="614" customFormat="1">
      <c r="D2597" s="633" t="s">
        <v>14</v>
      </c>
      <c r="E2597" s="640">
        <f>calcCh1Prod2Slot2CustProfitBase+calcCh1Prod2Slot2CustProfitPromo1+calcCh1Prod2Slot2CustProfitPromo2</f>
        <v>180693951.70679989</v>
      </c>
      <c r="F2597" s="614" t="s">
        <v>6415</v>
      </c>
    </row>
    <row r="2598" spans="3:6" s="614" customFormat="1">
      <c r="E2598" s="640"/>
    </row>
    <row r="2599" spans="3:6" s="614" customFormat="1">
      <c r="C2599" s="633" t="s">
        <v>13830</v>
      </c>
    </row>
    <row r="2600" spans="3:6" s="614" customFormat="1">
      <c r="D2600" s="633" t="s">
        <v>4396</v>
      </c>
    </row>
    <row r="2601" spans="3:6" s="614" customFormat="1">
      <c r="D2601" s="614" t="s">
        <v>4402</v>
      </c>
      <c r="E2601" s="709">
        <f>IF(calcCh1Prod2Slot3Active=1,(calcCh1Prod2Slot3ShelfPrice-calcCh1Prod2Slot3CustPrice),0)</f>
        <v>0</v>
      </c>
      <c r="F2601" s="614" t="s">
        <v>4698</v>
      </c>
    </row>
    <row r="2602" spans="3:6" s="614" customFormat="1">
      <c r="D2602" s="614" t="s">
        <v>4403</v>
      </c>
      <c r="E2602" s="690">
        <f>IF(calcCh1Prod2Slot3Active=1,(calcCh1Prod2Slot3ShelfPrice-calcCh1Prod2Slot3CustPrice)/calcCh1Prod2Slot3ShelfPrice,0)</f>
        <v>0</v>
      </c>
      <c r="F2602" s="614" t="s">
        <v>4526</v>
      </c>
    </row>
    <row r="2603" spans="3:6" s="614" customFormat="1">
      <c r="D2603" s="614" t="s">
        <v>4394</v>
      </c>
      <c r="E2603" s="331">
        <f>IF(xxSim0Tool1=0,MMCh1Prod2Seg1Slot3UnitsSoldRSP+MMCh1Prod2Seg2Slot3UnitsSoldRSP+MMCh1Prod2Seg3Slot3UnitsSoldRSP+MMCh1Prod2Seg4Slot3UnitsSoldRSP,calcCh1Prod2VolForecastProd*decCh1Prod2Slot3Forecast*(1-decCh1Prod2Slot3Promo1ShareFrc-decCh1Prod2Slot3Promo2ShareFrc))</f>
        <v>0</v>
      </c>
      <c r="F2603" s="614" t="s">
        <v>4699</v>
      </c>
    </row>
    <row r="2604" spans="3:6" s="614" customFormat="1" ht="2.25" customHeight="1">
      <c r="D2604" s="632"/>
      <c r="E2604" s="632"/>
    </row>
    <row r="2605" spans="3:6" s="614" customFormat="1">
      <c r="D2605" s="614" t="s">
        <v>4395</v>
      </c>
      <c r="E2605" s="640">
        <f>calcCh1Prod2Slot3CustProfitBaseMarginAbs*calcCh1Prod2Slot3CustProfitBaseVol</f>
        <v>0</v>
      </c>
      <c r="F2605" s="614" t="s">
        <v>4527</v>
      </c>
    </row>
    <row r="2606" spans="3:6" s="614" customFormat="1"/>
    <row r="2607" spans="3:6" s="614" customFormat="1">
      <c r="D2607" s="633" t="s">
        <v>6111</v>
      </c>
    </row>
    <row r="2608" spans="3:6" s="614" customFormat="1">
      <c r="D2608" s="614" t="s">
        <v>4397</v>
      </c>
      <c r="E2608" s="709">
        <f>IF(calcCh1Prod2Slot3Active=1,(calcCh1Prod2Slot3Promo1CustPrice*(1+VLOOKUP(nmProd2,dataCustomerMargin,2,FALSE))-calcCh1Prod2Slot3Promo1CustPrice),0)</f>
        <v>0</v>
      </c>
      <c r="F2608" s="614" t="s">
        <v>6302</v>
      </c>
    </row>
    <row r="2609" spans="3:6" s="614" customFormat="1">
      <c r="D2609" s="614" t="s">
        <v>4394</v>
      </c>
      <c r="E2609" s="331">
        <f>IF(xxSim0Tool1=0,MMCh1Prod2Seg1Slot3UnitsSoldPromo1+MMCh1Prod2Seg2Slot3UnitsSoldPromo1+MMCh1Prod2Seg3Slot3UnitsSoldPromo1+MMCh1Prod2Seg4Slot3UnitsSoldPromo1,calcCh1Prod2VolForecastProd*decCh1Prod2Slot3Promo1ShareFrc)</f>
        <v>0</v>
      </c>
      <c r="F2609" s="614" t="s">
        <v>6303</v>
      </c>
    </row>
    <row r="2610" spans="3:6" s="614" customFormat="1" ht="2.25" customHeight="1">
      <c r="D2610" s="632"/>
      <c r="E2610" s="632"/>
    </row>
    <row r="2611" spans="3:6" s="614" customFormat="1">
      <c r="D2611" s="614" t="s">
        <v>4398</v>
      </c>
      <c r="E2611" s="640">
        <f>calcCh1Prod2Slot3CustProfitPromo1MarginAbs*calcCh1Prod2Slot3CustProfitPromo1Vol</f>
        <v>0</v>
      </c>
      <c r="F2611" s="614" t="s">
        <v>6304</v>
      </c>
    </row>
    <row r="2612" spans="3:6" s="614" customFormat="1"/>
    <row r="2613" spans="3:6" s="614" customFormat="1">
      <c r="D2613" s="633" t="s">
        <v>6112</v>
      </c>
    </row>
    <row r="2614" spans="3:6" s="614" customFormat="1">
      <c r="D2614" s="614" t="s">
        <v>4397</v>
      </c>
      <c r="E2614" s="709">
        <f>IF(calcCh1Prod2Slot3Active=1,(calcCh1Prod2Slot3Promo2CustPrice*(1+VLOOKUP(nmProd2,dataCustomerMargin,2,FALSE))-calcCh1Prod2Slot3Promo2CustPrice),0)</f>
        <v>0</v>
      </c>
      <c r="F2614" s="614" t="s">
        <v>6305</v>
      </c>
    </row>
    <row r="2615" spans="3:6" s="614" customFormat="1">
      <c r="D2615" s="614" t="s">
        <v>4394</v>
      </c>
      <c r="E2615" s="331">
        <f>IF(xxSim0Tool1=0,MMCh1Prod2Seg1Slot3UnitsSoldPromo2+MMCh1Prod2Seg2Slot3UnitsSoldPromo2+MMCh1Prod2Seg3Slot3UnitsSoldPromo2+MMCh1Prod2Seg4Slot3UnitsSoldPromo2,calcCh1Prod2VolForecastProd*decCh1Prod2Slot3Promo2ShareFrc)</f>
        <v>0</v>
      </c>
      <c r="F2615" s="614" t="s">
        <v>6306</v>
      </c>
    </row>
    <row r="2616" spans="3:6" s="614" customFormat="1" ht="2.25" customHeight="1">
      <c r="D2616" s="632"/>
      <c r="E2616" s="632"/>
    </row>
    <row r="2617" spans="3:6" s="614" customFormat="1">
      <c r="D2617" s="614" t="s">
        <v>4398</v>
      </c>
      <c r="E2617" s="640">
        <f>calcCh1Prod2Slot3CustProfitPromo2MarginAbs*calcCh1Prod2Slot3CustProfitPromo2Vol</f>
        <v>0</v>
      </c>
      <c r="F2617" s="614" t="s">
        <v>6307</v>
      </c>
    </row>
    <row r="2618" spans="3:6" s="614" customFormat="1">
      <c r="E2618" s="640"/>
    </row>
    <row r="2619" spans="3:6" s="614" customFormat="1">
      <c r="D2619" s="633" t="s">
        <v>14</v>
      </c>
      <c r="E2619" s="640">
        <f>calcCh1Prod2Slot3CustProfitBase+calcCh1Prod2Slot3CustProfitPromo1+calcCh1Prod2Slot3CustProfitPromo2</f>
        <v>0</v>
      </c>
      <c r="F2619" s="614" t="s">
        <v>6416</v>
      </c>
    </row>
    <row r="2620" spans="3:6" s="614" customFormat="1">
      <c r="E2620" s="640"/>
    </row>
    <row r="2621" spans="3:6" s="614" customFormat="1">
      <c r="C2621" s="633" t="s">
        <v>8606</v>
      </c>
    </row>
    <row r="2622" spans="3:6" s="614" customFormat="1">
      <c r="D2622" s="633" t="s">
        <v>4396</v>
      </c>
    </row>
    <row r="2623" spans="3:6" s="614" customFormat="1">
      <c r="D2623" s="614" t="s">
        <v>4402</v>
      </c>
      <c r="E2623" s="709">
        <f>IF(calcCh1Prod3Slot1Active=1,(calcCh1Prod3Slot1ShelfPrice-calcCh1Prod3Slot1CustPrice),0)</f>
        <v>1.8239999999999998</v>
      </c>
      <c r="F2623" s="614" t="s">
        <v>4646</v>
      </c>
    </row>
    <row r="2624" spans="3:6" s="614" customFormat="1">
      <c r="D2624" s="614" t="s">
        <v>4403</v>
      </c>
      <c r="E2624" s="690">
        <f>IF(calcCh1Prod3Slot1Active=1,(calcCh1Prod3Slot1ShelfPrice-calcCh1Prod3Slot1CustPrice)/calcCh1Prod3Slot1ShelfPrice,0)</f>
        <v>0.19354838709677419</v>
      </c>
      <c r="F2624" s="614" t="s">
        <v>4534</v>
      </c>
    </row>
    <row r="2625" spans="4:6" s="614" customFormat="1">
      <c r="D2625" s="614" t="s">
        <v>4394</v>
      </c>
      <c r="E2625" s="331">
        <f>IF(xxSim0Tool1=0,MMCh1Prod3Seg1Slot1UnitsSoldRSP+MMCh1Prod3Seg2Slot1UnitsSoldRSP+MMCh1Prod3Seg3Slot1UnitsSoldRSP+MMCh1Prod3Seg4Slot1UnitsSoldRSP,calcCh1Prod3VolForecastProd*decCh1Prod3Slot1Forecast*(1-decCh1Prod3Slot1Promo1ShareFrc-decCh1Prod3Slot1Promo2ShareFrc))</f>
        <v>43846669.440000005</v>
      </c>
      <c r="F2625" s="614" t="s">
        <v>4647</v>
      </c>
    </row>
    <row r="2626" spans="4:6" s="614" customFormat="1" ht="2.25" customHeight="1">
      <c r="D2626" s="632"/>
      <c r="E2626" s="632"/>
    </row>
    <row r="2627" spans="4:6" s="614" customFormat="1">
      <c r="D2627" s="614" t="s">
        <v>4395</v>
      </c>
      <c r="E2627" s="640">
        <f>calcCh1Prod3Slot1CustProfitBaseMarginAbs*calcCh1Prod3Slot1CustProfitBaseVol</f>
        <v>79976325.058559999</v>
      </c>
      <c r="F2627" s="614" t="s">
        <v>4535</v>
      </c>
    </row>
    <row r="2628" spans="4:6" s="614" customFormat="1"/>
    <row r="2629" spans="4:6" s="614" customFormat="1">
      <c r="D2629" s="633" t="s">
        <v>6111</v>
      </c>
    </row>
    <row r="2630" spans="4:6" s="614" customFormat="1">
      <c r="D2630" s="614" t="s">
        <v>4397</v>
      </c>
      <c r="E2630" s="709">
        <f>IF(calcCh1Prod3Slot1Active=1,(calcCh1Prod3Slot1Promo1CustPrice*(1+VLOOKUP(nmProd3,dataCustomerMargin,2,FALSE))-calcCh1Prod3Slot1Promo1CustPrice),0)</f>
        <v>1.2220800000000001</v>
      </c>
      <c r="F2630" s="614" t="s">
        <v>6272</v>
      </c>
    </row>
    <row r="2631" spans="4:6" s="614" customFormat="1">
      <c r="D2631" s="614" t="s">
        <v>4394</v>
      </c>
      <c r="E2631" s="331">
        <f>IF(xxSim0Tool1=0,MMCh1Prod3Seg1Slot1UnitsSoldPromo1+MMCh1Prod3Seg2Slot1UnitsSoldPromo1+MMCh1Prod3Seg3Slot1UnitsSoldPromo1+MMCh1Prod3Seg4Slot1UnitsSoldPromo1,calcCh1Prod3VolForecastProd*decCh1Prod3Slot1Promo1ShareFrc)</f>
        <v>12179630.4</v>
      </c>
      <c r="F2631" s="614" t="s">
        <v>6273</v>
      </c>
    </row>
    <row r="2632" spans="4:6" s="614" customFormat="1" ht="2.25" customHeight="1">
      <c r="D2632" s="632"/>
      <c r="E2632" s="632"/>
    </row>
    <row r="2633" spans="4:6" s="614" customFormat="1">
      <c r="D2633" s="614" t="s">
        <v>4398</v>
      </c>
      <c r="E2633" s="640">
        <f>calcCh1Prod3Slot1CustProfitPromo1MarginAbs*calcCh1Prod3Slot1CustProfitPromo1Vol</f>
        <v>14884482.719232</v>
      </c>
      <c r="F2633" s="614" t="s">
        <v>6274</v>
      </c>
    </row>
    <row r="2634" spans="4:6" s="614" customFormat="1"/>
    <row r="2635" spans="4:6" s="614" customFormat="1">
      <c r="D2635" s="633" t="s">
        <v>6112</v>
      </c>
    </row>
    <row r="2636" spans="4:6" s="614" customFormat="1">
      <c r="D2636" s="614" t="s">
        <v>4397</v>
      </c>
      <c r="E2636" s="709">
        <f>IF(calcCh1Prod3Slot1Active=1,(calcCh1Prod3Slot1Promo2CustPrice*(1+VLOOKUP(nmProd3,dataCustomerMargin,2,FALSE))-calcCh1Prod3Slot1Promo2CustPrice),0)</f>
        <v>1.8239999999999998</v>
      </c>
      <c r="F2636" s="614" t="s">
        <v>6275</v>
      </c>
    </row>
    <row r="2637" spans="4:6" s="614" customFormat="1">
      <c r="D2637" s="614" t="s">
        <v>4394</v>
      </c>
      <c r="E2637" s="331">
        <f>IF(xxSim0Tool1=0,MMCh1Prod3Seg1Slot1UnitsSoldPromo2+MMCh1Prod3Seg2Slot1UnitsSoldPromo2+MMCh1Prod3Seg3Slot1UnitsSoldPromo2+MMCh1Prod3Seg4Slot1UnitsSoldPromo2,calcCh1Prod3VolForecastProd*decCh1Prod3Slot1Promo2ShareFrc)</f>
        <v>0</v>
      </c>
      <c r="F2637" s="614" t="s">
        <v>6276</v>
      </c>
    </row>
    <row r="2638" spans="4:6" s="614" customFormat="1" ht="2.25" customHeight="1">
      <c r="D2638" s="632"/>
      <c r="E2638" s="632"/>
    </row>
    <row r="2639" spans="4:6" s="614" customFormat="1">
      <c r="D2639" s="614" t="s">
        <v>4398</v>
      </c>
      <c r="E2639" s="640">
        <f>calcCh1Prod3Slot1CustProfitPromo2MarginAbs*calcCh1Prod3Slot1CustProfitPromo2Vol</f>
        <v>0</v>
      </c>
      <c r="F2639" s="614" t="s">
        <v>6277</v>
      </c>
    </row>
    <row r="2640" spans="4:6" s="614" customFormat="1">
      <c r="E2640" s="640"/>
    </row>
    <row r="2641" spans="3:6" s="614" customFormat="1">
      <c r="D2641" s="633" t="s">
        <v>14</v>
      </c>
      <c r="E2641" s="640">
        <f>calcCh1Prod3Slot1CustProfitBase+calcCh1Prod3Slot1CustProfitPromo1+calcCh1Prod3Slot1CustProfitPromo2</f>
        <v>94860807.777792007</v>
      </c>
      <c r="F2641" s="614" t="s">
        <v>6411</v>
      </c>
    </row>
    <row r="2642" spans="3:6" s="614" customFormat="1">
      <c r="E2642" s="640"/>
    </row>
    <row r="2643" spans="3:6" s="614" customFormat="1">
      <c r="C2643" s="633" t="s">
        <v>13831</v>
      </c>
    </row>
    <row r="2644" spans="3:6" s="614" customFormat="1">
      <c r="D2644" s="633" t="s">
        <v>4396</v>
      </c>
    </row>
    <row r="2645" spans="3:6" s="614" customFormat="1">
      <c r="D2645" s="614" t="s">
        <v>4402</v>
      </c>
      <c r="E2645" s="709">
        <f>IF(calcCh1Prod3Slot2Active=1,(calcCh1Prod3Slot2ShelfPrice-calcCh1Prod3Slot2CustPrice),0)</f>
        <v>1.8431999999999995</v>
      </c>
      <c r="F2645" s="614" t="s">
        <v>4648</v>
      </c>
    </row>
    <row r="2646" spans="3:6" s="614" customFormat="1">
      <c r="D2646" s="614" t="s">
        <v>4403</v>
      </c>
      <c r="E2646" s="690">
        <f>IF(calcCh1Prod3Slot2Active=1,(calcCh1Prod3Slot2ShelfPrice-calcCh1Prod3Slot2CustPrice)/calcCh1Prod3Slot2ShelfPrice,0)</f>
        <v>0.19354838709677416</v>
      </c>
      <c r="F2646" s="614" t="s">
        <v>4536</v>
      </c>
    </row>
    <row r="2647" spans="3:6" s="614" customFormat="1">
      <c r="D2647" s="614" t="s">
        <v>4394</v>
      </c>
      <c r="E2647" s="331">
        <f>IF(xxSim0Tool1=0,MMCh1Prod3Seg1Slot2UnitsSoldRSP+MMCh1Prod3Seg2Slot2UnitsSoldRSP+MMCh1Prod3Seg3Slot2UnitsSoldRSP+MMCh1Prod3Seg4Slot2UnitsSoldRSP,calcCh1Prod3VolForecastProd*decCh1Prod3Slot2Forecast*(1-decCh1Prod3Slot2Promo1ShareFrc-decCh1Prod3Slot2Promo2ShareFrc))</f>
        <v>43846669.43999999</v>
      </c>
      <c r="F2647" s="614" t="s">
        <v>4649</v>
      </c>
    </row>
    <row r="2648" spans="3:6" s="614" customFormat="1" ht="2.25" customHeight="1">
      <c r="D2648" s="632"/>
      <c r="E2648" s="632"/>
    </row>
    <row r="2649" spans="3:6" s="614" customFormat="1">
      <c r="D2649" s="614" t="s">
        <v>4395</v>
      </c>
      <c r="E2649" s="640">
        <f>calcCh1Prod3Slot2CustProfitBaseMarginAbs*calcCh1Prod3Slot2CustProfitBaseVol</f>
        <v>80818181.111807957</v>
      </c>
      <c r="F2649" s="614" t="s">
        <v>4537</v>
      </c>
    </row>
    <row r="2650" spans="3:6" s="614" customFormat="1"/>
    <row r="2651" spans="3:6" s="614" customFormat="1">
      <c r="D2651" s="633" t="s">
        <v>6111</v>
      </c>
    </row>
    <row r="2652" spans="3:6" s="614" customFormat="1">
      <c r="D2652" s="614" t="s">
        <v>4397</v>
      </c>
      <c r="E2652" s="709">
        <f>IF(calcCh1Prod3Slot2Active=1,(calcCh1Prod3Slot2Promo1CustPrice*(1+VLOOKUP(nmProd3,dataCustomerMargin,2,FALSE))-calcCh1Prod3Slot2Promo1CustPrice),0)</f>
        <v>1.4745600000000003</v>
      </c>
      <c r="F2652" s="614" t="s">
        <v>6278</v>
      </c>
    </row>
    <row r="2653" spans="3:6" s="614" customFormat="1">
      <c r="D2653" s="614" t="s">
        <v>4394</v>
      </c>
      <c r="E2653" s="331">
        <f>IF(xxSim0Tool1=0,MMCh1Prod3Seg1Slot2UnitsSoldPromo1+MMCh1Prod3Seg2Slot2UnitsSoldPromo1+MMCh1Prod3Seg3Slot2UnitsSoldPromo1+MMCh1Prod3Seg4Slot2UnitsSoldPromo1,calcCh1Prod3VolForecastProd*decCh1Prod3Slot2Promo1ShareFrc)</f>
        <v>48718521.600000001</v>
      </c>
      <c r="F2653" s="614" t="s">
        <v>6279</v>
      </c>
    </row>
    <row r="2654" spans="3:6" s="614" customFormat="1" ht="2.25" customHeight="1">
      <c r="D2654" s="632"/>
      <c r="E2654" s="632"/>
    </row>
    <row r="2655" spans="3:6" s="614" customFormat="1">
      <c r="D2655" s="614" t="s">
        <v>4398</v>
      </c>
      <c r="E2655" s="640">
        <f>calcCh1Prod3Slot2CustProfitPromo1MarginAbs*calcCh1Prod3Slot2CustProfitPromo1Vol</f>
        <v>71838383.210496023</v>
      </c>
      <c r="F2655" s="614" t="s">
        <v>6280</v>
      </c>
    </row>
    <row r="2656" spans="3:6" s="614" customFormat="1"/>
    <row r="2657" spans="3:6" s="614" customFormat="1">
      <c r="D2657" s="633" t="s">
        <v>6112</v>
      </c>
    </row>
    <row r="2658" spans="3:6" s="614" customFormat="1">
      <c r="D2658" s="614" t="s">
        <v>4397</v>
      </c>
      <c r="E2658" s="709">
        <f>IF(calcCh1Prod3Slot2Active=1,(calcCh1Prod3Slot2Promo2CustPrice*(1+VLOOKUP(nmProd3,dataCustomerMargin,2,FALSE))-calcCh1Prod3Slot2Promo2CustPrice),0)</f>
        <v>1.8431999999999995</v>
      </c>
      <c r="F2658" s="614" t="s">
        <v>6281</v>
      </c>
    </row>
    <row r="2659" spans="3:6" s="614" customFormat="1">
      <c r="D2659" s="614" t="s">
        <v>4394</v>
      </c>
      <c r="E2659" s="331">
        <f>IF(xxSim0Tool1=0,MMCh1Prod3Seg1Slot2UnitsSoldPromo2+MMCh1Prod3Seg2Slot2UnitsSoldPromo2+MMCh1Prod3Seg3Slot2UnitsSoldPromo2+MMCh1Prod3Seg4Slot2UnitsSoldPromo2,calcCh1Prod3VolForecastProd*decCh1Prod3Slot2Promo2ShareFrc)</f>
        <v>0</v>
      </c>
      <c r="F2659" s="614" t="s">
        <v>6282</v>
      </c>
    </row>
    <row r="2660" spans="3:6" s="614" customFormat="1" ht="2.25" customHeight="1">
      <c r="D2660" s="632"/>
      <c r="E2660" s="632"/>
    </row>
    <row r="2661" spans="3:6" s="614" customFormat="1">
      <c r="D2661" s="614" t="s">
        <v>4398</v>
      </c>
      <c r="E2661" s="640">
        <f>calcCh1Prod3Slot2CustProfitPromo2MarginAbs*calcCh1Prod3Slot2CustProfitPromo2Vol</f>
        <v>0</v>
      </c>
      <c r="F2661" s="614" t="s">
        <v>6283</v>
      </c>
    </row>
    <row r="2662" spans="3:6" s="614" customFormat="1">
      <c r="E2662" s="640"/>
    </row>
    <row r="2663" spans="3:6" s="614" customFormat="1">
      <c r="D2663" s="633" t="s">
        <v>14</v>
      </c>
      <c r="E2663" s="640">
        <f>calcCh1Prod3Slot2CustProfitBase+calcCh1Prod3Slot2CustProfitPromo1+calcCh1Prod3Slot2CustProfitPromo2</f>
        <v>152656564.32230398</v>
      </c>
      <c r="F2663" s="614" t="s">
        <v>6412</v>
      </c>
    </row>
    <row r="2664" spans="3:6" s="614" customFormat="1">
      <c r="E2664" s="640"/>
    </row>
    <row r="2665" spans="3:6" s="614" customFormat="1">
      <c r="C2665" s="633" t="s">
        <v>13832</v>
      </c>
    </row>
    <row r="2666" spans="3:6" s="614" customFormat="1">
      <c r="D2666" s="633" t="s">
        <v>4396</v>
      </c>
    </row>
    <row r="2667" spans="3:6" s="614" customFormat="1">
      <c r="D2667" s="614" t="s">
        <v>4402</v>
      </c>
      <c r="E2667" s="709">
        <f>IF(calcCh1Prod3Slot3Active=1,(calcCh1Prod3Slot3ShelfPrice-calcCh1Prod3Slot3CustPrice),0)</f>
        <v>0</v>
      </c>
      <c r="F2667" s="614" t="s">
        <v>4700</v>
      </c>
    </row>
    <row r="2668" spans="3:6" s="614" customFormat="1">
      <c r="D2668" s="614" t="s">
        <v>4403</v>
      </c>
      <c r="E2668" s="690">
        <f>IF(calcCh1Prod3Slot3Active=1,(calcCh1Prod3Slot3ShelfPrice-calcCh1Prod3Slot3CustPrice)/calcCh1Prod3Slot3ShelfPrice,0)</f>
        <v>0</v>
      </c>
      <c r="F2668" s="614" t="s">
        <v>4538</v>
      </c>
    </row>
    <row r="2669" spans="3:6" s="614" customFormat="1">
      <c r="D2669" s="614" t="s">
        <v>4394</v>
      </c>
      <c r="E2669" s="331">
        <f>IF(xxSim0Tool1=0,MMCh1Prod3Seg1Slot3UnitsSoldRSP+MMCh1Prod3Seg2Slot3UnitsSoldRSP+MMCh1Prod3Seg3Slot3UnitsSoldRSP+MMCh1Prod3Seg4Slot3UnitsSoldRSP,calcCh1Prod3VolForecastProd*decCh1Prod3Slot3Forecast*(1-decCh1Prod3Slot3Promo1ShareFrc-decCh1Prod3Slot3Promo2ShareFrc))</f>
        <v>0</v>
      </c>
      <c r="F2669" s="614" t="s">
        <v>4701</v>
      </c>
    </row>
    <row r="2670" spans="3:6" s="614" customFormat="1" ht="2.25" customHeight="1">
      <c r="D2670" s="632"/>
      <c r="E2670" s="632"/>
    </row>
    <row r="2671" spans="3:6" s="614" customFormat="1">
      <c r="D2671" s="614" t="s">
        <v>4395</v>
      </c>
      <c r="E2671" s="640">
        <f>calcCh1Prod3Slot3CustProfitBaseMarginAbs*calcCh1Prod3Slot3CustProfitBaseVol</f>
        <v>0</v>
      </c>
      <c r="F2671" s="614" t="s">
        <v>4539</v>
      </c>
    </row>
    <row r="2672" spans="3:6" s="614" customFormat="1"/>
    <row r="2673" spans="3:6" s="614" customFormat="1">
      <c r="D2673" s="633" t="s">
        <v>6111</v>
      </c>
    </row>
    <row r="2674" spans="3:6" s="614" customFormat="1">
      <c r="D2674" s="614" t="s">
        <v>4397</v>
      </c>
      <c r="E2674" s="709">
        <f>IF(calcCh1Prod3Slot3Active=1,(calcCh1Prod3Slot3Promo1CustPrice*(1+VLOOKUP(nmProd3,dataCustomerMargin,2,FALSE))-calcCh1Prod3Slot3Promo1CustPrice),0)</f>
        <v>0</v>
      </c>
      <c r="F2674" s="614" t="s">
        <v>6284</v>
      </c>
    </row>
    <row r="2675" spans="3:6" s="614" customFormat="1">
      <c r="D2675" s="614" t="s">
        <v>4394</v>
      </c>
      <c r="E2675" s="331">
        <f>IF(xxSim0Tool1=0,MMCh1Prod3Seg1Slot3UnitsSoldPromo1+MMCh1Prod3Seg2Slot3UnitsSoldPromo1+MMCh1Prod3Seg3Slot3UnitsSoldPromo1+MMCh1Prod3Seg4Slot3UnitsSoldPromo1,calcCh1Prod3VolForecastProd*decCh1Prod3Slot3Promo1ShareFrc)</f>
        <v>0</v>
      </c>
      <c r="F2675" s="614" t="s">
        <v>6285</v>
      </c>
    </row>
    <row r="2676" spans="3:6" s="614" customFormat="1" ht="2.25" customHeight="1">
      <c r="D2676" s="632"/>
      <c r="E2676" s="632"/>
    </row>
    <row r="2677" spans="3:6" s="614" customFormat="1">
      <c r="D2677" s="614" t="s">
        <v>4398</v>
      </c>
      <c r="E2677" s="640">
        <f>calcCh1Prod3Slot3CustProfitPromo1MarginAbs*calcCh1Prod3Slot3CustProfitPromo1Vol</f>
        <v>0</v>
      </c>
      <c r="F2677" s="614" t="s">
        <v>6286</v>
      </c>
    </row>
    <row r="2678" spans="3:6" s="614" customFormat="1"/>
    <row r="2679" spans="3:6" s="614" customFormat="1">
      <c r="D2679" s="633" t="s">
        <v>6112</v>
      </c>
    </row>
    <row r="2680" spans="3:6" s="614" customFormat="1">
      <c r="D2680" s="614" t="s">
        <v>4397</v>
      </c>
      <c r="E2680" s="709">
        <f>IF(calcCh1Prod3Slot3Active=1,(calcCh1Prod3Slot3Promo2CustPrice*(1+VLOOKUP(nmProd3,dataCustomerMargin,2,FALSE))-calcCh1Prod3Slot3Promo2CustPrice),0)</f>
        <v>0</v>
      </c>
      <c r="F2680" s="614" t="s">
        <v>6287</v>
      </c>
    </row>
    <row r="2681" spans="3:6" s="614" customFormat="1">
      <c r="D2681" s="614" t="s">
        <v>4394</v>
      </c>
      <c r="E2681" s="331">
        <f>IF(xxSim0Tool1=0,MMCh1Prod3Seg1Slot3UnitsSoldPromo2+MMCh1Prod3Seg2Slot3UnitsSoldPromo2+MMCh1Prod3Seg3Slot3UnitsSoldPromo2+MMCh1Prod3Seg4Slot3UnitsSoldPromo2,calcCh1Prod3VolForecastProd*decCh1Prod3Slot3Promo2ShareFrc)</f>
        <v>0</v>
      </c>
      <c r="F2681" s="614" t="s">
        <v>6288</v>
      </c>
    </row>
    <row r="2682" spans="3:6" s="614" customFormat="1" ht="2.25" customHeight="1">
      <c r="D2682" s="632"/>
      <c r="E2682" s="632"/>
    </row>
    <row r="2683" spans="3:6" s="614" customFormat="1">
      <c r="D2683" s="614" t="s">
        <v>4398</v>
      </c>
      <c r="E2683" s="640">
        <f>calcCh1Prod3Slot3CustProfitPromo2MarginAbs*calcCh1Prod3Slot3CustProfitPromo2Vol</f>
        <v>0</v>
      </c>
      <c r="F2683" s="614" t="s">
        <v>6289</v>
      </c>
    </row>
    <row r="2684" spans="3:6" s="614" customFormat="1">
      <c r="E2684" s="640"/>
    </row>
    <row r="2685" spans="3:6" s="614" customFormat="1">
      <c r="D2685" s="633" t="s">
        <v>14</v>
      </c>
      <c r="E2685" s="640">
        <f>calcCh1Prod3Slot3CustProfitBase+calcCh1Prod3Slot3CustProfitPromo1+calcCh1Prod3Slot3CustProfitPromo2</f>
        <v>0</v>
      </c>
      <c r="F2685" s="614" t="s">
        <v>6413</v>
      </c>
    </row>
    <row r="2686" spans="3:6" s="614" customFormat="1">
      <c r="E2686" s="640"/>
    </row>
    <row r="2687" spans="3:6" s="614" customFormat="1">
      <c r="C2687" s="633" t="s">
        <v>13833</v>
      </c>
    </row>
    <row r="2688" spans="3:6" s="614" customFormat="1">
      <c r="D2688" s="633" t="s">
        <v>4396</v>
      </c>
    </row>
    <row r="2689" spans="4:6" s="614" customFormat="1">
      <c r="D2689" s="614" t="s">
        <v>4402</v>
      </c>
      <c r="E2689" s="709">
        <f>IF(calcCh1Prod4Slot1Active=1,(calcCh1Prod4Slot1ShelfPrice-calcCh1Prod4Slot1CustPrice),0)</f>
        <v>0</v>
      </c>
      <c r="F2689" s="614" t="s">
        <v>4642</v>
      </c>
    </row>
    <row r="2690" spans="4:6" s="614" customFormat="1">
      <c r="D2690" s="614" t="s">
        <v>4403</v>
      </c>
      <c r="E2690" s="690">
        <f>IF(calcCh1Prod4Slot1Active=1,(calcCh1Prod4Slot1ShelfPrice-calcCh1Prod4Slot1CustPrice)/calcCh1Prod4Slot1ShelfPrice,0)</f>
        <v>0</v>
      </c>
      <c r="F2690" s="614" t="s">
        <v>4528</v>
      </c>
    </row>
    <row r="2691" spans="4:6" s="614" customFormat="1">
      <c r="D2691" s="614" t="s">
        <v>4394</v>
      </c>
      <c r="E2691" s="331">
        <f>IF(xxSim0Tool1=0,MMCh1Prod4Seg1Slot1UnitsSoldRSP+MMCh1Prod4Seg2Slot1UnitsSoldRSP+MMCh1Prod4Seg3Slot1UnitsSoldRSP+MMCh1Prod4Seg4Slot1UnitsSoldRSP,calcCh1Prod4VolForecastProd*decCh1Prod4Slot1Forecast*(1-decCh1Prod4Slot1Promo1ShareFrc-decCh1Prod4Slot1Promo2ShareFrc))</f>
        <v>0</v>
      </c>
      <c r="F2691" s="614" t="s">
        <v>4643</v>
      </c>
    </row>
    <row r="2692" spans="4:6" s="614" customFormat="1" ht="2.25" customHeight="1">
      <c r="D2692" s="632"/>
      <c r="E2692" s="632"/>
    </row>
    <row r="2693" spans="4:6" s="614" customFormat="1">
      <c r="D2693" s="614" t="s">
        <v>4395</v>
      </c>
      <c r="E2693" s="640">
        <f>calcCh1Prod4Slot1CustProfitBaseMarginAbs*calcCh1Prod4Slot1CustProfitBaseVol</f>
        <v>0</v>
      </c>
      <c r="F2693" s="614" t="s">
        <v>4529</v>
      </c>
    </row>
    <row r="2694" spans="4:6" s="614" customFormat="1"/>
    <row r="2695" spans="4:6" s="614" customFormat="1">
      <c r="D2695" s="633" t="s">
        <v>6111</v>
      </c>
    </row>
    <row r="2696" spans="4:6" s="614" customFormat="1">
      <c r="D2696" s="614" t="s">
        <v>4397</v>
      </c>
      <c r="E2696" s="709">
        <f>IF(calcCh1Prod4Slot1Active=1,(calcCh1Prod4Slot1Promo1CustPrice*(1+VLOOKUP(nmProd4,dataCustomerMargin,2,FALSE))-calcCh1Prod4Slot1Promo1CustPrice),0)</f>
        <v>0</v>
      </c>
      <c r="F2696" s="614" t="s">
        <v>6254</v>
      </c>
    </row>
    <row r="2697" spans="4:6" s="614" customFormat="1">
      <c r="D2697" s="614" t="s">
        <v>4394</v>
      </c>
      <c r="E2697" s="331">
        <f>IF(xxSim0Tool1=0,MMCh1Prod4Seg1Slot1UnitsSoldPromo1+MMCh1Prod4Seg2Slot1UnitsSoldPromo1+MMCh1Prod4Seg3Slot1UnitsSoldPromo1+MMCh1Prod4Seg4Slot1UnitsSoldPromo1,calcCh1Prod4VolForecastProd*decCh1Prod4Slot1Promo1ShareFrc)</f>
        <v>0</v>
      </c>
      <c r="F2697" s="614" t="s">
        <v>6255</v>
      </c>
    </row>
    <row r="2698" spans="4:6" s="614" customFormat="1" ht="2.25" customHeight="1">
      <c r="D2698" s="632"/>
      <c r="E2698" s="632"/>
    </row>
    <row r="2699" spans="4:6" s="614" customFormat="1">
      <c r="D2699" s="614" t="s">
        <v>4398</v>
      </c>
      <c r="E2699" s="640">
        <f>calcCh1Prod4Slot1CustProfitPromo1MarginAbs*calcCh1Prod4Slot1CustProfitPromo1Vol</f>
        <v>0</v>
      </c>
      <c r="F2699" s="614" t="s">
        <v>6256</v>
      </c>
    </row>
    <row r="2700" spans="4:6" s="614" customFormat="1"/>
    <row r="2701" spans="4:6" s="614" customFormat="1">
      <c r="D2701" s="633" t="s">
        <v>6112</v>
      </c>
    </row>
    <row r="2702" spans="4:6" s="614" customFormat="1">
      <c r="D2702" s="614" t="s">
        <v>4397</v>
      </c>
      <c r="E2702" s="709">
        <f>IF(calcCh1Prod4Slot1Active=1,(calcCh1Prod4Slot1Promo2CustPrice*(1+VLOOKUP(nmProd4,dataCustomerMargin,2,FALSE))-calcCh1Prod4Slot1Promo2CustPrice),0)</f>
        <v>0</v>
      </c>
      <c r="F2702" s="614" t="s">
        <v>6257</v>
      </c>
    </row>
    <row r="2703" spans="4:6" s="614" customFormat="1">
      <c r="D2703" s="614" t="s">
        <v>4394</v>
      </c>
      <c r="E2703" s="331">
        <f>IF(xxSim0Tool1=0,MMCh1Prod4Seg1Slot1UnitsSoldPromo2+MMCh1Prod4Seg2Slot1UnitsSoldPromo2+MMCh1Prod4Seg3Slot1UnitsSoldPromo2+MMCh1Prod4Seg4Slot1UnitsSoldPromo2,calcCh1Prod4VolForecastProd*decCh1Prod4Slot1Promo2ShareFrc)</f>
        <v>0</v>
      </c>
      <c r="F2703" s="614" t="s">
        <v>6258</v>
      </c>
    </row>
    <row r="2704" spans="4:6" s="614" customFormat="1" ht="2.25" customHeight="1">
      <c r="D2704" s="632"/>
      <c r="E2704" s="632"/>
    </row>
    <row r="2705" spans="3:6" s="614" customFormat="1">
      <c r="D2705" s="614" t="s">
        <v>4398</v>
      </c>
      <c r="E2705" s="640">
        <f>calcCh1Prod4Slot1CustProfitPromo2MarginAbs*calcCh1Prod4Slot1CustProfitPromo2Vol</f>
        <v>0</v>
      </c>
      <c r="F2705" s="614" t="s">
        <v>6259</v>
      </c>
    </row>
    <row r="2706" spans="3:6" s="614" customFormat="1">
      <c r="E2706" s="640"/>
    </row>
    <row r="2707" spans="3:6" s="614" customFormat="1">
      <c r="D2707" s="633" t="s">
        <v>14</v>
      </c>
      <c r="E2707" s="640">
        <f>calcCh1Prod4Slot1CustProfitBase+calcCh1Prod4Slot1CustProfitPromo1+calcCh1Prod4Slot1CustProfitPromo2</f>
        <v>0</v>
      </c>
      <c r="F2707" s="614" t="s">
        <v>6408</v>
      </c>
    </row>
    <row r="2708" spans="3:6" s="614" customFormat="1">
      <c r="E2708" s="640"/>
    </row>
    <row r="2709" spans="3:6" s="614" customFormat="1">
      <c r="C2709" s="633" t="s">
        <v>13834</v>
      </c>
    </row>
    <row r="2710" spans="3:6" s="614" customFormat="1">
      <c r="D2710" s="633" t="s">
        <v>4396</v>
      </c>
    </row>
    <row r="2711" spans="3:6" s="614" customFormat="1">
      <c r="D2711" s="614" t="s">
        <v>4402</v>
      </c>
      <c r="E2711" s="709">
        <f>IF(calcCh1Prod4Slot2Active=1,(calcCh1Prod4Slot2ShelfPrice-calcCh1Prod4Slot2CustPrice),0)</f>
        <v>0</v>
      </c>
      <c r="F2711" s="614" t="s">
        <v>4644</v>
      </c>
    </row>
    <row r="2712" spans="3:6" s="614" customFormat="1">
      <c r="D2712" s="614" t="s">
        <v>4403</v>
      </c>
      <c r="E2712" s="690">
        <f>IF(calcCh1Prod4Slot2Active=1,(calcCh1Prod4Slot2ShelfPrice-calcCh1Prod4Slot2CustPrice)/calcCh1Prod4Slot2ShelfPrice,0)</f>
        <v>0</v>
      </c>
      <c r="F2712" s="614" t="s">
        <v>4530</v>
      </c>
    </row>
    <row r="2713" spans="3:6" s="614" customFormat="1">
      <c r="D2713" s="614" t="s">
        <v>4394</v>
      </c>
      <c r="E2713" s="331">
        <f>IF(xxSim0Tool1=0,MMCh1Prod4Seg1Slot2UnitsSoldRSP+MMCh1Prod4Seg2Slot2UnitsSoldRSP+MMCh1Prod4Seg3Slot2UnitsSoldRSP+MMCh1Prod4Seg4Slot2UnitsSoldRSP,calcCh1Prod4VolForecastProd*decCh1Prod4Slot2Forecast*(1-decCh1Prod4Slot2Promo1ShareFrc-decCh1Prod4Slot2Promo2ShareFrc))</f>
        <v>0</v>
      </c>
      <c r="F2713" s="614" t="s">
        <v>4645</v>
      </c>
    </row>
    <row r="2714" spans="3:6" s="614" customFormat="1" ht="2.25" customHeight="1">
      <c r="D2714" s="632"/>
      <c r="E2714" s="632"/>
    </row>
    <row r="2715" spans="3:6" s="614" customFormat="1">
      <c r="D2715" s="614" t="s">
        <v>4395</v>
      </c>
      <c r="E2715" s="640">
        <f>calcCh1Prod4Slot2CustProfitBaseMarginAbs*calcCh1Prod4Slot2CustProfitBaseVol</f>
        <v>0</v>
      </c>
      <c r="F2715" s="614" t="s">
        <v>4531</v>
      </c>
    </row>
    <row r="2716" spans="3:6" s="614" customFormat="1"/>
    <row r="2717" spans="3:6" s="614" customFormat="1">
      <c r="D2717" s="633" t="s">
        <v>6111</v>
      </c>
    </row>
    <row r="2718" spans="3:6" s="614" customFormat="1">
      <c r="D2718" s="614" t="s">
        <v>4397</v>
      </c>
      <c r="E2718" s="709">
        <f>IF(calcCh1Prod4Slot2Active=1,(calcCh1Prod4Slot2Promo1CustPrice*(1+VLOOKUP(nmProd4,dataCustomerMargin,2,FALSE))-calcCh1Prod4Slot2Promo1CustPrice),0)</f>
        <v>0</v>
      </c>
      <c r="F2718" s="614" t="s">
        <v>6260</v>
      </c>
    </row>
    <row r="2719" spans="3:6" s="614" customFormat="1">
      <c r="D2719" s="614" t="s">
        <v>4394</v>
      </c>
      <c r="E2719" s="331">
        <f>IF(xxSim0Tool1=0,MMCh1Prod4Seg1Slot2UnitsSoldPromo1+MMCh1Prod4Seg2Slot2UnitsSoldPromo1+MMCh1Prod4Seg3Slot2UnitsSoldPromo1+MMCh1Prod4Seg4Slot2UnitsSoldPromo1,calcCh1Prod4VolForecastProd*decCh1Prod4Slot2Promo1ShareFrc)</f>
        <v>0</v>
      </c>
      <c r="F2719" s="614" t="s">
        <v>6261</v>
      </c>
    </row>
    <row r="2720" spans="3:6" s="614" customFormat="1" ht="2.25" customHeight="1">
      <c r="D2720" s="632"/>
      <c r="E2720" s="632"/>
    </row>
    <row r="2721" spans="3:6" s="614" customFormat="1">
      <c r="D2721" s="614" t="s">
        <v>4398</v>
      </c>
      <c r="E2721" s="640">
        <f>calcCh1Prod4Slot2CustProfitPromo1MarginAbs*calcCh1Prod4Slot2CustProfitPromo1Vol</f>
        <v>0</v>
      </c>
      <c r="F2721" s="614" t="s">
        <v>6262</v>
      </c>
    </row>
    <row r="2722" spans="3:6" s="614" customFormat="1"/>
    <row r="2723" spans="3:6" s="614" customFormat="1">
      <c r="D2723" s="633" t="s">
        <v>6112</v>
      </c>
    </row>
    <row r="2724" spans="3:6" s="614" customFormat="1">
      <c r="D2724" s="614" t="s">
        <v>4397</v>
      </c>
      <c r="E2724" s="709">
        <f>IF(calcCh1Prod4Slot2Active=1,(calcCh1Prod4Slot2Promo2CustPrice*(1+VLOOKUP(nmProd4,dataCustomerMargin,2,FALSE))-calcCh1Prod4Slot2Promo2CustPrice),0)</f>
        <v>0</v>
      </c>
      <c r="F2724" s="614" t="s">
        <v>6263</v>
      </c>
    </row>
    <row r="2725" spans="3:6" s="614" customFormat="1">
      <c r="D2725" s="614" t="s">
        <v>4394</v>
      </c>
      <c r="E2725" s="331">
        <f>IF(xxSim0Tool1=0,MMCh1Prod4Seg1Slot2UnitsSoldPromo2+MMCh1Prod4Seg2Slot2UnitsSoldPromo2+MMCh1Prod4Seg3Slot2UnitsSoldPromo2+MMCh1Prod4Seg4Slot2UnitsSoldPromo2,calcCh1Prod4VolForecastProd*decCh1Prod4Slot2Promo2ShareFrc)</f>
        <v>0</v>
      </c>
      <c r="F2725" s="614" t="s">
        <v>6264</v>
      </c>
    </row>
    <row r="2726" spans="3:6" s="614" customFormat="1" ht="2.25" customHeight="1">
      <c r="D2726" s="632"/>
      <c r="E2726" s="632"/>
    </row>
    <row r="2727" spans="3:6" s="614" customFormat="1">
      <c r="D2727" s="614" t="s">
        <v>4398</v>
      </c>
      <c r="E2727" s="640">
        <f>calcCh1Prod4Slot2CustProfitPromo2MarginAbs*calcCh1Prod4Slot2CustProfitPromo2Vol</f>
        <v>0</v>
      </c>
      <c r="F2727" s="614" t="s">
        <v>6265</v>
      </c>
    </row>
    <row r="2728" spans="3:6" s="614" customFormat="1">
      <c r="E2728" s="640"/>
    </row>
    <row r="2729" spans="3:6" s="614" customFormat="1">
      <c r="D2729" s="633" t="s">
        <v>14</v>
      </c>
      <c r="E2729" s="640">
        <f>calcCh1Prod4Slot2CustProfitBase+calcCh1Prod4Slot2CustProfitPromo1+calcCh1Prod4Slot2CustProfitPromo2</f>
        <v>0</v>
      </c>
      <c r="F2729" s="614" t="s">
        <v>6409</v>
      </c>
    </row>
    <row r="2730" spans="3:6" s="614" customFormat="1">
      <c r="E2730" s="640"/>
    </row>
    <row r="2731" spans="3:6" s="614" customFormat="1">
      <c r="C2731" s="633" t="s">
        <v>13835</v>
      </c>
    </row>
    <row r="2732" spans="3:6" s="614" customFormat="1">
      <c r="D2732" s="633" t="s">
        <v>4396</v>
      </c>
    </row>
    <row r="2733" spans="3:6" s="614" customFormat="1">
      <c r="D2733" s="614" t="s">
        <v>4402</v>
      </c>
      <c r="E2733" s="709">
        <f>IF(calcCh1Prod4Slot3Active=1,(calcCh1Prod4Slot3ShelfPrice-calcCh1Prod4Slot3CustPrice),0)</f>
        <v>0</v>
      </c>
      <c r="F2733" s="614" t="s">
        <v>4702</v>
      </c>
    </row>
    <row r="2734" spans="3:6" s="614" customFormat="1">
      <c r="D2734" s="614" t="s">
        <v>4403</v>
      </c>
      <c r="E2734" s="690">
        <f>IF(calcCh1Prod4Slot3Active=1,(calcCh1Prod4Slot3ShelfPrice-calcCh1Prod4Slot3CustPrice)/calcCh1Prod4Slot3ShelfPrice,0)</f>
        <v>0</v>
      </c>
      <c r="F2734" s="614" t="s">
        <v>4532</v>
      </c>
    </row>
    <row r="2735" spans="3:6" s="614" customFormat="1">
      <c r="D2735" s="614" t="s">
        <v>4394</v>
      </c>
      <c r="E2735" s="331">
        <f>IF(xxSim0Tool1=0,MMCh1Prod4Seg1Slot3UnitsSoldRSP+MMCh1Prod4Seg2Slot3UnitsSoldRSP+MMCh1Prod4Seg3Slot3UnitsSoldRSP+MMCh1Prod4Seg4Slot3UnitsSoldRSP,calcCh1Prod4VolForecastProd*decCh1Prod4Slot3Forecast*(1-decCh1Prod4Slot3Promo1ShareFrc-decCh1Prod4Slot3Promo2ShareFrc))</f>
        <v>0</v>
      </c>
      <c r="F2735" s="614" t="s">
        <v>4703</v>
      </c>
    </row>
    <row r="2736" spans="3:6" s="614" customFormat="1" ht="2.25" customHeight="1">
      <c r="D2736" s="632"/>
      <c r="E2736" s="632"/>
    </row>
    <row r="2737" spans="4:6" s="614" customFormat="1">
      <c r="D2737" s="614" t="s">
        <v>4395</v>
      </c>
      <c r="E2737" s="640">
        <f>calcCh1Prod4Slot3CustProfitBaseMarginAbs*calcCh1Prod4Slot3CustProfitBaseVol</f>
        <v>0</v>
      </c>
      <c r="F2737" s="614" t="s">
        <v>4533</v>
      </c>
    </row>
    <row r="2738" spans="4:6" s="614" customFormat="1"/>
    <row r="2739" spans="4:6" s="614" customFormat="1">
      <c r="D2739" s="633" t="s">
        <v>6111</v>
      </c>
    </row>
    <row r="2740" spans="4:6" s="614" customFormat="1">
      <c r="D2740" s="614" t="s">
        <v>4397</v>
      </c>
      <c r="E2740" s="709">
        <f>IF(calcCh1Prod4Slot3Active=1,(calcCh1Prod4Slot3Promo1CustPrice*(1+VLOOKUP(nmProd4,dataCustomerMargin,2,FALSE))-calcCh1Prod4Slot3Promo1CustPrice),0)</f>
        <v>0</v>
      </c>
      <c r="F2740" s="614" t="s">
        <v>6266</v>
      </c>
    </row>
    <row r="2741" spans="4:6" s="614" customFormat="1">
      <c r="D2741" s="614" t="s">
        <v>4394</v>
      </c>
      <c r="E2741" s="331">
        <f>IF(xxSim0Tool1=0,MMCh1Prod4Seg1Slot3UnitsSoldPromo1+MMCh1Prod4Seg2Slot3UnitsSoldPromo1+MMCh1Prod4Seg3Slot3UnitsSoldPromo1+MMCh1Prod4Seg4Slot3UnitsSoldPromo1,calcCh1Prod4VolForecastProd*decCh1Prod4Slot3Promo1ShareFrc)</f>
        <v>0</v>
      </c>
      <c r="F2741" s="614" t="s">
        <v>6267</v>
      </c>
    </row>
    <row r="2742" spans="4:6" s="614" customFormat="1" ht="2.25" customHeight="1">
      <c r="D2742" s="632"/>
      <c r="E2742" s="632"/>
    </row>
    <row r="2743" spans="4:6" s="614" customFormat="1">
      <c r="D2743" s="614" t="s">
        <v>4398</v>
      </c>
      <c r="E2743" s="640">
        <f>calcCh1Prod4Slot3CustProfitPromo1MarginAbs*calcCh1Prod4Slot3CustProfitPromo1Vol</f>
        <v>0</v>
      </c>
      <c r="F2743" s="614" t="s">
        <v>6268</v>
      </c>
    </row>
    <row r="2744" spans="4:6" s="614" customFormat="1"/>
    <row r="2745" spans="4:6" s="614" customFormat="1">
      <c r="D2745" s="633" t="s">
        <v>6112</v>
      </c>
    </row>
    <row r="2746" spans="4:6" s="614" customFormat="1">
      <c r="D2746" s="614" t="s">
        <v>4397</v>
      </c>
      <c r="E2746" s="709">
        <f>IF(calcCh1Prod4Slot3Active=1,(calcCh1Prod4Slot3Promo2CustPrice*(1+VLOOKUP(nmProd4,dataCustomerMargin,2,FALSE))-calcCh1Prod4Slot3Promo2CustPrice),0)</f>
        <v>0</v>
      </c>
      <c r="F2746" s="614" t="s">
        <v>6269</v>
      </c>
    </row>
    <row r="2747" spans="4:6" s="614" customFormat="1">
      <c r="D2747" s="614" t="s">
        <v>4394</v>
      </c>
      <c r="E2747" s="331">
        <f>IF(xxSim0Tool1=0,MMCh1Prod4Seg1Slot3UnitsSoldPromo2+MMCh1Prod4Seg2Slot3UnitsSoldPromo2+MMCh1Prod4Seg3Slot3UnitsSoldPromo2+MMCh1Prod4Seg4Slot3UnitsSoldPromo2,calcCh1Prod4VolForecastProd*decCh1Prod4Slot3Promo2ShareFrc)</f>
        <v>0</v>
      </c>
      <c r="F2747" s="614" t="s">
        <v>6270</v>
      </c>
    </row>
    <row r="2748" spans="4:6" s="614" customFormat="1" ht="2.25" customHeight="1">
      <c r="D2748" s="632"/>
      <c r="E2748" s="632"/>
    </row>
    <row r="2749" spans="4:6" s="614" customFormat="1">
      <c r="D2749" s="614" t="s">
        <v>4398</v>
      </c>
      <c r="E2749" s="640">
        <f>calcCh1Prod4Slot3CustProfitPromo2MarginAbs*calcCh1Prod4Slot3CustProfitPromo2Vol</f>
        <v>0</v>
      </c>
      <c r="F2749" s="614" t="s">
        <v>6271</v>
      </c>
    </row>
    <row r="2750" spans="4:6" s="614" customFormat="1">
      <c r="E2750" s="640"/>
    </row>
    <row r="2751" spans="4:6" s="614" customFormat="1">
      <c r="D2751" s="633" t="s">
        <v>14</v>
      </c>
      <c r="E2751" s="640">
        <f>calcCh1Prod4Slot3CustProfitBase+calcCh1Prod4Slot3CustProfitPromo1+calcCh1Prod4Slot3CustProfitPromo2</f>
        <v>0</v>
      </c>
      <c r="F2751" s="614" t="s">
        <v>6410</v>
      </c>
    </row>
    <row r="2752" spans="4:6" s="614" customFormat="1">
      <c r="E2752" s="640"/>
    </row>
    <row r="2753" spans="2:6" s="614" customFormat="1">
      <c r="D2753" s="633" t="s">
        <v>5503</v>
      </c>
      <c r="E2753" s="640"/>
    </row>
    <row r="2754" spans="2:6" s="614" customFormat="1">
      <c r="D2754" s="614" t="s">
        <v>12868</v>
      </c>
      <c r="E2754" s="640">
        <f>calcCh1Prod1Slot1CustProfitTot+calcCh1Prod1Slot2CustProfitTot+calcCh1Prod1Slot3CustProfitTot</f>
        <v>73954746.697708786</v>
      </c>
      <c r="F2754" s="614" t="s">
        <v>4615</v>
      </c>
    </row>
    <row r="2755" spans="2:6" s="614" customFormat="1">
      <c r="D2755" s="614" t="s">
        <v>238</v>
      </c>
      <c r="E2755" s="640">
        <f>calcCh1Prod2Slot1CustProfitTot+calcCh1Prod2Slot2CustProfitTot+calcCh1Prod2Slot3CustProfitTot</f>
        <v>316940169.21335983</v>
      </c>
      <c r="F2755" s="614" t="s">
        <v>4618</v>
      </c>
    </row>
    <row r="2756" spans="2:6" s="614" customFormat="1">
      <c r="D2756" s="614" t="s">
        <v>239</v>
      </c>
      <c r="E2756" s="640">
        <f>calcCh1Prod3Slot1CustProfitTot+calcCh1Prod3Slot2CustProfitTot+calcCh1Prod3Slot3CustProfitTot</f>
        <v>247517372.10009599</v>
      </c>
      <c r="F2756" s="614" t="s">
        <v>4617</v>
      </c>
    </row>
    <row r="2757" spans="2:6" s="614" customFormat="1">
      <c r="D2757" s="614" t="s">
        <v>240</v>
      </c>
      <c r="E2757" s="640">
        <f>calcCh1Prod4Slot1CustProfitTot+calcCh1Prod4Slot2CustProfitTot+calcCh1Prod4Slot3CustProfitTot</f>
        <v>0</v>
      </c>
      <c r="F2757" s="614" t="s">
        <v>4616</v>
      </c>
    </row>
    <row r="2758" spans="2:6" s="614" customFormat="1">
      <c r="E2758" s="640"/>
    </row>
    <row r="2759" spans="2:6" s="614" customFormat="1">
      <c r="B2759" s="633" t="s">
        <v>245</v>
      </c>
    </row>
    <row r="2760" spans="2:6" s="614" customFormat="1">
      <c r="C2760" s="633" t="s">
        <v>13069</v>
      </c>
    </row>
    <row r="2761" spans="2:6" s="614" customFormat="1">
      <c r="D2761" s="633" t="s">
        <v>4396</v>
      </c>
    </row>
    <row r="2762" spans="2:6" s="614" customFormat="1">
      <c r="D2762" s="614" t="s">
        <v>4402</v>
      </c>
      <c r="E2762" s="709">
        <f>IF(calcCh2Prod1Slot1Active=1,(calcCh2Prod1Slot1ShelfPrice-calcCh2Prod1Slot1CustPrice),0)</f>
        <v>1.1849999999999987</v>
      </c>
      <c r="F2762" s="614" t="s">
        <v>4650</v>
      </c>
    </row>
    <row r="2763" spans="2:6" s="614" customFormat="1">
      <c r="D2763" s="614" t="s">
        <v>4403</v>
      </c>
      <c r="E2763" s="690">
        <f>IF(calcCh2Prod1Slot1Active=1,(calcCh2Prod1Slot1ShelfPrice-calcCh2Prod1Slot1CustPrice)/calcCh2Prod1Slot1ShelfPrice,0)</f>
        <v>0.13043478260869554</v>
      </c>
      <c r="F2763" s="614" t="s">
        <v>4540</v>
      </c>
    </row>
    <row r="2764" spans="2:6" s="614" customFormat="1">
      <c r="D2764" s="614" t="s">
        <v>4394</v>
      </c>
      <c r="E2764" s="331">
        <f>IF(xxSim0Tool1=0,MMCh2Prod1Seg1Slot1UnitsSoldRSP+MMCh2Prod1Seg2Slot1UnitsSoldRSP+MMCh2Prod1Seg3Slot1UnitsSoldRSP+MMCh2Prod1Seg4Slot1UnitsSoldRSP,calcCh2Prod1VolForecastProd*decCh2Prod1Slot1Forecast)</f>
        <v>21056760</v>
      </c>
      <c r="F2764" s="614" t="s">
        <v>4651</v>
      </c>
    </row>
    <row r="2765" spans="2:6" s="614" customFormat="1" ht="2.25" customHeight="1">
      <c r="D2765" s="632"/>
      <c r="E2765" s="632"/>
    </row>
    <row r="2766" spans="2:6" s="614" customFormat="1">
      <c r="D2766" s="614" t="s">
        <v>4395</v>
      </c>
      <c r="E2766" s="640">
        <f>calcCh2Prod1Slot1CustProfitBaseMarginAbs*calcCh2Prod1Slot1CustProfitBaseVol</f>
        <v>24952260.599999972</v>
      </c>
      <c r="F2766" s="614" t="s">
        <v>4541</v>
      </c>
    </row>
    <row r="2767" spans="2:6" s="614" customFormat="1">
      <c r="E2767" s="640"/>
    </row>
    <row r="2768" spans="2:6" s="614" customFormat="1">
      <c r="C2768" s="633" t="s">
        <v>13827</v>
      </c>
    </row>
    <row r="2769" spans="3:6" s="614" customFormat="1">
      <c r="D2769" s="633" t="s">
        <v>4396</v>
      </c>
    </row>
    <row r="2770" spans="3:6" s="614" customFormat="1">
      <c r="D2770" s="614" t="s">
        <v>4402</v>
      </c>
      <c r="E2770" s="709">
        <f>IF(calcCh2Prod1Slot2Active=1,(calcCh2Prod1Slot2ShelfPrice-calcCh2Prod1Slot2CustPrice),0)</f>
        <v>0</v>
      </c>
      <c r="F2770" s="614" t="s">
        <v>4652</v>
      </c>
    </row>
    <row r="2771" spans="3:6" s="614" customFormat="1">
      <c r="D2771" s="614" t="s">
        <v>4403</v>
      </c>
      <c r="E2771" s="690">
        <f>IF(calcCh2Prod1Slot2Active=1,(calcCh2Prod1Slot2ShelfPrice-calcCh2Prod1Slot2CustPrice)/calcCh2Prod1Slot2ShelfPrice,0)</f>
        <v>0</v>
      </c>
      <c r="F2771" s="614" t="s">
        <v>4542</v>
      </c>
    </row>
    <row r="2772" spans="3:6" s="614" customFormat="1">
      <c r="D2772" s="614" t="s">
        <v>4394</v>
      </c>
      <c r="E2772" s="331">
        <f>IF(xxSim0Tool1=0,MMCh2Prod1Seg1Slot2UnitsSoldRSP+MMCh2Prod1Seg2Slot2UnitsSoldRSP+MMCh2Prod1Seg3Slot2UnitsSoldRSP+MMCh2Prod1Seg4Slot2UnitsSoldRSP,calcCh2Prod1VolForecastProd*decCh2Prod1Slot2Forecast)</f>
        <v>0</v>
      </c>
      <c r="F2772" s="614" t="s">
        <v>4653</v>
      </c>
    </row>
    <row r="2773" spans="3:6" s="614" customFormat="1" ht="2.25" customHeight="1">
      <c r="D2773" s="632"/>
      <c r="E2773" s="632"/>
    </row>
    <row r="2774" spans="3:6" s="614" customFormat="1">
      <c r="D2774" s="614" t="s">
        <v>4395</v>
      </c>
      <c r="E2774" s="640">
        <f>calcCh2Prod1Slot2CustProfitBaseMarginAbs*calcCh2Prod1Slot2CustProfitBaseVol</f>
        <v>0</v>
      </c>
      <c r="F2774" s="614" t="s">
        <v>4543</v>
      </c>
    </row>
    <row r="2775" spans="3:6" s="614" customFormat="1">
      <c r="E2775" s="640"/>
    </row>
    <row r="2776" spans="3:6" s="614" customFormat="1">
      <c r="C2776" s="633" t="s">
        <v>13828</v>
      </c>
    </row>
    <row r="2777" spans="3:6" s="614" customFormat="1">
      <c r="D2777" s="633" t="s">
        <v>4396</v>
      </c>
    </row>
    <row r="2778" spans="3:6" s="614" customFormat="1">
      <c r="D2778" s="614" t="s">
        <v>4402</v>
      </c>
      <c r="E2778" s="709">
        <f>IF(calcCh2Prod1Slot3Active=1,(calcCh2Prod1Slot3ShelfPrice-calcCh2Prod1Slot3CustPrice),0)</f>
        <v>0</v>
      </c>
      <c r="F2778" s="614" t="s">
        <v>4704</v>
      </c>
    </row>
    <row r="2779" spans="3:6" s="614" customFormat="1">
      <c r="D2779" s="614" t="s">
        <v>4403</v>
      </c>
      <c r="E2779" s="690">
        <f>IF(calcCh2Prod1Slot3Active=1,(calcCh2Prod1Slot3ShelfPrice-calcCh2Prod1Slot3CustPrice)/calcCh2Prod1Slot3ShelfPrice,0)</f>
        <v>0</v>
      </c>
      <c r="F2779" s="614" t="s">
        <v>4544</v>
      </c>
    </row>
    <row r="2780" spans="3:6" s="614" customFormat="1">
      <c r="D2780" s="614" t="s">
        <v>4394</v>
      </c>
      <c r="E2780" s="331">
        <f>IF(xxSim0Tool1=0,MMCh2Prod1Seg1Slot3UnitsSoldRSP+MMCh2Prod1Seg2Slot3UnitsSoldRSP+MMCh2Prod1Seg3Slot3UnitsSoldRSP+MMCh2Prod1Seg4Slot3UnitsSoldRSP,calcCh2Prod1VolForecastProd*decCh2Prod1Slot3Forecast)</f>
        <v>0</v>
      </c>
      <c r="F2780" s="614" t="s">
        <v>4705</v>
      </c>
    </row>
    <row r="2781" spans="3:6" s="614" customFormat="1" ht="2.25" customHeight="1">
      <c r="D2781" s="632"/>
      <c r="E2781" s="632"/>
    </row>
    <row r="2782" spans="3:6" s="614" customFormat="1">
      <c r="D2782" s="614" t="s">
        <v>4395</v>
      </c>
      <c r="E2782" s="640">
        <f>calcCh2Prod1Slot3CustProfitBaseMarginAbs*calcCh2Prod1Slot3CustProfitBaseVol</f>
        <v>0</v>
      </c>
      <c r="F2782" s="614" t="s">
        <v>4545</v>
      </c>
    </row>
    <row r="2783" spans="3:6" s="614" customFormat="1">
      <c r="E2783" s="640"/>
    </row>
    <row r="2784" spans="3:6" s="614" customFormat="1">
      <c r="C2784" s="633" t="s">
        <v>4729</v>
      </c>
    </row>
    <row r="2785" spans="3:6" s="614" customFormat="1">
      <c r="D2785" s="633" t="s">
        <v>4396</v>
      </c>
    </row>
    <row r="2786" spans="3:6" s="614" customFormat="1">
      <c r="D2786" s="614" t="s">
        <v>4402</v>
      </c>
      <c r="E2786" s="709">
        <f>IF(calcCh2Prod2Slot1Active=1,(calcCh2Prod2Slot1ShelfPrice-calcCh2Prod2Slot1CustPrice),0)</f>
        <v>1.0949999999999998</v>
      </c>
      <c r="F2786" s="614" t="s">
        <v>4654</v>
      </c>
    </row>
    <row r="2787" spans="3:6" s="614" customFormat="1">
      <c r="D2787" s="614" t="s">
        <v>4403</v>
      </c>
      <c r="E2787" s="690">
        <f>IF(calcCh2Prod2Slot1Active=1,(calcCh2Prod2Slot1ShelfPrice-calcCh2Prod2Slot1CustPrice)/calcCh2Prod2Slot1ShelfPrice,0)</f>
        <v>0.13043478260869562</v>
      </c>
      <c r="F2787" s="614" t="s">
        <v>4546</v>
      </c>
    </row>
    <row r="2788" spans="3:6" s="614" customFormat="1">
      <c r="D2788" s="614" t="s">
        <v>4394</v>
      </c>
      <c r="E2788" s="331">
        <f>IF(xxSim0Tool1=0,MMCh2Prod2Seg1Slot1UnitsSoldRSP+MMCh2Prod2Seg2Slot1UnitsSoldRSP+MMCh2Prod2Seg3Slot1UnitsSoldRSP+MMCh2Prod2Seg4Slot1UnitsSoldRSP,calcCh2Prod2VolForecastProd*decCh2Prod2Slot1Forecast)</f>
        <v>145291643.99999997</v>
      </c>
      <c r="F2788" s="614" t="s">
        <v>4655</v>
      </c>
    </row>
    <row r="2789" spans="3:6" s="614" customFormat="1" ht="2.25" customHeight="1">
      <c r="D2789" s="632"/>
      <c r="E2789" s="632"/>
    </row>
    <row r="2790" spans="3:6" s="614" customFormat="1">
      <c r="D2790" s="614" t="s">
        <v>4395</v>
      </c>
      <c r="E2790" s="640">
        <f>calcCh2Prod2Slot1CustProfitBaseMarginAbs*calcCh2Prod2Slot1CustProfitBaseVol</f>
        <v>159094350.17999992</v>
      </c>
      <c r="F2790" s="614" t="s">
        <v>4547</v>
      </c>
    </row>
    <row r="2791" spans="3:6" s="614" customFormat="1">
      <c r="E2791" s="640"/>
    </row>
    <row r="2792" spans="3:6" s="614" customFormat="1">
      <c r="C2792" s="633" t="s">
        <v>13829</v>
      </c>
    </row>
    <row r="2793" spans="3:6" s="614" customFormat="1">
      <c r="D2793" s="633" t="s">
        <v>4396</v>
      </c>
    </row>
    <row r="2794" spans="3:6" s="614" customFormat="1">
      <c r="D2794" s="614" t="s">
        <v>4402</v>
      </c>
      <c r="E2794" s="709">
        <f>IF(calcCh2Prod2Slot2Active=1,(calcCh2Prod2Slot2ShelfPrice-calcCh2Prod2Slot2CustPrice),0)</f>
        <v>0</v>
      </c>
      <c r="F2794" s="614" t="s">
        <v>4656</v>
      </c>
    </row>
    <row r="2795" spans="3:6" s="614" customFormat="1">
      <c r="D2795" s="614" t="s">
        <v>4403</v>
      </c>
      <c r="E2795" s="690">
        <f>IF(calcCh2Prod2Slot2Active=1,(calcCh2Prod2Slot2ShelfPrice-calcCh2Prod2Slot2CustPrice)/calcCh2Prod2Slot2ShelfPrice,0)</f>
        <v>0</v>
      </c>
      <c r="F2795" s="614" t="s">
        <v>4548</v>
      </c>
    </row>
    <row r="2796" spans="3:6" s="614" customFormat="1">
      <c r="D2796" s="614" t="s">
        <v>4394</v>
      </c>
      <c r="E2796" s="331">
        <f>IF(xxSim0Tool1=0,MMCh2Prod2Seg1Slot2UnitsSoldRSP+MMCh2Prod2Seg2Slot2UnitsSoldRSP+MMCh2Prod2Seg3Slot2UnitsSoldRSP+MMCh2Prod2Seg4Slot2UnitsSoldRSP,calcCh2Prod2VolForecastProd*decCh2Prod2Slot2Forecast)</f>
        <v>0</v>
      </c>
      <c r="F2796" s="614" t="s">
        <v>4657</v>
      </c>
    </row>
    <row r="2797" spans="3:6" s="614" customFormat="1" ht="2.25" customHeight="1">
      <c r="D2797" s="632"/>
      <c r="E2797" s="632"/>
    </row>
    <row r="2798" spans="3:6" s="614" customFormat="1">
      <c r="D2798" s="614" t="s">
        <v>4395</v>
      </c>
      <c r="E2798" s="640">
        <f>calcCh2Prod2Slot2CustProfitBaseMarginAbs*calcCh2Prod2Slot2CustProfitBaseVol</f>
        <v>0</v>
      </c>
      <c r="F2798" s="614" t="s">
        <v>4549</v>
      </c>
    </row>
    <row r="2799" spans="3:6" s="614" customFormat="1">
      <c r="E2799" s="640"/>
    </row>
    <row r="2800" spans="3:6" s="614" customFormat="1">
      <c r="C2800" s="633" t="s">
        <v>13830</v>
      </c>
    </row>
    <row r="2801" spans="3:6" s="614" customFormat="1">
      <c r="D2801" s="633" t="s">
        <v>4396</v>
      </c>
    </row>
    <row r="2802" spans="3:6" s="614" customFormat="1">
      <c r="D2802" s="614" t="s">
        <v>4402</v>
      </c>
      <c r="E2802" s="709">
        <f>IF(calcCh2Prod2Slot3Active=1,(calcCh2Prod2Slot3ShelfPrice-calcCh2Prod2Slot3CustPrice),0)</f>
        <v>0</v>
      </c>
      <c r="F2802" s="614" t="s">
        <v>4706</v>
      </c>
    </row>
    <row r="2803" spans="3:6" s="614" customFormat="1">
      <c r="D2803" s="614" t="s">
        <v>4403</v>
      </c>
      <c r="E2803" s="690">
        <f>IF(calcCh2Prod2Slot3Active=1,(calcCh2Prod2Slot3ShelfPrice-calcCh2Prod2Slot3CustPrice)/calcCh2Prod2Slot3ShelfPrice,0)</f>
        <v>0</v>
      </c>
      <c r="F2803" s="614" t="s">
        <v>4550</v>
      </c>
    </row>
    <row r="2804" spans="3:6" s="614" customFormat="1">
      <c r="D2804" s="614" t="s">
        <v>4394</v>
      </c>
      <c r="E2804" s="331">
        <f>IF(xxSim0Tool1=0,MMCh2Prod2Seg1Slot3UnitsSoldRSP+MMCh2Prod2Seg2Slot3UnitsSoldRSP+MMCh2Prod2Seg3Slot3UnitsSoldRSP+MMCh2Prod2Seg4Slot3UnitsSoldRSP,calcCh2Prod2VolForecastProd*decCh2Prod2Slot3Forecast)</f>
        <v>0</v>
      </c>
      <c r="F2804" s="614" t="s">
        <v>4707</v>
      </c>
    </row>
    <row r="2805" spans="3:6" s="614" customFormat="1" ht="2.25" customHeight="1">
      <c r="D2805" s="632"/>
      <c r="E2805" s="632"/>
    </row>
    <row r="2806" spans="3:6" s="614" customFormat="1">
      <c r="D2806" s="614" t="s">
        <v>4395</v>
      </c>
      <c r="E2806" s="640">
        <f>calcCh2Prod2Slot3CustProfitBaseMarginAbs*calcCh2Prod2Slot3CustProfitBaseVol</f>
        <v>0</v>
      </c>
      <c r="F2806" s="614" t="s">
        <v>4551</v>
      </c>
    </row>
    <row r="2807" spans="3:6" s="614" customFormat="1">
      <c r="E2807" s="640"/>
    </row>
    <row r="2808" spans="3:6" s="614" customFormat="1">
      <c r="C2808" s="633" t="s">
        <v>8606</v>
      </c>
    </row>
    <row r="2809" spans="3:6" s="614" customFormat="1">
      <c r="D2809" s="633" t="s">
        <v>4396</v>
      </c>
    </row>
    <row r="2810" spans="3:6" s="614" customFormat="1">
      <c r="D2810" s="614" t="s">
        <v>4402</v>
      </c>
      <c r="E2810" s="709">
        <f>IF(calcCh2Prod3Slot1Active=1,(calcCh2Prod3Slot1ShelfPrice-calcCh2Prod3Slot1CustPrice),0)</f>
        <v>1.2599999999999998</v>
      </c>
      <c r="F2810" s="614" t="s">
        <v>4658</v>
      </c>
    </row>
    <row r="2811" spans="3:6" s="614" customFormat="1">
      <c r="D2811" s="614" t="s">
        <v>4403</v>
      </c>
      <c r="E2811" s="690">
        <f>IF(calcCh2Prod3Slot1Active=1,(calcCh2Prod3Slot1ShelfPrice-calcCh2Prod3Slot1CustPrice)/calcCh2Prod3Slot1ShelfPrice,0)</f>
        <v>0.15254237288135591</v>
      </c>
      <c r="F2811" s="614" t="s">
        <v>4552</v>
      </c>
    </row>
    <row r="2812" spans="3:6" s="614" customFormat="1">
      <c r="D2812" s="614" t="s">
        <v>4394</v>
      </c>
      <c r="E2812" s="331">
        <f>IF(xxSim0Tool1=0,MMCh2Prod3Seg1Slot1UnitsSoldRSP+MMCh2Prod3Seg2Slot1UnitsSoldRSP+MMCh2Prod3Seg3Slot1UnitsSoldRSP+MMCh2Prod3Seg4Slot1UnitsSoldRSP,calcCh2Prod3VolForecastProd*decCh2Prod3Slot1Forecast)</f>
        <v>96861095.999999985</v>
      </c>
      <c r="F2812" s="614" t="s">
        <v>4659</v>
      </c>
    </row>
    <row r="2813" spans="3:6" s="614" customFormat="1" ht="2.25" customHeight="1">
      <c r="D2813" s="632"/>
      <c r="E2813" s="632"/>
    </row>
    <row r="2814" spans="3:6" s="614" customFormat="1">
      <c r="D2814" s="614" t="s">
        <v>4395</v>
      </c>
      <c r="E2814" s="640">
        <f>calcCh2Prod3Slot1CustProfitBaseMarginAbs*calcCh2Prod3Slot1CustProfitBaseVol</f>
        <v>122044980.95999996</v>
      </c>
      <c r="F2814" s="614" t="s">
        <v>4553</v>
      </c>
    </row>
    <row r="2815" spans="3:6" s="614" customFormat="1">
      <c r="E2815" s="640"/>
    </row>
    <row r="2816" spans="3:6" s="614" customFormat="1">
      <c r="C2816" s="633" t="s">
        <v>13831</v>
      </c>
    </row>
    <row r="2817" spans="3:6" s="614" customFormat="1">
      <c r="D2817" s="633" t="s">
        <v>4396</v>
      </c>
    </row>
    <row r="2818" spans="3:6" s="614" customFormat="1">
      <c r="D2818" s="614" t="s">
        <v>4402</v>
      </c>
      <c r="E2818" s="709">
        <f>IF(calcCh2Prod3Slot2Active=1,(calcCh2Prod3Slot2ShelfPrice-calcCh2Prod3Slot2CustPrice),0)</f>
        <v>0</v>
      </c>
      <c r="F2818" s="614" t="s">
        <v>4660</v>
      </c>
    </row>
    <row r="2819" spans="3:6" s="614" customFormat="1">
      <c r="D2819" s="614" t="s">
        <v>4403</v>
      </c>
      <c r="E2819" s="690">
        <f>IF(calcCh2Prod3Slot2Active=1,(calcCh2Prod3Slot2ShelfPrice-calcCh2Prod3Slot2CustPrice)/calcCh2Prod3Slot2ShelfPrice,0)</f>
        <v>0</v>
      </c>
      <c r="F2819" s="614" t="s">
        <v>4554</v>
      </c>
    </row>
    <row r="2820" spans="3:6" s="614" customFormat="1">
      <c r="D2820" s="614" t="s">
        <v>4394</v>
      </c>
      <c r="E2820" s="331">
        <f>IF(xxSim0Tool1=0,MMCh2Prod3Seg1Slot2UnitsSoldRSP+MMCh2Prod3Seg2Slot2UnitsSoldRSP+MMCh2Prod3Seg3Slot2UnitsSoldRSP+MMCh2Prod3Seg4Slot2UnitsSoldRSP,calcCh2Prod3VolForecastProd*decCh2Prod3Slot2Forecast)</f>
        <v>0</v>
      </c>
      <c r="F2820" s="614" t="s">
        <v>4661</v>
      </c>
    </row>
    <row r="2821" spans="3:6" s="614" customFormat="1" ht="2.25" customHeight="1">
      <c r="D2821" s="632"/>
      <c r="E2821" s="632"/>
    </row>
    <row r="2822" spans="3:6" s="614" customFormat="1">
      <c r="D2822" s="614" t="s">
        <v>4395</v>
      </c>
      <c r="E2822" s="640">
        <f>calcCh2Prod3Slot2CustProfitBaseMarginAbs*calcCh2Prod3Slot2CustProfitBaseVol</f>
        <v>0</v>
      </c>
      <c r="F2822" s="614" t="s">
        <v>4555</v>
      </c>
    </row>
    <row r="2823" spans="3:6" s="614" customFormat="1">
      <c r="E2823" s="640"/>
    </row>
    <row r="2824" spans="3:6" s="614" customFormat="1">
      <c r="C2824" s="633" t="s">
        <v>13832</v>
      </c>
    </row>
    <row r="2825" spans="3:6" s="614" customFormat="1">
      <c r="D2825" s="633" t="s">
        <v>4396</v>
      </c>
    </row>
    <row r="2826" spans="3:6" s="614" customFormat="1">
      <c r="D2826" s="614" t="s">
        <v>4402</v>
      </c>
      <c r="E2826" s="709">
        <f>IF(calcCh2Prod3Slot3Active=1,(calcCh2Prod3Slot3ShelfPrice-calcCh2Prod3Slot3CustPrice),0)</f>
        <v>0</v>
      </c>
      <c r="F2826" s="614" t="s">
        <v>4708</v>
      </c>
    </row>
    <row r="2827" spans="3:6" s="614" customFormat="1">
      <c r="D2827" s="614" t="s">
        <v>4403</v>
      </c>
      <c r="E2827" s="690">
        <f>IF(calcCh2Prod3Slot3Active=1,(calcCh2Prod3Slot3ShelfPrice-calcCh2Prod3Slot3CustPrice)/calcCh2Prod3Slot3ShelfPrice,0)</f>
        <v>0</v>
      </c>
      <c r="F2827" s="614" t="s">
        <v>4556</v>
      </c>
    </row>
    <row r="2828" spans="3:6" s="614" customFormat="1">
      <c r="D2828" s="614" t="s">
        <v>4394</v>
      </c>
      <c r="E2828" s="331">
        <f>IF(xxSim0Tool1=0,MMCh2Prod3Seg1Slot3UnitsSoldRSP+MMCh2Prod3Seg2Slot3UnitsSoldRSP+MMCh2Prod3Seg3Slot3UnitsSoldRSP+MMCh2Prod3Seg4Slot3UnitsSoldRSP,calcCh2Prod3VolForecastProd*decCh2Prod3Slot3Forecast)</f>
        <v>0</v>
      </c>
      <c r="F2828" s="614" t="s">
        <v>4709</v>
      </c>
    </row>
    <row r="2829" spans="3:6" s="614" customFormat="1" ht="2.25" customHeight="1">
      <c r="D2829" s="632"/>
      <c r="E2829" s="632"/>
    </row>
    <row r="2830" spans="3:6" s="614" customFormat="1">
      <c r="D2830" s="614" t="s">
        <v>4395</v>
      </c>
      <c r="E2830" s="640">
        <f>calcCh2Prod3Slot3CustProfitBaseMarginAbs*calcCh2Prod3Slot3CustProfitBaseVol</f>
        <v>0</v>
      </c>
      <c r="F2830" s="614" t="s">
        <v>4557</v>
      </c>
    </row>
    <row r="2831" spans="3:6" s="614" customFormat="1">
      <c r="E2831" s="640"/>
    </row>
    <row r="2832" spans="3:6" s="614" customFormat="1">
      <c r="C2832" s="633" t="s">
        <v>13833</v>
      </c>
    </row>
    <row r="2833" spans="3:6" s="614" customFormat="1">
      <c r="D2833" s="633" t="s">
        <v>4396</v>
      </c>
    </row>
    <row r="2834" spans="3:6" s="614" customFormat="1">
      <c r="D2834" s="614" t="s">
        <v>4402</v>
      </c>
      <c r="E2834" s="709">
        <f>IF(calcCh2Prod4Slot1Active=1,(calcCh2Prod4Slot1ShelfPrice-calcCh2Prod4Slot1CustPrice),0)</f>
        <v>0</v>
      </c>
      <c r="F2834" s="614" t="s">
        <v>4662</v>
      </c>
    </row>
    <row r="2835" spans="3:6" s="614" customFormat="1">
      <c r="D2835" s="614" t="s">
        <v>4403</v>
      </c>
      <c r="E2835" s="690">
        <f>IF(calcCh2Prod4Slot1Active=1,(calcCh2Prod4Slot1ShelfPrice-calcCh2Prod4Slot1CustPrice)/calcCh2Prod4Slot1ShelfPrice,0)</f>
        <v>0</v>
      </c>
      <c r="F2835" s="614" t="s">
        <v>4558</v>
      </c>
    </row>
    <row r="2836" spans="3:6" s="614" customFormat="1">
      <c r="D2836" s="614" t="s">
        <v>4394</v>
      </c>
      <c r="E2836" s="331">
        <f>IF(xxSim0Tool1=0,MMCh2Prod4Seg1Slot1UnitsSoldRSP+MMCh2Prod4Seg2Slot1UnitsSoldRSP+MMCh2Prod4Seg3Slot1UnitsSoldRSP+MMCh2Prod4Seg4Slot1UnitsSoldRSP,calcCh2Prod4VolForecastProd*decCh2Prod4Slot1Forecast)</f>
        <v>0</v>
      </c>
      <c r="F2836" s="614" t="s">
        <v>4663</v>
      </c>
    </row>
    <row r="2837" spans="3:6" s="614" customFormat="1" ht="2.25" customHeight="1">
      <c r="D2837" s="632"/>
      <c r="E2837" s="632"/>
    </row>
    <row r="2838" spans="3:6" s="614" customFormat="1">
      <c r="D2838" s="614" t="s">
        <v>4395</v>
      </c>
      <c r="E2838" s="640">
        <f>calcCh2Prod4Slot1CustProfitBaseMarginAbs*calcCh2Prod4Slot1CustProfitBaseVol</f>
        <v>0</v>
      </c>
      <c r="F2838" s="614" t="s">
        <v>4559</v>
      </c>
    </row>
    <row r="2839" spans="3:6" s="614" customFormat="1">
      <c r="E2839" s="640"/>
    </row>
    <row r="2840" spans="3:6" s="614" customFormat="1">
      <c r="C2840" s="633" t="s">
        <v>13834</v>
      </c>
    </row>
    <row r="2841" spans="3:6" s="614" customFormat="1">
      <c r="D2841" s="633" t="s">
        <v>4396</v>
      </c>
    </row>
    <row r="2842" spans="3:6" s="614" customFormat="1">
      <c r="D2842" s="614" t="s">
        <v>4402</v>
      </c>
      <c r="E2842" s="709">
        <f>IF(calcCh2Prod4Slot2Active=1,(calcCh2Prod4Slot2ShelfPrice-calcCh2Prod4Slot2CustPrice),0)</f>
        <v>0</v>
      </c>
      <c r="F2842" s="614" t="s">
        <v>4664</v>
      </c>
    </row>
    <row r="2843" spans="3:6" s="614" customFormat="1">
      <c r="D2843" s="614" t="s">
        <v>4403</v>
      </c>
      <c r="E2843" s="690">
        <f>IF(calcCh2Prod4Slot2Active=1,(calcCh2Prod4Slot2ShelfPrice-calcCh2Prod4Slot2CustPrice)/calcCh2Prod4Slot2ShelfPrice,0)</f>
        <v>0</v>
      </c>
      <c r="F2843" s="614" t="s">
        <v>4560</v>
      </c>
    </row>
    <row r="2844" spans="3:6" s="614" customFormat="1">
      <c r="D2844" s="614" t="s">
        <v>4394</v>
      </c>
      <c r="E2844" s="331">
        <f>IF(xxSim0Tool1=0,MMCh2Prod4Seg1Slot2UnitsSoldRSP+MMCh2Prod4Seg2Slot2UnitsSoldRSP+MMCh2Prod4Seg3Slot2UnitsSoldRSP+MMCh2Prod4Seg4Slot2UnitsSoldRSP,calcCh2Prod4VolForecastProd*decCh2Prod4Slot2Forecast)</f>
        <v>0</v>
      </c>
      <c r="F2844" s="614" t="s">
        <v>4665</v>
      </c>
    </row>
    <row r="2845" spans="3:6" s="614" customFormat="1" ht="2.25" customHeight="1">
      <c r="D2845" s="632"/>
      <c r="E2845" s="632"/>
    </row>
    <row r="2846" spans="3:6" s="614" customFormat="1">
      <c r="D2846" s="614" t="s">
        <v>4395</v>
      </c>
      <c r="E2846" s="640">
        <f>calcCh2Prod4Slot2CustProfitBaseMarginAbs*calcCh2Prod4Slot2CustProfitBaseVol</f>
        <v>0</v>
      </c>
      <c r="F2846" s="614" t="s">
        <v>4561</v>
      </c>
    </row>
    <row r="2847" spans="3:6" s="614" customFormat="1">
      <c r="E2847" s="640"/>
    </row>
    <row r="2848" spans="3:6" s="614" customFormat="1">
      <c r="C2848" s="633" t="s">
        <v>13835</v>
      </c>
    </row>
    <row r="2849" spans="2:6" s="614" customFormat="1">
      <c r="D2849" s="633" t="s">
        <v>4396</v>
      </c>
    </row>
    <row r="2850" spans="2:6" s="614" customFormat="1">
      <c r="D2850" s="614" t="s">
        <v>4402</v>
      </c>
      <c r="E2850" s="709">
        <f>IF(calcCh2Prod4Slot3Active=1,(calcCh2Prod4Slot3ShelfPrice-calcCh2Prod4Slot3CustPrice),0)</f>
        <v>0</v>
      </c>
      <c r="F2850" s="614" t="s">
        <v>4710</v>
      </c>
    </row>
    <row r="2851" spans="2:6" s="614" customFormat="1">
      <c r="D2851" s="614" t="s">
        <v>4403</v>
      </c>
      <c r="E2851" s="690">
        <f>IF(calcCh2Prod4Slot3Active=1,(calcCh2Prod4Slot3ShelfPrice-calcCh2Prod4Slot3CustPrice)/calcCh2Prod4Slot3ShelfPrice,0)</f>
        <v>0</v>
      </c>
      <c r="F2851" s="614" t="s">
        <v>4562</v>
      </c>
    </row>
    <row r="2852" spans="2:6" s="614" customFormat="1">
      <c r="D2852" s="614" t="s">
        <v>4394</v>
      </c>
      <c r="E2852" s="331">
        <f>IF(xxSim0Tool1=0,MMCh2Prod4Seg1Slot3UnitsSoldRSP+MMCh2Prod4Seg2Slot3UnitsSoldRSP+MMCh2Prod4Seg3Slot3UnitsSoldRSP+MMCh2Prod4Seg4Slot3UnitsSoldRSP,calcCh2Prod4VolForecastProd*decCh2Prod4Slot3Forecast)</f>
        <v>0</v>
      </c>
      <c r="F2852" s="614" t="s">
        <v>4711</v>
      </c>
    </row>
    <row r="2853" spans="2:6" s="614" customFormat="1" ht="2.25" customHeight="1">
      <c r="D2853" s="632"/>
      <c r="E2853" s="632"/>
    </row>
    <row r="2854" spans="2:6" s="614" customFormat="1">
      <c r="D2854" s="614" t="s">
        <v>4395</v>
      </c>
      <c r="E2854" s="640">
        <f>calcCh2Prod4Slot3CustProfitBaseMarginAbs*calcCh2Prod4Slot3CustProfitBaseVol</f>
        <v>0</v>
      </c>
      <c r="F2854" s="614" t="s">
        <v>4563</v>
      </c>
    </row>
    <row r="2855" spans="2:6" s="614" customFormat="1">
      <c r="E2855" s="640"/>
    </row>
    <row r="2856" spans="2:6" s="614" customFormat="1">
      <c r="D2856" s="633" t="s">
        <v>5503</v>
      </c>
      <c r="E2856" s="640"/>
    </row>
    <row r="2857" spans="2:6" s="614" customFormat="1">
      <c r="D2857" s="614" t="s">
        <v>12868</v>
      </c>
      <c r="E2857" s="640">
        <f>calcCh2Prod1Slot1CustProfitBase+calcCh2Prod1Slot2CustProfitBase+calcCh2Prod1Slot3CustProfitBase</f>
        <v>24952260.599999972</v>
      </c>
      <c r="F2857" s="614" t="s">
        <v>4619</v>
      </c>
    </row>
    <row r="2858" spans="2:6" s="614" customFormat="1">
      <c r="D2858" s="614" t="s">
        <v>238</v>
      </c>
      <c r="E2858" s="640">
        <f>calcCh2Prod2Slot1CustProfitBase+calcCh2Prod2Slot2CustProfitBase+calcCh2Prod2Slot3CustProfitBase</f>
        <v>159094350.17999992</v>
      </c>
      <c r="F2858" s="614" t="s">
        <v>4620</v>
      </c>
    </row>
    <row r="2859" spans="2:6" s="614" customFormat="1">
      <c r="D2859" s="614" t="s">
        <v>239</v>
      </c>
      <c r="E2859" s="640">
        <f>calcCh2Prod3Slot1CustProfitBase+calcCh2Prod3Slot2CustProfitBase+calcCh2Prod3Slot3CustProfitBase</f>
        <v>122044980.95999996</v>
      </c>
      <c r="F2859" s="614" t="s">
        <v>4621</v>
      </c>
    </row>
    <row r="2860" spans="2:6" s="614" customFormat="1">
      <c r="D2860" s="614" t="s">
        <v>240</v>
      </c>
      <c r="E2860" s="640">
        <f>calcCh2Prod4Slot1CustProfitBase+calcCh2Prod4Slot2CustProfitBase+calcCh2Prod4Slot3CustProfitBase</f>
        <v>0</v>
      </c>
      <c r="F2860" s="614" t="s">
        <v>4622</v>
      </c>
    </row>
    <row r="2861" spans="2:6" s="614" customFormat="1">
      <c r="E2861" s="640"/>
    </row>
    <row r="2862" spans="2:6" s="614" customFormat="1">
      <c r="B2862" s="633" t="s">
        <v>5199</v>
      </c>
    </row>
    <row r="2863" spans="2:6" s="614" customFormat="1">
      <c r="C2863" s="633" t="s">
        <v>13069</v>
      </c>
    </row>
    <row r="2864" spans="2:6" s="614" customFormat="1">
      <c r="D2864" s="633" t="s">
        <v>4396</v>
      </c>
    </row>
    <row r="2865" spans="3:6" s="614" customFormat="1">
      <c r="D2865" s="614" t="s">
        <v>4402</v>
      </c>
      <c r="E2865" s="709">
        <f>IF(calcCh3Prod1Slot1Active=1,(calcCh3Prod1Slot1ShelfPrice-calcCh3Prod1Slot1CustPrice),0)</f>
        <v>2.1150000000000011</v>
      </c>
      <c r="F2865" s="614" t="s">
        <v>4666</v>
      </c>
    </row>
    <row r="2866" spans="3:6" s="614" customFormat="1">
      <c r="D2866" s="614" t="s">
        <v>4403</v>
      </c>
      <c r="E2866" s="690">
        <f>IF(calcCh3Prod1Slot1Active=1,(calcCh3Prod1Slot1ShelfPrice-calcCh3Prod1Slot1CustPrice)/calcCh3Prod1Slot1ShelfPrice,0)</f>
        <v>0.23076923076923087</v>
      </c>
      <c r="F2866" s="614" t="s">
        <v>4565</v>
      </c>
    </row>
    <row r="2867" spans="3:6" s="614" customFormat="1">
      <c r="D2867" s="614" t="s">
        <v>4394</v>
      </c>
      <c r="E2867" s="331">
        <f>IF(xxSim0Tool1=0,MMCh3Prod1Seg1Slot1UnitsSoldRSP+MMCh3Prod1Seg2Slot1UnitsSoldRSP+MMCh3Prod1Seg3Slot1UnitsSoldRSP+MMCh3Prod1Seg4Slot1UnitsSoldRSP,calcCh3Prod1VolForecastProd*decCh3Prod1Slot1Forecast*(1-decCh3Prod1Slot1Promo1ShareFrc))</f>
        <v>28882113.75</v>
      </c>
      <c r="F2867" s="614" t="s">
        <v>4667</v>
      </c>
    </row>
    <row r="2868" spans="3:6" s="614" customFormat="1" ht="2.25" customHeight="1">
      <c r="D2868" s="632"/>
      <c r="E2868" s="632"/>
    </row>
    <row r="2869" spans="3:6" s="614" customFormat="1">
      <c r="D2869" s="614" t="s">
        <v>4395</v>
      </c>
      <c r="E2869" s="640">
        <f>calcCh3Prod1Slot1CustProfitBaseMarginAbs*calcCh3Prod1Slot1CustProfitBaseVol</f>
        <v>61085670.581250034</v>
      </c>
      <c r="F2869" s="614" t="s">
        <v>4566</v>
      </c>
    </row>
    <row r="2870" spans="3:6" s="614" customFormat="1"/>
    <row r="2871" spans="3:6" s="614" customFormat="1">
      <c r="D2871" s="633" t="s">
        <v>6111</v>
      </c>
    </row>
    <row r="2872" spans="3:6" s="614" customFormat="1">
      <c r="D2872" s="614" t="s">
        <v>4397</v>
      </c>
      <c r="E2872" s="709">
        <f>IF(calcCh3Prod1Slot1Active=1,(calcCh3Prod1Slot1Promo1CustPrice*(1+VLOOKUP(nmProd1,dataCustomerMargin,4,FALSE))-calcCh3Prod1Slot1Promo1CustPrice),0)</f>
        <v>1.6920000000000002</v>
      </c>
      <c r="F2872" s="614" t="s">
        <v>6308</v>
      </c>
    </row>
    <row r="2873" spans="3:6" s="614" customFormat="1">
      <c r="D2873" s="614" t="s">
        <v>4394</v>
      </c>
      <c r="E2873" s="331">
        <f>IF(xxSim0Tool1=0,MMCh3Prod1Seg1Slot1UnitsSoldPromo1+MMCh3Prod1Seg2Slot1UnitsSoldPromo1+MMCh3Prod1Seg3Slot1UnitsSoldPromo1+MMCh3Prod1Seg4Slot1UnitsSoldPromo1,calcCh3Prod1VolForecastProd*decCh3Prod1Slot1Promo1ShareFrc)</f>
        <v>9627371.25</v>
      </c>
      <c r="F2873" s="614" t="s">
        <v>6309</v>
      </c>
    </row>
    <row r="2874" spans="3:6" s="614" customFormat="1" ht="2.25" customHeight="1">
      <c r="D2874" s="632"/>
      <c r="E2874" s="632"/>
    </row>
    <row r="2875" spans="3:6" s="614" customFormat="1">
      <c r="D2875" s="614" t="s">
        <v>4398</v>
      </c>
      <c r="E2875" s="640">
        <f>calcCh3Prod1Slot1CustProfitPromo1MarginAbs*calcCh3Prod1Slot1CustProfitPromo1Vol</f>
        <v>16289512.155000001</v>
      </c>
      <c r="F2875" s="614" t="s">
        <v>6310</v>
      </c>
    </row>
    <row r="2876" spans="3:6" s="614" customFormat="1">
      <c r="E2876" s="640"/>
    </row>
    <row r="2877" spans="3:6" s="614" customFormat="1">
      <c r="D2877" s="633" t="s">
        <v>14</v>
      </c>
      <c r="E2877" s="640">
        <f>calcCh3Prod1Slot1CustProfitBase+calcCh3Prod1Slot1CustProfitPromo1</f>
        <v>77375182.736250043</v>
      </c>
      <c r="F2877" s="614" t="s">
        <v>6348</v>
      </c>
    </row>
    <row r="2878" spans="3:6" s="614" customFormat="1">
      <c r="E2878" s="640"/>
    </row>
    <row r="2879" spans="3:6" s="614" customFormat="1">
      <c r="C2879" s="633" t="s">
        <v>13827</v>
      </c>
    </row>
    <row r="2880" spans="3:6" s="614" customFormat="1">
      <c r="D2880" s="633" t="s">
        <v>4396</v>
      </c>
    </row>
    <row r="2881" spans="3:6" s="614" customFormat="1">
      <c r="D2881" s="614" t="s">
        <v>4402</v>
      </c>
      <c r="E2881" s="709">
        <f>IF(calcCh3Prod1Slot2Active=1,(calcCh3Prod1Slot2ShelfPrice-calcCh3Prod1Slot2CustPrice),0)</f>
        <v>0</v>
      </c>
      <c r="F2881" s="614" t="s">
        <v>4668</v>
      </c>
    </row>
    <row r="2882" spans="3:6" s="614" customFormat="1">
      <c r="D2882" s="614" t="s">
        <v>4403</v>
      </c>
      <c r="E2882" s="690">
        <f>IF(calcCh3Prod1Slot2Active=1,(calcCh3Prod1Slot2ShelfPrice-calcCh3Prod1Slot2CustPrice)/calcCh3Prod1Slot2ShelfPrice,0)</f>
        <v>0</v>
      </c>
      <c r="F2882" s="614" t="s">
        <v>4567</v>
      </c>
    </row>
    <row r="2883" spans="3:6" s="614" customFormat="1">
      <c r="D2883" s="614" t="s">
        <v>4394</v>
      </c>
      <c r="E2883" s="331">
        <f>IF(xxSim0Tool1=0,MMCh3Prod1Seg1Slot2UnitsSoldRSP+MMCh3Prod1Seg2Slot2UnitsSoldRSP+MMCh3Prod1Seg3Slot2UnitsSoldRSP+MMCh3Prod1Seg4Slot2UnitsSoldRSP,calcCh3Prod1VolForecastProd*decCh3Prod1Slot2Forecast*(1-decCh3Prod1Slot2Promo1ShareFrc))</f>
        <v>0</v>
      </c>
      <c r="F2883" s="614" t="s">
        <v>4669</v>
      </c>
    </row>
    <row r="2884" spans="3:6" s="614" customFormat="1" ht="2.25" customHeight="1">
      <c r="D2884" s="632"/>
      <c r="E2884" s="632"/>
    </row>
    <row r="2885" spans="3:6" s="614" customFormat="1">
      <c r="D2885" s="614" t="s">
        <v>4395</v>
      </c>
      <c r="E2885" s="640">
        <f>calcCh3Prod1Slot2CustProfitBaseMarginAbs*calcCh3Prod1Slot2CustProfitBaseVol</f>
        <v>0</v>
      </c>
      <c r="F2885" s="614" t="s">
        <v>4568</v>
      </c>
    </row>
    <row r="2886" spans="3:6" s="614" customFormat="1"/>
    <row r="2887" spans="3:6" s="614" customFormat="1">
      <c r="D2887" s="633" t="s">
        <v>6111</v>
      </c>
    </row>
    <row r="2888" spans="3:6" s="614" customFormat="1">
      <c r="D2888" s="614" t="s">
        <v>4397</v>
      </c>
      <c r="E2888" s="709">
        <f>IF(calcCh3Prod1Slot2Active=1,(calcCh3Prod1Slot2Promo1CustPrice*(1+VLOOKUP(nmProd1,dataCustomerMargin,4,FALSE))-calcCh3Prod1Slot2Promo1CustPrice),0)</f>
        <v>0</v>
      </c>
      <c r="F2888" s="614" t="s">
        <v>6311</v>
      </c>
    </row>
    <row r="2889" spans="3:6" s="614" customFormat="1">
      <c r="D2889" s="614" t="s">
        <v>4394</v>
      </c>
      <c r="E2889" s="331">
        <f>IF(xxSim0Tool1=0,MMCh3Prod1Seg1Slot2UnitsSoldPromo1+MMCh3Prod1Seg2Slot2UnitsSoldPromo1+MMCh3Prod1Seg3Slot2UnitsSoldPromo1+MMCh3Prod1Seg4Slot2UnitsSoldPromo1,calcCh3Prod1VolForecastProd*decCh3Prod1Slot2Promo1ShareFrc)</f>
        <v>0</v>
      </c>
      <c r="F2889" s="614" t="s">
        <v>6312</v>
      </c>
    </row>
    <row r="2890" spans="3:6" s="614" customFormat="1" ht="2.25" customHeight="1">
      <c r="D2890" s="632"/>
      <c r="E2890" s="632"/>
    </row>
    <row r="2891" spans="3:6" s="614" customFormat="1">
      <c r="D2891" s="614" t="s">
        <v>4398</v>
      </c>
      <c r="E2891" s="640">
        <f>calcCh3Prod1Slot2CustProfitPromo1MarginAbs*calcCh3Prod1Slot2CustProfitPromo1Vol</f>
        <v>0</v>
      </c>
      <c r="F2891" s="614" t="s">
        <v>6313</v>
      </c>
    </row>
    <row r="2892" spans="3:6" s="614" customFormat="1">
      <c r="E2892" s="640"/>
    </row>
    <row r="2893" spans="3:6" s="614" customFormat="1">
      <c r="D2893" s="633" t="s">
        <v>14</v>
      </c>
      <c r="E2893" s="640">
        <f>calcCh3Prod1Slot2CustProfitBase+calcCh3Prod1Slot2CustProfitPromo1</f>
        <v>0</v>
      </c>
      <c r="F2893" s="614" t="s">
        <v>6349</v>
      </c>
    </row>
    <row r="2894" spans="3:6" s="614" customFormat="1">
      <c r="E2894" s="640"/>
    </row>
    <row r="2895" spans="3:6" s="614" customFormat="1">
      <c r="C2895" s="633" t="s">
        <v>13828</v>
      </c>
    </row>
    <row r="2896" spans="3:6" s="614" customFormat="1">
      <c r="D2896" s="633" t="s">
        <v>4396</v>
      </c>
    </row>
    <row r="2897" spans="3:6" s="614" customFormat="1">
      <c r="D2897" s="614" t="s">
        <v>4402</v>
      </c>
      <c r="E2897" s="709">
        <f>IF(calcCh3Prod1Slot3Active=1,(calcCh3Prod1Slot3ShelfPrice-calcCh3Prod1Slot3CustPrice),0)</f>
        <v>0</v>
      </c>
      <c r="F2897" s="614" t="s">
        <v>4712</v>
      </c>
    </row>
    <row r="2898" spans="3:6" s="614" customFormat="1">
      <c r="D2898" s="614" t="s">
        <v>4403</v>
      </c>
      <c r="E2898" s="690">
        <f>IF(calcCh3Prod1Slot3Active=1,(calcCh3Prod1Slot3ShelfPrice-calcCh3Prod1Slot3CustPrice)/calcCh3Prod1Slot3ShelfPrice,0)</f>
        <v>0</v>
      </c>
      <c r="F2898" s="614" t="s">
        <v>4569</v>
      </c>
    </row>
    <row r="2899" spans="3:6" s="614" customFormat="1">
      <c r="D2899" s="614" t="s">
        <v>4394</v>
      </c>
      <c r="E2899" s="331">
        <f>IF(xxSim0Tool1=0,MMCh3Prod1Seg1Slot3UnitsSoldRSP+MMCh3Prod1Seg2Slot3UnitsSoldRSP+MMCh3Prod1Seg3Slot3UnitsSoldRSP+MMCh3Prod1Seg4Slot3UnitsSoldRSP,calcCh3Prod1VolForecastProd*decCh3Prod1Slot3Forecast*(1-decCh3Prod1Slot3Promo1ShareFrc))</f>
        <v>0</v>
      </c>
      <c r="F2899" s="614" t="s">
        <v>4713</v>
      </c>
    </row>
    <row r="2900" spans="3:6" s="614" customFormat="1" ht="2.25" customHeight="1">
      <c r="D2900" s="632"/>
      <c r="E2900" s="632"/>
    </row>
    <row r="2901" spans="3:6" s="614" customFormat="1">
      <c r="D2901" s="614" t="s">
        <v>4395</v>
      </c>
      <c r="E2901" s="640">
        <f>calcCh3Prod1Slot3CustProfitBaseMarginAbs*calcCh3Prod1Slot3CustProfitBaseVol</f>
        <v>0</v>
      </c>
      <c r="F2901" s="614" t="s">
        <v>4570</v>
      </c>
    </row>
    <row r="2902" spans="3:6" s="614" customFormat="1"/>
    <row r="2903" spans="3:6" s="614" customFormat="1">
      <c r="D2903" s="633" t="s">
        <v>6111</v>
      </c>
    </row>
    <row r="2904" spans="3:6" s="614" customFormat="1">
      <c r="D2904" s="614" t="s">
        <v>4397</v>
      </c>
      <c r="E2904" s="709">
        <f>IF(calcCh3Prod1Slot3Active=1,(calcCh3Prod1Slot3Promo1CustPrice*(1+VLOOKUP(nmProd1,dataCustomerMargin,4,FALSE))-calcCh3Prod1Slot3Promo1CustPrice),0)</f>
        <v>0</v>
      </c>
      <c r="F2904" s="614" t="s">
        <v>6314</v>
      </c>
    </row>
    <row r="2905" spans="3:6" s="614" customFormat="1">
      <c r="D2905" s="614" t="s">
        <v>4394</v>
      </c>
      <c r="E2905" s="331">
        <f>IF(xxSim0Tool1=0,MMCh3Prod1Seg1Slot3UnitsSoldPromo1+MMCh3Prod1Seg2Slot3UnitsSoldPromo1+MMCh3Prod1Seg3Slot3UnitsSoldPromo1+MMCh3Prod1Seg4Slot3UnitsSoldPromo1,calcCh3Prod1VolForecastProd*decCh3Prod1Slot3Promo1ShareFrc)</f>
        <v>0</v>
      </c>
      <c r="F2905" s="614" t="s">
        <v>6315</v>
      </c>
    </row>
    <row r="2906" spans="3:6" s="614" customFormat="1" ht="2.25" customHeight="1">
      <c r="D2906" s="632"/>
      <c r="E2906" s="632"/>
    </row>
    <row r="2907" spans="3:6" s="614" customFormat="1">
      <c r="D2907" s="614" t="s">
        <v>4398</v>
      </c>
      <c r="E2907" s="640">
        <f>calcCh3Prod1Slot3CustProfitPromo1MarginAbs*calcCh3Prod1Slot3CustProfitPromo1Vol</f>
        <v>0</v>
      </c>
      <c r="F2907" s="614" t="s">
        <v>6316</v>
      </c>
    </row>
    <row r="2908" spans="3:6" s="614" customFormat="1">
      <c r="E2908" s="640"/>
    </row>
    <row r="2909" spans="3:6" s="614" customFormat="1">
      <c r="D2909" s="633" t="s">
        <v>14</v>
      </c>
      <c r="E2909" s="640">
        <f>calcCh3Prod1Slot3CustProfitBase+calcCh3Prod1Slot3CustProfitPromo1</f>
        <v>0</v>
      </c>
      <c r="F2909" s="614" t="s">
        <v>6350</v>
      </c>
    </row>
    <row r="2910" spans="3:6" s="614" customFormat="1">
      <c r="E2910" s="640"/>
    </row>
    <row r="2911" spans="3:6" s="614" customFormat="1">
      <c r="C2911" s="633" t="s">
        <v>4729</v>
      </c>
    </row>
    <row r="2912" spans="3:6" s="614" customFormat="1">
      <c r="D2912" s="633" t="s">
        <v>4396</v>
      </c>
    </row>
    <row r="2913" spans="3:6" s="614" customFormat="1">
      <c r="D2913" s="614" t="s">
        <v>4402</v>
      </c>
      <c r="E2913" s="709">
        <f>IF(calcCh3Prod2Slot1Active=1,(calcCh3Prod2Slot1ShelfPrice-calcCh3Prod2Slot1CustPrice),0)</f>
        <v>2.370000000000001</v>
      </c>
      <c r="F2913" s="614" t="s">
        <v>4670</v>
      </c>
    </row>
    <row r="2914" spans="3:6" s="614" customFormat="1">
      <c r="D2914" s="614" t="s">
        <v>4403</v>
      </c>
      <c r="E2914" s="690">
        <f>IF(calcCh3Prod2Slot1Active=1,(calcCh3Prod2Slot1ShelfPrice-calcCh3Prod2Slot1CustPrice)/calcCh3Prod2Slot1ShelfPrice,0)</f>
        <v>0.23076923076923084</v>
      </c>
      <c r="F2914" s="614" t="s">
        <v>4571</v>
      </c>
    </row>
    <row r="2915" spans="3:6" s="614" customFormat="1">
      <c r="D2915" s="614" t="s">
        <v>4394</v>
      </c>
      <c r="E2915" s="331">
        <f>IF(xxSim0Tool1=0,MMCh3Prod2Seg1Slot1UnitsSoldRSP+MMCh3Prod2Seg2Slot1UnitsSoldRSP+MMCh3Prod2Seg3Slot1UnitsSoldRSP+MMCh3Prod2Seg4Slot1UnitsSoldRSP,calcCh3Prod2VolForecastProd*decCh3Prod2Slot1Forecast*(1-decCh3Prod2Slot1Promo1ShareFrc))</f>
        <v>23179042.400000002</v>
      </c>
      <c r="F2915" s="614" t="s">
        <v>4671</v>
      </c>
    </row>
    <row r="2916" spans="3:6" s="614" customFormat="1" ht="2.25" customHeight="1">
      <c r="D2916" s="632"/>
      <c r="E2916" s="632"/>
    </row>
    <row r="2917" spans="3:6" s="614" customFormat="1">
      <c r="D2917" s="614" t="s">
        <v>4395</v>
      </c>
      <c r="E2917" s="640">
        <f>calcCh3Prod2Slot1CustProfitBaseMarginAbs*calcCh3Prod2Slot1CustProfitBaseVol</f>
        <v>54934330.488000028</v>
      </c>
      <c r="F2917" s="614" t="s">
        <v>4572</v>
      </c>
    </row>
    <row r="2918" spans="3:6" s="614" customFormat="1"/>
    <row r="2919" spans="3:6" s="614" customFormat="1">
      <c r="D2919" s="633" t="s">
        <v>6111</v>
      </c>
    </row>
    <row r="2920" spans="3:6" s="614" customFormat="1">
      <c r="D2920" s="614" t="s">
        <v>4397</v>
      </c>
      <c r="E2920" s="709">
        <f>IF(calcCh3Prod2Slot1Active=1,(calcCh3Prod2Slot1Promo1CustPrice*(1+VLOOKUP(nmProd2,dataCustomerMargin,4,FALSE))-calcCh3Prod2Slot1Promo1CustPrice),0)</f>
        <v>1.5879000000000003</v>
      </c>
      <c r="F2920" s="614" t="s">
        <v>6317</v>
      </c>
    </row>
    <row r="2921" spans="3:6" s="614" customFormat="1">
      <c r="D2921" s="614" t="s">
        <v>4394</v>
      </c>
      <c r="E2921" s="331">
        <f>IF(xxSim0Tool1=0,MMCh3Prod2Seg1Slot1UnitsSoldPromo1+MMCh3Prod2Seg2Slot1UnitsSoldPromo1+MMCh3Prod2Seg3Slot1UnitsSoldPromo1+MMCh3Prod2Seg4Slot1UnitsSoldPromo1,calcCh3Prod2VolForecastProd*decCh3Prod2Slot1Promo1ShareFrc)</f>
        <v>14486901.5</v>
      </c>
      <c r="F2921" s="614" t="s">
        <v>6318</v>
      </c>
    </row>
    <row r="2922" spans="3:6" s="614" customFormat="1" ht="2.25" customHeight="1">
      <c r="D2922" s="632"/>
      <c r="E2922" s="632"/>
    </row>
    <row r="2923" spans="3:6" s="614" customFormat="1">
      <c r="D2923" s="614" t="s">
        <v>4398</v>
      </c>
      <c r="E2923" s="640">
        <f>calcCh3Prod2Slot1CustProfitPromo1MarginAbs*calcCh3Prod2Slot1CustProfitPromo1Vol</f>
        <v>23003750.891850006</v>
      </c>
      <c r="F2923" s="614" t="s">
        <v>6319</v>
      </c>
    </row>
    <row r="2924" spans="3:6" s="614" customFormat="1">
      <c r="E2924" s="640"/>
    </row>
    <row r="2925" spans="3:6" s="614" customFormat="1">
      <c r="D2925" s="633" t="s">
        <v>14</v>
      </c>
      <c r="E2925" s="640">
        <f>calcCh3Prod2Slot1CustProfitBase+calcCh3Prod2Slot1CustProfitPromo1</f>
        <v>77938081.37985003</v>
      </c>
      <c r="F2925" s="614" t="s">
        <v>6351</v>
      </c>
    </row>
    <row r="2926" spans="3:6" s="614" customFormat="1">
      <c r="E2926" s="640"/>
    </row>
    <row r="2927" spans="3:6" s="614" customFormat="1">
      <c r="C2927" s="633" t="s">
        <v>13829</v>
      </c>
    </row>
    <row r="2928" spans="3:6" s="614" customFormat="1">
      <c r="D2928" s="633" t="s">
        <v>4396</v>
      </c>
    </row>
    <row r="2929" spans="3:6" s="614" customFormat="1">
      <c r="D2929" s="614" t="s">
        <v>4402</v>
      </c>
      <c r="E2929" s="709">
        <f>IF(calcCh3Prod2Slot2Active=1,(calcCh3Prod2Slot2ShelfPrice-calcCh3Prod2Slot2CustPrice),0)</f>
        <v>2.4000000000000004</v>
      </c>
      <c r="F2929" s="614" t="s">
        <v>4672</v>
      </c>
    </row>
    <row r="2930" spans="3:6" s="614" customFormat="1">
      <c r="D2930" s="614" t="s">
        <v>4403</v>
      </c>
      <c r="E2930" s="690">
        <f>IF(calcCh3Prod2Slot2Active=1,(calcCh3Prod2Slot2ShelfPrice-calcCh3Prod2Slot2CustPrice)/calcCh3Prod2Slot2ShelfPrice,0)</f>
        <v>0.23076923076923078</v>
      </c>
      <c r="F2930" s="614" t="s">
        <v>4573</v>
      </c>
    </row>
    <row r="2931" spans="3:6" s="614" customFormat="1">
      <c r="D2931" s="614" t="s">
        <v>4394</v>
      </c>
      <c r="E2931" s="331">
        <f>IF(xxSim0Tool1=0,MMCh3Prod2Seg1Slot2UnitsSoldRSP+MMCh3Prod2Seg2Slot2UnitsSoldRSP+MMCh3Prod2Seg3Slot2UnitsSoldRSP+MMCh3Prod2Seg4Slot2UnitsSoldRSP,calcCh3Prod2VolForecastProd*decCh3Prod2Slot2Forecast*(1-decCh3Prod2Slot2Promo1ShareFrc))</f>
        <v>34768563.600000001</v>
      </c>
      <c r="F2931" s="614" t="s">
        <v>4673</v>
      </c>
    </row>
    <row r="2932" spans="3:6" s="614" customFormat="1" ht="2.25" customHeight="1">
      <c r="D2932" s="632"/>
      <c r="E2932" s="632"/>
    </row>
    <row r="2933" spans="3:6" s="614" customFormat="1">
      <c r="D2933" s="614" t="s">
        <v>4395</v>
      </c>
      <c r="E2933" s="640">
        <f>calcCh3Prod2Slot2CustProfitBaseMarginAbs*calcCh3Prod2Slot2CustProfitBaseVol</f>
        <v>83444552.640000015</v>
      </c>
      <c r="F2933" s="614" t="s">
        <v>4574</v>
      </c>
    </row>
    <row r="2934" spans="3:6" s="614" customFormat="1"/>
    <row r="2935" spans="3:6" s="614" customFormat="1">
      <c r="D2935" s="633" t="s">
        <v>6111</v>
      </c>
    </row>
    <row r="2936" spans="3:6" s="614" customFormat="1">
      <c r="D2936" s="614" t="s">
        <v>4397</v>
      </c>
      <c r="E2936" s="709">
        <f>IF(calcCh3Prod2Slot2Active=1,(calcCh3Prod2Slot2Promo1CustPrice*(1+VLOOKUP(nmProd2,dataCustomerMargin,4,FALSE))-calcCh3Prod2Slot2Promo1CustPrice),0)</f>
        <v>1.92</v>
      </c>
      <c r="F2936" s="614" t="s">
        <v>6320</v>
      </c>
    </row>
    <row r="2937" spans="3:6" s="614" customFormat="1">
      <c r="D2937" s="614" t="s">
        <v>4394</v>
      </c>
      <c r="E2937" s="331">
        <f>IF(xxSim0Tool1=0,MMCh3Prod2Seg1Slot2UnitsSoldPromo1+MMCh3Prod2Seg2Slot2UnitsSoldPromo1+MMCh3Prod2Seg3Slot2UnitsSoldPromo1+MMCh3Prod2Seg4Slot2UnitsSoldPromo1,calcCh3Prod2VolForecastProd*decCh3Prod2Slot2Promo1ShareFrc)</f>
        <v>14486901.5</v>
      </c>
      <c r="F2937" s="614" t="s">
        <v>6321</v>
      </c>
    </row>
    <row r="2938" spans="3:6" s="614" customFormat="1" ht="2.25" customHeight="1">
      <c r="D2938" s="632"/>
      <c r="E2938" s="632"/>
    </row>
    <row r="2939" spans="3:6" s="614" customFormat="1">
      <c r="D2939" s="614" t="s">
        <v>4398</v>
      </c>
      <c r="E2939" s="640">
        <f>calcCh3Prod2Slot2CustProfitPromo1MarginAbs*calcCh3Prod2Slot2CustProfitPromo1Vol</f>
        <v>27814850.879999999</v>
      </c>
      <c r="F2939" s="614" t="s">
        <v>6322</v>
      </c>
    </row>
    <row r="2940" spans="3:6" s="614" customFormat="1">
      <c r="E2940" s="640"/>
    </row>
    <row r="2941" spans="3:6" s="614" customFormat="1">
      <c r="D2941" s="633" t="s">
        <v>14</v>
      </c>
      <c r="E2941" s="640">
        <f>calcCh3Prod2Slot2CustProfitBase+calcCh3Prod2Slot2CustProfitPromo1</f>
        <v>111259403.52000001</v>
      </c>
      <c r="F2941" s="614" t="s">
        <v>6352</v>
      </c>
    </row>
    <row r="2942" spans="3:6" s="614" customFormat="1">
      <c r="E2942" s="640"/>
    </row>
    <row r="2943" spans="3:6" s="614" customFormat="1">
      <c r="C2943" s="633" t="s">
        <v>13830</v>
      </c>
    </row>
    <row r="2944" spans="3:6" s="614" customFormat="1">
      <c r="D2944" s="633" t="s">
        <v>4396</v>
      </c>
    </row>
    <row r="2945" spans="3:6" s="614" customFormat="1">
      <c r="D2945" s="614" t="s">
        <v>4402</v>
      </c>
      <c r="E2945" s="709">
        <f>IF(calcCh3Prod2Slot3Active=1,(calcCh3Prod2Slot3ShelfPrice-calcCh3Prod2Slot3CustPrice),0)</f>
        <v>0</v>
      </c>
      <c r="F2945" s="614" t="s">
        <v>4714</v>
      </c>
    </row>
    <row r="2946" spans="3:6" s="614" customFormat="1">
      <c r="D2946" s="614" t="s">
        <v>4403</v>
      </c>
      <c r="E2946" s="690">
        <f>IF(calcCh3Prod2Slot3Active=1,(calcCh3Prod2Slot3ShelfPrice-calcCh3Prod2Slot3CustPrice)/calcCh3Prod2Slot3ShelfPrice,0)</f>
        <v>0</v>
      </c>
      <c r="F2946" s="614" t="s">
        <v>4575</v>
      </c>
    </row>
    <row r="2947" spans="3:6" s="614" customFormat="1">
      <c r="D2947" s="614" t="s">
        <v>4394</v>
      </c>
      <c r="E2947" s="331">
        <f>IF(xxSim0Tool1=0,MMCh3Prod2Seg1Slot3UnitsSoldRSP+MMCh3Prod2Seg2Slot3UnitsSoldRSP+MMCh3Prod2Seg3Slot3UnitsSoldRSP+MMCh3Prod2Seg4Slot3UnitsSoldRSP,calcCh3Prod2VolForecastProd*decCh3Prod2Slot3Forecast*(1-decCh3Prod2Slot3Promo1ShareFrc))</f>
        <v>0</v>
      </c>
      <c r="F2947" s="614" t="s">
        <v>4715</v>
      </c>
    </row>
    <row r="2948" spans="3:6" s="614" customFormat="1" ht="2.25" customHeight="1">
      <c r="D2948" s="632"/>
      <c r="E2948" s="632"/>
    </row>
    <row r="2949" spans="3:6" s="614" customFormat="1">
      <c r="D2949" s="614" t="s">
        <v>4395</v>
      </c>
      <c r="E2949" s="640">
        <f>calcCh3Prod2Slot3CustProfitBaseMarginAbs*calcCh3Prod2Slot3CustProfitBaseVol</f>
        <v>0</v>
      </c>
      <c r="F2949" s="614" t="s">
        <v>4576</v>
      </c>
    </row>
    <row r="2950" spans="3:6" s="614" customFormat="1"/>
    <row r="2951" spans="3:6" s="614" customFormat="1">
      <c r="D2951" s="633" t="s">
        <v>6111</v>
      </c>
    </row>
    <row r="2952" spans="3:6" s="614" customFormat="1">
      <c r="D2952" s="614" t="s">
        <v>4397</v>
      </c>
      <c r="E2952" s="709">
        <f>IF(calcCh3Prod2Slot3Active=1,(calcCh3Prod2Slot3Promo1CustPrice*(1+VLOOKUP(nmProd2,dataCustomerMargin,4,FALSE))-calcCh3Prod2Slot3Promo1CustPrice),0)</f>
        <v>0</v>
      </c>
      <c r="F2952" s="614" t="s">
        <v>6323</v>
      </c>
    </row>
    <row r="2953" spans="3:6" s="614" customFormat="1">
      <c r="D2953" s="614" t="s">
        <v>4394</v>
      </c>
      <c r="E2953" s="331">
        <f>IF(xxSim0Tool1=0,MMCh3Prod2Seg1Slot3UnitsSoldPromo1+MMCh3Prod2Seg2Slot3UnitsSoldPromo1+MMCh3Prod2Seg3Slot3UnitsSoldPromo1+MMCh3Prod2Seg4Slot3UnitsSoldPromo1,calcCh3Prod2VolForecastProd*decCh3Prod2Slot3Promo1ShareFrc)</f>
        <v>0</v>
      </c>
      <c r="F2953" s="614" t="s">
        <v>6324</v>
      </c>
    </row>
    <row r="2954" spans="3:6" s="614" customFormat="1" ht="2.25" customHeight="1">
      <c r="D2954" s="632"/>
      <c r="E2954" s="632"/>
    </row>
    <row r="2955" spans="3:6" s="614" customFormat="1">
      <c r="D2955" s="614" t="s">
        <v>4398</v>
      </c>
      <c r="E2955" s="640">
        <f>calcCh3Prod2Slot3CustProfitPromo1MarginAbs*calcCh3Prod2Slot3CustProfitPromo1Vol</f>
        <v>0</v>
      </c>
      <c r="F2955" s="614" t="s">
        <v>6325</v>
      </c>
    </row>
    <row r="2956" spans="3:6" s="614" customFormat="1">
      <c r="E2956" s="640"/>
    </row>
    <row r="2957" spans="3:6" s="614" customFormat="1">
      <c r="D2957" s="633" t="s">
        <v>14</v>
      </c>
      <c r="E2957" s="640">
        <f>calcCh3Prod2Slot3CustProfitBase+calcCh3Prod2Slot3CustProfitPromo1</f>
        <v>0</v>
      </c>
      <c r="F2957" s="614" t="s">
        <v>6353</v>
      </c>
    </row>
    <row r="2958" spans="3:6" s="614" customFormat="1">
      <c r="E2958" s="640"/>
    </row>
    <row r="2959" spans="3:6" s="614" customFormat="1">
      <c r="C2959" s="633" t="s">
        <v>8606</v>
      </c>
    </row>
    <row r="2960" spans="3:6" s="614" customFormat="1">
      <c r="D2960" s="633" t="s">
        <v>4396</v>
      </c>
    </row>
    <row r="2961" spans="3:6" s="614" customFormat="1">
      <c r="D2961" s="614" t="s">
        <v>4402</v>
      </c>
      <c r="E2961" s="709">
        <f>IF(calcCh3Prod3Slot1Active=1,(calcCh3Prod3Slot1ShelfPrice-calcCh3Prod3Slot1CustPrice),0)</f>
        <v>2.5080000000000009</v>
      </c>
      <c r="F2961" s="614" t="s">
        <v>4674</v>
      </c>
    </row>
    <row r="2962" spans="3:6" s="614" customFormat="1">
      <c r="D2962" s="614" t="s">
        <v>4403</v>
      </c>
      <c r="E2962" s="690">
        <f>IF(calcCh3Prod3Slot1Active=1,(calcCh3Prod3Slot1ShelfPrice-calcCh3Prod3Slot1CustPrice)/calcCh3Prod3Slot1ShelfPrice,0)</f>
        <v>0.24812030075187977</v>
      </c>
      <c r="F2962" s="614" t="s">
        <v>4577</v>
      </c>
    </row>
    <row r="2963" spans="3:6" s="614" customFormat="1">
      <c r="D2963" s="614" t="s">
        <v>4394</v>
      </c>
      <c r="E2963" s="331">
        <f>IF(xxSim0Tool1=0,MMCh3Prod3Seg1Slot1UnitsSoldRSP+MMCh3Prod3Seg2Slot1UnitsSoldRSP+MMCh3Prod3Seg3Slot1UnitsSoldRSP+MMCh3Prod3Seg4Slot1UnitsSoldRSP,calcCh3Prod3VolForecastProd*decCh3Prod3Slot1Forecast*(1-decCh3Prod3Slot1Promo1ShareFrc))</f>
        <v>47082429.875</v>
      </c>
      <c r="F2963" s="614" t="s">
        <v>4675</v>
      </c>
    </row>
    <row r="2964" spans="3:6" s="614" customFormat="1" ht="2.25" customHeight="1">
      <c r="D2964" s="632"/>
      <c r="E2964" s="632"/>
    </row>
    <row r="2965" spans="3:6" s="614" customFormat="1">
      <c r="D2965" s="614" t="s">
        <v>4395</v>
      </c>
      <c r="E2965" s="640">
        <f>calcCh3Prod3Slot1CustProfitBaseMarginAbs*calcCh3Prod3Slot1CustProfitBaseVol</f>
        <v>118082734.12650004</v>
      </c>
      <c r="F2965" s="614" t="s">
        <v>4578</v>
      </c>
    </row>
    <row r="2966" spans="3:6" s="614" customFormat="1"/>
    <row r="2967" spans="3:6" s="614" customFormat="1">
      <c r="D2967" s="633" t="s">
        <v>6111</v>
      </c>
    </row>
    <row r="2968" spans="3:6" s="614" customFormat="1">
      <c r="D2968" s="614" t="s">
        <v>4397</v>
      </c>
      <c r="E2968" s="709">
        <f>IF(calcCh3Prod3Slot1Active=1,(calcCh3Prod3Slot1Promo1CustPrice*(1+VLOOKUP(nmProd3,dataCustomerMargin,4,FALSE))-calcCh3Prod3Slot1Promo1CustPrice),0)</f>
        <v>1.6803600000000003</v>
      </c>
      <c r="F2968" s="614" t="s">
        <v>6326</v>
      </c>
    </row>
    <row r="2969" spans="3:6" s="614" customFormat="1">
      <c r="D2969" s="614" t="s">
        <v>4394</v>
      </c>
      <c r="E2969" s="331">
        <f>IF(xxSim0Tool1=0,MMCh3Prod3Seg1Slot1UnitsSoldPromo1+MMCh3Prod3Seg2Slot1UnitsSoldPromo1+MMCh3Prod3Seg3Slot1UnitsSoldPromo1+MMCh3Prod3Seg4Slot1UnitsSoldPromo1,calcCh3Prod3VolForecastProd*decCh3Prod3Slot1Promo1ShareFrc)</f>
        <v>25352077.625</v>
      </c>
      <c r="F2969" s="614" t="s">
        <v>6327</v>
      </c>
    </row>
    <row r="2970" spans="3:6" s="614" customFormat="1" ht="2.25" customHeight="1">
      <c r="D2970" s="632"/>
      <c r="E2970" s="632"/>
    </row>
    <row r="2971" spans="3:6" s="614" customFormat="1">
      <c r="D2971" s="614" t="s">
        <v>4398</v>
      </c>
      <c r="E2971" s="640">
        <f>calcCh3Prod3Slot1CustProfitPromo1MarginAbs*calcCh3Prod3Slot1CustProfitPromo1Vol</f>
        <v>42600617.157945007</v>
      </c>
      <c r="F2971" s="614" t="s">
        <v>6328</v>
      </c>
    </row>
    <row r="2972" spans="3:6" s="614" customFormat="1">
      <c r="E2972" s="640"/>
    </row>
    <row r="2973" spans="3:6" s="614" customFormat="1">
      <c r="D2973" s="633" t="s">
        <v>14</v>
      </c>
      <c r="E2973" s="640">
        <f>calcCh3Prod3Slot1CustProfitBase+calcCh3Prod3Slot1CustProfitPromo1</f>
        <v>160683351.28444505</v>
      </c>
      <c r="F2973" s="614" t="s">
        <v>6354</v>
      </c>
    </row>
    <row r="2974" spans="3:6" s="614" customFormat="1">
      <c r="E2974" s="640"/>
    </row>
    <row r="2975" spans="3:6" s="614" customFormat="1">
      <c r="C2975" s="633" t="s">
        <v>13831</v>
      </c>
    </row>
    <row r="2976" spans="3:6" s="614" customFormat="1">
      <c r="D2976" s="633" t="s">
        <v>4396</v>
      </c>
    </row>
    <row r="2977" spans="3:6" s="614" customFormat="1">
      <c r="D2977" s="614" t="s">
        <v>4402</v>
      </c>
      <c r="E2977" s="709">
        <f>IF(calcCh3Prod3Slot2Active=1,(calcCh3Prod3Slot2ShelfPrice-calcCh3Prod3Slot2CustPrice),0)</f>
        <v>0</v>
      </c>
      <c r="F2977" s="614" t="s">
        <v>4676</v>
      </c>
    </row>
    <row r="2978" spans="3:6" s="614" customFormat="1">
      <c r="D2978" s="614" t="s">
        <v>4403</v>
      </c>
      <c r="E2978" s="690">
        <f>IF(calcCh3Prod3Slot2Active=1,(calcCh3Prod3Slot2ShelfPrice-calcCh3Prod3Slot2CustPrice)/calcCh3Prod3Slot2ShelfPrice,0)</f>
        <v>0</v>
      </c>
      <c r="F2978" s="614" t="s">
        <v>4579</v>
      </c>
    </row>
    <row r="2979" spans="3:6" s="614" customFormat="1">
      <c r="D2979" s="614" t="s">
        <v>4394</v>
      </c>
      <c r="E2979" s="331">
        <f>IF(xxSim0Tool1=0,MMCh3Prod3Seg1Slot2UnitsSoldRSP+MMCh3Prod3Seg2Slot2UnitsSoldRSP+MMCh3Prod3Seg3Slot2UnitsSoldRSP+MMCh3Prod3Seg4Slot2UnitsSoldRSP,calcCh3Prod3VolForecastProd*decCh3Prod3Slot2Forecast*(1-decCh3Prod3Slot2Promo1ShareFrc))</f>
        <v>0</v>
      </c>
      <c r="F2979" s="614" t="s">
        <v>4677</v>
      </c>
    </row>
    <row r="2980" spans="3:6" s="614" customFormat="1" ht="2.25" customHeight="1">
      <c r="D2980" s="632"/>
      <c r="E2980" s="632"/>
    </row>
    <row r="2981" spans="3:6" s="614" customFormat="1">
      <c r="D2981" s="614" t="s">
        <v>4395</v>
      </c>
      <c r="E2981" s="640">
        <f>calcCh3Prod3Slot2CustProfitBaseMarginAbs*calcCh3Prod3Slot2CustProfitBaseVol</f>
        <v>0</v>
      </c>
      <c r="F2981" s="614" t="s">
        <v>4580</v>
      </c>
    </row>
    <row r="2982" spans="3:6" s="614" customFormat="1"/>
    <row r="2983" spans="3:6" s="614" customFormat="1">
      <c r="D2983" s="633" t="s">
        <v>6111</v>
      </c>
    </row>
    <row r="2984" spans="3:6" s="614" customFormat="1">
      <c r="D2984" s="614" t="s">
        <v>4397</v>
      </c>
      <c r="E2984" s="709">
        <f>IF(calcCh3Prod3Slot2Active=1,(calcCh3Prod3Slot2Promo1CustPrice*(1+VLOOKUP(nmProd3,dataCustomerMargin,4,FALSE))-calcCh3Prod3Slot2Promo1CustPrice),0)</f>
        <v>0</v>
      </c>
      <c r="F2984" s="614" t="s">
        <v>6329</v>
      </c>
    </row>
    <row r="2985" spans="3:6" s="614" customFormat="1">
      <c r="D2985" s="614" t="s">
        <v>4394</v>
      </c>
      <c r="E2985" s="331">
        <f>IF(xxSim0Tool1=0,MMCh3Prod3Seg1Slot2UnitsSoldPromo1+MMCh3Prod3Seg2Slot2UnitsSoldPromo1+MMCh3Prod3Seg3Slot2UnitsSoldPromo1+MMCh3Prod3Seg4Slot2UnitsSoldPromo1,calcCh3Prod3VolForecastProd*decCh3Prod3Slot2Promo1ShareFrc)</f>
        <v>0</v>
      </c>
      <c r="F2985" s="614" t="s">
        <v>6330</v>
      </c>
    </row>
    <row r="2986" spans="3:6" s="614" customFormat="1" ht="2.25" customHeight="1">
      <c r="D2986" s="632"/>
      <c r="E2986" s="632"/>
    </row>
    <row r="2987" spans="3:6" s="614" customFormat="1">
      <c r="D2987" s="614" t="s">
        <v>4398</v>
      </c>
      <c r="E2987" s="640">
        <f>calcCh3Prod3Slot2CustProfitPromo1MarginAbs*calcCh3Prod3Slot2CustProfitPromo1Vol</f>
        <v>0</v>
      </c>
      <c r="F2987" s="614" t="s">
        <v>6331</v>
      </c>
    </row>
    <row r="2988" spans="3:6" s="614" customFormat="1">
      <c r="E2988" s="640"/>
    </row>
    <row r="2989" spans="3:6" s="614" customFormat="1">
      <c r="D2989" s="633" t="s">
        <v>14</v>
      </c>
      <c r="E2989" s="640">
        <f>calcCh3Prod3Slot2CustProfitBase+calcCh3Prod3Slot2CustProfitPromo1</f>
        <v>0</v>
      </c>
      <c r="F2989" s="614" t="s">
        <v>6355</v>
      </c>
    </row>
    <row r="2990" spans="3:6" s="614" customFormat="1">
      <c r="E2990" s="640"/>
    </row>
    <row r="2991" spans="3:6" s="614" customFormat="1">
      <c r="C2991" s="633" t="s">
        <v>13832</v>
      </c>
    </row>
    <row r="2992" spans="3:6" s="614" customFormat="1">
      <c r="D2992" s="633" t="s">
        <v>4396</v>
      </c>
    </row>
    <row r="2993" spans="3:6" s="614" customFormat="1">
      <c r="D2993" s="614" t="s">
        <v>4402</v>
      </c>
      <c r="E2993" s="709">
        <f>IF(calcCh3Prod3Slot3Active=1,(calcCh3Prod3Slot3ShelfPrice-calcCh3Prod3Slot3CustPrice),0)</f>
        <v>0</v>
      </c>
      <c r="F2993" s="614" t="s">
        <v>4716</v>
      </c>
    </row>
    <row r="2994" spans="3:6" s="614" customFormat="1">
      <c r="D2994" s="614" t="s">
        <v>4403</v>
      </c>
      <c r="E2994" s="690">
        <f>IF(calcCh3Prod3Slot3Active=1,(calcCh3Prod3Slot3ShelfPrice-calcCh3Prod3Slot3CustPrice)/calcCh3Prod3Slot3ShelfPrice,0)</f>
        <v>0</v>
      </c>
      <c r="F2994" s="614" t="s">
        <v>4581</v>
      </c>
    </row>
    <row r="2995" spans="3:6" s="614" customFormat="1">
      <c r="D2995" s="614" t="s">
        <v>4394</v>
      </c>
      <c r="E2995" s="331">
        <f>IF(xxSim0Tool1=0,MMCh3Prod3Seg1Slot3UnitsSoldRSP+MMCh3Prod3Seg2Slot3UnitsSoldRSP+MMCh3Prod3Seg3Slot3UnitsSoldRSP+MMCh3Prod3Seg4Slot3UnitsSoldRSP,calcCh3Prod3VolForecastProd*decCh3Prod3Slot3Forecast*(1-decCh3Prod3Slot3Promo1ShareFrc))</f>
        <v>0</v>
      </c>
      <c r="F2995" s="614" t="s">
        <v>4717</v>
      </c>
    </row>
    <row r="2996" spans="3:6" s="614" customFormat="1" ht="2.25" customHeight="1">
      <c r="D2996" s="632"/>
      <c r="E2996" s="632"/>
    </row>
    <row r="2997" spans="3:6" s="614" customFormat="1">
      <c r="D2997" s="614" t="s">
        <v>4395</v>
      </c>
      <c r="E2997" s="640">
        <f>calcCh3Prod3Slot3CustProfitBaseMarginAbs*calcCh3Prod3Slot3CustProfitBaseVol</f>
        <v>0</v>
      </c>
      <c r="F2997" s="614" t="s">
        <v>4582</v>
      </c>
    </row>
    <row r="2998" spans="3:6" s="614" customFormat="1"/>
    <row r="2999" spans="3:6" s="614" customFormat="1">
      <c r="D2999" s="633" t="s">
        <v>6111</v>
      </c>
    </row>
    <row r="3000" spans="3:6" s="614" customFormat="1">
      <c r="D3000" s="614" t="s">
        <v>4397</v>
      </c>
      <c r="E3000" s="709">
        <f>IF(calcCh3Prod3Slot3Active=1,(calcCh3Prod3Slot3Promo1CustPrice*(1+VLOOKUP(nmProd3,dataCustomerMargin,4,FALSE))-calcCh3Prod3Slot3Promo1CustPrice),0)</f>
        <v>0</v>
      </c>
      <c r="F3000" s="614" t="s">
        <v>6332</v>
      </c>
    </row>
    <row r="3001" spans="3:6" s="614" customFormat="1">
      <c r="D3001" s="614" t="s">
        <v>4394</v>
      </c>
      <c r="E3001" s="331">
        <f>IF(xxSim0Tool1=0,MMCh3Prod3Seg1Slot3UnitsSoldPromo1+MMCh3Prod3Seg2Slot3UnitsSoldPromo1+MMCh3Prod3Seg3Slot3UnitsSoldPromo1+MMCh3Prod3Seg4Slot3UnitsSoldPromo1,calcCh3Prod3VolForecastProd*decCh3Prod3Slot3Promo1ShareFrc)</f>
        <v>0</v>
      </c>
      <c r="F3001" s="614" t="s">
        <v>6333</v>
      </c>
    </row>
    <row r="3002" spans="3:6" s="614" customFormat="1" ht="2.25" customHeight="1">
      <c r="D3002" s="632"/>
      <c r="E3002" s="632"/>
    </row>
    <row r="3003" spans="3:6" s="614" customFormat="1">
      <c r="D3003" s="614" t="s">
        <v>4398</v>
      </c>
      <c r="E3003" s="640">
        <f>calcCh3Prod3Slot3CustProfitPromo1MarginAbs*calcCh3Prod3Slot3CustProfitPromo1Vol</f>
        <v>0</v>
      </c>
      <c r="F3003" s="614" t="s">
        <v>6334</v>
      </c>
    </row>
    <row r="3004" spans="3:6" s="614" customFormat="1">
      <c r="E3004" s="640"/>
    </row>
    <row r="3005" spans="3:6" s="614" customFormat="1">
      <c r="D3005" s="633" t="s">
        <v>14</v>
      </c>
      <c r="E3005" s="640">
        <f>calcCh3Prod3Slot3CustProfitBase+calcCh3Prod3Slot3CustProfitPromo1</f>
        <v>0</v>
      </c>
      <c r="F3005" s="614" t="s">
        <v>6356</v>
      </c>
    </row>
    <row r="3006" spans="3:6" s="614" customFormat="1">
      <c r="E3006" s="640"/>
    </row>
    <row r="3007" spans="3:6" s="614" customFormat="1">
      <c r="C3007" s="633" t="s">
        <v>13833</v>
      </c>
    </row>
    <row r="3008" spans="3:6" s="614" customFormat="1">
      <c r="D3008" s="633" t="s">
        <v>4396</v>
      </c>
    </row>
    <row r="3009" spans="3:6" s="614" customFormat="1">
      <c r="D3009" s="614" t="s">
        <v>4402</v>
      </c>
      <c r="E3009" s="709">
        <f>IF(calcCh3Prod4Slot1Active=1,(calcCh3Prod4Slot1ShelfPrice-calcCh3Prod4Slot1CustPrice),0)</f>
        <v>0</v>
      </c>
      <c r="F3009" s="614" t="s">
        <v>4678</v>
      </c>
    </row>
    <row r="3010" spans="3:6" s="614" customFormat="1">
      <c r="D3010" s="614" t="s">
        <v>4403</v>
      </c>
      <c r="E3010" s="690">
        <f>IF(calcCh3Prod4Slot1Active=1,(calcCh3Prod4Slot1ShelfPrice-calcCh3Prod4Slot1CustPrice)/calcCh3Prod4Slot1ShelfPrice,0)</f>
        <v>0</v>
      </c>
      <c r="F3010" s="614" t="s">
        <v>4583</v>
      </c>
    </row>
    <row r="3011" spans="3:6" s="614" customFormat="1">
      <c r="D3011" s="614" t="s">
        <v>4394</v>
      </c>
      <c r="E3011" s="331">
        <f>IF(xxSim0Tool1=0,MMCh3Prod4Seg1Slot1UnitsSoldRSP+MMCh3Prod4Seg2Slot1UnitsSoldRSP+MMCh3Prod4Seg3Slot1UnitsSoldRSP+MMCh3Prod4Seg4Slot1UnitsSoldRSP,calcCh3Prod4VolForecastProd*decCh3Prod4Slot1Forecast*(1-decCh3Prod4Slot1Promo1ShareFrc))</f>
        <v>0</v>
      </c>
      <c r="F3011" s="614" t="s">
        <v>4679</v>
      </c>
    </row>
    <row r="3012" spans="3:6" s="614" customFormat="1" ht="2.25" customHeight="1">
      <c r="D3012" s="632"/>
      <c r="E3012" s="632"/>
    </row>
    <row r="3013" spans="3:6" s="614" customFormat="1">
      <c r="D3013" s="614" t="s">
        <v>4395</v>
      </c>
      <c r="E3013" s="640">
        <f>calcCh3Prod4Slot1CustProfitBaseMarginAbs*calcCh3Prod4Slot1CustProfitBaseVol</f>
        <v>0</v>
      </c>
      <c r="F3013" s="614" t="s">
        <v>4584</v>
      </c>
    </row>
    <row r="3014" spans="3:6" s="614" customFormat="1"/>
    <row r="3015" spans="3:6" s="614" customFormat="1">
      <c r="D3015" s="633" t="s">
        <v>6111</v>
      </c>
    </row>
    <row r="3016" spans="3:6" s="614" customFormat="1">
      <c r="D3016" s="614" t="s">
        <v>4397</v>
      </c>
      <c r="E3016" s="709">
        <f>IF(calcCh3Prod4Slot1Active=1,(calcCh3Prod4Slot1Promo1CustPrice*(1+VLOOKUP(nmProd4,dataCustomerMargin,4,FALSE))-calcCh3Prod4Slot1Promo1CustPrice),0)</f>
        <v>0</v>
      </c>
      <c r="F3016" s="614" t="s">
        <v>6335</v>
      </c>
    </row>
    <row r="3017" spans="3:6" s="614" customFormat="1">
      <c r="D3017" s="614" t="s">
        <v>4394</v>
      </c>
      <c r="E3017" s="331">
        <f>IF(xxSim0Tool1=0,MMCh3Prod4Seg1Slot1UnitsSoldPromo1+MMCh3Prod4Seg2Slot1UnitsSoldPromo1+MMCh3Prod4Seg3Slot1UnitsSoldPromo1+MMCh3Prod4Seg4Slot1UnitsSoldPromo1,calcCh3Prod4VolForecastProd*decCh3Prod4Slot1Promo1ShareFrc)</f>
        <v>0</v>
      </c>
      <c r="F3017" s="614" t="s">
        <v>6336</v>
      </c>
    </row>
    <row r="3018" spans="3:6" s="614" customFormat="1" ht="2.25" customHeight="1">
      <c r="D3018" s="632"/>
      <c r="E3018" s="632"/>
    </row>
    <row r="3019" spans="3:6" s="614" customFormat="1">
      <c r="D3019" s="614" t="s">
        <v>4398</v>
      </c>
      <c r="E3019" s="640">
        <f>calcCh3Prod4Slot1CustProfitPromo1MarginAbs*calcCh3Prod4Slot1CustProfitPromo1Vol</f>
        <v>0</v>
      </c>
      <c r="F3019" s="614" t="s">
        <v>6337</v>
      </c>
    </row>
    <row r="3020" spans="3:6" s="614" customFormat="1">
      <c r="E3020" s="640"/>
    </row>
    <row r="3021" spans="3:6" s="614" customFormat="1">
      <c r="D3021" s="633" t="s">
        <v>14</v>
      </c>
      <c r="E3021" s="640">
        <f>calcCh3Prod4Slot1CustProfitBase+calcCh3Prod4Slot1CustProfitPromo1</f>
        <v>0</v>
      </c>
      <c r="F3021" s="614" t="s">
        <v>6347</v>
      </c>
    </row>
    <row r="3022" spans="3:6" s="614" customFormat="1">
      <c r="E3022" s="640"/>
    </row>
    <row r="3023" spans="3:6" s="614" customFormat="1">
      <c r="C3023" s="633" t="s">
        <v>13834</v>
      </c>
    </row>
    <row r="3024" spans="3:6" s="614" customFormat="1">
      <c r="D3024" s="633" t="s">
        <v>4396</v>
      </c>
    </row>
    <row r="3025" spans="3:6" s="614" customFormat="1">
      <c r="D3025" s="614" t="s">
        <v>4402</v>
      </c>
      <c r="E3025" s="709">
        <f>IF(calcCh3Prod4Slot2Active=1,(calcCh3Prod4Slot2ShelfPrice-calcCh3Prod4Slot2CustPrice),0)</f>
        <v>0</v>
      </c>
      <c r="F3025" s="614" t="s">
        <v>4680</v>
      </c>
    </row>
    <row r="3026" spans="3:6" s="614" customFormat="1">
      <c r="D3026" s="614" t="s">
        <v>4403</v>
      </c>
      <c r="E3026" s="690">
        <f>IF(calcCh3Prod4Slot2Active=1,(calcCh3Prod4Slot2ShelfPrice-calcCh3Prod4Slot2CustPrice)/calcCh3Prod4Slot2ShelfPrice,0)</f>
        <v>0</v>
      </c>
      <c r="F3026" s="614" t="s">
        <v>4585</v>
      </c>
    </row>
    <row r="3027" spans="3:6" s="614" customFormat="1">
      <c r="D3027" s="614" t="s">
        <v>4394</v>
      </c>
      <c r="E3027" s="331">
        <f>IF(xxSim0Tool1=0,MMCh3Prod4Seg1Slot2UnitsSoldRSP+MMCh3Prod4Seg2Slot2UnitsSoldRSP+MMCh3Prod4Seg3Slot2UnitsSoldRSP+MMCh3Prod4Seg4Slot2UnitsSoldRSP,calcCh3Prod4VolForecastProd*decCh3Prod4Slot2Forecast*(1-decCh3Prod4Slot2Promo1ShareFrc))</f>
        <v>0</v>
      </c>
      <c r="F3027" s="614" t="s">
        <v>4681</v>
      </c>
    </row>
    <row r="3028" spans="3:6" s="614" customFormat="1" ht="2.25" customHeight="1">
      <c r="D3028" s="632"/>
      <c r="E3028" s="632"/>
    </row>
    <row r="3029" spans="3:6" s="614" customFormat="1">
      <c r="D3029" s="614" t="s">
        <v>4395</v>
      </c>
      <c r="E3029" s="640">
        <f>calcCh3Prod4Slot2CustProfitBaseMarginAbs*calcCh3Prod4Slot2CustProfitBaseVol</f>
        <v>0</v>
      </c>
      <c r="F3029" s="614" t="s">
        <v>4586</v>
      </c>
    </row>
    <row r="3030" spans="3:6" s="614" customFormat="1"/>
    <row r="3031" spans="3:6" s="614" customFormat="1">
      <c r="D3031" s="633" t="s">
        <v>6111</v>
      </c>
    </row>
    <row r="3032" spans="3:6" s="614" customFormat="1">
      <c r="D3032" s="614" t="s">
        <v>4397</v>
      </c>
      <c r="E3032" s="709">
        <f>IF(calcCh3Prod4Slot2Active=1,(calcCh3Prod4Slot2Promo1CustPrice*(1+VLOOKUP(nmProd4,dataCustomerMargin,4,FALSE))-calcCh3Prod4Slot2Promo1CustPrice),0)</f>
        <v>0</v>
      </c>
      <c r="F3032" s="614" t="s">
        <v>6338</v>
      </c>
    </row>
    <row r="3033" spans="3:6" s="614" customFormat="1">
      <c r="D3033" s="614" t="s">
        <v>4394</v>
      </c>
      <c r="E3033" s="331">
        <f>IF(xxSim0Tool1=0,MMCh3Prod4Seg1Slot2UnitsSoldPromo1+MMCh3Prod4Seg2Slot2UnitsSoldPromo1+MMCh3Prod4Seg3Slot2UnitsSoldPromo1+MMCh3Prod4Seg4Slot2UnitsSoldPromo1,calcCh3Prod4VolForecastProd*decCh3Prod4Slot2Promo1ShareFrc)</f>
        <v>0</v>
      </c>
      <c r="F3033" s="614" t="s">
        <v>6339</v>
      </c>
    </row>
    <row r="3034" spans="3:6" s="614" customFormat="1" ht="2.25" customHeight="1">
      <c r="D3034" s="632"/>
      <c r="E3034" s="632"/>
    </row>
    <row r="3035" spans="3:6" s="614" customFormat="1">
      <c r="D3035" s="614" t="s">
        <v>4398</v>
      </c>
      <c r="E3035" s="640">
        <f>calcCh3Prod4Slot2CustProfitPromo1MarginAbs*calcCh3Prod4Slot2CustProfitPromo1Vol</f>
        <v>0</v>
      </c>
      <c r="F3035" s="614" t="s">
        <v>6340</v>
      </c>
    </row>
    <row r="3036" spans="3:6" s="614" customFormat="1">
      <c r="E3036" s="640"/>
    </row>
    <row r="3037" spans="3:6" s="614" customFormat="1">
      <c r="D3037" s="633" t="s">
        <v>14</v>
      </c>
      <c r="E3037" s="640">
        <f>calcCh3Prod4Slot2CustProfitBase+calcCh3Prod4Slot2CustProfitPromo1</f>
        <v>0</v>
      </c>
      <c r="F3037" s="614" t="s">
        <v>6346</v>
      </c>
    </row>
    <row r="3038" spans="3:6" s="614" customFormat="1">
      <c r="E3038" s="640"/>
    </row>
    <row r="3039" spans="3:6" s="614" customFormat="1">
      <c r="C3039" s="633" t="s">
        <v>13835</v>
      </c>
    </row>
    <row r="3040" spans="3:6" s="614" customFormat="1">
      <c r="D3040" s="633" t="s">
        <v>4396</v>
      </c>
    </row>
    <row r="3041" spans="4:6" s="614" customFormat="1">
      <c r="D3041" s="614" t="s">
        <v>4402</v>
      </c>
      <c r="E3041" s="709">
        <f>IF(calcCh3Prod4Slot3Active=1,(calcCh3Prod4Slot3ShelfPrice-calcCh3Prod4Slot3CustPrice),0)</f>
        <v>0</v>
      </c>
      <c r="F3041" s="614" t="s">
        <v>4718</v>
      </c>
    </row>
    <row r="3042" spans="4:6" s="614" customFormat="1">
      <c r="D3042" s="614" t="s">
        <v>4403</v>
      </c>
      <c r="E3042" s="690">
        <f>IF(calcCh3Prod4Slot3Active=1,(calcCh3Prod4Slot3ShelfPrice-calcCh3Prod4Slot3CustPrice)/calcCh3Prod4Slot3ShelfPrice,0)</f>
        <v>0</v>
      </c>
      <c r="F3042" s="614" t="s">
        <v>4587</v>
      </c>
    </row>
    <row r="3043" spans="4:6" s="614" customFormat="1">
      <c r="D3043" s="614" t="s">
        <v>4394</v>
      </c>
      <c r="E3043" s="331">
        <f>IF(xxSim0Tool1=0,MMCh3Prod4Seg1Slot3UnitsSoldRSP+MMCh3Prod4Seg2Slot3UnitsSoldRSP+MMCh3Prod4Seg3Slot3UnitsSoldRSP+MMCh3Prod4Seg4Slot3UnitsSoldRSP,calcCh3Prod4VolForecastProd*decCh3Prod4Slot3Forecast*(1-decCh3Prod4Slot3Promo1ShareFrc))</f>
        <v>0</v>
      </c>
      <c r="F3043" s="614" t="s">
        <v>4719</v>
      </c>
    </row>
    <row r="3044" spans="4:6" s="614" customFormat="1" ht="2.25" customHeight="1">
      <c r="D3044" s="632"/>
      <c r="E3044" s="632"/>
    </row>
    <row r="3045" spans="4:6" s="614" customFormat="1">
      <c r="D3045" s="614" t="s">
        <v>4395</v>
      </c>
      <c r="E3045" s="640">
        <f>calcCh3Prod4Slot3CustProfitBaseMarginAbs*calcCh3Prod4Slot3CustProfitBaseVol</f>
        <v>0</v>
      </c>
      <c r="F3045" s="614" t="s">
        <v>4588</v>
      </c>
    </row>
    <row r="3046" spans="4:6" s="614" customFormat="1"/>
    <row r="3047" spans="4:6" s="614" customFormat="1">
      <c r="D3047" s="633" t="s">
        <v>6111</v>
      </c>
    </row>
    <row r="3048" spans="4:6" s="614" customFormat="1">
      <c r="D3048" s="614" t="s">
        <v>4397</v>
      </c>
      <c r="E3048" s="709">
        <f>IF(calcCh3Prod4Slot3Active=1,(calcCh3Prod4Slot3Promo1CustPrice*(1+VLOOKUP(nmProd4,dataCustomerMargin,4,FALSE))-calcCh3Prod4Slot3Promo1CustPrice),0)</f>
        <v>0</v>
      </c>
      <c r="F3048" s="614" t="s">
        <v>6341</v>
      </c>
    </row>
    <row r="3049" spans="4:6" s="614" customFormat="1">
      <c r="D3049" s="614" t="s">
        <v>4394</v>
      </c>
      <c r="E3049" s="331">
        <f>IF(xxSim0Tool1=0,MMCh3Prod4Seg1Slot3UnitsSoldPromo1+MMCh3Prod4Seg2Slot3UnitsSoldPromo1+MMCh3Prod4Seg3Slot3UnitsSoldPromo1+MMCh3Prod4Seg4Slot3UnitsSoldPromo1,calcCh3Prod4VolForecastProd*decCh3Prod4Slot3Promo1ShareFrc)</f>
        <v>0</v>
      </c>
      <c r="F3049" s="614" t="s">
        <v>6342</v>
      </c>
    </row>
    <row r="3050" spans="4:6" s="614" customFormat="1" ht="2.25" customHeight="1">
      <c r="D3050" s="632"/>
      <c r="E3050" s="632"/>
    </row>
    <row r="3051" spans="4:6" s="614" customFormat="1">
      <c r="D3051" s="614" t="s">
        <v>4398</v>
      </c>
      <c r="E3051" s="640">
        <f>calcCh3Prod4Slot3CustProfitPromo1MarginAbs*calcCh3Prod4Slot3CustProfitPromo1Vol</f>
        <v>0</v>
      </c>
      <c r="F3051" s="614" t="s">
        <v>6343</v>
      </c>
    </row>
    <row r="3052" spans="4:6" s="614" customFormat="1">
      <c r="E3052" s="640"/>
    </row>
    <row r="3053" spans="4:6" s="614" customFormat="1">
      <c r="D3053" s="633" t="s">
        <v>14</v>
      </c>
      <c r="E3053" s="640">
        <f>calcCh3Prod4Slot3CustProfitBase+calcCh3Prod4Slot3CustProfitPromo1</f>
        <v>0</v>
      </c>
      <c r="F3053" s="614" t="s">
        <v>6345</v>
      </c>
    </row>
    <row r="3054" spans="4:6" s="614" customFormat="1">
      <c r="E3054" s="640"/>
    </row>
    <row r="3055" spans="4:6" s="614" customFormat="1">
      <c r="D3055" s="633" t="s">
        <v>5503</v>
      </c>
      <c r="E3055" s="640"/>
    </row>
    <row r="3056" spans="4:6" s="614" customFormat="1">
      <c r="D3056" s="614" t="s">
        <v>12868</v>
      </c>
      <c r="E3056" s="640">
        <f>calcCh3Prod1Slot1CustProfitTot+calcCh3Prod1Slot2CustProfitTot+calcCh3Prod1Slot3CustProfitTot</f>
        <v>77375182.736250043</v>
      </c>
      <c r="F3056" s="614" t="s">
        <v>4623</v>
      </c>
    </row>
    <row r="3057" spans="2:6" s="614" customFormat="1">
      <c r="D3057" s="614" t="s">
        <v>238</v>
      </c>
      <c r="E3057" s="640">
        <f>calcCh3Prod2Slot1CustProfitTot+calcCh3Prod2Slot2CustProfitTot+calcCh3Prod2Slot3CustProfitTot</f>
        <v>189197484.89985004</v>
      </c>
      <c r="F3057" s="614" t="s">
        <v>4624</v>
      </c>
    </row>
    <row r="3058" spans="2:6" s="614" customFormat="1">
      <c r="D3058" s="614" t="s">
        <v>239</v>
      </c>
      <c r="E3058" s="640">
        <f>calcCh3Prod3Slot1CustProfitTot+calcCh3Prod3Slot2CustProfitTot+calcCh3Prod3Slot3CustProfitTot</f>
        <v>160683351.28444505</v>
      </c>
      <c r="F3058" s="614" t="s">
        <v>4625</v>
      </c>
    </row>
    <row r="3059" spans="2:6" s="614" customFormat="1">
      <c r="D3059" s="614" t="s">
        <v>240</v>
      </c>
      <c r="E3059" s="640">
        <f>calcCh3Prod4Slot1CustProfitTot+calcCh3Prod4Slot2CustProfitTot+calcCh3Prod4Slot3CustProfitTot</f>
        <v>0</v>
      </c>
      <c r="F3059" s="614" t="s">
        <v>4626</v>
      </c>
    </row>
    <row r="3060" spans="2:6" s="614" customFormat="1">
      <c r="E3060" s="640"/>
    </row>
    <row r="3061" spans="2:6" s="614" customFormat="1">
      <c r="B3061" s="633" t="s">
        <v>246</v>
      </c>
    </row>
    <row r="3062" spans="2:6" s="614" customFormat="1">
      <c r="C3062" s="633" t="s">
        <v>13069</v>
      </c>
    </row>
    <row r="3063" spans="2:6" s="614" customFormat="1">
      <c r="D3063" s="633" t="s">
        <v>4396</v>
      </c>
    </row>
    <row r="3064" spans="2:6" s="614" customFormat="1">
      <c r="D3064" s="614" t="s">
        <v>4402</v>
      </c>
      <c r="E3064" s="709">
        <f>IF(calcCh4Prod1Slot1Active=1,(calcCh4Prod1Slot1ShelfPrice-calcCh4Prod1Slot1CustPrice),0)</f>
        <v>36</v>
      </c>
      <c r="F3064" s="614" t="s">
        <v>4682</v>
      </c>
    </row>
    <row r="3065" spans="2:6" s="614" customFormat="1">
      <c r="D3065" s="614" t="s">
        <v>4403</v>
      </c>
      <c r="E3065" s="690">
        <f>IF(calcCh4Prod1Slot1Active=1,(calcCh4Prod1Slot1ShelfPrice-calcCh4Prod1Slot1CustPrice)/calcCh4Prod1Slot1ShelfPrice,0)</f>
        <v>0.83333333333333326</v>
      </c>
      <c r="F3065" s="614" t="s">
        <v>4590</v>
      </c>
    </row>
    <row r="3066" spans="2:6" s="614" customFormat="1">
      <c r="D3066" s="614" t="s">
        <v>4394</v>
      </c>
      <c r="E3066" s="331">
        <f>IF(xxSim0Tool1=0,MMCh4Prod1Seg1Slot1UnitsSoldRSP+MMCh4Prod1Seg2Slot1UnitsSoldRSP+MMCh4Prod1Seg3Slot1UnitsSoldRSP+MMCh4Prod1Seg4Slot1UnitsSoldRSP,calcCh4Prod1VolForecastProd*decCh4Prod1Slot1Forecast*(1-decCh4Prod1Slot1Promo1ShareFrc))</f>
        <v>38030062.5</v>
      </c>
      <c r="F3066" s="614" t="s">
        <v>4683</v>
      </c>
    </row>
    <row r="3067" spans="2:6" s="614" customFormat="1" ht="2.25" customHeight="1">
      <c r="D3067" s="632"/>
      <c r="E3067" s="632"/>
    </row>
    <row r="3068" spans="2:6" s="614" customFormat="1">
      <c r="D3068" s="614" t="s">
        <v>4395</v>
      </c>
      <c r="E3068" s="640">
        <f>calcCh4Prod1Slot1CustProfitBaseMarginAbs*calcCh4Prod1Slot1CustProfitBaseVol</f>
        <v>1369082250</v>
      </c>
      <c r="F3068" s="614" t="s">
        <v>4591</v>
      </c>
    </row>
    <row r="3069" spans="2:6" s="614" customFormat="1"/>
    <row r="3070" spans="2:6" s="614" customFormat="1">
      <c r="D3070" s="633" t="s">
        <v>6111</v>
      </c>
    </row>
    <row r="3071" spans="2:6" s="614" customFormat="1">
      <c r="D3071" s="614" t="s">
        <v>4397</v>
      </c>
      <c r="E3071" s="709">
        <f>IF(calcCh4Prod1Slot1Active=1,(calcCh4Prod1Slot1Promo1CustPrice*(1+VLOOKUP(nmProd1,dataCustomerMargin,5,FALSE))-calcCh4Prod1Slot1Promo1CustPrice),0)</f>
        <v>28.8</v>
      </c>
      <c r="F3071" s="614" t="s">
        <v>6357</v>
      </c>
    </row>
    <row r="3072" spans="2:6" s="614" customFormat="1">
      <c r="D3072" s="614" t="s">
        <v>4394</v>
      </c>
      <c r="E3072" s="331">
        <f>IF(xxSim0Tool1=0,MMCh4Prod1Seg1Slot1UnitsSoldPromo1+MMCh4Prod1Seg2Slot1UnitsSoldPromo1+MMCh4Prod1Seg3Slot1UnitsSoldPromo1+MMCh4Prod1Seg4Slot1UnitsSoldPromo1,calcCh4Prod1VolForecastProd*decCh4Prod1Slot1Promo1ShareFrc)</f>
        <v>12676687.5</v>
      </c>
      <c r="F3072" s="614" t="s">
        <v>6358</v>
      </c>
    </row>
    <row r="3073" spans="3:6" s="614" customFormat="1" ht="2.25" customHeight="1">
      <c r="D3073" s="632"/>
      <c r="E3073" s="632"/>
    </row>
    <row r="3074" spans="3:6" s="614" customFormat="1">
      <c r="D3074" s="614" t="s">
        <v>4398</v>
      </c>
      <c r="E3074" s="640">
        <f>calcCh4Prod1Slot1CustProfitPromo1MarginAbs*calcCh4Prod1Slot1CustProfitPromo1Vol</f>
        <v>365088600</v>
      </c>
      <c r="F3074" s="614" t="s">
        <v>6359</v>
      </c>
    </row>
    <row r="3075" spans="3:6" s="614" customFormat="1">
      <c r="E3075" s="640"/>
    </row>
    <row r="3076" spans="3:6" s="614" customFormat="1">
      <c r="D3076" s="633" t="s">
        <v>14</v>
      </c>
      <c r="E3076" s="640">
        <f>calcCh4Prod1Slot1CustProfitBase+calcCh4Prod1Slot1CustProfitPromo1</f>
        <v>1734170850</v>
      </c>
      <c r="F3076" s="614" t="s">
        <v>6360</v>
      </c>
    </row>
    <row r="3077" spans="3:6" s="614" customFormat="1">
      <c r="E3077" s="640"/>
    </row>
    <row r="3078" spans="3:6" s="614" customFormat="1">
      <c r="C3078" s="633" t="s">
        <v>13827</v>
      </c>
    </row>
    <row r="3079" spans="3:6" s="614" customFormat="1">
      <c r="D3079" s="633" t="s">
        <v>4396</v>
      </c>
    </row>
    <row r="3080" spans="3:6" s="614" customFormat="1">
      <c r="D3080" s="614" t="s">
        <v>4402</v>
      </c>
      <c r="E3080" s="709">
        <f>IF(calcCh4Prod1Slot2Active=1,(calcCh4Prod1Slot2ShelfPrice-calcCh4Prod1Slot2CustPrice),0)</f>
        <v>0</v>
      </c>
      <c r="F3080" s="614" t="s">
        <v>4684</v>
      </c>
    </row>
    <row r="3081" spans="3:6" s="614" customFormat="1">
      <c r="D3081" s="614" t="s">
        <v>4403</v>
      </c>
      <c r="E3081" s="690">
        <f>IF(calcCh4Prod1Slot2Active=1,(calcCh4Prod1Slot2ShelfPrice-calcCh4Prod1Slot2CustPrice)/calcCh4Prod1Slot2ShelfPrice,0)</f>
        <v>0</v>
      </c>
      <c r="F3081" s="614" t="s">
        <v>4592</v>
      </c>
    </row>
    <row r="3082" spans="3:6" s="614" customFormat="1">
      <c r="D3082" s="614" t="s">
        <v>4394</v>
      </c>
      <c r="E3082" s="331">
        <f>IF(xxSim0Tool1=0,MMCh4Prod1Seg1Slot2UnitsSoldRSP+MMCh4Prod1Seg2Slot2UnitsSoldRSP+MMCh4Prod1Seg3Slot2UnitsSoldRSP+MMCh4Prod1Seg4Slot2UnitsSoldRSP,calcCh4Prod1VolForecastProd*decCh4Prod1Slot2Forecast*(1-decCh4Prod1Slot2Promo1ShareFrc))</f>
        <v>0</v>
      </c>
      <c r="F3082" s="614" t="s">
        <v>4685</v>
      </c>
    </row>
    <row r="3083" spans="3:6" s="614" customFormat="1" ht="2.25" customHeight="1">
      <c r="D3083" s="632"/>
      <c r="E3083" s="632"/>
    </row>
    <row r="3084" spans="3:6" s="614" customFormat="1">
      <c r="D3084" s="614" t="s">
        <v>4395</v>
      </c>
      <c r="E3084" s="640">
        <f>calcCh4Prod1Slot2CustProfitBaseMarginAbs*calcCh4Prod1Slot2CustProfitBaseVol</f>
        <v>0</v>
      </c>
      <c r="F3084" s="614" t="s">
        <v>4593</v>
      </c>
    </row>
    <row r="3085" spans="3:6" s="614" customFormat="1"/>
    <row r="3086" spans="3:6" s="614" customFormat="1">
      <c r="D3086" s="633" t="s">
        <v>6111</v>
      </c>
    </row>
    <row r="3087" spans="3:6" s="614" customFormat="1">
      <c r="D3087" s="614" t="s">
        <v>4397</v>
      </c>
      <c r="E3087" s="709">
        <f>IF(calcCh4Prod1Slot2Active=1,(calcCh4Prod1Slot2Promo1CustPrice*(1+VLOOKUP(nmProd1,dataCustomerMargin,5,FALSE))-calcCh4Prod1Slot2Promo1CustPrice),0)</f>
        <v>0</v>
      </c>
      <c r="F3087" s="614" t="s">
        <v>6361</v>
      </c>
    </row>
    <row r="3088" spans="3:6" s="614" customFormat="1">
      <c r="D3088" s="614" t="s">
        <v>4394</v>
      </c>
      <c r="E3088" s="331">
        <f>IF(xxSim0Tool1=0,MMCh4Prod1Seg1Slot2UnitsSoldPromo1+MMCh4Prod1Seg2Slot2UnitsSoldPromo1+MMCh4Prod1Seg3Slot2UnitsSoldPromo1+MMCh4Prod1Seg4Slot2UnitsSoldPromo1,calcCh4Prod1VolForecastProd*decCh4Prod1Slot2Promo1ShareFrc)</f>
        <v>0</v>
      </c>
      <c r="F3088" s="614" t="s">
        <v>6362</v>
      </c>
    </row>
    <row r="3089" spans="3:6" s="614" customFormat="1" ht="2.25" customHeight="1">
      <c r="D3089" s="632"/>
      <c r="E3089" s="632"/>
    </row>
    <row r="3090" spans="3:6" s="614" customFormat="1">
      <c r="D3090" s="614" t="s">
        <v>4398</v>
      </c>
      <c r="E3090" s="640">
        <f>calcCh4Prod1Slot2CustProfitPromo1MarginAbs*calcCh4Prod1Slot2CustProfitPromo1Vol</f>
        <v>0</v>
      </c>
      <c r="F3090" s="614" t="s">
        <v>6363</v>
      </c>
    </row>
    <row r="3091" spans="3:6" s="614" customFormat="1">
      <c r="E3091" s="640"/>
    </row>
    <row r="3092" spans="3:6" s="614" customFormat="1">
      <c r="D3092" s="633" t="s">
        <v>14</v>
      </c>
      <c r="E3092" s="640">
        <f>calcCh4Prod1Slot2CustProfitBase+calcCh4Prod1Slot2CustProfitPromo1</f>
        <v>0</v>
      </c>
      <c r="F3092" s="614" t="s">
        <v>6364</v>
      </c>
    </row>
    <row r="3093" spans="3:6" s="614" customFormat="1">
      <c r="E3093" s="640"/>
    </row>
    <row r="3094" spans="3:6" s="614" customFormat="1">
      <c r="C3094" s="633" t="s">
        <v>13828</v>
      </c>
    </row>
    <row r="3095" spans="3:6" s="614" customFormat="1">
      <c r="D3095" s="633" t="s">
        <v>4396</v>
      </c>
    </row>
    <row r="3096" spans="3:6" s="614" customFormat="1">
      <c r="D3096" s="614" t="s">
        <v>4402</v>
      </c>
      <c r="E3096" s="709">
        <f>IF(calcCh4Prod1Slot3Active=1,(calcCh4Prod1Slot3ShelfPrice-calcCh4Prod1Slot3CustPrice),0)</f>
        <v>0</v>
      </c>
      <c r="F3096" s="614" t="s">
        <v>4720</v>
      </c>
    </row>
    <row r="3097" spans="3:6" s="614" customFormat="1">
      <c r="D3097" s="614" t="s">
        <v>4403</v>
      </c>
      <c r="E3097" s="690">
        <f>IF(calcCh4Prod1Slot3Active=1,(calcCh4Prod1Slot3ShelfPrice-calcCh4Prod1Slot3CustPrice)/calcCh4Prod1Slot3ShelfPrice,0)</f>
        <v>0</v>
      </c>
      <c r="F3097" s="614" t="s">
        <v>4594</v>
      </c>
    </row>
    <row r="3098" spans="3:6" s="614" customFormat="1">
      <c r="D3098" s="614" t="s">
        <v>4394</v>
      </c>
      <c r="E3098" s="331">
        <f>IF(xxSim0Tool1=0,MMCh4Prod1Seg1Slot3UnitsSoldRSP+MMCh4Prod1Seg2Slot3UnitsSoldRSP+MMCh4Prod1Seg3Slot3UnitsSoldRSP+MMCh4Prod1Seg4Slot3UnitsSoldRSP,calcCh4Prod1VolForecastProd*decCh4Prod1Slot3Forecast*(1-decCh4Prod1Slot3Promo1ShareFrc))</f>
        <v>0</v>
      </c>
      <c r="F3098" s="614" t="s">
        <v>4721</v>
      </c>
    </row>
    <row r="3099" spans="3:6" s="614" customFormat="1" ht="2.25" customHeight="1">
      <c r="D3099" s="632"/>
      <c r="E3099" s="632"/>
    </row>
    <row r="3100" spans="3:6" s="614" customFormat="1">
      <c r="D3100" s="614" t="s">
        <v>4395</v>
      </c>
      <c r="E3100" s="640">
        <f>calcCh4Prod1Slot3CustProfitBaseMarginAbs*calcCh4Prod1Slot3CustProfitBaseVol</f>
        <v>0</v>
      </c>
      <c r="F3100" s="614" t="s">
        <v>4595</v>
      </c>
    </row>
    <row r="3101" spans="3:6" s="614" customFormat="1"/>
    <row r="3102" spans="3:6" s="614" customFormat="1">
      <c r="D3102" s="633" t="s">
        <v>6111</v>
      </c>
    </row>
    <row r="3103" spans="3:6" s="614" customFormat="1">
      <c r="D3103" s="614" t="s">
        <v>4397</v>
      </c>
      <c r="E3103" s="709">
        <f>IF(calcCh4Prod1Slot3Active=1,(calcCh4Prod1Slot3Promo1CustPrice*(1+VLOOKUP(nmProd1,dataCustomerMargin,5,FALSE))-calcCh4Prod1Slot3Promo1CustPrice),0)</f>
        <v>0</v>
      </c>
      <c r="F3103" s="614" t="s">
        <v>6365</v>
      </c>
    </row>
    <row r="3104" spans="3:6" s="614" customFormat="1">
      <c r="D3104" s="614" t="s">
        <v>4394</v>
      </c>
      <c r="E3104" s="331">
        <f>IF(xxSim0Tool1=0,MMCh4Prod1Seg1Slot3UnitsSoldPromo1+MMCh4Prod1Seg2Slot3UnitsSoldPromo1+MMCh4Prod1Seg3Slot3UnitsSoldPromo1+MMCh4Prod1Seg4Slot3UnitsSoldPromo1,calcCh4Prod1VolForecastProd*decCh4Prod1Slot3Promo1ShareFrc)</f>
        <v>0</v>
      </c>
      <c r="F3104" s="614" t="s">
        <v>6366</v>
      </c>
    </row>
    <row r="3105" spans="3:6" s="614" customFormat="1" ht="2.25" customHeight="1">
      <c r="D3105" s="632"/>
      <c r="E3105" s="632"/>
    </row>
    <row r="3106" spans="3:6" s="614" customFormat="1">
      <c r="D3106" s="614" t="s">
        <v>4398</v>
      </c>
      <c r="E3106" s="640">
        <f>calcCh4Prod1Slot3CustProfitPromo1MarginAbs*calcCh4Prod1Slot3CustProfitPromo1Vol</f>
        <v>0</v>
      </c>
      <c r="F3106" s="614" t="s">
        <v>6367</v>
      </c>
    </row>
    <row r="3107" spans="3:6" s="614" customFormat="1">
      <c r="E3107" s="640"/>
    </row>
    <row r="3108" spans="3:6" s="614" customFormat="1">
      <c r="D3108" s="633" t="s">
        <v>14</v>
      </c>
      <c r="E3108" s="640">
        <f>calcCh4Prod1Slot3CustProfitBase+calcCh4Prod1Slot3CustProfitPromo1</f>
        <v>0</v>
      </c>
      <c r="F3108" s="614" t="s">
        <v>6368</v>
      </c>
    </row>
    <row r="3109" spans="3:6" s="614" customFormat="1">
      <c r="E3109" s="640"/>
    </row>
    <row r="3110" spans="3:6" s="614" customFormat="1">
      <c r="C3110" s="633" t="s">
        <v>4729</v>
      </c>
    </row>
    <row r="3111" spans="3:6" s="614" customFormat="1">
      <c r="D3111" s="633" t="s">
        <v>4396</v>
      </c>
    </row>
    <row r="3112" spans="3:6" s="614" customFormat="1">
      <c r="D3112" s="614" t="s">
        <v>4402</v>
      </c>
      <c r="E3112" s="709">
        <f>IF(calcCh4Prod2Slot1Active=1,(calcCh4Prod2Slot1ShelfPrice-calcCh4Prod2Slot1CustPrice),0)</f>
        <v>36</v>
      </c>
      <c r="F3112" s="614" t="s">
        <v>4686</v>
      </c>
    </row>
    <row r="3113" spans="3:6" s="614" customFormat="1">
      <c r="D3113" s="614" t="s">
        <v>4403</v>
      </c>
      <c r="E3113" s="690">
        <f>IF(calcCh4Prod2Slot1Active=1,(calcCh4Prod2Slot1ShelfPrice-calcCh4Prod2Slot1CustPrice)/calcCh4Prod2Slot1ShelfPrice,0)</f>
        <v>0.83333333333333326</v>
      </c>
      <c r="F3113" s="614" t="s">
        <v>4596</v>
      </c>
    </row>
    <row r="3114" spans="3:6" s="614" customFormat="1">
      <c r="D3114" s="614" t="s">
        <v>4394</v>
      </c>
      <c r="E3114" s="331">
        <f>IF(xxSim0Tool1=0,MMCh4Prod2Seg1Slot1UnitsSoldRSP+MMCh4Prod2Seg2Slot1UnitsSoldRSP+MMCh4Prod2Seg3Slot1UnitsSoldRSP+MMCh4Prod2Seg4Slot1UnitsSoldRSP,calcCh4Prod2VolForecastProd*decCh4Prod2Slot1Forecast*(1-decCh4Prod2Slot1Promo1ShareFrc))</f>
        <v>12362553</v>
      </c>
      <c r="F3114" s="614" t="s">
        <v>4687</v>
      </c>
    </row>
    <row r="3115" spans="3:6" s="614" customFormat="1" ht="2.25" customHeight="1">
      <c r="D3115" s="632"/>
      <c r="E3115" s="632"/>
    </row>
    <row r="3116" spans="3:6" s="614" customFormat="1">
      <c r="D3116" s="614" t="s">
        <v>4395</v>
      </c>
      <c r="E3116" s="640">
        <f>calcCh4Prod2Slot1CustProfitBaseMarginAbs*calcCh4Prod2Slot1CustProfitBaseVol</f>
        <v>445051908</v>
      </c>
      <c r="F3116" s="614" t="s">
        <v>4597</v>
      </c>
    </row>
    <row r="3117" spans="3:6" s="614" customFormat="1"/>
    <row r="3118" spans="3:6" s="614" customFormat="1">
      <c r="D3118" s="633" t="s">
        <v>6111</v>
      </c>
    </row>
    <row r="3119" spans="3:6" s="614" customFormat="1">
      <c r="D3119" s="614" t="s">
        <v>4397</v>
      </c>
      <c r="E3119" s="709">
        <f>IF(calcCh4Prod2Slot1Active=1,(calcCh4Prod2Slot1Promo1CustPrice*(1+VLOOKUP(nmProd2,dataCustomerMargin,5,FALSE))-calcCh4Prod2Slot1Promo1CustPrice),0)</f>
        <v>24.119999999999997</v>
      </c>
      <c r="F3119" s="614" t="s">
        <v>6369</v>
      </c>
    </row>
    <row r="3120" spans="3:6" s="614" customFormat="1">
      <c r="D3120" s="614" t="s">
        <v>4394</v>
      </c>
      <c r="E3120" s="331">
        <f>IF(xxSim0Tool1=0,MMCh4Prod2Seg1Slot1UnitsSoldPromo1+MMCh4Prod2Seg2Slot1UnitsSoldPromo1+MMCh4Prod2Seg3Slot1UnitsSoldPromo1+MMCh4Prod2Seg4Slot1UnitsSoldPromo1,calcCh4Prod2VolForecastProd*decCh4Prod2Slot1Promo1ShareFrc)</f>
        <v>22959027</v>
      </c>
      <c r="F3120" s="614" t="s">
        <v>6370</v>
      </c>
    </row>
    <row r="3121" spans="3:6" s="614" customFormat="1" ht="2.25" customHeight="1">
      <c r="D3121" s="632"/>
      <c r="E3121" s="632"/>
    </row>
    <row r="3122" spans="3:6" s="614" customFormat="1">
      <c r="D3122" s="614" t="s">
        <v>4398</v>
      </c>
      <c r="E3122" s="640">
        <f>calcCh4Prod2Slot1CustProfitPromo1MarginAbs*calcCh4Prod2Slot1CustProfitPromo1Vol</f>
        <v>553771731.23999989</v>
      </c>
      <c r="F3122" s="614" t="s">
        <v>6371</v>
      </c>
    </row>
    <row r="3123" spans="3:6" s="614" customFormat="1">
      <c r="E3123" s="640"/>
    </row>
    <row r="3124" spans="3:6" s="614" customFormat="1">
      <c r="D3124" s="633" t="s">
        <v>14</v>
      </c>
      <c r="E3124" s="640">
        <f>calcCh4Prod2Slot1CustProfitBase+calcCh4Prod2Slot1CustProfitPromo1</f>
        <v>998823639.23999989</v>
      </c>
      <c r="F3124" s="614" t="s">
        <v>6372</v>
      </c>
    </row>
    <row r="3125" spans="3:6" s="614" customFormat="1">
      <c r="E3125" s="640"/>
    </row>
    <row r="3126" spans="3:6" s="614" customFormat="1">
      <c r="C3126" s="633" t="s">
        <v>13829</v>
      </c>
    </row>
    <row r="3127" spans="3:6" s="614" customFormat="1">
      <c r="D3127" s="633" t="s">
        <v>4396</v>
      </c>
    </row>
    <row r="3128" spans="3:6" s="614" customFormat="1">
      <c r="D3128" s="614" t="s">
        <v>4402</v>
      </c>
      <c r="E3128" s="709">
        <f>IF(calcCh4Prod2Slot2Active=1,(calcCh4Prod2Slot2ShelfPrice-calcCh4Prod2Slot2CustPrice),0)</f>
        <v>0</v>
      </c>
      <c r="F3128" s="614" t="s">
        <v>4688</v>
      </c>
    </row>
    <row r="3129" spans="3:6" s="614" customFormat="1">
      <c r="D3129" s="614" t="s">
        <v>4403</v>
      </c>
      <c r="E3129" s="690">
        <f>IF(calcCh4Prod2Slot2Active=1,(calcCh4Prod2Slot2ShelfPrice-calcCh4Prod2Slot2CustPrice)/calcCh4Prod2Slot2ShelfPrice,0)</f>
        <v>0</v>
      </c>
      <c r="F3129" s="614" t="s">
        <v>4598</v>
      </c>
    </row>
    <row r="3130" spans="3:6" s="614" customFormat="1">
      <c r="D3130" s="614" t="s">
        <v>4394</v>
      </c>
      <c r="E3130" s="331">
        <f>IF(xxSim0Tool1=0,MMCh4Prod2Seg1Slot2UnitsSoldRSP+MMCh4Prod2Seg2Slot2UnitsSoldRSP+MMCh4Prod2Seg3Slot2UnitsSoldRSP+MMCh4Prod2Seg4Slot2UnitsSoldRSP,calcCh4Prod2VolForecastProd*decCh4Prod2Slot2Forecast*(1-decCh4Prod2Slot2Promo1ShareFrc))</f>
        <v>0</v>
      </c>
      <c r="F3130" s="614" t="s">
        <v>4689</v>
      </c>
    </row>
    <row r="3131" spans="3:6" s="614" customFormat="1" ht="2.25" customHeight="1">
      <c r="D3131" s="632"/>
      <c r="E3131" s="632"/>
    </row>
    <row r="3132" spans="3:6" s="614" customFormat="1">
      <c r="D3132" s="614" t="s">
        <v>4395</v>
      </c>
      <c r="E3132" s="640">
        <f>calcCh4Prod2Slot2CustProfitBaseMarginAbs*calcCh4Prod2Slot2CustProfitBaseVol</f>
        <v>0</v>
      </c>
      <c r="F3132" s="614" t="s">
        <v>4599</v>
      </c>
    </row>
    <row r="3133" spans="3:6" s="614" customFormat="1"/>
    <row r="3134" spans="3:6" s="614" customFormat="1">
      <c r="D3134" s="633" t="s">
        <v>6111</v>
      </c>
    </row>
    <row r="3135" spans="3:6" s="614" customFormat="1">
      <c r="D3135" s="614" t="s">
        <v>4397</v>
      </c>
      <c r="E3135" s="709">
        <f>IF(calcCh4Prod2Slot2Active=1,(calcCh4Prod2Slot2Promo1CustPrice*(1+VLOOKUP(nmProd2,dataCustomerMargin,5,FALSE))-calcCh4Prod2Slot2Promo1CustPrice),0)</f>
        <v>0</v>
      </c>
      <c r="F3135" s="614" t="s">
        <v>6373</v>
      </c>
    </row>
    <row r="3136" spans="3:6" s="614" customFormat="1">
      <c r="D3136" s="614" t="s">
        <v>4394</v>
      </c>
      <c r="E3136" s="331">
        <f>IF(xxSim0Tool1=0,MMCh4Prod2Seg1Slot2UnitsSoldPromo1+MMCh4Prod2Seg2Slot2UnitsSoldPromo1+MMCh4Prod2Seg3Slot2UnitsSoldPromo1+MMCh4Prod2Seg4Slot2UnitsSoldPromo1,calcCh4Prod2VolForecastProd*decCh4Prod2Slot2Promo1ShareFrc)</f>
        <v>0</v>
      </c>
      <c r="F3136" s="614" t="s">
        <v>6374</v>
      </c>
    </row>
    <row r="3137" spans="3:6" s="614" customFormat="1" ht="2.25" customHeight="1">
      <c r="D3137" s="632"/>
      <c r="E3137" s="632"/>
    </row>
    <row r="3138" spans="3:6" s="614" customFormat="1">
      <c r="D3138" s="614" t="s">
        <v>4398</v>
      </c>
      <c r="E3138" s="640">
        <f>calcCh4Prod2Slot2CustProfitPromo1MarginAbs*calcCh4Prod2Slot2CustProfitPromo1Vol</f>
        <v>0</v>
      </c>
      <c r="F3138" s="614" t="s">
        <v>6375</v>
      </c>
    </row>
    <row r="3139" spans="3:6" s="614" customFormat="1">
      <c r="E3139" s="640"/>
    </row>
    <row r="3140" spans="3:6" s="614" customFormat="1">
      <c r="D3140" s="633" t="s">
        <v>14</v>
      </c>
      <c r="E3140" s="640">
        <f>calcCh4Prod2Slot2CustProfitBase+calcCh4Prod2Slot2CustProfitPromo1</f>
        <v>0</v>
      </c>
      <c r="F3140" s="614" t="s">
        <v>6376</v>
      </c>
    </row>
    <row r="3141" spans="3:6" s="614" customFormat="1">
      <c r="E3141" s="640"/>
    </row>
    <row r="3142" spans="3:6" s="614" customFormat="1">
      <c r="C3142" s="633" t="s">
        <v>13830</v>
      </c>
    </row>
    <row r="3143" spans="3:6" s="614" customFormat="1">
      <c r="D3143" s="633" t="s">
        <v>4396</v>
      </c>
    </row>
    <row r="3144" spans="3:6" s="614" customFormat="1">
      <c r="D3144" s="614" t="s">
        <v>4402</v>
      </c>
      <c r="E3144" s="709">
        <f>IF(calcCh4Prod2Slot3Active=1,(calcCh4Prod2Slot3ShelfPrice-calcCh4Prod2Slot3CustPrice),0)</f>
        <v>0</v>
      </c>
      <c r="F3144" s="614" t="s">
        <v>4722</v>
      </c>
    </row>
    <row r="3145" spans="3:6" s="614" customFormat="1">
      <c r="D3145" s="614" t="s">
        <v>4403</v>
      </c>
      <c r="E3145" s="690">
        <f>IF(calcCh4Prod2Slot3Active=1,(calcCh4Prod2Slot3ShelfPrice-calcCh4Prod2Slot3CustPrice)/calcCh4Prod2Slot3ShelfPrice,0)</f>
        <v>0</v>
      </c>
      <c r="F3145" s="614" t="s">
        <v>4600</v>
      </c>
    </row>
    <row r="3146" spans="3:6" s="614" customFormat="1">
      <c r="D3146" s="614" t="s">
        <v>4394</v>
      </c>
      <c r="E3146" s="331">
        <f>IF(xxSim0Tool1=0,MMCh4Prod2Seg1Slot3UnitsSoldRSP+MMCh4Prod2Seg2Slot3UnitsSoldRSP+MMCh4Prod2Seg3Slot3UnitsSoldRSP+MMCh4Prod2Seg4Slot3UnitsSoldRSP,calcCh4Prod2VolForecastProd*decCh4Prod2Slot3Forecast*(1-decCh4Prod2Slot3Promo1ShareFrc))</f>
        <v>0</v>
      </c>
      <c r="F3146" s="614" t="s">
        <v>4723</v>
      </c>
    </row>
    <row r="3147" spans="3:6" s="614" customFormat="1" ht="2.25" customHeight="1">
      <c r="D3147" s="632"/>
      <c r="E3147" s="632"/>
    </row>
    <row r="3148" spans="3:6" s="614" customFormat="1">
      <c r="D3148" s="614" t="s">
        <v>4395</v>
      </c>
      <c r="E3148" s="640">
        <f>calcCh4Prod2Slot3CustProfitBaseMarginAbs*calcCh4Prod2Slot3CustProfitBaseVol</f>
        <v>0</v>
      </c>
      <c r="F3148" s="614" t="s">
        <v>4601</v>
      </c>
    </row>
    <row r="3149" spans="3:6" s="614" customFormat="1"/>
    <row r="3150" spans="3:6" s="614" customFormat="1">
      <c r="D3150" s="633" t="s">
        <v>6111</v>
      </c>
    </row>
    <row r="3151" spans="3:6" s="614" customFormat="1">
      <c r="D3151" s="614" t="s">
        <v>4397</v>
      </c>
      <c r="E3151" s="709">
        <f>IF(calcCh4Prod2Slot3Active=1,(calcCh4Prod2Slot3Promo1CustPrice*(1+VLOOKUP(nmProd2,dataCustomerMargin,5,FALSE))-calcCh4Prod2Slot3Promo1CustPrice),0)</f>
        <v>0</v>
      </c>
      <c r="F3151" s="614" t="s">
        <v>6377</v>
      </c>
    </row>
    <row r="3152" spans="3:6" s="614" customFormat="1">
      <c r="D3152" s="614" t="s">
        <v>4394</v>
      </c>
      <c r="E3152" s="331">
        <f>IF(xxSim0Tool1=0,MMCh4Prod2Seg1Slot3UnitsSoldPromo1+MMCh4Prod2Seg2Slot3UnitsSoldPromo1+MMCh4Prod2Seg3Slot3UnitsSoldPromo1+MMCh4Prod2Seg4Slot3UnitsSoldPromo1,calcCh4Prod2VolForecastProd*decCh4Prod2Slot3Promo1ShareFrc)</f>
        <v>0</v>
      </c>
      <c r="F3152" s="614" t="s">
        <v>6378</v>
      </c>
    </row>
    <row r="3153" spans="3:6" s="614" customFormat="1" ht="2.25" customHeight="1">
      <c r="D3153" s="632"/>
      <c r="E3153" s="632"/>
    </row>
    <row r="3154" spans="3:6" s="614" customFormat="1">
      <c r="D3154" s="614" t="s">
        <v>4398</v>
      </c>
      <c r="E3154" s="640">
        <f>calcCh4Prod2Slot3CustProfitPromo1MarginAbs*calcCh4Prod2Slot3CustProfitPromo1Vol</f>
        <v>0</v>
      </c>
      <c r="F3154" s="614" t="s">
        <v>6379</v>
      </c>
    </row>
    <row r="3155" spans="3:6" s="614" customFormat="1">
      <c r="E3155" s="640"/>
    </row>
    <row r="3156" spans="3:6" s="614" customFormat="1">
      <c r="D3156" s="633" t="s">
        <v>14</v>
      </c>
      <c r="E3156" s="640">
        <f>calcCh4Prod2Slot3CustProfitBase+calcCh4Prod2Slot3CustProfitPromo1</f>
        <v>0</v>
      </c>
      <c r="F3156" s="614" t="s">
        <v>6380</v>
      </c>
    </row>
    <row r="3157" spans="3:6" s="614" customFormat="1">
      <c r="E3157" s="640"/>
    </row>
    <row r="3158" spans="3:6" s="614" customFormat="1">
      <c r="C3158" s="633" t="s">
        <v>8606</v>
      </c>
    </row>
    <row r="3159" spans="3:6" s="614" customFormat="1">
      <c r="D3159" s="633" t="s">
        <v>4396</v>
      </c>
    </row>
    <row r="3160" spans="3:6" s="614" customFormat="1">
      <c r="D3160" s="614" t="s">
        <v>4402</v>
      </c>
      <c r="E3160" s="709">
        <f>IF(calcCh4Prod3Slot1Active=1,(calcCh4Prod3Slot1ShelfPrice-calcCh4Prod3Slot1CustPrice),0)</f>
        <v>36</v>
      </c>
      <c r="F3160" s="614" t="s">
        <v>4690</v>
      </c>
    </row>
    <row r="3161" spans="3:6" s="614" customFormat="1">
      <c r="D3161" s="614" t="s">
        <v>4403</v>
      </c>
      <c r="E3161" s="690">
        <f>IF(calcCh4Prod3Slot1Active=1,(calcCh4Prod3Slot1ShelfPrice-calcCh4Prod3Slot1CustPrice)/calcCh4Prod3Slot1ShelfPrice,0)</f>
        <v>0.83333333333333326</v>
      </c>
      <c r="F3161" s="614" t="s">
        <v>4602</v>
      </c>
    </row>
    <row r="3162" spans="3:6" s="614" customFormat="1">
      <c r="D3162" s="614" t="s">
        <v>4394</v>
      </c>
      <c r="E3162" s="331">
        <f>IF(xxSim0Tool1=0,MMCh4Prod3Seg1Slot1UnitsSoldRSP+MMCh4Prod3Seg2Slot1UnitsSoldRSP+MMCh4Prod3Seg3Slot1UnitsSoldRSP+MMCh4Prod3Seg4Slot1UnitsSoldRSP,calcCh4Prod3VolForecastProd*decCh4Prod3Slot1Forecast*(1-decCh4Prod3Slot1Promo1ShareFrc))</f>
        <v>23547720</v>
      </c>
      <c r="F3162" s="614" t="s">
        <v>4691</v>
      </c>
    </row>
    <row r="3163" spans="3:6" s="614" customFormat="1" ht="2.25" customHeight="1">
      <c r="D3163" s="632"/>
      <c r="E3163" s="632"/>
    </row>
    <row r="3164" spans="3:6" s="614" customFormat="1">
      <c r="D3164" s="614" t="s">
        <v>4395</v>
      </c>
      <c r="E3164" s="640">
        <f>calcCh4Prod3Slot1CustProfitBaseMarginAbs*calcCh4Prod3Slot1CustProfitBaseVol</f>
        <v>847717920</v>
      </c>
      <c r="F3164" s="614" t="s">
        <v>4603</v>
      </c>
    </row>
    <row r="3165" spans="3:6" s="614" customFormat="1"/>
    <row r="3166" spans="3:6" s="614" customFormat="1">
      <c r="D3166" s="633" t="s">
        <v>6111</v>
      </c>
    </row>
    <row r="3167" spans="3:6" s="614" customFormat="1">
      <c r="D3167" s="614" t="s">
        <v>4397</v>
      </c>
      <c r="E3167" s="709">
        <f>IF(calcCh4Prod3Slot1Active=1,(calcCh4Prod3Slot1Promo1CustPrice*(1+VLOOKUP(nmProd3,dataCustomerMargin,5,FALSE))-calcCh4Prod3Slot1Promo1CustPrice),0)</f>
        <v>36</v>
      </c>
      <c r="F3167" s="614" t="s">
        <v>6381</v>
      </c>
    </row>
    <row r="3168" spans="3:6" s="614" customFormat="1">
      <c r="D3168" s="614" t="s">
        <v>4394</v>
      </c>
      <c r="E3168" s="331">
        <f>IF(xxSim0Tool1=0,MMCh4Prod3Seg1Slot1UnitsSoldPromo1+MMCh4Prod3Seg2Slot1UnitsSoldPromo1+MMCh4Prod3Seg3Slot1UnitsSoldPromo1+MMCh4Prod3Seg4Slot1UnitsSoldPromo1,calcCh4Prod3VolForecastProd*decCh4Prod3Slot1Promo1ShareFrc)</f>
        <v>0</v>
      </c>
      <c r="F3168" s="614" t="s">
        <v>6382</v>
      </c>
    </row>
    <row r="3169" spans="3:6" s="614" customFormat="1" ht="2.25" customHeight="1">
      <c r="D3169" s="632"/>
      <c r="E3169" s="632"/>
    </row>
    <row r="3170" spans="3:6" s="614" customFormat="1">
      <c r="D3170" s="614" t="s">
        <v>4398</v>
      </c>
      <c r="E3170" s="640">
        <f>calcCh4Prod3Slot1CustProfitPromo1MarginAbs*calcCh4Prod3Slot1CustProfitPromo1Vol</f>
        <v>0</v>
      </c>
      <c r="F3170" s="614" t="s">
        <v>6383</v>
      </c>
    </row>
    <row r="3171" spans="3:6" s="614" customFormat="1">
      <c r="E3171" s="640"/>
    </row>
    <row r="3172" spans="3:6" s="614" customFormat="1">
      <c r="D3172" s="633" t="s">
        <v>14</v>
      </c>
      <c r="E3172" s="640">
        <f>calcCh4Prod3Slot1CustProfitBase+calcCh4Prod3Slot1CustProfitPromo1</f>
        <v>847717920</v>
      </c>
      <c r="F3172" s="614" t="s">
        <v>6384</v>
      </c>
    </row>
    <row r="3173" spans="3:6" s="614" customFormat="1">
      <c r="E3173" s="640"/>
    </row>
    <row r="3174" spans="3:6" s="614" customFormat="1">
      <c r="C3174" s="633" t="s">
        <v>13831</v>
      </c>
    </row>
    <row r="3175" spans="3:6" s="614" customFormat="1">
      <c r="D3175" s="633" t="s">
        <v>4396</v>
      </c>
    </row>
    <row r="3176" spans="3:6" s="614" customFormat="1">
      <c r="D3176" s="614" t="s">
        <v>4402</v>
      </c>
      <c r="E3176" s="709">
        <f>IF(calcCh4Prod3Slot2Active=1,(calcCh4Prod3Slot2ShelfPrice-calcCh4Prod3Slot2CustPrice),0)</f>
        <v>0</v>
      </c>
      <c r="F3176" s="614" t="s">
        <v>4692</v>
      </c>
    </row>
    <row r="3177" spans="3:6" s="614" customFormat="1">
      <c r="D3177" s="614" t="s">
        <v>4403</v>
      </c>
      <c r="E3177" s="690">
        <f>IF(calcCh4Prod3Slot2Active=1,(calcCh4Prod3Slot2ShelfPrice-calcCh4Prod3Slot2CustPrice)/calcCh4Prod3Slot2ShelfPrice,0)</f>
        <v>0</v>
      </c>
      <c r="F3177" s="614" t="s">
        <v>4604</v>
      </c>
    </row>
    <row r="3178" spans="3:6" s="614" customFormat="1">
      <c r="D3178" s="614" t="s">
        <v>4394</v>
      </c>
      <c r="E3178" s="331">
        <f>IF(xxSim0Tool1=0,MMCh4Prod3Seg1Slot2UnitsSoldRSP+MMCh4Prod3Seg2Slot2UnitsSoldRSP+MMCh4Prod3Seg3Slot2UnitsSoldRSP+MMCh4Prod3Seg4Slot2UnitsSoldRSP,calcCh4Prod3VolForecastProd*decCh4Prod3Slot2Forecast*(1-decCh4Prod3Slot2Promo1ShareFrc))</f>
        <v>0</v>
      </c>
      <c r="F3178" s="614" t="s">
        <v>4693</v>
      </c>
    </row>
    <row r="3179" spans="3:6" s="614" customFormat="1" ht="2.25" customHeight="1">
      <c r="D3179" s="632"/>
      <c r="E3179" s="632"/>
    </row>
    <row r="3180" spans="3:6" s="614" customFormat="1">
      <c r="D3180" s="614" t="s">
        <v>4395</v>
      </c>
      <c r="E3180" s="640">
        <f>calcCh4Prod3Slot2CustProfitBaseMarginAbs*calcCh4Prod3Slot2CustProfitBaseVol</f>
        <v>0</v>
      </c>
      <c r="F3180" s="614" t="s">
        <v>4605</v>
      </c>
    </row>
    <row r="3181" spans="3:6" s="614" customFormat="1"/>
    <row r="3182" spans="3:6" s="614" customFormat="1">
      <c r="D3182" s="633" t="s">
        <v>6111</v>
      </c>
    </row>
    <row r="3183" spans="3:6" s="614" customFormat="1">
      <c r="D3183" s="614" t="s">
        <v>4397</v>
      </c>
      <c r="E3183" s="709">
        <f>IF(calcCh4Prod3Slot2Active=1,(calcCh4Prod3Slot2Promo1CustPrice*(1+VLOOKUP(nmProd3,dataCustomerMargin,5,FALSE))-calcCh4Prod3Slot2Promo1CustPrice),0)</f>
        <v>0</v>
      </c>
      <c r="F3183" s="614" t="s">
        <v>6385</v>
      </c>
    </row>
    <row r="3184" spans="3:6" s="614" customFormat="1">
      <c r="D3184" s="614" t="s">
        <v>4394</v>
      </c>
      <c r="E3184" s="331">
        <f>IF(xxSim0Tool1=0,MMCh4Prod3Seg1Slot2UnitsSoldPromo1+MMCh4Prod3Seg2Slot2UnitsSoldPromo1+MMCh4Prod3Seg3Slot2UnitsSoldPromo1+MMCh4Prod3Seg4Slot2UnitsSoldPromo1,calcCh4Prod3VolForecastProd*decCh4Prod3Slot2Promo1ShareFrc)</f>
        <v>0</v>
      </c>
      <c r="F3184" s="614" t="s">
        <v>6386</v>
      </c>
    </row>
    <row r="3185" spans="3:6" s="614" customFormat="1" ht="2.25" customHeight="1">
      <c r="D3185" s="632"/>
      <c r="E3185" s="632"/>
    </row>
    <row r="3186" spans="3:6" s="614" customFormat="1">
      <c r="D3186" s="614" t="s">
        <v>4398</v>
      </c>
      <c r="E3186" s="640">
        <f>calcCh4Prod3Slot2CustProfitPromo1MarginAbs*calcCh4Prod3Slot2CustProfitPromo1Vol</f>
        <v>0</v>
      </c>
      <c r="F3186" s="614" t="s">
        <v>6387</v>
      </c>
    </row>
    <row r="3187" spans="3:6" s="614" customFormat="1">
      <c r="E3187" s="640"/>
    </row>
    <row r="3188" spans="3:6" s="614" customFormat="1">
      <c r="D3188" s="633" t="s">
        <v>14</v>
      </c>
      <c r="E3188" s="640">
        <f>calcCh4Prod3Slot2CustProfitBase+calcCh4Prod3Slot2CustProfitPromo1</f>
        <v>0</v>
      </c>
      <c r="F3188" s="614" t="s">
        <v>6388</v>
      </c>
    </row>
    <row r="3189" spans="3:6" s="614" customFormat="1">
      <c r="E3189" s="640"/>
    </row>
    <row r="3190" spans="3:6" s="614" customFormat="1">
      <c r="C3190" s="633" t="s">
        <v>13832</v>
      </c>
    </row>
    <row r="3191" spans="3:6" s="614" customFormat="1">
      <c r="D3191" s="633" t="s">
        <v>4396</v>
      </c>
    </row>
    <row r="3192" spans="3:6" s="614" customFormat="1">
      <c r="D3192" s="614" t="s">
        <v>4402</v>
      </c>
      <c r="E3192" s="709">
        <f>IF(calcCh4Prod3Slot3Active=1,(calcCh4Prod3Slot3ShelfPrice-calcCh4Prod3Slot3CustPrice),0)</f>
        <v>0</v>
      </c>
      <c r="F3192" s="614" t="s">
        <v>4724</v>
      </c>
    </row>
    <row r="3193" spans="3:6" s="614" customFormat="1">
      <c r="D3193" s="614" t="s">
        <v>4403</v>
      </c>
      <c r="E3193" s="690">
        <f>IF(calcCh4Prod3Slot3Active=1,(calcCh4Prod3Slot3ShelfPrice-calcCh4Prod3Slot3CustPrice)/calcCh4Prod3Slot3ShelfPrice,0)</f>
        <v>0</v>
      </c>
      <c r="F3193" s="614" t="s">
        <v>4606</v>
      </c>
    </row>
    <row r="3194" spans="3:6" s="614" customFormat="1">
      <c r="D3194" s="614" t="s">
        <v>4394</v>
      </c>
      <c r="E3194" s="331">
        <f>IF(xxSim0Tool1=0,MMCh4Prod3Seg1Slot3UnitsSoldRSP+MMCh4Prod3Seg2Slot3UnitsSoldRSP+MMCh4Prod3Seg3Slot3UnitsSoldRSP+MMCh4Prod3Seg4Slot3UnitsSoldRSP,calcCh4Prod3VolForecastProd*decCh4Prod3Slot3Forecast*(1-decCh4Prod3Slot3Promo1ShareFrc))</f>
        <v>0</v>
      </c>
      <c r="F3194" s="614" t="s">
        <v>4725</v>
      </c>
    </row>
    <row r="3195" spans="3:6" s="614" customFormat="1" ht="2.25" customHeight="1">
      <c r="D3195" s="632"/>
      <c r="E3195" s="632"/>
    </row>
    <row r="3196" spans="3:6" s="614" customFormat="1">
      <c r="D3196" s="614" t="s">
        <v>4395</v>
      </c>
      <c r="E3196" s="640">
        <f>calcCh4Prod3Slot3CustProfitBaseMarginAbs*calcCh4Prod3Slot3CustProfitBaseVol</f>
        <v>0</v>
      </c>
      <c r="F3196" s="614" t="s">
        <v>4607</v>
      </c>
    </row>
    <row r="3197" spans="3:6" s="614" customFormat="1"/>
    <row r="3198" spans="3:6" s="614" customFormat="1">
      <c r="D3198" s="633" t="s">
        <v>6111</v>
      </c>
    </row>
    <row r="3199" spans="3:6" s="614" customFormat="1">
      <c r="D3199" s="614" t="s">
        <v>4397</v>
      </c>
      <c r="E3199" s="709">
        <f>IF(calcCh4Prod3Slot3Active=1,(calcCh4Prod3Slot3Promo1CustPrice*(1+VLOOKUP(nmProd3,dataCustomerMargin,5,FALSE))-calcCh4Prod3Slot3Promo1CustPrice),0)</f>
        <v>0</v>
      </c>
      <c r="F3199" s="614" t="s">
        <v>6389</v>
      </c>
    </row>
    <row r="3200" spans="3:6" s="614" customFormat="1">
      <c r="D3200" s="614" t="s">
        <v>4394</v>
      </c>
      <c r="E3200" s="331">
        <f>IF(xxSim0Tool1=0,MMCh4Prod3Seg1Slot3UnitsSoldPromo1+MMCh4Prod3Seg2Slot3UnitsSoldPromo1+MMCh4Prod3Seg3Slot3UnitsSoldPromo1+MMCh4Prod3Seg4Slot3UnitsSoldPromo1,calcCh4Prod3VolForecastProd*decCh4Prod3Slot3Promo1ShareFrc)</f>
        <v>0</v>
      </c>
      <c r="F3200" s="614" t="s">
        <v>6390</v>
      </c>
    </row>
    <row r="3201" spans="3:6" s="614" customFormat="1" ht="2.25" customHeight="1">
      <c r="D3201" s="632"/>
      <c r="E3201" s="632"/>
    </row>
    <row r="3202" spans="3:6" s="614" customFormat="1">
      <c r="D3202" s="614" t="s">
        <v>4398</v>
      </c>
      <c r="E3202" s="640">
        <f>calcCh4Prod3Slot3CustProfitPromo1MarginAbs*calcCh4Prod3Slot3CustProfitPromo1Vol</f>
        <v>0</v>
      </c>
      <c r="F3202" s="614" t="s">
        <v>6391</v>
      </c>
    </row>
    <row r="3203" spans="3:6" s="614" customFormat="1">
      <c r="E3203" s="640"/>
    </row>
    <row r="3204" spans="3:6" s="614" customFormat="1">
      <c r="D3204" s="633" t="s">
        <v>14</v>
      </c>
      <c r="E3204" s="640">
        <f>calcCh4Prod3Slot3CustProfitBase+calcCh4Prod3Slot3CustProfitPromo1</f>
        <v>0</v>
      </c>
      <c r="F3204" s="614" t="s">
        <v>6392</v>
      </c>
    </row>
    <row r="3205" spans="3:6" s="614" customFormat="1">
      <c r="E3205" s="640"/>
    </row>
    <row r="3206" spans="3:6" s="614" customFormat="1">
      <c r="C3206" s="633" t="s">
        <v>13833</v>
      </c>
    </row>
    <row r="3207" spans="3:6" s="614" customFormat="1">
      <c r="D3207" s="633" t="s">
        <v>4396</v>
      </c>
    </row>
    <row r="3208" spans="3:6" s="614" customFormat="1">
      <c r="D3208" s="614" t="s">
        <v>4402</v>
      </c>
      <c r="E3208" s="709">
        <f>IF(calcCh4Prod4Slot1Active=1,(calcCh4Prod4Slot1ShelfPrice-calcCh4Prod4Slot1CustPrice),0)</f>
        <v>41.749999999999993</v>
      </c>
      <c r="F3208" s="614" t="s">
        <v>4694</v>
      </c>
    </row>
    <row r="3209" spans="3:6" s="614" customFormat="1">
      <c r="D3209" s="614" t="s">
        <v>4403</v>
      </c>
      <c r="E3209" s="690">
        <f>IF(calcCh4Prod4Slot1Active=1,(calcCh4Prod4Slot1ShelfPrice-calcCh4Prod4Slot1CustPrice)/calcCh4Prod4Slot1ShelfPrice,0)</f>
        <v>0.83333333333333326</v>
      </c>
      <c r="F3209" s="614" t="s">
        <v>4608</v>
      </c>
    </row>
    <row r="3210" spans="3:6" s="614" customFormat="1">
      <c r="D3210" s="614" t="s">
        <v>4394</v>
      </c>
      <c r="E3210" s="331">
        <f>IF(xxSim0Tool1=0,MMCh4Prod4Seg1Slot1UnitsSoldRSP+MMCh4Prod4Seg2Slot1UnitsSoldRSP+MMCh4Prod4Seg3Slot1UnitsSoldRSP+MMCh4Prod4Seg4Slot1UnitsSoldRSP,calcCh4Prod4VolForecastProd*decCh4Prod4Slot1Forecast*(1-decCh4Prod4Slot1Promo1ShareFrc))</f>
        <v>54540675</v>
      </c>
      <c r="F3210" s="614" t="s">
        <v>4695</v>
      </c>
    </row>
    <row r="3211" spans="3:6" s="614" customFormat="1" ht="2.25" customHeight="1">
      <c r="D3211" s="632"/>
      <c r="E3211" s="632"/>
    </row>
    <row r="3212" spans="3:6" s="614" customFormat="1">
      <c r="D3212" s="614" t="s">
        <v>4395</v>
      </c>
      <c r="E3212" s="640">
        <f>calcCh4Prod4Slot1CustProfitBaseMarginAbs*calcCh4Prod4Slot1CustProfitBaseVol</f>
        <v>2277073181.2499995</v>
      </c>
      <c r="F3212" s="614" t="s">
        <v>4609</v>
      </c>
    </row>
    <row r="3213" spans="3:6" s="614" customFormat="1"/>
    <row r="3214" spans="3:6" s="614" customFormat="1">
      <c r="D3214" s="633" t="s">
        <v>6111</v>
      </c>
    </row>
    <row r="3215" spans="3:6" s="614" customFormat="1">
      <c r="D3215" s="614" t="s">
        <v>4397</v>
      </c>
      <c r="E3215" s="709">
        <f>IF(calcCh4Prod4Slot1Active=1,(calcCh4Prod4Slot1Promo1CustPrice*(1+VLOOKUP(nmProd4,dataCustomerMargin,5,FALSE))-calcCh4Prod4Slot1Promo1CustPrice),0)</f>
        <v>33.4</v>
      </c>
      <c r="F3215" s="614" t="s">
        <v>6393</v>
      </c>
    </row>
    <row r="3216" spans="3:6" s="614" customFormat="1">
      <c r="D3216" s="614" t="s">
        <v>4394</v>
      </c>
      <c r="E3216" s="331">
        <f>IF(xxSim0Tool1=0,MMCh4Prod4Seg1Slot1UnitsSoldPromo1+MMCh4Prod4Seg2Slot1UnitsSoldPromo1+MMCh4Prod4Seg3Slot1UnitsSoldPromo1+MMCh4Prod4Seg4Slot1UnitsSoldPromo1,calcCh4Prod4VolForecastProd*decCh4Prod4Slot1Promo1ShareFrc)</f>
        <v>6060075</v>
      </c>
      <c r="F3216" s="614" t="s">
        <v>6394</v>
      </c>
    </row>
    <row r="3217" spans="3:6" s="614" customFormat="1" ht="2.25" customHeight="1">
      <c r="D3217" s="632"/>
      <c r="E3217" s="632"/>
    </row>
    <row r="3218" spans="3:6" s="614" customFormat="1">
      <c r="D3218" s="614" t="s">
        <v>4398</v>
      </c>
      <c r="E3218" s="640">
        <f>calcCh4Prod4Slot1CustProfitPromo1MarginAbs*calcCh4Prod4Slot1CustProfitPromo1Vol</f>
        <v>202406505</v>
      </c>
      <c r="F3218" s="614" t="s">
        <v>6395</v>
      </c>
    </row>
    <row r="3219" spans="3:6" s="614" customFormat="1">
      <c r="E3219" s="640"/>
    </row>
    <row r="3220" spans="3:6" s="614" customFormat="1">
      <c r="D3220" s="633" t="s">
        <v>14</v>
      </c>
      <c r="E3220" s="640">
        <f>calcCh4Prod4Slot1CustProfitBase+calcCh4Prod4Slot1CustProfitPromo1</f>
        <v>2479479686.2499995</v>
      </c>
      <c r="F3220" s="614" t="s">
        <v>6396</v>
      </c>
    </row>
    <row r="3221" spans="3:6" s="614" customFormat="1">
      <c r="E3221" s="640"/>
    </row>
    <row r="3222" spans="3:6" s="614" customFormat="1">
      <c r="C3222" s="633" t="s">
        <v>13834</v>
      </c>
    </row>
    <row r="3223" spans="3:6" s="614" customFormat="1">
      <c r="D3223" s="633" t="s">
        <v>4396</v>
      </c>
    </row>
    <row r="3224" spans="3:6" s="614" customFormat="1">
      <c r="D3224" s="614" t="s">
        <v>4402</v>
      </c>
      <c r="E3224" s="709">
        <f>IF(calcCh4Prod4Slot2Active=1,(calcCh4Prod4Slot2ShelfPrice-calcCh4Prod4Slot2CustPrice),0)</f>
        <v>0</v>
      </c>
      <c r="F3224" s="614" t="s">
        <v>4696</v>
      </c>
    </row>
    <row r="3225" spans="3:6" s="614" customFormat="1">
      <c r="D3225" s="614" t="s">
        <v>4403</v>
      </c>
      <c r="E3225" s="690">
        <f>IF(calcCh4Prod4Slot2Active=1,(calcCh4Prod4Slot2ShelfPrice-calcCh4Prod4Slot2CustPrice)/calcCh4Prod4Slot2ShelfPrice,0)</f>
        <v>0</v>
      </c>
      <c r="F3225" s="614" t="s">
        <v>4610</v>
      </c>
    </row>
    <row r="3226" spans="3:6" s="614" customFormat="1">
      <c r="D3226" s="614" t="s">
        <v>4394</v>
      </c>
      <c r="E3226" s="331">
        <f>IF(xxSim0Tool1=0,MMCh4Prod4Seg1Slot2UnitsSoldRSP+MMCh4Prod4Seg2Slot2UnitsSoldRSP+MMCh4Prod4Seg3Slot2UnitsSoldRSP+MMCh4Prod4Seg4Slot2UnitsSoldRSP,calcCh4Prod4VolForecastProd*decCh4Prod4Slot2Forecast*(1-decCh4Prod4Slot2Promo1ShareFrc))</f>
        <v>0</v>
      </c>
      <c r="F3226" s="614" t="s">
        <v>4697</v>
      </c>
    </row>
    <row r="3227" spans="3:6" s="614" customFormat="1" ht="2.25" customHeight="1">
      <c r="D3227" s="632"/>
      <c r="E3227" s="632"/>
    </row>
    <row r="3228" spans="3:6" s="614" customFormat="1">
      <c r="D3228" s="614" t="s">
        <v>4395</v>
      </c>
      <c r="E3228" s="640">
        <f>calcCh4Prod4Slot2CustProfitBaseMarginAbs*calcCh4Prod4Slot2CustProfitBaseVol</f>
        <v>0</v>
      </c>
      <c r="F3228" s="614" t="s">
        <v>4611</v>
      </c>
    </row>
    <row r="3229" spans="3:6" s="614" customFormat="1"/>
    <row r="3230" spans="3:6" s="614" customFormat="1">
      <c r="D3230" s="633" t="s">
        <v>6111</v>
      </c>
    </row>
    <row r="3231" spans="3:6" s="614" customFormat="1">
      <c r="D3231" s="614" t="s">
        <v>4397</v>
      </c>
      <c r="E3231" s="709">
        <f>IF(calcCh4Prod4Slot2Active=1,(calcCh4Prod4Slot2Promo1CustPrice*(1+VLOOKUP(nmProd4,dataCustomerMargin,5,FALSE))-calcCh4Prod4Slot2Promo1CustPrice),0)</f>
        <v>0</v>
      </c>
      <c r="F3231" s="614" t="s">
        <v>6397</v>
      </c>
    </row>
    <row r="3232" spans="3:6" s="614" customFormat="1">
      <c r="D3232" s="614" t="s">
        <v>4394</v>
      </c>
      <c r="E3232" s="331">
        <f>IF(xxSim0Tool1=0,MMCh4Prod4Seg1Slot2UnitsSoldPromo1+MMCh4Prod4Seg2Slot2UnitsSoldPromo1+MMCh4Prod4Seg3Slot2UnitsSoldPromo1+MMCh4Prod4Seg4Slot2UnitsSoldPromo1,calcCh4Prod4VolForecastProd*decCh4Prod4Slot2Promo1ShareFrc)</f>
        <v>0</v>
      </c>
      <c r="F3232" s="614" t="s">
        <v>6398</v>
      </c>
    </row>
    <row r="3233" spans="3:6" s="614" customFormat="1" ht="2.25" customHeight="1">
      <c r="D3233" s="632"/>
      <c r="E3233" s="632"/>
    </row>
    <row r="3234" spans="3:6" s="614" customFormat="1">
      <c r="D3234" s="614" t="s">
        <v>4398</v>
      </c>
      <c r="E3234" s="640">
        <f>calcCh4Prod4Slot2CustProfitPromo1MarginAbs*calcCh4Prod4Slot2CustProfitPromo1Vol</f>
        <v>0</v>
      </c>
      <c r="F3234" s="614" t="s">
        <v>6399</v>
      </c>
    </row>
    <row r="3235" spans="3:6" s="614" customFormat="1">
      <c r="E3235" s="640"/>
    </row>
    <row r="3236" spans="3:6" s="614" customFormat="1">
      <c r="D3236" s="633" t="s">
        <v>14</v>
      </c>
      <c r="E3236" s="640">
        <f>calcCh4Prod4Slot2CustProfitBase+calcCh4Prod4Slot2CustProfitPromo1</f>
        <v>0</v>
      </c>
      <c r="F3236" s="614" t="s">
        <v>6400</v>
      </c>
    </row>
    <row r="3237" spans="3:6" s="614" customFormat="1">
      <c r="E3237" s="640"/>
    </row>
    <row r="3238" spans="3:6" s="614" customFormat="1">
      <c r="C3238" s="633" t="s">
        <v>13835</v>
      </c>
    </row>
    <row r="3239" spans="3:6" s="614" customFormat="1">
      <c r="D3239" s="633" t="s">
        <v>4396</v>
      </c>
    </row>
    <row r="3240" spans="3:6" s="614" customFormat="1">
      <c r="D3240" s="614" t="s">
        <v>4402</v>
      </c>
      <c r="E3240" s="709">
        <f>IF(calcCh4Prod4Slot3Active=1,(calcCh4Prod4Slot3ShelfPrice-calcCh4Prod4Slot3CustPrice),0)</f>
        <v>0</v>
      </c>
      <c r="F3240" s="614" t="s">
        <v>4726</v>
      </c>
    </row>
    <row r="3241" spans="3:6" s="614" customFormat="1">
      <c r="D3241" s="614" t="s">
        <v>4403</v>
      </c>
      <c r="E3241" s="690">
        <f>IF(calcCh4Prod4Slot3Active=1,(calcCh4Prod4Slot3ShelfPrice-calcCh4Prod4Slot3CustPrice)/calcCh4Prod4Slot3ShelfPrice,0)</f>
        <v>0</v>
      </c>
      <c r="F3241" s="614" t="s">
        <v>4612</v>
      </c>
    </row>
    <row r="3242" spans="3:6" s="614" customFormat="1">
      <c r="D3242" s="614" t="s">
        <v>4394</v>
      </c>
      <c r="E3242" s="331">
        <f>IF(xxSim0Tool1=0,MMCh4Prod4Seg1Slot3UnitsSoldRSP+MMCh4Prod4Seg2Slot3UnitsSoldRSP+MMCh4Prod4Seg3Slot3UnitsSoldRSP+MMCh4Prod4Seg4Slot3UnitsSoldRSP,calcCh4Prod4VolForecastProd*decCh4Prod4Slot3Forecast*(1-decCh4Prod4Slot3Promo1ShareFrc))</f>
        <v>0</v>
      </c>
      <c r="F3242" s="614" t="s">
        <v>4727</v>
      </c>
    </row>
    <row r="3243" spans="3:6" s="614" customFormat="1" ht="2.25" customHeight="1">
      <c r="D3243" s="632"/>
      <c r="E3243" s="632"/>
    </row>
    <row r="3244" spans="3:6" s="614" customFormat="1">
      <c r="D3244" s="614" t="s">
        <v>4395</v>
      </c>
      <c r="E3244" s="640">
        <f>calcCh4Prod4Slot3CustProfitBaseMarginAbs*calcCh4Prod4Slot3CustProfitBaseVol</f>
        <v>0</v>
      </c>
      <c r="F3244" s="614" t="s">
        <v>4613</v>
      </c>
    </row>
    <row r="3245" spans="3:6" s="614" customFormat="1"/>
    <row r="3246" spans="3:6" s="614" customFormat="1">
      <c r="D3246" s="633" t="s">
        <v>6111</v>
      </c>
    </row>
    <row r="3247" spans="3:6" s="614" customFormat="1">
      <c r="D3247" s="614" t="s">
        <v>4397</v>
      </c>
      <c r="E3247" s="709">
        <f>IF(calcCh4Prod4Slot3Active=1,(calcCh4Prod4Slot3Promo1CustPrice*(1+VLOOKUP(nmProd4,dataCustomerMargin,5,FALSE))-calcCh4Prod4Slot3Promo1CustPrice),0)</f>
        <v>0</v>
      </c>
      <c r="F3247" s="614" t="s">
        <v>6401</v>
      </c>
    </row>
    <row r="3248" spans="3:6" s="614" customFormat="1">
      <c r="D3248" s="614" t="s">
        <v>4394</v>
      </c>
      <c r="E3248" s="331">
        <f>IF(xxSim0Tool1=0,MMCh4Prod4Seg1Slot3UnitsSoldPromo1+MMCh4Prod4Seg2Slot3UnitsSoldPromo1+MMCh4Prod4Seg3Slot3UnitsSoldPromo1+MMCh4Prod4Seg4Slot3UnitsSoldPromo1,calcCh4Prod4VolForecastProd*decCh4Prod4Slot3Promo1ShareFrc)</f>
        <v>0</v>
      </c>
      <c r="F3248" s="614" t="s">
        <v>6402</v>
      </c>
    </row>
    <row r="3249" spans="3:6" s="614" customFormat="1" ht="2.25" customHeight="1">
      <c r="D3249" s="632"/>
      <c r="E3249" s="632"/>
    </row>
    <row r="3250" spans="3:6" s="614" customFormat="1">
      <c r="D3250" s="614" t="s">
        <v>4398</v>
      </c>
      <c r="E3250" s="640">
        <f>calcCh4Prod4Slot3CustProfitPromo1MarginAbs*calcCh4Prod4Slot3CustProfitPromo1Vol</f>
        <v>0</v>
      </c>
      <c r="F3250" s="614" t="s">
        <v>6403</v>
      </c>
    </row>
    <row r="3251" spans="3:6" s="614" customFormat="1">
      <c r="E3251" s="640"/>
    </row>
    <row r="3252" spans="3:6" s="614" customFormat="1">
      <c r="D3252" s="633" t="s">
        <v>14</v>
      </c>
      <c r="E3252" s="640">
        <f>calcCh4Prod4Slot3CustProfitBase+calcCh4Prod4Slot3CustProfitPromo1</f>
        <v>0</v>
      </c>
      <c r="F3252" s="614" t="s">
        <v>6404</v>
      </c>
    </row>
    <row r="3253" spans="3:6" s="614" customFormat="1">
      <c r="E3253" s="640"/>
    </row>
    <row r="3254" spans="3:6" s="614" customFormat="1">
      <c r="D3254" s="633" t="s">
        <v>5503</v>
      </c>
      <c r="E3254" s="640"/>
    </row>
    <row r="3255" spans="3:6" s="614" customFormat="1">
      <c r="D3255" s="614" t="s">
        <v>12868</v>
      </c>
      <c r="E3255" s="640">
        <f>calcCh4Prod1Slot1CustProfitTot+calcCh4Prod1Slot2CustProfitTot+calcCh4Prod1Slot3CustProfitTot</f>
        <v>1734170850</v>
      </c>
      <c r="F3255" s="614" t="s">
        <v>4627</v>
      </c>
    </row>
    <row r="3256" spans="3:6" s="614" customFormat="1">
      <c r="D3256" s="614" t="s">
        <v>238</v>
      </c>
      <c r="E3256" s="640">
        <f>calcCh4Prod2Slot1CustProfitTot+calcCh4Prod2Slot2CustProfitTot+calcCh4Prod2Slot3CustProfitTot</f>
        <v>998823639.23999989</v>
      </c>
      <c r="F3256" s="614" t="s">
        <v>4628</v>
      </c>
    </row>
    <row r="3257" spans="3:6" s="614" customFormat="1">
      <c r="D3257" s="614" t="s">
        <v>239</v>
      </c>
      <c r="E3257" s="640">
        <f>calcCh4Prod3Slot1CustProfitTot+calcCh4Prod3Slot2CustProfitTot+calcCh4Prod3Slot3CustProfitTot</f>
        <v>847717920</v>
      </c>
      <c r="F3257" s="614" t="s">
        <v>4629</v>
      </c>
    </row>
    <row r="3258" spans="3:6" s="614" customFormat="1">
      <c r="D3258" s="614" t="s">
        <v>240</v>
      </c>
      <c r="E3258" s="640">
        <f>calcCh4Prod4Slot1CustProfitTot+calcCh4Prod4Slot2CustProfitTot+calcCh4Prod4Slot3CustProfitTot</f>
        <v>2479479686.2499995</v>
      </c>
      <c r="F3258" s="614" t="s">
        <v>4630</v>
      </c>
    </row>
    <row r="3259" spans="3:6" s="614" customFormat="1">
      <c r="E3259" s="640"/>
    </row>
    <row r="3260" spans="3:6" s="614" customFormat="1">
      <c r="C3260" s="633" t="s">
        <v>3761</v>
      </c>
      <c r="E3260" s="640"/>
    </row>
    <row r="3261" spans="3:6" s="614" customFormat="1">
      <c r="D3261" s="614" t="s">
        <v>244</v>
      </c>
      <c r="E3261" s="640">
        <f>calcCh1Prod1CustProfitTot+calcCh1Prod2CustProfitTot+calcCh1Prod3CustProfitTot+calcCh1Prod4CustProfitTot+calcCh1ValDriv1Exp+calcCh1ValDriv2Exp+calcCh1ValDriv3Exp+calcCh1ValDriv4Exp+calcCh1ValDriv5Exp</f>
        <v>639912288.01116467</v>
      </c>
      <c r="F3261" s="614" t="s">
        <v>4401</v>
      </c>
    </row>
    <row r="3262" spans="3:6" s="614" customFormat="1">
      <c r="D3262" s="614" t="s">
        <v>245</v>
      </c>
      <c r="E3262" s="640">
        <f>calcCh2Prod1CustProfitTot+calcCh2Prod2CustProfitTot+calcCh2Prod3CustProfitTot+calcCh2Prod4CustProfitTot+calcCh2ValDriv1Exp+calcCh2ValDriv2Exp+calcCh2ValDriv3Exp+calcCh2ValDriv4Exp+calcCh2ValDriv5Exp</f>
        <v>307591591.73999983</v>
      </c>
      <c r="F3262" s="614" t="s">
        <v>4564</v>
      </c>
    </row>
    <row r="3263" spans="3:6" s="614" customFormat="1">
      <c r="D3263" s="614" t="s">
        <v>5199</v>
      </c>
      <c r="E3263" s="640">
        <f>calcCh3Prod1CustProfitTot+calcCh3Prod2CustProfitTot+calcCh3Prod3CustProfitTot+calcCh3Prod4CustProfitTot+calcCh3ValDriv1Exp+calcCh3ValDriv2Exp+calcCh3ValDriv3Exp+calcCh3ValDriv4Exp+calcCh3ValDriv5Exp</f>
        <v>428756018.9205451</v>
      </c>
      <c r="F3263" s="614" t="s">
        <v>4589</v>
      </c>
    </row>
    <row r="3264" spans="3:6" s="614" customFormat="1">
      <c r="D3264" s="614" t="s">
        <v>246</v>
      </c>
      <c r="E3264" s="640">
        <f>calcCh4Prod1CustProfitTot+calcCh4Prod2CustProfitTot+calcCh4Prod3CustProfitTot+calcCh4Prod4CustProfitTot+calcCh4ValDriv1Exp+calcCh4ValDriv2Exp+calcCh4ValDriv3Exp+calcCh4ValDriv4Exp+calcCh4ValDriv5Exp</f>
        <v>6061692095.4899998</v>
      </c>
      <c r="F3264" s="614" t="s">
        <v>4614</v>
      </c>
    </row>
    <row r="3265" spans="1:6" s="614" customFormat="1">
      <c r="E3265" s="640"/>
    </row>
    <row r="3266" spans="1:6" s="614" customFormat="1">
      <c r="D3266" s="614" t="s">
        <v>12868</v>
      </c>
      <c r="E3266" s="640">
        <f>calcCh1Prod1CustProfitTot+calcCh2Prod1CustProfitTot+calcCh3Prod1CustProfitTot+calcCh4Prod1CustProfitTot</f>
        <v>1910453040.0339589</v>
      </c>
      <c r="F3266" s="614" t="s">
        <v>6417</v>
      </c>
    </row>
    <row r="3267" spans="1:6" s="614" customFormat="1">
      <c r="D3267" s="614" t="s">
        <v>238</v>
      </c>
      <c r="E3267" s="640">
        <f>calcCh1Prod2CustProfitTot+calcCh2Prod2CustProfitTot+calcCh3Prod2CustProfitTot+calcCh4Prod2CustProfitTot</f>
        <v>1664055643.5332098</v>
      </c>
      <c r="F3267" s="614" t="s">
        <v>6418</v>
      </c>
    </row>
    <row r="3268" spans="1:6" s="614" customFormat="1">
      <c r="D3268" s="614" t="s">
        <v>239</v>
      </c>
      <c r="E3268" s="640">
        <f>calcCh1Prod3CustProfitTot+calcCh2Prod3CustProfitTot+calcCh3Prod3CustProfitTot+calcCh4Prod3CustProfitTot</f>
        <v>1377963624.3445411</v>
      </c>
      <c r="F3268" s="614" t="s">
        <v>6419</v>
      </c>
    </row>
    <row r="3269" spans="1:6" s="614" customFormat="1">
      <c r="D3269" s="614" t="s">
        <v>240</v>
      </c>
      <c r="E3269" s="640">
        <f>calcCh1Prod4CustProfitTot+calcCh2Prod4CustProfitTot+calcCh3Prod4CustProfitTot+calcCh4Prod4CustProfitTot</f>
        <v>2479479686.2499995</v>
      </c>
      <c r="F3269" s="614" t="s">
        <v>6420</v>
      </c>
    </row>
    <row r="3270" spans="1:6" s="614" customFormat="1">
      <c r="E3270" s="640"/>
    </row>
    <row r="3271" spans="1:6" s="614" customFormat="1">
      <c r="D3271" s="614" t="s">
        <v>5288</v>
      </c>
      <c r="E3271" s="640">
        <f>calcCh1CustProfitTot+calcCh2CustProfitTot+calcCh3CustProfitTot+calcCh4CustProfitTot</f>
        <v>7437951994.1617088</v>
      </c>
      <c r="F3271" s="614" t="s">
        <v>10570</v>
      </c>
    </row>
    <row r="3272" spans="1:6" s="614" customFormat="1">
      <c r="E3272" s="640"/>
    </row>
    <row r="3273" spans="1:6" s="614" customFormat="1">
      <c r="E3273" s="640"/>
    </row>
    <row r="3275" spans="1:6" s="81" customFormat="1">
      <c r="A3275" s="81" t="s">
        <v>548</v>
      </c>
    </row>
    <row r="3277" spans="1:6">
      <c r="B3277" s="23" t="s">
        <v>244</v>
      </c>
    </row>
    <row r="3278" spans="1:6">
      <c r="C3278" s="23" t="s">
        <v>12868</v>
      </c>
    </row>
    <row r="3279" spans="1:6">
      <c r="D3279" s="23" t="s">
        <v>975</v>
      </c>
      <c r="E3279" s="257">
        <f>IF(calcCh1Prod1Slot1Active=1,finCalcCh1Prod1Slot1VolSold*VLOOKUP(decCh1Prod1Slot1Pack,dataPackMatExp,2,FALSE),0)</f>
        <v>18290.332610726404</v>
      </c>
      <c r="F3279" s="23" t="s">
        <v>979</v>
      </c>
    </row>
    <row r="3280" spans="1:6">
      <c r="A3280"/>
      <c r="D3280" s="23" t="s">
        <v>976</v>
      </c>
      <c r="E3280" s="257">
        <f>IF(calcCh1Prod1Slot2Active=1,finCalcCh1Prod1Slot2VolSold*VLOOKUP(decCh1Prod1Slot2Pack,dataPackMatExp,2,FALSE),0)</f>
        <v>0</v>
      </c>
      <c r="F3280" s="23" t="s">
        <v>980</v>
      </c>
    </row>
    <row r="3281" spans="1:6">
      <c r="A3281"/>
      <c r="D3281" s="23" t="s">
        <v>977</v>
      </c>
      <c r="E3281" s="257">
        <f>IF(calcCh1Prod1Slot3Active=1,finCalcCh1Prod1Slot3VolSold*VLOOKUP(decCh1Prod1Slot3Pack,dataPackMatExp,2,FALSE),0)</f>
        <v>0</v>
      </c>
      <c r="F3281" s="23" t="s">
        <v>981</v>
      </c>
    </row>
    <row r="3282" spans="1:6">
      <c r="A3282"/>
      <c r="C3282" s="23" t="s">
        <v>238</v>
      </c>
      <c r="E3282"/>
    </row>
    <row r="3283" spans="1:6">
      <c r="A3283"/>
      <c r="D3283" s="23" t="s">
        <v>975</v>
      </c>
      <c r="E3283" s="257">
        <f>IF(calcCh1Prod2Slot1Active=1,finCalcCh1Prod2Slot1VolSold*VLOOKUP(decCh1Prod2Slot1Pack,dataPackMatExp,2,FALSE),0)</f>
        <v>15271.794965951998</v>
      </c>
      <c r="F3283" s="23" t="s">
        <v>982</v>
      </c>
    </row>
    <row r="3284" spans="1:6">
      <c r="A3284"/>
      <c r="D3284" s="23" t="s">
        <v>976</v>
      </c>
      <c r="E3284" s="257">
        <f>IF(calcCh1Prod2Slot2Active=1,finCalcCh1Prod2Slot2VolSold*VLOOKUP(decCh1Prod2Slot2Pack,dataPackMatExp,2,FALSE),0)</f>
        <v>28215.33178464001</v>
      </c>
      <c r="F3284" s="23" t="s">
        <v>983</v>
      </c>
    </row>
    <row r="3285" spans="1:6">
      <c r="A3285"/>
      <c r="D3285" s="23" t="s">
        <v>977</v>
      </c>
      <c r="E3285" s="257">
        <f>IF(calcCh1Prod2Slot3Active=1,finCalcCh1Prod2Slot3VolSold*VLOOKUP(decCh1Prod2Slot3Pack,dataPackMatExp,2,FALSE),0)</f>
        <v>0</v>
      </c>
      <c r="F3285" s="23" t="s">
        <v>984</v>
      </c>
    </row>
    <row r="3286" spans="1:6">
      <c r="A3286"/>
      <c r="C3286" s="23" t="s">
        <v>239</v>
      </c>
      <c r="E3286"/>
    </row>
    <row r="3287" spans="1:6">
      <c r="A3287"/>
      <c r="D3287" s="23" t="s">
        <v>975</v>
      </c>
      <c r="E3287" s="257">
        <f>IF(calcCh1Prod3Slot1Active=1,finCalcCh1Prod3Slot1VolSold*VLOOKUP(decCh1Prod3Slot1Pack,dataPackMatExp,2,FALSE),0)</f>
        <v>8629.0245457920028</v>
      </c>
      <c r="F3287" s="23" t="s">
        <v>985</v>
      </c>
    </row>
    <row r="3288" spans="1:6">
      <c r="A3288"/>
      <c r="D3288" s="23" t="s">
        <v>976</v>
      </c>
      <c r="E3288" s="257">
        <f>IF(calcCh1Prod3Slot2Active=1,finCalcCh1Prod3Slot2VolSold*VLOOKUP(decCh1Prod3Slot2Pack,dataPackMatExp,2,FALSE),0)</f>
        <v>20520.241297920002</v>
      </c>
      <c r="F3288" s="23" t="s">
        <v>986</v>
      </c>
    </row>
    <row r="3289" spans="1:6">
      <c r="A3289"/>
      <c r="D3289" s="23" t="s">
        <v>977</v>
      </c>
      <c r="E3289" s="257">
        <f>IF(calcCh1Prod3Slot3Active=1,finCalcCh1Prod3Slot3VolSold*VLOOKUP(decCh1Prod3Slot3Pack,dataPackMatExp,2,FALSE),0)</f>
        <v>0</v>
      </c>
      <c r="F3289" s="23" t="s">
        <v>987</v>
      </c>
    </row>
    <row r="3290" spans="1:6">
      <c r="A3290"/>
      <c r="C3290" s="23" t="s">
        <v>240</v>
      </c>
      <c r="E3290"/>
    </row>
    <row r="3291" spans="1:6">
      <c r="A3291"/>
      <c r="D3291" s="23" t="s">
        <v>975</v>
      </c>
      <c r="E3291" s="257">
        <f>IF(calcCh1Prod4Slot1Active=1,finCalcCh1Prod4Slot1VolSold*VLOOKUP(decCh1Prod4Slot1Pack,dataPackMatExp,2,FALSE),0)</f>
        <v>0</v>
      </c>
      <c r="F3291" s="23" t="s">
        <v>988</v>
      </c>
    </row>
    <row r="3292" spans="1:6">
      <c r="A3292"/>
      <c r="D3292" s="23" t="s">
        <v>976</v>
      </c>
      <c r="E3292" s="257">
        <f>IF(calcCh1Prod4Slot2Active=1,finCalcCh1Prod4Slot2VolSold*VLOOKUP(decCh1Prod4Slot2Pack,dataPackMatExp,2,FALSE),0)</f>
        <v>0</v>
      </c>
      <c r="F3292" s="23" t="s">
        <v>989</v>
      </c>
    </row>
    <row r="3293" spans="1:6">
      <c r="A3293"/>
      <c r="D3293" s="23" t="s">
        <v>977</v>
      </c>
      <c r="E3293" s="257">
        <f>IF(calcCh1Prod4Slot3Active=1,finCalcCh1Prod4Slot3VolSold*VLOOKUP(decCh1Prod4Slot3Pack,dataPackMatExp,2,FALSE),0)</f>
        <v>0</v>
      </c>
      <c r="F3293" s="23" t="s">
        <v>990</v>
      </c>
    </row>
    <row r="3294" spans="1:6">
      <c r="A3294"/>
      <c r="B3294" s="23" t="s">
        <v>245</v>
      </c>
      <c r="E3294"/>
    </row>
    <row r="3295" spans="1:6">
      <c r="A3295"/>
      <c r="C3295" s="23" t="s">
        <v>12868</v>
      </c>
      <c r="E3295"/>
    </row>
    <row r="3296" spans="1:6">
      <c r="A3296"/>
      <c r="D3296" s="23" t="s">
        <v>975</v>
      </c>
      <c r="E3296" s="257">
        <f>IF(calcCh2Prod1Slot1Active=1,finCalcCh2Prod1Slot1VolSold*VLOOKUP(decCh2Prod1Slot1Pack,dataPackMatExp,2,FALSE),0)</f>
        <v>6276.5990208000012</v>
      </c>
      <c r="F3296" s="23" t="s">
        <v>991</v>
      </c>
    </row>
    <row r="3297" spans="1:6">
      <c r="A3297"/>
      <c r="D3297" s="23" t="s">
        <v>976</v>
      </c>
      <c r="E3297" s="257">
        <f>IF(calcCh2Prod1Slot2Active=1,finCalcCh2Prod1Slot2VolSold*VLOOKUP(decCh2Prod1Slot2Pack,dataPackMatExp,2,FALSE),0)</f>
        <v>0</v>
      </c>
      <c r="F3297" s="23" t="s">
        <v>992</v>
      </c>
    </row>
    <row r="3298" spans="1:6">
      <c r="A3298"/>
      <c r="D3298" s="23" t="s">
        <v>977</v>
      </c>
      <c r="E3298" s="257">
        <f>IF(calcCh2Prod1Slot3Active=1,finCalcCh2Prod1Slot3VolSold*VLOOKUP(decCh2Prod1Slot3Pack,dataPackMatExp,2,FALSE),0)</f>
        <v>0</v>
      </c>
      <c r="F3298" s="23" t="s">
        <v>993</v>
      </c>
    </row>
    <row r="3299" spans="1:6">
      <c r="A3299"/>
      <c r="C3299" s="23" t="s">
        <v>238</v>
      </c>
      <c r="E3299"/>
    </row>
    <row r="3300" spans="1:6">
      <c r="A3300"/>
      <c r="D3300" s="23" t="s">
        <v>975</v>
      </c>
      <c r="E3300" s="257">
        <f>IF(calcCh2Prod2Slot1Active=1,finCalcCh2Prod2Slot1VolSold*VLOOKUP(decCh2Prod2Slot1Pack,dataPackMatExp,2,FALSE),0)</f>
        <v>45819.172851839998</v>
      </c>
      <c r="F3300" s="23" t="s">
        <v>994</v>
      </c>
    </row>
    <row r="3301" spans="1:6">
      <c r="A3301"/>
      <c r="D3301" s="23" t="s">
        <v>976</v>
      </c>
      <c r="E3301" s="257">
        <f>IF(calcCh2Prod2Slot2Active=1,finCalcCh2Prod2Slot2VolSold*VLOOKUP(decCh2Prod2Slot2Pack,dataPackMatExp,2,FALSE),0)</f>
        <v>0</v>
      </c>
      <c r="F3301" s="23" t="s">
        <v>995</v>
      </c>
    </row>
    <row r="3302" spans="1:6">
      <c r="A3302"/>
      <c r="D3302" s="23" t="s">
        <v>977</v>
      </c>
      <c r="E3302" s="257">
        <f>IF(calcCh2Prod2Slot3Active=1,finCalcCh2Prod2Slot3VolSold*VLOOKUP(decCh2Prod2Slot3Pack,dataPackMatExp,2,FALSE),0)</f>
        <v>0</v>
      </c>
      <c r="F3302" s="23" t="s">
        <v>996</v>
      </c>
    </row>
    <row r="3303" spans="1:6">
      <c r="A3303"/>
      <c r="C3303" s="23" t="s">
        <v>239</v>
      </c>
      <c r="E3303"/>
    </row>
    <row r="3304" spans="1:6">
      <c r="A3304"/>
      <c r="D3304" s="23" t="s">
        <v>975</v>
      </c>
      <c r="E3304" s="257">
        <f>IF(calcCh2Prod3Slot1Active=1,finCalcCh2Prod3Slot1VolSold*VLOOKUP(decCh2Prod3Slot1Pack,dataPackMatExp,2,FALSE),0)</f>
        <v>17156.037323520002</v>
      </c>
      <c r="F3304" s="23" t="s">
        <v>997</v>
      </c>
    </row>
    <row r="3305" spans="1:6">
      <c r="A3305"/>
      <c r="D3305" s="23" t="s">
        <v>976</v>
      </c>
      <c r="E3305" s="257">
        <f>IF(calcCh2Prod3Slot2Active=1,finCalcCh2Prod3Slot2VolSold*VLOOKUP(decCh2Prod3Slot2Pack,dataPackMatExp,2,FALSE),0)</f>
        <v>0</v>
      </c>
      <c r="F3305" s="23" t="s">
        <v>998</v>
      </c>
    </row>
    <row r="3306" spans="1:6">
      <c r="A3306"/>
      <c r="D3306" s="23" t="s">
        <v>977</v>
      </c>
      <c r="E3306" s="257">
        <f>IF(calcCh2Prod3Slot3Active=1,finCalcCh2Prod3Slot3VolSold*VLOOKUP(decCh2Prod3Slot3Pack,dataPackMatExp,2,FALSE),0)</f>
        <v>0</v>
      </c>
      <c r="F3306" s="23" t="s">
        <v>999</v>
      </c>
    </row>
    <row r="3307" spans="1:6">
      <c r="A3307"/>
      <c r="C3307" s="23" t="s">
        <v>240</v>
      </c>
      <c r="E3307"/>
    </row>
    <row r="3308" spans="1:6">
      <c r="A3308"/>
      <c r="D3308" s="23" t="s">
        <v>975</v>
      </c>
      <c r="E3308" s="257">
        <f>IF(calcCh2Prod4Slot1Active=1,finCalcCh2Prod4Slot1VolSold*VLOOKUP(decCh2Prod4Slot1Pack,dataPackMatExp,2,FALSE),0)</f>
        <v>0</v>
      </c>
      <c r="F3308" s="23" t="s">
        <v>1000</v>
      </c>
    </row>
    <row r="3309" spans="1:6">
      <c r="A3309"/>
      <c r="D3309" s="23" t="s">
        <v>976</v>
      </c>
      <c r="E3309" s="257">
        <f>IF(calcCh2Prod4Slot2Active=1,finCalcCh2Prod4Slot2VolSold*VLOOKUP(decCh2Prod4Slot2Pack,dataPackMatExp,2,FALSE),0)</f>
        <v>0</v>
      </c>
      <c r="F3309" s="23" t="s">
        <v>1001</v>
      </c>
    </row>
    <row r="3310" spans="1:6">
      <c r="A3310"/>
      <c r="D3310" s="23" t="s">
        <v>977</v>
      </c>
      <c r="E3310" s="257">
        <f>IF(calcCh2Prod4Slot3Active=1,finCalcCh2Prod4Slot3VolSold*VLOOKUP(decCh2Prod4Slot3Pack,dataPackMatExp,2,FALSE),0)</f>
        <v>0</v>
      </c>
      <c r="F3310" s="23" t="s">
        <v>1002</v>
      </c>
    </row>
    <row r="3311" spans="1:6">
      <c r="A3311"/>
      <c r="B3311" s="23" t="s">
        <v>5199</v>
      </c>
      <c r="E3311"/>
    </row>
    <row r="3312" spans="1:6">
      <c r="A3312"/>
      <c r="C3312" s="23" t="s">
        <v>12868</v>
      </c>
      <c r="E3312"/>
    </row>
    <row r="3313" spans="1:6">
      <c r="A3313"/>
      <c r="D3313" s="23" t="s">
        <v>975</v>
      </c>
      <c r="E3313" s="257">
        <f>IF(calcCh3Prod1Slot1Active=1,finCalcCh3Prod1Slot1VolSold*VLOOKUP(decCh3Prod1Slot1Pack,dataPackMatExp,2,FALSE),0)</f>
        <v>12144.351189600002</v>
      </c>
      <c r="F3313" s="23" t="s">
        <v>1003</v>
      </c>
    </row>
    <row r="3314" spans="1:6">
      <c r="A3314"/>
      <c r="D3314" s="23" t="s">
        <v>976</v>
      </c>
      <c r="E3314" s="257">
        <f>IF(calcCh3Prod1Slot2Active=1,finCalcCh3Prod1Slot2VolSold*VLOOKUP(decCh3Prod1Slot2Pack,dataPackMatExp,2,FALSE),0)</f>
        <v>0</v>
      </c>
      <c r="F3314" s="23" t="s">
        <v>1004</v>
      </c>
    </row>
    <row r="3315" spans="1:6">
      <c r="A3315"/>
      <c r="D3315" s="23" t="s">
        <v>977</v>
      </c>
      <c r="E3315" s="257">
        <f>IF(calcCh3Prod1Slot3Active=1,finCalcCh3Prod1Slot3VolSold*VLOOKUP(decCh3Prod1Slot3Pack,dataPackMatExp,2,FALSE),0)</f>
        <v>0</v>
      </c>
      <c r="F3315" s="23" t="s">
        <v>1005</v>
      </c>
    </row>
    <row r="3316" spans="1:6">
      <c r="A3316"/>
      <c r="C3316" s="23" t="s">
        <v>238</v>
      </c>
      <c r="E3316"/>
    </row>
    <row r="3317" spans="1:6">
      <c r="A3317"/>
      <c r="D3317" s="23" t="s">
        <v>975</v>
      </c>
      <c r="E3317" s="257">
        <f>IF(calcCh3Prod2Slot1Active=1,finCalcCh3Prod2Slot1VolSold*VLOOKUP(decCh3Prod2Slot1Pack,dataPackMatExp,2,FALSE),0)</f>
        <v>5382.1736452800005</v>
      </c>
      <c r="F3317" s="23" t="s">
        <v>1006</v>
      </c>
    </row>
    <row r="3318" spans="1:6">
      <c r="A3318"/>
      <c r="D3318" s="23" t="s">
        <v>976</v>
      </c>
      <c r="E3318" s="257">
        <f>IF(calcCh3Prod2Slot2Active=1,finCalcCh3Prod2Slot2VolSold*VLOOKUP(decCh3Prod2Slot2Pack,dataPackMatExp,2,FALSE),0)</f>
        <v>12203.765823600002</v>
      </c>
      <c r="F3318" s="23" t="s">
        <v>1007</v>
      </c>
    </row>
    <row r="3319" spans="1:6">
      <c r="A3319"/>
      <c r="D3319" s="23" t="s">
        <v>977</v>
      </c>
      <c r="E3319" s="257">
        <f>IF(calcCh3Prod2Slot3Active=1,finCalcCh3Prod2Slot3VolSold*VLOOKUP(decCh3Prod2Slot3Pack,dataPackMatExp,2,FALSE),0)</f>
        <v>0</v>
      </c>
      <c r="F3319" s="23" t="s">
        <v>1008</v>
      </c>
    </row>
    <row r="3320" spans="1:6">
      <c r="A3320"/>
      <c r="C3320" s="23" t="s">
        <v>239</v>
      </c>
      <c r="E3320"/>
    </row>
    <row r="3321" spans="1:6">
      <c r="A3321"/>
      <c r="D3321" s="23" t="s">
        <v>975</v>
      </c>
      <c r="E3321" s="257">
        <f>IF(calcCh3Prod3Slot1Active=1,finCalcCh3Prod3Slot1VolSold*VLOOKUP(decCh3Prod3Slot1Pack,dataPackMatExp,2,FALSE),0)</f>
        <v>14707.102402800003</v>
      </c>
      <c r="F3321" s="23" t="s">
        <v>1009</v>
      </c>
    </row>
    <row r="3322" spans="1:6">
      <c r="A3322"/>
      <c r="D3322" s="23" t="s">
        <v>976</v>
      </c>
      <c r="E3322" s="257">
        <f>IF(calcCh3Prod3Slot2Active=1,finCalcCh3Prod3Slot2VolSold*VLOOKUP(decCh3Prod3Slot2Pack,dataPackMatExp,2,FALSE),0)</f>
        <v>0</v>
      </c>
      <c r="F3322" s="23" t="s">
        <v>1010</v>
      </c>
    </row>
    <row r="3323" spans="1:6">
      <c r="A3323"/>
      <c r="D3323" s="23" t="s">
        <v>977</v>
      </c>
      <c r="E3323" s="257">
        <f>IF(calcCh3Prod3Slot3Active=1,finCalcCh3Prod3Slot3VolSold*VLOOKUP(decCh3Prod3Slot3Pack,dataPackMatExp,2,FALSE),0)</f>
        <v>0</v>
      </c>
      <c r="F3323" s="23" t="s">
        <v>1011</v>
      </c>
    </row>
    <row r="3324" spans="1:6">
      <c r="A3324"/>
      <c r="C3324" s="23" t="s">
        <v>240</v>
      </c>
      <c r="E3324"/>
    </row>
    <row r="3325" spans="1:6">
      <c r="A3325"/>
      <c r="D3325" s="23" t="s">
        <v>975</v>
      </c>
      <c r="E3325" s="257">
        <f>IF(calcCh3Prod4Slot1Active=1,finCalcCh3Prod4Slot1VolSold*VLOOKUP(decCh3Prod4Slot1Pack,dataPackMatExp,2,FALSE),0)</f>
        <v>0</v>
      </c>
      <c r="F3325" s="23" t="s">
        <v>1012</v>
      </c>
    </row>
    <row r="3326" spans="1:6">
      <c r="A3326"/>
      <c r="D3326" s="23" t="s">
        <v>976</v>
      </c>
      <c r="E3326" s="257">
        <f>IF(calcCh3Prod4Slot2Active=1,finCalcCh3Prod4Slot2VolSold*VLOOKUP(decCh3Prod4Slot2Pack,dataPackMatExp,2,FALSE),0)</f>
        <v>0</v>
      </c>
      <c r="F3326" s="23" t="s">
        <v>1013</v>
      </c>
    </row>
    <row r="3327" spans="1:6">
      <c r="A3327"/>
      <c r="D3327" s="23" t="s">
        <v>977</v>
      </c>
      <c r="E3327" s="257">
        <f>IF(calcCh3Prod4Slot3Active=1,finCalcCh3Prod4Slot3VolSold*VLOOKUP(decCh3Prod4Slot3Pack,dataPackMatExp,2,FALSE),0)</f>
        <v>0</v>
      </c>
      <c r="F3327" s="23" t="s">
        <v>1014</v>
      </c>
    </row>
    <row r="3328" spans="1:6">
      <c r="A3328"/>
      <c r="B3328" s="23" t="s">
        <v>246</v>
      </c>
      <c r="E3328"/>
    </row>
    <row r="3329" spans="1:6">
      <c r="A3329"/>
      <c r="C3329" s="23" t="s">
        <v>12868</v>
      </c>
      <c r="E3329"/>
    </row>
    <row r="3330" spans="1:6">
      <c r="A3330"/>
      <c r="D3330" s="23" t="s">
        <v>975</v>
      </c>
      <c r="E3330" s="257">
        <f>IF(calcCh4Prod1Slot1Active=1,finCalcCh4Prod1Slot1VolSold*VLOOKUP(decCh4Prod1Slot1Pack,dataPackMatExp,2,FALSE),0)</f>
        <v>12924.136440000002</v>
      </c>
      <c r="F3330" s="23" t="s">
        <v>1015</v>
      </c>
    </row>
    <row r="3331" spans="1:6">
      <c r="A3331"/>
      <c r="D3331" s="23" t="s">
        <v>976</v>
      </c>
      <c r="E3331" s="257">
        <f>IF(calcCh4Prod1Slot2Active=1,finCalcCh4Prod1Slot2VolSold*VLOOKUP(decCh4Prod1Slot2Pack,dataPackMatExp,2,FALSE),0)</f>
        <v>0</v>
      </c>
      <c r="F3331" s="23" t="s">
        <v>1016</v>
      </c>
    </row>
    <row r="3332" spans="1:6">
      <c r="A3332"/>
      <c r="D3332" s="23" t="s">
        <v>977</v>
      </c>
      <c r="E3332" s="257">
        <f>IF(calcCh4Prod1Slot3Active=1,finCalcCh4Prod1Slot3VolSold*VLOOKUP(decCh4Prod1Slot3Pack,dataPackMatExp,2,FALSE),0)</f>
        <v>0</v>
      </c>
      <c r="F3332" s="23" t="s">
        <v>1017</v>
      </c>
    </row>
    <row r="3333" spans="1:6">
      <c r="A3333"/>
      <c r="C3333" s="23" t="s">
        <v>238</v>
      </c>
      <c r="E3333"/>
    </row>
    <row r="3334" spans="1:6">
      <c r="A3334"/>
      <c r="D3334" s="23" t="s">
        <v>975</v>
      </c>
      <c r="E3334" s="257">
        <f>IF(calcCh4Prod2Slot1Active=1,finCalcCh4Prod2Slot1VolSold*VLOOKUP(decCh4Prod2Slot1Pack,dataPackMatExp,2,FALSE),0)</f>
        <v>9002.7643104000017</v>
      </c>
      <c r="F3334" s="23" t="s">
        <v>1018</v>
      </c>
    </row>
    <row r="3335" spans="1:6">
      <c r="A3335"/>
      <c r="D3335" s="23" t="s">
        <v>976</v>
      </c>
      <c r="E3335" s="257">
        <f>IF(calcCh4Prod2Slot2Active=1,finCalcCh4Prod2Slot2VolSold*VLOOKUP(decCh4Prod2Slot2Pack,dataPackMatExp,2,FALSE),0)</f>
        <v>0</v>
      </c>
      <c r="F3335" s="23" t="s">
        <v>1019</v>
      </c>
    </row>
    <row r="3336" spans="1:6">
      <c r="A3336"/>
      <c r="D3336" s="23" t="s">
        <v>977</v>
      </c>
      <c r="E3336" s="257">
        <f>IF(calcCh4Prod2Slot3Active=1,finCalcCh4Prod2Slot3VolSold*VLOOKUP(decCh4Prod2Slot3Pack,dataPackMatExp,2,FALSE),0)</f>
        <v>0</v>
      </c>
      <c r="F3336" s="23" t="s">
        <v>1020</v>
      </c>
    </row>
    <row r="3337" spans="1:6">
      <c r="A3337"/>
      <c r="C3337" s="23" t="s">
        <v>239</v>
      </c>
      <c r="E3337"/>
    </row>
    <row r="3338" spans="1:6">
      <c r="A3338"/>
      <c r="D3338" s="23" t="s">
        <v>975</v>
      </c>
      <c r="E3338" s="257">
        <f>IF(calcCh4Prod3Slot1Active=1,finCalcCh4Prod3Slot1VolSold*VLOOKUP(decCh4Prod3Slot1Pack,dataPackMatExp,2,FALSE),0)</f>
        <v>6001.8428736000005</v>
      </c>
      <c r="F3338" s="23" t="s">
        <v>1021</v>
      </c>
    </row>
    <row r="3339" spans="1:6">
      <c r="A3339"/>
      <c r="D3339" s="23" t="s">
        <v>976</v>
      </c>
      <c r="E3339" s="257">
        <f>IF(calcCh4Prod3Slot2Active=1,finCalcCh4Prod3Slot2VolSold*VLOOKUP(decCh4Prod3Slot2Pack,dataPackMatExp,2,FALSE),0)</f>
        <v>0</v>
      </c>
      <c r="F3339" s="23" t="s">
        <v>1022</v>
      </c>
    </row>
    <row r="3340" spans="1:6">
      <c r="A3340"/>
      <c r="D3340" s="23" t="s">
        <v>977</v>
      </c>
      <c r="E3340" s="257">
        <f>IF(calcCh4Prod3Slot3Active=1,finCalcCh4Prod3Slot3VolSold*VLOOKUP(decCh4Prod3Slot3Pack,dataPackMatExp,2,FALSE),0)</f>
        <v>0</v>
      </c>
      <c r="F3340" s="23" t="s">
        <v>1023</v>
      </c>
    </row>
    <row r="3341" spans="1:6">
      <c r="A3341"/>
      <c r="C3341" s="23" t="s">
        <v>240</v>
      </c>
      <c r="E3341"/>
    </row>
    <row r="3342" spans="1:6">
      <c r="A3342"/>
      <c r="D3342" s="23" t="s">
        <v>975</v>
      </c>
      <c r="E3342" s="257">
        <f>IF(calcCh4Prod4Slot1Active=1,finCalcCh4Prod4Slot1VolSold*VLOOKUP(decCh4Prod4Slot1Pack,dataPackMatExp,2,FALSE),0)</f>
        <v>12304.376280000002</v>
      </c>
      <c r="F3342" s="23" t="s">
        <v>1024</v>
      </c>
    </row>
    <row r="3343" spans="1:6">
      <c r="A3343"/>
      <c r="D3343" s="23" t="s">
        <v>976</v>
      </c>
      <c r="E3343" s="257">
        <f>IF(calcCh4Prod4Slot2Active=1,finCalcCh4Prod4Slot2VolSold*VLOOKUP(decCh4Prod4Slot2Pack,dataPackMatExp,2,FALSE),0)</f>
        <v>0</v>
      </c>
      <c r="F3343" s="23" t="s">
        <v>1025</v>
      </c>
    </row>
    <row r="3344" spans="1:6">
      <c r="A3344"/>
      <c r="D3344" s="23" t="s">
        <v>977</v>
      </c>
      <c r="E3344" s="257">
        <f>IF(calcCh4Prod4Slot3Active=1,finCalcCh4Prod4Slot3VolSold*VLOOKUP(decCh4Prod4Slot3Pack,dataPackMatExp,2,FALSE),0)</f>
        <v>0</v>
      </c>
      <c r="F3344" s="23" t="s">
        <v>1026</v>
      </c>
    </row>
    <row r="3345" spans="3:6" ht="1.5" customHeight="1">
      <c r="C3345" s="259"/>
      <c r="D3345" s="197"/>
      <c r="E3345" s="260"/>
    </row>
    <row r="3346" spans="3:6">
      <c r="C3346" s="198" t="s">
        <v>527</v>
      </c>
      <c r="E3346" s="261">
        <f>SUM(E3279:E3344)</f>
        <v>244849.04736647042</v>
      </c>
      <c r="F3346" s="23" t="s">
        <v>528</v>
      </c>
    </row>
    <row r="3347" spans="3:6">
      <c r="E3347" s="262"/>
    </row>
    <row r="3348" spans="3:6">
      <c r="C3348" s="198" t="s">
        <v>559</v>
      </c>
      <c r="E3348" s="262"/>
    </row>
    <row r="3349" spans="3:6">
      <c r="D3349" s="23" t="s">
        <v>13836</v>
      </c>
      <c r="E3349" s="262">
        <f>obalPlant1Units*paramPlant1RampUpPct</f>
        <v>25</v>
      </c>
      <c r="F3349" s="23" t="s">
        <v>568</v>
      </c>
    </row>
    <row r="3350" spans="3:6">
      <c r="D3350" s="23" t="s">
        <v>2913</v>
      </c>
      <c r="E3350" s="262">
        <f>paramPlant1MachHrsPUnit*CalcPlant1UnitsAvailPreInvest*paramPlant1MaxUtiliz*(1-CalcPlant1ResetPct)</f>
        <v>144000</v>
      </c>
      <c r="F3350" s="23" t="s">
        <v>567</v>
      </c>
    </row>
    <row r="3351" spans="3:6">
      <c r="D3351" s="23" t="s">
        <v>532</v>
      </c>
      <c r="E3351" s="263">
        <f>(CalcPlant1HoursReq/(CalcPlant1HoursAvailPreInvest))</f>
        <v>1.7003406067116</v>
      </c>
      <c r="F3351" s="23" t="s">
        <v>569</v>
      </c>
    </row>
    <row r="3352" spans="3:6">
      <c r="E3352" s="262"/>
    </row>
    <row r="3353" spans="3:6">
      <c r="D3353" s="23" t="s">
        <v>13837</v>
      </c>
      <c r="E3353" s="262">
        <v>0</v>
      </c>
    </row>
    <row r="3354" spans="3:6">
      <c r="D3354" s="23" t="s">
        <v>13838</v>
      </c>
      <c r="E3354" s="257">
        <f>IF(E3351&gt;1,E3351*Obal!E93-E3349,0)</f>
        <v>17.508515167790001</v>
      </c>
    </row>
    <row r="3355" spans="3:6">
      <c r="C3355" s="198" t="s">
        <v>13839</v>
      </c>
      <c r="E3355" s="261">
        <f>obalSI1CodeR1-E3353+E3354</f>
        <v>17.508515167790001</v>
      </c>
      <c r="F3355" s="23" t="s">
        <v>529</v>
      </c>
    </row>
    <row r="3356" spans="3:6">
      <c r="D3356" s="23" t="s">
        <v>13836</v>
      </c>
      <c r="E3356" s="262">
        <f>obalPlant1Units-E3353+E3354*paramPlant1RampUpPct</f>
        <v>42.508515167790001</v>
      </c>
      <c r="F3356" s="23" t="s">
        <v>530</v>
      </c>
    </row>
    <row r="3357" spans="3:6">
      <c r="D3357" s="23" t="s">
        <v>2912</v>
      </c>
      <c r="E3357" s="262">
        <f>paramPlant1MachHrsPUnit*CalcPlant1UnitsAvail*paramPlant1MaxUtiliz</f>
        <v>306061.30920808803</v>
      </c>
      <c r="F3357" s="23" t="s">
        <v>531</v>
      </c>
    </row>
    <row r="3358" spans="3:6">
      <c r="D3358" s="23" t="s">
        <v>532</v>
      </c>
      <c r="E3358" s="275">
        <f>CalcPlant1HoursReq/CalcPlant1HoursAvail</f>
        <v>0.79999999999999993</v>
      </c>
      <c r="F3358" s="23" t="s">
        <v>533</v>
      </c>
    </row>
    <row r="3359" spans="3:6">
      <c r="D3359" s="23" t="s">
        <v>534</v>
      </c>
      <c r="E3359" s="263">
        <f>paramPlant1ResetTime</f>
        <v>0.2</v>
      </c>
      <c r="F3359" s="23" t="s">
        <v>535</v>
      </c>
    </row>
    <row r="3360" spans="3:6">
      <c r="D3360" s="23" t="s">
        <v>536</v>
      </c>
      <c r="E3360" s="263" t="b">
        <f>IF(CalcPlant1HoursReq/(CalcPlant1HoursAvail+0.0001)&gt;1-CalcPlant1ResetPct,TRUE,FALSE)</f>
        <v>0</v>
      </c>
      <c r="F3360" s="23" t="s">
        <v>537</v>
      </c>
    </row>
    <row r="3361" spans="2:6">
      <c r="D3361" s="23" t="s">
        <v>578</v>
      </c>
      <c r="E3361" s="262">
        <f>E3354*paramPlant1InvCost</f>
        <v>437712879.19475001</v>
      </c>
      <c r="F3361" s="23" t="s">
        <v>562</v>
      </c>
    </row>
    <row r="3362" spans="2:6">
      <c r="C3362" s="198" t="s">
        <v>538</v>
      </c>
      <c r="E3362" s="261">
        <f>E3361</f>
        <v>437712879.19475001</v>
      </c>
      <c r="F3362" s="23" t="s">
        <v>539</v>
      </c>
    </row>
    <row r="3363" spans="2:6">
      <c r="C3363" s="198"/>
      <c r="D3363" s="23" t="s">
        <v>540</v>
      </c>
      <c r="E3363" s="933">
        <v>0</v>
      </c>
      <c r="F3363" s="23" t="s">
        <v>541</v>
      </c>
    </row>
    <row r="3364" spans="2:6">
      <c r="C3364" s="198"/>
      <c r="D3364" s="23" t="s">
        <v>579</v>
      </c>
      <c r="E3364" s="933">
        <v>0</v>
      </c>
      <c r="F3364" s="23" t="s">
        <v>542</v>
      </c>
    </row>
    <row r="3365" spans="2:6">
      <c r="C3365" s="198"/>
      <c r="D3365" s="23" t="s">
        <v>580</v>
      </c>
      <c r="E3365" s="933">
        <v>0</v>
      </c>
      <c r="F3365" s="23" t="s">
        <v>543</v>
      </c>
    </row>
    <row r="3366" spans="2:6">
      <c r="E3366" s="126"/>
    </row>
    <row r="3367" spans="2:6">
      <c r="C3367" s="198" t="s">
        <v>544</v>
      </c>
      <c r="E3367" s="261">
        <f>paramPlant1MachCostPHr*CalcPlant1HoursReq</f>
        <v>257091499.73479393</v>
      </c>
      <c r="F3367" s="23" t="s">
        <v>545</v>
      </c>
    </row>
    <row r="3368" spans="2:6">
      <c r="E3368" s="264"/>
    </row>
    <row r="3369" spans="2:6">
      <c r="C3369" s="198" t="s">
        <v>546</v>
      </c>
      <c r="E3369" s="126"/>
    </row>
    <row r="3370" spans="2:6">
      <c r="B3370" s="23" t="s">
        <v>244</v>
      </c>
      <c r="E3370"/>
    </row>
    <row r="3371" spans="2:6">
      <c r="C3371" s="23" t="s">
        <v>12868</v>
      </c>
      <c r="E3371" s="263"/>
    </row>
    <row r="3372" spans="2:6">
      <c r="D3372" s="23" t="s">
        <v>975</v>
      </c>
      <c r="E3372" s="263">
        <f>IF(CalcPlant1HoursReq=0,0,CalcPlant1Ch1Prod1Slot1HoursReq/CalcPlant1HoursReq)</f>
        <v>7.4700444242900815E-2</v>
      </c>
      <c r="F3372" s="23" t="s">
        <v>978</v>
      </c>
    </row>
    <row r="3373" spans="2:6">
      <c r="D3373" s="23" t="s">
        <v>976</v>
      </c>
      <c r="E3373" s="263">
        <f>IF(CalcPlant1HoursReq=0,0,CalcPlant1Ch1Prod1Slot2HoursReq/CalcPlant1HoursReq)</f>
        <v>0</v>
      </c>
      <c r="F3373" s="23" t="s">
        <v>1027</v>
      </c>
    </row>
    <row r="3374" spans="2:6">
      <c r="D3374" s="23" t="s">
        <v>977</v>
      </c>
      <c r="E3374" s="263">
        <f>IF(CalcPlant1HoursReq=0,0,CalcPlant1Ch1Prod1Slot3HoursReq/CalcPlant1HoursReq)</f>
        <v>0</v>
      </c>
      <c r="F3374" s="23" t="s">
        <v>1028</v>
      </c>
    </row>
    <row r="3375" spans="2:6">
      <c r="C3375" s="23" t="s">
        <v>238</v>
      </c>
      <c r="E3375"/>
    </row>
    <row r="3376" spans="2:6">
      <c r="D3376" s="23" t="s">
        <v>975</v>
      </c>
      <c r="E3376" s="263">
        <f>IF(CalcPlant1HoursReq=0,0,CalcPlant1Ch1Prod2Slot1HoursReq/CalcPlant1HoursReq)</f>
        <v>6.2372286640324966E-2</v>
      </c>
      <c r="F3376" s="23" t="s">
        <v>1029</v>
      </c>
    </row>
    <row r="3377" spans="2:6">
      <c r="D3377" s="23" t="s">
        <v>976</v>
      </c>
      <c r="E3377" s="263">
        <f>IF(CalcPlant1HoursReq=0,0,CalcPlant1Ch1Prod2Slot2HoursReq/CalcPlant1HoursReq)</f>
        <v>0.11523562002023868</v>
      </c>
      <c r="F3377" s="23" t="s">
        <v>1030</v>
      </c>
    </row>
    <row r="3378" spans="2:6">
      <c r="D3378" s="23" t="s">
        <v>977</v>
      </c>
      <c r="E3378" s="263">
        <f>IF(CalcPlant1HoursReq=0,0,CalcPlant1Ch1Prod2Slot3HoursReq/CalcPlant1HoursReq)</f>
        <v>0</v>
      </c>
      <c r="F3378" s="23" t="s">
        <v>1031</v>
      </c>
    </row>
    <row r="3379" spans="2:6">
      <c r="C3379" s="23" t="s">
        <v>239</v>
      </c>
      <c r="E3379"/>
    </row>
    <row r="3380" spans="2:6">
      <c r="D3380" s="23" t="s">
        <v>975</v>
      </c>
      <c r="E3380" s="263">
        <f>IF(CalcPlant1HoursReq=0,0,CalcPlant1Ch1Prod3Slot1HoursReq/CalcPlant1HoursReq)</f>
        <v>3.5242222253275793E-2</v>
      </c>
      <c r="F3380" s="23" t="s">
        <v>1032</v>
      </c>
    </row>
    <row r="3381" spans="2:6">
      <c r="D3381" s="23" t="s">
        <v>976</v>
      </c>
      <c r="E3381" s="263">
        <f>IF(CalcPlant1HoursReq=0,0,CalcPlant1Ch1Prod3Slot2HoursReq/CalcPlant1HoursReq)</f>
        <v>8.3807723651082661E-2</v>
      </c>
      <c r="F3381" s="23" t="s">
        <v>1033</v>
      </c>
    </row>
    <row r="3382" spans="2:6">
      <c r="D3382" s="23" t="s">
        <v>977</v>
      </c>
      <c r="E3382" s="263">
        <f>IF(CalcPlant1HoursReq=0,0,CalcPlant1Ch1Prod3Slot3HoursReq/CalcPlant1HoursReq)</f>
        <v>0</v>
      </c>
      <c r="F3382" s="23" t="s">
        <v>1034</v>
      </c>
    </row>
    <row r="3383" spans="2:6">
      <c r="C3383" s="23" t="s">
        <v>240</v>
      </c>
      <c r="E3383"/>
    </row>
    <row r="3384" spans="2:6">
      <c r="D3384" s="23" t="s">
        <v>975</v>
      </c>
      <c r="E3384" s="263">
        <f>IF(CalcPlant1HoursReq=0,0,CalcPlant1Ch1Prod4Slot1HoursReq/CalcPlant1HoursReq)</f>
        <v>0</v>
      </c>
      <c r="F3384" s="23" t="s">
        <v>1035</v>
      </c>
    </row>
    <row r="3385" spans="2:6">
      <c r="D3385" s="23" t="s">
        <v>976</v>
      </c>
      <c r="E3385" s="263">
        <f>IF(CalcPlant1HoursReq=0,0,CalcPlant1Ch1Prod4Slot2HoursReq/CalcPlant1HoursReq)</f>
        <v>0</v>
      </c>
      <c r="F3385" s="23" t="s">
        <v>1036</v>
      </c>
    </row>
    <row r="3386" spans="2:6">
      <c r="D3386" s="23" t="s">
        <v>977</v>
      </c>
      <c r="E3386" s="263">
        <f>IF(CalcPlant1HoursReq=0,0,CalcPlant1Ch1Prod4Slot3HoursReq/CalcPlant1HoursReq)</f>
        <v>0</v>
      </c>
      <c r="F3386" s="23" t="s">
        <v>1037</v>
      </c>
    </row>
    <row r="3387" spans="2:6">
      <c r="B3387" s="23" t="s">
        <v>245</v>
      </c>
      <c r="E3387"/>
    </row>
    <row r="3388" spans="2:6">
      <c r="C3388" s="23" t="s">
        <v>12868</v>
      </c>
      <c r="E3388"/>
    </row>
    <row r="3389" spans="2:6">
      <c r="D3389" s="23" t="s">
        <v>975</v>
      </c>
      <c r="E3389" s="263">
        <f>IF(CalcPlant1HoursReq=0,0,CalcPlant1Ch2Prod1Slot1HoursReq/CalcPlant1HoursReq)</f>
        <v>2.5634565820489761E-2</v>
      </c>
      <c r="F3389" s="23" t="s">
        <v>1038</v>
      </c>
    </row>
    <row r="3390" spans="2:6">
      <c r="D3390" s="23" t="s">
        <v>976</v>
      </c>
      <c r="E3390" s="263">
        <f>IF(CalcPlant1HoursReq=0,0,CalcPlant1Ch2Prod1Slot2HoursReq/CalcPlant1HoursReq)</f>
        <v>0</v>
      </c>
      <c r="F3390" s="23" t="s">
        <v>1039</v>
      </c>
    </row>
    <row r="3391" spans="2:6">
      <c r="D3391" s="23" t="s">
        <v>977</v>
      </c>
      <c r="E3391" s="263">
        <f>IF(CalcPlant1HoursReq=0,0,CalcPlant1Ch2Prod1Slot3HoursReq/CalcPlant1HoursReq)</f>
        <v>0</v>
      </c>
      <c r="F3391" s="23" t="s">
        <v>1040</v>
      </c>
    </row>
    <row r="3392" spans="2:6">
      <c r="C3392" s="23" t="s">
        <v>238</v>
      </c>
      <c r="E3392"/>
    </row>
    <row r="3393" spans="2:6">
      <c r="D3393" s="23" t="s">
        <v>975</v>
      </c>
      <c r="E3393" s="263">
        <f>IF(CalcPlant1HoursReq=0,0,CalcPlant1Ch2Prod2Slot1HoursReq/CalcPlant1HoursReq)</f>
        <v>0.1871323304895752</v>
      </c>
      <c r="F3393" s="23" t="s">
        <v>1041</v>
      </c>
    </row>
    <row r="3394" spans="2:6">
      <c r="D3394" s="23" t="s">
        <v>976</v>
      </c>
      <c r="E3394" s="263">
        <f>IF(CalcPlant1HoursReq=0,0,CalcPlant1Ch2Prod2Slot2HoursReq/CalcPlant1HoursReq)</f>
        <v>0</v>
      </c>
      <c r="F3394" s="23" t="s">
        <v>1042</v>
      </c>
    </row>
    <row r="3395" spans="2:6">
      <c r="D3395" s="23" t="s">
        <v>977</v>
      </c>
      <c r="E3395" s="263">
        <f>IF(CalcPlant1HoursReq=0,0,CalcPlant1Ch2Prod2Slot3HoursReq/CalcPlant1HoursReq)</f>
        <v>0</v>
      </c>
      <c r="F3395" s="23" t="s">
        <v>1043</v>
      </c>
    </row>
    <row r="3396" spans="2:6">
      <c r="C3396" s="23" t="s">
        <v>239</v>
      </c>
      <c r="E3396"/>
    </row>
    <row r="3397" spans="2:6">
      <c r="D3397" s="23" t="s">
        <v>975</v>
      </c>
      <c r="E3397" s="263">
        <f>IF(CalcPlant1HoursReq=0,0,CalcPlant1Ch2Prod3Slot1HoursReq/CalcPlant1HoursReq)</f>
        <v>7.0067813242672014E-2</v>
      </c>
      <c r="F3397" s="23" t="s">
        <v>1044</v>
      </c>
    </row>
    <row r="3398" spans="2:6">
      <c r="D3398" s="23" t="s">
        <v>976</v>
      </c>
      <c r="E3398" s="263">
        <f>IF(CalcPlant1HoursReq=0,0,CalcPlant1Ch2Prod3Slot2HoursReq/CalcPlant1HoursReq)</f>
        <v>0</v>
      </c>
      <c r="F3398" s="23" t="s">
        <v>1045</v>
      </c>
    </row>
    <row r="3399" spans="2:6">
      <c r="D3399" s="23" t="s">
        <v>977</v>
      </c>
      <c r="E3399" s="263">
        <f>IF(CalcPlant1HoursReq=0,0,CalcPlant1Ch2Prod3Slot3HoursReq/CalcPlant1HoursReq)</f>
        <v>0</v>
      </c>
      <c r="F3399" s="23" t="s">
        <v>1046</v>
      </c>
    </row>
    <row r="3400" spans="2:6">
      <c r="C3400" s="23" t="s">
        <v>240</v>
      </c>
      <c r="E3400"/>
    </row>
    <row r="3401" spans="2:6">
      <c r="D3401" s="23" t="s">
        <v>975</v>
      </c>
      <c r="E3401" s="263">
        <f>IF(CalcPlant1HoursReq=0,0,CalcPlant1Ch2Prod4Slot1HoursReq/CalcPlant1HoursReq)</f>
        <v>0</v>
      </c>
      <c r="F3401" s="23" t="s">
        <v>1047</v>
      </c>
    </row>
    <row r="3402" spans="2:6">
      <c r="D3402" s="23" t="s">
        <v>976</v>
      </c>
      <c r="E3402" s="263">
        <f>IF(CalcPlant1HoursReq=0,0,CalcPlant1Ch2Prod4Slot2HoursReq/CalcPlant1HoursReq)</f>
        <v>0</v>
      </c>
      <c r="F3402" s="23" t="s">
        <v>1048</v>
      </c>
    </row>
    <row r="3403" spans="2:6">
      <c r="D3403" s="23" t="s">
        <v>977</v>
      </c>
      <c r="E3403" s="263">
        <f>IF(CalcPlant1HoursReq=0,0,CalcPlant1Ch2Prod4Slot3HoursReq/CalcPlant1HoursReq)</f>
        <v>0</v>
      </c>
      <c r="F3403" s="23" t="s">
        <v>1049</v>
      </c>
    </row>
    <row r="3404" spans="2:6">
      <c r="B3404" s="23" t="s">
        <v>5199</v>
      </c>
      <c r="E3404" s="263"/>
    </row>
    <row r="3405" spans="2:6">
      <c r="C3405" s="23" t="s">
        <v>12868</v>
      </c>
      <c r="E3405" s="263"/>
    </row>
    <row r="3406" spans="2:6">
      <c r="D3406" s="23" t="s">
        <v>975</v>
      </c>
      <c r="E3406" s="263">
        <f>IF(CalcPlant1HoursReq=0,0,CalcPlant1Ch3Prod1Slot1HoursReq/CalcPlant1HoursReq)</f>
        <v>4.9599340165793294E-2</v>
      </c>
      <c r="F3406" s="23" t="s">
        <v>1050</v>
      </c>
    </row>
    <row r="3407" spans="2:6">
      <c r="D3407" s="23" t="s">
        <v>976</v>
      </c>
      <c r="E3407" s="263">
        <f>IF(CalcPlant1HoursReq=0,0,CalcPlant1Ch3Prod1Slot2HoursReq/CalcPlant1HoursReq)</f>
        <v>0</v>
      </c>
      <c r="F3407" s="23" t="s">
        <v>1051</v>
      </c>
    </row>
    <row r="3408" spans="2:6">
      <c r="D3408" s="23" t="s">
        <v>977</v>
      </c>
      <c r="E3408" s="263">
        <f>IF(CalcPlant1HoursReq=0,0,CalcPlant1Ch3Prod1Slot3HoursReq/CalcPlant1HoursReq)</f>
        <v>0</v>
      </c>
      <c r="F3408" s="23" t="s">
        <v>1052</v>
      </c>
    </row>
    <row r="3409" spans="2:6">
      <c r="C3409" s="23" t="s">
        <v>238</v>
      </c>
      <c r="E3409"/>
    </row>
    <row r="3410" spans="2:6">
      <c r="D3410" s="23" t="s">
        <v>975</v>
      </c>
      <c r="E3410" s="263">
        <f>IF(CalcPlant1HoursReq=0,0,CalcPlant1Ch3Prod2Slot1HoursReq/CalcPlant1HoursReq)</f>
        <v>2.1981599288088693E-2</v>
      </c>
      <c r="F3410" s="23" t="s">
        <v>1053</v>
      </c>
    </row>
    <row r="3411" spans="2:6">
      <c r="D3411" s="23" t="s">
        <v>976</v>
      </c>
      <c r="E3411" s="263">
        <f>IF(CalcPlant1HoursReq=0,0,CalcPlant1Ch3Prod2Slot2HoursReq/CalcPlant1HoursReq)</f>
        <v>4.9841998385782502E-2</v>
      </c>
      <c r="F3411" s="23" t="s">
        <v>1054</v>
      </c>
    </row>
    <row r="3412" spans="2:6">
      <c r="D3412" s="23" t="s">
        <v>977</v>
      </c>
      <c r="E3412" s="263">
        <f>IF(CalcPlant1HoursReq=0,0,CalcPlant1Ch3Prod2Slot3HoursReq/CalcPlant1HoursReq)</f>
        <v>0</v>
      </c>
      <c r="F3412" s="23" t="s">
        <v>1055</v>
      </c>
    </row>
    <row r="3413" spans="2:6">
      <c r="C3413" s="23" t="s">
        <v>239</v>
      </c>
      <c r="E3413"/>
    </row>
    <row r="3414" spans="2:6">
      <c r="D3414" s="23" t="s">
        <v>975</v>
      </c>
      <c r="E3414" s="263">
        <f>IF(CalcPlant1HoursReq=0,0,CalcPlant1Ch3Prod3Slot1HoursReq/CalcPlant1HoursReq)</f>
        <v>6.0065998054660966E-2</v>
      </c>
      <c r="F3414" s="23" t="s">
        <v>1056</v>
      </c>
    </row>
    <row r="3415" spans="2:6">
      <c r="D3415" s="23" t="s">
        <v>976</v>
      </c>
      <c r="E3415" s="263">
        <f>IF(CalcPlant1HoursReq=0,0,CalcPlant1Ch3Prod3Slot2HoursReq/CalcPlant1HoursReq)</f>
        <v>0</v>
      </c>
      <c r="F3415" s="23" t="s">
        <v>1057</v>
      </c>
    </row>
    <row r="3416" spans="2:6">
      <c r="D3416" s="23" t="s">
        <v>977</v>
      </c>
      <c r="E3416" s="263">
        <f>IF(CalcPlant1HoursReq=0,0,CalcPlant1Ch3Prod3Slot3HoursReq/CalcPlant1HoursReq)</f>
        <v>0</v>
      </c>
      <c r="F3416" s="23" t="s">
        <v>1058</v>
      </c>
    </row>
    <row r="3417" spans="2:6">
      <c r="C3417" s="23" t="s">
        <v>240</v>
      </c>
      <c r="E3417"/>
    </row>
    <row r="3418" spans="2:6">
      <c r="D3418" s="23" t="s">
        <v>975</v>
      </c>
      <c r="E3418" s="263">
        <f>IF(CalcPlant1HoursReq=0,0,CalcPlant1Ch3Prod4Slot1HoursReq/CalcPlant1HoursReq)</f>
        <v>0</v>
      </c>
      <c r="F3418" s="23" t="s">
        <v>1059</v>
      </c>
    </row>
    <row r="3419" spans="2:6">
      <c r="D3419" s="23" t="s">
        <v>976</v>
      </c>
      <c r="E3419" s="263">
        <f>IF(CalcPlant1HoursReq=0,0,CalcPlant1Ch3Prod4Slot2HoursReq/CalcPlant1HoursReq)</f>
        <v>0</v>
      </c>
      <c r="F3419" s="23" t="s">
        <v>1060</v>
      </c>
    </row>
    <row r="3420" spans="2:6">
      <c r="D3420" s="23" t="s">
        <v>977</v>
      </c>
      <c r="E3420" s="263">
        <f>IF(CalcPlant1HoursReq=0,0,CalcPlant1Ch3Prod4Slot3HoursReq/CalcPlant1HoursReq)</f>
        <v>0</v>
      </c>
      <c r="F3420" s="23" t="s">
        <v>1061</v>
      </c>
    </row>
    <row r="3421" spans="2:6">
      <c r="B3421" s="23" t="s">
        <v>246</v>
      </c>
      <c r="E3421"/>
    </row>
    <row r="3422" spans="2:6">
      <c r="C3422" s="23" t="s">
        <v>12868</v>
      </c>
      <c r="E3422"/>
    </row>
    <row r="3423" spans="2:6">
      <c r="D3423" s="23" t="s">
        <v>975</v>
      </c>
      <c r="E3423" s="263">
        <f>IF(CalcPlant1HoursReq=0,0,CalcPlant1Ch4Prod1Slot1HoursReq/CalcPlant1HoursReq)</f>
        <v>5.2784099342057848E-2</v>
      </c>
      <c r="F3423" s="23" t="s">
        <v>1062</v>
      </c>
    </row>
    <row r="3424" spans="2:6">
      <c r="D3424" s="23" t="s">
        <v>976</v>
      </c>
      <c r="E3424" s="263">
        <f>IF(CalcPlant1HoursReq=0,0,CalcPlant1Ch4Prod1Slot2HoursReq/CalcPlant1HoursReq)</f>
        <v>0</v>
      </c>
      <c r="F3424" s="23" t="s">
        <v>1063</v>
      </c>
    </row>
    <row r="3425" spans="3:6">
      <c r="D3425" s="23" t="s">
        <v>977</v>
      </c>
      <c r="E3425" s="263">
        <f>IF(CalcPlant1HoursReq=0,0,CalcPlant1Ch4Prod1Slot3HoursReq/CalcPlant1HoursReq)</f>
        <v>0</v>
      </c>
      <c r="F3425" s="23" t="s">
        <v>1064</v>
      </c>
    </row>
    <row r="3426" spans="3:6">
      <c r="C3426" s="23" t="s">
        <v>238</v>
      </c>
      <c r="E3426"/>
    </row>
    <row r="3427" spans="3:6">
      <c r="D3427" s="23" t="s">
        <v>975</v>
      </c>
      <c r="E3427" s="263">
        <f>IF(CalcPlant1HoursReq=0,0,CalcPlant1Ch4Prod2Slot1HoursReq/CalcPlant1HoursReq)</f>
        <v>3.6768631151443222E-2</v>
      </c>
      <c r="F3427" s="23" t="s">
        <v>1065</v>
      </c>
    </row>
    <row r="3428" spans="3:6">
      <c r="D3428" s="23" t="s">
        <v>976</v>
      </c>
      <c r="E3428" s="263">
        <f>IF(CalcPlant1HoursReq=0,0,CalcPlant1Ch4Prod2Slot2HoursReq/CalcPlant1HoursReq)</f>
        <v>0</v>
      </c>
      <c r="F3428" s="23" t="s">
        <v>1066</v>
      </c>
    </row>
    <row r="3429" spans="3:6">
      <c r="D3429" s="23" t="s">
        <v>977</v>
      </c>
      <c r="E3429" s="263">
        <f>IF(CalcPlant1HoursReq=0,0,CalcPlant1Ch4Prod2Slot3HoursReq/CalcPlant1HoursReq)</f>
        <v>0</v>
      </c>
      <c r="F3429" s="23" t="s">
        <v>1067</v>
      </c>
    </row>
    <row r="3430" spans="3:6">
      <c r="C3430" s="23" t="s">
        <v>239</v>
      </c>
      <c r="E3430"/>
    </row>
    <row r="3431" spans="3:6">
      <c r="D3431" s="23" t="s">
        <v>975</v>
      </c>
      <c r="E3431" s="263">
        <f>IF(CalcPlant1HoursReq=0,0,CalcPlant1Ch4Prod3Slot1HoursReq/CalcPlant1HoursReq)</f>
        <v>2.4512420767628815E-2</v>
      </c>
      <c r="F3431" s="23" t="s">
        <v>1068</v>
      </c>
    </row>
    <row r="3432" spans="3:6">
      <c r="D3432" s="23" t="s">
        <v>976</v>
      </c>
      <c r="E3432" s="263">
        <f>IF(CalcPlant1HoursReq=0,0,CalcPlant1Ch4Prod3Slot2HoursReq/CalcPlant1HoursReq)</f>
        <v>0</v>
      </c>
      <c r="F3432" s="23" t="s">
        <v>1069</v>
      </c>
    </row>
    <row r="3433" spans="3:6">
      <c r="D3433" s="23" t="s">
        <v>977</v>
      </c>
      <c r="E3433" s="263">
        <f>IF(CalcPlant1HoursReq=0,0,CalcPlant1Ch4Prod3Slot3HoursReq/CalcPlant1HoursReq)</f>
        <v>0</v>
      </c>
      <c r="F3433" s="23" t="s">
        <v>1070</v>
      </c>
    </row>
    <row r="3434" spans="3:6">
      <c r="C3434" s="23" t="s">
        <v>240</v>
      </c>
      <c r="E3434"/>
    </row>
    <row r="3435" spans="3:6">
      <c r="D3435" s="23" t="s">
        <v>975</v>
      </c>
      <c r="E3435" s="263">
        <f>IF(CalcPlant1HoursReq=0,0,CalcPlant1Ch4Prod4Slot1HoursReq/CalcPlant1HoursReq)</f>
        <v>5.0252906483984797E-2</v>
      </c>
      <c r="F3435" s="23" t="s">
        <v>1071</v>
      </c>
    </row>
    <row r="3436" spans="3:6">
      <c r="D3436" s="23" t="s">
        <v>976</v>
      </c>
      <c r="E3436" s="263">
        <f>IF(CalcPlant1HoursReq=0,0,CalcPlant1Ch4Prod4Slot2HoursReq/CalcPlant1HoursReq)</f>
        <v>0</v>
      </c>
      <c r="F3436" s="23" t="s">
        <v>1072</v>
      </c>
    </row>
    <row r="3437" spans="3:6">
      <c r="D3437" s="23" t="s">
        <v>977</v>
      </c>
      <c r="E3437" s="263">
        <f>IF(CalcPlant1HoursReq=0,0,CalcPlant1Ch4Prod4Slot3HoursReq/CalcPlant1HoursReq)</f>
        <v>0</v>
      </c>
      <c r="F3437" s="23" t="s">
        <v>1073</v>
      </c>
    </row>
    <row r="3438" spans="3:6" ht="1.5" customHeight="1">
      <c r="C3438" s="197"/>
      <c r="D3438" s="197"/>
      <c r="E3438" s="265"/>
    </row>
    <row r="3439" spans="3:6">
      <c r="D3439" s="198" t="s">
        <v>14</v>
      </c>
      <c r="E3439" s="263">
        <f>SUM(E3372:E3437)</f>
        <v>1</v>
      </c>
    </row>
    <row r="3440" spans="3:6">
      <c r="E3440" s="126"/>
    </row>
    <row r="3441" spans="2:6">
      <c r="C3441" s="198" t="s">
        <v>1122</v>
      </c>
      <c r="E3441" s="126"/>
    </row>
    <row r="3442" spans="2:6">
      <c r="B3442" s="23" t="s">
        <v>244</v>
      </c>
    </row>
    <row r="3443" spans="2:6">
      <c r="C3443" s="23" t="s">
        <v>12868</v>
      </c>
      <c r="E3443" s="262"/>
    </row>
    <row r="3444" spans="2:6">
      <c r="D3444" s="23" t="s">
        <v>975</v>
      </c>
      <c r="E3444" s="262">
        <f>CalcPlant1Ch1Prod1Slot1Alloc*CalcPlant1MachCost</f>
        <v>19204849.241262723</v>
      </c>
      <c r="F3444" s="23" t="s">
        <v>1074</v>
      </c>
    </row>
    <row r="3445" spans="2:6">
      <c r="D3445" s="23" t="s">
        <v>976</v>
      </c>
      <c r="E3445" s="262">
        <f>CalcPlant1Ch1Prod1Slot2Alloc*CalcPlant1MachCost</f>
        <v>0</v>
      </c>
      <c r="F3445" s="23" t="s">
        <v>1075</v>
      </c>
    </row>
    <row r="3446" spans="2:6">
      <c r="D3446" s="23" t="s">
        <v>977</v>
      </c>
      <c r="E3446" s="262">
        <f>CalcPlant1Ch1Prod1Slot3Alloc*CalcPlant1MachCost</f>
        <v>0</v>
      </c>
      <c r="F3446" s="23" t="s">
        <v>1076</v>
      </c>
    </row>
    <row r="3447" spans="2:6">
      <c r="C3447" s="23" t="s">
        <v>238</v>
      </c>
      <c r="E3447"/>
    </row>
    <row r="3448" spans="2:6">
      <c r="D3448" s="23" t="s">
        <v>975</v>
      </c>
      <c r="E3448" s="262">
        <f>CalcPlant1Ch1Prod2Slot1Alloc*CalcPlant1MachCost</f>
        <v>16035384.714249598</v>
      </c>
      <c r="F3448" s="23" t="s">
        <v>1077</v>
      </c>
    </row>
    <row r="3449" spans="2:6">
      <c r="D3449" s="23" t="s">
        <v>976</v>
      </c>
      <c r="E3449" s="262">
        <f>CalcPlant1Ch1Prod2Slot2Alloc*CalcPlant1MachCost</f>
        <v>29626098.373872008</v>
      </c>
      <c r="F3449" s="23" t="s">
        <v>1078</v>
      </c>
    </row>
    <row r="3450" spans="2:6">
      <c r="D3450" s="23" t="s">
        <v>977</v>
      </c>
      <c r="E3450" s="262">
        <f>CalcPlant1Ch1Prod2Slot3Alloc*CalcPlant1MachCost</f>
        <v>0</v>
      </c>
      <c r="F3450" s="23" t="s">
        <v>1079</v>
      </c>
    </row>
    <row r="3451" spans="2:6">
      <c r="C3451" s="23" t="s">
        <v>239</v>
      </c>
      <c r="E3451"/>
    </row>
    <row r="3452" spans="2:6">
      <c r="D3452" s="23" t="s">
        <v>975</v>
      </c>
      <c r="E3452" s="262">
        <f>CalcPlant1Ch1Prod3Slot1Alloc*CalcPlant1MachCost</f>
        <v>9060475.7730816025</v>
      </c>
      <c r="F3452" s="23" t="s">
        <v>1080</v>
      </c>
    </row>
    <row r="3453" spans="2:6">
      <c r="D3453" s="23" t="s">
        <v>976</v>
      </c>
      <c r="E3453" s="262">
        <f>CalcPlant1Ch1Prod3Slot2Alloc*CalcPlant1MachCost</f>
        <v>21546253.362816002</v>
      </c>
      <c r="F3453" s="23" t="s">
        <v>1081</v>
      </c>
    </row>
    <row r="3454" spans="2:6">
      <c r="D3454" s="23" t="s">
        <v>977</v>
      </c>
      <c r="E3454" s="262">
        <f>CalcPlant1Ch1Prod3Slot3Alloc*CalcPlant1MachCost</f>
        <v>0</v>
      </c>
      <c r="F3454" s="23" t="s">
        <v>1082</v>
      </c>
    </row>
    <row r="3455" spans="2:6">
      <c r="C3455" s="23" t="s">
        <v>240</v>
      </c>
      <c r="E3455"/>
    </row>
    <row r="3456" spans="2:6">
      <c r="D3456" s="23" t="s">
        <v>975</v>
      </c>
      <c r="E3456" s="262">
        <f>CalcPlant1Ch1Prod4Slot1Alloc*CalcPlant1MachCost</f>
        <v>0</v>
      </c>
      <c r="F3456" s="23" t="s">
        <v>1083</v>
      </c>
    </row>
    <row r="3457" spans="2:6">
      <c r="D3457" s="23" t="s">
        <v>976</v>
      </c>
      <c r="E3457" s="262">
        <f>CalcPlant1Ch1Prod4Slot2Alloc*CalcPlant1MachCost</f>
        <v>0</v>
      </c>
      <c r="F3457" s="23" t="s">
        <v>1084</v>
      </c>
    </row>
    <row r="3458" spans="2:6">
      <c r="D3458" s="23" t="s">
        <v>977</v>
      </c>
      <c r="E3458" s="262">
        <f>CalcPlant1Ch1Prod4Slot3Alloc*CalcPlant1MachCost</f>
        <v>0</v>
      </c>
      <c r="F3458" s="23" t="s">
        <v>1085</v>
      </c>
    </row>
    <row r="3459" spans="2:6">
      <c r="B3459" s="23" t="s">
        <v>245</v>
      </c>
      <c r="E3459"/>
    </row>
    <row r="3460" spans="2:6">
      <c r="C3460" s="23" t="s">
        <v>12868</v>
      </c>
      <c r="E3460"/>
    </row>
    <row r="3461" spans="2:6">
      <c r="D3461" s="23" t="s">
        <v>975</v>
      </c>
      <c r="E3461" s="262">
        <f>CalcPlant1Ch2Prod1Slot1Alloc*CalcPlant1MachCost</f>
        <v>6590428.9718400007</v>
      </c>
      <c r="F3461" s="23" t="s">
        <v>1086</v>
      </c>
    </row>
    <row r="3462" spans="2:6">
      <c r="D3462" s="23" t="s">
        <v>976</v>
      </c>
      <c r="E3462" s="262">
        <f>CalcPlant1Ch2Prod1Slot2Alloc*CalcPlant1MachCost</f>
        <v>0</v>
      </c>
      <c r="F3462" s="23" t="s">
        <v>1087</v>
      </c>
    </row>
    <row r="3463" spans="2:6">
      <c r="D3463" s="23" t="s">
        <v>977</v>
      </c>
      <c r="E3463" s="262">
        <f>CalcPlant1Ch2Prod1Slot3Alloc*CalcPlant1MachCost</f>
        <v>0</v>
      </c>
      <c r="F3463" s="23" t="s">
        <v>1088</v>
      </c>
    </row>
    <row r="3464" spans="2:6">
      <c r="C3464" s="23" t="s">
        <v>238</v>
      </c>
      <c r="E3464"/>
    </row>
    <row r="3465" spans="2:6">
      <c r="D3465" s="23" t="s">
        <v>975</v>
      </c>
      <c r="E3465" s="262">
        <f>CalcPlant1Ch2Prod2Slot1Alloc*CalcPlant1MachCost</f>
        <v>48110131.494431995</v>
      </c>
      <c r="F3465" s="23" t="s">
        <v>1089</v>
      </c>
    </row>
    <row r="3466" spans="2:6">
      <c r="D3466" s="23" t="s">
        <v>976</v>
      </c>
      <c r="E3466" s="262">
        <f>CalcPlant1Ch2Prod2Slot2Alloc*CalcPlant1MachCost</f>
        <v>0</v>
      </c>
      <c r="F3466" s="23" t="s">
        <v>1090</v>
      </c>
    </row>
    <row r="3467" spans="2:6">
      <c r="D3467" s="23" t="s">
        <v>977</v>
      </c>
      <c r="E3467" s="262">
        <f>CalcPlant1Ch2Prod2Slot3Alloc*CalcPlant1MachCost</f>
        <v>0</v>
      </c>
      <c r="F3467" s="23" t="s">
        <v>1091</v>
      </c>
    </row>
    <row r="3468" spans="2:6">
      <c r="C3468" s="23" t="s">
        <v>239</v>
      </c>
      <c r="E3468"/>
    </row>
    <row r="3469" spans="2:6">
      <c r="D3469" s="23" t="s">
        <v>975</v>
      </c>
      <c r="E3469" s="262">
        <f>CalcPlant1Ch2Prod3Slot1Alloc*CalcPlant1MachCost</f>
        <v>18013839.189696003</v>
      </c>
      <c r="F3469" s="23" t="s">
        <v>1092</v>
      </c>
    </row>
    <row r="3470" spans="2:6">
      <c r="D3470" s="23" t="s">
        <v>976</v>
      </c>
      <c r="E3470" s="262">
        <f>CalcPlant1Ch2Prod3Slot2Alloc*CalcPlant1MachCost</f>
        <v>0</v>
      </c>
      <c r="F3470" s="23" t="s">
        <v>1093</v>
      </c>
    </row>
    <row r="3471" spans="2:6">
      <c r="D3471" s="23" t="s">
        <v>977</v>
      </c>
      <c r="E3471" s="262">
        <f>CalcPlant1Ch2Prod3Slot3Alloc*CalcPlant1MachCost</f>
        <v>0</v>
      </c>
      <c r="F3471" s="23" t="s">
        <v>1094</v>
      </c>
    </row>
    <row r="3472" spans="2:6">
      <c r="C3472" s="23" t="s">
        <v>240</v>
      </c>
      <c r="E3472"/>
    </row>
    <row r="3473" spans="2:6">
      <c r="D3473" s="23" t="s">
        <v>975</v>
      </c>
      <c r="E3473" s="262">
        <f>CalcPlant1Ch2Prod4Slot1Alloc*CalcPlant1MachCost</f>
        <v>0</v>
      </c>
      <c r="F3473" s="23" t="s">
        <v>1095</v>
      </c>
    </row>
    <row r="3474" spans="2:6">
      <c r="D3474" s="23" t="s">
        <v>976</v>
      </c>
      <c r="E3474" s="262">
        <f>CalcPlant1Ch2Prod4Slot2Alloc*CalcPlant1MachCost</f>
        <v>0</v>
      </c>
      <c r="F3474" s="23" t="s">
        <v>1096</v>
      </c>
    </row>
    <row r="3475" spans="2:6">
      <c r="D3475" s="23" t="s">
        <v>977</v>
      </c>
      <c r="E3475" s="262">
        <f>CalcPlant1Ch2Prod4Slot3Alloc*CalcPlant1MachCost</f>
        <v>0</v>
      </c>
      <c r="F3475" s="23" t="s">
        <v>1097</v>
      </c>
    </row>
    <row r="3476" spans="2:6">
      <c r="B3476" s="23" t="s">
        <v>5199</v>
      </c>
      <c r="E3476"/>
    </row>
    <row r="3477" spans="2:6">
      <c r="C3477" s="23" t="s">
        <v>12868</v>
      </c>
      <c r="E3477"/>
    </row>
    <row r="3478" spans="2:6">
      <c r="D3478" s="23" t="s">
        <v>975</v>
      </c>
      <c r="E3478" s="262">
        <f>CalcPlant1Ch3Prod1Slot1Alloc*CalcPlant1MachCost</f>
        <v>12751568.74908</v>
      </c>
      <c r="F3478" s="23" t="s">
        <v>1098</v>
      </c>
    </row>
    <row r="3479" spans="2:6">
      <c r="D3479" s="23" t="s">
        <v>976</v>
      </c>
      <c r="E3479" s="262">
        <f>CalcPlant1Ch3Prod1Slot2Alloc*CalcPlant1MachCost</f>
        <v>0</v>
      </c>
      <c r="F3479" s="23" t="s">
        <v>1099</v>
      </c>
    </row>
    <row r="3480" spans="2:6">
      <c r="D3480" s="23" t="s">
        <v>977</v>
      </c>
      <c r="E3480" s="262">
        <f>CalcPlant1Ch3Prod1Slot3Alloc*CalcPlant1MachCost</f>
        <v>0</v>
      </c>
      <c r="F3480" s="23" t="s">
        <v>1100</v>
      </c>
    </row>
    <row r="3481" spans="2:6">
      <c r="C3481" s="23" t="s">
        <v>238</v>
      </c>
      <c r="E3481"/>
    </row>
    <row r="3482" spans="2:6">
      <c r="D3482" s="23" t="s">
        <v>975</v>
      </c>
      <c r="E3482" s="262">
        <f>CalcPlant1Ch3Prod2Slot1Alloc*CalcPlant1MachCost</f>
        <v>5651282.3275440009</v>
      </c>
      <c r="F3482" s="23" t="s">
        <v>1101</v>
      </c>
    </row>
    <row r="3483" spans="2:6">
      <c r="D3483" s="23" t="s">
        <v>976</v>
      </c>
      <c r="E3483" s="262">
        <f>CalcPlant1Ch3Prod2Slot2Alloc*CalcPlant1MachCost</f>
        <v>12813954.114780001</v>
      </c>
      <c r="F3483" s="23" t="s">
        <v>1102</v>
      </c>
    </row>
    <row r="3484" spans="2:6">
      <c r="D3484" s="23" t="s">
        <v>977</v>
      </c>
      <c r="E3484" s="262">
        <f>CalcPlant1Ch3Prod2Slot3Alloc*CalcPlant1MachCost</f>
        <v>0</v>
      </c>
      <c r="F3484" s="23" t="s">
        <v>1103</v>
      </c>
    </row>
    <row r="3485" spans="2:6">
      <c r="C3485" s="23" t="s">
        <v>239</v>
      </c>
      <c r="E3485"/>
    </row>
    <row r="3486" spans="2:6">
      <c r="D3486" s="23" t="s">
        <v>975</v>
      </c>
      <c r="E3486" s="262">
        <f>CalcPlant1Ch3Prod3Slot1Alloc*CalcPlant1MachCost</f>
        <v>15442457.522940002</v>
      </c>
      <c r="F3486" s="23" t="s">
        <v>1104</v>
      </c>
    </row>
    <row r="3487" spans="2:6">
      <c r="D3487" s="23" t="s">
        <v>976</v>
      </c>
      <c r="E3487" s="262">
        <f>CalcPlant1Ch3Prod3Slot2Alloc*CalcPlant1MachCost</f>
        <v>0</v>
      </c>
      <c r="F3487" s="23" t="s">
        <v>1105</v>
      </c>
    </row>
    <row r="3488" spans="2:6">
      <c r="D3488" s="23" t="s">
        <v>977</v>
      </c>
      <c r="E3488" s="262">
        <f>CalcPlant1Ch3Prod3Slot3Alloc*CalcPlant1MachCost</f>
        <v>0</v>
      </c>
      <c r="F3488" s="23" t="s">
        <v>1106</v>
      </c>
    </row>
    <row r="3489" spans="2:6">
      <c r="C3489" s="23" t="s">
        <v>240</v>
      </c>
      <c r="E3489"/>
    </row>
    <row r="3490" spans="2:6">
      <c r="D3490" s="23" t="s">
        <v>975</v>
      </c>
      <c r="E3490" s="262">
        <f>CalcPlant1Ch3Prod4Slot1Alloc*CalcPlant1MachCost</f>
        <v>0</v>
      </c>
      <c r="F3490" s="23" t="s">
        <v>1107</v>
      </c>
    </row>
    <row r="3491" spans="2:6">
      <c r="D3491" s="23" t="s">
        <v>976</v>
      </c>
      <c r="E3491" s="262">
        <f>CalcPlant1Ch3Prod4Slot2Alloc*CalcPlant1MachCost</f>
        <v>0</v>
      </c>
      <c r="F3491" s="23" t="s">
        <v>1108</v>
      </c>
    </row>
    <row r="3492" spans="2:6">
      <c r="D3492" s="23" t="s">
        <v>977</v>
      </c>
      <c r="E3492" s="262">
        <f>CalcPlant1Ch3Prod4Slot3Alloc*CalcPlant1MachCost</f>
        <v>0</v>
      </c>
      <c r="F3492" s="23" t="s">
        <v>1109</v>
      </c>
    </row>
    <row r="3493" spans="2:6">
      <c r="B3493" s="23" t="s">
        <v>246</v>
      </c>
      <c r="E3493"/>
    </row>
    <row r="3494" spans="2:6">
      <c r="C3494" s="23" t="s">
        <v>12868</v>
      </c>
      <c r="E3494"/>
    </row>
    <row r="3495" spans="2:6">
      <c r="D3495" s="23" t="s">
        <v>975</v>
      </c>
      <c r="E3495" s="262">
        <f>CalcPlant1Ch4Prod1Slot1Alloc*CalcPlant1MachCost</f>
        <v>13570343.262000002</v>
      </c>
      <c r="F3495" s="23" t="s">
        <v>1110</v>
      </c>
    </row>
    <row r="3496" spans="2:6">
      <c r="D3496" s="23" t="s">
        <v>976</v>
      </c>
      <c r="E3496" s="262">
        <f>CalcPlant1Ch4Prod1Slot2Alloc*CalcPlant1MachCost</f>
        <v>0</v>
      </c>
      <c r="F3496" s="23" t="s">
        <v>1111</v>
      </c>
    </row>
    <row r="3497" spans="2:6">
      <c r="D3497" s="23" t="s">
        <v>977</v>
      </c>
      <c r="E3497" s="262">
        <f>CalcPlant1Ch4Prod1Slot3Alloc*CalcPlant1MachCost</f>
        <v>0</v>
      </c>
      <c r="F3497" s="23" t="s">
        <v>1112</v>
      </c>
    </row>
    <row r="3498" spans="2:6">
      <c r="C3498" s="23" t="s">
        <v>238</v>
      </c>
      <c r="E3498"/>
    </row>
    <row r="3499" spans="2:6">
      <c r="D3499" s="23" t="s">
        <v>975</v>
      </c>
      <c r="E3499" s="262">
        <f>CalcPlant1Ch4Prod2Slot1Alloc*CalcPlant1MachCost</f>
        <v>9452902.5259200018</v>
      </c>
      <c r="F3499" s="23" t="s">
        <v>1113</v>
      </c>
    </row>
    <row r="3500" spans="2:6">
      <c r="D3500" s="23" t="s">
        <v>976</v>
      </c>
      <c r="E3500" s="262">
        <f>CalcPlant1Ch4Prod2Slot2Alloc*CalcPlant1MachCost</f>
        <v>0</v>
      </c>
      <c r="F3500" s="23" t="s">
        <v>1114</v>
      </c>
    </row>
    <row r="3501" spans="2:6">
      <c r="D3501" s="23" t="s">
        <v>977</v>
      </c>
      <c r="E3501" s="262">
        <f>CalcPlant1Ch4Prod2Slot3Alloc*CalcPlant1MachCost</f>
        <v>0</v>
      </c>
      <c r="F3501" s="23" t="s">
        <v>1115</v>
      </c>
    </row>
    <row r="3502" spans="2:6">
      <c r="C3502" s="23" t="s">
        <v>239</v>
      </c>
      <c r="E3502"/>
    </row>
    <row r="3503" spans="2:6">
      <c r="D3503" s="23" t="s">
        <v>975</v>
      </c>
      <c r="E3503" s="262">
        <f>CalcPlant1Ch4Prod3Slot1Alloc*CalcPlant1MachCost</f>
        <v>6301935.0172800003</v>
      </c>
      <c r="F3503" s="23" t="s">
        <v>1116</v>
      </c>
    </row>
    <row r="3504" spans="2:6">
      <c r="D3504" s="23" t="s">
        <v>976</v>
      </c>
      <c r="E3504" s="262">
        <f>CalcPlant1Ch4Prod3Slot2Alloc*CalcPlant1MachCost</f>
        <v>0</v>
      </c>
      <c r="F3504" s="23" t="s">
        <v>1117</v>
      </c>
    </row>
    <row r="3505" spans="2:6">
      <c r="D3505" s="23" t="s">
        <v>977</v>
      </c>
      <c r="E3505" s="262">
        <f>CalcPlant1Ch4Prod3Slot3Alloc*CalcPlant1MachCost</f>
        <v>0</v>
      </c>
      <c r="F3505" s="23" t="s">
        <v>1118</v>
      </c>
    </row>
    <row r="3506" spans="2:6">
      <c r="C3506" s="23" t="s">
        <v>240</v>
      </c>
      <c r="E3506"/>
    </row>
    <row r="3507" spans="2:6">
      <c r="D3507" s="23" t="s">
        <v>975</v>
      </c>
      <c r="E3507" s="262">
        <f>CalcPlant1Ch4Prod4Slot1Alloc*CalcPlant1MachCost</f>
        <v>12919595.094000002</v>
      </c>
      <c r="F3507" s="23" t="s">
        <v>1119</v>
      </c>
    </row>
    <row r="3508" spans="2:6">
      <c r="D3508" s="23" t="s">
        <v>976</v>
      </c>
      <c r="E3508" s="262">
        <f>CalcPlant1Ch4Prod4Slot2Alloc*CalcPlant1MachCost</f>
        <v>0</v>
      </c>
      <c r="F3508" s="23" t="s">
        <v>1120</v>
      </c>
    </row>
    <row r="3509" spans="2:6">
      <c r="D3509" s="23" t="s">
        <v>977</v>
      </c>
      <c r="E3509" s="262">
        <f>CalcPlant1Ch4Prod4Slot3Alloc*CalcPlant1MachCost</f>
        <v>0</v>
      </c>
      <c r="F3509" s="23" t="s">
        <v>1121</v>
      </c>
    </row>
    <row r="3510" spans="2:6" ht="1.5" customHeight="1">
      <c r="C3510" s="197"/>
      <c r="D3510" s="197"/>
      <c r="E3510" s="265"/>
    </row>
    <row r="3511" spans="2:6">
      <c r="E3511" s="126"/>
    </row>
    <row r="3512" spans="2:6">
      <c r="C3512" s="198" t="s">
        <v>1123</v>
      </c>
      <c r="E3512" s="126"/>
    </row>
    <row r="3513" spans="2:6">
      <c r="B3513" s="23" t="s">
        <v>244</v>
      </c>
      <c r="E3513" s="262"/>
    </row>
    <row r="3514" spans="2:6">
      <c r="C3514" s="23" t="s">
        <v>12868</v>
      </c>
      <c r="E3514" s="262"/>
    </row>
    <row r="3515" spans="2:6">
      <c r="D3515" s="23" t="s">
        <v>975</v>
      </c>
      <c r="E3515" s="262">
        <f>IF(CalcPlant1Ch1Prod1Slot1HoursReq=0,0,CalcPlant1Ch1Prod1Slot1ManufacturingCost/calcCh1Prod1Slot1VolForecastSlot)</f>
        <v>0.33112800000000003</v>
      </c>
      <c r="F3515" s="23" t="s">
        <v>1124</v>
      </c>
    </row>
    <row r="3516" spans="2:6">
      <c r="D3516" s="23" t="s">
        <v>976</v>
      </c>
      <c r="E3516" s="262">
        <f>IF(CalcPlant1Ch1Prod1Slot2HoursReq=0,0,CalcPlant1Ch1Prod1Slot2ManufacturingCost/calcCh1Prod1Slot2VolForecastSlot)</f>
        <v>0</v>
      </c>
      <c r="F3516" s="23" t="s">
        <v>1125</v>
      </c>
    </row>
    <row r="3517" spans="2:6">
      <c r="D3517" s="23" t="s">
        <v>977</v>
      </c>
      <c r="E3517" s="262">
        <f>IF(CalcPlant1Ch1Prod1Slot3HoursReq=0,0,CalcPlant1Ch1Prod1Slot3ManufacturingCost/calcCh1Prod1Slot3VolForecastSlot)</f>
        <v>0</v>
      </c>
      <c r="F3517" s="23" t="s">
        <v>1126</v>
      </c>
    </row>
    <row r="3518" spans="2:6">
      <c r="C3518" s="23" t="s">
        <v>238</v>
      </c>
      <c r="E3518" s="262"/>
    </row>
    <row r="3519" spans="2:6">
      <c r="D3519" s="23" t="s">
        <v>975</v>
      </c>
      <c r="E3519" s="262">
        <f>IF(CalcPlant1Ch1Prod2Slot1HoursReq=0,0,CalcPlant1Ch1Prod2Slot1ManufacturingCost/calcCh1Prod2Slot1VolForecastSlot)</f>
        <v>0.195048</v>
      </c>
      <c r="F3519" s="23" t="s">
        <v>1127</v>
      </c>
    </row>
    <row r="3520" spans="2:6">
      <c r="D3520" s="23" t="s">
        <v>976</v>
      </c>
      <c r="E3520" s="262">
        <f>IF(CalcPlant1Ch1Prod2Slot2HoursReq=0,0,CalcPlant1Ch1Prod2Slot2ManufacturingCost/calcCh1Prod2Slot2VolForecastSlot)</f>
        <v>0.29484000000000005</v>
      </c>
      <c r="F3520" s="23" t="s">
        <v>1128</v>
      </c>
    </row>
    <row r="3521" spans="2:6">
      <c r="D3521" s="23" t="s">
        <v>977</v>
      </c>
      <c r="E3521" s="262">
        <f>IF(CalcPlant1Ch1Prod2Slot3HoursReq=0,0,CalcPlant1Ch1Prod2Slot3ManufacturingCost/calcCh1Prod2Slot3VolForecastSlot)</f>
        <v>0</v>
      </c>
      <c r="F3521" s="23" t="s">
        <v>1129</v>
      </c>
    </row>
    <row r="3522" spans="2:6">
      <c r="C3522" s="23" t="s">
        <v>239</v>
      </c>
      <c r="E3522" s="262"/>
    </row>
    <row r="3523" spans="2:6">
      <c r="D3523" s="23" t="s">
        <v>975</v>
      </c>
      <c r="E3523" s="262">
        <f>IF(CalcPlant1Ch1Prod3Slot1HoursReq=0,0,CalcPlant1Ch1Prod3Slot1ManufacturingCost/calcCh1Prod3Slot1VolForecastSlot)</f>
        <v>0.18597600000000006</v>
      </c>
      <c r="F3523" s="23" t="s">
        <v>1130</v>
      </c>
    </row>
    <row r="3524" spans="2:6">
      <c r="D3524" s="23" t="s">
        <v>976</v>
      </c>
      <c r="E3524" s="262">
        <f>IF(CalcPlant1Ch1Prod3Slot2HoursReq=0,0,CalcPlant1Ch1Prod3Slot2ManufacturingCost/calcCh1Prod3Slot2VolForecastSlot)</f>
        <v>0.29484000000000005</v>
      </c>
      <c r="F3524" s="23" t="s">
        <v>1131</v>
      </c>
    </row>
    <row r="3525" spans="2:6">
      <c r="D3525" s="23" t="s">
        <v>977</v>
      </c>
      <c r="E3525" s="262">
        <f>IF(CalcPlant1Ch1Prod3Slot3HoursReq=0,0,CalcPlant1Ch1Prod3Slot3ManufacturingCost/calcCh1Prod3Slot3VolForecastSlot)</f>
        <v>0</v>
      </c>
      <c r="F3525" s="23" t="s">
        <v>1132</v>
      </c>
    </row>
    <row r="3526" spans="2:6">
      <c r="C3526" s="23" t="s">
        <v>240</v>
      </c>
      <c r="E3526" s="262"/>
    </row>
    <row r="3527" spans="2:6">
      <c r="D3527" s="23" t="s">
        <v>975</v>
      </c>
      <c r="E3527" s="262">
        <f>IF(CalcPlant1Ch1Prod4Slot1HoursReq=0,0,CalcPlant1Ch1Prod4Slot1ManufacturingCost/calcCh1Prod4Slot1VolForecastSlot)</f>
        <v>0</v>
      </c>
      <c r="F3527" s="23" t="s">
        <v>1133</v>
      </c>
    </row>
    <row r="3528" spans="2:6">
      <c r="D3528" s="23" t="s">
        <v>976</v>
      </c>
      <c r="E3528" s="262">
        <f>IF(CalcPlant1Ch1Prod4Slot2HoursReq=0,0,CalcPlant1Ch1Prod4Slot2ManufacturingCost/calcCh1Prod4Slot2VolForecastSlot)</f>
        <v>0</v>
      </c>
      <c r="F3528" s="23" t="s">
        <v>1134</v>
      </c>
    </row>
    <row r="3529" spans="2:6">
      <c r="D3529" s="23" t="s">
        <v>977</v>
      </c>
      <c r="E3529" s="262">
        <f>IF(CalcPlant1Ch1Prod4Slot3HoursReq=0,0,CalcPlant1Ch1Prod4Slot3ManufacturingCost/calcCh1Prod4Slot3VolForecastSlot)</f>
        <v>0</v>
      </c>
      <c r="F3529" s="23" t="s">
        <v>1135</v>
      </c>
    </row>
    <row r="3530" spans="2:6">
      <c r="B3530" s="23" t="s">
        <v>245</v>
      </c>
      <c r="E3530" s="262"/>
    </row>
    <row r="3531" spans="2:6">
      <c r="C3531" s="23" t="s">
        <v>12868</v>
      </c>
      <c r="E3531" s="262"/>
    </row>
    <row r="3532" spans="2:6">
      <c r="D3532" s="23" t="s">
        <v>975</v>
      </c>
      <c r="E3532" s="262">
        <f>IF(CalcPlant1Ch2Prod1Slot1HoursReq=0,0,CalcPlant1Ch2Prod1Slot1ManufacturingCost/calcCh2Prod1Slot1VolForecastSlot)</f>
        <v>0.31298400000000004</v>
      </c>
      <c r="F3532" s="23" t="s">
        <v>1136</v>
      </c>
    </row>
    <row r="3533" spans="2:6">
      <c r="D3533" s="23" t="s">
        <v>976</v>
      </c>
      <c r="E3533" s="262">
        <f>IF(CalcPlant1Ch2Prod1Slot2HoursReq=0,0,CalcPlant1Ch2Prod1Slot2ManufacturingCost/calcCh2Prod1Slot2VolForecastSlot)</f>
        <v>0</v>
      </c>
      <c r="F3533" s="23" t="s">
        <v>1137</v>
      </c>
    </row>
    <row r="3534" spans="2:6">
      <c r="D3534" s="23" t="s">
        <v>977</v>
      </c>
      <c r="E3534" s="262">
        <f>IF(CalcPlant1Ch2Prod1Slot3HoursReq=0,0,CalcPlant1Ch2Prod1Slot3ManufacturingCost/calcCh2Prod1Slot3VolForecastSlot)</f>
        <v>0</v>
      </c>
      <c r="F3534" s="23" t="s">
        <v>1138</v>
      </c>
    </row>
    <row r="3535" spans="2:6">
      <c r="C3535" s="23" t="s">
        <v>238</v>
      </c>
      <c r="E3535" s="262"/>
    </row>
    <row r="3536" spans="2:6">
      <c r="D3536" s="23" t="s">
        <v>975</v>
      </c>
      <c r="E3536" s="262">
        <f>IF(CalcPlant1Ch2Prod2Slot1HoursReq=0,0,CalcPlant1Ch2Prod2Slot1ManufacturingCost/calcCh2Prod2Slot1VolForecastSlot)</f>
        <v>0.33112800000000003</v>
      </c>
      <c r="F3536" s="23" t="s">
        <v>1139</v>
      </c>
    </row>
    <row r="3537" spans="2:6">
      <c r="D3537" s="23" t="s">
        <v>976</v>
      </c>
      <c r="E3537" s="262">
        <f>IF(CalcPlant1Ch2Prod2Slot2HoursReq=0,0,CalcPlant1Ch2Prod2Slot2ManufacturingCost/calcCh2Prod2Slot2VolForecastSlot)</f>
        <v>0</v>
      </c>
      <c r="F3537" s="23" t="s">
        <v>1140</v>
      </c>
    </row>
    <row r="3538" spans="2:6">
      <c r="D3538" s="23" t="s">
        <v>977</v>
      </c>
      <c r="E3538" s="262">
        <f>IF(CalcPlant1Ch2Prod2Slot3HoursReq=0,0,CalcPlant1Ch2Prod2Slot3ManufacturingCost/calcCh2Prod2Slot3VolForecastSlot)</f>
        <v>0</v>
      </c>
      <c r="F3538" s="23" t="s">
        <v>1141</v>
      </c>
    </row>
    <row r="3539" spans="2:6">
      <c r="C3539" s="23" t="s">
        <v>239</v>
      </c>
      <c r="E3539" s="262"/>
    </row>
    <row r="3540" spans="2:6">
      <c r="D3540" s="23" t="s">
        <v>975</v>
      </c>
      <c r="E3540" s="262">
        <f>IF(CalcPlant1Ch2Prod3Slot1HoursReq=0,0,CalcPlant1Ch2Prod3Slot1ManufacturingCost/calcCh2Prod3Slot1VolForecastSlot)</f>
        <v>0.18597600000000006</v>
      </c>
      <c r="F3540" s="23" t="s">
        <v>1142</v>
      </c>
    </row>
    <row r="3541" spans="2:6">
      <c r="D3541" s="23" t="s">
        <v>976</v>
      </c>
      <c r="E3541" s="262">
        <f>IF(CalcPlant1Ch2Prod3Slot2HoursReq=0,0,CalcPlant1Ch2Prod3Slot2ManufacturingCost/calcCh2Prod3Slot2VolForecastSlot)</f>
        <v>0</v>
      </c>
      <c r="F3541" s="23" t="s">
        <v>1143</v>
      </c>
    </row>
    <row r="3542" spans="2:6">
      <c r="D3542" s="23" t="s">
        <v>977</v>
      </c>
      <c r="E3542" s="262">
        <f>IF(CalcPlant1Ch2Prod3Slot3HoursReq=0,0,CalcPlant1Ch2Prod3Slot3ManufacturingCost/calcCh2Prod3Slot3VolForecastSlot)</f>
        <v>0</v>
      </c>
      <c r="F3542" s="23" t="s">
        <v>1144</v>
      </c>
    </row>
    <row r="3543" spans="2:6">
      <c r="C3543" s="23" t="s">
        <v>240</v>
      </c>
      <c r="E3543" s="262"/>
    </row>
    <row r="3544" spans="2:6">
      <c r="D3544" s="23" t="s">
        <v>975</v>
      </c>
      <c r="E3544" s="262">
        <f>IF(CalcPlant1Ch2Prod4Slot1HoursReq=0,0,CalcPlant1Ch2Prod4Slot1ManufacturingCost/calcCh2Prod4Slot1VolForecastSlot)</f>
        <v>0</v>
      </c>
      <c r="F3544" s="23" t="s">
        <v>1145</v>
      </c>
    </row>
    <row r="3545" spans="2:6">
      <c r="D3545" s="23" t="s">
        <v>976</v>
      </c>
      <c r="E3545" s="262">
        <f>IF(CalcPlant1Ch2Prod4Slot2HoursReq=0,0,CalcPlant1Ch2Prod4Slot2ManufacturingCost/calcCh2Prod4Slot2VolForecastSlot)</f>
        <v>0</v>
      </c>
      <c r="F3545" s="23" t="s">
        <v>1146</v>
      </c>
    </row>
    <row r="3546" spans="2:6">
      <c r="D3546" s="23" t="s">
        <v>977</v>
      </c>
      <c r="E3546" s="262">
        <f>IF(CalcPlant1Ch2Prod4Slot3HoursReq=0,0,CalcPlant1Ch2Prod4Slot3ManufacturingCost/calcCh2Prod4Slot3VolForecastSlot)</f>
        <v>0</v>
      </c>
      <c r="F3546" s="23" t="s">
        <v>1147</v>
      </c>
    </row>
    <row r="3547" spans="2:6">
      <c r="B3547" s="23" t="s">
        <v>5199</v>
      </c>
      <c r="E3547" s="262"/>
    </row>
    <row r="3548" spans="2:6">
      <c r="C3548" s="23" t="s">
        <v>12868</v>
      </c>
      <c r="E3548" s="262"/>
    </row>
    <row r="3549" spans="2:6">
      <c r="D3549" s="23" t="s">
        <v>975</v>
      </c>
      <c r="E3549" s="262">
        <f>IF(CalcPlant1Ch3Prod1Slot1HoursReq=0,0,CalcPlant1Ch3Prod1Slot1ManufacturingCost/calcCh3Prod1Slot1VolForecastSlot)</f>
        <v>0.33112800000000003</v>
      </c>
      <c r="F3549" s="23" t="s">
        <v>1148</v>
      </c>
    </row>
    <row r="3550" spans="2:6">
      <c r="D3550" s="23" t="s">
        <v>976</v>
      </c>
      <c r="E3550" s="262">
        <f>IF(CalcPlant1Ch3Prod1Slot2HoursReq=0,0,CalcPlant1Ch3Prod1Slot2ManufacturingCost/calcCh3Prod1Slot2VolForecastSlot)</f>
        <v>0</v>
      </c>
      <c r="F3550" s="23" t="s">
        <v>1149</v>
      </c>
    </row>
    <row r="3551" spans="2:6">
      <c r="D3551" s="23" t="s">
        <v>977</v>
      </c>
      <c r="E3551" s="262">
        <f>IF(CalcPlant1Ch3Prod1Slot3HoursReq=0,0,CalcPlant1Ch3Prod1Slot3ManufacturingCost/calcCh3Prod1Slot3VolForecastSlot)</f>
        <v>0</v>
      </c>
      <c r="F3551" s="23" t="s">
        <v>1150</v>
      </c>
    </row>
    <row r="3552" spans="2:6">
      <c r="C3552" s="23" t="s">
        <v>238</v>
      </c>
      <c r="E3552" s="262"/>
    </row>
    <row r="3553" spans="2:6">
      <c r="D3553" s="23" t="s">
        <v>975</v>
      </c>
      <c r="E3553" s="262">
        <f>IF(CalcPlant1Ch3Prod2Slot1HoursReq=0,0,CalcPlant1Ch3Prod2Slot1ManufacturingCost/calcCh3Prod2Slot1VolForecastSlot)</f>
        <v>0.19504800000000003</v>
      </c>
      <c r="F3553" s="23" t="s">
        <v>1151</v>
      </c>
    </row>
    <row r="3554" spans="2:6">
      <c r="D3554" s="23" t="s">
        <v>976</v>
      </c>
      <c r="E3554" s="262">
        <f>IF(CalcPlant1Ch3Prod2Slot2HoursReq=0,0,CalcPlant1Ch3Prod2Slot2ManufacturingCost/calcCh3Prod2Slot2VolForecastSlot)</f>
        <v>0.29484000000000005</v>
      </c>
      <c r="F3554" s="23" t="s">
        <v>1152</v>
      </c>
    </row>
    <row r="3555" spans="2:6">
      <c r="D3555" s="23" t="s">
        <v>977</v>
      </c>
      <c r="E3555" s="262">
        <f>IF(CalcPlant1Ch3Prod2Slot3HoursReq=0,0,CalcPlant1Ch3Prod2Slot3ManufacturingCost/calcCh3Prod2Slot3VolForecastSlot)</f>
        <v>0</v>
      </c>
      <c r="F3555" s="23" t="s">
        <v>1153</v>
      </c>
    </row>
    <row r="3556" spans="2:6">
      <c r="C3556" s="23" t="s">
        <v>239</v>
      </c>
      <c r="E3556" s="262"/>
    </row>
    <row r="3557" spans="2:6">
      <c r="D3557" s="23" t="s">
        <v>975</v>
      </c>
      <c r="E3557" s="262">
        <f>IF(CalcPlant1Ch3Prod3Slot1HoursReq=0,0,CalcPlant1Ch3Prod3Slot1ManufacturingCost/calcCh3Prod3Slot1VolForecastSlot)</f>
        <v>0.21319200000000002</v>
      </c>
      <c r="F3557" s="23" t="s">
        <v>1154</v>
      </c>
    </row>
    <row r="3558" spans="2:6">
      <c r="D3558" s="23" t="s">
        <v>976</v>
      </c>
      <c r="E3558" s="262">
        <f>IF(CalcPlant1Ch3Prod3Slot2HoursReq=0,0,CalcPlant1Ch3Prod3Slot2ManufacturingCost/calcCh3Prod3Slot2VolForecastSlot)</f>
        <v>0</v>
      </c>
      <c r="F3558" s="23" t="s">
        <v>1155</v>
      </c>
    </row>
    <row r="3559" spans="2:6">
      <c r="D3559" s="23" t="s">
        <v>977</v>
      </c>
      <c r="E3559" s="262">
        <f>IF(CalcPlant1Ch3Prod3Slot3HoursReq=0,0,CalcPlant1Ch3Prod3Slot3ManufacturingCost/calcCh3Prod3Slot3VolForecastSlot)</f>
        <v>0</v>
      </c>
      <c r="F3559" s="23" t="s">
        <v>1156</v>
      </c>
    </row>
    <row r="3560" spans="2:6">
      <c r="C3560" s="23" t="s">
        <v>240</v>
      </c>
      <c r="E3560" s="262"/>
    </row>
    <row r="3561" spans="2:6">
      <c r="D3561" s="23" t="s">
        <v>975</v>
      </c>
      <c r="E3561" s="262">
        <f>IF(CalcPlant1Ch3Prod4Slot1HoursReq=0,0,CalcPlant1Ch3Prod4Slot1ManufacturingCost/calcCh3Prod4Slot1VolForecastSlot)</f>
        <v>0</v>
      </c>
      <c r="F3561" s="23" t="s">
        <v>1157</v>
      </c>
    </row>
    <row r="3562" spans="2:6">
      <c r="D3562" s="23" t="s">
        <v>976</v>
      </c>
      <c r="E3562" s="262">
        <f>IF(CalcPlant1Ch3Prod4Slot2HoursReq=0,0,CalcPlant1Ch3Prod4Slot2ManufacturingCost/calcCh3Prod4Slot2VolForecastSlot)</f>
        <v>0</v>
      </c>
      <c r="F3562" s="23" t="s">
        <v>1158</v>
      </c>
    </row>
    <row r="3563" spans="2:6">
      <c r="D3563" s="23" t="s">
        <v>977</v>
      </c>
      <c r="E3563" s="262">
        <f>IF(CalcPlant1Ch3Prod4Slot3HoursReq=0,0,CalcPlant1Ch3Prod4Slot3ManufacturingCost/calcCh3Prod4Slot3VolForecastSlot)</f>
        <v>0</v>
      </c>
      <c r="F3563" s="23" t="s">
        <v>1159</v>
      </c>
    </row>
    <row r="3564" spans="2:6">
      <c r="B3564" s="23" t="s">
        <v>246</v>
      </c>
      <c r="E3564" s="262"/>
    </row>
    <row r="3565" spans="2:6">
      <c r="C3565" s="23" t="s">
        <v>12868</v>
      </c>
      <c r="E3565" s="262"/>
    </row>
    <row r="3566" spans="2:6">
      <c r="D3566" s="23" t="s">
        <v>975</v>
      </c>
      <c r="E3566" s="262">
        <f>IF(CalcPlant1Ch4Prod1Slot1HoursReq=0,0,CalcPlant1Ch4Prod1Slot1ManufacturingCost/calcCh4Prod1Slot1VolForecastSlot)</f>
        <v>0.26762400000000003</v>
      </c>
      <c r="F3566" s="23" t="s">
        <v>1160</v>
      </c>
    </row>
    <row r="3567" spans="2:6">
      <c r="D3567" s="23" t="s">
        <v>976</v>
      </c>
      <c r="E3567" s="262">
        <f>IF(CalcPlant1Ch4Prod1Slot2HoursReq=0,0,CalcPlant1Ch4Prod1Slot2ManufacturingCost/calcCh4Prod1Slot2VolForecastSlot)</f>
        <v>0</v>
      </c>
      <c r="F3567" s="23" t="s">
        <v>1161</v>
      </c>
    </row>
    <row r="3568" spans="2:6">
      <c r="D3568" s="23" t="s">
        <v>977</v>
      </c>
      <c r="E3568" s="262">
        <f>IF(CalcPlant1Ch4Prod1Slot3HoursReq=0,0,CalcPlant1Ch4Prod1Slot3ManufacturingCost/calcCh4Prod1Slot3VolForecastSlot)</f>
        <v>0</v>
      </c>
      <c r="F3568" s="23" t="s">
        <v>1162</v>
      </c>
    </row>
    <row r="3569" spans="3:6">
      <c r="C3569" s="23" t="s">
        <v>238</v>
      </c>
      <c r="E3569" s="262"/>
    </row>
    <row r="3570" spans="3:6">
      <c r="D3570" s="23" t="s">
        <v>975</v>
      </c>
      <c r="E3570" s="262">
        <f>IF(CalcPlant1Ch4Prod2Slot1HoursReq=0,0,CalcPlant1Ch4Prod2Slot1ManufacturingCost/calcCh4Prod2Slot1VolForecastSlot)</f>
        <v>0.26762400000000003</v>
      </c>
      <c r="F3570" s="23" t="s">
        <v>1163</v>
      </c>
    </row>
    <row r="3571" spans="3:6">
      <c r="D3571" s="23" t="s">
        <v>976</v>
      </c>
      <c r="E3571" s="262">
        <f>IF(CalcPlant1Ch4Prod2Slot2HoursReq=0,0,CalcPlant1Ch4Prod2Slot2ManufacturingCost/calcCh4Prod2Slot2VolForecastSlot)</f>
        <v>0</v>
      </c>
      <c r="F3571" s="23" t="s">
        <v>1164</v>
      </c>
    </row>
    <row r="3572" spans="3:6">
      <c r="D3572" s="23" t="s">
        <v>977</v>
      </c>
      <c r="E3572" s="262">
        <f>IF(CalcPlant1Ch4Prod2Slot3HoursReq=0,0,CalcPlant1Ch4Prod2Slot3ManufacturingCost/calcCh4Prod2Slot3VolForecastSlot)</f>
        <v>0</v>
      </c>
      <c r="F3572" s="23" t="s">
        <v>1165</v>
      </c>
    </row>
    <row r="3573" spans="3:6">
      <c r="C3573" s="23" t="s">
        <v>239</v>
      </c>
      <c r="E3573" s="262"/>
    </row>
    <row r="3574" spans="3:6">
      <c r="D3574" s="23" t="s">
        <v>975</v>
      </c>
      <c r="E3574" s="262">
        <f>IF(CalcPlant1Ch4Prod3Slot1HoursReq=0,0,CalcPlant1Ch4Prod3Slot1ManufacturingCost/calcCh4Prod3Slot1VolForecastSlot)</f>
        <v>0.26762400000000003</v>
      </c>
      <c r="F3574" s="23" t="s">
        <v>1166</v>
      </c>
    </row>
    <row r="3575" spans="3:6">
      <c r="D3575" s="23" t="s">
        <v>976</v>
      </c>
      <c r="E3575" s="262">
        <f>IF(CalcPlant1Ch4Prod3Slot2HoursReq=0,0,CalcPlant1Ch4Prod3Slot2ManufacturingCost/calcCh4Prod3Slot2VolForecastSlot)</f>
        <v>0</v>
      </c>
      <c r="F3575" s="23" t="s">
        <v>1167</v>
      </c>
    </row>
    <row r="3576" spans="3:6">
      <c r="D3576" s="23" t="s">
        <v>977</v>
      </c>
      <c r="E3576" s="262">
        <f>IF(CalcPlant1Ch4Prod3Slot3HoursReq=0,0,CalcPlant1Ch4Prod3Slot3ManufacturingCost/calcCh4Prod3Slot3VolForecastSlot)</f>
        <v>0</v>
      </c>
      <c r="F3576" s="23" t="s">
        <v>1168</v>
      </c>
    </row>
    <row r="3577" spans="3:6">
      <c r="C3577" s="23" t="s">
        <v>240</v>
      </c>
      <c r="E3577" s="262"/>
    </row>
    <row r="3578" spans="3:6">
      <c r="D3578" s="23" t="s">
        <v>975</v>
      </c>
      <c r="E3578" s="262">
        <f>IF(CalcPlant1Ch4Prod4Slot1HoursReq=0,0,CalcPlant1Ch4Prod4Slot1ManufacturingCost/calcCh4Prod4Slot1VolForecastSlot)</f>
        <v>0.21319200000000005</v>
      </c>
      <c r="F3578" s="23" t="s">
        <v>1169</v>
      </c>
    </row>
    <row r="3579" spans="3:6">
      <c r="D3579" s="23" t="s">
        <v>976</v>
      </c>
      <c r="E3579" s="262">
        <f>IF(CalcPlant1Ch4Prod4Slot2HoursReq=0,0,CalcPlant1Ch4Prod4Slot2ManufacturingCost/calcCh4Prod4Slot2VolForecastSlot)</f>
        <v>0</v>
      </c>
      <c r="F3579" s="23" t="s">
        <v>1170</v>
      </c>
    </row>
    <row r="3580" spans="3:6">
      <c r="D3580" s="23" t="s">
        <v>977</v>
      </c>
      <c r="E3580" s="262">
        <f>IF(CalcPlant1Ch4Prod4Slot3HoursReq=0,0,CalcPlant1Ch4Prod4Slot3ManufacturingCost/calcCh4Prod4Slot3VolForecastSlot)</f>
        <v>0</v>
      </c>
      <c r="F3580" s="23" t="s">
        <v>1171</v>
      </c>
    </row>
    <row r="3581" spans="3:6" ht="1.5" customHeight="1">
      <c r="C3581" s="197"/>
      <c r="D3581" s="197"/>
      <c r="E3581" s="265"/>
    </row>
    <row r="3583" spans="3:6">
      <c r="C3583" s="198" t="s">
        <v>398</v>
      </c>
      <c r="E3583" s="126"/>
    </row>
    <row r="3584" spans="3:6">
      <c r="C3584" s="198"/>
      <c r="D3584" s="23" t="s">
        <v>450</v>
      </c>
      <c r="E3584" s="262">
        <f>(finBSOpenPPEValue-CalcPlant1DivestmentValue+CalcPlant1Investment)*paramPlant1DepRate</f>
        <v>114421287.91947502</v>
      </c>
      <c r="F3584" s="23" t="s">
        <v>576</v>
      </c>
    </row>
    <row r="3585" spans="2:6">
      <c r="C3585" s="198"/>
      <c r="E3585" s="262"/>
    </row>
    <row r="3586" spans="2:6">
      <c r="C3586" s="198" t="s">
        <v>547</v>
      </c>
      <c r="E3586" s="262"/>
    </row>
    <row r="3587" spans="2:6">
      <c r="D3587" s="23" t="s">
        <v>13840</v>
      </c>
      <c r="E3587"/>
      <c r="F3587"/>
    </row>
    <row r="3588" spans="2:6">
      <c r="B3588" s="23" t="s">
        <v>244</v>
      </c>
      <c r="E3588" s="262"/>
    </row>
    <row r="3589" spans="2:6">
      <c r="C3589" s="23" t="s">
        <v>12868</v>
      </c>
      <c r="E3589" s="262"/>
    </row>
    <row r="3590" spans="2:6">
      <c r="D3590" s="23" t="s">
        <v>975</v>
      </c>
      <c r="E3590" s="262">
        <f>CalcPlant1Dep*CalcPlant1Ch1Prod1Slot1Alloc</f>
        <v>8547321.038429644</v>
      </c>
      <c r="F3590" s="23" t="s">
        <v>1172</v>
      </c>
    </row>
    <row r="3591" spans="2:6">
      <c r="D3591" s="23" t="s">
        <v>976</v>
      </c>
      <c r="E3591" s="262">
        <f>CalcPlant1Dep*CalcPlant1Ch1Prod1Slot2Alloc</f>
        <v>0</v>
      </c>
      <c r="F3591" s="23" t="s">
        <v>1173</v>
      </c>
    </row>
    <row r="3592" spans="2:6">
      <c r="D3592" s="23" t="s">
        <v>977</v>
      </c>
      <c r="E3592" s="262">
        <f>CalcPlant1Dep*CalcPlant1Ch1Prod1Slot3Alloc</f>
        <v>0</v>
      </c>
      <c r="F3592" s="23" t="s">
        <v>1174</v>
      </c>
    </row>
    <row r="3593" spans="2:6">
      <c r="C3593" s="23" t="s">
        <v>238</v>
      </c>
      <c r="E3593" s="262"/>
    </row>
    <row r="3594" spans="2:6">
      <c r="D3594" s="23" t="s">
        <v>975</v>
      </c>
      <c r="E3594" s="262">
        <f>CalcPlant1Dep*CalcPlant1Ch1Prod2Slot1Alloc</f>
        <v>7136717.3678686479</v>
      </c>
      <c r="F3594" s="23" t="s">
        <v>1175</v>
      </c>
    </row>
    <row r="3595" spans="2:6">
      <c r="D3595" s="23" t="s">
        <v>976</v>
      </c>
      <c r="E3595" s="262">
        <f>CalcPlant1Dep*CalcPlant1Ch1Prod2Slot2Alloc</f>
        <v>13185408.05691495</v>
      </c>
      <c r="F3595" s="23" t="s">
        <v>1176</v>
      </c>
    </row>
    <row r="3596" spans="2:6">
      <c r="D3596" s="23" t="s">
        <v>977</v>
      </c>
      <c r="E3596" s="262">
        <f>CalcPlant1Dep*CalcPlant1Ch1Prod2Slot3Alloc</f>
        <v>0</v>
      </c>
      <c r="F3596" s="23" t="s">
        <v>1177</v>
      </c>
    </row>
    <row r="3597" spans="2:6">
      <c r="C3597" s="23" t="s">
        <v>239</v>
      </c>
      <c r="E3597" s="262"/>
    </row>
    <row r="3598" spans="2:6">
      <c r="D3598" s="23" t="s">
        <v>975</v>
      </c>
      <c r="E3598" s="262">
        <f>CalcPlant1Dep*CalcPlant1Ch1Prod3Slot1Alloc</f>
        <v>4032460.4593641991</v>
      </c>
      <c r="F3598" s="23" t="s">
        <v>1178</v>
      </c>
    </row>
    <row r="3599" spans="2:6">
      <c r="D3599" s="23" t="s">
        <v>976</v>
      </c>
      <c r="E3599" s="262">
        <f>CalcPlant1Dep*CalcPlant1Ch1Prod3Slot2Alloc</f>
        <v>9589387.6777563244</v>
      </c>
      <c r="F3599" s="23" t="s">
        <v>1179</v>
      </c>
    </row>
    <row r="3600" spans="2:6">
      <c r="D3600" s="23" t="s">
        <v>977</v>
      </c>
      <c r="E3600" s="262">
        <f>CalcPlant1Dep*CalcPlant1Ch1Prod3Slot3Alloc</f>
        <v>0</v>
      </c>
      <c r="F3600" s="23" t="s">
        <v>1180</v>
      </c>
    </row>
    <row r="3601" spans="2:6">
      <c r="C3601" s="23" t="s">
        <v>240</v>
      </c>
      <c r="E3601" s="262"/>
    </row>
    <row r="3602" spans="2:6">
      <c r="D3602" s="23" t="s">
        <v>975</v>
      </c>
      <c r="E3602" s="262">
        <f>CalcPlant1Dep*CalcPlant1Ch1Prod4Slot1Alloc</f>
        <v>0</v>
      </c>
      <c r="F3602" s="23" t="s">
        <v>1181</v>
      </c>
    </row>
    <row r="3603" spans="2:6">
      <c r="D3603" s="23" t="s">
        <v>976</v>
      </c>
      <c r="E3603" s="262">
        <f>CalcPlant1Dep*CalcPlant1Ch1Prod4Slot2Alloc</f>
        <v>0</v>
      </c>
      <c r="F3603" s="23" t="s">
        <v>1182</v>
      </c>
    </row>
    <row r="3604" spans="2:6">
      <c r="D3604" s="23" t="s">
        <v>977</v>
      </c>
      <c r="E3604" s="262">
        <f>CalcPlant1Dep*CalcPlant1Ch1Prod4Slot3Alloc</f>
        <v>0</v>
      </c>
      <c r="F3604" s="23" t="s">
        <v>1183</v>
      </c>
    </row>
    <row r="3605" spans="2:6">
      <c r="B3605" s="23" t="s">
        <v>245</v>
      </c>
      <c r="E3605" s="262"/>
    </row>
    <row r="3606" spans="2:6">
      <c r="C3606" s="23" t="s">
        <v>12868</v>
      </c>
      <c r="E3606" s="262"/>
    </row>
    <row r="3607" spans="2:6">
      <c r="D3607" s="23" t="s">
        <v>975</v>
      </c>
      <c r="E3607" s="262">
        <f>CalcPlant1Dep*CalcPlant1Ch2Prod1Slot1Alloc</f>
        <v>2933140.0364369922</v>
      </c>
      <c r="F3607" s="23" t="s">
        <v>1184</v>
      </c>
    </row>
    <row r="3608" spans="2:6">
      <c r="D3608" s="23" t="s">
        <v>976</v>
      </c>
      <c r="E3608" s="262">
        <f>CalcPlant1Dep*CalcPlant1Ch2Prod1Slot2Alloc</f>
        <v>0</v>
      </c>
      <c r="F3608" s="23" t="s">
        <v>1185</v>
      </c>
    </row>
    <row r="3609" spans="2:6">
      <c r="D3609" s="23" t="s">
        <v>977</v>
      </c>
      <c r="E3609" s="262">
        <f>CalcPlant1Dep*CalcPlant1Ch2Prod1Slot3Alloc</f>
        <v>0</v>
      </c>
      <c r="F3609" s="23" t="s">
        <v>1186</v>
      </c>
    </row>
    <row r="3610" spans="2:6">
      <c r="C3610" s="23" t="s">
        <v>238</v>
      </c>
      <c r="E3610" s="262"/>
    </row>
    <row r="3611" spans="2:6">
      <c r="D3611" s="23" t="s">
        <v>975</v>
      </c>
      <c r="E3611" s="262">
        <f>CalcPlant1Dep*CalcPlant1Ch2Prod2Slot1Alloc</f>
        <v>21411922.265990037</v>
      </c>
      <c r="F3611" s="23" t="s">
        <v>1187</v>
      </c>
    </row>
    <row r="3612" spans="2:6">
      <c r="D3612" s="23" t="s">
        <v>976</v>
      </c>
      <c r="E3612" s="262">
        <f>CalcPlant1Dep*CalcPlant1Ch2Prod2Slot2Alloc</f>
        <v>0</v>
      </c>
      <c r="F3612" s="23" t="s">
        <v>1188</v>
      </c>
    </row>
    <row r="3613" spans="2:6">
      <c r="D3613" s="23" t="s">
        <v>977</v>
      </c>
      <c r="E3613" s="262">
        <f>CalcPlant1Dep*CalcPlant1Ch2Prod2Slot3Alloc</f>
        <v>0</v>
      </c>
      <c r="F3613" s="23" t="s">
        <v>1189</v>
      </c>
    </row>
    <row r="3614" spans="2:6">
      <c r="C3614" s="23" t="s">
        <v>239</v>
      </c>
      <c r="E3614" s="262"/>
    </row>
    <row r="3615" spans="2:6">
      <c r="D3615" s="23" t="s">
        <v>975</v>
      </c>
      <c r="E3615" s="262">
        <f>CalcPlant1Dep*CalcPlant1Ch2Prod3Slot1Alloc</f>
        <v>8017249.4329277789</v>
      </c>
      <c r="F3615" s="23" t="s">
        <v>1190</v>
      </c>
    </row>
    <row r="3616" spans="2:6">
      <c r="D3616" s="23" t="s">
        <v>976</v>
      </c>
      <c r="E3616" s="262">
        <f>CalcPlant1Dep*CalcPlant1Ch2Prod3Slot2Alloc</f>
        <v>0</v>
      </c>
      <c r="F3616" s="23" t="s">
        <v>1191</v>
      </c>
    </row>
    <row r="3617" spans="2:6">
      <c r="D3617" s="23" t="s">
        <v>977</v>
      </c>
      <c r="E3617" s="262">
        <f>CalcPlant1Dep*CalcPlant1Ch2Prod3Slot3Alloc</f>
        <v>0</v>
      </c>
      <c r="F3617" s="23" t="s">
        <v>1192</v>
      </c>
    </row>
    <row r="3618" spans="2:6">
      <c r="C3618" s="23" t="s">
        <v>240</v>
      </c>
      <c r="E3618" s="262"/>
    </row>
    <row r="3619" spans="2:6">
      <c r="D3619" s="23" t="s">
        <v>975</v>
      </c>
      <c r="E3619" s="262">
        <f>CalcPlant1Dep*CalcPlant1Ch2Prod4Slot1Alloc</f>
        <v>0</v>
      </c>
      <c r="F3619" s="23" t="s">
        <v>1193</v>
      </c>
    </row>
    <row r="3620" spans="2:6">
      <c r="D3620" s="23" t="s">
        <v>976</v>
      </c>
      <c r="E3620" s="262">
        <f>CalcPlant1Dep*CalcPlant1Ch2Prod4Slot2Alloc</f>
        <v>0</v>
      </c>
      <c r="F3620" s="23" t="s">
        <v>1194</v>
      </c>
    </row>
    <row r="3621" spans="2:6">
      <c r="D3621" s="23" t="s">
        <v>977</v>
      </c>
      <c r="E3621" s="262">
        <f>CalcPlant1Dep*CalcPlant1Ch2Prod4Slot3Alloc</f>
        <v>0</v>
      </c>
      <c r="F3621" s="23" t="s">
        <v>1195</v>
      </c>
    </row>
    <row r="3622" spans="2:6">
      <c r="B3622" s="23" t="s">
        <v>5199</v>
      </c>
      <c r="E3622" s="262"/>
    </row>
    <row r="3623" spans="2:6">
      <c r="C3623" s="23" t="s">
        <v>12868</v>
      </c>
      <c r="E3623" s="262"/>
    </row>
    <row r="3624" spans="2:6">
      <c r="D3624" s="23" t="s">
        <v>975</v>
      </c>
      <c r="E3624" s="262">
        <f>CalcPlant1Dep*CalcPlant1Ch3Prod1Slot1Alloc</f>
        <v>5675220.3817262165</v>
      </c>
      <c r="F3624" s="23" t="s">
        <v>1196</v>
      </c>
    </row>
    <row r="3625" spans="2:6">
      <c r="D3625" s="23" t="s">
        <v>976</v>
      </c>
      <c r="E3625" s="262">
        <f>CalcPlant1Dep*CalcPlant1Ch3Prod1Slot2Alloc</f>
        <v>0</v>
      </c>
      <c r="F3625" s="23" t="s">
        <v>1197</v>
      </c>
    </row>
    <row r="3626" spans="2:6">
      <c r="D3626" s="23" t="s">
        <v>977</v>
      </c>
      <c r="E3626" s="262">
        <f>CalcPlant1Dep*CalcPlant1Ch3Prod1Slot3Alloc</f>
        <v>0</v>
      </c>
      <c r="F3626" s="23" t="s">
        <v>1198</v>
      </c>
    </row>
    <row r="3627" spans="2:6">
      <c r="C3627" s="23" t="s">
        <v>238</v>
      </c>
      <c r="E3627" s="262"/>
    </row>
    <row r="3628" spans="2:6">
      <c r="D3628" s="23" t="s">
        <v>975</v>
      </c>
      <c r="E3628" s="262">
        <f>CalcPlant1Dep*CalcPlant1Ch3Prod2Slot1Alloc</f>
        <v>2515162.9010729236</v>
      </c>
      <c r="F3628" s="23" t="s">
        <v>1199</v>
      </c>
    </row>
    <row r="3629" spans="2:6">
      <c r="D3629" s="23" t="s">
        <v>976</v>
      </c>
      <c r="E3629" s="262">
        <f>CalcPlant1Dep*CalcPlant1Ch3Prod2Slot2Alloc</f>
        <v>5702985.6477816291</v>
      </c>
      <c r="F3629" s="23" t="s">
        <v>1200</v>
      </c>
    </row>
    <row r="3630" spans="2:6">
      <c r="D3630" s="23" t="s">
        <v>977</v>
      </c>
      <c r="E3630" s="262">
        <f>CalcPlant1Dep*CalcPlant1Ch3Prod2Slot3Alloc</f>
        <v>0</v>
      </c>
      <c r="F3630" s="23" t="s">
        <v>1201</v>
      </c>
    </row>
    <row r="3631" spans="2:6">
      <c r="C3631" s="23" t="s">
        <v>239</v>
      </c>
      <c r="E3631" s="262"/>
    </row>
    <row r="3632" spans="2:6">
      <c r="D3632" s="23" t="s">
        <v>975</v>
      </c>
      <c r="E3632" s="262">
        <f>CalcPlant1Dep*CalcPlant1Ch3Prod3Slot1Alloc</f>
        <v>6872828.8575829891</v>
      </c>
      <c r="F3632" s="23" t="s">
        <v>1202</v>
      </c>
    </row>
    <row r="3633" spans="2:6">
      <c r="D3633" s="23" t="s">
        <v>976</v>
      </c>
      <c r="E3633" s="262">
        <f>CalcPlant1Dep*CalcPlant1Ch3Prod3Slot2Alloc</f>
        <v>0</v>
      </c>
      <c r="F3633" s="23" t="s">
        <v>1203</v>
      </c>
    </row>
    <row r="3634" spans="2:6">
      <c r="D3634" s="23" t="s">
        <v>977</v>
      </c>
      <c r="E3634" s="262">
        <f>CalcPlant1Dep*CalcPlant1Ch3Prod3Slot3Alloc</f>
        <v>0</v>
      </c>
      <c r="F3634" s="23" t="s">
        <v>1204</v>
      </c>
    </row>
    <row r="3635" spans="2:6">
      <c r="C3635" s="23" t="s">
        <v>240</v>
      </c>
      <c r="E3635" s="262"/>
    </row>
    <row r="3636" spans="2:6">
      <c r="D3636" s="23" t="s">
        <v>975</v>
      </c>
      <c r="E3636" s="262">
        <f>CalcPlant1Dep*CalcPlant1Ch3Prod4Slot1Alloc</f>
        <v>0</v>
      </c>
      <c r="F3636" s="23" t="s">
        <v>1205</v>
      </c>
    </row>
    <row r="3637" spans="2:6">
      <c r="D3637" s="23" t="s">
        <v>976</v>
      </c>
      <c r="E3637" s="262">
        <f>CalcPlant1Dep*CalcPlant1Ch3Prod4Slot2Alloc</f>
        <v>0</v>
      </c>
      <c r="F3637" s="23" t="s">
        <v>1206</v>
      </c>
    </row>
    <row r="3638" spans="2:6">
      <c r="D3638" s="23" t="s">
        <v>977</v>
      </c>
      <c r="E3638" s="262">
        <f>CalcPlant1Dep*CalcPlant1Ch3Prod4Slot3Alloc</f>
        <v>0</v>
      </c>
      <c r="F3638" s="23" t="s">
        <v>1207</v>
      </c>
    </row>
    <row r="3639" spans="2:6">
      <c r="B3639" s="23" t="s">
        <v>246</v>
      </c>
      <c r="E3639" s="262"/>
    </row>
    <row r="3640" spans="2:6">
      <c r="C3640" s="23" t="s">
        <v>12868</v>
      </c>
      <c r="E3640" s="262"/>
    </row>
    <row r="3641" spans="2:6">
      <c r="D3641" s="23" t="s">
        <v>975</v>
      </c>
      <c r="E3641" s="262">
        <f>CalcPlant1Dep*CalcPlant1Ch4Prod1Slot1Alloc</f>
        <v>6039624.6283877734</v>
      </c>
      <c r="F3641" s="23" t="s">
        <v>1208</v>
      </c>
    </row>
    <row r="3642" spans="2:6">
      <c r="D3642" s="23" t="s">
        <v>976</v>
      </c>
      <c r="E3642" s="262">
        <f>CalcPlant1Dep*CalcPlant1Ch4Prod1Slot2Alloc</f>
        <v>0</v>
      </c>
      <c r="F3642" s="23" t="s">
        <v>1209</v>
      </c>
    </row>
    <row r="3643" spans="2:6">
      <c r="D3643" s="23" t="s">
        <v>977</v>
      </c>
      <c r="E3643" s="262">
        <f>CalcPlant1Dep*CalcPlant1Ch4Prod1Slot3Alloc</f>
        <v>0</v>
      </c>
      <c r="F3643" s="23" t="s">
        <v>1210</v>
      </c>
    </row>
    <row r="3644" spans="2:6">
      <c r="C3644" s="23" t="s">
        <v>238</v>
      </c>
      <c r="E3644" s="262"/>
    </row>
    <row r="3645" spans="2:6">
      <c r="D3645" s="23" t="s">
        <v>975</v>
      </c>
      <c r="E3645" s="262">
        <f>CalcPlant1Dep*CalcPlant1Ch4Prod2Slot1Alloc</f>
        <v>4207114.1313842628</v>
      </c>
      <c r="F3645" s="23" t="s">
        <v>1211</v>
      </c>
    </row>
    <row r="3646" spans="2:6">
      <c r="D3646" s="23" t="s">
        <v>976</v>
      </c>
      <c r="E3646" s="262">
        <f>CalcPlant1Dep*CalcPlant1Ch4Prod2Slot2Alloc</f>
        <v>0</v>
      </c>
      <c r="F3646" s="23" t="s">
        <v>1212</v>
      </c>
    </row>
    <row r="3647" spans="2:6">
      <c r="D3647" s="23" t="s">
        <v>977</v>
      </c>
      <c r="E3647" s="262">
        <f>CalcPlant1Dep*CalcPlant1Ch4Prod2Slot3Alloc</f>
        <v>0</v>
      </c>
      <c r="F3647" s="23" t="s">
        <v>1213</v>
      </c>
    </row>
    <row r="3648" spans="2:6">
      <c r="C3648" s="23" t="s">
        <v>239</v>
      </c>
      <c r="E3648" s="262"/>
    </row>
    <row r="3649" spans="2:6">
      <c r="D3649" s="23" t="s">
        <v>975</v>
      </c>
      <c r="E3649" s="262">
        <f>CalcPlant1Dep*CalcPlant1Ch4Prod3Slot1Alloc</f>
        <v>2804742.7542561754</v>
      </c>
      <c r="F3649" s="23" t="s">
        <v>1214</v>
      </c>
    </row>
    <row r="3650" spans="2:6">
      <c r="D3650" s="23" t="s">
        <v>976</v>
      </c>
      <c r="E3650" s="262">
        <f>CalcPlant1Dep*CalcPlant1Ch4Prod3Slot2Alloc</f>
        <v>0</v>
      </c>
      <c r="F3650" s="23" t="s">
        <v>1215</v>
      </c>
    </row>
    <row r="3651" spans="2:6">
      <c r="D3651" s="23" t="s">
        <v>977</v>
      </c>
      <c r="E3651" s="262">
        <f>CalcPlant1Dep*CalcPlant1Ch4Prod3Slot3Alloc</f>
        <v>0</v>
      </c>
      <c r="F3651" s="23" t="s">
        <v>1216</v>
      </c>
    </row>
    <row r="3652" spans="2:6">
      <c r="C3652" s="23" t="s">
        <v>240</v>
      </c>
      <c r="E3652" s="262"/>
    </row>
    <row r="3653" spans="2:6">
      <c r="D3653" s="23" t="s">
        <v>975</v>
      </c>
      <c r="E3653" s="262">
        <f>CalcPlant1Dep*CalcPlant1Ch4Prod4Slot1Alloc</f>
        <v>5750002.2815944776</v>
      </c>
      <c r="F3653" s="23" t="s">
        <v>1217</v>
      </c>
    </row>
    <row r="3654" spans="2:6">
      <c r="D3654" s="23" t="s">
        <v>976</v>
      </c>
      <c r="E3654" s="262">
        <f>CalcPlant1Dep*CalcPlant1Ch4Prod4Slot2Alloc</f>
        <v>0</v>
      </c>
      <c r="F3654" s="23" t="s">
        <v>1218</v>
      </c>
    </row>
    <row r="3655" spans="2:6">
      <c r="D3655" s="23" t="s">
        <v>977</v>
      </c>
      <c r="E3655" s="262">
        <f>CalcPlant1Dep*CalcPlant1Ch4Prod4Slot3Alloc</f>
        <v>0</v>
      </c>
      <c r="F3655" s="23" t="s">
        <v>1219</v>
      </c>
    </row>
    <row r="3656" spans="2:6" ht="1.5" customHeight="1">
      <c r="C3656" s="197"/>
      <c r="D3656" s="197"/>
      <c r="E3656" s="260"/>
    </row>
    <row r="3657" spans="2:6">
      <c r="E3657" s="262"/>
    </row>
    <row r="3658" spans="2:6">
      <c r="C3658" s="198" t="s">
        <v>1268</v>
      </c>
      <c r="E3658" s="262"/>
    </row>
    <row r="3659" spans="2:6">
      <c r="D3659" s="23" t="s">
        <v>13840</v>
      </c>
      <c r="E3659"/>
    </row>
    <row r="3660" spans="2:6">
      <c r="B3660" s="23" t="s">
        <v>244</v>
      </c>
      <c r="E3660" s="266"/>
    </row>
    <row r="3661" spans="2:6">
      <c r="C3661" s="23" t="s">
        <v>12868</v>
      </c>
      <c r="E3661" s="340"/>
    </row>
    <row r="3662" spans="2:6">
      <c r="D3662" s="23" t="s">
        <v>975</v>
      </c>
      <c r="E3662" s="341">
        <f>IF(CalcPlant1Ch1Prod1Slot1HoursReq=0,0,CalcCh1Prod1Slot1Depreciation/calcCh1Prod1Slot1VolForecastSlot)</f>
        <v>0.14737201449788842</v>
      </c>
      <c r="F3662" s="23" t="s">
        <v>1220</v>
      </c>
    </row>
    <row r="3663" spans="2:6">
      <c r="D3663" s="23" t="s">
        <v>976</v>
      </c>
      <c r="E3663" s="341">
        <f>IF(CalcPlant1Ch1Prod1Slot2HoursReq=0,0,CalcCh1Prod1Slot2Depreciation/calcCh1Prod1Slot2VolForecastSlot)</f>
        <v>0</v>
      </c>
      <c r="F3663" s="23" t="s">
        <v>1221</v>
      </c>
    </row>
    <row r="3664" spans="2:6">
      <c r="D3664" s="23" t="s">
        <v>977</v>
      </c>
      <c r="E3664" s="341">
        <f>IF(CalcPlant1Ch1Prod1Slot3HoursReq=0,0,CalcCh1Prod1Slot3Depreciation/calcCh1Prod1Slot3VolForecastSlot)</f>
        <v>0</v>
      </c>
      <c r="F3664" s="23" t="s">
        <v>1222</v>
      </c>
    </row>
    <row r="3665" spans="2:6">
      <c r="C3665" s="23" t="s">
        <v>238</v>
      </c>
      <c r="E3665" s="266"/>
    </row>
    <row r="3666" spans="2:6">
      <c r="D3666" s="23" t="s">
        <v>975</v>
      </c>
      <c r="E3666" s="341">
        <f>IF(CalcPlant1Ch1Prod2Slot1HoursReq=0,0,CalcCh1Prod2Slot1Depreciation/calcCh1Prod2Slot1VolForecastSlot)</f>
        <v>8.6808172923413709E-2</v>
      </c>
      <c r="F3666" s="23" t="s">
        <v>1223</v>
      </c>
    </row>
    <row r="3667" spans="2:6">
      <c r="D3667" s="23" t="s">
        <v>976</v>
      </c>
      <c r="E3667" s="341">
        <f>IF(CalcPlant1Ch1Prod2Slot2HoursReq=0,0,CalcCh1Prod2Slot2Depreciation/calcCh1Prod2Slot2VolForecastSlot)</f>
        <v>0.13122165674469516</v>
      </c>
      <c r="F3667" s="23" t="s">
        <v>1224</v>
      </c>
    </row>
    <row r="3668" spans="2:6">
      <c r="D3668" s="23" t="s">
        <v>977</v>
      </c>
      <c r="E3668" s="341">
        <f>IF(CalcPlant1Ch1Prod2Slot3HoursReq=0,0,CalcCh1Prod2Slot3Depreciation/calcCh1Prod2Slot3VolForecastSlot)</f>
        <v>0</v>
      </c>
      <c r="F3668" s="23" t="s">
        <v>1225</v>
      </c>
    </row>
    <row r="3669" spans="2:6">
      <c r="C3669" s="23" t="s">
        <v>239</v>
      </c>
      <c r="E3669" s="266"/>
    </row>
    <row r="3670" spans="2:6">
      <c r="D3670" s="23" t="s">
        <v>975</v>
      </c>
      <c r="E3670" s="341">
        <f>IF(CalcPlant1Ch1Prod3Slot1HoursReq=0,0,CalcCh1Prod3Slot1Depreciation/calcCh1Prod3Slot1VolForecastSlot)</f>
        <v>8.2770583485115429E-2</v>
      </c>
      <c r="F3670" s="23" t="s">
        <v>1226</v>
      </c>
    </row>
    <row r="3671" spans="2:6">
      <c r="D3671" s="23" t="s">
        <v>976</v>
      </c>
      <c r="E3671" s="341">
        <f>IF(CalcPlant1Ch1Prod3Slot2HoursReq=0,0,CalcCh1Prod3Slot2Depreciation/calcCh1Prod3Slot2VolForecastSlot)</f>
        <v>0.13122165674469516</v>
      </c>
      <c r="F3671" s="23" t="s">
        <v>1227</v>
      </c>
    </row>
    <row r="3672" spans="2:6">
      <c r="D3672" s="23" t="s">
        <v>977</v>
      </c>
      <c r="E3672" s="341">
        <f>IF(CalcPlant1Ch1Prod3Slot3HoursReq=0,0,CalcCh1Prod3Slot3Depreciation/calcCh1Prod3Slot3VolForecastSlot)</f>
        <v>0</v>
      </c>
      <c r="F3672" s="23" t="s">
        <v>1228</v>
      </c>
    </row>
    <row r="3673" spans="2:6">
      <c r="C3673" s="23" t="s">
        <v>240</v>
      </c>
      <c r="E3673" s="266"/>
    </row>
    <row r="3674" spans="2:6">
      <c r="D3674" s="23" t="s">
        <v>975</v>
      </c>
      <c r="E3674" s="341">
        <f>IF(CalcPlant1Ch1Prod4Slot1HoursReq=0,0,CalcCh1Prod4Slot1Depreciation/calcCh1Prod4Slot1VolForecastSlot)</f>
        <v>0</v>
      </c>
      <c r="F3674" s="23" t="s">
        <v>1229</v>
      </c>
    </row>
    <row r="3675" spans="2:6">
      <c r="D3675" s="23" t="s">
        <v>976</v>
      </c>
      <c r="E3675" s="341">
        <f>IF(CalcPlant1Ch1Prod4Slot2HoursReq=0,0,CalcCh1Prod4Slot2Depreciation/calcCh1Prod4Slot2VolForecastSlot)</f>
        <v>0</v>
      </c>
      <c r="F3675" s="23" t="s">
        <v>1230</v>
      </c>
    </row>
    <row r="3676" spans="2:6">
      <c r="D3676" s="23" t="s">
        <v>977</v>
      </c>
      <c r="E3676" s="341">
        <f>IF(CalcPlant1Ch1Prod4Slot3HoursReq=0,0,CalcCh1Prod4Slot3Depreciation/calcCh1Prod4Slot3VolForecastSlot)</f>
        <v>0</v>
      </c>
      <c r="F3676" s="23" t="s">
        <v>1231</v>
      </c>
    </row>
    <row r="3677" spans="2:6">
      <c r="B3677" s="23" t="s">
        <v>245</v>
      </c>
      <c r="E3677" s="266"/>
    </row>
    <row r="3678" spans="2:6">
      <c r="C3678" s="23" t="s">
        <v>12868</v>
      </c>
      <c r="E3678" s="266"/>
    </row>
    <row r="3679" spans="2:6">
      <c r="D3679" s="23" t="s">
        <v>975</v>
      </c>
      <c r="E3679" s="341">
        <f>IF(CalcPlant1Ch2Prod1Slot1HoursReq=0,0,CalcCh2Prod1Slot1Depreciation/calcCh2Prod1Slot1VolForecastSlot)</f>
        <v>0.1392968356212918</v>
      </c>
      <c r="F3679" s="23" t="s">
        <v>1232</v>
      </c>
    </row>
    <row r="3680" spans="2:6">
      <c r="D3680" s="23" t="s">
        <v>976</v>
      </c>
      <c r="E3680" s="341">
        <f>IF(CalcPlant1Ch2Prod1Slot2HoursReq=0,0,CalcCh2Prod1Slot2Depreciation/calcCh2Prod1Slot2VolForecastSlot)</f>
        <v>0</v>
      </c>
      <c r="F3680" s="23" t="s">
        <v>1233</v>
      </c>
    </row>
    <row r="3681" spans="2:6">
      <c r="D3681" s="23" t="s">
        <v>977</v>
      </c>
      <c r="E3681" s="341">
        <f>IF(CalcPlant1Ch2Prod1Slot3HoursReq=0,0,CalcCh2Prod1Slot3Depreciation/calcCh2Prod1Slot3VolForecastSlot)</f>
        <v>0</v>
      </c>
      <c r="F3681" s="23" t="s">
        <v>1234</v>
      </c>
    </row>
    <row r="3682" spans="2:6">
      <c r="C3682" s="23" t="s">
        <v>238</v>
      </c>
      <c r="E3682" s="266"/>
    </row>
    <row r="3683" spans="2:6">
      <c r="D3683" s="23" t="s">
        <v>975</v>
      </c>
      <c r="E3683" s="341">
        <f>IF(CalcPlant1Ch2Prod2Slot1HoursReq=0,0,CalcCh2Prod2Slot1Depreciation/calcCh2Prod2Slot1VolForecastSlot)</f>
        <v>0.14737201449788842</v>
      </c>
      <c r="F3683" s="23" t="s">
        <v>1235</v>
      </c>
    </row>
    <row r="3684" spans="2:6">
      <c r="D3684" s="23" t="s">
        <v>976</v>
      </c>
      <c r="E3684" s="341">
        <f>IF(CalcPlant1Ch2Prod2Slot2HoursReq=0,0,CalcCh2Prod2Slot2Depreciation/calcCh2Prod2Slot2VolForecastSlot)</f>
        <v>0</v>
      </c>
      <c r="F3684" s="23" t="s">
        <v>1236</v>
      </c>
    </row>
    <row r="3685" spans="2:6">
      <c r="D3685" s="23" t="s">
        <v>977</v>
      </c>
      <c r="E3685" s="341">
        <f>IF(CalcPlant1Ch2Prod2Slot3HoursReq=0,0,CalcCh2Prod2Slot3Depreciation/calcCh2Prod2Slot3VolForecastSlot)</f>
        <v>0</v>
      </c>
      <c r="F3685" s="23" t="s">
        <v>1237</v>
      </c>
    </row>
    <row r="3686" spans="2:6">
      <c r="C3686" s="23" t="s">
        <v>239</v>
      </c>
      <c r="E3686" s="266"/>
    </row>
    <row r="3687" spans="2:6">
      <c r="D3687" s="23" t="s">
        <v>975</v>
      </c>
      <c r="E3687" s="341">
        <f>IF(CalcPlant1Ch2Prod3Slot1HoursReq=0,0,CalcCh2Prod3Slot1Depreciation/calcCh2Prod3Slot1VolForecastSlot)</f>
        <v>8.2770583485115429E-2</v>
      </c>
      <c r="F3687" s="23" t="s">
        <v>1238</v>
      </c>
    </row>
    <row r="3688" spans="2:6">
      <c r="D3688" s="23" t="s">
        <v>976</v>
      </c>
      <c r="E3688" s="341">
        <f>IF(CalcPlant1Ch2Prod3Slot2HoursReq=0,0,CalcCh2Prod3Slot2Depreciation/calcCh2Prod3Slot2VolForecastSlot)</f>
        <v>0</v>
      </c>
      <c r="F3688" s="23" t="s">
        <v>1239</v>
      </c>
    </row>
    <row r="3689" spans="2:6">
      <c r="D3689" s="23" t="s">
        <v>977</v>
      </c>
      <c r="E3689" s="341">
        <f>IF(CalcPlant1Ch2Prod3Slot3HoursReq=0,0,CalcCh2Prod3Slot3Depreciation/calcCh2Prod3Slot3VolForecastSlot)</f>
        <v>0</v>
      </c>
      <c r="F3689" s="23" t="s">
        <v>1240</v>
      </c>
    </row>
    <row r="3690" spans="2:6">
      <c r="C3690" s="23" t="s">
        <v>240</v>
      </c>
      <c r="E3690" s="266"/>
    </row>
    <row r="3691" spans="2:6">
      <c r="D3691" s="23" t="s">
        <v>975</v>
      </c>
      <c r="E3691" s="341">
        <f>IF(CalcPlant1Ch2Prod4Slot1HoursReq=0,0,CalcCh2Prod4Slot1Depreciation/calcCh2Prod4Slot1VolForecastSlot)</f>
        <v>0</v>
      </c>
      <c r="F3691" s="23" t="s">
        <v>1241</v>
      </c>
    </row>
    <row r="3692" spans="2:6">
      <c r="D3692" s="23" t="s">
        <v>976</v>
      </c>
      <c r="E3692" s="341">
        <f>IF(CalcPlant1Ch2Prod4Slot2HoursReq=0,0,CalcCh2Prod4Slot2Depreciation/calcCh2Prod4Slot2VolForecastSlot)</f>
        <v>0</v>
      </c>
      <c r="F3692" s="23" t="s">
        <v>1242</v>
      </c>
    </row>
    <row r="3693" spans="2:6">
      <c r="D3693" s="23" t="s">
        <v>977</v>
      </c>
      <c r="E3693" s="341">
        <f>IF(CalcPlant1Ch2Prod4Slot3HoursReq=0,0,CalcCh2Prod4Slot3Depreciation/calcCh2Prod4Slot3VolForecastSlot)</f>
        <v>0</v>
      </c>
      <c r="F3693" s="23" t="s">
        <v>1243</v>
      </c>
    </row>
    <row r="3694" spans="2:6">
      <c r="B3694" s="23" t="s">
        <v>5199</v>
      </c>
      <c r="E3694" s="266"/>
    </row>
    <row r="3695" spans="2:6">
      <c r="C3695" s="23" t="s">
        <v>12868</v>
      </c>
      <c r="E3695" s="266"/>
    </row>
    <row r="3696" spans="2:6">
      <c r="D3696" s="23" t="s">
        <v>975</v>
      </c>
      <c r="E3696" s="341">
        <f>IF(CalcPlant1Ch3Prod1Slot1HoursReq=0,0,CalcCh3Prod1Slot1Depreciation/calcCh3Prod1Slot1VolForecastSlot)</f>
        <v>0.14737201449788842</v>
      </c>
      <c r="F3696" s="23" t="s">
        <v>1244</v>
      </c>
    </row>
    <row r="3697" spans="2:6">
      <c r="D3697" s="23" t="s">
        <v>976</v>
      </c>
      <c r="E3697" s="341">
        <f>IF(CalcPlant1Ch3Prod1Slot2HoursReq=0,0,CalcCh3Prod1Slot2Depreciation/calcCh3Prod1Slot2VolForecastSlot)</f>
        <v>0</v>
      </c>
      <c r="F3697" s="23" t="s">
        <v>1245</v>
      </c>
    </row>
    <row r="3698" spans="2:6">
      <c r="D3698" s="23" t="s">
        <v>977</v>
      </c>
      <c r="E3698" s="341">
        <f>IF(CalcPlant1Ch3Prod1Slot3HoursReq=0,0,CalcCh3Prod1Slot3Depreciation/calcCh3Prod1Slot3VolForecastSlot)</f>
        <v>0</v>
      </c>
      <c r="F3698" s="23" t="s">
        <v>1246</v>
      </c>
    </row>
    <row r="3699" spans="2:6">
      <c r="C3699" s="23" t="s">
        <v>238</v>
      </c>
      <c r="E3699" s="266"/>
    </row>
    <row r="3700" spans="2:6">
      <c r="D3700" s="23" t="s">
        <v>975</v>
      </c>
      <c r="E3700" s="341">
        <f>IF(CalcPlant1Ch3Prod2Slot1HoursReq=0,0,CalcCh3Prod2Slot1Depreciation/calcCh3Prod2Slot1VolForecastSlot)</f>
        <v>8.6808172923413737E-2</v>
      </c>
      <c r="F3700" s="23" t="s">
        <v>1247</v>
      </c>
    </row>
    <row r="3701" spans="2:6">
      <c r="D3701" s="23" t="s">
        <v>976</v>
      </c>
      <c r="E3701" s="341">
        <f>IF(CalcPlant1Ch3Prod2Slot2HoursReq=0,0,CalcCh3Prod2Slot2Depreciation/calcCh3Prod2Slot2VolForecastSlot)</f>
        <v>0.13122165674469519</v>
      </c>
      <c r="F3701" s="23" t="s">
        <v>1248</v>
      </c>
    </row>
    <row r="3702" spans="2:6">
      <c r="D3702" s="23" t="s">
        <v>977</v>
      </c>
      <c r="E3702" s="341">
        <f>IF(CalcPlant1Ch3Prod2Slot3HoursReq=0,0,CalcCh3Prod2Slot3Depreciation/calcCh3Prod2Slot3VolForecastSlot)</f>
        <v>0</v>
      </c>
      <c r="F3702" s="23" t="s">
        <v>1249</v>
      </c>
    </row>
    <row r="3703" spans="2:6">
      <c r="C3703" s="23" t="s">
        <v>239</v>
      </c>
      <c r="E3703" s="266"/>
    </row>
    <row r="3704" spans="2:6">
      <c r="D3704" s="23" t="s">
        <v>975</v>
      </c>
      <c r="E3704" s="341">
        <f>IF(CalcPlant1Ch3Prod3Slot1HoursReq=0,0,CalcCh3Prod3Slot1Depreciation/calcCh3Prod3Slot1VolForecastSlot)</f>
        <v>9.4883351800010368E-2</v>
      </c>
      <c r="F3704" s="23" t="s">
        <v>1250</v>
      </c>
    </row>
    <row r="3705" spans="2:6">
      <c r="D3705" s="23" t="s">
        <v>976</v>
      </c>
      <c r="E3705" s="341">
        <f>IF(CalcPlant1Ch3Prod3Slot2HoursReq=0,0,CalcCh3Prod3Slot2Depreciation/calcCh3Prod3Slot2VolForecastSlot)</f>
        <v>0</v>
      </c>
      <c r="F3705" s="23" t="s">
        <v>1251</v>
      </c>
    </row>
    <row r="3706" spans="2:6">
      <c r="D3706" s="23" t="s">
        <v>977</v>
      </c>
      <c r="E3706" s="341">
        <f>IF(CalcPlant1Ch3Prod3Slot3HoursReq=0,0,CalcCh3Prod3Slot3Depreciation/calcCh3Prod3Slot3VolForecastSlot)</f>
        <v>0</v>
      </c>
      <c r="F3706" s="23" t="s">
        <v>1252</v>
      </c>
    </row>
    <row r="3707" spans="2:6">
      <c r="C3707" s="23" t="s">
        <v>240</v>
      </c>
      <c r="E3707" s="266"/>
    </row>
    <row r="3708" spans="2:6">
      <c r="D3708" s="23" t="s">
        <v>975</v>
      </c>
      <c r="E3708" s="341">
        <f>IF(CalcPlant1Ch3Prod4Slot1HoursReq=0,0,CalcCh3Prod4Slot1Depreciation/calcCh3Prod4Slot1VolForecastSlot)</f>
        <v>0</v>
      </c>
      <c r="F3708" s="23" t="s">
        <v>1253</v>
      </c>
    </row>
    <row r="3709" spans="2:6">
      <c r="D3709" s="23" t="s">
        <v>976</v>
      </c>
      <c r="E3709" s="341">
        <f>IF(CalcPlant1Ch3Prod4Slot2HoursReq=0,0,CalcCh3Prod4Slot2Depreciation/calcCh3Prod4Slot2VolForecastSlot)</f>
        <v>0</v>
      </c>
      <c r="F3709" s="23" t="s">
        <v>1254</v>
      </c>
    </row>
    <row r="3710" spans="2:6">
      <c r="D3710" s="23" t="s">
        <v>977</v>
      </c>
      <c r="E3710" s="341">
        <f>IF(CalcPlant1Ch3Prod4Slot3HoursReq=0,0,CalcCh3Prod4Slot3Depreciation/calcCh3Prod4Slot3VolForecastSlot)</f>
        <v>0</v>
      </c>
      <c r="F3710" s="23" t="s">
        <v>1255</v>
      </c>
    </row>
    <row r="3711" spans="2:6">
      <c r="B3711" s="23" t="s">
        <v>246</v>
      </c>
      <c r="E3711" s="266"/>
    </row>
    <row r="3712" spans="2:6">
      <c r="C3712" s="23" t="s">
        <v>12868</v>
      </c>
      <c r="E3712" s="266"/>
    </row>
    <row r="3713" spans="3:6">
      <c r="D3713" s="23" t="s">
        <v>975</v>
      </c>
      <c r="E3713" s="341">
        <f>IF(CalcPlant1Ch4Prod1Slot1HoursReq=0,0,CalcCh4Prod1Slot1Depreciation/calcCh4Prod1Slot1VolForecastSlot)</f>
        <v>0.11910888842980025</v>
      </c>
      <c r="F3713" s="23" t="s">
        <v>1256</v>
      </c>
    </row>
    <row r="3714" spans="3:6">
      <c r="D3714" s="23" t="s">
        <v>976</v>
      </c>
      <c r="E3714" s="341">
        <f>IF(CalcPlant1Ch4Prod1Slot2HoursReq=0,0,CalcCh4Prod1Slot2Depreciation/calcCh4Prod1Slot2VolForecastSlot)</f>
        <v>0</v>
      </c>
      <c r="F3714" s="23" t="s">
        <v>1257</v>
      </c>
    </row>
    <row r="3715" spans="3:6">
      <c r="D3715" s="23" t="s">
        <v>977</v>
      </c>
      <c r="E3715" s="341">
        <f>IF(CalcPlant1Ch4Prod1Slot3HoursReq=0,0,CalcCh4Prod1Slot3Depreciation/calcCh4Prod1Slot3VolForecastSlot)</f>
        <v>0</v>
      </c>
      <c r="F3715" s="23" t="s">
        <v>1258</v>
      </c>
    </row>
    <row r="3716" spans="3:6">
      <c r="C3716" s="23" t="s">
        <v>238</v>
      </c>
      <c r="E3716" s="266"/>
    </row>
    <row r="3717" spans="3:6">
      <c r="D3717" s="23" t="s">
        <v>975</v>
      </c>
      <c r="E3717" s="341">
        <f>IF(CalcPlant1Ch4Prod2Slot1HoursReq=0,0,CalcCh4Prod2Slot1Depreciation/calcCh4Prod2Slot1VolForecastSlot)</f>
        <v>0.11910888842980022</v>
      </c>
      <c r="F3717" s="23" t="s">
        <v>1259</v>
      </c>
    </row>
    <row r="3718" spans="3:6">
      <c r="D3718" s="23" t="s">
        <v>976</v>
      </c>
      <c r="E3718" s="341">
        <f>IF(CalcPlant1Ch4Prod2Slot2HoursReq=0,0,CalcCh4Prod2Slot2Depreciation/calcCh4Prod2Slot2VolForecastSlot)</f>
        <v>0</v>
      </c>
      <c r="F3718" s="23" t="s">
        <v>1260</v>
      </c>
    </row>
    <row r="3719" spans="3:6">
      <c r="D3719" s="23" t="s">
        <v>977</v>
      </c>
      <c r="E3719" s="341">
        <f>IF(CalcPlant1Ch4Prod2Slot3HoursReq=0,0,CalcCh4Prod2Slot3Depreciation/calcCh4Prod2Slot3VolForecastSlot)</f>
        <v>0</v>
      </c>
      <c r="F3719" s="23" t="s">
        <v>1261</v>
      </c>
    </row>
    <row r="3720" spans="3:6">
      <c r="C3720" s="23" t="s">
        <v>239</v>
      </c>
      <c r="E3720" s="266"/>
    </row>
    <row r="3721" spans="3:6">
      <c r="D3721" s="23" t="s">
        <v>975</v>
      </c>
      <c r="E3721" s="341">
        <f>IF(CalcPlant1Ch4Prod3Slot1HoursReq=0,0,CalcCh4Prod3Slot1Depreciation/calcCh4Prod3Slot1VolForecastSlot)</f>
        <v>0.11910888842980022</v>
      </c>
      <c r="F3721" s="23" t="s">
        <v>1262</v>
      </c>
    </row>
    <row r="3722" spans="3:6">
      <c r="D3722" s="23" t="s">
        <v>976</v>
      </c>
      <c r="E3722" s="341">
        <f>IF(CalcPlant1Ch4Prod3Slot2HoursReq=0,0,CalcCh4Prod3Slot2Depreciation/calcCh4Prod3Slot2VolForecastSlot)</f>
        <v>0</v>
      </c>
      <c r="F3722" s="23" t="s">
        <v>1263</v>
      </c>
    </row>
    <row r="3723" spans="3:6">
      <c r="D3723" s="23" t="s">
        <v>977</v>
      </c>
      <c r="E3723" s="341">
        <f>IF(CalcPlant1Ch4Prod3Slot3HoursReq=0,0,CalcCh4Prod3Slot3Depreciation/calcCh4Prod3Slot3VolForecastSlot)</f>
        <v>0</v>
      </c>
      <c r="F3723" s="23" t="s">
        <v>1264</v>
      </c>
    </row>
    <row r="3724" spans="3:6">
      <c r="C3724" s="23" t="s">
        <v>240</v>
      </c>
      <c r="E3724" s="266"/>
    </row>
    <row r="3725" spans="3:6">
      <c r="D3725" s="23" t="s">
        <v>975</v>
      </c>
      <c r="E3725" s="341">
        <f>IF(CalcPlant1Ch4Prod4Slot1HoursReq=0,0,CalcCh4Prod4Slot1Depreciation/calcCh4Prod4Slot1VolForecastSlot)</f>
        <v>9.4883351800010354E-2</v>
      </c>
      <c r="F3725" s="23" t="s">
        <v>1265</v>
      </c>
    </row>
    <row r="3726" spans="3:6">
      <c r="D3726" s="23" t="s">
        <v>976</v>
      </c>
      <c r="E3726" s="341">
        <f>IF(CalcPlant1Ch4Prod4Slot2HoursReq=0,0,CalcCh4Prod4Slot2Depreciation/calcCh4Prod4Slot2VolForecastSlot)</f>
        <v>0</v>
      </c>
      <c r="F3726" s="23" t="s">
        <v>1266</v>
      </c>
    </row>
    <row r="3727" spans="3:6">
      <c r="D3727" s="23" t="s">
        <v>977</v>
      </c>
      <c r="E3727" s="341">
        <f>IF(CalcPlant1Ch4Prod4Slot3HoursReq=0,0,CalcCh4Prod4Slot3Depreciation/calcCh4Prod4Slot3VolForecastSlot)</f>
        <v>0</v>
      </c>
      <c r="F3727" s="23" t="s">
        <v>1267</v>
      </c>
    </row>
    <row r="3728" spans="3:6" ht="1.5" customHeight="1">
      <c r="C3728" s="197"/>
      <c r="D3728" s="197"/>
      <c r="E3728" s="265"/>
    </row>
    <row r="3729" spans="1:6">
      <c r="C3729" s="198"/>
      <c r="E3729" s="126"/>
    </row>
    <row r="3731" spans="1:6" s="81" customFormat="1">
      <c r="A3731" s="81" t="s">
        <v>743</v>
      </c>
    </row>
    <row r="3733" spans="1:6">
      <c r="C3733" s="198" t="s">
        <v>744</v>
      </c>
    </row>
    <row r="3734" spans="1:6">
      <c r="D3734" s="23" t="s">
        <v>756</v>
      </c>
      <c r="E3734" s="89" t="str">
        <f>decPackInnovation1</f>
        <v>Select Pack</v>
      </c>
      <c r="F3734" s="23" t="s">
        <v>757</v>
      </c>
    </row>
    <row r="3735" spans="1:6" ht="1.5" customHeight="1">
      <c r="C3735" s="197"/>
      <c r="D3735" s="197"/>
      <c r="E3735" s="265"/>
    </row>
    <row r="3736" spans="1:6">
      <c r="D3736" s="23" t="s">
        <v>13816</v>
      </c>
      <c r="E3736" s="23">
        <f>VLOOKUP(calcPackInnovation1,dataPackInnovation,2,FALSE)</f>
        <v>0</v>
      </c>
      <c r="F3736" s="23" t="s">
        <v>781</v>
      </c>
    </row>
    <row r="3737" spans="1:6">
      <c r="D3737" s="23" t="s">
        <v>759</v>
      </c>
      <c r="E3737" s="258">
        <f>VLOOKUP(calcPackInnovation1,dataPackInnovation,3,FALSE)*(1-paramInnovationExpDisc)</f>
        <v>0</v>
      </c>
      <c r="F3737" s="23" t="s">
        <v>761</v>
      </c>
    </row>
    <row r="3738" spans="1:6">
      <c r="C3738" s="198" t="s">
        <v>745</v>
      </c>
    </row>
    <row r="3739" spans="1:6">
      <c r="D3739" s="23" t="s">
        <v>756</v>
      </c>
      <c r="E3739" s="89" t="str">
        <f>decPackInnovation2</f>
        <v>Select Pack</v>
      </c>
      <c r="F3739" s="23" t="s">
        <v>758</v>
      </c>
    </row>
    <row r="3740" spans="1:6" ht="1.5" customHeight="1">
      <c r="C3740" s="197"/>
      <c r="D3740" s="197"/>
      <c r="E3740" s="265"/>
    </row>
    <row r="3741" spans="1:6">
      <c r="D3741" s="23" t="s">
        <v>13816</v>
      </c>
      <c r="E3741" s="23">
        <f>VLOOKUP(calcPackInnovation2,dataPackInnovation,2,FALSE)</f>
        <v>0</v>
      </c>
      <c r="F3741" s="23" t="s">
        <v>782</v>
      </c>
    </row>
    <row r="3742" spans="1:6">
      <c r="D3742" s="23" t="s">
        <v>759</v>
      </c>
      <c r="E3742" s="258">
        <f>VLOOKUP(calcPackInnovation2,dataPackInnovation,3,FALSE)*(1-paramInnovationExpDisc)</f>
        <v>0</v>
      </c>
      <c r="F3742" s="23" t="s">
        <v>763</v>
      </c>
    </row>
    <row r="3743" spans="1:6">
      <c r="E3743" s="89"/>
    </row>
    <row r="3744" spans="1:6">
      <c r="C3744" s="198" t="s">
        <v>762</v>
      </c>
    </row>
    <row r="3746" spans="1:6">
      <c r="D3746" s="23" t="s">
        <v>13816</v>
      </c>
      <c r="E3746" s="23">
        <f>calcPackInnovation1Emp1Req+calcPackInnovation2Emp1Req</f>
        <v>0</v>
      </c>
      <c r="F3746" s="23" t="s">
        <v>783</v>
      </c>
    </row>
    <row r="3747" spans="1:6">
      <c r="D3747" s="23" t="s">
        <v>759</v>
      </c>
      <c r="E3747" s="258">
        <f>calcPackInnovation1Exp+calcPackInnovation2Exp</f>
        <v>0</v>
      </c>
      <c r="F3747" s="23" t="s">
        <v>764</v>
      </c>
    </row>
    <row r="3748" spans="1:6">
      <c r="E3748" s="258"/>
    </row>
    <row r="3749" spans="1:6" s="81" customFormat="1">
      <c r="A3749" s="81" t="s">
        <v>13841</v>
      </c>
    </row>
    <row r="3751" spans="1:6">
      <c r="C3751" s="198" t="s">
        <v>13842</v>
      </c>
    </row>
    <row r="3752" spans="1:6">
      <c r="C3752" s="198"/>
      <c r="D3752" s="23" t="s">
        <v>3329</v>
      </c>
      <c r="E3752" s="23" t="str">
        <f>decCh1Prod1Slot1Pack</f>
        <v>24 x 33cl Can</v>
      </c>
      <c r="F3752" s="23" t="s">
        <v>3330</v>
      </c>
    </row>
    <row r="3753" spans="1:6">
      <c r="D3753" s="23" t="s">
        <v>358</v>
      </c>
      <c r="E3753" s="23">
        <f>VLOOKUP(calcCh1Prod1Slot1Pack,dataPackChFit,2,FALSE)</f>
        <v>9</v>
      </c>
    </row>
    <row r="3754" spans="1:6">
      <c r="D3754" s="23" t="s">
        <v>361</v>
      </c>
      <c r="E3754" s="23">
        <f>VLOOKUP(calcCh1Prod1Slot1Pack,dataPackProdFit,2,FALSE)</f>
        <v>3</v>
      </c>
    </row>
    <row r="3755" spans="1:6" ht="2.25" customHeight="1">
      <c r="D3755" s="197"/>
      <c r="E3755" s="197"/>
    </row>
    <row r="3756" spans="1:6">
      <c r="D3756" s="23" t="s">
        <v>3334</v>
      </c>
      <c r="E3756" s="23">
        <f>E3753+E3754</f>
        <v>12</v>
      </c>
      <c r="F3756" s="23" t="s">
        <v>3335</v>
      </c>
    </row>
    <row r="3759" spans="1:6">
      <c r="D3759" s="23" t="s">
        <v>13843</v>
      </c>
      <c r="E3759" s="23">
        <f>VLOOKUP(calcCh1Prod1Slot1Pack,dataPackSegFit,2,FALSE)</f>
        <v>5</v>
      </c>
    </row>
    <row r="3760" spans="1:6">
      <c r="D3760" s="198" t="s">
        <v>13844</v>
      </c>
      <c r="E3760" s="373">
        <f>calcCh1Prod1Slot1PackFitBase+E3759</f>
        <v>17</v>
      </c>
      <c r="F3760" s="23" t="s">
        <v>3336</v>
      </c>
    </row>
    <row r="3761" spans="3:6">
      <c r="D3761" s="23" t="s">
        <v>13845</v>
      </c>
      <c r="E3761" s="23">
        <f>VLOOKUP(calcCh1Prod1Slot1Pack,dataPackSegFit,3,FALSE)</f>
        <v>15</v>
      </c>
    </row>
    <row r="3762" spans="3:6">
      <c r="D3762" s="198" t="s">
        <v>13846</v>
      </c>
      <c r="E3762" s="373">
        <f>calcCh1Prod1Slot1PackFitBase+E3761</f>
        <v>27</v>
      </c>
      <c r="F3762" s="23" t="s">
        <v>3339</v>
      </c>
    </row>
    <row r="3763" spans="3:6">
      <c r="D3763" s="23" t="s">
        <v>13847</v>
      </c>
      <c r="E3763" s="23">
        <f>VLOOKUP(calcCh1Prod1Slot1Pack,dataPackSegFit,4,FALSE)</f>
        <v>25</v>
      </c>
    </row>
    <row r="3764" spans="3:6">
      <c r="D3764" s="198" t="s">
        <v>13848</v>
      </c>
      <c r="E3764" s="373">
        <f>calcCh1Prod1Slot1PackFitBase+E3763</f>
        <v>37</v>
      </c>
      <c r="F3764" s="23" t="s">
        <v>3338</v>
      </c>
    </row>
    <row r="3765" spans="3:6">
      <c r="D3765" s="23" t="s">
        <v>13849</v>
      </c>
      <c r="E3765" s="23">
        <f>VLOOKUP(calcCh1Prod1Slot1Pack,dataPackSegFit,5,FALSE)</f>
        <v>15</v>
      </c>
    </row>
    <row r="3766" spans="3:6">
      <c r="D3766" s="198" t="s">
        <v>13850</v>
      </c>
      <c r="E3766" s="373">
        <f>calcCh1Prod1Slot1PackFitBase+E3765</f>
        <v>27</v>
      </c>
      <c r="F3766" s="23" t="s">
        <v>3337</v>
      </c>
    </row>
    <row r="3768" spans="3:6">
      <c r="C3768" s="198" t="s">
        <v>13851</v>
      </c>
    </row>
    <row r="3769" spans="3:6">
      <c r="C3769" s="198"/>
      <c r="D3769" s="23" t="s">
        <v>3329</v>
      </c>
      <c r="E3769" s="23" t="str">
        <f>decCh1Prod1Slot2Pack</f>
        <v>Select Pack</v>
      </c>
      <c r="F3769" s="23" t="s">
        <v>3340</v>
      </c>
    </row>
    <row r="3770" spans="3:6">
      <c r="D3770" s="23" t="s">
        <v>358</v>
      </c>
      <c r="E3770" s="23">
        <f>VLOOKUP(calcCh1Prod1Slot2Pack,dataPackChFit,2,FALSE)</f>
        <v>0</v>
      </c>
    </row>
    <row r="3771" spans="3:6">
      <c r="D3771" s="23" t="s">
        <v>361</v>
      </c>
      <c r="E3771" s="23">
        <f>VLOOKUP(calcCh1Prod1Slot2Pack,dataPackProdFit,2,FALSE)</f>
        <v>0</v>
      </c>
    </row>
    <row r="3772" spans="3:6" ht="2.25" customHeight="1">
      <c r="D3772" s="197"/>
      <c r="E3772" s="197"/>
    </row>
    <row r="3773" spans="3:6">
      <c r="D3773" s="23" t="s">
        <v>3334</v>
      </c>
      <c r="E3773" s="23">
        <f>E3770+E3771</f>
        <v>0</v>
      </c>
      <c r="F3773" s="23" t="s">
        <v>3341</v>
      </c>
    </row>
    <row r="3776" spans="3:6">
      <c r="D3776" s="23" t="s">
        <v>13843</v>
      </c>
      <c r="E3776" s="23">
        <f>VLOOKUP(calcCh1Prod1Slot2Pack,dataPackSegFit,2,FALSE)</f>
        <v>0</v>
      </c>
    </row>
    <row r="3777" spans="3:6">
      <c r="D3777" s="198" t="s">
        <v>13844</v>
      </c>
      <c r="E3777" s="373">
        <f>calcCh1Prod1Slot2PackFitBase+E3776</f>
        <v>0</v>
      </c>
      <c r="F3777" s="23" t="s">
        <v>3342</v>
      </c>
    </row>
    <row r="3778" spans="3:6">
      <c r="D3778" s="23" t="s">
        <v>13845</v>
      </c>
      <c r="E3778" s="23">
        <f>VLOOKUP(calcCh1Prod1Slot2Pack,dataPackSegFit,3,FALSE)</f>
        <v>0</v>
      </c>
    </row>
    <row r="3779" spans="3:6">
      <c r="D3779" s="198" t="s">
        <v>13846</v>
      </c>
      <c r="E3779" s="373">
        <f>calcCh1Prod1Slot2PackFitBase+E3778</f>
        <v>0</v>
      </c>
      <c r="F3779" s="23" t="s">
        <v>3343</v>
      </c>
    </row>
    <row r="3780" spans="3:6">
      <c r="D3780" s="23" t="s">
        <v>13847</v>
      </c>
      <c r="E3780" s="23">
        <f>VLOOKUP(calcCh1Prod1Slot2Pack,dataPackSegFit,4,FALSE)</f>
        <v>0</v>
      </c>
    </row>
    <row r="3781" spans="3:6">
      <c r="D3781" s="198" t="s">
        <v>13848</v>
      </c>
      <c r="E3781" s="373">
        <f>calcCh1Prod1Slot2PackFitBase+E3780</f>
        <v>0</v>
      </c>
      <c r="F3781" s="23" t="s">
        <v>3344</v>
      </c>
    </row>
    <row r="3782" spans="3:6">
      <c r="D3782" s="23" t="s">
        <v>13849</v>
      </c>
      <c r="E3782" s="23">
        <f>VLOOKUP(calcCh1Prod1Slot2Pack,dataPackSegFit,5,FALSE)</f>
        <v>0</v>
      </c>
    </row>
    <row r="3783" spans="3:6">
      <c r="D3783" s="198" t="s">
        <v>13850</v>
      </c>
      <c r="E3783" s="373">
        <f>calcCh1Prod1Slot2PackFitBase+E3782</f>
        <v>0</v>
      </c>
      <c r="F3783" s="23" t="s">
        <v>3345</v>
      </c>
    </row>
    <row r="3785" spans="3:6">
      <c r="C3785" s="198" t="s">
        <v>13852</v>
      </c>
    </row>
    <row r="3786" spans="3:6">
      <c r="C3786" s="198"/>
      <c r="D3786" s="23" t="s">
        <v>3329</v>
      </c>
      <c r="E3786" s="23" t="str">
        <f>decCh1Prod1Slot3Pack</f>
        <v>Select Pack</v>
      </c>
      <c r="F3786" s="23" t="s">
        <v>3346</v>
      </c>
    </row>
    <row r="3787" spans="3:6">
      <c r="D3787" s="23" t="s">
        <v>358</v>
      </c>
      <c r="E3787" s="23">
        <f>VLOOKUP(calcCh1Prod1Slot3Pack,dataPackChFit,2,FALSE)</f>
        <v>0</v>
      </c>
    </row>
    <row r="3788" spans="3:6">
      <c r="D3788" s="23" t="s">
        <v>361</v>
      </c>
      <c r="E3788" s="23">
        <f>VLOOKUP(calcCh1Prod1Slot3Pack,dataPackProdFit,2,FALSE)</f>
        <v>0</v>
      </c>
    </row>
    <row r="3789" spans="3:6" ht="2.25" customHeight="1">
      <c r="D3789" s="197"/>
      <c r="E3789" s="197"/>
    </row>
    <row r="3790" spans="3:6">
      <c r="D3790" s="23" t="s">
        <v>3334</v>
      </c>
      <c r="E3790" s="23">
        <f>E3787+E3788</f>
        <v>0</v>
      </c>
      <c r="F3790" s="23" t="s">
        <v>3347</v>
      </c>
    </row>
    <row r="3793" spans="3:6">
      <c r="D3793" s="23" t="s">
        <v>13843</v>
      </c>
      <c r="E3793" s="23">
        <f>VLOOKUP(calcCh1Prod1Slot3Pack,dataPackSegFit,2,FALSE)</f>
        <v>0</v>
      </c>
    </row>
    <row r="3794" spans="3:6">
      <c r="D3794" s="198" t="s">
        <v>13844</v>
      </c>
      <c r="E3794" s="373">
        <f>calcCh1Prod1Slot3PackFitBase+E3793</f>
        <v>0</v>
      </c>
      <c r="F3794" s="23" t="s">
        <v>3348</v>
      </c>
    </row>
    <row r="3795" spans="3:6">
      <c r="D3795" s="23" t="s">
        <v>13845</v>
      </c>
      <c r="E3795" s="23">
        <f>VLOOKUP(calcCh1Prod1Slot3Pack,dataPackSegFit,3,FALSE)</f>
        <v>0</v>
      </c>
    </row>
    <row r="3796" spans="3:6">
      <c r="D3796" s="198" t="s">
        <v>13846</v>
      </c>
      <c r="E3796" s="373">
        <f>calcCh1Prod1Slot3PackFitBase+E3795</f>
        <v>0</v>
      </c>
      <c r="F3796" s="23" t="s">
        <v>3349</v>
      </c>
    </row>
    <row r="3797" spans="3:6">
      <c r="D3797" s="23" t="s">
        <v>13847</v>
      </c>
      <c r="E3797" s="23">
        <f>VLOOKUP(calcCh1Prod1Slot3Pack,dataPackSegFit,4,FALSE)</f>
        <v>0</v>
      </c>
    </row>
    <row r="3798" spans="3:6">
      <c r="D3798" s="198" t="s">
        <v>13848</v>
      </c>
      <c r="E3798" s="373">
        <f>calcCh1Prod1Slot3PackFitBase+E3797</f>
        <v>0</v>
      </c>
      <c r="F3798" s="23" t="s">
        <v>3350</v>
      </c>
    </row>
    <row r="3799" spans="3:6">
      <c r="D3799" s="23" t="s">
        <v>13849</v>
      </c>
      <c r="E3799" s="23">
        <f>VLOOKUP(calcCh1Prod1Slot3Pack,dataPackSegFit,5,FALSE)</f>
        <v>0</v>
      </c>
    </row>
    <row r="3800" spans="3:6">
      <c r="D3800" s="198" t="s">
        <v>13850</v>
      </c>
      <c r="E3800" s="373">
        <f>calcCh1Prod1Slot3PackFitBase+E3799</f>
        <v>0</v>
      </c>
      <c r="F3800" s="23" t="s">
        <v>3351</v>
      </c>
    </row>
    <row r="3802" spans="3:6">
      <c r="C3802" s="198" t="s">
        <v>13853</v>
      </c>
    </row>
    <row r="3803" spans="3:6">
      <c r="C3803" s="198"/>
      <c r="D3803" s="23" t="s">
        <v>3329</v>
      </c>
      <c r="E3803" s="23" t="str">
        <f>decCh1Prod2Slot1Pack</f>
        <v>33cl Can</v>
      </c>
      <c r="F3803" s="23" t="s">
        <v>3352</v>
      </c>
    </row>
    <row r="3804" spans="3:6">
      <c r="D3804" s="23" t="s">
        <v>358</v>
      </c>
      <c r="E3804" s="23">
        <f>VLOOKUP(calcCh1Prod2Slot1Pack,dataPackChFit,2,FALSE)</f>
        <v>9</v>
      </c>
    </row>
    <row r="3805" spans="3:6">
      <c r="D3805" s="23" t="s">
        <v>361</v>
      </c>
      <c r="E3805" s="23">
        <f>VLOOKUP(calcCh1Prod2Slot1Pack,dataPackProdFit,3,FALSE)</f>
        <v>3</v>
      </c>
    </row>
    <row r="3806" spans="3:6" ht="2.25" customHeight="1">
      <c r="D3806" s="197"/>
      <c r="E3806" s="197"/>
    </row>
    <row r="3807" spans="3:6">
      <c r="D3807" s="23" t="s">
        <v>3334</v>
      </c>
      <c r="E3807" s="23">
        <f>E3804+E3805</f>
        <v>12</v>
      </c>
      <c r="F3807" s="23" t="s">
        <v>3353</v>
      </c>
    </row>
    <row r="3810" spans="3:6">
      <c r="D3810" s="23" t="s">
        <v>13843</v>
      </c>
      <c r="E3810" s="23">
        <f>VLOOKUP(calcCh1Prod2Slot1Pack,dataPackSegFit,2,FALSE)</f>
        <v>15</v>
      </c>
    </row>
    <row r="3811" spans="3:6">
      <c r="D3811" s="198" t="s">
        <v>13844</v>
      </c>
      <c r="E3811" s="373">
        <f>calcCh1Prod2Slot1PackFitBase+E3810</f>
        <v>27</v>
      </c>
      <c r="F3811" s="23" t="s">
        <v>3354</v>
      </c>
    </row>
    <row r="3812" spans="3:6">
      <c r="D3812" s="23" t="s">
        <v>13845</v>
      </c>
      <c r="E3812" s="23">
        <f>VLOOKUP(calcCh1Prod2Slot1Pack,dataPackSegFit,3,FALSE)</f>
        <v>20</v>
      </c>
    </row>
    <row r="3813" spans="3:6">
      <c r="D3813" s="198" t="s">
        <v>13846</v>
      </c>
      <c r="E3813" s="373">
        <f>calcCh1Prod2Slot1PackFitBase+E3812</f>
        <v>32</v>
      </c>
      <c r="F3813" s="23" t="s">
        <v>3355</v>
      </c>
    </row>
    <row r="3814" spans="3:6">
      <c r="D3814" s="23" t="s">
        <v>13847</v>
      </c>
      <c r="E3814" s="23">
        <f>VLOOKUP(calcCh1Prod2Slot1Pack,dataPackSegFit,4,FALSE)</f>
        <v>10</v>
      </c>
    </row>
    <row r="3815" spans="3:6">
      <c r="D3815" s="198" t="s">
        <v>13848</v>
      </c>
      <c r="E3815" s="373">
        <f>calcCh1Prod2Slot1PackFitBase+E3814</f>
        <v>22</v>
      </c>
      <c r="F3815" s="23" t="s">
        <v>3356</v>
      </c>
    </row>
    <row r="3816" spans="3:6">
      <c r="D3816" s="23" t="s">
        <v>13849</v>
      </c>
      <c r="E3816" s="23">
        <f>VLOOKUP(calcCh1Prod2Slot1Pack,dataPackSegFit,5,FALSE)</f>
        <v>15</v>
      </c>
    </row>
    <row r="3817" spans="3:6">
      <c r="D3817" s="198" t="s">
        <v>13850</v>
      </c>
      <c r="E3817" s="373">
        <f>calcCh1Prod2Slot1PackFitBase+E3816</f>
        <v>27</v>
      </c>
      <c r="F3817" s="23" t="s">
        <v>3357</v>
      </c>
    </row>
    <row r="3819" spans="3:6">
      <c r="C3819" s="198" t="s">
        <v>13854</v>
      </c>
    </row>
    <row r="3820" spans="3:6">
      <c r="C3820" s="198"/>
      <c r="D3820" s="23" t="s">
        <v>3329</v>
      </c>
      <c r="E3820" s="23" t="str">
        <f>decCh1Prod2Slot2Pack</f>
        <v>6 x 33cl Can</v>
      </c>
      <c r="F3820" s="23" t="s">
        <v>3358</v>
      </c>
    </row>
    <row r="3821" spans="3:6">
      <c r="D3821" s="23" t="s">
        <v>358</v>
      </c>
      <c r="E3821" s="23">
        <f>VLOOKUP(calcCh1Prod2Slot2Pack,dataPackChFit,2,FALSE)</f>
        <v>12</v>
      </c>
    </row>
    <row r="3822" spans="3:6">
      <c r="D3822" s="23" t="s">
        <v>361</v>
      </c>
      <c r="E3822" s="23">
        <f>VLOOKUP(calcCh1Prod2Slot2Pack,dataPackProdFit,3,FALSE)</f>
        <v>3</v>
      </c>
    </row>
    <row r="3823" spans="3:6" ht="2.25" customHeight="1">
      <c r="D3823" s="197"/>
      <c r="E3823" s="197"/>
    </row>
    <row r="3824" spans="3:6">
      <c r="D3824" s="23" t="s">
        <v>3334</v>
      </c>
      <c r="E3824" s="23">
        <f>E3821+E3822</f>
        <v>15</v>
      </c>
      <c r="F3824" s="23" t="s">
        <v>3359</v>
      </c>
    </row>
    <row r="3827" spans="3:6">
      <c r="D3827" s="23" t="s">
        <v>13843</v>
      </c>
      <c r="E3827" s="23">
        <f>VLOOKUP(calcCh1Prod2Slot2Pack,dataPackSegFit,2,FALSE)</f>
        <v>15</v>
      </c>
    </row>
    <row r="3828" spans="3:6">
      <c r="D3828" s="198" t="s">
        <v>13844</v>
      </c>
      <c r="E3828" s="373">
        <f>calcCh1Prod2Slot2PackFitBase+E3827</f>
        <v>30</v>
      </c>
      <c r="F3828" s="23" t="s">
        <v>3360</v>
      </c>
    </row>
    <row r="3829" spans="3:6">
      <c r="D3829" s="23" t="s">
        <v>13845</v>
      </c>
      <c r="E3829" s="23">
        <f>VLOOKUP(calcCh1Prod2Slot2Pack,dataPackSegFit,3,FALSE)</f>
        <v>20</v>
      </c>
    </row>
    <row r="3830" spans="3:6">
      <c r="D3830" s="198" t="s">
        <v>13846</v>
      </c>
      <c r="E3830" s="373">
        <f>calcCh1Prod2Slot2PackFitBase+E3829</f>
        <v>35</v>
      </c>
      <c r="F3830" s="23" t="s">
        <v>3361</v>
      </c>
    </row>
    <row r="3831" spans="3:6">
      <c r="D3831" s="23" t="s">
        <v>13847</v>
      </c>
      <c r="E3831" s="23">
        <f>VLOOKUP(calcCh1Prod2Slot2Pack,dataPackSegFit,4,FALSE)</f>
        <v>15</v>
      </c>
    </row>
    <row r="3832" spans="3:6">
      <c r="D3832" s="198" t="s">
        <v>13848</v>
      </c>
      <c r="E3832" s="373">
        <f>calcCh1Prod2Slot2PackFitBase+E3831</f>
        <v>30</v>
      </c>
      <c r="F3832" s="23" t="s">
        <v>3362</v>
      </c>
    </row>
    <row r="3833" spans="3:6">
      <c r="D3833" s="23" t="s">
        <v>13849</v>
      </c>
      <c r="E3833" s="23">
        <f>VLOOKUP(calcCh1Prod2Slot2Pack,dataPackSegFit,5,FALSE)</f>
        <v>20</v>
      </c>
    </row>
    <row r="3834" spans="3:6">
      <c r="D3834" s="198" t="s">
        <v>13850</v>
      </c>
      <c r="E3834" s="373">
        <f>calcCh1Prod2Slot2PackFitBase+E3833</f>
        <v>35</v>
      </c>
      <c r="F3834" s="23" t="s">
        <v>3363</v>
      </c>
    </row>
    <row r="3836" spans="3:6">
      <c r="C3836" s="198" t="s">
        <v>13855</v>
      </c>
    </row>
    <row r="3837" spans="3:6">
      <c r="C3837" s="198"/>
      <c r="D3837" s="23" t="s">
        <v>3329</v>
      </c>
      <c r="E3837" s="23" t="str">
        <f>decCh1Prod2Slot3Pack</f>
        <v>Select Pack</v>
      </c>
      <c r="F3837" s="23" t="s">
        <v>3364</v>
      </c>
    </row>
    <row r="3838" spans="3:6">
      <c r="D3838" s="23" t="s">
        <v>358</v>
      </c>
      <c r="E3838" s="23">
        <f>VLOOKUP(calcCh1Prod2Slot3Pack,dataPackChFit,2,FALSE)</f>
        <v>0</v>
      </c>
    </row>
    <row r="3839" spans="3:6">
      <c r="D3839" s="23" t="s">
        <v>361</v>
      </c>
      <c r="E3839" s="23">
        <f>VLOOKUP(calcCh1Prod2Slot3Pack,dataPackProdFit,3,FALSE)</f>
        <v>0</v>
      </c>
    </row>
    <row r="3840" spans="3:6" ht="2.25" customHeight="1">
      <c r="D3840" s="197"/>
      <c r="E3840" s="197"/>
    </row>
    <row r="3841" spans="3:6">
      <c r="D3841" s="23" t="s">
        <v>3334</v>
      </c>
      <c r="E3841" s="23">
        <f>E3838+E3839</f>
        <v>0</v>
      </c>
      <c r="F3841" s="23" t="s">
        <v>3365</v>
      </c>
    </row>
    <row r="3844" spans="3:6">
      <c r="D3844" s="23" t="s">
        <v>13843</v>
      </c>
      <c r="E3844" s="23">
        <f>VLOOKUP(calcCh1Prod2Slot3Pack,dataPackSegFit,2,FALSE)</f>
        <v>0</v>
      </c>
    </row>
    <row r="3845" spans="3:6">
      <c r="D3845" s="198" t="s">
        <v>13844</v>
      </c>
      <c r="E3845" s="373">
        <f>calcCh1Prod2Slot3PackFitBase+E3844</f>
        <v>0</v>
      </c>
      <c r="F3845" s="23" t="s">
        <v>3366</v>
      </c>
    </row>
    <row r="3846" spans="3:6">
      <c r="D3846" s="23" t="s">
        <v>13845</v>
      </c>
      <c r="E3846" s="23">
        <f>VLOOKUP(calcCh1Prod2Slot3Pack,dataPackSegFit,3,FALSE)</f>
        <v>0</v>
      </c>
    </row>
    <row r="3847" spans="3:6">
      <c r="D3847" s="198" t="s">
        <v>13846</v>
      </c>
      <c r="E3847" s="373">
        <f>calcCh1Prod2Slot3PackFitBase+E3846</f>
        <v>0</v>
      </c>
      <c r="F3847" s="23" t="s">
        <v>3367</v>
      </c>
    </row>
    <row r="3848" spans="3:6">
      <c r="D3848" s="23" t="s">
        <v>13847</v>
      </c>
      <c r="E3848" s="23">
        <f>VLOOKUP(calcCh1Prod2Slot3Pack,dataPackSegFit,4,FALSE)</f>
        <v>0</v>
      </c>
    </row>
    <row r="3849" spans="3:6">
      <c r="D3849" s="198" t="s">
        <v>13848</v>
      </c>
      <c r="E3849" s="373">
        <f>calcCh1Prod2Slot3PackFitBase+E3848</f>
        <v>0</v>
      </c>
      <c r="F3849" s="23" t="s">
        <v>3368</v>
      </c>
    </row>
    <row r="3850" spans="3:6">
      <c r="D3850" s="23" t="s">
        <v>13849</v>
      </c>
      <c r="E3850" s="23">
        <f>VLOOKUP(calcCh1Prod2Slot3Pack,dataPackSegFit,5,FALSE)</f>
        <v>0</v>
      </c>
    </row>
    <row r="3851" spans="3:6">
      <c r="D3851" s="198" t="s">
        <v>13850</v>
      </c>
      <c r="E3851" s="373">
        <f>calcCh1Prod2Slot3PackFitBase+E3850</f>
        <v>0</v>
      </c>
      <c r="F3851" s="23" t="s">
        <v>3369</v>
      </c>
    </row>
    <row r="3853" spans="3:6">
      <c r="C3853" s="198" t="s">
        <v>13856</v>
      </c>
    </row>
    <row r="3854" spans="3:6">
      <c r="C3854" s="198"/>
      <c r="D3854" s="23" t="s">
        <v>3329</v>
      </c>
      <c r="E3854" s="23" t="str">
        <f>decCh1Prod3Slot1Pack</f>
        <v>25cl Can</v>
      </c>
      <c r="F3854" s="23" t="s">
        <v>3388</v>
      </c>
    </row>
    <row r="3855" spans="3:6">
      <c r="D3855" s="23" t="s">
        <v>358</v>
      </c>
      <c r="E3855" s="23">
        <f>VLOOKUP(calcCh1Prod3Slot1Pack,dataPackChFit,2,FALSE)</f>
        <v>6</v>
      </c>
    </row>
    <row r="3856" spans="3:6">
      <c r="D3856" s="23" t="s">
        <v>361</v>
      </c>
      <c r="E3856" s="23">
        <f>VLOOKUP(calcCh1Prod3Slot1Pack,dataPackProdFit,4,FALSE)</f>
        <v>5</v>
      </c>
    </row>
    <row r="3857" spans="3:6" ht="2.25" customHeight="1">
      <c r="D3857" s="197"/>
      <c r="E3857" s="197"/>
    </row>
    <row r="3858" spans="3:6">
      <c r="D3858" s="23" t="s">
        <v>3334</v>
      </c>
      <c r="E3858" s="23">
        <f>E3855+E3856</f>
        <v>11</v>
      </c>
      <c r="F3858" s="23" t="s">
        <v>3389</v>
      </c>
    </row>
    <row r="3861" spans="3:6">
      <c r="D3861" s="23" t="s">
        <v>13843</v>
      </c>
      <c r="E3861" s="23">
        <f>VLOOKUP(calcCh1Prod3Slot1Pack,dataPackSegFit,2,FALSE)</f>
        <v>10</v>
      </c>
    </row>
    <row r="3862" spans="3:6">
      <c r="D3862" s="198" t="s">
        <v>13844</v>
      </c>
      <c r="E3862" s="373">
        <f>calcCh1Prod3Slot1PackFitBase+E3861</f>
        <v>21</v>
      </c>
      <c r="F3862" s="23" t="s">
        <v>3390</v>
      </c>
    </row>
    <row r="3863" spans="3:6">
      <c r="D3863" s="23" t="s">
        <v>13845</v>
      </c>
      <c r="E3863" s="23">
        <f>VLOOKUP(calcCh1Prod3Slot1Pack,dataPackSegFit,3,FALSE)</f>
        <v>15</v>
      </c>
    </row>
    <row r="3864" spans="3:6">
      <c r="D3864" s="198" t="s">
        <v>13846</v>
      </c>
      <c r="E3864" s="373">
        <f>calcCh1Prod3Slot1PackFitBase+E3863</f>
        <v>26</v>
      </c>
      <c r="F3864" s="23" t="s">
        <v>3391</v>
      </c>
    </row>
    <row r="3865" spans="3:6">
      <c r="D3865" s="23" t="s">
        <v>13847</v>
      </c>
      <c r="E3865" s="23">
        <f>VLOOKUP(calcCh1Prod3Slot1Pack,dataPackSegFit,4,FALSE)</f>
        <v>5</v>
      </c>
    </row>
    <row r="3866" spans="3:6">
      <c r="D3866" s="198" t="s">
        <v>13848</v>
      </c>
      <c r="E3866" s="373">
        <f>calcCh1Prod3Slot1PackFitBase+E3865</f>
        <v>16</v>
      </c>
      <c r="F3866" s="23" t="s">
        <v>3392</v>
      </c>
    </row>
    <row r="3867" spans="3:6">
      <c r="D3867" s="23" t="s">
        <v>13849</v>
      </c>
      <c r="E3867" s="23">
        <f>VLOOKUP(calcCh1Prod3Slot1Pack,dataPackSegFit,5,FALSE)</f>
        <v>10</v>
      </c>
    </row>
    <row r="3868" spans="3:6">
      <c r="D3868" s="198" t="s">
        <v>13850</v>
      </c>
      <c r="E3868" s="373">
        <f>calcCh1Prod3Slot1PackFitBase+E3867</f>
        <v>21</v>
      </c>
      <c r="F3868" s="23" t="s">
        <v>3393</v>
      </c>
    </row>
    <row r="3870" spans="3:6">
      <c r="C3870" s="198" t="s">
        <v>13857</v>
      </c>
    </row>
    <row r="3871" spans="3:6">
      <c r="C3871" s="198"/>
      <c r="D3871" s="23" t="s">
        <v>3329</v>
      </c>
      <c r="E3871" s="23" t="str">
        <f>decCh1Prod3Slot2Pack</f>
        <v>6 x 33cl Can</v>
      </c>
      <c r="F3871" s="23" t="s">
        <v>3394</v>
      </c>
    </row>
    <row r="3872" spans="3:6">
      <c r="D3872" s="23" t="s">
        <v>358</v>
      </c>
      <c r="E3872" s="23">
        <f>VLOOKUP(calcCh1Prod3Slot2Pack,dataPackChFit,2,FALSE)</f>
        <v>12</v>
      </c>
    </row>
    <row r="3873" spans="3:6">
      <c r="D3873" s="23" t="s">
        <v>361</v>
      </c>
      <c r="E3873" s="23">
        <f>VLOOKUP(calcCh1Prod3Slot2Pack,dataPackProdFit,4,FALSE)</f>
        <v>4</v>
      </c>
    </row>
    <row r="3874" spans="3:6" ht="2.25" customHeight="1">
      <c r="D3874" s="197"/>
      <c r="E3874" s="197"/>
    </row>
    <row r="3875" spans="3:6">
      <c r="D3875" s="23" t="s">
        <v>3334</v>
      </c>
      <c r="E3875" s="23">
        <f>E3872+E3873</f>
        <v>16</v>
      </c>
      <c r="F3875" s="23" t="s">
        <v>3395</v>
      </c>
    </row>
    <row r="3878" spans="3:6">
      <c r="D3878" s="23" t="s">
        <v>13843</v>
      </c>
      <c r="E3878" s="23">
        <f>VLOOKUP(calcCh1Prod3Slot2Pack,dataPackSegFit,2,FALSE)</f>
        <v>15</v>
      </c>
    </row>
    <row r="3879" spans="3:6">
      <c r="D3879" s="198" t="s">
        <v>13844</v>
      </c>
      <c r="E3879" s="373">
        <f>calcCh1Prod3Slot2PackFitBase+E3878</f>
        <v>31</v>
      </c>
      <c r="F3879" s="23" t="s">
        <v>3396</v>
      </c>
    </row>
    <row r="3880" spans="3:6">
      <c r="D3880" s="23" t="s">
        <v>13845</v>
      </c>
      <c r="E3880" s="23">
        <f>VLOOKUP(calcCh1Prod3Slot2Pack,dataPackSegFit,3,FALSE)</f>
        <v>20</v>
      </c>
    </row>
    <row r="3881" spans="3:6">
      <c r="D3881" s="198" t="s">
        <v>13846</v>
      </c>
      <c r="E3881" s="373">
        <f>calcCh1Prod3Slot2PackFitBase+E3880</f>
        <v>36</v>
      </c>
      <c r="F3881" s="23" t="s">
        <v>3397</v>
      </c>
    </row>
    <row r="3882" spans="3:6">
      <c r="D3882" s="23" t="s">
        <v>13847</v>
      </c>
      <c r="E3882" s="23">
        <f>VLOOKUP(calcCh1Prod3Slot2Pack,dataPackSegFit,4,FALSE)</f>
        <v>15</v>
      </c>
    </row>
    <row r="3883" spans="3:6">
      <c r="D3883" s="198" t="s">
        <v>13848</v>
      </c>
      <c r="E3883" s="373">
        <f>calcCh1Prod3Slot2PackFitBase+E3882</f>
        <v>31</v>
      </c>
      <c r="F3883" s="23" t="s">
        <v>3398</v>
      </c>
    </row>
    <row r="3884" spans="3:6">
      <c r="D3884" s="23" t="s">
        <v>13849</v>
      </c>
      <c r="E3884" s="23">
        <f>VLOOKUP(calcCh1Prod3Slot2Pack,dataPackSegFit,5,FALSE)</f>
        <v>20</v>
      </c>
    </row>
    <row r="3885" spans="3:6">
      <c r="D3885" s="198" t="s">
        <v>13850</v>
      </c>
      <c r="E3885" s="373">
        <f>calcCh1Prod3Slot2PackFitBase+E3884</f>
        <v>36</v>
      </c>
      <c r="F3885" s="23" t="s">
        <v>3399</v>
      </c>
    </row>
    <row r="3887" spans="3:6">
      <c r="C3887" s="198" t="s">
        <v>13858</v>
      </c>
    </row>
    <row r="3888" spans="3:6">
      <c r="C3888" s="198"/>
      <c r="D3888" s="23" t="s">
        <v>3329</v>
      </c>
      <c r="E3888" s="23" t="str">
        <f>decCh1Prod3Slot3Pack</f>
        <v>Select Pack</v>
      </c>
      <c r="F3888" s="23" t="s">
        <v>3400</v>
      </c>
    </row>
    <row r="3889" spans="3:6">
      <c r="D3889" s="23" t="s">
        <v>358</v>
      </c>
      <c r="E3889" s="23">
        <f>VLOOKUP(calcCh1Prod3Slot3Pack,dataPackChFit,2,FALSE)</f>
        <v>0</v>
      </c>
    </row>
    <row r="3890" spans="3:6">
      <c r="D3890" s="23" t="s">
        <v>361</v>
      </c>
      <c r="E3890" s="23">
        <f>VLOOKUP(calcCh1Prod3Slot3Pack,dataPackProdFit,4,FALSE)</f>
        <v>0</v>
      </c>
    </row>
    <row r="3891" spans="3:6" ht="2.25" customHeight="1">
      <c r="D3891" s="197"/>
      <c r="E3891" s="197"/>
    </row>
    <row r="3892" spans="3:6">
      <c r="D3892" s="23" t="s">
        <v>3334</v>
      </c>
      <c r="E3892" s="23">
        <f>E3889+E3890</f>
        <v>0</v>
      </c>
      <c r="F3892" s="23" t="s">
        <v>3401</v>
      </c>
    </row>
    <row r="3895" spans="3:6">
      <c r="D3895" s="23" t="s">
        <v>13843</v>
      </c>
      <c r="E3895" s="23">
        <f>VLOOKUP(calcCh1Prod3Slot3Pack,dataPackSegFit,2,FALSE)</f>
        <v>0</v>
      </c>
    </row>
    <row r="3896" spans="3:6">
      <c r="D3896" s="198" t="s">
        <v>13844</v>
      </c>
      <c r="E3896" s="373">
        <f>calcCh1Prod3Slot3PackFitBase+E3895</f>
        <v>0</v>
      </c>
      <c r="F3896" s="23" t="s">
        <v>3402</v>
      </c>
    </row>
    <row r="3897" spans="3:6">
      <c r="D3897" s="23" t="s">
        <v>13845</v>
      </c>
      <c r="E3897" s="23">
        <f>VLOOKUP(calcCh1Prod3Slot3Pack,dataPackSegFit,3,FALSE)</f>
        <v>0</v>
      </c>
    </row>
    <row r="3898" spans="3:6">
      <c r="D3898" s="198" t="s">
        <v>13846</v>
      </c>
      <c r="E3898" s="373">
        <f>calcCh1Prod3Slot3PackFitBase+E3897</f>
        <v>0</v>
      </c>
      <c r="F3898" s="23" t="s">
        <v>3403</v>
      </c>
    </row>
    <row r="3899" spans="3:6">
      <c r="D3899" s="23" t="s">
        <v>13847</v>
      </c>
      <c r="E3899" s="23">
        <f>VLOOKUP(calcCh1Prod3Slot3Pack,dataPackSegFit,4,FALSE)</f>
        <v>0</v>
      </c>
    </row>
    <row r="3900" spans="3:6">
      <c r="D3900" s="198" t="s">
        <v>13848</v>
      </c>
      <c r="E3900" s="373">
        <f>calcCh1Prod3Slot3PackFitBase+E3899</f>
        <v>0</v>
      </c>
      <c r="F3900" s="23" t="s">
        <v>3404</v>
      </c>
    </row>
    <row r="3901" spans="3:6">
      <c r="D3901" s="23" t="s">
        <v>13849</v>
      </c>
      <c r="E3901" s="23">
        <f>VLOOKUP(calcCh1Prod3Slot3Pack,dataPackSegFit,5,FALSE)</f>
        <v>0</v>
      </c>
    </row>
    <row r="3902" spans="3:6">
      <c r="D3902" s="198" t="s">
        <v>13850</v>
      </c>
      <c r="E3902" s="373">
        <f>calcCh1Prod3Slot3PackFitBase+E3901</f>
        <v>0</v>
      </c>
      <c r="F3902" s="23" t="s">
        <v>3405</v>
      </c>
    </row>
    <row r="3904" spans="3:6">
      <c r="C3904" s="198" t="s">
        <v>13859</v>
      </c>
    </row>
    <row r="3905" spans="3:6">
      <c r="C3905" s="198"/>
      <c r="D3905" s="23" t="s">
        <v>3329</v>
      </c>
      <c r="E3905" s="23" t="str">
        <f>decCh1Prod4Slot1Pack</f>
        <v>Select Pack</v>
      </c>
      <c r="F3905" s="23" t="s">
        <v>3370</v>
      </c>
    </row>
    <row r="3906" spans="3:6">
      <c r="D3906" s="23" t="s">
        <v>358</v>
      </c>
      <c r="E3906" s="23">
        <f>VLOOKUP(calcCh1Prod4Slot1Pack,dataPackChFit,2,FALSE)</f>
        <v>0</v>
      </c>
    </row>
    <row r="3907" spans="3:6">
      <c r="D3907" s="23" t="s">
        <v>361</v>
      </c>
      <c r="E3907" s="23">
        <f>VLOOKUP(calcCh1Prod4Slot1Pack,dataPackProdFit,5,FALSE)</f>
        <v>0</v>
      </c>
    </row>
    <row r="3908" spans="3:6" ht="2.25" customHeight="1">
      <c r="D3908" s="197"/>
      <c r="E3908" s="197"/>
    </row>
    <row r="3909" spans="3:6">
      <c r="D3909" s="23" t="s">
        <v>3334</v>
      </c>
      <c r="E3909" s="23">
        <f>E3906+E3907</f>
        <v>0</v>
      </c>
      <c r="F3909" s="23" t="s">
        <v>3371</v>
      </c>
    </row>
    <row r="3912" spans="3:6">
      <c r="D3912" s="23" t="s">
        <v>13843</v>
      </c>
      <c r="E3912" s="23">
        <f>VLOOKUP(calcCh1Prod4Slot1Pack,dataPackSegFit,2,FALSE)</f>
        <v>0</v>
      </c>
    </row>
    <row r="3913" spans="3:6">
      <c r="D3913" s="198" t="s">
        <v>13844</v>
      </c>
      <c r="E3913" s="373">
        <f>calcCh1Prod4Slot1PackFitBase+E3912</f>
        <v>0</v>
      </c>
      <c r="F3913" s="23" t="s">
        <v>3372</v>
      </c>
    </row>
    <row r="3914" spans="3:6">
      <c r="D3914" s="23" t="s">
        <v>13845</v>
      </c>
      <c r="E3914" s="23">
        <f>VLOOKUP(calcCh1Prod4Slot1Pack,dataPackSegFit,3,FALSE)</f>
        <v>0</v>
      </c>
    </row>
    <row r="3915" spans="3:6">
      <c r="D3915" s="198" t="s">
        <v>13846</v>
      </c>
      <c r="E3915" s="373">
        <f>calcCh1Prod4Slot1PackFitBase+E3914</f>
        <v>0</v>
      </c>
      <c r="F3915" s="23" t="s">
        <v>3373</v>
      </c>
    </row>
    <row r="3916" spans="3:6">
      <c r="D3916" s="23" t="s">
        <v>13847</v>
      </c>
      <c r="E3916" s="23">
        <f>VLOOKUP(calcCh1Prod4Slot1Pack,dataPackSegFit,4,FALSE)</f>
        <v>0</v>
      </c>
    </row>
    <row r="3917" spans="3:6">
      <c r="D3917" s="198" t="s">
        <v>13848</v>
      </c>
      <c r="E3917" s="373">
        <f>calcCh1Prod4Slot1PackFitBase+E3916</f>
        <v>0</v>
      </c>
      <c r="F3917" s="23" t="s">
        <v>3374</v>
      </c>
    </row>
    <row r="3918" spans="3:6">
      <c r="D3918" s="23" t="s">
        <v>13849</v>
      </c>
      <c r="E3918" s="23">
        <f>VLOOKUP(calcCh1Prod4Slot1Pack,dataPackSegFit,5,FALSE)</f>
        <v>0</v>
      </c>
    </row>
    <row r="3919" spans="3:6">
      <c r="D3919" s="198" t="s">
        <v>13850</v>
      </c>
      <c r="E3919" s="373">
        <f>calcCh1Prod4Slot1PackFitBase+E3918</f>
        <v>0</v>
      </c>
      <c r="F3919" s="23" t="s">
        <v>3375</v>
      </c>
    </row>
    <row r="3921" spans="3:6">
      <c r="C3921" s="198" t="s">
        <v>13860</v>
      </c>
    </row>
    <row r="3922" spans="3:6">
      <c r="C3922" s="198"/>
      <c r="D3922" s="23" t="s">
        <v>3329</v>
      </c>
      <c r="E3922" s="23" t="str">
        <f>decCh1Prod4Slot2Pack</f>
        <v>Select Pack</v>
      </c>
      <c r="F3922" s="23" t="s">
        <v>3376</v>
      </c>
    </row>
    <row r="3923" spans="3:6">
      <c r="D3923" s="23" t="s">
        <v>358</v>
      </c>
      <c r="E3923" s="23">
        <f>VLOOKUP(calcCh1Prod4Slot2Pack,dataPackChFit,2,FALSE)</f>
        <v>0</v>
      </c>
    </row>
    <row r="3924" spans="3:6">
      <c r="D3924" s="23" t="s">
        <v>361</v>
      </c>
      <c r="E3924" s="23">
        <f>VLOOKUP(calcCh1Prod4Slot2Pack,dataPackProdFit,5,FALSE)</f>
        <v>0</v>
      </c>
    </row>
    <row r="3925" spans="3:6" ht="2.25" customHeight="1">
      <c r="D3925" s="197"/>
      <c r="E3925" s="197"/>
    </row>
    <row r="3926" spans="3:6">
      <c r="D3926" s="23" t="s">
        <v>3334</v>
      </c>
      <c r="E3926" s="23">
        <f>E3923+E3924</f>
        <v>0</v>
      </c>
      <c r="F3926" s="23" t="s">
        <v>3377</v>
      </c>
    </row>
    <row r="3929" spans="3:6">
      <c r="D3929" s="23" t="s">
        <v>13843</v>
      </c>
      <c r="E3929" s="23">
        <f>VLOOKUP(calcCh1Prod4Slot2Pack,dataPackSegFit,2,FALSE)</f>
        <v>0</v>
      </c>
    </row>
    <row r="3930" spans="3:6">
      <c r="D3930" s="198" t="s">
        <v>13844</v>
      </c>
      <c r="E3930" s="373">
        <f>calcCh1Prod4Slot2PackFitBase+E3929</f>
        <v>0</v>
      </c>
      <c r="F3930" s="23" t="s">
        <v>3378</v>
      </c>
    </row>
    <row r="3931" spans="3:6">
      <c r="D3931" s="23" t="s">
        <v>13845</v>
      </c>
      <c r="E3931" s="23">
        <f>VLOOKUP(calcCh1Prod4Slot2Pack,dataPackSegFit,3,FALSE)</f>
        <v>0</v>
      </c>
    </row>
    <row r="3932" spans="3:6">
      <c r="D3932" s="198" t="s">
        <v>13846</v>
      </c>
      <c r="E3932" s="373">
        <f>calcCh1Prod4Slot2PackFitBase+E3931</f>
        <v>0</v>
      </c>
      <c r="F3932" s="23" t="s">
        <v>3379</v>
      </c>
    </row>
    <row r="3933" spans="3:6">
      <c r="D3933" s="23" t="s">
        <v>13847</v>
      </c>
      <c r="E3933" s="23">
        <f>VLOOKUP(calcCh1Prod4Slot2Pack,dataPackSegFit,4,FALSE)</f>
        <v>0</v>
      </c>
    </row>
    <row r="3934" spans="3:6">
      <c r="D3934" s="198" t="s">
        <v>13848</v>
      </c>
      <c r="E3934" s="373">
        <f>calcCh1Prod4Slot2PackFitBase+E3933</f>
        <v>0</v>
      </c>
      <c r="F3934" s="23" t="s">
        <v>3380</v>
      </c>
    </row>
    <row r="3935" spans="3:6">
      <c r="D3935" s="23" t="s">
        <v>13849</v>
      </c>
      <c r="E3935" s="23">
        <f>VLOOKUP(calcCh1Prod4Slot2Pack,dataPackSegFit,5,FALSE)</f>
        <v>0</v>
      </c>
    </row>
    <row r="3936" spans="3:6">
      <c r="D3936" s="198" t="s">
        <v>13850</v>
      </c>
      <c r="E3936" s="373">
        <f>calcCh1Prod4Slot2PackFitBase+E3935</f>
        <v>0</v>
      </c>
      <c r="F3936" s="23" t="s">
        <v>3381</v>
      </c>
    </row>
    <row r="3938" spans="3:6">
      <c r="C3938" s="198" t="s">
        <v>13861</v>
      </c>
    </row>
    <row r="3939" spans="3:6">
      <c r="C3939" s="198"/>
      <c r="D3939" s="23" t="s">
        <v>3329</v>
      </c>
      <c r="E3939" s="23" t="str">
        <f>decCh1Prod4Slot3Pack</f>
        <v>Select Pack</v>
      </c>
      <c r="F3939" s="23" t="s">
        <v>3382</v>
      </c>
    </row>
    <row r="3940" spans="3:6">
      <c r="D3940" s="23" t="s">
        <v>358</v>
      </c>
      <c r="E3940" s="23">
        <f>VLOOKUP(calcCh1Prod4Slot3Pack,dataPackChFit,2,FALSE)</f>
        <v>0</v>
      </c>
    </row>
    <row r="3941" spans="3:6">
      <c r="D3941" s="23" t="s">
        <v>361</v>
      </c>
      <c r="E3941" s="23">
        <f>VLOOKUP(calcCh1Prod4Slot3Pack,dataPackProdFit,5,FALSE)</f>
        <v>0</v>
      </c>
    </row>
    <row r="3942" spans="3:6" ht="2.25" customHeight="1">
      <c r="D3942" s="197"/>
      <c r="E3942" s="197"/>
    </row>
    <row r="3943" spans="3:6">
      <c r="D3943" s="23" t="s">
        <v>3334</v>
      </c>
      <c r="E3943" s="23">
        <f>E3940+E3941</f>
        <v>0</v>
      </c>
      <c r="F3943" s="23" t="s">
        <v>3383</v>
      </c>
    </row>
    <row r="3946" spans="3:6">
      <c r="D3946" s="23" t="s">
        <v>13843</v>
      </c>
      <c r="E3946" s="23">
        <f>VLOOKUP(calcCh1Prod4Slot3Pack,dataPackSegFit,2,FALSE)</f>
        <v>0</v>
      </c>
    </row>
    <row r="3947" spans="3:6">
      <c r="D3947" s="198" t="s">
        <v>13844</v>
      </c>
      <c r="E3947" s="373">
        <f>calcCh1Prod4Slot3PackFitBase+E3946</f>
        <v>0</v>
      </c>
      <c r="F3947" s="23" t="s">
        <v>3384</v>
      </c>
    </row>
    <row r="3948" spans="3:6">
      <c r="D3948" s="23" t="s">
        <v>13845</v>
      </c>
      <c r="E3948" s="23">
        <f>VLOOKUP(calcCh1Prod4Slot3Pack,dataPackSegFit,3,FALSE)</f>
        <v>0</v>
      </c>
    </row>
    <row r="3949" spans="3:6">
      <c r="D3949" s="198" t="s">
        <v>13846</v>
      </c>
      <c r="E3949" s="373">
        <f>calcCh1Prod4Slot3PackFitBase+E3948</f>
        <v>0</v>
      </c>
      <c r="F3949" s="23" t="s">
        <v>3385</v>
      </c>
    </row>
    <row r="3950" spans="3:6">
      <c r="D3950" s="23" t="s">
        <v>13847</v>
      </c>
      <c r="E3950" s="23">
        <f>VLOOKUP(calcCh1Prod4Slot3Pack,dataPackSegFit,4,FALSE)</f>
        <v>0</v>
      </c>
    </row>
    <row r="3951" spans="3:6">
      <c r="D3951" s="198" t="s">
        <v>13848</v>
      </c>
      <c r="E3951" s="373">
        <f>calcCh1Prod4Slot3PackFitBase+E3950</f>
        <v>0</v>
      </c>
      <c r="F3951" s="23" t="s">
        <v>3386</v>
      </c>
    </row>
    <row r="3952" spans="3:6">
      <c r="D3952" s="23" t="s">
        <v>13849</v>
      </c>
      <c r="E3952" s="23">
        <f>VLOOKUP(calcCh1Prod4Slot3Pack,dataPackSegFit,5,FALSE)</f>
        <v>0</v>
      </c>
    </row>
    <row r="3953" spans="1:6">
      <c r="D3953" s="198" t="s">
        <v>13850</v>
      </c>
      <c r="E3953" s="373">
        <f>calcCh1Prod4Slot3PackFitBase+E3952</f>
        <v>0</v>
      </c>
      <c r="F3953" s="23" t="s">
        <v>3387</v>
      </c>
    </row>
    <row r="3954" spans="1:6">
      <c r="D3954" s="198"/>
      <c r="E3954" s="198"/>
      <c r="F3954" s="198"/>
    </row>
    <row r="3955" spans="1:6" s="81" customFormat="1">
      <c r="A3955" s="81" t="s">
        <v>13862</v>
      </c>
    </row>
    <row r="3957" spans="1:6">
      <c r="C3957" s="198" t="s">
        <v>13863</v>
      </c>
    </row>
    <row r="3958" spans="1:6">
      <c r="C3958" s="198"/>
      <c r="D3958" s="23" t="s">
        <v>3329</v>
      </c>
      <c r="E3958" s="23" t="str">
        <f>decCh2Prod1Slot1Pack</f>
        <v>10 x 33cl Can</v>
      </c>
      <c r="F3958" s="23" t="s">
        <v>3550</v>
      </c>
    </row>
    <row r="3959" spans="1:6">
      <c r="D3959" s="23" t="s">
        <v>358</v>
      </c>
      <c r="E3959" s="23">
        <f>VLOOKUP(calcCh2Prod1Slot1Pack,dataPackChFit,3,FALSE)</f>
        <v>15</v>
      </c>
    </row>
    <row r="3960" spans="1:6">
      <c r="D3960" s="23" t="s">
        <v>361</v>
      </c>
      <c r="E3960" s="23">
        <f>VLOOKUP(calcCh2Prod1Slot1Pack,dataPackProdFit,2,FALSE)</f>
        <v>3</v>
      </c>
    </row>
    <row r="3961" spans="1:6" ht="2.25" customHeight="1">
      <c r="D3961" s="197"/>
      <c r="E3961" s="197"/>
    </row>
    <row r="3962" spans="1:6">
      <c r="D3962" s="23" t="s">
        <v>3334</v>
      </c>
      <c r="E3962" s="23">
        <f>E3959+E3960</f>
        <v>18</v>
      </c>
      <c r="F3962" s="23" t="s">
        <v>3551</v>
      </c>
    </row>
    <row r="3965" spans="1:6">
      <c r="D3965" s="23" t="s">
        <v>13843</v>
      </c>
      <c r="E3965" s="23">
        <f>VLOOKUP(calcCh2Prod1Slot1Pack,dataPackSegFit,2,FALSE)</f>
        <v>10</v>
      </c>
    </row>
    <row r="3966" spans="1:6">
      <c r="D3966" s="198" t="s">
        <v>13844</v>
      </c>
      <c r="E3966" s="373">
        <f>calcCh2Prod1Slot1PackFitBase+E3965</f>
        <v>28</v>
      </c>
      <c r="F3966" s="23" t="s">
        <v>3552</v>
      </c>
    </row>
    <row r="3967" spans="1:6">
      <c r="D3967" s="23" t="s">
        <v>13845</v>
      </c>
      <c r="E3967" s="23">
        <f>VLOOKUP(calcCh2Prod1Slot1Pack,dataPackSegFit,3,FALSE)</f>
        <v>20</v>
      </c>
    </row>
    <row r="3968" spans="1:6">
      <c r="D3968" s="198" t="s">
        <v>13846</v>
      </c>
      <c r="E3968" s="373">
        <f>calcCh2Prod1Slot1PackFitBase+E3967</f>
        <v>38</v>
      </c>
      <c r="F3968" s="23" t="s">
        <v>3553</v>
      </c>
    </row>
    <row r="3969" spans="3:6">
      <c r="D3969" s="23" t="s">
        <v>13847</v>
      </c>
      <c r="E3969" s="23">
        <f>VLOOKUP(calcCh2Prod1Slot1Pack,dataPackSegFit,4,FALSE)</f>
        <v>25</v>
      </c>
    </row>
    <row r="3970" spans="3:6">
      <c r="D3970" s="198" t="s">
        <v>13848</v>
      </c>
      <c r="E3970" s="373">
        <f>calcCh2Prod1Slot1PackFitBase+E3969</f>
        <v>43</v>
      </c>
      <c r="F3970" s="23" t="s">
        <v>3554</v>
      </c>
    </row>
    <row r="3971" spans="3:6">
      <c r="D3971" s="23" t="s">
        <v>13849</v>
      </c>
      <c r="E3971" s="23">
        <f>VLOOKUP(calcCh2Prod1Slot1Pack,dataPackSegFit,5,FALSE)</f>
        <v>20</v>
      </c>
    </row>
    <row r="3972" spans="3:6">
      <c r="D3972" s="198" t="s">
        <v>13850</v>
      </c>
      <c r="E3972" s="373">
        <f>calcCh2Prod1Slot1PackFitBase+E3971</f>
        <v>38</v>
      </c>
      <c r="F3972" s="23" t="s">
        <v>3555</v>
      </c>
    </row>
    <row r="3974" spans="3:6">
      <c r="C3974" s="198" t="s">
        <v>13864</v>
      </c>
    </row>
    <row r="3975" spans="3:6">
      <c r="C3975" s="198"/>
      <c r="D3975" s="23" t="s">
        <v>3329</v>
      </c>
      <c r="E3975" s="23" t="str">
        <f>decCh2Prod1Slot2Pack</f>
        <v>Select Pack</v>
      </c>
      <c r="F3975" s="23" t="s">
        <v>3556</v>
      </c>
    </row>
    <row r="3976" spans="3:6">
      <c r="D3976" s="23" t="s">
        <v>358</v>
      </c>
      <c r="E3976" s="23">
        <f>VLOOKUP(calcCh2Prod1Slot2Pack,dataPackChFit,3,FALSE)</f>
        <v>0</v>
      </c>
    </row>
    <row r="3977" spans="3:6">
      <c r="D3977" s="23" t="s">
        <v>361</v>
      </c>
      <c r="E3977" s="23">
        <f>VLOOKUP(calcCh2Prod1Slot2Pack,dataPackProdFit,2,FALSE)</f>
        <v>0</v>
      </c>
    </row>
    <row r="3978" spans="3:6" ht="2.25" customHeight="1">
      <c r="D3978" s="197"/>
      <c r="E3978" s="197"/>
    </row>
    <row r="3979" spans="3:6">
      <c r="D3979" s="23" t="s">
        <v>3334</v>
      </c>
      <c r="E3979" s="23">
        <f>E3976+E3977</f>
        <v>0</v>
      </c>
      <c r="F3979" s="23" t="s">
        <v>3557</v>
      </c>
    </row>
    <row r="3982" spans="3:6">
      <c r="D3982" s="23" t="s">
        <v>13843</v>
      </c>
      <c r="E3982" s="23">
        <f>VLOOKUP(calcCh2Prod1Slot2Pack,dataPackSegFit,2,FALSE)</f>
        <v>0</v>
      </c>
    </row>
    <row r="3983" spans="3:6">
      <c r="D3983" s="198" t="s">
        <v>13844</v>
      </c>
      <c r="E3983" s="373">
        <f>calcCh2Prod1Slot2PackFitBase+E3982</f>
        <v>0</v>
      </c>
      <c r="F3983" s="23" t="s">
        <v>3558</v>
      </c>
    </row>
    <row r="3984" spans="3:6">
      <c r="D3984" s="23" t="s">
        <v>13845</v>
      </c>
      <c r="E3984" s="23">
        <f>VLOOKUP(calcCh2Prod1Slot2Pack,dataPackSegFit,3,FALSE)</f>
        <v>0</v>
      </c>
    </row>
    <row r="3985" spans="3:6">
      <c r="D3985" s="198" t="s">
        <v>13846</v>
      </c>
      <c r="E3985" s="373">
        <f>calcCh2Prod1Slot2PackFitBase+E3984</f>
        <v>0</v>
      </c>
      <c r="F3985" s="23" t="s">
        <v>3559</v>
      </c>
    </row>
    <row r="3986" spans="3:6">
      <c r="D3986" s="23" t="s">
        <v>13847</v>
      </c>
      <c r="E3986" s="23">
        <f>VLOOKUP(calcCh2Prod1Slot2Pack,dataPackSegFit,4,FALSE)</f>
        <v>0</v>
      </c>
    </row>
    <row r="3987" spans="3:6">
      <c r="D3987" s="198" t="s">
        <v>13848</v>
      </c>
      <c r="E3987" s="373">
        <f>calcCh2Prod1Slot2PackFitBase+E3986</f>
        <v>0</v>
      </c>
      <c r="F3987" s="23" t="s">
        <v>3560</v>
      </c>
    </row>
    <row r="3988" spans="3:6">
      <c r="D3988" s="23" t="s">
        <v>13849</v>
      </c>
      <c r="E3988" s="23">
        <f>VLOOKUP(calcCh2Prod1Slot2Pack,dataPackSegFit,5,FALSE)</f>
        <v>0</v>
      </c>
    </row>
    <row r="3989" spans="3:6">
      <c r="D3989" s="198" t="s">
        <v>13850</v>
      </c>
      <c r="E3989" s="373">
        <f>calcCh2Prod1Slot2PackFitBase+E3988</f>
        <v>0</v>
      </c>
      <c r="F3989" s="23" t="s">
        <v>3561</v>
      </c>
    </row>
    <row r="3991" spans="3:6">
      <c r="C3991" s="198" t="s">
        <v>13865</v>
      </c>
    </row>
    <row r="3992" spans="3:6">
      <c r="C3992" s="198"/>
      <c r="D3992" s="23" t="s">
        <v>3329</v>
      </c>
      <c r="E3992" s="23" t="str">
        <f>decCh2Prod1Slot3Pack</f>
        <v>Select Pack</v>
      </c>
      <c r="F3992" s="23" t="s">
        <v>3562</v>
      </c>
    </row>
    <row r="3993" spans="3:6">
      <c r="D3993" s="23" t="s">
        <v>358</v>
      </c>
      <c r="E3993" s="23">
        <f>VLOOKUP(calcCh2Prod1Slot3Pack,dataPackChFit,3,FALSE)</f>
        <v>0</v>
      </c>
    </row>
    <row r="3994" spans="3:6">
      <c r="D3994" s="23" t="s">
        <v>361</v>
      </c>
      <c r="E3994" s="23">
        <f>VLOOKUP(calcCh2Prod1Slot3Pack,dataPackProdFit,2,FALSE)</f>
        <v>0</v>
      </c>
    </row>
    <row r="3995" spans="3:6" ht="2.25" customHeight="1">
      <c r="D3995" s="197"/>
      <c r="E3995" s="197"/>
    </row>
    <row r="3996" spans="3:6">
      <c r="D3996" s="23" t="s">
        <v>3334</v>
      </c>
      <c r="E3996" s="23">
        <f>E3993+E3994</f>
        <v>0</v>
      </c>
      <c r="F3996" s="23" t="s">
        <v>3563</v>
      </c>
    </row>
    <row r="3999" spans="3:6">
      <c r="D3999" s="23" t="s">
        <v>13843</v>
      </c>
      <c r="E3999" s="23">
        <f>VLOOKUP(calcCh2Prod1Slot3Pack,dataPackSegFit,2,FALSE)</f>
        <v>0</v>
      </c>
    </row>
    <row r="4000" spans="3:6">
      <c r="D4000" s="198" t="s">
        <v>13844</v>
      </c>
      <c r="E4000" s="373">
        <f>calcCh2Prod1Slot3PackFitBase+E3999</f>
        <v>0</v>
      </c>
      <c r="F4000" s="23" t="s">
        <v>3564</v>
      </c>
    </row>
    <row r="4001" spans="3:6">
      <c r="D4001" s="23" t="s">
        <v>13845</v>
      </c>
      <c r="E4001" s="23">
        <f>VLOOKUP(calcCh2Prod1Slot3Pack,dataPackSegFit,3,FALSE)</f>
        <v>0</v>
      </c>
    </row>
    <row r="4002" spans="3:6">
      <c r="D4002" s="198" t="s">
        <v>13846</v>
      </c>
      <c r="E4002" s="373">
        <f>calcCh2Prod1Slot3PackFitBase+E4001</f>
        <v>0</v>
      </c>
      <c r="F4002" s="23" t="s">
        <v>3565</v>
      </c>
    </row>
    <row r="4003" spans="3:6">
      <c r="D4003" s="23" t="s">
        <v>13847</v>
      </c>
      <c r="E4003" s="23">
        <f>VLOOKUP(calcCh2Prod1Slot3Pack,dataPackSegFit,4,FALSE)</f>
        <v>0</v>
      </c>
    </row>
    <row r="4004" spans="3:6">
      <c r="D4004" s="198" t="s">
        <v>13848</v>
      </c>
      <c r="E4004" s="373">
        <f>calcCh2Prod1Slot3PackFitBase+E4003</f>
        <v>0</v>
      </c>
      <c r="F4004" s="23" t="s">
        <v>3566</v>
      </c>
    </row>
    <row r="4005" spans="3:6">
      <c r="D4005" s="23" t="s">
        <v>13849</v>
      </c>
      <c r="E4005" s="23">
        <f>VLOOKUP(calcCh2Prod1Slot3Pack,dataPackSegFit,5,FALSE)</f>
        <v>0</v>
      </c>
    </row>
    <row r="4006" spans="3:6">
      <c r="D4006" s="198" t="s">
        <v>13850</v>
      </c>
      <c r="E4006" s="373">
        <f>calcCh2Prod1Slot3PackFitBase+E4005</f>
        <v>0</v>
      </c>
      <c r="F4006" s="23" t="s">
        <v>3567</v>
      </c>
    </row>
    <row r="4008" spans="3:6">
      <c r="C4008" s="198" t="s">
        <v>13866</v>
      </c>
    </row>
    <row r="4009" spans="3:6">
      <c r="C4009" s="198"/>
      <c r="D4009" s="23" t="s">
        <v>3329</v>
      </c>
      <c r="E4009" s="23" t="str">
        <f>decCh2Prod2Slot1Pack</f>
        <v>24 x 33cl Can</v>
      </c>
      <c r="F4009" s="23" t="s">
        <v>3568</v>
      </c>
    </row>
    <row r="4010" spans="3:6">
      <c r="D4010" s="23" t="s">
        <v>358</v>
      </c>
      <c r="E4010" s="23">
        <f>VLOOKUP(calcCh2Prod2Slot1Pack,dataPackChFit,3,FALSE)</f>
        <v>15</v>
      </c>
    </row>
    <row r="4011" spans="3:6">
      <c r="D4011" s="23" t="s">
        <v>361</v>
      </c>
      <c r="E4011" s="23">
        <f>VLOOKUP(calcCh2Prod2Slot1Pack,dataPackProdFit,3,FALSE)</f>
        <v>4</v>
      </c>
    </row>
    <row r="4012" spans="3:6" ht="2.25" customHeight="1">
      <c r="D4012" s="197"/>
      <c r="E4012" s="197"/>
    </row>
    <row r="4013" spans="3:6">
      <c r="D4013" s="23" t="s">
        <v>3334</v>
      </c>
      <c r="E4013" s="23">
        <f>E4010+E4011</f>
        <v>19</v>
      </c>
      <c r="F4013" s="23" t="s">
        <v>3569</v>
      </c>
    </row>
    <row r="4016" spans="3:6">
      <c r="D4016" s="23" t="s">
        <v>13843</v>
      </c>
      <c r="E4016" s="23">
        <f>VLOOKUP(calcCh2Prod2Slot1Pack,dataPackSegFit,2,FALSE)</f>
        <v>5</v>
      </c>
    </row>
    <row r="4017" spans="3:6">
      <c r="D4017" s="198" t="s">
        <v>13844</v>
      </c>
      <c r="E4017" s="373">
        <f>calcCh2Prod2Slot1PackFitBase+E4016</f>
        <v>24</v>
      </c>
      <c r="F4017" s="23" t="s">
        <v>3570</v>
      </c>
    </row>
    <row r="4018" spans="3:6">
      <c r="D4018" s="23" t="s">
        <v>13845</v>
      </c>
      <c r="E4018" s="23">
        <f>VLOOKUP(calcCh2Prod2Slot1Pack,dataPackSegFit,3,FALSE)</f>
        <v>15</v>
      </c>
    </row>
    <row r="4019" spans="3:6">
      <c r="D4019" s="198" t="s">
        <v>13846</v>
      </c>
      <c r="E4019" s="373">
        <f>calcCh2Prod2Slot1PackFitBase+E4018</f>
        <v>34</v>
      </c>
      <c r="F4019" s="23" t="s">
        <v>3571</v>
      </c>
    </row>
    <row r="4020" spans="3:6">
      <c r="D4020" s="23" t="s">
        <v>13847</v>
      </c>
      <c r="E4020" s="23">
        <f>VLOOKUP(calcCh2Prod2Slot1Pack,dataPackSegFit,4,FALSE)</f>
        <v>25</v>
      </c>
    </row>
    <row r="4021" spans="3:6">
      <c r="D4021" s="198" t="s">
        <v>13848</v>
      </c>
      <c r="E4021" s="373">
        <f>calcCh2Prod2Slot1PackFitBase+E4020</f>
        <v>44</v>
      </c>
      <c r="F4021" s="23" t="s">
        <v>3572</v>
      </c>
    </row>
    <row r="4022" spans="3:6">
      <c r="D4022" s="23" t="s">
        <v>13849</v>
      </c>
      <c r="E4022" s="23">
        <f>VLOOKUP(calcCh2Prod2Slot1Pack,dataPackSegFit,5,FALSE)</f>
        <v>15</v>
      </c>
    </row>
    <row r="4023" spans="3:6">
      <c r="D4023" s="198" t="s">
        <v>13850</v>
      </c>
      <c r="E4023" s="373">
        <f>calcCh2Prod2Slot1PackFitBase+E4022</f>
        <v>34</v>
      </c>
      <c r="F4023" s="23" t="s">
        <v>3573</v>
      </c>
    </row>
    <row r="4025" spans="3:6">
      <c r="C4025" s="198" t="s">
        <v>13867</v>
      </c>
    </row>
    <row r="4026" spans="3:6">
      <c r="C4026" s="198"/>
      <c r="D4026" s="23" t="s">
        <v>3329</v>
      </c>
      <c r="E4026" s="23" t="str">
        <f>decCh2Prod2Slot2Pack</f>
        <v>Select Pack</v>
      </c>
      <c r="F4026" s="23" t="s">
        <v>3574</v>
      </c>
    </row>
    <row r="4027" spans="3:6">
      <c r="D4027" s="23" t="s">
        <v>358</v>
      </c>
      <c r="E4027" s="23">
        <f>VLOOKUP(calcCh2Prod2Slot2Pack,dataPackChFit,3,FALSE)</f>
        <v>0</v>
      </c>
    </row>
    <row r="4028" spans="3:6">
      <c r="D4028" s="23" t="s">
        <v>361</v>
      </c>
      <c r="E4028" s="23">
        <f>VLOOKUP(calcCh2Prod2Slot2Pack,dataPackProdFit,3,FALSE)</f>
        <v>0</v>
      </c>
    </row>
    <row r="4029" spans="3:6" ht="2.25" customHeight="1">
      <c r="D4029" s="197"/>
      <c r="E4029" s="197"/>
    </row>
    <row r="4030" spans="3:6">
      <c r="D4030" s="23" t="s">
        <v>3334</v>
      </c>
      <c r="E4030" s="23">
        <f>E4027+E4028</f>
        <v>0</v>
      </c>
      <c r="F4030" s="23" t="s">
        <v>3575</v>
      </c>
    </row>
    <row r="4033" spans="3:6">
      <c r="D4033" s="23" t="s">
        <v>13843</v>
      </c>
      <c r="E4033" s="23">
        <f>VLOOKUP(calcCh2Prod2Slot2Pack,dataPackSegFit,2,FALSE)</f>
        <v>0</v>
      </c>
    </row>
    <row r="4034" spans="3:6">
      <c r="D4034" s="198" t="s">
        <v>13844</v>
      </c>
      <c r="E4034" s="373">
        <f>calcCh2Prod2Slot2PackFitBase+E4033</f>
        <v>0</v>
      </c>
      <c r="F4034" s="23" t="s">
        <v>3576</v>
      </c>
    </row>
    <row r="4035" spans="3:6">
      <c r="D4035" s="23" t="s">
        <v>13845</v>
      </c>
      <c r="E4035" s="23">
        <f>VLOOKUP(calcCh2Prod2Slot2Pack,dataPackSegFit,3,FALSE)</f>
        <v>0</v>
      </c>
    </row>
    <row r="4036" spans="3:6">
      <c r="D4036" s="198" t="s">
        <v>13846</v>
      </c>
      <c r="E4036" s="373">
        <f>calcCh2Prod2Slot2PackFitBase+E4035</f>
        <v>0</v>
      </c>
      <c r="F4036" s="23" t="s">
        <v>3577</v>
      </c>
    </row>
    <row r="4037" spans="3:6">
      <c r="D4037" s="23" t="s">
        <v>13847</v>
      </c>
      <c r="E4037" s="23">
        <f>VLOOKUP(calcCh2Prod2Slot2Pack,dataPackSegFit,4,FALSE)</f>
        <v>0</v>
      </c>
    </row>
    <row r="4038" spans="3:6">
      <c r="D4038" s="198" t="s">
        <v>13848</v>
      </c>
      <c r="E4038" s="373">
        <f>calcCh2Prod2Slot2PackFitBase+E4037</f>
        <v>0</v>
      </c>
      <c r="F4038" s="23" t="s">
        <v>3578</v>
      </c>
    </row>
    <row r="4039" spans="3:6">
      <c r="D4039" s="23" t="s">
        <v>13849</v>
      </c>
      <c r="E4039" s="23">
        <f>VLOOKUP(calcCh2Prod2Slot2Pack,dataPackSegFit,5,FALSE)</f>
        <v>0</v>
      </c>
    </row>
    <row r="4040" spans="3:6">
      <c r="D4040" s="198" t="s">
        <v>13850</v>
      </c>
      <c r="E4040" s="373">
        <f>calcCh2Prod2Slot2PackFitBase+E4039</f>
        <v>0</v>
      </c>
      <c r="F4040" s="23" t="s">
        <v>3579</v>
      </c>
    </row>
    <row r="4042" spans="3:6">
      <c r="C4042" s="198" t="s">
        <v>13868</v>
      </c>
    </row>
    <row r="4043" spans="3:6">
      <c r="C4043" s="198"/>
      <c r="D4043" s="23" t="s">
        <v>3329</v>
      </c>
      <c r="E4043" s="23" t="str">
        <f>decCh2Prod2Slot3Pack</f>
        <v>Select Pack</v>
      </c>
      <c r="F4043" s="23" t="s">
        <v>3580</v>
      </c>
    </row>
    <row r="4044" spans="3:6">
      <c r="D4044" s="23" t="s">
        <v>358</v>
      </c>
      <c r="E4044" s="23">
        <f>VLOOKUP(calcCh2Prod2Slot3Pack,dataPackChFit,3,FALSE)</f>
        <v>0</v>
      </c>
    </row>
    <row r="4045" spans="3:6">
      <c r="D4045" s="23" t="s">
        <v>361</v>
      </c>
      <c r="E4045" s="23">
        <f>VLOOKUP(calcCh2Prod2Slot3Pack,dataPackProdFit,3,FALSE)</f>
        <v>0</v>
      </c>
    </row>
    <row r="4046" spans="3:6" ht="2.25" customHeight="1">
      <c r="D4046" s="197"/>
      <c r="E4046" s="197"/>
    </row>
    <row r="4047" spans="3:6">
      <c r="D4047" s="23" t="s">
        <v>3334</v>
      </c>
      <c r="E4047" s="23">
        <f>E4044+E4045</f>
        <v>0</v>
      </c>
      <c r="F4047" s="23" t="s">
        <v>3581</v>
      </c>
    </row>
    <row r="4050" spans="3:6">
      <c r="D4050" s="23" t="s">
        <v>13843</v>
      </c>
      <c r="E4050" s="23">
        <f>VLOOKUP(calcCh2Prod2Slot3Pack,dataPackSegFit,2,FALSE)</f>
        <v>0</v>
      </c>
    </row>
    <row r="4051" spans="3:6">
      <c r="D4051" s="198" t="s">
        <v>13844</v>
      </c>
      <c r="E4051" s="373">
        <f>calcCh2Prod2Slot3PackFitBase+E4050</f>
        <v>0</v>
      </c>
      <c r="F4051" s="23" t="s">
        <v>3582</v>
      </c>
    </row>
    <row r="4052" spans="3:6">
      <c r="D4052" s="23" t="s">
        <v>13845</v>
      </c>
      <c r="E4052" s="23">
        <f>VLOOKUP(calcCh2Prod2Slot3Pack,dataPackSegFit,3,FALSE)</f>
        <v>0</v>
      </c>
    </row>
    <row r="4053" spans="3:6">
      <c r="D4053" s="198" t="s">
        <v>13846</v>
      </c>
      <c r="E4053" s="373">
        <f>calcCh2Prod2Slot3PackFitBase+E4052</f>
        <v>0</v>
      </c>
      <c r="F4053" s="23" t="s">
        <v>3583</v>
      </c>
    </row>
    <row r="4054" spans="3:6">
      <c r="D4054" s="23" t="s">
        <v>13847</v>
      </c>
      <c r="E4054" s="23">
        <f>VLOOKUP(calcCh2Prod2Slot3Pack,dataPackSegFit,4,FALSE)</f>
        <v>0</v>
      </c>
    </row>
    <row r="4055" spans="3:6">
      <c r="D4055" s="198" t="s">
        <v>13848</v>
      </c>
      <c r="E4055" s="373">
        <f>calcCh2Prod2Slot3PackFitBase+E4054</f>
        <v>0</v>
      </c>
      <c r="F4055" s="23" t="s">
        <v>3584</v>
      </c>
    </row>
    <row r="4056" spans="3:6">
      <c r="D4056" s="23" t="s">
        <v>13849</v>
      </c>
      <c r="E4056" s="23">
        <f>VLOOKUP(calcCh2Prod2Slot3Pack,dataPackSegFit,5,FALSE)</f>
        <v>0</v>
      </c>
    </row>
    <row r="4057" spans="3:6">
      <c r="D4057" s="198" t="s">
        <v>13850</v>
      </c>
      <c r="E4057" s="373">
        <f>calcCh2Prod2Slot3PackFitBase+E4056</f>
        <v>0</v>
      </c>
      <c r="F4057" s="23" t="s">
        <v>3585</v>
      </c>
    </row>
    <row r="4059" spans="3:6">
      <c r="C4059" s="198" t="s">
        <v>13869</v>
      </c>
    </row>
    <row r="4060" spans="3:6">
      <c r="C4060" s="198"/>
      <c r="D4060" s="23" t="s">
        <v>3329</v>
      </c>
      <c r="E4060" s="23" t="str">
        <f>decCh2Prod3Slot1Pack</f>
        <v>25cl Can</v>
      </c>
      <c r="F4060" s="23" t="s">
        <v>3586</v>
      </c>
    </row>
    <row r="4061" spans="3:6">
      <c r="D4061" s="23" t="s">
        <v>358</v>
      </c>
      <c r="E4061" s="23">
        <f>VLOOKUP(calcCh2Prod3Slot1Pack,dataPackChFit,3,FALSE)</f>
        <v>3</v>
      </c>
    </row>
    <row r="4062" spans="3:6">
      <c r="D4062" s="23" t="s">
        <v>361</v>
      </c>
      <c r="E4062" s="23">
        <f>VLOOKUP(calcCh2Prod3Slot1Pack,dataPackProdFit,4,FALSE)</f>
        <v>5</v>
      </c>
    </row>
    <row r="4063" spans="3:6" ht="2.25" customHeight="1">
      <c r="D4063" s="197"/>
      <c r="E4063" s="197"/>
    </row>
    <row r="4064" spans="3:6">
      <c r="D4064" s="23" t="s">
        <v>3334</v>
      </c>
      <c r="E4064" s="23">
        <f>E4061+E4062</f>
        <v>8</v>
      </c>
      <c r="F4064" s="23" t="s">
        <v>3587</v>
      </c>
    </row>
    <row r="4067" spans="3:6">
      <c r="D4067" s="23" t="s">
        <v>13843</v>
      </c>
      <c r="E4067" s="23">
        <f>VLOOKUP(calcCh2Prod3Slot1Pack,dataPackSegFit,2,FALSE)</f>
        <v>10</v>
      </c>
    </row>
    <row r="4068" spans="3:6">
      <c r="D4068" s="198" t="s">
        <v>13844</v>
      </c>
      <c r="E4068" s="373">
        <f>calcCh2Prod3Slot1PackFitBase+E4067</f>
        <v>18</v>
      </c>
      <c r="F4068" s="23" t="s">
        <v>3588</v>
      </c>
    </row>
    <row r="4069" spans="3:6">
      <c r="D4069" s="23" t="s">
        <v>13845</v>
      </c>
      <c r="E4069" s="23">
        <f>VLOOKUP(calcCh2Prod3Slot1Pack,dataPackSegFit,3,FALSE)</f>
        <v>15</v>
      </c>
    </row>
    <row r="4070" spans="3:6">
      <c r="D4070" s="198" t="s">
        <v>13846</v>
      </c>
      <c r="E4070" s="373">
        <f>calcCh2Prod3Slot1PackFitBase+E4069</f>
        <v>23</v>
      </c>
      <c r="F4070" s="23" t="s">
        <v>3589</v>
      </c>
    </row>
    <row r="4071" spans="3:6">
      <c r="D4071" s="23" t="s">
        <v>13847</v>
      </c>
      <c r="E4071" s="23">
        <f>VLOOKUP(calcCh2Prod3Slot1Pack,dataPackSegFit,4,FALSE)</f>
        <v>5</v>
      </c>
    </row>
    <row r="4072" spans="3:6">
      <c r="D4072" s="198" t="s">
        <v>13848</v>
      </c>
      <c r="E4072" s="373">
        <f>calcCh2Prod3Slot1PackFitBase+E4071</f>
        <v>13</v>
      </c>
      <c r="F4072" s="23" t="s">
        <v>3590</v>
      </c>
    </row>
    <row r="4073" spans="3:6">
      <c r="D4073" s="23" t="s">
        <v>13849</v>
      </c>
      <c r="E4073" s="23">
        <f>VLOOKUP(calcCh2Prod3Slot1Pack,dataPackSegFit,5,FALSE)</f>
        <v>10</v>
      </c>
    </row>
    <row r="4074" spans="3:6">
      <c r="D4074" s="198" t="s">
        <v>13850</v>
      </c>
      <c r="E4074" s="373">
        <f>calcCh2Prod3Slot1PackFitBase+E4073</f>
        <v>18</v>
      </c>
      <c r="F4074" s="23" t="s">
        <v>3591</v>
      </c>
    </row>
    <row r="4076" spans="3:6">
      <c r="C4076" s="198" t="s">
        <v>13870</v>
      </c>
    </row>
    <row r="4077" spans="3:6">
      <c r="C4077" s="198"/>
      <c r="D4077" s="23" t="s">
        <v>3329</v>
      </c>
      <c r="E4077" s="23" t="str">
        <f>decCh2Prod3Slot2Pack</f>
        <v>Select Pack</v>
      </c>
      <c r="F4077" s="23" t="s">
        <v>3592</v>
      </c>
    </row>
    <row r="4078" spans="3:6">
      <c r="D4078" s="23" t="s">
        <v>358</v>
      </c>
      <c r="E4078" s="23">
        <f>VLOOKUP(calcCh2Prod3Slot2Pack,dataPackChFit,3,FALSE)</f>
        <v>0</v>
      </c>
    </row>
    <row r="4079" spans="3:6">
      <c r="D4079" s="23" t="s">
        <v>361</v>
      </c>
      <c r="E4079" s="23">
        <f>VLOOKUP(calcCh2Prod3Slot2Pack,dataPackProdFit,4,FALSE)</f>
        <v>0</v>
      </c>
    </row>
    <row r="4080" spans="3:6" ht="2.25" customHeight="1">
      <c r="D4080" s="197"/>
      <c r="E4080" s="197"/>
    </row>
    <row r="4081" spans="3:6">
      <c r="D4081" s="23" t="s">
        <v>3334</v>
      </c>
      <c r="E4081" s="23">
        <f>E4078+E4079</f>
        <v>0</v>
      </c>
      <c r="F4081" s="23" t="s">
        <v>3593</v>
      </c>
    </row>
    <row r="4084" spans="3:6">
      <c r="D4084" s="23" t="s">
        <v>13843</v>
      </c>
      <c r="E4084" s="23">
        <f>VLOOKUP(calcCh2Prod3Slot2Pack,dataPackSegFit,2,FALSE)</f>
        <v>0</v>
      </c>
    </row>
    <row r="4085" spans="3:6">
      <c r="D4085" s="198" t="s">
        <v>13844</v>
      </c>
      <c r="E4085" s="373">
        <f>calcCh2Prod3Slot2PackFitBase+E4084</f>
        <v>0</v>
      </c>
      <c r="F4085" s="23" t="s">
        <v>3594</v>
      </c>
    </row>
    <row r="4086" spans="3:6">
      <c r="D4086" s="23" t="s">
        <v>13845</v>
      </c>
      <c r="E4086" s="23">
        <f>VLOOKUP(calcCh2Prod3Slot2Pack,dataPackSegFit,3,FALSE)</f>
        <v>0</v>
      </c>
    </row>
    <row r="4087" spans="3:6">
      <c r="D4087" s="198" t="s">
        <v>13846</v>
      </c>
      <c r="E4087" s="373">
        <f>calcCh2Prod3Slot2PackFitBase+E4086</f>
        <v>0</v>
      </c>
      <c r="F4087" s="23" t="s">
        <v>3595</v>
      </c>
    </row>
    <row r="4088" spans="3:6">
      <c r="D4088" s="23" t="s">
        <v>13847</v>
      </c>
      <c r="E4088" s="23">
        <f>VLOOKUP(calcCh2Prod3Slot2Pack,dataPackSegFit,4,FALSE)</f>
        <v>0</v>
      </c>
    </row>
    <row r="4089" spans="3:6">
      <c r="D4089" s="198" t="s">
        <v>13848</v>
      </c>
      <c r="E4089" s="373">
        <f>calcCh2Prod3Slot2PackFitBase+E4088</f>
        <v>0</v>
      </c>
      <c r="F4089" s="23" t="s">
        <v>3596</v>
      </c>
    </row>
    <row r="4090" spans="3:6">
      <c r="D4090" s="23" t="s">
        <v>13849</v>
      </c>
      <c r="E4090" s="23">
        <f>VLOOKUP(calcCh2Prod3Slot2Pack,dataPackSegFit,5,FALSE)</f>
        <v>0</v>
      </c>
    </row>
    <row r="4091" spans="3:6">
      <c r="D4091" s="198" t="s">
        <v>13850</v>
      </c>
      <c r="E4091" s="373">
        <f>calcCh2Prod3Slot2PackFitBase+E4090</f>
        <v>0</v>
      </c>
      <c r="F4091" s="23" t="s">
        <v>3597</v>
      </c>
    </row>
    <row r="4093" spans="3:6">
      <c r="C4093" s="198" t="s">
        <v>13871</v>
      </c>
    </row>
    <row r="4094" spans="3:6">
      <c r="C4094" s="198"/>
      <c r="D4094" s="23" t="s">
        <v>3329</v>
      </c>
      <c r="E4094" s="23" t="str">
        <f>decCh2Prod3Slot3Pack</f>
        <v>Select Pack</v>
      </c>
      <c r="F4094" s="23" t="s">
        <v>3598</v>
      </c>
    </row>
    <row r="4095" spans="3:6">
      <c r="D4095" s="23" t="s">
        <v>358</v>
      </c>
      <c r="E4095" s="23">
        <f>VLOOKUP(calcCh2Prod3Slot3Pack,dataPackChFit,3,FALSE)</f>
        <v>0</v>
      </c>
    </row>
    <row r="4096" spans="3:6">
      <c r="D4096" s="23" t="s">
        <v>361</v>
      </c>
      <c r="E4096" s="23">
        <f>VLOOKUP(calcCh2Prod3Slot3Pack,dataPackProdFit,4,FALSE)</f>
        <v>0</v>
      </c>
    </row>
    <row r="4097" spans="3:6" ht="2.25" customHeight="1">
      <c r="D4097" s="197"/>
      <c r="E4097" s="197"/>
    </row>
    <row r="4098" spans="3:6">
      <c r="D4098" s="23" t="s">
        <v>3334</v>
      </c>
      <c r="E4098" s="23">
        <f>E4095+E4096</f>
        <v>0</v>
      </c>
      <c r="F4098" s="23" t="s">
        <v>3599</v>
      </c>
    </row>
    <row r="4101" spans="3:6">
      <c r="D4101" s="23" t="s">
        <v>13843</v>
      </c>
      <c r="E4101" s="23">
        <f>VLOOKUP(calcCh2Prod3Slot3Pack,dataPackSegFit,2,FALSE)</f>
        <v>0</v>
      </c>
    </row>
    <row r="4102" spans="3:6">
      <c r="D4102" s="198" t="s">
        <v>13844</v>
      </c>
      <c r="E4102" s="373">
        <f>calcCh2Prod3Slot3PackFitBase+E4101</f>
        <v>0</v>
      </c>
      <c r="F4102" s="23" t="s">
        <v>3600</v>
      </c>
    </row>
    <row r="4103" spans="3:6">
      <c r="D4103" s="23" t="s">
        <v>13845</v>
      </c>
      <c r="E4103" s="23">
        <f>VLOOKUP(calcCh2Prod3Slot3Pack,dataPackSegFit,3,FALSE)</f>
        <v>0</v>
      </c>
    </row>
    <row r="4104" spans="3:6">
      <c r="D4104" s="198" t="s">
        <v>13846</v>
      </c>
      <c r="E4104" s="373">
        <f>calcCh2Prod3Slot3PackFitBase+E4103</f>
        <v>0</v>
      </c>
      <c r="F4104" s="23" t="s">
        <v>3601</v>
      </c>
    </row>
    <row r="4105" spans="3:6">
      <c r="D4105" s="23" t="s">
        <v>13847</v>
      </c>
      <c r="E4105" s="23">
        <f>VLOOKUP(calcCh2Prod3Slot3Pack,dataPackSegFit,4,FALSE)</f>
        <v>0</v>
      </c>
    </row>
    <row r="4106" spans="3:6">
      <c r="D4106" s="198" t="s">
        <v>13848</v>
      </c>
      <c r="E4106" s="373">
        <f>calcCh2Prod3Slot3PackFitBase+E4105</f>
        <v>0</v>
      </c>
      <c r="F4106" s="23" t="s">
        <v>3602</v>
      </c>
    </row>
    <row r="4107" spans="3:6">
      <c r="D4107" s="23" t="s">
        <v>13849</v>
      </c>
      <c r="E4107" s="23">
        <f>VLOOKUP(calcCh2Prod3Slot3Pack,dataPackSegFit,5,FALSE)</f>
        <v>0</v>
      </c>
    </row>
    <row r="4108" spans="3:6">
      <c r="D4108" s="198" t="s">
        <v>13850</v>
      </c>
      <c r="E4108" s="373">
        <f>calcCh2Prod3Slot3PackFitBase+E4107</f>
        <v>0</v>
      </c>
      <c r="F4108" s="23" t="s">
        <v>3603</v>
      </c>
    </row>
    <row r="4110" spans="3:6">
      <c r="C4110" s="198" t="s">
        <v>13872</v>
      </c>
    </row>
    <row r="4111" spans="3:6">
      <c r="C4111" s="198"/>
      <c r="D4111" s="23" t="s">
        <v>3329</v>
      </c>
      <c r="E4111" s="23" t="str">
        <f>decCh2Prod4Slot1Pack</f>
        <v>Select Pack</v>
      </c>
      <c r="F4111" s="23" t="s">
        <v>3604</v>
      </c>
    </row>
    <row r="4112" spans="3:6">
      <c r="D4112" s="23" t="s">
        <v>358</v>
      </c>
      <c r="E4112" s="23">
        <f>VLOOKUP(calcCh2Prod4Slot1Pack,dataPackChFit,3,FALSE)</f>
        <v>0</v>
      </c>
    </row>
    <row r="4113" spans="3:6">
      <c r="D4113" s="23" t="s">
        <v>361</v>
      </c>
      <c r="E4113" s="23">
        <f>VLOOKUP(calcCh2Prod4Slot1Pack,dataPackProdFit,5,FALSE)</f>
        <v>0</v>
      </c>
    </row>
    <row r="4114" spans="3:6" ht="2.25" customHeight="1">
      <c r="D4114" s="197"/>
      <c r="E4114" s="197"/>
    </row>
    <row r="4115" spans="3:6">
      <c r="D4115" s="23" t="s">
        <v>3334</v>
      </c>
      <c r="E4115" s="23">
        <f>E4112+E4113</f>
        <v>0</v>
      </c>
      <c r="F4115" s="23" t="s">
        <v>3605</v>
      </c>
    </row>
    <row r="4118" spans="3:6">
      <c r="D4118" s="23" t="s">
        <v>13843</v>
      </c>
      <c r="E4118" s="23">
        <f>VLOOKUP(calcCh2Prod4Slot1Pack,dataPackSegFit,2,FALSE)</f>
        <v>0</v>
      </c>
    </row>
    <row r="4119" spans="3:6">
      <c r="D4119" s="198" t="s">
        <v>13844</v>
      </c>
      <c r="E4119" s="373">
        <f>calcCh2Prod4Slot1PackFitBase+E4118</f>
        <v>0</v>
      </c>
      <c r="F4119" s="23" t="s">
        <v>3606</v>
      </c>
    </row>
    <row r="4120" spans="3:6">
      <c r="D4120" s="23" t="s">
        <v>13845</v>
      </c>
      <c r="E4120" s="23">
        <f>VLOOKUP(calcCh2Prod4Slot1Pack,dataPackSegFit,3,FALSE)</f>
        <v>0</v>
      </c>
    </row>
    <row r="4121" spans="3:6">
      <c r="D4121" s="198" t="s">
        <v>13846</v>
      </c>
      <c r="E4121" s="373">
        <f>calcCh2Prod4Slot1PackFitBase+E4120</f>
        <v>0</v>
      </c>
      <c r="F4121" s="23" t="s">
        <v>3607</v>
      </c>
    </row>
    <row r="4122" spans="3:6">
      <c r="D4122" s="23" t="s">
        <v>13847</v>
      </c>
      <c r="E4122" s="23">
        <f>VLOOKUP(calcCh2Prod4Slot1Pack,dataPackSegFit,4,FALSE)</f>
        <v>0</v>
      </c>
    </row>
    <row r="4123" spans="3:6">
      <c r="D4123" s="198" t="s">
        <v>13848</v>
      </c>
      <c r="E4123" s="373">
        <f>calcCh2Prod4Slot1PackFitBase+E4122</f>
        <v>0</v>
      </c>
      <c r="F4123" s="23" t="s">
        <v>3608</v>
      </c>
    </row>
    <row r="4124" spans="3:6">
      <c r="D4124" s="23" t="s">
        <v>13849</v>
      </c>
      <c r="E4124" s="23">
        <f>VLOOKUP(calcCh2Prod4Slot1Pack,dataPackSegFit,5,FALSE)</f>
        <v>0</v>
      </c>
    </row>
    <row r="4125" spans="3:6">
      <c r="D4125" s="198" t="s">
        <v>13850</v>
      </c>
      <c r="E4125" s="373">
        <f>calcCh2Prod4Slot1PackFitBase+E4124</f>
        <v>0</v>
      </c>
      <c r="F4125" s="23" t="s">
        <v>3609</v>
      </c>
    </row>
    <row r="4127" spans="3:6">
      <c r="C4127" s="198" t="s">
        <v>13873</v>
      </c>
    </row>
    <row r="4128" spans="3:6">
      <c r="C4128" s="198"/>
      <c r="D4128" s="23" t="s">
        <v>3329</v>
      </c>
      <c r="E4128" s="23" t="str">
        <f>decCh2Prod4Slot2Pack</f>
        <v>Select Pack</v>
      </c>
      <c r="F4128" s="23" t="s">
        <v>3610</v>
      </c>
    </row>
    <row r="4129" spans="3:6">
      <c r="D4129" s="23" t="s">
        <v>358</v>
      </c>
      <c r="E4129" s="23">
        <f>VLOOKUP(calcCh2Prod4Slot2Pack,dataPackChFit,3,FALSE)</f>
        <v>0</v>
      </c>
    </row>
    <row r="4130" spans="3:6">
      <c r="D4130" s="23" t="s">
        <v>361</v>
      </c>
      <c r="E4130" s="23">
        <f>VLOOKUP(calcCh2Prod4Slot2Pack,dataPackProdFit,5,FALSE)</f>
        <v>0</v>
      </c>
    </row>
    <row r="4131" spans="3:6" ht="2.25" customHeight="1">
      <c r="D4131" s="197"/>
      <c r="E4131" s="197"/>
    </row>
    <row r="4132" spans="3:6">
      <c r="D4132" s="23" t="s">
        <v>3334</v>
      </c>
      <c r="E4132" s="23">
        <f>E4129+E4130</f>
        <v>0</v>
      </c>
      <c r="F4132" s="23" t="s">
        <v>3611</v>
      </c>
    </row>
    <row r="4135" spans="3:6">
      <c r="D4135" s="23" t="s">
        <v>13843</v>
      </c>
      <c r="E4135" s="23">
        <f>VLOOKUP(calcCh2Prod4Slot2Pack,dataPackSegFit,2,FALSE)</f>
        <v>0</v>
      </c>
    </row>
    <row r="4136" spans="3:6">
      <c r="D4136" s="198" t="s">
        <v>13844</v>
      </c>
      <c r="E4136" s="373">
        <f>calcCh2Prod4Slot2PackFitBase+E4135</f>
        <v>0</v>
      </c>
      <c r="F4136" s="23" t="s">
        <v>3612</v>
      </c>
    </row>
    <row r="4137" spans="3:6">
      <c r="D4137" s="23" t="s">
        <v>13845</v>
      </c>
      <c r="E4137" s="23">
        <f>VLOOKUP(calcCh2Prod4Slot2Pack,dataPackSegFit,3,FALSE)</f>
        <v>0</v>
      </c>
    </row>
    <row r="4138" spans="3:6">
      <c r="D4138" s="198" t="s">
        <v>13846</v>
      </c>
      <c r="E4138" s="373">
        <f>calcCh2Prod4Slot2PackFitBase+E4137</f>
        <v>0</v>
      </c>
      <c r="F4138" s="23" t="s">
        <v>3613</v>
      </c>
    </row>
    <row r="4139" spans="3:6">
      <c r="D4139" s="23" t="s">
        <v>13847</v>
      </c>
      <c r="E4139" s="23">
        <f>VLOOKUP(calcCh2Prod4Slot2Pack,dataPackSegFit,4,FALSE)</f>
        <v>0</v>
      </c>
    </row>
    <row r="4140" spans="3:6">
      <c r="D4140" s="198" t="s">
        <v>13848</v>
      </c>
      <c r="E4140" s="373">
        <f>calcCh2Prod4Slot2PackFitBase+E4139</f>
        <v>0</v>
      </c>
      <c r="F4140" s="23" t="s">
        <v>3614</v>
      </c>
    </row>
    <row r="4141" spans="3:6">
      <c r="D4141" s="23" t="s">
        <v>13849</v>
      </c>
      <c r="E4141" s="23">
        <f>VLOOKUP(calcCh2Prod4Slot2Pack,dataPackSegFit,5,FALSE)</f>
        <v>0</v>
      </c>
    </row>
    <row r="4142" spans="3:6">
      <c r="D4142" s="198" t="s">
        <v>13850</v>
      </c>
      <c r="E4142" s="373">
        <f>calcCh2Prod4Slot2PackFitBase+E4141</f>
        <v>0</v>
      </c>
      <c r="F4142" s="23" t="s">
        <v>3615</v>
      </c>
    </row>
    <row r="4144" spans="3:6">
      <c r="C4144" s="198" t="s">
        <v>13874</v>
      </c>
    </row>
    <row r="4145" spans="3:6">
      <c r="C4145" s="198"/>
      <c r="D4145" s="23" t="s">
        <v>3329</v>
      </c>
      <c r="E4145" s="23" t="str">
        <f>decCh2Prod4Slot3Pack</f>
        <v>Select Pack</v>
      </c>
      <c r="F4145" s="23" t="s">
        <v>3616</v>
      </c>
    </row>
    <row r="4146" spans="3:6">
      <c r="D4146" s="23" t="s">
        <v>358</v>
      </c>
      <c r="E4146" s="23">
        <f>VLOOKUP(calcCh2Prod4Slot3Pack,dataPackChFit,3,FALSE)</f>
        <v>0</v>
      </c>
    </row>
    <row r="4147" spans="3:6">
      <c r="D4147" s="23" t="s">
        <v>361</v>
      </c>
      <c r="E4147" s="23">
        <f>VLOOKUP(calcCh2Prod4Slot3Pack,dataPackProdFit,5,FALSE)</f>
        <v>0</v>
      </c>
    </row>
    <row r="4148" spans="3:6" ht="2.25" customHeight="1">
      <c r="D4148" s="197"/>
      <c r="E4148" s="197"/>
    </row>
    <row r="4149" spans="3:6">
      <c r="D4149" s="23" t="s">
        <v>3334</v>
      </c>
      <c r="E4149" s="23">
        <f>E4146+E4147</f>
        <v>0</v>
      </c>
      <c r="F4149" s="23" t="s">
        <v>3617</v>
      </c>
    </row>
    <row r="4152" spans="3:6">
      <c r="D4152" s="23" t="s">
        <v>13843</v>
      </c>
      <c r="E4152" s="23">
        <f>VLOOKUP(calcCh2Prod4Slot3Pack,dataPackSegFit,2,FALSE)</f>
        <v>0</v>
      </c>
    </row>
    <row r="4153" spans="3:6">
      <c r="D4153" s="198" t="s">
        <v>13844</v>
      </c>
      <c r="E4153" s="373">
        <f>calcCh2Prod4Slot3PackFitBase+E4152</f>
        <v>0</v>
      </c>
      <c r="F4153" s="23" t="s">
        <v>3618</v>
      </c>
    </row>
    <row r="4154" spans="3:6">
      <c r="D4154" s="23" t="s">
        <v>13845</v>
      </c>
      <c r="E4154" s="23">
        <f>VLOOKUP(calcCh2Prod4Slot3Pack,dataPackSegFit,3,FALSE)</f>
        <v>0</v>
      </c>
    </row>
    <row r="4155" spans="3:6">
      <c r="D4155" s="198" t="s">
        <v>13846</v>
      </c>
      <c r="E4155" s="373">
        <f>calcCh2Prod4Slot3PackFitBase+E4154</f>
        <v>0</v>
      </c>
      <c r="F4155" s="23" t="s">
        <v>3619</v>
      </c>
    </row>
    <row r="4156" spans="3:6">
      <c r="D4156" s="23" t="s">
        <v>13847</v>
      </c>
      <c r="E4156" s="23">
        <f>VLOOKUP(calcCh2Prod4Slot3Pack,dataPackSegFit,4,FALSE)</f>
        <v>0</v>
      </c>
    </row>
    <row r="4157" spans="3:6">
      <c r="D4157" s="198" t="s">
        <v>13848</v>
      </c>
      <c r="E4157" s="373">
        <f>calcCh2Prod4Slot3PackFitBase+E4156</f>
        <v>0</v>
      </c>
      <c r="F4157" s="23" t="s">
        <v>3620</v>
      </c>
    </row>
    <row r="4158" spans="3:6">
      <c r="D4158" s="23" t="s">
        <v>13849</v>
      </c>
      <c r="E4158" s="23">
        <f>VLOOKUP(calcCh2Prod4Slot3Pack,dataPackSegFit,5,FALSE)</f>
        <v>0</v>
      </c>
    </row>
    <row r="4159" spans="3:6">
      <c r="D4159" s="198" t="s">
        <v>13850</v>
      </c>
      <c r="E4159" s="373">
        <f>calcCh2Prod4Slot3PackFitBase+E4158</f>
        <v>0</v>
      </c>
      <c r="F4159" s="23" t="s">
        <v>3621</v>
      </c>
    </row>
    <row r="4160" spans="3:6">
      <c r="D4160" s="198"/>
      <c r="E4160" s="198"/>
      <c r="F4160" s="198"/>
    </row>
    <row r="4161" spans="1:6" s="81" customFormat="1">
      <c r="A4161" s="81" t="s">
        <v>13875</v>
      </c>
    </row>
    <row r="4163" spans="1:6">
      <c r="C4163" s="198" t="s">
        <v>13876</v>
      </c>
    </row>
    <row r="4164" spans="1:6">
      <c r="C4164" s="198"/>
      <c r="D4164" s="23" t="s">
        <v>3329</v>
      </c>
      <c r="E4164" s="23" t="str">
        <f>decCh3Prod1Slot1Pack</f>
        <v>24 x 33cl Can</v>
      </c>
      <c r="F4164" s="23" t="s">
        <v>3478</v>
      </c>
    </row>
    <row r="4165" spans="1:6">
      <c r="D4165" s="23" t="s">
        <v>358</v>
      </c>
      <c r="E4165" s="23">
        <f>VLOOKUP(calcCh3Prod1Slot1Pack,dataPackChFit,4,FALSE)</f>
        <v>6</v>
      </c>
    </row>
    <row r="4166" spans="1:6">
      <c r="D4166" s="23" t="s">
        <v>361</v>
      </c>
      <c r="E4166" s="23">
        <f>VLOOKUP(calcCh3Prod1Slot1Pack,dataPackProdFit,2,FALSE)</f>
        <v>3</v>
      </c>
    </row>
    <row r="4167" spans="1:6" ht="2.25" customHeight="1">
      <c r="D4167" s="197"/>
      <c r="E4167" s="197"/>
    </row>
    <row r="4168" spans="1:6">
      <c r="D4168" s="23" t="s">
        <v>3334</v>
      </c>
      <c r="E4168" s="23">
        <f>E4165+E4166</f>
        <v>9</v>
      </c>
      <c r="F4168" s="23" t="s">
        <v>3479</v>
      </c>
    </row>
    <row r="4171" spans="1:6">
      <c r="D4171" s="23" t="s">
        <v>13843</v>
      </c>
      <c r="E4171" s="23">
        <f>VLOOKUP(calcCh3Prod1Slot1Pack,dataPackSegFit,2,FALSE)</f>
        <v>5</v>
      </c>
    </row>
    <row r="4172" spans="1:6">
      <c r="D4172" s="198" t="s">
        <v>13844</v>
      </c>
      <c r="E4172" s="373">
        <f>calcCh3Prod1Slot1PackFitBase+E4171</f>
        <v>14</v>
      </c>
      <c r="F4172" s="23" t="s">
        <v>3480</v>
      </c>
    </row>
    <row r="4173" spans="1:6">
      <c r="D4173" s="23" t="s">
        <v>13845</v>
      </c>
      <c r="E4173" s="23">
        <f>VLOOKUP(calcCh3Prod1Slot1Pack,dataPackSegFit,3,FALSE)</f>
        <v>15</v>
      </c>
    </row>
    <row r="4174" spans="1:6">
      <c r="D4174" s="198" t="s">
        <v>13846</v>
      </c>
      <c r="E4174" s="373">
        <f>calcCh3Prod1Slot1PackFitBase+E4173</f>
        <v>24</v>
      </c>
      <c r="F4174" s="23" t="s">
        <v>3481</v>
      </c>
    </row>
    <row r="4175" spans="1:6">
      <c r="D4175" s="23" t="s">
        <v>13847</v>
      </c>
      <c r="E4175" s="23">
        <f>VLOOKUP(calcCh3Prod1Slot1Pack,dataPackSegFit,4,FALSE)</f>
        <v>25</v>
      </c>
    </row>
    <row r="4176" spans="1:6">
      <c r="D4176" s="198" t="s">
        <v>13848</v>
      </c>
      <c r="E4176" s="373">
        <f>calcCh3Prod1Slot1PackFitBase+E4175</f>
        <v>34</v>
      </c>
      <c r="F4176" s="23" t="s">
        <v>3482</v>
      </c>
    </row>
    <row r="4177" spans="3:6">
      <c r="D4177" s="23" t="s">
        <v>13849</v>
      </c>
      <c r="E4177" s="23">
        <f>VLOOKUP(calcCh3Prod1Slot1Pack,dataPackSegFit,5,FALSE)</f>
        <v>15</v>
      </c>
    </row>
    <row r="4178" spans="3:6">
      <c r="D4178" s="198" t="s">
        <v>13850</v>
      </c>
      <c r="E4178" s="373">
        <f>calcCh3Prod1Slot1PackFitBase+E4177</f>
        <v>24</v>
      </c>
      <c r="F4178" s="23" t="s">
        <v>3483</v>
      </c>
    </row>
    <row r="4180" spans="3:6">
      <c r="C4180" s="198" t="s">
        <v>13877</v>
      </c>
    </row>
    <row r="4181" spans="3:6">
      <c r="C4181" s="198"/>
      <c r="D4181" s="23" t="s">
        <v>3329</v>
      </c>
      <c r="E4181" s="23" t="str">
        <f>decCh3Prod1Slot2Pack</f>
        <v>Select Pack</v>
      </c>
      <c r="F4181" s="23" t="s">
        <v>3484</v>
      </c>
    </row>
    <row r="4182" spans="3:6">
      <c r="D4182" s="23" t="s">
        <v>358</v>
      </c>
      <c r="E4182" s="23">
        <f>VLOOKUP(calcCh3Prod1Slot2Pack,dataPackChFit,4,FALSE)</f>
        <v>0</v>
      </c>
    </row>
    <row r="4183" spans="3:6">
      <c r="D4183" s="23" t="s">
        <v>361</v>
      </c>
      <c r="E4183" s="23">
        <f>VLOOKUP(calcCh3Prod1Slot2Pack,dataPackProdFit,2,FALSE)</f>
        <v>0</v>
      </c>
    </row>
    <row r="4184" spans="3:6" ht="2.25" customHeight="1">
      <c r="D4184" s="197"/>
      <c r="E4184" s="197"/>
    </row>
    <row r="4185" spans="3:6">
      <c r="D4185" s="23" t="s">
        <v>3334</v>
      </c>
      <c r="E4185" s="23">
        <f>E4182+E4183</f>
        <v>0</v>
      </c>
      <c r="F4185" s="23" t="s">
        <v>3485</v>
      </c>
    </row>
    <row r="4188" spans="3:6">
      <c r="D4188" s="23" t="s">
        <v>13843</v>
      </c>
      <c r="E4188" s="23">
        <f>VLOOKUP(calcCh3Prod1Slot2Pack,dataPackSegFit,2,FALSE)</f>
        <v>0</v>
      </c>
    </row>
    <row r="4189" spans="3:6">
      <c r="D4189" s="198" t="s">
        <v>13844</v>
      </c>
      <c r="E4189" s="373">
        <f>calcCh3Prod1Slot2PackFitBase+E4188</f>
        <v>0</v>
      </c>
      <c r="F4189" s="23" t="s">
        <v>3486</v>
      </c>
    </row>
    <row r="4190" spans="3:6">
      <c r="D4190" s="23" t="s">
        <v>13845</v>
      </c>
      <c r="E4190" s="23">
        <f>VLOOKUP(calcCh3Prod1Slot2Pack,dataPackSegFit,3,FALSE)</f>
        <v>0</v>
      </c>
    </row>
    <row r="4191" spans="3:6">
      <c r="D4191" s="198" t="s">
        <v>13846</v>
      </c>
      <c r="E4191" s="373">
        <f>calcCh3Prod1Slot2PackFitBase+E4190</f>
        <v>0</v>
      </c>
      <c r="F4191" s="23" t="s">
        <v>3487</v>
      </c>
    </row>
    <row r="4192" spans="3:6">
      <c r="D4192" s="23" t="s">
        <v>13847</v>
      </c>
      <c r="E4192" s="23">
        <f>VLOOKUP(calcCh3Prod1Slot2Pack,dataPackSegFit,4,FALSE)</f>
        <v>0</v>
      </c>
    </row>
    <row r="4193" spans="3:6">
      <c r="D4193" s="198" t="s">
        <v>13848</v>
      </c>
      <c r="E4193" s="373">
        <f>calcCh3Prod1Slot2PackFitBase+E4192</f>
        <v>0</v>
      </c>
      <c r="F4193" s="23" t="s">
        <v>3488</v>
      </c>
    </row>
    <row r="4194" spans="3:6">
      <c r="D4194" s="23" t="s">
        <v>13849</v>
      </c>
      <c r="E4194" s="23">
        <f>VLOOKUP(calcCh3Prod1Slot2Pack,dataPackSegFit,5,FALSE)</f>
        <v>0</v>
      </c>
    </row>
    <row r="4195" spans="3:6">
      <c r="D4195" s="198" t="s">
        <v>13850</v>
      </c>
      <c r="E4195" s="373">
        <f>calcCh3Prod1Slot2PackFitBase+E4194</f>
        <v>0</v>
      </c>
      <c r="F4195" s="23" t="s">
        <v>3489</v>
      </c>
    </row>
    <row r="4197" spans="3:6">
      <c r="C4197" s="198" t="s">
        <v>13878</v>
      </c>
    </row>
    <row r="4198" spans="3:6">
      <c r="C4198" s="198"/>
      <c r="D4198" s="23" t="s">
        <v>3329</v>
      </c>
      <c r="E4198" s="23" t="str">
        <f>decCh3Prod1Slot3Pack</f>
        <v>Select Pack</v>
      </c>
      <c r="F4198" s="23" t="s">
        <v>3490</v>
      </c>
    </row>
    <row r="4199" spans="3:6">
      <c r="D4199" s="23" t="s">
        <v>358</v>
      </c>
      <c r="E4199" s="23">
        <f>VLOOKUP(calcCh3Prod1Slot3Pack,dataPackChFit,4,FALSE)</f>
        <v>0</v>
      </c>
    </row>
    <row r="4200" spans="3:6">
      <c r="D4200" s="23" t="s">
        <v>361</v>
      </c>
      <c r="E4200" s="23">
        <f>VLOOKUP(calcCh3Prod1Slot3Pack,dataPackProdFit,2,FALSE)</f>
        <v>0</v>
      </c>
    </row>
    <row r="4201" spans="3:6" ht="2.25" customHeight="1">
      <c r="D4201" s="197"/>
      <c r="E4201" s="197"/>
    </row>
    <row r="4202" spans="3:6">
      <c r="D4202" s="23" t="s">
        <v>3334</v>
      </c>
      <c r="E4202" s="23">
        <f>E4199+E4200</f>
        <v>0</v>
      </c>
      <c r="F4202" s="23" t="s">
        <v>3491</v>
      </c>
    </row>
    <row r="4205" spans="3:6">
      <c r="D4205" s="23" t="s">
        <v>13843</v>
      </c>
      <c r="E4205" s="23">
        <f>VLOOKUP(calcCh3Prod1Slot3Pack,dataPackSegFit,2,FALSE)</f>
        <v>0</v>
      </c>
    </row>
    <row r="4206" spans="3:6">
      <c r="D4206" s="198" t="s">
        <v>13844</v>
      </c>
      <c r="E4206" s="373">
        <f>calcCh3Prod1Slot3PackFitBase+E4205</f>
        <v>0</v>
      </c>
      <c r="F4206" s="23" t="s">
        <v>3492</v>
      </c>
    </row>
    <row r="4207" spans="3:6">
      <c r="D4207" s="23" t="s">
        <v>13845</v>
      </c>
      <c r="E4207" s="23">
        <f>VLOOKUP(calcCh3Prod1Slot3Pack,dataPackSegFit,3,FALSE)</f>
        <v>0</v>
      </c>
    </row>
    <row r="4208" spans="3:6">
      <c r="D4208" s="198" t="s">
        <v>13846</v>
      </c>
      <c r="E4208" s="373">
        <f>calcCh3Prod1Slot3PackFitBase+E4207</f>
        <v>0</v>
      </c>
      <c r="F4208" s="23" t="s">
        <v>3493</v>
      </c>
    </row>
    <row r="4209" spans="3:6">
      <c r="D4209" s="23" t="s">
        <v>13847</v>
      </c>
      <c r="E4209" s="23">
        <f>VLOOKUP(calcCh3Prod1Slot3Pack,dataPackSegFit,4,FALSE)</f>
        <v>0</v>
      </c>
    </row>
    <row r="4210" spans="3:6">
      <c r="D4210" s="198" t="s">
        <v>13848</v>
      </c>
      <c r="E4210" s="373">
        <f>calcCh3Prod1Slot3PackFitBase+E4209</f>
        <v>0</v>
      </c>
      <c r="F4210" s="23" t="s">
        <v>3494</v>
      </c>
    </row>
    <row r="4211" spans="3:6">
      <c r="D4211" s="23" t="s">
        <v>13849</v>
      </c>
      <c r="E4211" s="23">
        <f>VLOOKUP(calcCh3Prod1Slot3Pack,dataPackSegFit,5,FALSE)</f>
        <v>0</v>
      </c>
    </row>
    <row r="4212" spans="3:6">
      <c r="D4212" s="198" t="s">
        <v>13850</v>
      </c>
      <c r="E4212" s="373">
        <f>calcCh3Prod1Slot3PackFitBase+E4211</f>
        <v>0</v>
      </c>
      <c r="F4212" s="23" t="s">
        <v>3495</v>
      </c>
    </row>
    <row r="4214" spans="3:6">
      <c r="C4214" s="198" t="s">
        <v>13879</v>
      </c>
    </row>
    <row r="4215" spans="3:6">
      <c r="C4215" s="198"/>
      <c r="D4215" s="23" t="s">
        <v>3329</v>
      </c>
      <c r="E4215" s="23" t="str">
        <f>decCh3Prod2Slot1Pack</f>
        <v>33cl Can</v>
      </c>
      <c r="F4215" s="23" t="s">
        <v>3496</v>
      </c>
    </row>
    <row r="4216" spans="3:6">
      <c r="D4216" s="23" t="s">
        <v>358</v>
      </c>
      <c r="E4216" s="23">
        <f>VLOOKUP(calcCh3Prod2Slot1Pack,dataPackChFit,4,FALSE)</f>
        <v>9</v>
      </c>
    </row>
    <row r="4217" spans="3:6">
      <c r="D4217" s="23" t="s">
        <v>361</v>
      </c>
      <c r="E4217" s="23">
        <f>VLOOKUP(calcCh3Prod2Slot1Pack,dataPackProdFit,3,FALSE)</f>
        <v>3</v>
      </c>
    </row>
    <row r="4218" spans="3:6" ht="2.25" customHeight="1">
      <c r="D4218" s="197"/>
      <c r="E4218" s="197"/>
    </row>
    <row r="4219" spans="3:6">
      <c r="D4219" s="23" t="s">
        <v>3334</v>
      </c>
      <c r="E4219" s="23">
        <f>E4216+E4217</f>
        <v>12</v>
      </c>
      <c r="F4219" s="23" t="s">
        <v>3497</v>
      </c>
    </row>
    <row r="4222" spans="3:6">
      <c r="D4222" s="23" t="s">
        <v>13843</v>
      </c>
      <c r="E4222" s="23">
        <f>VLOOKUP(calcCh3Prod2Slot1Pack,dataPackSegFit,2,FALSE)</f>
        <v>15</v>
      </c>
    </row>
    <row r="4223" spans="3:6">
      <c r="D4223" s="198" t="s">
        <v>13844</v>
      </c>
      <c r="E4223" s="373">
        <f>calcCh3Prod2Slot1PackFitBase+E4222</f>
        <v>27</v>
      </c>
      <c r="F4223" s="23" t="s">
        <v>3498</v>
      </c>
    </row>
    <row r="4224" spans="3:6">
      <c r="D4224" s="23" t="s">
        <v>13845</v>
      </c>
      <c r="E4224" s="23">
        <f>VLOOKUP(calcCh3Prod2Slot1Pack,dataPackSegFit,3,FALSE)</f>
        <v>20</v>
      </c>
    </row>
    <row r="4225" spans="3:6">
      <c r="D4225" s="198" t="s">
        <v>13846</v>
      </c>
      <c r="E4225" s="373">
        <f>calcCh3Prod2Slot1PackFitBase+E4224</f>
        <v>32</v>
      </c>
      <c r="F4225" s="23" t="s">
        <v>3499</v>
      </c>
    </row>
    <row r="4226" spans="3:6">
      <c r="D4226" s="23" t="s">
        <v>13847</v>
      </c>
      <c r="E4226" s="23">
        <f>VLOOKUP(calcCh3Prod2Slot1Pack,dataPackSegFit,4,FALSE)</f>
        <v>10</v>
      </c>
    </row>
    <row r="4227" spans="3:6">
      <c r="D4227" s="198" t="s">
        <v>13848</v>
      </c>
      <c r="E4227" s="373">
        <f>calcCh3Prod2Slot1PackFitBase+E4226</f>
        <v>22</v>
      </c>
      <c r="F4227" s="23" t="s">
        <v>3500</v>
      </c>
    </row>
    <row r="4228" spans="3:6">
      <c r="D4228" s="23" t="s">
        <v>13849</v>
      </c>
      <c r="E4228" s="23">
        <f>VLOOKUP(calcCh3Prod2Slot1Pack,dataPackSegFit,5,FALSE)</f>
        <v>15</v>
      </c>
    </row>
    <row r="4229" spans="3:6">
      <c r="D4229" s="198" t="s">
        <v>13850</v>
      </c>
      <c r="E4229" s="373">
        <f>calcCh3Prod2Slot1PackFitBase+E4228</f>
        <v>27</v>
      </c>
      <c r="F4229" s="23" t="s">
        <v>3501</v>
      </c>
    </row>
    <row r="4231" spans="3:6">
      <c r="C4231" s="198" t="s">
        <v>13880</v>
      </c>
    </row>
    <row r="4232" spans="3:6">
      <c r="C4232" s="198"/>
      <c r="D4232" s="23" t="s">
        <v>3329</v>
      </c>
      <c r="E4232" s="23" t="str">
        <f>decCh3Prod2Slot2Pack</f>
        <v>6 x 33cl Can</v>
      </c>
      <c r="F4232" s="23" t="s">
        <v>3502</v>
      </c>
    </row>
    <row r="4233" spans="3:6">
      <c r="D4233" s="23" t="s">
        <v>358</v>
      </c>
      <c r="E4233" s="23">
        <f>VLOOKUP(calcCh3Prod2Slot2Pack,dataPackChFit,4,FALSE)</f>
        <v>15</v>
      </c>
    </row>
    <row r="4234" spans="3:6">
      <c r="D4234" s="23" t="s">
        <v>361</v>
      </c>
      <c r="E4234" s="23">
        <f>VLOOKUP(calcCh3Prod2Slot2Pack,dataPackProdFit,3,FALSE)</f>
        <v>3</v>
      </c>
    </row>
    <row r="4235" spans="3:6" ht="2.25" customHeight="1">
      <c r="D4235" s="197"/>
      <c r="E4235" s="197"/>
    </row>
    <row r="4236" spans="3:6">
      <c r="D4236" s="23" t="s">
        <v>3334</v>
      </c>
      <c r="E4236" s="23">
        <f>E4233+E4234</f>
        <v>18</v>
      </c>
      <c r="F4236" s="23" t="s">
        <v>3503</v>
      </c>
    </row>
    <row r="4239" spans="3:6">
      <c r="D4239" s="23" t="s">
        <v>13843</v>
      </c>
      <c r="E4239" s="23">
        <f>VLOOKUP(calcCh3Prod2Slot2Pack,dataPackSegFit,2,FALSE)</f>
        <v>15</v>
      </c>
    </row>
    <row r="4240" spans="3:6">
      <c r="D4240" s="198" t="s">
        <v>13844</v>
      </c>
      <c r="E4240" s="373">
        <f>calcCh3Prod2Slot2PackFitBase+E4239</f>
        <v>33</v>
      </c>
      <c r="F4240" s="23" t="s">
        <v>3504</v>
      </c>
    </row>
    <row r="4241" spans="3:6">
      <c r="D4241" s="23" t="s">
        <v>13845</v>
      </c>
      <c r="E4241" s="23">
        <f>VLOOKUP(calcCh3Prod2Slot2Pack,dataPackSegFit,3,FALSE)</f>
        <v>20</v>
      </c>
    </row>
    <row r="4242" spans="3:6">
      <c r="D4242" s="198" t="s">
        <v>13846</v>
      </c>
      <c r="E4242" s="373">
        <f>calcCh3Prod2Slot2PackFitBase+E4241</f>
        <v>38</v>
      </c>
      <c r="F4242" s="23" t="s">
        <v>3505</v>
      </c>
    </row>
    <row r="4243" spans="3:6">
      <c r="D4243" s="23" t="s">
        <v>13847</v>
      </c>
      <c r="E4243" s="23">
        <f>VLOOKUP(calcCh3Prod2Slot2Pack,dataPackSegFit,4,FALSE)</f>
        <v>15</v>
      </c>
    </row>
    <row r="4244" spans="3:6">
      <c r="D4244" s="198" t="s">
        <v>13848</v>
      </c>
      <c r="E4244" s="373">
        <f>calcCh3Prod2Slot2PackFitBase+E4243</f>
        <v>33</v>
      </c>
      <c r="F4244" s="23" t="s">
        <v>3506</v>
      </c>
    </row>
    <row r="4245" spans="3:6">
      <c r="D4245" s="23" t="s">
        <v>13849</v>
      </c>
      <c r="E4245" s="23">
        <f>VLOOKUP(calcCh3Prod2Slot2Pack,dataPackSegFit,5,FALSE)</f>
        <v>20</v>
      </c>
    </row>
    <row r="4246" spans="3:6">
      <c r="D4246" s="198" t="s">
        <v>13850</v>
      </c>
      <c r="E4246" s="373">
        <f>calcCh3Prod2Slot2PackFitBase+E4245</f>
        <v>38</v>
      </c>
      <c r="F4246" s="23" t="s">
        <v>3507</v>
      </c>
    </row>
    <row r="4248" spans="3:6">
      <c r="C4248" s="198" t="s">
        <v>13881</v>
      </c>
    </row>
    <row r="4249" spans="3:6">
      <c r="C4249" s="198"/>
      <c r="D4249" s="23" t="s">
        <v>3329</v>
      </c>
      <c r="E4249" s="23" t="str">
        <f>decCh3Prod2Slot3Pack</f>
        <v>Select Pack</v>
      </c>
      <c r="F4249" s="23" t="s">
        <v>3508</v>
      </c>
    </row>
    <row r="4250" spans="3:6">
      <c r="D4250" s="23" t="s">
        <v>358</v>
      </c>
      <c r="E4250" s="23">
        <f>VLOOKUP(calcCh3Prod2Slot3Pack,dataPackChFit,4,FALSE)</f>
        <v>0</v>
      </c>
    </row>
    <row r="4251" spans="3:6">
      <c r="D4251" s="23" t="s">
        <v>361</v>
      </c>
      <c r="E4251" s="23">
        <f>VLOOKUP(calcCh3Prod2Slot3Pack,dataPackProdFit,3,FALSE)</f>
        <v>0</v>
      </c>
    </row>
    <row r="4252" spans="3:6" ht="2.25" customHeight="1">
      <c r="D4252" s="197"/>
      <c r="E4252" s="197"/>
    </row>
    <row r="4253" spans="3:6">
      <c r="D4253" s="23" t="s">
        <v>3334</v>
      </c>
      <c r="E4253" s="23">
        <f>E4250+E4251</f>
        <v>0</v>
      </c>
      <c r="F4253" s="23" t="s">
        <v>3509</v>
      </c>
    </row>
    <row r="4256" spans="3:6">
      <c r="D4256" s="23" t="s">
        <v>13843</v>
      </c>
      <c r="E4256" s="23">
        <f>VLOOKUP(calcCh3Prod2Slot3Pack,dataPackSegFit,2,FALSE)</f>
        <v>0</v>
      </c>
    </row>
    <row r="4257" spans="3:6">
      <c r="D4257" s="198" t="s">
        <v>13844</v>
      </c>
      <c r="E4257" s="373">
        <f>calcCh3Prod2Slot3PackFitBase+E4256</f>
        <v>0</v>
      </c>
      <c r="F4257" s="23" t="s">
        <v>3510</v>
      </c>
    </row>
    <row r="4258" spans="3:6">
      <c r="D4258" s="23" t="s">
        <v>13845</v>
      </c>
      <c r="E4258" s="23">
        <f>VLOOKUP(calcCh3Prod2Slot3Pack,dataPackSegFit,3,FALSE)</f>
        <v>0</v>
      </c>
    </row>
    <row r="4259" spans="3:6">
      <c r="D4259" s="198" t="s">
        <v>13846</v>
      </c>
      <c r="E4259" s="373">
        <f>calcCh3Prod2Slot3PackFitBase+E4258</f>
        <v>0</v>
      </c>
      <c r="F4259" s="23" t="s">
        <v>3511</v>
      </c>
    </row>
    <row r="4260" spans="3:6">
      <c r="D4260" s="23" t="s">
        <v>13847</v>
      </c>
      <c r="E4260" s="23">
        <f>VLOOKUP(calcCh3Prod2Slot3Pack,dataPackSegFit,4,FALSE)</f>
        <v>0</v>
      </c>
    </row>
    <row r="4261" spans="3:6">
      <c r="D4261" s="198" t="s">
        <v>13848</v>
      </c>
      <c r="E4261" s="373">
        <f>calcCh3Prod2Slot3PackFitBase+E4260</f>
        <v>0</v>
      </c>
      <c r="F4261" s="23" t="s">
        <v>3512</v>
      </c>
    </row>
    <row r="4262" spans="3:6">
      <c r="D4262" s="23" t="s">
        <v>13849</v>
      </c>
      <c r="E4262" s="23">
        <f>VLOOKUP(calcCh3Prod2Slot3Pack,dataPackSegFit,5,FALSE)</f>
        <v>0</v>
      </c>
    </row>
    <row r="4263" spans="3:6">
      <c r="D4263" s="198" t="s">
        <v>13850</v>
      </c>
      <c r="E4263" s="373">
        <f>calcCh3Prod2Slot3PackFitBase+E4262</f>
        <v>0</v>
      </c>
      <c r="F4263" s="23" t="s">
        <v>3513</v>
      </c>
    </row>
    <row r="4265" spans="3:6">
      <c r="C4265" s="198" t="s">
        <v>13882</v>
      </c>
    </row>
    <row r="4266" spans="3:6">
      <c r="C4266" s="198"/>
      <c r="D4266" s="23" t="s">
        <v>3329</v>
      </c>
      <c r="E4266" s="23" t="str">
        <f>decCh3Prod3Slot1Pack</f>
        <v>33cl Bottle</v>
      </c>
      <c r="F4266" s="23" t="s">
        <v>3514</v>
      </c>
    </row>
    <row r="4267" spans="3:6">
      <c r="D4267" s="23" t="s">
        <v>358</v>
      </c>
      <c r="E4267" s="23">
        <f>VLOOKUP(calcCh3Prod3Slot1Pack,dataPackChFit,4,FALSE)</f>
        <v>15</v>
      </c>
    </row>
    <row r="4268" spans="3:6">
      <c r="D4268" s="23" t="s">
        <v>361</v>
      </c>
      <c r="E4268" s="23">
        <f>VLOOKUP(calcCh3Prod3Slot1Pack,dataPackProdFit,4,FALSE)</f>
        <v>4</v>
      </c>
    </row>
    <row r="4269" spans="3:6" ht="2.25" customHeight="1">
      <c r="D4269" s="197"/>
      <c r="E4269" s="197"/>
    </row>
    <row r="4270" spans="3:6">
      <c r="D4270" s="23" t="s">
        <v>3334</v>
      </c>
      <c r="E4270" s="23">
        <f>E4267+E4268</f>
        <v>19</v>
      </c>
      <c r="F4270" s="23" t="s">
        <v>3515</v>
      </c>
    </row>
    <row r="4273" spans="3:6">
      <c r="D4273" s="23" t="s">
        <v>13843</v>
      </c>
      <c r="E4273" s="23">
        <f>VLOOKUP(calcCh3Prod3Slot1Pack,dataPackSegFit,2,FALSE)</f>
        <v>25</v>
      </c>
    </row>
    <row r="4274" spans="3:6">
      <c r="D4274" s="198" t="s">
        <v>13844</v>
      </c>
      <c r="E4274" s="373">
        <f>calcCh3Prod3Slot1PackFitBase+E4273</f>
        <v>44</v>
      </c>
      <c r="F4274" s="23" t="s">
        <v>3516</v>
      </c>
    </row>
    <row r="4275" spans="3:6">
      <c r="D4275" s="23" t="s">
        <v>13845</v>
      </c>
      <c r="E4275" s="23">
        <f>VLOOKUP(calcCh3Prod3Slot1Pack,dataPackSegFit,3,FALSE)</f>
        <v>25</v>
      </c>
    </row>
    <row r="4276" spans="3:6">
      <c r="D4276" s="198" t="s">
        <v>13846</v>
      </c>
      <c r="E4276" s="373">
        <f>calcCh3Prod3Slot1PackFitBase+E4275</f>
        <v>44</v>
      </c>
      <c r="F4276" s="23" t="s">
        <v>3517</v>
      </c>
    </row>
    <row r="4277" spans="3:6">
      <c r="D4277" s="23" t="s">
        <v>13847</v>
      </c>
      <c r="E4277" s="23">
        <f>VLOOKUP(calcCh3Prod3Slot1Pack,dataPackSegFit,4,FALSE)</f>
        <v>10</v>
      </c>
    </row>
    <row r="4278" spans="3:6">
      <c r="D4278" s="198" t="s">
        <v>13848</v>
      </c>
      <c r="E4278" s="373">
        <f>calcCh3Prod3Slot1PackFitBase+E4277</f>
        <v>29</v>
      </c>
      <c r="F4278" s="23" t="s">
        <v>3518</v>
      </c>
    </row>
    <row r="4279" spans="3:6">
      <c r="D4279" s="23" t="s">
        <v>13849</v>
      </c>
      <c r="E4279" s="23">
        <f>VLOOKUP(calcCh3Prod3Slot1Pack,dataPackSegFit,5,FALSE)</f>
        <v>25</v>
      </c>
    </row>
    <row r="4280" spans="3:6">
      <c r="D4280" s="198" t="s">
        <v>13850</v>
      </c>
      <c r="E4280" s="373">
        <f>calcCh3Prod3Slot1PackFitBase+E4279</f>
        <v>44</v>
      </c>
      <c r="F4280" s="23" t="s">
        <v>3519</v>
      </c>
    </row>
    <row r="4282" spans="3:6">
      <c r="C4282" s="198" t="s">
        <v>13883</v>
      </c>
    </row>
    <row r="4283" spans="3:6">
      <c r="C4283" s="198"/>
      <c r="D4283" s="23" t="s">
        <v>3329</v>
      </c>
      <c r="E4283" s="23" t="str">
        <f>decCh3Prod3Slot2Pack</f>
        <v>Select Pack</v>
      </c>
      <c r="F4283" s="23" t="s">
        <v>3520</v>
      </c>
    </row>
    <row r="4284" spans="3:6">
      <c r="D4284" s="23" t="s">
        <v>358</v>
      </c>
      <c r="E4284" s="23">
        <f>VLOOKUP(calcCh3Prod3Slot2Pack,dataPackChFit,4,FALSE)</f>
        <v>0</v>
      </c>
    </row>
    <row r="4285" spans="3:6">
      <c r="D4285" s="23" t="s">
        <v>361</v>
      </c>
      <c r="E4285" s="23">
        <f>VLOOKUP(calcCh3Prod3Slot2Pack,dataPackProdFit,4,FALSE)</f>
        <v>0</v>
      </c>
    </row>
    <row r="4286" spans="3:6" ht="2.25" customHeight="1">
      <c r="D4286" s="197"/>
      <c r="E4286" s="197"/>
    </row>
    <row r="4287" spans="3:6">
      <c r="D4287" s="23" t="s">
        <v>3334</v>
      </c>
      <c r="E4287" s="23">
        <f>E4284+E4285</f>
        <v>0</v>
      </c>
      <c r="F4287" s="23" t="s">
        <v>3521</v>
      </c>
    </row>
    <row r="4290" spans="3:6">
      <c r="D4290" s="23" t="s">
        <v>13843</v>
      </c>
      <c r="E4290" s="23">
        <f>VLOOKUP(calcCh3Prod3Slot2Pack,dataPackSegFit,2,FALSE)</f>
        <v>0</v>
      </c>
    </row>
    <row r="4291" spans="3:6">
      <c r="D4291" s="198" t="s">
        <v>13844</v>
      </c>
      <c r="E4291" s="373">
        <f>calcCh3Prod3Slot2PackFitBase+E4290</f>
        <v>0</v>
      </c>
      <c r="F4291" s="23" t="s">
        <v>3522</v>
      </c>
    </row>
    <row r="4292" spans="3:6">
      <c r="D4292" s="23" t="s">
        <v>13845</v>
      </c>
      <c r="E4292" s="23">
        <f>VLOOKUP(calcCh3Prod3Slot2Pack,dataPackSegFit,3,FALSE)</f>
        <v>0</v>
      </c>
    </row>
    <row r="4293" spans="3:6">
      <c r="D4293" s="198" t="s">
        <v>13846</v>
      </c>
      <c r="E4293" s="373">
        <f>calcCh3Prod3Slot2PackFitBase+E4292</f>
        <v>0</v>
      </c>
      <c r="F4293" s="23" t="s">
        <v>3523</v>
      </c>
    </row>
    <row r="4294" spans="3:6">
      <c r="D4294" s="23" t="s">
        <v>13847</v>
      </c>
      <c r="E4294" s="23">
        <f>VLOOKUP(calcCh3Prod3Slot2Pack,dataPackSegFit,4,FALSE)</f>
        <v>0</v>
      </c>
    </row>
    <row r="4295" spans="3:6">
      <c r="D4295" s="198" t="s">
        <v>13848</v>
      </c>
      <c r="E4295" s="373">
        <f>calcCh3Prod3Slot2PackFitBase+E4294</f>
        <v>0</v>
      </c>
      <c r="F4295" s="23" t="s">
        <v>3524</v>
      </c>
    </row>
    <row r="4296" spans="3:6">
      <c r="D4296" s="23" t="s">
        <v>13849</v>
      </c>
      <c r="E4296" s="23">
        <f>VLOOKUP(calcCh3Prod3Slot2Pack,dataPackSegFit,5,FALSE)</f>
        <v>0</v>
      </c>
    </row>
    <row r="4297" spans="3:6">
      <c r="D4297" s="198" t="s">
        <v>13850</v>
      </c>
      <c r="E4297" s="373">
        <f>calcCh3Prod3Slot2PackFitBase+E4296</f>
        <v>0</v>
      </c>
      <c r="F4297" s="23" t="s">
        <v>3525</v>
      </c>
    </row>
    <row r="4299" spans="3:6">
      <c r="C4299" s="198" t="s">
        <v>13884</v>
      </c>
    </row>
    <row r="4300" spans="3:6">
      <c r="C4300" s="198"/>
      <c r="D4300" s="23" t="s">
        <v>3329</v>
      </c>
      <c r="E4300" s="23" t="str">
        <f>decCh3Prod3Slot3Pack</f>
        <v>Select Pack</v>
      </c>
      <c r="F4300" s="23" t="s">
        <v>3526</v>
      </c>
    </row>
    <row r="4301" spans="3:6">
      <c r="D4301" s="23" t="s">
        <v>358</v>
      </c>
      <c r="E4301" s="23">
        <f>VLOOKUP(calcCh3Prod3Slot3Pack,dataPackChFit,4,FALSE)</f>
        <v>0</v>
      </c>
    </row>
    <row r="4302" spans="3:6">
      <c r="D4302" s="23" t="s">
        <v>361</v>
      </c>
      <c r="E4302" s="23">
        <f>VLOOKUP(calcCh3Prod3Slot3Pack,dataPackProdFit,4,FALSE)</f>
        <v>0</v>
      </c>
    </row>
    <row r="4303" spans="3:6" ht="2.25" customHeight="1">
      <c r="D4303" s="197"/>
      <c r="E4303" s="197"/>
    </row>
    <row r="4304" spans="3:6">
      <c r="D4304" s="23" t="s">
        <v>3334</v>
      </c>
      <c r="E4304" s="23">
        <f>E4301+E4302</f>
        <v>0</v>
      </c>
      <c r="F4304" s="23" t="s">
        <v>3527</v>
      </c>
    </row>
    <row r="4307" spans="3:6">
      <c r="D4307" s="23" t="s">
        <v>13843</v>
      </c>
      <c r="E4307" s="23">
        <f>VLOOKUP(calcCh3Prod3Slot3Pack,dataPackSegFit,2,FALSE)</f>
        <v>0</v>
      </c>
    </row>
    <row r="4308" spans="3:6">
      <c r="D4308" s="198" t="s">
        <v>13844</v>
      </c>
      <c r="E4308" s="373">
        <f>calcCh3Prod3Slot3PackFitBase+E4307</f>
        <v>0</v>
      </c>
      <c r="F4308" s="23" t="s">
        <v>3528</v>
      </c>
    </row>
    <row r="4309" spans="3:6">
      <c r="D4309" s="23" t="s">
        <v>13845</v>
      </c>
      <c r="E4309" s="23">
        <f>VLOOKUP(calcCh3Prod3Slot3Pack,dataPackSegFit,3,FALSE)</f>
        <v>0</v>
      </c>
    </row>
    <row r="4310" spans="3:6">
      <c r="D4310" s="198" t="s">
        <v>13846</v>
      </c>
      <c r="E4310" s="373">
        <f>calcCh3Prod3Slot3PackFitBase+E4309</f>
        <v>0</v>
      </c>
      <c r="F4310" s="23" t="s">
        <v>3529</v>
      </c>
    </row>
    <row r="4311" spans="3:6">
      <c r="D4311" s="23" t="s">
        <v>13847</v>
      </c>
      <c r="E4311" s="23">
        <f>VLOOKUP(calcCh3Prod3Slot3Pack,dataPackSegFit,4,FALSE)</f>
        <v>0</v>
      </c>
    </row>
    <row r="4312" spans="3:6">
      <c r="D4312" s="198" t="s">
        <v>13848</v>
      </c>
      <c r="E4312" s="373">
        <f>calcCh3Prod3Slot3PackFitBase+E4311</f>
        <v>0</v>
      </c>
      <c r="F4312" s="23" t="s">
        <v>3530</v>
      </c>
    </row>
    <row r="4313" spans="3:6">
      <c r="D4313" s="23" t="s">
        <v>13849</v>
      </c>
      <c r="E4313" s="23">
        <f>VLOOKUP(calcCh3Prod3Slot3Pack,dataPackSegFit,5,FALSE)</f>
        <v>0</v>
      </c>
    </row>
    <row r="4314" spans="3:6">
      <c r="D4314" s="198" t="s">
        <v>13850</v>
      </c>
      <c r="E4314" s="373">
        <f>calcCh3Prod3Slot3PackFitBase+E4313</f>
        <v>0</v>
      </c>
      <c r="F4314" s="23" t="s">
        <v>3531</v>
      </c>
    </row>
    <row r="4316" spans="3:6">
      <c r="C4316" s="198" t="s">
        <v>13885</v>
      </c>
    </row>
    <row r="4317" spans="3:6">
      <c r="C4317" s="198"/>
      <c r="D4317" s="23" t="s">
        <v>3329</v>
      </c>
      <c r="E4317" s="23" t="str">
        <f>decCh3Prod4Slot1Pack</f>
        <v>Select Pack</v>
      </c>
      <c r="F4317" s="23" t="s">
        <v>3532</v>
      </c>
    </row>
    <row r="4318" spans="3:6">
      <c r="D4318" s="23" t="s">
        <v>358</v>
      </c>
      <c r="E4318" s="23">
        <f>VLOOKUP(calcCh3Prod4Slot1Pack,dataPackChFit,4,FALSE)</f>
        <v>0</v>
      </c>
    </row>
    <row r="4319" spans="3:6">
      <c r="D4319" s="23" t="s">
        <v>361</v>
      </c>
      <c r="E4319" s="23">
        <f>VLOOKUP(calcCh3Prod4Slot1Pack,dataPackProdFit,5,FALSE)</f>
        <v>0</v>
      </c>
    </row>
    <row r="4320" spans="3:6" ht="2.25" customHeight="1">
      <c r="D4320" s="197"/>
      <c r="E4320" s="197"/>
    </row>
    <row r="4321" spans="3:6">
      <c r="D4321" s="23" t="s">
        <v>3334</v>
      </c>
      <c r="E4321" s="23">
        <f>E4318+E4319</f>
        <v>0</v>
      </c>
      <c r="F4321" s="23" t="s">
        <v>3533</v>
      </c>
    </row>
    <row r="4324" spans="3:6">
      <c r="D4324" s="23" t="s">
        <v>13843</v>
      </c>
      <c r="E4324" s="23">
        <f>VLOOKUP(calcCh3Prod4Slot1Pack,dataPackSegFit,2,FALSE)</f>
        <v>0</v>
      </c>
    </row>
    <row r="4325" spans="3:6">
      <c r="D4325" s="198" t="s">
        <v>13844</v>
      </c>
      <c r="E4325" s="373">
        <f>calcCh3Prod4Slot1PackFitBase+E4324</f>
        <v>0</v>
      </c>
      <c r="F4325" s="23" t="s">
        <v>3534</v>
      </c>
    </row>
    <row r="4326" spans="3:6">
      <c r="D4326" s="23" t="s">
        <v>13845</v>
      </c>
      <c r="E4326" s="23">
        <f>VLOOKUP(calcCh3Prod4Slot1Pack,dataPackSegFit,3,FALSE)</f>
        <v>0</v>
      </c>
    </row>
    <row r="4327" spans="3:6">
      <c r="D4327" s="198" t="s">
        <v>13846</v>
      </c>
      <c r="E4327" s="373">
        <f>calcCh3Prod4Slot1PackFitBase+E4326</f>
        <v>0</v>
      </c>
      <c r="F4327" s="23" t="s">
        <v>3535</v>
      </c>
    </row>
    <row r="4328" spans="3:6">
      <c r="D4328" s="23" t="s">
        <v>13847</v>
      </c>
      <c r="E4328" s="23">
        <f>VLOOKUP(calcCh3Prod4Slot1Pack,dataPackSegFit,4,FALSE)</f>
        <v>0</v>
      </c>
    </row>
    <row r="4329" spans="3:6">
      <c r="D4329" s="198" t="s">
        <v>13848</v>
      </c>
      <c r="E4329" s="373">
        <f>calcCh3Prod4Slot1PackFitBase+E4328</f>
        <v>0</v>
      </c>
      <c r="F4329" s="23" t="s">
        <v>3536</v>
      </c>
    </row>
    <row r="4330" spans="3:6">
      <c r="D4330" s="23" t="s">
        <v>13849</v>
      </c>
      <c r="E4330" s="23">
        <f>VLOOKUP(calcCh3Prod4Slot1Pack,dataPackSegFit,5,FALSE)</f>
        <v>0</v>
      </c>
    </row>
    <row r="4331" spans="3:6">
      <c r="D4331" s="198" t="s">
        <v>13850</v>
      </c>
      <c r="E4331" s="373">
        <f>calcCh3Prod4Slot1PackFitBase+E4330</f>
        <v>0</v>
      </c>
      <c r="F4331" s="23" t="s">
        <v>3537</v>
      </c>
    </row>
    <row r="4333" spans="3:6">
      <c r="C4333" s="198" t="s">
        <v>13886</v>
      </c>
    </row>
    <row r="4334" spans="3:6">
      <c r="C4334" s="198"/>
      <c r="D4334" s="23" t="s">
        <v>3329</v>
      </c>
      <c r="E4334" s="23" t="str">
        <f>decCh3Prod4Slot2Pack</f>
        <v>Select Pack</v>
      </c>
      <c r="F4334" s="23" t="s">
        <v>3538</v>
      </c>
    </row>
    <row r="4335" spans="3:6">
      <c r="D4335" s="23" t="s">
        <v>358</v>
      </c>
      <c r="E4335" s="23">
        <f>VLOOKUP(calcCh3Prod4Slot2Pack,dataPackChFit,4,FALSE)</f>
        <v>0</v>
      </c>
    </row>
    <row r="4336" spans="3:6">
      <c r="D4336" s="23" t="s">
        <v>361</v>
      </c>
      <c r="E4336" s="23">
        <f>VLOOKUP(calcCh3Prod4Slot2Pack,dataPackProdFit,5,FALSE)</f>
        <v>0</v>
      </c>
    </row>
    <row r="4337" spans="3:6" ht="2.25" customHeight="1">
      <c r="D4337" s="197"/>
      <c r="E4337" s="197"/>
    </row>
    <row r="4338" spans="3:6">
      <c r="D4338" s="23" t="s">
        <v>3334</v>
      </c>
      <c r="E4338" s="23">
        <f>E4335+E4336</f>
        <v>0</v>
      </c>
      <c r="F4338" s="23" t="s">
        <v>3539</v>
      </c>
    </row>
    <row r="4341" spans="3:6">
      <c r="D4341" s="23" t="s">
        <v>13843</v>
      </c>
      <c r="E4341" s="23">
        <f>VLOOKUP(calcCh3Prod4Slot2Pack,dataPackSegFit,2,FALSE)</f>
        <v>0</v>
      </c>
    </row>
    <row r="4342" spans="3:6">
      <c r="D4342" s="198" t="s">
        <v>13844</v>
      </c>
      <c r="E4342" s="373">
        <f>calcCh3Prod4Slot2PackFitBase+E4341</f>
        <v>0</v>
      </c>
      <c r="F4342" s="23" t="s">
        <v>3540</v>
      </c>
    </row>
    <row r="4343" spans="3:6">
      <c r="D4343" s="23" t="s">
        <v>13845</v>
      </c>
      <c r="E4343" s="23">
        <f>VLOOKUP(calcCh3Prod4Slot2Pack,dataPackSegFit,3,FALSE)</f>
        <v>0</v>
      </c>
    </row>
    <row r="4344" spans="3:6">
      <c r="D4344" s="198" t="s">
        <v>13846</v>
      </c>
      <c r="E4344" s="373">
        <f>calcCh3Prod4Slot2PackFitBase+E4343</f>
        <v>0</v>
      </c>
      <c r="F4344" s="23" t="s">
        <v>3541</v>
      </c>
    </row>
    <row r="4345" spans="3:6">
      <c r="D4345" s="23" t="s">
        <v>13847</v>
      </c>
      <c r="E4345" s="23">
        <f>VLOOKUP(calcCh3Prod4Slot2Pack,dataPackSegFit,4,FALSE)</f>
        <v>0</v>
      </c>
    </row>
    <row r="4346" spans="3:6">
      <c r="D4346" s="198" t="s">
        <v>13848</v>
      </c>
      <c r="E4346" s="373">
        <f>calcCh3Prod4Slot2PackFitBase+E4345</f>
        <v>0</v>
      </c>
      <c r="F4346" s="23" t="s">
        <v>3542</v>
      </c>
    </row>
    <row r="4347" spans="3:6">
      <c r="D4347" s="23" t="s">
        <v>13849</v>
      </c>
      <c r="E4347" s="23">
        <f>VLOOKUP(calcCh3Prod4Slot2Pack,dataPackSegFit,5,FALSE)</f>
        <v>0</v>
      </c>
    </row>
    <row r="4348" spans="3:6">
      <c r="D4348" s="198" t="s">
        <v>13850</v>
      </c>
      <c r="E4348" s="373">
        <f>calcCh3Prod4Slot2PackFitBase+E4347</f>
        <v>0</v>
      </c>
      <c r="F4348" s="23" t="s">
        <v>3543</v>
      </c>
    </row>
    <row r="4350" spans="3:6">
      <c r="C4350" s="198" t="s">
        <v>13887</v>
      </c>
    </row>
    <row r="4351" spans="3:6">
      <c r="C4351" s="198"/>
      <c r="D4351" s="23" t="s">
        <v>3329</v>
      </c>
      <c r="E4351" s="23" t="str">
        <f>decCh3Prod4Slot3Pack</f>
        <v>Select Pack</v>
      </c>
      <c r="F4351" s="23" t="s">
        <v>3544</v>
      </c>
    </row>
    <row r="4352" spans="3:6">
      <c r="D4352" s="23" t="s">
        <v>358</v>
      </c>
      <c r="E4352" s="23">
        <f>VLOOKUP(calcCh3Prod4Slot3Pack,dataPackChFit,4,FALSE)</f>
        <v>0</v>
      </c>
    </row>
    <row r="4353" spans="1:6">
      <c r="D4353" s="23" t="s">
        <v>361</v>
      </c>
      <c r="E4353" s="23">
        <f>VLOOKUP(calcCh3Prod4Slot3Pack,dataPackProdFit,5,FALSE)</f>
        <v>0</v>
      </c>
    </row>
    <row r="4354" spans="1:6" ht="2.25" customHeight="1">
      <c r="D4354" s="197"/>
      <c r="E4354" s="197"/>
    </row>
    <row r="4355" spans="1:6">
      <c r="D4355" s="23" t="s">
        <v>3334</v>
      </c>
      <c r="E4355" s="23">
        <f>E4352+E4353</f>
        <v>0</v>
      </c>
      <c r="F4355" s="23" t="s">
        <v>3545</v>
      </c>
    </row>
    <row r="4358" spans="1:6">
      <c r="D4358" s="23" t="s">
        <v>13843</v>
      </c>
      <c r="E4358" s="23">
        <f>VLOOKUP(calcCh3Prod4Slot3Pack,dataPackSegFit,2,FALSE)</f>
        <v>0</v>
      </c>
    </row>
    <row r="4359" spans="1:6">
      <c r="D4359" s="198" t="s">
        <v>13844</v>
      </c>
      <c r="E4359" s="373">
        <f>calcCh3Prod4Slot3PackFitBase+E4358</f>
        <v>0</v>
      </c>
      <c r="F4359" s="23" t="s">
        <v>3546</v>
      </c>
    </row>
    <row r="4360" spans="1:6">
      <c r="D4360" s="23" t="s">
        <v>13845</v>
      </c>
      <c r="E4360" s="23">
        <f>VLOOKUP(calcCh3Prod4Slot3Pack,dataPackSegFit,3,FALSE)</f>
        <v>0</v>
      </c>
    </row>
    <row r="4361" spans="1:6">
      <c r="D4361" s="198" t="s">
        <v>13846</v>
      </c>
      <c r="E4361" s="373">
        <f>calcCh3Prod4Slot3PackFitBase+E4360</f>
        <v>0</v>
      </c>
      <c r="F4361" s="23" t="s">
        <v>3547</v>
      </c>
    </row>
    <row r="4362" spans="1:6">
      <c r="D4362" s="23" t="s">
        <v>13847</v>
      </c>
      <c r="E4362" s="23">
        <f>VLOOKUP(calcCh3Prod4Slot3Pack,dataPackSegFit,4,FALSE)</f>
        <v>0</v>
      </c>
    </row>
    <row r="4363" spans="1:6">
      <c r="D4363" s="198" t="s">
        <v>13848</v>
      </c>
      <c r="E4363" s="373">
        <f>calcCh3Prod4Slot3PackFitBase+E4362</f>
        <v>0</v>
      </c>
      <c r="F4363" s="23" t="s">
        <v>3548</v>
      </c>
    </row>
    <row r="4364" spans="1:6">
      <c r="D4364" s="23" t="s">
        <v>13849</v>
      </c>
      <c r="E4364" s="23">
        <f>VLOOKUP(calcCh3Prod4Slot3Pack,dataPackSegFit,5,FALSE)</f>
        <v>0</v>
      </c>
    </row>
    <row r="4365" spans="1:6">
      <c r="D4365" s="198" t="s">
        <v>13850</v>
      </c>
      <c r="E4365" s="373">
        <f>calcCh3Prod4Slot3PackFitBase+E4364</f>
        <v>0</v>
      </c>
      <c r="F4365" s="23" t="s">
        <v>3549</v>
      </c>
    </row>
    <row r="4366" spans="1:6">
      <c r="D4366" s="198"/>
      <c r="E4366" s="198"/>
      <c r="F4366" s="198"/>
    </row>
    <row r="4367" spans="1:6" s="81" customFormat="1">
      <c r="A4367" s="81" t="s">
        <v>13888</v>
      </c>
    </row>
    <row r="4369" spans="3:6">
      <c r="C4369" s="198" t="s">
        <v>13889</v>
      </c>
    </row>
    <row r="4370" spans="3:6">
      <c r="C4370" s="198"/>
      <c r="D4370" s="23" t="s">
        <v>3329</v>
      </c>
      <c r="E4370" s="23" t="str">
        <f>decCh4Prod1Slot1Pack</f>
        <v>25Ltr Keg</v>
      </c>
      <c r="F4370" s="23" t="s">
        <v>3406</v>
      </c>
    </row>
    <row r="4371" spans="3:6">
      <c r="D4371" s="23" t="s">
        <v>358</v>
      </c>
      <c r="E4371" s="23">
        <f>VLOOKUP(calcCh4Prod1Slot1Pack,dataPackChFit,5,FALSE)</f>
        <v>15</v>
      </c>
    </row>
    <row r="4372" spans="3:6">
      <c r="D4372" s="23" t="s">
        <v>361</v>
      </c>
      <c r="E4372" s="23">
        <f>VLOOKUP(calcCh4Prod1Slot1Pack,dataPackProdFit,2,FALSE)</f>
        <v>5</v>
      </c>
    </row>
    <row r="4373" spans="3:6" ht="2.25" customHeight="1">
      <c r="D4373" s="197"/>
      <c r="E4373" s="197"/>
    </row>
    <row r="4374" spans="3:6">
      <c r="D4374" s="23" t="s">
        <v>3334</v>
      </c>
      <c r="E4374" s="23">
        <f>E4371+E4372</f>
        <v>20</v>
      </c>
      <c r="F4374" s="23" t="s">
        <v>3407</v>
      </c>
    </row>
    <row r="4377" spans="3:6">
      <c r="D4377" s="23" t="s">
        <v>13843</v>
      </c>
      <c r="E4377" s="23">
        <f>VLOOKUP(calcCh4Prod1Slot1Pack,dataPackSegFit,2,FALSE)</f>
        <v>25</v>
      </c>
    </row>
    <row r="4378" spans="3:6">
      <c r="D4378" s="198" t="s">
        <v>13844</v>
      </c>
      <c r="E4378" s="373">
        <f>calcCh4Prod1Slot1PackFitBase+E4377</f>
        <v>45</v>
      </c>
      <c r="F4378" s="23" t="s">
        <v>3408</v>
      </c>
    </row>
    <row r="4379" spans="3:6">
      <c r="D4379" s="23" t="s">
        <v>13845</v>
      </c>
      <c r="E4379" s="23">
        <f>VLOOKUP(calcCh4Prod1Slot1Pack,dataPackSegFit,3,FALSE)</f>
        <v>25</v>
      </c>
    </row>
    <row r="4380" spans="3:6">
      <c r="D4380" s="198" t="s">
        <v>13846</v>
      </c>
      <c r="E4380" s="373">
        <f>calcCh4Prod1Slot1PackFitBase+E4379</f>
        <v>45</v>
      </c>
      <c r="F4380" s="23" t="s">
        <v>3409</v>
      </c>
    </row>
    <row r="4381" spans="3:6">
      <c r="D4381" s="23" t="s">
        <v>13847</v>
      </c>
      <c r="E4381" s="23">
        <f>VLOOKUP(calcCh4Prod1Slot1Pack,dataPackSegFit,4,FALSE)</f>
        <v>20</v>
      </c>
    </row>
    <row r="4382" spans="3:6">
      <c r="D4382" s="198" t="s">
        <v>13848</v>
      </c>
      <c r="E4382" s="373">
        <f>calcCh4Prod1Slot1PackFitBase+E4381</f>
        <v>40</v>
      </c>
      <c r="F4382" s="23" t="s">
        <v>3410</v>
      </c>
    </row>
    <row r="4383" spans="3:6">
      <c r="D4383" s="23" t="s">
        <v>13849</v>
      </c>
      <c r="E4383" s="23">
        <f>VLOOKUP(calcCh4Prod1Slot1Pack,dataPackSegFit,5,FALSE)</f>
        <v>25</v>
      </c>
    </row>
    <row r="4384" spans="3:6">
      <c r="D4384" s="198" t="s">
        <v>13850</v>
      </c>
      <c r="E4384" s="373">
        <f>calcCh4Prod1Slot1PackFitBase+E4383</f>
        <v>45</v>
      </c>
      <c r="F4384" s="23" t="s">
        <v>3411</v>
      </c>
    </row>
    <row r="4386" spans="3:6">
      <c r="C4386" s="198" t="s">
        <v>13890</v>
      </c>
    </row>
    <row r="4387" spans="3:6">
      <c r="C4387" s="198"/>
      <c r="D4387" s="23" t="s">
        <v>3329</v>
      </c>
      <c r="E4387" s="23" t="str">
        <f>decCh4Prod1Slot2Pack</f>
        <v>Select Pack</v>
      </c>
      <c r="F4387" s="23" t="s">
        <v>3412</v>
      </c>
    </row>
    <row r="4388" spans="3:6">
      <c r="D4388" s="23" t="s">
        <v>358</v>
      </c>
      <c r="E4388" s="23">
        <f>VLOOKUP(calcCh4Prod1Slot2Pack,dataPackChFit,5,FALSE)</f>
        <v>0</v>
      </c>
    </row>
    <row r="4389" spans="3:6">
      <c r="D4389" s="23" t="s">
        <v>361</v>
      </c>
      <c r="E4389" s="23">
        <f>VLOOKUP(calcCh4Prod1Slot2Pack,dataPackProdFit,2,FALSE)</f>
        <v>0</v>
      </c>
    </row>
    <row r="4390" spans="3:6" ht="2.25" customHeight="1">
      <c r="D4390" s="197"/>
      <c r="E4390" s="197"/>
    </row>
    <row r="4391" spans="3:6">
      <c r="D4391" s="23" t="s">
        <v>3334</v>
      </c>
      <c r="E4391" s="23">
        <f>E4388+E4389</f>
        <v>0</v>
      </c>
      <c r="F4391" s="23" t="s">
        <v>3413</v>
      </c>
    </row>
    <row r="4394" spans="3:6">
      <c r="D4394" s="23" t="s">
        <v>13843</v>
      </c>
      <c r="E4394" s="23">
        <f>VLOOKUP(calcCh4Prod1Slot2Pack,dataPackSegFit,2,FALSE)</f>
        <v>0</v>
      </c>
    </row>
    <row r="4395" spans="3:6">
      <c r="D4395" s="198" t="s">
        <v>13844</v>
      </c>
      <c r="E4395" s="373">
        <f>calcCh4Prod1Slot2PackFitBase+E4394</f>
        <v>0</v>
      </c>
      <c r="F4395" s="23" t="s">
        <v>3414</v>
      </c>
    </row>
    <row r="4396" spans="3:6">
      <c r="D4396" s="23" t="s">
        <v>13845</v>
      </c>
      <c r="E4396" s="23">
        <f>VLOOKUP(calcCh4Prod1Slot2Pack,dataPackSegFit,3,FALSE)</f>
        <v>0</v>
      </c>
    </row>
    <row r="4397" spans="3:6">
      <c r="D4397" s="198" t="s">
        <v>13846</v>
      </c>
      <c r="E4397" s="373">
        <f>calcCh4Prod1Slot2PackFitBase+E4396</f>
        <v>0</v>
      </c>
      <c r="F4397" s="23" t="s">
        <v>3415</v>
      </c>
    </row>
    <row r="4398" spans="3:6">
      <c r="D4398" s="23" t="s">
        <v>13847</v>
      </c>
      <c r="E4398" s="23">
        <f>VLOOKUP(calcCh4Prod1Slot2Pack,dataPackSegFit,4,FALSE)</f>
        <v>0</v>
      </c>
    </row>
    <row r="4399" spans="3:6">
      <c r="D4399" s="198" t="s">
        <v>13848</v>
      </c>
      <c r="E4399" s="373">
        <f>calcCh4Prod1Slot2PackFitBase+E4398</f>
        <v>0</v>
      </c>
      <c r="F4399" s="23" t="s">
        <v>3416</v>
      </c>
    </row>
    <row r="4400" spans="3:6">
      <c r="D4400" s="23" t="s">
        <v>13849</v>
      </c>
      <c r="E4400" s="23">
        <f>VLOOKUP(calcCh4Prod1Slot2Pack,dataPackSegFit,5,FALSE)</f>
        <v>0</v>
      </c>
    </row>
    <row r="4401" spans="3:6">
      <c r="D4401" s="198" t="s">
        <v>13850</v>
      </c>
      <c r="E4401" s="373">
        <f>calcCh4Prod1Slot2PackFitBase+E4400</f>
        <v>0</v>
      </c>
      <c r="F4401" s="23" t="s">
        <v>3417</v>
      </c>
    </row>
    <row r="4403" spans="3:6">
      <c r="C4403" s="198" t="s">
        <v>13891</v>
      </c>
    </row>
    <row r="4404" spans="3:6">
      <c r="C4404" s="198"/>
      <c r="D4404" s="23" t="s">
        <v>3329</v>
      </c>
      <c r="E4404" s="23" t="str">
        <f>decCh4Prod1Slot3Pack</f>
        <v>Select Pack</v>
      </c>
      <c r="F4404" s="23" t="s">
        <v>3418</v>
      </c>
    </row>
    <row r="4405" spans="3:6">
      <c r="D4405" s="23" t="s">
        <v>358</v>
      </c>
      <c r="E4405" s="23">
        <f>VLOOKUP(calcCh4Prod1Slot3Pack,dataPackChFit,5,FALSE)</f>
        <v>0</v>
      </c>
    </row>
    <row r="4406" spans="3:6">
      <c r="D4406" s="23" t="s">
        <v>361</v>
      </c>
      <c r="E4406" s="23">
        <f>VLOOKUP(calcCh4Prod1Slot3Pack,dataPackProdFit,2,FALSE)</f>
        <v>0</v>
      </c>
    </row>
    <row r="4407" spans="3:6" ht="2.25" customHeight="1">
      <c r="D4407" s="197"/>
      <c r="E4407" s="197"/>
    </row>
    <row r="4408" spans="3:6">
      <c r="D4408" s="23" t="s">
        <v>3334</v>
      </c>
      <c r="E4408" s="23">
        <f>E4405+E4406</f>
        <v>0</v>
      </c>
      <c r="F4408" s="23" t="s">
        <v>3419</v>
      </c>
    </row>
    <row r="4411" spans="3:6">
      <c r="D4411" s="23" t="s">
        <v>13843</v>
      </c>
      <c r="E4411" s="23">
        <f>VLOOKUP(calcCh4Prod1Slot3Pack,dataPackSegFit,2,FALSE)</f>
        <v>0</v>
      </c>
    </row>
    <row r="4412" spans="3:6">
      <c r="D4412" s="198" t="s">
        <v>13844</v>
      </c>
      <c r="E4412" s="373">
        <f>calcCh4Prod1Slot3PackFitBase+E4411</f>
        <v>0</v>
      </c>
      <c r="F4412" s="23" t="s">
        <v>3420</v>
      </c>
    </row>
    <row r="4413" spans="3:6">
      <c r="D4413" s="23" t="s">
        <v>13845</v>
      </c>
      <c r="E4413" s="23">
        <f>VLOOKUP(calcCh4Prod1Slot3Pack,dataPackSegFit,3,FALSE)</f>
        <v>0</v>
      </c>
    </row>
    <row r="4414" spans="3:6">
      <c r="D4414" s="198" t="s">
        <v>13846</v>
      </c>
      <c r="E4414" s="373">
        <f>calcCh4Prod1Slot3PackFitBase+E4413</f>
        <v>0</v>
      </c>
      <c r="F4414" s="23" t="s">
        <v>3421</v>
      </c>
    </row>
    <row r="4415" spans="3:6">
      <c r="D4415" s="23" t="s">
        <v>13847</v>
      </c>
      <c r="E4415" s="23">
        <f>VLOOKUP(calcCh4Prod1Slot3Pack,dataPackSegFit,4,FALSE)</f>
        <v>0</v>
      </c>
    </row>
    <row r="4416" spans="3:6">
      <c r="D4416" s="198" t="s">
        <v>13848</v>
      </c>
      <c r="E4416" s="373">
        <f>calcCh4Prod1Slot3PackFitBase+E4415</f>
        <v>0</v>
      </c>
      <c r="F4416" s="23" t="s">
        <v>3422</v>
      </c>
    </row>
    <row r="4417" spans="3:6">
      <c r="D4417" s="23" t="s">
        <v>13849</v>
      </c>
      <c r="E4417" s="23">
        <f>VLOOKUP(calcCh4Prod1Slot3Pack,dataPackSegFit,5,FALSE)</f>
        <v>0</v>
      </c>
    </row>
    <row r="4418" spans="3:6">
      <c r="D4418" s="198" t="s">
        <v>13850</v>
      </c>
      <c r="E4418" s="373">
        <f>calcCh4Prod1Slot3PackFitBase+E4417</f>
        <v>0</v>
      </c>
      <c r="F4418" s="23" t="s">
        <v>3423</v>
      </c>
    </row>
    <row r="4420" spans="3:6">
      <c r="C4420" s="198" t="s">
        <v>13892</v>
      </c>
    </row>
    <row r="4421" spans="3:6">
      <c r="C4421" s="198"/>
      <c r="D4421" s="23" t="s">
        <v>3329</v>
      </c>
      <c r="E4421" s="23" t="str">
        <f>decCh4Prod2Slot1Pack</f>
        <v>25Ltr Keg</v>
      </c>
      <c r="F4421" s="23" t="s">
        <v>3424</v>
      </c>
    </row>
    <row r="4422" spans="3:6">
      <c r="D4422" s="23" t="s">
        <v>358</v>
      </c>
      <c r="E4422" s="23">
        <f>VLOOKUP(calcCh4Prod2Slot1Pack,dataPackChFit,5,FALSE)</f>
        <v>15</v>
      </c>
    </row>
    <row r="4423" spans="3:6">
      <c r="D4423" s="23" t="s">
        <v>361</v>
      </c>
      <c r="E4423" s="23">
        <f>VLOOKUP(calcCh4Prod2Slot1Pack,dataPackProdFit,3,FALSE)</f>
        <v>5</v>
      </c>
    </row>
    <row r="4424" spans="3:6" ht="2.25" customHeight="1">
      <c r="D4424" s="197"/>
      <c r="E4424" s="197"/>
    </row>
    <row r="4425" spans="3:6">
      <c r="D4425" s="23" t="s">
        <v>3334</v>
      </c>
      <c r="E4425" s="23">
        <f>E4422+E4423</f>
        <v>20</v>
      </c>
      <c r="F4425" s="23" t="s">
        <v>3425</v>
      </c>
    </row>
    <row r="4428" spans="3:6">
      <c r="D4428" s="23" t="s">
        <v>13843</v>
      </c>
      <c r="E4428" s="23">
        <f>VLOOKUP(calcCh4Prod2Slot1Pack,dataPackSegFit,2,FALSE)</f>
        <v>25</v>
      </c>
    </row>
    <row r="4429" spans="3:6">
      <c r="D4429" s="198" t="s">
        <v>13844</v>
      </c>
      <c r="E4429" s="373">
        <f>calcCh4Prod2Slot1PackFitBase+E4428</f>
        <v>45</v>
      </c>
      <c r="F4429" s="23" t="s">
        <v>3426</v>
      </c>
    </row>
    <row r="4430" spans="3:6">
      <c r="D4430" s="23" t="s">
        <v>13845</v>
      </c>
      <c r="E4430" s="23">
        <f>VLOOKUP(calcCh4Prod2Slot1Pack,dataPackSegFit,3,FALSE)</f>
        <v>25</v>
      </c>
    </row>
    <row r="4431" spans="3:6">
      <c r="D4431" s="198" t="s">
        <v>13846</v>
      </c>
      <c r="E4431" s="373">
        <f>calcCh4Prod2Slot1PackFitBase+E4430</f>
        <v>45</v>
      </c>
      <c r="F4431" s="23" t="s">
        <v>3427</v>
      </c>
    </row>
    <row r="4432" spans="3:6">
      <c r="D4432" s="23" t="s">
        <v>13847</v>
      </c>
      <c r="E4432" s="23">
        <f>VLOOKUP(calcCh4Prod2Slot1Pack,dataPackSegFit,4,FALSE)</f>
        <v>20</v>
      </c>
    </row>
    <row r="4433" spans="3:6">
      <c r="D4433" s="198" t="s">
        <v>13848</v>
      </c>
      <c r="E4433" s="373">
        <f>calcCh4Prod2Slot1PackFitBase+E4432</f>
        <v>40</v>
      </c>
      <c r="F4433" s="23" t="s">
        <v>3428</v>
      </c>
    </row>
    <row r="4434" spans="3:6">
      <c r="D4434" s="23" t="s">
        <v>13849</v>
      </c>
      <c r="E4434" s="23">
        <f>VLOOKUP(calcCh4Prod2Slot1Pack,dataPackSegFit,5,FALSE)</f>
        <v>25</v>
      </c>
    </row>
    <row r="4435" spans="3:6">
      <c r="D4435" s="198" t="s">
        <v>13850</v>
      </c>
      <c r="E4435" s="373">
        <f>calcCh4Prod2Slot1PackFitBase+E4434</f>
        <v>45</v>
      </c>
      <c r="F4435" s="23" t="s">
        <v>3429</v>
      </c>
    </row>
    <row r="4437" spans="3:6">
      <c r="C4437" s="198" t="s">
        <v>13893</v>
      </c>
    </row>
    <row r="4438" spans="3:6">
      <c r="C4438" s="198"/>
      <c r="D4438" s="23" t="s">
        <v>3329</v>
      </c>
      <c r="E4438" s="23" t="str">
        <f>decCh4Prod2Slot2Pack</f>
        <v>Select Pack</v>
      </c>
      <c r="F4438" s="23" t="s">
        <v>3430</v>
      </c>
    </row>
    <row r="4439" spans="3:6">
      <c r="D4439" s="23" t="s">
        <v>358</v>
      </c>
      <c r="E4439" s="23">
        <f>VLOOKUP(calcCh4Prod2Slot2Pack,dataPackChFit,5,FALSE)</f>
        <v>0</v>
      </c>
    </row>
    <row r="4440" spans="3:6">
      <c r="D4440" s="23" t="s">
        <v>361</v>
      </c>
      <c r="E4440" s="23">
        <f>VLOOKUP(calcCh4Prod2Slot2Pack,dataPackProdFit,3,FALSE)</f>
        <v>0</v>
      </c>
    </row>
    <row r="4441" spans="3:6" ht="2.25" customHeight="1">
      <c r="D4441" s="197"/>
      <c r="E4441" s="197"/>
    </row>
    <row r="4442" spans="3:6">
      <c r="D4442" s="23" t="s">
        <v>3334</v>
      </c>
      <c r="E4442" s="23">
        <f>E4439+E4440</f>
        <v>0</v>
      </c>
      <c r="F4442" s="23" t="s">
        <v>3431</v>
      </c>
    </row>
    <row r="4445" spans="3:6">
      <c r="D4445" s="23" t="s">
        <v>13843</v>
      </c>
      <c r="E4445" s="23">
        <f>VLOOKUP(calcCh4Prod2Slot2Pack,dataPackSegFit,2,FALSE)</f>
        <v>0</v>
      </c>
    </row>
    <row r="4446" spans="3:6">
      <c r="D4446" s="198" t="s">
        <v>13844</v>
      </c>
      <c r="E4446" s="373">
        <f>calcCh4Prod2Slot2PackFitBase+E4445</f>
        <v>0</v>
      </c>
      <c r="F4446" s="23" t="s">
        <v>3432</v>
      </c>
    </row>
    <row r="4447" spans="3:6">
      <c r="D4447" s="23" t="s">
        <v>13845</v>
      </c>
      <c r="E4447" s="23">
        <f>VLOOKUP(calcCh4Prod2Slot2Pack,dataPackSegFit,3,FALSE)</f>
        <v>0</v>
      </c>
    </row>
    <row r="4448" spans="3:6">
      <c r="D4448" s="198" t="s">
        <v>13846</v>
      </c>
      <c r="E4448" s="373">
        <f>calcCh4Prod2Slot2PackFitBase+E4447</f>
        <v>0</v>
      </c>
      <c r="F4448" s="23" t="s">
        <v>3433</v>
      </c>
    </row>
    <row r="4449" spans="3:6">
      <c r="D4449" s="23" t="s">
        <v>13847</v>
      </c>
      <c r="E4449" s="23">
        <f>VLOOKUP(calcCh4Prod2Slot2Pack,dataPackSegFit,4,FALSE)</f>
        <v>0</v>
      </c>
    </row>
    <row r="4450" spans="3:6">
      <c r="D4450" s="198" t="s">
        <v>13848</v>
      </c>
      <c r="E4450" s="373">
        <f>calcCh4Prod2Slot2PackFitBase+E4449</f>
        <v>0</v>
      </c>
      <c r="F4450" s="23" t="s">
        <v>3434</v>
      </c>
    </row>
    <row r="4451" spans="3:6">
      <c r="D4451" s="23" t="s">
        <v>13849</v>
      </c>
      <c r="E4451" s="23">
        <f>VLOOKUP(calcCh4Prod2Slot2Pack,dataPackSegFit,5,FALSE)</f>
        <v>0</v>
      </c>
    </row>
    <row r="4452" spans="3:6">
      <c r="D4452" s="198" t="s">
        <v>13850</v>
      </c>
      <c r="E4452" s="373">
        <f>calcCh4Prod2Slot2PackFitBase+E4451</f>
        <v>0</v>
      </c>
      <c r="F4452" s="23" t="s">
        <v>3435</v>
      </c>
    </row>
    <row r="4454" spans="3:6">
      <c r="C4454" s="198" t="s">
        <v>13894</v>
      </c>
    </row>
    <row r="4455" spans="3:6">
      <c r="C4455" s="198"/>
      <c r="D4455" s="23" t="s">
        <v>3329</v>
      </c>
      <c r="E4455" s="23" t="str">
        <f>decCh4Prod2Slot3Pack</f>
        <v>Select Pack</v>
      </c>
      <c r="F4455" s="23" t="s">
        <v>3436</v>
      </c>
    </row>
    <row r="4456" spans="3:6">
      <c r="D4456" s="23" t="s">
        <v>358</v>
      </c>
      <c r="E4456" s="23">
        <f>VLOOKUP(calcCh4Prod2Slot3Pack,dataPackChFit,5,FALSE)</f>
        <v>0</v>
      </c>
    </row>
    <row r="4457" spans="3:6">
      <c r="D4457" s="23" t="s">
        <v>361</v>
      </c>
      <c r="E4457" s="23">
        <f>VLOOKUP(calcCh4Prod2Slot3Pack,dataPackProdFit,3,FALSE)</f>
        <v>0</v>
      </c>
    </row>
    <row r="4458" spans="3:6" ht="2.25" customHeight="1">
      <c r="D4458" s="197"/>
      <c r="E4458" s="197"/>
    </row>
    <row r="4459" spans="3:6">
      <c r="D4459" s="23" t="s">
        <v>3334</v>
      </c>
      <c r="E4459" s="23">
        <f>E4456+E4457</f>
        <v>0</v>
      </c>
      <c r="F4459" s="23" t="s">
        <v>3437</v>
      </c>
    </row>
    <row r="4462" spans="3:6">
      <c r="D4462" s="23" t="s">
        <v>13843</v>
      </c>
      <c r="E4462" s="23">
        <f>VLOOKUP(calcCh4Prod2Slot3Pack,dataPackSegFit,2,FALSE)</f>
        <v>0</v>
      </c>
    </row>
    <row r="4463" spans="3:6">
      <c r="D4463" s="198" t="s">
        <v>13844</v>
      </c>
      <c r="E4463" s="373">
        <f>calcCh4Prod2Slot3PackFitBase+E4462</f>
        <v>0</v>
      </c>
      <c r="F4463" s="23" t="s">
        <v>3438</v>
      </c>
    </row>
    <row r="4464" spans="3:6">
      <c r="D4464" s="23" t="s">
        <v>13845</v>
      </c>
      <c r="E4464" s="23">
        <f>VLOOKUP(calcCh4Prod2Slot3Pack,dataPackSegFit,3,FALSE)</f>
        <v>0</v>
      </c>
    </row>
    <row r="4465" spans="3:6">
      <c r="D4465" s="198" t="s">
        <v>13846</v>
      </c>
      <c r="E4465" s="373">
        <f>calcCh4Prod2Slot3PackFitBase+E4464</f>
        <v>0</v>
      </c>
      <c r="F4465" s="23" t="s">
        <v>3439</v>
      </c>
    </row>
    <row r="4466" spans="3:6">
      <c r="D4466" s="23" t="s">
        <v>13847</v>
      </c>
      <c r="E4466" s="23">
        <f>VLOOKUP(calcCh4Prod2Slot3Pack,dataPackSegFit,4,FALSE)</f>
        <v>0</v>
      </c>
    </row>
    <row r="4467" spans="3:6">
      <c r="D4467" s="198" t="s">
        <v>13848</v>
      </c>
      <c r="E4467" s="373">
        <f>calcCh4Prod2Slot3PackFitBase+E4466</f>
        <v>0</v>
      </c>
      <c r="F4467" s="23" t="s">
        <v>3440</v>
      </c>
    </row>
    <row r="4468" spans="3:6">
      <c r="D4468" s="23" t="s">
        <v>13849</v>
      </c>
      <c r="E4468" s="23">
        <f>VLOOKUP(calcCh4Prod2Slot3Pack,dataPackSegFit,5,FALSE)</f>
        <v>0</v>
      </c>
    </row>
    <row r="4469" spans="3:6">
      <c r="D4469" s="198" t="s">
        <v>13850</v>
      </c>
      <c r="E4469" s="373">
        <f>calcCh4Prod2Slot3PackFitBase+E4468</f>
        <v>0</v>
      </c>
      <c r="F4469" s="23" t="s">
        <v>3441</v>
      </c>
    </row>
    <row r="4471" spans="3:6">
      <c r="C4471" s="198" t="s">
        <v>13895</v>
      </c>
    </row>
    <row r="4472" spans="3:6">
      <c r="C4472" s="198"/>
      <c r="D4472" s="23" t="s">
        <v>3329</v>
      </c>
      <c r="E4472" s="23" t="str">
        <f>decCh4Prod3Slot1Pack</f>
        <v>25Ltr Keg</v>
      </c>
      <c r="F4472" s="23" t="s">
        <v>3442</v>
      </c>
    </row>
    <row r="4473" spans="3:6">
      <c r="D4473" s="23" t="s">
        <v>358</v>
      </c>
      <c r="E4473" s="23">
        <f>VLOOKUP(calcCh4Prod3Slot1Pack,dataPackChFit,5,FALSE)</f>
        <v>15</v>
      </c>
    </row>
    <row r="4474" spans="3:6">
      <c r="D4474" s="23" t="s">
        <v>361</v>
      </c>
      <c r="E4474" s="23">
        <f>VLOOKUP(calcCh4Prod3Slot1Pack,dataPackProdFit,4,FALSE)</f>
        <v>5</v>
      </c>
    </row>
    <row r="4475" spans="3:6" ht="2.25" customHeight="1">
      <c r="D4475" s="197"/>
      <c r="E4475" s="197"/>
    </row>
    <row r="4476" spans="3:6">
      <c r="D4476" s="23" t="s">
        <v>3334</v>
      </c>
      <c r="E4476" s="23">
        <f>E4473+E4474</f>
        <v>20</v>
      </c>
      <c r="F4476" s="23" t="s">
        <v>3443</v>
      </c>
    </row>
    <row r="4479" spans="3:6">
      <c r="D4479" s="23" t="s">
        <v>13843</v>
      </c>
      <c r="E4479" s="23">
        <f>VLOOKUP(calcCh4Prod3Slot1Pack,dataPackSegFit,2,FALSE)</f>
        <v>25</v>
      </c>
    </row>
    <row r="4480" spans="3:6">
      <c r="D4480" s="198" t="s">
        <v>13844</v>
      </c>
      <c r="E4480" s="373">
        <f>calcCh4Prod3Slot1PackFitBase+E4479</f>
        <v>45</v>
      </c>
      <c r="F4480" s="23" t="s">
        <v>3444</v>
      </c>
    </row>
    <row r="4481" spans="3:6">
      <c r="D4481" s="23" t="s">
        <v>13845</v>
      </c>
      <c r="E4481" s="23">
        <f>VLOOKUP(calcCh4Prod3Slot1Pack,dataPackSegFit,3,FALSE)</f>
        <v>25</v>
      </c>
    </row>
    <row r="4482" spans="3:6">
      <c r="D4482" s="198" t="s">
        <v>13846</v>
      </c>
      <c r="E4482" s="373">
        <f>calcCh4Prod3Slot1PackFitBase+E4481</f>
        <v>45</v>
      </c>
      <c r="F4482" s="23" t="s">
        <v>3445</v>
      </c>
    </row>
    <row r="4483" spans="3:6">
      <c r="D4483" s="23" t="s">
        <v>13847</v>
      </c>
      <c r="E4483" s="23">
        <f>VLOOKUP(calcCh4Prod3Slot1Pack,dataPackSegFit,4,FALSE)</f>
        <v>20</v>
      </c>
    </row>
    <row r="4484" spans="3:6">
      <c r="D4484" s="198" t="s">
        <v>13848</v>
      </c>
      <c r="E4484" s="373">
        <f>calcCh4Prod3Slot1PackFitBase+E4483</f>
        <v>40</v>
      </c>
      <c r="F4484" s="23" t="s">
        <v>3446</v>
      </c>
    </row>
    <row r="4485" spans="3:6">
      <c r="D4485" s="23" t="s">
        <v>13849</v>
      </c>
      <c r="E4485" s="23">
        <f>VLOOKUP(calcCh4Prod3Slot1Pack,dataPackSegFit,5,FALSE)</f>
        <v>25</v>
      </c>
    </row>
    <row r="4486" spans="3:6">
      <c r="D4486" s="198" t="s">
        <v>13850</v>
      </c>
      <c r="E4486" s="373">
        <f>calcCh4Prod3Slot1PackFitBase+E4485</f>
        <v>45</v>
      </c>
      <c r="F4486" s="23" t="s">
        <v>3447</v>
      </c>
    </row>
    <row r="4488" spans="3:6">
      <c r="C4488" s="198" t="s">
        <v>13896</v>
      </c>
    </row>
    <row r="4489" spans="3:6">
      <c r="C4489" s="198"/>
      <c r="D4489" s="23" t="s">
        <v>3329</v>
      </c>
      <c r="E4489" s="23" t="str">
        <f>decCh4Prod3Slot2Pack</f>
        <v>Select Pack</v>
      </c>
      <c r="F4489" s="23" t="s">
        <v>3448</v>
      </c>
    </row>
    <row r="4490" spans="3:6">
      <c r="D4490" s="23" t="s">
        <v>358</v>
      </c>
      <c r="E4490" s="23">
        <f>VLOOKUP(calcCh4Prod3Slot2Pack,dataPackChFit,5,FALSE)</f>
        <v>0</v>
      </c>
    </row>
    <row r="4491" spans="3:6">
      <c r="D4491" s="23" t="s">
        <v>361</v>
      </c>
      <c r="E4491" s="23">
        <f>VLOOKUP(calcCh4Prod3Slot2Pack,dataPackProdFit,4,FALSE)</f>
        <v>0</v>
      </c>
    </row>
    <row r="4492" spans="3:6" ht="2.25" customHeight="1">
      <c r="D4492" s="197"/>
      <c r="E4492" s="197"/>
    </row>
    <row r="4493" spans="3:6">
      <c r="D4493" s="23" t="s">
        <v>3334</v>
      </c>
      <c r="E4493" s="23">
        <f>E4490+E4491</f>
        <v>0</v>
      </c>
      <c r="F4493" s="23" t="s">
        <v>3449</v>
      </c>
    </row>
    <row r="4496" spans="3:6">
      <c r="D4496" s="23" t="s">
        <v>13843</v>
      </c>
      <c r="E4496" s="23">
        <f>VLOOKUP(calcCh4Prod3Slot2Pack,dataPackSegFit,2,FALSE)</f>
        <v>0</v>
      </c>
    </row>
    <row r="4497" spans="3:6">
      <c r="D4497" s="198" t="s">
        <v>13844</v>
      </c>
      <c r="E4497" s="373">
        <f>calcCh4Prod3Slot2PackFitBase+E4496</f>
        <v>0</v>
      </c>
      <c r="F4497" s="23" t="s">
        <v>3450</v>
      </c>
    </row>
    <row r="4498" spans="3:6">
      <c r="D4498" s="23" t="s">
        <v>13845</v>
      </c>
      <c r="E4498" s="23">
        <f>VLOOKUP(calcCh4Prod3Slot2Pack,dataPackSegFit,3,FALSE)</f>
        <v>0</v>
      </c>
    </row>
    <row r="4499" spans="3:6">
      <c r="D4499" s="198" t="s">
        <v>13846</v>
      </c>
      <c r="E4499" s="373">
        <f>calcCh4Prod3Slot2PackFitBase+E4498</f>
        <v>0</v>
      </c>
      <c r="F4499" s="23" t="s">
        <v>3451</v>
      </c>
    </row>
    <row r="4500" spans="3:6">
      <c r="D4500" s="23" t="s">
        <v>13847</v>
      </c>
      <c r="E4500" s="23">
        <f>VLOOKUP(calcCh4Prod3Slot2Pack,dataPackSegFit,4,FALSE)</f>
        <v>0</v>
      </c>
    </row>
    <row r="4501" spans="3:6">
      <c r="D4501" s="198" t="s">
        <v>13848</v>
      </c>
      <c r="E4501" s="373">
        <f>calcCh4Prod3Slot2PackFitBase+E4500</f>
        <v>0</v>
      </c>
      <c r="F4501" s="23" t="s">
        <v>3452</v>
      </c>
    </row>
    <row r="4502" spans="3:6">
      <c r="D4502" s="23" t="s">
        <v>13849</v>
      </c>
      <c r="E4502" s="23">
        <f>VLOOKUP(calcCh4Prod3Slot2Pack,dataPackSegFit,5,FALSE)</f>
        <v>0</v>
      </c>
    </row>
    <row r="4503" spans="3:6">
      <c r="D4503" s="198" t="s">
        <v>13850</v>
      </c>
      <c r="E4503" s="373">
        <f>calcCh4Prod3Slot2PackFitBase+E4502</f>
        <v>0</v>
      </c>
      <c r="F4503" s="23" t="s">
        <v>3453</v>
      </c>
    </row>
    <row r="4505" spans="3:6">
      <c r="C4505" s="198" t="s">
        <v>13897</v>
      </c>
    </row>
    <row r="4506" spans="3:6">
      <c r="C4506" s="198"/>
      <c r="D4506" s="23" t="s">
        <v>3329</v>
      </c>
      <c r="E4506" s="23" t="str">
        <f>decCh4Prod3Slot3Pack</f>
        <v>Select Pack</v>
      </c>
      <c r="F4506" s="23" t="s">
        <v>3454</v>
      </c>
    </row>
    <row r="4507" spans="3:6">
      <c r="D4507" s="23" t="s">
        <v>358</v>
      </c>
      <c r="E4507" s="23">
        <f>VLOOKUP(calcCh4Prod3Slot3Pack,dataPackChFit,5,FALSE)</f>
        <v>0</v>
      </c>
    </row>
    <row r="4508" spans="3:6">
      <c r="D4508" s="23" t="s">
        <v>361</v>
      </c>
      <c r="E4508" s="23">
        <f>VLOOKUP(calcCh4Prod3Slot3Pack,dataPackProdFit,4,FALSE)</f>
        <v>0</v>
      </c>
    </row>
    <row r="4509" spans="3:6" ht="2.25" customHeight="1">
      <c r="D4509" s="197"/>
      <c r="E4509" s="197"/>
    </row>
    <row r="4510" spans="3:6">
      <c r="D4510" s="23" t="s">
        <v>3334</v>
      </c>
      <c r="E4510" s="23">
        <f>E4507+E4508</f>
        <v>0</v>
      </c>
      <c r="F4510" s="23" t="s">
        <v>3455</v>
      </c>
    </row>
    <row r="4513" spans="3:6">
      <c r="D4513" s="23" t="s">
        <v>13843</v>
      </c>
      <c r="E4513" s="23">
        <f>VLOOKUP(calcCh4Prod3Slot3Pack,dataPackSegFit,2,FALSE)</f>
        <v>0</v>
      </c>
    </row>
    <row r="4514" spans="3:6">
      <c r="D4514" s="198" t="s">
        <v>13844</v>
      </c>
      <c r="E4514" s="373">
        <f>calcCh4Prod3Slot3PackFitBase+E4513</f>
        <v>0</v>
      </c>
      <c r="F4514" s="23" t="s">
        <v>3456</v>
      </c>
    </row>
    <row r="4515" spans="3:6">
      <c r="D4515" s="23" t="s">
        <v>13845</v>
      </c>
      <c r="E4515" s="23">
        <f>VLOOKUP(calcCh4Prod3Slot3Pack,dataPackSegFit,3,FALSE)</f>
        <v>0</v>
      </c>
    </row>
    <row r="4516" spans="3:6">
      <c r="D4516" s="198" t="s">
        <v>13846</v>
      </c>
      <c r="E4516" s="373">
        <f>calcCh4Prod3Slot3PackFitBase+E4515</f>
        <v>0</v>
      </c>
      <c r="F4516" s="23" t="s">
        <v>3457</v>
      </c>
    </row>
    <row r="4517" spans="3:6">
      <c r="D4517" s="23" t="s">
        <v>13847</v>
      </c>
      <c r="E4517" s="23">
        <f>VLOOKUP(calcCh4Prod3Slot3Pack,dataPackSegFit,4,FALSE)</f>
        <v>0</v>
      </c>
    </row>
    <row r="4518" spans="3:6">
      <c r="D4518" s="198" t="s">
        <v>13848</v>
      </c>
      <c r="E4518" s="373">
        <f>calcCh4Prod3Slot3PackFitBase+E4517</f>
        <v>0</v>
      </c>
      <c r="F4518" s="23" t="s">
        <v>3458</v>
      </c>
    </row>
    <row r="4519" spans="3:6">
      <c r="D4519" s="23" t="s">
        <v>13849</v>
      </c>
      <c r="E4519" s="23">
        <f>VLOOKUP(calcCh4Prod3Slot3Pack,dataPackSegFit,5,FALSE)</f>
        <v>0</v>
      </c>
    </row>
    <row r="4520" spans="3:6">
      <c r="D4520" s="198" t="s">
        <v>13850</v>
      </c>
      <c r="E4520" s="373">
        <f>calcCh4Prod3Slot3PackFitBase+E4519</f>
        <v>0</v>
      </c>
      <c r="F4520" s="23" t="s">
        <v>3459</v>
      </c>
    </row>
    <row r="4522" spans="3:6">
      <c r="C4522" s="198" t="s">
        <v>13898</v>
      </c>
    </row>
    <row r="4523" spans="3:6">
      <c r="C4523" s="198"/>
      <c r="D4523" s="23" t="s">
        <v>3329</v>
      </c>
      <c r="E4523" s="23" t="str">
        <f>decCh4Prod4Slot1Pack</f>
        <v>33cl Bottle</v>
      </c>
      <c r="F4523" s="23" t="s">
        <v>3460</v>
      </c>
    </row>
    <row r="4524" spans="3:6">
      <c r="D4524" s="23" t="s">
        <v>358</v>
      </c>
      <c r="E4524" s="23">
        <f>VLOOKUP(calcCh4Prod4Slot1Pack,dataPackChFit,5,FALSE)</f>
        <v>15</v>
      </c>
    </row>
    <row r="4525" spans="3:6">
      <c r="D4525" s="23" t="s">
        <v>361</v>
      </c>
      <c r="E4525" s="23">
        <f>VLOOKUP(calcCh4Prod4Slot1Pack,dataPackProdFit,5,FALSE)</f>
        <v>5</v>
      </c>
    </row>
    <row r="4526" spans="3:6" ht="2.25" customHeight="1">
      <c r="D4526" s="197"/>
      <c r="E4526" s="197"/>
    </row>
    <row r="4527" spans="3:6">
      <c r="D4527" s="23" t="s">
        <v>3334</v>
      </c>
      <c r="E4527" s="23">
        <f>E4524+E4525</f>
        <v>20</v>
      </c>
      <c r="F4527" s="23" t="s">
        <v>3461</v>
      </c>
    </row>
    <row r="4530" spans="3:6">
      <c r="D4530" s="23" t="s">
        <v>13843</v>
      </c>
      <c r="E4530" s="23">
        <f>VLOOKUP(calcCh4Prod4Slot1Pack,dataPackSegFit,2,FALSE)</f>
        <v>25</v>
      </c>
    </row>
    <row r="4531" spans="3:6">
      <c r="D4531" s="198" t="s">
        <v>13844</v>
      </c>
      <c r="E4531" s="373">
        <f>calcCh4Prod4Slot1PackFitBase+E4530</f>
        <v>45</v>
      </c>
      <c r="F4531" s="23" t="s">
        <v>3462</v>
      </c>
    </row>
    <row r="4532" spans="3:6">
      <c r="D4532" s="23" t="s">
        <v>13845</v>
      </c>
      <c r="E4532" s="23">
        <f>VLOOKUP(calcCh4Prod4Slot1Pack,dataPackSegFit,3,FALSE)</f>
        <v>25</v>
      </c>
    </row>
    <row r="4533" spans="3:6">
      <c r="D4533" s="198" t="s">
        <v>13846</v>
      </c>
      <c r="E4533" s="373">
        <f>calcCh4Prod4Slot1PackFitBase+E4532</f>
        <v>45</v>
      </c>
      <c r="F4533" s="23" t="s">
        <v>3463</v>
      </c>
    </row>
    <row r="4534" spans="3:6">
      <c r="D4534" s="23" t="s">
        <v>13847</v>
      </c>
      <c r="E4534" s="23">
        <f>VLOOKUP(calcCh4Prod4Slot1Pack,dataPackSegFit,4,FALSE)</f>
        <v>10</v>
      </c>
    </row>
    <row r="4535" spans="3:6">
      <c r="D4535" s="198" t="s">
        <v>13848</v>
      </c>
      <c r="E4535" s="373">
        <f>calcCh4Prod4Slot1PackFitBase+E4534</f>
        <v>30</v>
      </c>
      <c r="F4535" s="23" t="s">
        <v>3464</v>
      </c>
    </row>
    <row r="4536" spans="3:6">
      <c r="D4536" s="23" t="s">
        <v>13849</v>
      </c>
      <c r="E4536" s="23">
        <f>VLOOKUP(calcCh4Prod4Slot1Pack,dataPackSegFit,5,FALSE)</f>
        <v>25</v>
      </c>
    </row>
    <row r="4537" spans="3:6">
      <c r="D4537" s="198" t="s">
        <v>13850</v>
      </c>
      <c r="E4537" s="373">
        <f>calcCh4Prod4Slot1PackFitBase+E4536</f>
        <v>45</v>
      </c>
      <c r="F4537" s="23" t="s">
        <v>3465</v>
      </c>
    </row>
    <row r="4539" spans="3:6">
      <c r="C4539" s="198" t="s">
        <v>13899</v>
      </c>
    </row>
    <row r="4540" spans="3:6">
      <c r="C4540" s="198"/>
      <c r="D4540" s="23" t="s">
        <v>3329</v>
      </c>
      <c r="E4540" s="23" t="str">
        <f>decCh4Prod4Slot2Pack</f>
        <v>Select Pack</v>
      </c>
      <c r="F4540" s="23" t="s">
        <v>3466</v>
      </c>
    </row>
    <row r="4541" spans="3:6">
      <c r="D4541" s="23" t="s">
        <v>358</v>
      </c>
      <c r="E4541" s="23">
        <f>VLOOKUP(calcCh4Prod4Slot2Pack,dataPackChFit,5,FALSE)</f>
        <v>0</v>
      </c>
    </row>
    <row r="4542" spans="3:6">
      <c r="D4542" s="23" t="s">
        <v>361</v>
      </c>
      <c r="E4542" s="23">
        <f>VLOOKUP(calcCh4Prod4Slot2Pack,dataPackProdFit,5,FALSE)</f>
        <v>0</v>
      </c>
    </row>
    <row r="4543" spans="3:6" ht="2.25" customHeight="1">
      <c r="D4543" s="197"/>
      <c r="E4543" s="197"/>
    </row>
    <row r="4544" spans="3:6">
      <c r="D4544" s="23" t="s">
        <v>3334</v>
      </c>
      <c r="E4544" s="23">
        <f>E4541+E4542</f>
        <v>0</v>
      </c>
      <c r="F4544" s="23" t="s">
        <v>3467</v>
      </c>
    </row>
    <row r="4547" spans="3:6">
      <c r="D4547" s="23" t="s">
        <v>13843</v>
      </c>
      <c r="E4547" s="23">
        <f>VLOOKUP(calcCh4Prod4Slot2Pack,dataPackSegFit,2,FALSE)</f>
        <v>0</v>
      </c>
    </row>
    <row r="4548" spans="3:6">
      <c r="D4548" s="198" t="s">
        <v>13844</v>
      </c>
      <c r="E4548" s="373">
        <f>calcCh4Prod4Slot2PackFitBase+E4547</f>
        <v>0</v>
      </c>
      <c r="F4548" s="23" t="s">
        <v>3468</v>
      </c>
    </row>
    <row r="4549" spans="3:6">
      <c r="D4549" s="23" t="s">
        <v>13845</v>
      </c>
      <c r="E4549" s="23">
        <f>VLOOKUP(calcCh4Prod4Slot2Pack,dataPackSegFit,3,FALSE)</f>
        <v>0</v>
      </c>
    </row>
    <row r="4550" spans="3:6">
      <c r="D4550" s="198" t="s">
        <v>13846</v>
      </c>
      <c r="E4550" s="373">
        <f>calcCh4Prod4Slot2PackFitBase+E4549</f>
        <v>0</v>
      </c>
      <c r="F4550" s="23" t="s">
        <v>3469</v>
      </c>
    </row>
    <row r="4551" spans="3:6">
      <c r="D4551" s="23" t="s">
        <v>13847</v>
      </c>
      <c r="E4551" s="23">
        <f>VLOOKUP(calcCh4Prod4Slot2Pack,dataPackSegFit,4,FALSE)</f>
        <v>0</v>
      </c>
    </row>
    <row r="4552" spans="3:6">
      <c r="D4552" s="198" t="s">
        <v>13848</v>
      </c>
      <c r="E4552" s="373">
        <f>calcCh4Prod4Slot2PackFitBase+E4551</f>
        <v>0</v>
      </c>
      <c r="F4552" s="23" t="s">
        <v>3470</v>
      </c>
    </row>
    <row r="4553" spans="3:6">
      <c r="D4553" s="23" t="s">
        <v>13849</v>
      </c>
      <c r="E4553" s="23">
        <f>VLOOKUP(calcCh4Prod4Slot2Pack,dataPackSegFit,5,FALSE)</f>
        <v>0</v>
      </c>
    </row>
    <row r="4554" spans="3:6">
      <c r="D4554" s="198" t="s">
        <v>13850</v>
      </c>
      <c r="E4554" s="373">
        <f>calcCh4Prod4Slot2PackFitBase+E4553</f>
        <v>0</v>
      </c>
      <c r="F4554" s="23" t="s">
        <v>3471</v>
      </c>
    </row>
    <row r="4556" spans="3:6">
      <c r="C4556" s="198" t="s">
        <v>13900</v>
      </c>
    </row>
    <row r="4557" spans="3:6">
      <c r="C4557" s="198"/>
      <c r="D4557" s="23" t="s">
        <v>3329</v>
      </c>
      <c r="E4557" s="23" t="str">
        <f>decCh4Prod4Slot3Pack</f>
        <v>Select Pack</v>
      </c>
      <c r="F4557" s="23" t="s">
        <v>3472</v>
      </c>
    </row>
    <row r="4558" spans="3:6">
      <c r="D4558" s="23" t="s">
        <v>358</v>
      </c>
      <c r="E4558" s="23">
        <f>VLOOKUP(calcCh4Prod4Slot3Pack,dataPackChFit,5,FALSE)</f>
        <v>0</v>
      </c>
    </row>
    <row r="4559" spans="3:6">
      <c r="D4559" s="23" t="s">
        <v>361</v>
      </c>
      <c r="E4559" s="23">
        <f>VLOOKUP(calcCh4Prod4Slot3Pack,dataPackProdFit,5,FALSE)</f>
        <v>0</v>
      </c>
    </row>
    <row r="4560" spans="3:6" ht="2.25" customHeight="1">
      <c r="D4560" s="197"/>
      <c r="E4560" s="197"/>
    </row>
    <row r="4561" spans="1:6">
      <c r="D4561" s="23" t="s">
        <v>3334</v>
      </c>
      <c r="E4561" s="23">
        <f>E4558+E4559</f>
        <v>0</v>
      </c>
      <c r="F4561" s="23" t="s">
        <v>3473</v>
      </c>
    </row>
    <row r="4564" spans="1:6">
      <c r="D4564" s="23" t="s">
        <v>13843</v>
      </c>
      <c r="E4564" s="23">
        <f>VLOOKUP(calcCh4Prod4Slot3Pack,dataPackSegFit,2,FALSE)</f>
        <v>0</v>
      </c>
    </row>
    <row r="4565" spans="1:6">
      <c r="D4565" s="198" t="s">
        <v>13844</v>
      </c>
      <c r="E4565" s="373">
        <f>calcCh4Prod4Slot3PackFitBase+E4564</f>
        <v>0</v>
      </c>
      <c r="F4565" s="23" t="s">
        <v>3474</v>
      </c>
    </row>
    <row r="4566" spans="1:6">
      <c r="D4566" s="23" t="s">
        <v>13845</v>
      </c>
      <c r="E4566" s="23">
        <f>VLOOKUP(calcCh4Prod4Slot3Pack,dataPackSegFit,3,FALSE)</f>
        <v>0</v>
      </c>
    </row>
    <row r="4567" spans="1:6">
      <c r="D4567" s="198" t="s">
        <v>13846</v>
      </c>
      <c r="E4567" s="373">
        <f>calcCh4Prod4Slot3PackFitBase+E4566</f>
        <v>0</v>
      </c>
      <c r="F4567" s="23" t="s">
        <v>3475</v>
      </c>
    </row>
    <row r="4568" spans="1:6">
      <c r="D4568" s="23" t="s">
        <v>13847</v>
      </c>
      <c r="E4568" s="23">
        <f>VLOOKUP(calcCh4Prod4Slot3Pack,dataPackSegFit,4,FALSE)</f>
        <v>0</v>
      </c>
    </row>
    <row r="4569" spans="1:6">
      <c r="D4569" s="198" t="s">
        <v>13848</v>
      </c>
      <c r="E4569" s="373">
        <f>calcCh4Prod4Slot3PackFitBase+E4568</f>
        <v>0</v>
      </c>
      <c r="F4569" s="23" t="s">
        <v>3476</v>
      </c>
    </row>
    <row r="4570" spans="1:6">
      <c r="D4570" s="23" t="s">
        <v>13849</v>
      </c>
      <c r="E4570" s="23">
        <f>VLOOKUP(calcCh4Prod4Slot3Pack,dataPackSegFit,5,FALSE)</f>
        <v>0</v>
      </c>
    </row>
    <row r="4571" spans="1:6">
      <c r="D4571" s="198" t="s">
        <v>13850</v>
      </c>
      <c r="E4571" s="373">
        <f>calcCh4Prod4Slot3PackFitBase+E4570</f>
        <v>0</v>
      </c>
      <c r="F4571" s="23" t="s">
        <v>3477</v>
      </c>
    </row>
    <row r="4572" spans="1:6">
      <c r="E4572" s="258"/>
    </row>
    <row r="4573" spans="1:6" s="81" customFormat="1">
      <c r="A4573" s="81" t="s">
        <v>13901</v>
      </c>
    </row>
    <row r="4575" spans="1:6">
      <c r="C4575" s="198" t="s">
        <v>13902</v>
      </c>
    </row>
    <row r="4576" spans="1:6">
      <c r="D4576" s="23" t="s">
        <v>379</v>
      </c>
      <c r="E4576" s="23">
        <f>calcCh1Prod1Slot1Seg1PackFit</f>
        <v>17</v>
      </c>
    </row>
    <row r="4577" spans="3:6">
      <c r="D4577" s="23" t="s">
        <v>394</v>
      </c>
      <c r="E4577" s="23">
        <f>calcCh1Prod1Slot2Seg1PackFit</f>
        <v>0</v>
      </c>
    </row>
    <row r="4578" spans="3:6">
      <c r="D4578" s="23" t="s">
        <v>395</v>
      </c>
      <c r="E4578" s="23">
        <f>calcCh1Prod1Slot3Seg1PackFit</f>
        <v>0</v>
      </c>
    </row>
    <row r="4579" spans="3:6" ht="2.25" customHeight="1">
      <c r="D4579" s="197"/>
      <c r="E4579" s="197"/>
    </row>
    <row r="4580" spans="3:6">
      <c r="D4580" s="198" t="s">
        <v>4430</v>
      </c>
      <c r="E4580" s="198">
        <f>MAX(E4576,E4577,E4578)+(calcCh1Prod1SlotTotActive)*2</f>
        <v>19</v>
      </c>
      <c r="F4580" s="23" t="s">
        <v>3622</v>
      </c>
    </row>
    <row r="4582" spans="3:6">
      <c r="C4582" s="198" t="s">
        <v>13903</v>
      </c>
    </row>
    <row r="4583" spans="3:6">
      <c r="D4583" s="23" t="s">
        <v>379</v>
      </c>
      <c r="E4583" s="23">
        <f>calcCh1Prod1Slot1Seg2PackFit</f>
        <v>27</v>
      </c>
    </row>
    <row r="4584" spans="3:6">
      <c r="D4584" s="23" t="s">
        <v>394</v>
      </c>
      <c r="E4584" s="23">
        <f>calcCh1Prod1Slot2Seg2PackFit</f>
        <v>0</v>
      </c>
    </row>
    <row r="4585" spans="3:6">
      <c r="D4585" s="23" t="s">
        <v>395</v>
      </c>
      <c r="E4585" s="23">
        <f>calcCh1Prod1Slot3Seg2PackFit</f>
        <v>0</v>
      </c>
    </row>
    <row r="4586" spans="3:6" ht="2.25" customHeight="1">
      <c r="D4586" s="197"/>
      <c r="E4586" s="197"/>
    </row>
    <row r="4587" spans="3:6">
      <c r="D4587" s="198" t="s">
        <v>4430</v>
      </c>
      <c r="E4587" s="633">
        <f>MAX(E4583,E4584,E4585)+(calcCh1Prod1SlotTotActive)*2</f>
        <v>29</v>
      </c>
      <c r="F4587" s="23" t="s">
        <v>3623</v>
      </c>
    </row>
    <row r="4589" spans="3:6">
      <c r="C4589" s="198" t="s">
        <v>13904</v>
      </c>
    </row>
    <row r="4590" spans="3:6">
      <c r="D4590" s="23" t="s">
        <v>379</v>
      </c>
      <c r="E4590" s="23">
        <f>calcCh1Prod1Slot1Seg3PackFit</f>
        <v>37</v>
      </c>
    </row>
    <row r="4591" spans="3:6">
      <c r="D4591" s="23" t="s">
        <v>394</v>
      </c>
      <c r="E4591" s="23">
        <f>calcCh1Prod1Slot2Seg3PackFit</f>
        <v>0</v>
      </c>
    </row>
    <row r="4592" spans="3:6">
      <c r="D4592" s="23" t="s">
        <v>395</v>
      </c>
      <c r="E4592" s="23">
        <f>calcCh1Prod1Slot3Seg3PackFit</f>
        <v>0</v>
      </c>
    </row>
    <row r="4593" spans="3:6" ht="2.25" customHeight="1">
      <c r="D4593" s="197"/>
      <c r="E4593" s="197"/>
    </row>
    <row r="4594" spans="3:6">
      <c r="D4594" s="198" t="s">
        <v>4430</v>
      </c>
      <c r="E4594" s="633">
        <f>MAX(E4590,E4591,E4592)+(calcCh1Prod1SlotTotActive)*2</f>
        <v>39</v>
      </c>
      <c r="F4594" s="23" t="s">
        <v>3624</v>
      </c>
    </row>
    <row r="4595" spans="3:6">
      <c r="D4595" s="198"/>
      <c r="E4595" s="198"/>
    </row>
    <row r="4596" spans="3:6">
      <c r="C4596" s="198" t="s">
        <v>13905</v>
      </c>
    </row>
    <row r="4597" spans="3:6">
      <c r="D4597" s="23" t="s">
        <v>379</v>
      </c>
      <c r="E4597" s="23">
        <f>calcCh1Prod1Slot1Seg4PackFit</f>
        <v>27</v>
      </c>
    </row>
    <row r="4598" spans="3:6">
      <c r="D4598" s="23" t="s">
        <v>394</v>
      </c>
      <c r="E4598" s="23">
        <f>calcCh1Prod1Slot2Seg4PackFit</f>
        <v>0</v>
      </c>
    </row>
    <row r="4599" spans="3:6">
      <c r="D4599" s="23" t="s">
        <v>395</v>
      </c>
      <c r="E4599" s="23">
        <f>calcCh1Prod1Slot3Seg4PackFit</f>
        <v>0</v>
      </c>
    </row>
    <row r="4600" spans="3:6" ht="2.25" customHeight="1">
      <c r="D4600" s="197"/>
      <c r="E4600" s="197"/>
    </row>
    <row r="4601" spans="3:6">
      <c r="D4601" s="198" t="s">
        <v>4430</v>
      </c>
      <c r="E4601" s="633">
        <f>MAX(E4597,E4598,E4599)+(calcCh1Prod1SlotTotActive)*2</f>
        <v>29</v>
      </c>
      <c r="F4601" s="23" t="s">
        <v>3625</v>
      </c>
    </row>
    <row r="4603" spans="3:6" s="614" customFormat="1">
      <c r="C4603" s="633" t="s">
        <v>13906</v>
      </c>
    </row>
    <row r="4604" spans="3:6" s="614" customFormat="1">
      <c r="D4604" s="614" t="s">
        <v>379</v>
      </c>
      <c r="E4604" s="614">
        <f>calcCh1Prod2Slot1Seg1PackFit</f>
        <v>27</v>
      </c>
    </row>
    <row r="4605" spans="3:6" s="614" customFormat="1">
      <c r="D4605" s="614" t="s">
        <v>394</v>
      </c>
      <c r="E4605" s="614">
        <f>calcCh1Prod2Slot2Seg1PackFit</f>
        <v>30</v>
      </c>
    </row>
    <row r="4606" spans="3:6" s="614" customFormat="1">
      <c r="D4606" s="614" t="s">
        <v>395</v>
      </c>
      <c r="E4606" s="614">
        <f>calcCh1Prod2Slot3Seg1PackFit</f>
        <v>0</v>
      </c>
    </row>
    <row r="4607" spans="3:6" s="614" customFormat="1" ht="2.25" customHeight="1">
      <c r="D4607" s="632"/>
      <c r="E4607" s="632"/>
    </row>
    <row r="4608" spans="3:6" s="614" customFormat="1">
      <c r="D4608" s="633" t="s">
        <v>4430</v>
      </c>
      <c r="E4608" s="633">
        <f>MAX(E4604,E4605,E4606)+(calcCh1Prod2SlotTotActive)*2</f>
        <v>34</v>
      </c>
      <c r="F4608" s="614" t="s">
        <v>11313</v>
      </c>
    </row>
    <row r="4609" spans="3:6" s="614" customFormat="1"/>
    <row r="4610" spans="3:6" s="614" customFormat="1">
      <c r="C4610" s="633" t="s">
        <v>13907</v>
      </c>
    </row>
    <row r="4611" spans="3:6" s="614" customFormat="1">
      <c r="D4611" s="614" t="s">
        <v>379</v>
      </c>
      <c r="E4611" s="614">
        <f>calcCh1Prod2Slot1Seg2PackFit</f>
        <v>32</v>
      </c>
    </row>
    <row r="4612" spans="3:6" s="614" customFormat="1">
      <c r="D4612" s="614" t="s">
        <v>394</v>
      </c>
      <c r="E4612" s="614">
        <f>calcCh1Prod2Slot2Seg2PackFit</f>
        <v>35</v>
      </c>
    </row>
    <row r="4613" spans="3:6" s="614" customFormat="1">
      <c r="D4613" s="614" t="s">
        <v>395</v>
      </c>
      <c r="E4613" s="614">
        <f>calcCh1Prod2Slot3Seg2PackFit</f>
        <v>0</v>
      </c>
    </row>
    <row r="4614" spans="3:6" s="614" customFormat="1" ht="2.25" customHeight="1">
      <c r="D4614" s="632"/>
      <c r="E4614" s="632"/>
    </row>
    <row r="4615" spans="3:6" s="614" customFormat="1">
      <c r="D4615" s="633" t="s">
        <v>4430</v>
      </c>
      <c r="E4615" s="633">
        <f>MAX(E4611,E4612,E4613)+(calcCh1Prod2SlotTotActive)*2</f>
        <v>39</v>
      </c>
      <c r="F4615" s="614" t="s">
        <v>11314</v>
      </c>
    </row>
    <row r="4616" spans="3:6" s="614" customFormat="1"/>
    <row r="4617" spans="3:6" s="614" customFormat="1">
      <c r="C4617" s="633" t="s">
        <v>13908</v>
      </c>
    </row>
    <row r="4618" spans="3:6" s="614" customFormat="1">
      <c r="D4618" s="614" t="s">
        <v>379</v>
      </c>
      <c r="E4618" s="614">
        <f>calcCh1Prod2Slot1Seg3PackFit</f>
        <v>22</v>
      </c>
    </row>
    <row r="4619" spans="3:6" s="614" customFormat="1">
      <c r="D4619" s="614" t="s">
        <v>394</v>
      </c>
      <c r="E4619" s="614">
        <f>calcCh1Prod2Slot2Seg3PackFit</f>
        <v>30</v>
      </c>
    </row>
    <row r="4620" spans="3:6" s="614" customFormat="1">
      <c r="D4620" s="614" t="s">
        <v>395</v>
      </c>
      <c r="E4620" s="614">
        <f>calcCh1Prod2Slot3Seg3PackFit</f>
        <v>0</v>
      </c>
    </row>
    <row r="4621" spans="3:6" s="614" customFormat="1" ht="2.25" customHeight="1">
      <c r="D4621" s="632"/>
      <c r="E4621" s="632"/>
    </row>
    <row r="4622" spans="3:6" s="614" customFormat="1">
      <c r="D4622" s="633" t="s">
        <v>4430</v>
      </c>
      <c r="E4622" s="633">
        <f>MAX(E4618,E4619,E4620)+(calcCh1Prod2SlotTotActive)*2</f>
        <v>34</v>
      </c>
      <c r="F4622" s="614" t="s">
        <v>11315</v>
      </c>
    </row>
    <row r="4623" spans="3:6" s="614" customFormat="1">
      <c r="D4623" s="633"/>
      <c r="E4623" s="633"/>
    </row>
    <row r="4624" spans="3:6" s="614" customFormat="1">
      <c r="C4624" s="633" t="s">
        <v>13909</v>
      </c>
    </row>
    <row r="4625" spans="3:6" s="614" customFormat="1">
      <c r="D4625" s="614" t="s">
        <v>379</v>
      </c>
      <c r="E4625" s="614">
        <f>calcCh1Prod2Slot1Seg4PackFit</f>
        <v>27</v>
      </c>
    </row>
    <row r="4626" spans="3:6" s="614" customFormat="1">
      <c r="D4626" s="614" t="s">
        <v>394</v>
      </c>
      <c r="E4626" s="614">
        <f>calcCh1Prod2Slot2Seg4PackFit</f>
        <v>35</v>
      </c>
    </row>
    <row r="4627" spans="3:6" s="614" customFormat="1">
      <c r="D4627" s="614" t="s">
        <v>395</v>
      </c>
      <c r="E4627" s="614">
        <f>calcCh1Prod2Slot3Seg4PackFit</f>
        <v>0</v>
      </c>
    </row>
    <row r="4628" spans="3:6" s="614" customFormat="1" ht="2.25" customHeight="1">
      <c r="D4628" s="632"/>
      <c r="E4628" s="632"/>
    </row>
    <row r="4629" spans="3:6" s="614" customFormat="1">
      <c r="D4629" s="633" t="s">
        <v>4430</v>
      </c>
      <c r="E4629" s="633">
        <f>MAX(E4625,E4626,E4627)+(calcCh1Prod2SlotTotActive)*2</f>
        <v>39</v>
      </c>
      <c r="F4629" s="614" t="s">
        <v>11316</v>
      </c>
    </row>
    <row r="4630" spans="3:6" s="614" customFormat="1"/>
    <row r="4631" spans="3:6" s="614" customFormat="1">
      <c r="C4631" s="633" t="s">
        <v>13910</v>
      </c>
    </row>
    <row r="4632" spans="3:6" s="614" customFormat="1">
      <c r="D4632" s="614" t="s">
        <v>379</v>
      </c>
      <c r="E4632" s="614">
        <f>calcCh1Prod3Slot1Seg1PackFit</f>
        <v>21</v>
      </c>
    </row>
    <row r="4633" spans="3:6" s="614" customFormat="1">
      <c r="D4633" s="614" t="s">
        <v>394</v>
      </c>
      <c r="E4633" s="614">
        <f>calcCh1Prod3Slot2Seg1PackFit</f>
        <v>31</v>
      </c>
    </row>
    <row r="4634" spans="3:6" s="614" customFormat="1">
      <c r="D4634" s="614" t="s">
        <v>395</v>
      </c>
      <c r="E4634" s="614">
        <f>calcCh1Prod3Slot3Seg1PackFit</f>
        <v>0</v>
      </c>
    </row>
    <row r="4635" spans="3:6" s="614" customFormat="1" ht="2.25" customHeight="1">
      <c r="D4635" s="632"/>
      <c r="E4635" s="632"/>
    </row>
    <row r="4636" spans="3:6" s="614" customFormat="1">
      <c r="D4636" s="633" t="s">
        <v>4430</v>
      </c>
      <c r="E4636" s="633">
        <f>MAX(E4632,E4633,E4634)+(calcCh1Prod3SlotTotActive)*2</f>
        <v>35</v>
      </c>
      <c r="F4636" s="614" t="s">
        <v>11317</v>
      </c>
    </row>
    <row r="4637" spans="3:6" s="614" customFormat="1"/>
    <row r="4638" spans="3:6" s="614" customFormat="1">
      <c r="C4638" s="633" t="s">
        <v>13911</v>
      </c>
    </row>
    <row r="4639" spans="3:6" s="614" customFormat="1">
      <c r="D4639" s="614" t="s">
        <v>379</v>
      </c>
      <c r="E4639" s="614">
        <f>calcCh1Prod3Slot1Seg2PackFit</f>
        <v>26</v>
      </c>
    </row>
    <row r="4640" spans="3:6" s="614" customFormat="1">
      <c r="D4640" s="614" t="s">
        <v>394</v>
      </c>
      <c r="E4640" s="614">
        <f>calcCh1Prod3Slot2Seg2PackFit</f>
        <v>36</v>
      </c>
    </row>
    <row r="4641" spans="3:6" s="614" customFormat="1">
      <c r="D4641" s="614" t="s">
        <v>395</v>
      </c>
      <c r="E4641" s="614">
        <f>calcCh1Prod3Slot3Seg2PackFit</f>
        <v>0</v>
      </c>
    </row>
    <row r="4642" spans="3:6" s="614" customFormat="1" ht="2.25" customHeight="1">
      <c r="D4642" s="632"/>
      <c r="E4642" s="632"/>
    </row>
    <row r="4643" spans="3:6" s="614" customFormat="1">
      <c r="D4643" s="633" t="s">
        <v>4430</v>
      </c>
      <c r="E4643" s="633">
        <f>MAX(E4639,E4640,E4641)+(calcCh1Prod3SlotTotActive)*2</f>
        <v>40</v>
      </c>
      <c r="F4643" s="614" t="s">
        <v>11318</v>
      </c>
    </row>
    <row r="4644" spans="3:6" s="614" customFormat="1"/>
    <row r="4645" spans="3:6" s="614" customFormat="1">
      <c r="C4645" s="633" t="s">
        <v>13912</v>
      </c>
    </row>
    <row r="4646" spans="3:6" s="614" customFormat="1">
      <c r="D4646" s="614" t="s">
        <v>379</v>
      </c>
      <c r="E4646" s="614">
        <f>calcCh1Prod3Slot1Seg3PackFit</f>
        <v>16</v>
      </c>
    </row>
    <row r="4647" spans="3:6" s="614" customFormat="1">
      <c r="D4647" s="614" t="s">
        <v>394</v>
      </c>
      <c r="E4647" s="614">
        <f>calcCh1Prod3Slot2Seg3PackFit</f>
        <v>31</v>
      </c>
    </row>
    <row r="4648" spans="3:6" s="614" customFormat="1">
      <c r="D4648" s="614" t="s">
        <v>395</v>
      </c>
      <c r="E4648" s="614">
        <f>calcCh1Prod3Slot3Seg3PackFit</f>
        <v>0</v>
      </c>
    </row>
    <row r="4649" spans="3:6" s="614" customFormat="1" ht="2.25" customHeight="1">
      <c r="D4649" s="632"/>
      <c r="E4649" s="632"/>
    </row>
    <row r="4650" spans="3:6" s="614" customFormat="1">
      <c r="D4650" s="633" t="s">
        <v>4430</v>
      </c>
      <c r="E4650" s="633">
        <f>MAX(E4646,E4647,E4648)+(calcCh1Prod3SlotTotActive)*2</f>
        <v>35</v>
      </c>
      <c r="F4650" s="614" t="s">
        <v>11319</v>
      </c>
    </row>
    <row r="4651" spans="3:6" s="614" customFormat="1">
      <c r="D4651" s="633"/>
      <c r="E4651" s="633"/>
    </row>
    <row r="4652" spans="3:6" s="614" customFormat="1">
      <c r="C4652" s="633" t="s">
        <v>13913</v>
      </c>
    </row>
    <row r="4653" spans="3:6" s="614" customFormat="1">
      <c r="D4653" s="614" t="s">
        <v>379</v>
      </c>
      <c r="E4653" s="614">
        <f>calcCh1Prod3Slot1Seg4PackFit</f>
        <v>21</v>
      </c>
    </row>
    <row r="4654" spans="3:6" s="614" customFormat="1">
      <c r="D4654" s="614" t="s">
        <v>394</v>
      </c>
      <c r="E4654" s="614">
        <f>calcCh1Prod3Slot2Seg4PackFit</f>
        <v>36</v>
      </c>
    </row>
    <row r="4655" spans="3:6" s="614" customFormat="1">
      <c r="D4655" s="614" t="s">
        <v>395</v>
      </c>
      <c r="E4655" s="614">
        <f>calcCh1Prod3Slot3Seg4PackFit</f>
        <v>0</v>
      </c>
    </row>
    <row r="4656" spans="3:6" s="614" customFormat="1" ht="2.25" customHeight="1">
      <c r="D4656" s="632"/>
      <c r="E4656" s="632"/>
    </row>
    <row r="4657" spans="3:6" s="614" customFormat="1">
      <c r="D4657" s="633" t="s">
        <v>4430</v>
      </c>
      <c r="E4657" s="633">
        <f>MAX(E4653,E4654,E4655)+(calcCh1Prod3SlotTotActive)*2</f>
        <v>40</v>
      </c>
      <c r="F4657" s="614" t="s">
        <v>11320</v>
      </c>
    </row>
    <row r="4659" spans="3:6">
      <c r="C4659" s="198" t="s">
        <v>13914</v>
      </c>
    </row>
    <row r="4660" spans="3:6">
      <c r="D4660" s="23" t="s">
        <v>379</v>
      </c>
      <c r="E4660" s="23">
        <f>calcCh1Prod4Slot1Seg1PackFit</f>
        <v>0</v>
      </c>
    </row>
    <row r="4661" spans="3:6">
      <c r="D4661" s="23" t="s">
        <v>394</v>
      </c>
      <c r="E4661" s="23">
        <f>calcCh1Prod4Slot2Seg1PackFit</f>
        <v>0</v>
      </c>
    </row>
    <row r="4662" spans="3:6">
      <c r="D4662" s="23" t="s">
        <v>395</v>
      </c>
      <c r="E4662" s="23">
        <f>calcCh1Prod4Slot3Seg1PackFit</f>
        <v>0</v>
      </c>
    </row>
    <row r="4663" spans="3:6" ht="2.25" customHeight="1">
      <c r="D4663" s="197"/>
      <c r="E4663" s="197"/>
    </row>
    <row r="4664" spans="3:6">
      <c r="D4664" s="198" t="s">
        <v>4430</v>
      </c>
      <c r="E4664" s="633">
        <f>MAX(E4660,E4661,E4662)+(calcCh1Prod4SlotTotActive)*2</f>
        <v>0</v>
      </c>
      <c r="F4664" s="23" t="s">
        <v>3626</v>
      </c>
    </row>
    <row r="4666" spans="3:6">
      <c r="C4666" s="198" t="s">
        <v>13915</v>
      </c>
    </row>
    <row r="4667" spans="3:6">
      <c r="D4667" s="23" t="s">
        <v>379</v>
      </c>
      <c r="E4667" s="23">
        <f>calcCh1Prod4Slot1Seg2PackFit</f>
        <v>0</v>
      </c>
    </row>
    <row r="4668" spans="3:6">
      <c r="D4668" s="23" t="s">
        <v>394</v>
      </c>
      <c r="E4668" s="23">
        <f>calcCh1Prod4Slot2Seg2PackFit</f>
        <v>0</v>
      </c>
    </row>
    <row r="4669" spans="3:6">
      <c r="D4669" s="23" t="s">
        <v>395</v>
      </c>
      <c r="E4669" s="23">
        <f>calcCh1Prod4Slot3Seg2PackFit</f>
        <v>0</v>
      </c>
    </row>
    <row r="4670" spans="3:6" ht="2.25" customHeight="1">
      <c r="D4670" s="197"/>
      <c r="E4670" s="197"/>
    </row>
    <row r="4671" spans="3:6">
      <c r="D4671" s="198" t="s">
        <v>4430</v>
      </c>
      <c r="E4671" s="633">
        <f>MAX(E4667,E4668,E4669)+(calcCh1Prod4SlotTotActive)*2</f>
        <v>0</v>
      </c>
      <c r="F4671" s="23" t="s">
        <v>3627</v>
      </c>
    </row>
    <row r="4673" spans="1:6">
      <c r="C4673" s="198" t="s">
        <v>13916</v>
      </c>
    </row>
    <row r="4674" spans="1:6">
      <c r="D4674" s="23" t="s">
        <v>379</v>
      </c>
      <c r="E4674" s="23">
        <f>calcCh1Prod4Slot1Seg3PackFit</f>
        <v>0</v>
      </c>
    </row>
    <row r="4675" spans="1:6">
      <c r="D4675" s="23" t="s">
        <v>394</v>
      </c>
      <c r="E4675" s="23">
        <f>calcCh1Prod4Slot2Seg3PackFit</f>
        <v>0</v>
      </c>
    </row>
    <row r="4676" spans="1:6">
      <c r="D4676" s="23" t="s">
        <v>395</v>
      </c>
      <c r="E4676" s="23">
        <f>calcCh1Prod4Slot3Seg3PackFit</f>
        <v>0</v>
      </c>
    </row>
    <row r="4677" spans="1:6" ht="2.25" customHeight="1">
      <c r="D4677" s="197"/>
      <c r="E4677" s="197"/>
    </row>
    <row r="4678" spans="1:6">
      <c r="D4678" s="198" t="s">
        <v>4430</v>
      </c>
      <c r="E4678" s="633">
        <f>MAX(E4674,E4675,E4676)+(calcCh1Prod4SlotTotActive)*2</f>
        <v>0</v>
      </c>
      <c r="F4678" s="23" t="s">
        <v>3628</v>
      </c>
    </row>
    <row r="4679" spans="1:6">
      <c r="D4679" s="198"/>
      <c r="E4679" s="198"/>
    </row>
    <row r="4680" spans="1:6">
      <c r="C4680" s="198" t="s">
        <v>13917</v>
      </c>
    </row>
    <row r="4681" spans="1:6">
      <c r="D4681" s="23" t="s">
        <v>379</v>
      </c>
      <c r="E4681" s="23">
        <f>calcCh1Prod4Slot1Seg4PackFit</f>
        <v>0</v>
      </c>
    </row>
    <row r="4682" spans="1:6">
      <c r="D4682" s="23" t="s">
        <v>394</v>
      </c>
      <c r="E4682" s="23">
        <f>calcCh1Prod4Slot2Seg4PackFit</f>
        <v>0</v>
      </c>
    </row>
    <row r="4683" spans="1:6">
      <c r="D4683" s="23" t="s">
        <v>395</v>
      </c>
      <c r="E4683" s="23">
        <f>calcCh1Prod4Slot3Seg4PackFit</f>
        <v>0</v>
      </c>
    </row>
    <row r="4684" spans="1:6" ht="2.25" customHeight="1">
      <c r="D4684" s="197"/>
      <c r="E4684" s="197"/>
    </row>
    <row r="4685" spans="1:6">
      <c r="D4685" s="198" t="s">
        <v>4430</v>
      </c>
      <c r="E4685" s="633">
        <f>MAX(E4681,E4682,E4683)+(calcCh1Prod4SlotTotActive)*2</f>
        <v>0</v>
      </c>
      <c r="F4685" s="23" t="s">
        <v>3629</v>
      </c>
    </row>
    <row r="4687" spans="1:6" s="81" customFormat="1">
      <c r="A4687" s="81" t="s">
        <v>13918</v>
      </c>
    </row>
    <row r="4689" spans="3:6">
      <c r="C4689" s="198" t="s">
        <v>13902</v>
      </c>
    </row>
    <row r="4690" spans="3:6">
      <c r="D4690" s="23" t="s">
        <v>379</v>
      </c>
      <c r="E4690" s="614">
        <f>calcCh2Prod1Slot1Seg1PackFit</f>
        <v>28</v>
      </c>
    </row>
    <row r="4691" spans="3:6">
      <c r="D4691" s="23" t="s">
        <v>394</v>
      </c>
      <c r="E4691" s="614">
        <f>calcCh2Prod1Slot2Seg1PackFit</f>
        <v>0</v>
      </c>
    </row>
    <row r="4692" spans="3:6">
      <c r="D4692" s="23" t="s">
        <v>395</v>
      </c>
      <c r="E4692" s="614">
        <f>calcCh2Prod1Slot3Seg1PackFit</f>
        <v>0</v>
      </c>
    </row>
    <row r="4693" spans="3:6" ht="2.25" customHeight="1">
      <c r="D4693" s="197"/>
      <c r="E4693" s="632"/>
    </row>
    <row r="4694" spans="3:6">
      <c r="D4694" s="198" t="s">
        <v>4430</v>
      </c>
      <c r="E4694" s="633">
        <f>MAX(E4690,E4691,E4692)+(calcCh2Prod1SlotTotActive)*2</f>
        <v>30</v>
      </c>
      <c r="F4694" s="23" t="s">
        <v>3646</v>
      </c>
    </row>
    <row r="4695" spans="3:6">
      <c r="E4695" s="614"/>
    </row>
    <row r="4696" spans="3:6">
      <c r="C4696" s="198" t="s">
        <v>13903</v>
      </c>
      <c r="E4696" s="614"/>
    </row>
    <row r="4697" spans="3:6">
      <c r="D4697" s="23" t="s">
        <v>379</v>
      </c>
      <c r="E4697" s="614">
        <f>calcCh2Prod1Slot1Seg2PackFit</f>
        <v>38</v>
      </c>
    </row>
    <row r="4698" spans="3:6">
      <c r="D4698" s="23" t="s">
        <v>394</v>
      </c>
      <c r="E4698" s="614">
        <f>calcCh2Prod1Slot2Seg2PackFit</f>
        <v>0</v>
      </c>
    </row>
    <row r="4699" spans="3:6">
      <c r="D4699" s="23" t="s">
        <v>395</v>
      </c>
      <c r="E4699" s="614">
        <f>calcCh2Prod1Slot3Seg2PackFit</f>
        <v>0</v>
      </c>
    </row>
    <row r="4700" spans="3:6" ht="2.25" customHeight="1">
      <c r="D4700" s="197"/>
      <c r="E4700" s="632"/>
    </row>
    <row r="4701" spans="3:6">
      <c r="D4701" s="198" t="s">
        <v>4430</v>
      </c>
      <c r="E4701" s="633">
        <f>MAX(E4697,E4698,E4699)+(calcCh2Prod1SlotTotActive)*2</f>
        <v>40</v>
      </c>
      <c r="F4701" s="23" t="s">
        <v>3647</v>
      </c>
    </row>
    <row r="4702" spans="3:6">
      <c r="E4702" s="614"/>
    </row>
    <row r="4703" spans="3:6">
      <c r="C4703" s="198" t="s">
        <v>13904</v>
      </c>
      <c r="E4703" s="614"/>
    </row>
    <row r="4704" spans="3:6">
      <c r="D4704" s="23" t="s">
        <v>379</v>
      </c>
      <c r="E4704" s="614">
        <f>calcCh2Prod1Slot1Seg3PackFit</f>
        <v>43</v>
      </c>
    </row>
    <row r="4705" spans="3:6">
      <c r="D4705" s="23" t="s">
        <v>394</v>
      </c>
      <c r="E4705" s="614">
        <f>calcCh2Prod1Slot2Seg3PackFit</f>
        <v>0</v>
      </c>
    </row>
    <row r="4706" spans="3:6">
      <c r="D4706" s="23" t="s">
        <v>395</v>
      </c>
      <c r="E4706" s="614">
        <f>calcCh2Prod1Slot3Seg3PackFit</f>
        <v>0</v>
      </c>
    </row>
    <row r="4707" spans="3:6" ht="2.25" customHeight="1">
      <c r="D4707" s="197"/>
      <c r="E4707" s="632"/>
    </row>
    <row r="4708" spans="3:6">
      <c r="D4708" s="198" t="s">
        <v>4430</v>
      </c>
      <c r="E4708" s="633">
        <f>MAX(E4704,E4705,E4706)+(calcCh2Prod1SlotTotActive)*2</f>
        <v>45</v>
      </c>
      <c r="F4708" s="23" t="s">
        <v>3648</v>
      </c>
    </row>
    <row r="4709" spans="3:6">
      <c r="D4709" s="198"/>
      <c r="E4709" s="633"/>
    </row>
    <row r="4710" spans="3:6">
      <c r="C4710" s="198" t="s">
        <v>13905</v>
      </c>
      <c r="E4710" s="614"/>
    </row>
    <row r="4711" spans="3:6">
      <c r="D4711" s="23" t="s">
        <v>379</v>
      </c>
      <c r="E4711" s="614">
        <f>calcCh2Prod1Slot1Seg4PackFit</f>
        <v>38</v>
      </c>
    </row>
    <row r="4712" spans="3:6">
      <c r="D4712" s="23" t="s">
        <v>394</v>
      </c>
      <c r="E4712" s="614">
        <f>calcCh2Prod1Slot2Seg4PackFit</f>
        <v>0</v>
      </c>
    </row>
    <row r="4713" spans="3:6">
      <c r="D4713" s="23" t="s">
        <v>395</v>
      </c>
      <c r="E4713" s="614">
        <f>calcCh2Prod1Slot3Seg4PackFit</f>
        <v>0</v>
      </c>
    </row>
    <row r="4714" spans="3:6" ht="2.25" customHeight="1">
      <c r="D4714" s="197"/>
      <c r="E4714" s="632"/>
    </row>
    <row r="4715" spans="3:6">
      <c r="D4715" s="198" t="s">
        <v>4430</v>
      </c>
      <c r="E4715" s="633">
        <f>MAX(E4711,E4712,E4713)+(calcCh2Prod1SlotTotActive)*2</f>
        <v>40</v>
      </c>
      <c r="F4715" s="23" t="s">
        <v>3649</v>
      </c>
    </row>
    <row r="4716" spans="3:6">
      <c r="E4716" s="614"/>
    </row>
    <row r="4717" spans="3:6" s="614" customFormat="1">
      <c r="C4717" s="633" t="s">
        <v>13906</v>
      </c>
    </row>
    <row r="4718" spans="3:6" s="614" customFormat="1">
      <c r="D4718" s="614" t="s">
        <v>379</v>
      </c>
      <c r="E4718" s="614">
        <f>calcCh2Prod2Slot1Seg1PackFit</f>
        <v>24</v>
      </c>
    </row>
    <row r="4719" spans="3:6" s="614" customFormat="1">
      <c r="D4719" s="614" t="s">
        <v>394</v>
      </c>
      <c r="E4719" s="614">
        <f>calcCh2Prod2Slot2Seg1PackFit</f>
        <v>0</v>
      </c>
    </row>
    <row r="4720" spans="3:6" s="614" customFormat="1">
      <c r="D4720" s="614" t="s">
        <v>395</v>
      </c>
      <c r="E4720" s="614">
        <f>calcCh2Prod2Slot3Seg1PackFit</f>
        <v>0</v>
      </c>
    </row>
    <row r="4721" spans="3:6" s="614" customFormat="1" ht="2.25" customHeight="1">
      <c r="D4721" s="632"/>
      <c r="E4721" s="632"/>
    </row>
    <row r="4722" spans="3:6" s="614" customFormat="1">
      <c r="D4722" s="633" t="s">
        <v>4430</v>
      </c>
      <c r="E4722" s="633">
        <f>MAX(E4718,E4719,E4720)+(calcCh2Prod2SlotTotActive)*2</f>
        <v>26</v>
      </c>
      <c r="F4722" s="614" t="s">
        <v>11321</v>
      </c>
    </row>
    <row r="4723" spans="3:6" s="614" customFormat="1"/>
    <row r="4724" spans="3:6" s="614" customFormat="1">
      <c r="C4724" s="633" t="s">
        <v>13907</v>
      </c>
    </row>
    <row r="4725" spans="3:6" s="614" customFormat="1">
      <c r="D4725" s="614" t="s">
        <v>379</v>
      </c>
      <c r="E4725" s="614">
        <f>calcCh2Prod2Slot1Seg2PackFit</f>
        <v>34</v>
      </c>
    </row>
    <row r="4726" spans="3:6" s="614" customFormat="1">
      <c r="D4726" s="614" t="s">
        <v>394</v>
      </c>
      <c r="E4726" s="614">
        <f>calcCh2Prod2Slot2Seg2PackFit</f>
        <v>0</v>
      </c>
    </row>
    <row r="4727" spans="3:6" s="614" customFormat="1">
      <c r="D4727" s="614" t="s">
        <v>395</v>
      </c>
      <c r="E4727" s="614">
        <f>calcCh2Prod2Slot3Seg2PackFit</f>
        <v>0</v>
      </c>
    </row>
    <row r="4728" spans="3:6" s="614" customFormat="1" ht="2.25" customHeight="1">
      <c r="D4728" s="632"/>
      <c r="E4728" s="632"/>
    </row>
    <row r="4729" spans="3:6" s="614" customFormat="1">
      <c r="D4729" s="633" t="s">
        <v>4430</v>
      </c>
      <c r="E4729" s="633">
        <f>MAX(E4725,E4726,E4727)+(calcCh2Prod2SlotTotActive)*2</f>
        <v>36</v>
      </c>
      <c r="F4729" s="614" t="s">
        <v>11322</v>
      </c>
    </row>
    <row r="4730" spans="3:6" s="614" customFormat="1"/>
    <row r="4731" spans="3:6" s="614" customFormat="1">
      <c r="C4731" s="633" t="s">
        <v>13908</v>
      </c>
    </row>
    <row r="4732" spans="3:6" s="614" customFormat="1">
      <c r="D4732" s="614" t="s">
        <v>379</v>
      </c>
      <c r="E4732" s="614">
        <f>calcCh2Prod2Slot1Seg3PackFit</f>
        <v>44</v>
      </c>
    </row>
    <row r="4733" spans="3:6" s="614" customFormat="1">
      <c r="D4733" s="614" t="s">
        <v>394</v>
      </c>
      <c r="E4733" s="614">
        <f>calcCh2Prod2Slot2Seg3PackFit</f>
        <v>0</v>
      </c>
    </row>
    <row r="4734" spans="3:6" s="614" customFormat="1">
      <c r="D4734" s="614" t="s">
        <v>395</v>
      </c>
      <c r="E4734" s="614">
        <f>calcCh2Prod2Slot3Seg3PackFit</f>
        <v>0</v>
      </c>
    </row>
    <row r="4735" spans="3:6" s="614" customFormat="1" ht="2.25" customHeight="1">
      <c r="D4735" s="632"/>
      <c r="E4735" s="632"/>
    </row>
    <row r="4736" spans="3:6" s="614" customFormat="1">
      <c r="D4736" s="633" t="s">
        <v>4430</v>
      </c>
      <c r="E4736" s="633">
        <f>MAX(E4732,E4733,E4734)+(calcCh2Prod2SlotTotActive)*2</f>
        <v>46</v>
      </c>
      <c r="F4736" s="614" t="s">
        <v>11323</v>
      </c>
    </row>
    <row r="4737" spans="3:6" s="614" customFormat="1">
      <c r="D4737" s="633"/>
      <c r="E4737" s="633"/>
    </row>
    <row r="4738" spans="3:6" s="614" customFormat="1">
      <c r="C4738" s="633" t="s">
        <v>13909</v>
      </c>
    </row>
    <row r="4739" spans="3:6" s="614" customFormat="1">
      <c r="D4739" s="614" t="s">
        <v>379</v>
      </c>
      <c r="E4739" s="614">
        <f>calcCh2Prod2Slot1Seg4PackFit</f>
        <v>34</v>
      </c>
    </row>
    <row r="4740" spans="3:6" s="614" customFormat="1">
      <c r="D4740" s="614" t="s">
        <v>394</v>
      </c>
      <c r="E4740" s="614">
        <f>calcCh2Prod2Slot2Seg4PackFit</f>
        <v>0</v>
      </c>
    </row>
    <row r="4741" spans="3:6" s="614" customFormat="1">
      <c r="D4741" s="614" t="s">
        <v>395</v>
      </c>
      <c r="E4741" s="614">
        <f>calcCh2Prod2Slot3Seg4PackFit</f>
        <v>0</v>
      </c>
    </row>
    <row r="4742" spans="3:6" s="614" customFormat="1" ht="2.25" customHeight="1">
      <c r="D4742" s="632"/>
      <c r="E4742" s="632"/>
    </row>
    <row r="4743" spans="3:6" s="614" customFormat="1">
      <c r="D4743" s="633" t="s">
        <v>4430</v>
      </c>
      <c r="E4743" s="633">
        <f>MAX(E4739,E4740,E4741)+(calcCh2Prod2SlotTotActive)*2</f>
        <v>36</v>
      </c>
      <c r="F4743" s="614" t="s">
        <v>11324</v>
      </c>
    </row>
    <row r="4744" spans="3:6" s="614" customFormat="1"/>
    <row r="4745" spans="3:6" s="614" customFormat="1">
      <c r="C4745" s="633" t="s">
        <v>13910</v>
      </c>
    </row>
    <row r="4746" spans="3:6" s="614" customFormat="1">
      <c r="D4746" s="614" t="s">
        <v>379</v>
      </c>
      <c r="E4746" s="614">
        <f>calcCh2Prod3Slot1Seg1PackFit</f>
        <v>18</v>
      </c>
    </row>
    <row r="4747" spans="3:6" s="614" customFormat="1">
      <c r="D4747" s="614" t="s">
        <v>394</v>
      </c>
      <c r="E4747" s="614">
        <f>calcCh2Prod3Slot2Seg1PackFit</f>
        <v>0</v>
      </c>
    </row>
    <row r="4748" spans="3:6" s="614" customFormat="1">
      <c r="D4748" s="614" t="s">
        <v>395</v>
      </c>
      <c r="E4748" s="614">
        <f>calcCh2Prod3Slot3Seg1PackFit</f>
        <v>0</v>
      </c>
    </row>
    <row r="4749" spans="3:6" s="614" customFormat="1" ht="2.25" customHeight="1">
      <c r="D4749" s="632"/>
      <c r="E4749" s="632"/>
    </row>
    <row r="4750" spans="3:6" s="614" customFormat="1">
      <c r="D4750" s="633" t="s">
        <v>4430</v>
      </c>
      <c r="E4750" s="633">
        <f>MAX(E4746,E4747,E4748)+(calcCh2Prod3SlotTotActive)*2</f>
        <v>20</v>
      </c>
      <c r="F4750" s="614" t="s">
        <v>11325</v>
      </c>
    </row>
    <row r="4751" spans="3:6" s="614" customFormat="1"/>
    <row r="4752" spans="3:6" s="614" customFormat="1">
      <c r="C4752" s="633" t="s">
        <v>13911</v>
      </c>
    </row>
    <row r="4753" spans="3:6" s="614" customFormat="1">
      <c r="D4753" s="614" t="s">
        <v>379</v>
      </c>
      <c r="E4753" s="614">
        <f>calcCh2Prod3Slot1Seg2PackFit</f>
        <v>23</v>
      </c>
    </row>
    <row r="4754" spans="3:6" s="614" customFormat="1">
      <c r="D4754" s="614" t="s">
        <v>394</v>
      </c>
      <c r="E4754" s="614">
        <f>calcCh2Prod3Slot2Seg2PackFit</f>
        <v>0</v>
      </c>
    </row>
    <row r="4755" spans="3:6" s="614" customFormat="1">
      <c r="D4755" s="614" t="s">
        <v>395</v>
      </c>
      <c r="E4755" s="614">
        <f>calcCh2Prod3Slot3Seg2PackFit</f>
        <v>0</v>
      </c>
    </row>
    <row r="4756" spans="3:6" s="614" customFormat="1" ht="2.25" customHeight="1">
      <c r="D4756" s="632"/>
      <c r="E4756" s="632"/>
    </row>
    <row r="4757" spans="3:6" s="614" customFormat="1">
      <c r="D4757" s="633" t="s">
        <v>4430</v>
      </c>
      <c r="E4757" s="633">
        <f>MAX(E4753,E4754,E4755)+(calcCh2Prod3SlotTotActive)*2</f>
        <v>25</v>
      </c>
      <c r="F4757" s="614" t="s">
        <v>11326</v>
      </c>
    </row>
    <row r="4758" spans="3:6" s="614" customFormat="1"/>
    <row r="4759" spans="3:6" s="614" customFormat="1">
      <c r="C4759" s="633" t="s">
        <v>13912</v>
      </c>
    </row>
    <row r="4760" spans="3:6" s="614" customFormat="1">
      <c r="D4760" s="614" t="s">
        <v>379</v>
      </c>
      <c r="E4760" s="614">
        <f>calcCh2Prod3Slot1Seg3PackFit</f>
        <v>13</v>
      </c>
    </row>
    <row r="4761" spans="3:6" s="614" customFormat="1">
      <c r="D4761" s="614" t="s">
        <v>394</v>
      </c>
      <c r="E4761" s="614">
        <f>calcCh2Prod3Slot2Seg3PackFit</f>
        <v>0</v>
      </c>
    </row>
    <row r="4762" spans="3:6" s="614" customFormat="1">
      <c r="D4762" s="614" t="s">
        <v>395</v>
      </c>
      <c r="E4762" s="614">
        <f>calcCh2Prod3Slot3Seg3PackFit</f>
        <v>0</v>
      </c>
    </row>
    <row r="4763" spans="3:6" s="614" customFormat="1" ht="2.25" customHeight="1">
      <c r="D4763" s="632"/>
      <c r="E4763" s="632"/>
    </row>
    <row r="4764" spans="3:6" s="614" customFormat="1">
      <c r="D4764" s="633" t="s">
        <v>4430</v>
      </c>
      <c r="E4764" s="633">
        <f>MAX(E4760,E4761,E4762)+(calcCh2Prod3SlotTotActive)*2</f>
        <v>15</v>
      </c>
      <c r="F4764" s="614" t="s">
        <v>11327</v>
      </c>
    </row>
    <row r="4765" spans="3:6" s="614" customFormat="1">
      <c r="D4765" s="633"/>
      <c r="E4765" s="633"/>
    </row>
    <row r="4766" spans="3:6" s="614" customFormat="1">
      <c r="C4766" s="633" t="s">
        <v>13913</v>
      </c>
    </row>
    <row r="4767" spans="3:6" s="614" customFormat="1">
      <c r="D4767" s="614" t="s">
        <v>379</v>
      </c>
      <c r="E4767" s="614">
        <f>calcCh2Prod3Slot1Seg4PackFit</f>
        <v>18</v>
      </c>
    </row>
    <row r="4768" spans="3:6" s="614" customFormat="1">
      <c r="D4768" s="614" t="s">
        <v>394</v>
      </c>
      <c r="E4768" s="614">
        <f>calcCh2Prod3Slot2Seg4PackFit</f>
        <v>0</v>
      </c>
    </row>
    <row r="4769" spans="3:6" s="614" customFormat="1">
      <c r="D4769" s="614" t="s">
        <v>395</v>
      </c>
      <c r="E4769" s="614">
        <f>calcCh2Prod3Slot3Seg4PackFit</f>
        <v>0</v>
      </c>
    </row>
    <row r="4770" spans="3:6" s="614" customFormat="1" ht="2.25" customHeight="1">
      <c r="D4770" s="632"/>
      <c r="E4770" s="632"/>
    </row>
    <row r="4771" spans="3:6" s="614" customFormat="1">
      <c r="D4771" s="633" t="s">
        <v>4430</v>
      </c>
      <c r="E4771" s="633">
        <f>MAX(E4767,E4768,E4769)+(calcCh2Prod3SlotTotActive)*2</f>
        <v>20</v>
      </c>
      <c r="F4771" s="614" t="s">
        <v>11328</v>
      </c>
    </row>
    <row r="4772" spans="3:6">
      <c r="E4772" s="614"/>
    </row>
    <row r="4773" spans="3:6">
      <c r="C4773" s="198" t="s">
        <v>13914</v>
      </c>
      <c r="E4773" s="614"/>
    </row>
    <row r="4774" spans="3:6">
      <c r="D4774" s="23" t="s">
        <v>379</v>
      </c>
      <c r="E4774" s="614">
        <f>calcCh2Prod4Slot1Seg1PackFit</f>
        <v>0</v>
      </c>
    </row>
    <row r="4775" spans="3:6">
      <c r="D4775" s="23" t="s">
        <v>394</v>
      </c>
      <c r="E4775" s="614">
        <f>calcCh2Prod4Slot2Seg1PackFit</f>
        <v>0</v>
      </c>
    </row>
    <row r="4776" spans="3:6">
      <c r="D4776" s="23" t="s">
        <v>395</v>
      </c>
      <c r="E4776" s="614">
        <f>calcCh2Prod4Slot3Seg1PackFit</f>
        <v>0</v>
      </c>
    </row>
    <row r="4777" spans="3:6" ht="2.25" customHeight="1">
      <c r="D4777" s="197"/>
      <c r="E4777" s="632"/>
    </row>
    <row r="4778" spans="3:6">
      <c r="D4778" s="198" t="s">
        <v>4430</v>
      </c>
      <c r="E4778" s="633">
        <f>MAX(E4774,E4775,E4776)+(calcCh2Prod4SlotTotActive)*2</f>
        <v>0</v>
      </c>
      <c r="F4778" s="23" t="s">
        <v>3650</v>
      </c>
    </row>
    <row r="4779" spans="3:6">
      <c r="E4779" s="614"/>
    </row>
    <row r="4780" spans="3:6">
      <c r="C4780" s="198" t="s">
        <v>13915</v>
      </c>
      <c r="E4780" s="614"/>
    </row>
    <row r="4781" spans="3:6">
      <c r="D4781" s="23" t="s">
        <v>379</v>
      </c>
      <c r="E4781" s="614">
        <f>calcCh2Prod4Slot1Seg2PackFit</f>
        <v>0</v>
      </c>
    </row>
    <row r="4782" spans="3:6">
      <c r="D4782" s="23" t="s">
        <v>394</v>
      </c>
      <c r="E4782" s="614">
        <f>calcCh2Prod4Slot2Seg2PackFit</f>
        <v>0</v>
      </c>
    </row>
    <row r="4783" spans="3:6">
      <c r="D4783" s="23" t="s">
        <v>395</v>
      </c>
      <c r="E4783" s="614">
        <f>calcCh2Prod4Slot3Seg2PackFit</f>
        <v>0</v>
      </c>
    </row>
    <row r="4784" spans="3:6" ht="2.25" customHeight="1">
      <c r="D4784" s="197"/>
      <c r="E4784" s="632"/>
    </row>
    <row r="4785" spans="3:6">
      <c r="D4785" s="198" t="s">
        <v>4430</v>
      </c>
      <c r="E4785" s="633">
        <f>MAX(E4781,E4782,E4783)+(calcCh2Prod4SlotTotActive)*2</f>
        <v>0</v>
      </c>
      <c r="F4785" s="23" t="s">
        <v>3651</v>
      </c>
    </row>
    <row r="4786" spans="3:6">
      <c r="E4786" s="614"/>
    </row>
    <row r="4787" spans="3:6">
      <c r="C4787" s="198" t="s">
        <v>13916</v>
      </c>
      <c r="E4787" s="614"/>
    </row>
    <row r="4788" spans="3:6">
      <c r="D4788" s="23" t="s">
        <v>379</v>
      </c>
      <c r="E4788" s="614">
        <f>calcCh2Prod4Slot1Seg3PackFit</f>
        <v>0</v>
      </c>
    </row>
    <row r="4789" spans="3:6">
      <c r="D4789" s="23" t="s">
        <v>394</v>
      </c>
      <c r="E4789" s="614">
        <f>calcCh2Prod4Slot2Seg3PackFit</f>
        <v>0</v>
      </c>
    </row>
    <row r="4790" spans="3:6">
      <c r="D4790" s="23" t="s">
        <v>395</v>
      </c>
      <c r="E4790" s="614">
        <f>calcCh2Prod4Slot3Seg3PackFit</f>
        <v>0</v>
      </c>
    </row>
    <row r="4791" spans="3:6" ht="2.25" customHeight="1">
      <c r="D4791" s="197"/>
      <c r="E4791" s="632"/>
    </row>
    <row r="4792" spans="3:6">
      <c r="D4792" s="198" t="s">
        <v>4430</v>
      </c>
      <c r="E4792" s="633">
        <f>MAX(E4788,E4789,E4790)+(calcCh2Prod4SlotTotActive)*2</f>
        <v>0</v>
      </c>
      <c r="F4792" s="23" t="s">
        <v>3652</v>
      </c>
    </row>
    <row r="4793" spans="3:6">
      <c r="D4793" s="198"/>
      <c r="E4793" s="633"/>
    </row>
    <row r="4794" spans="3:6">
      <c r="C4794" s="198" t="s">
        <v>13917</v>
      </c>
      <c r="E4794" s="614"/>
    </row>
    <row r="4795" spans="3:6">
      <c r="D4795" s="23" t="s">
        <v>379</v>
      </c>
      <c r="E4795" s="614">
        <f>calcCh2Prod4Slot1Seg4PackFit</f>
        <v>0</v>
      </c>
    </row>
    <row r="4796" spans="3:6">
      <c r="D4796" s="23" t="s">
        <v>394</v>
      </c>
      <c r="E4796" s="614">
        <f>calcCh2Prod4Slot2Seg4PackFit</f>
        <v>0</v>
      </c>
    </row>
    <row r="4797" spans="3:6">
      <c r="D4797" s="23" t="s">
        <v>395</v>
      </c>
      <c r="E4797" s="614">
        <f>calcCh2Prod4Slot3Seg4PackFit</f>
        <v>0</v>
      </c>
    </row>
    <row r="4798" spans="3:6" ht="2.25" customHeight="1">
      <c r="D4798" s="197"/>
      <c r="E4798" s="632"/>
    </row>
    <row r="4799" spans="3:6">
      <c r="D4799" s="198" t="s">
        <v>4430</v>
      </c>
      <c r="E4799" s="633">
        <f>MAX(E4795,E4796,E4797)+(calcCh2Prod4SlotTotActive)*2</f>
        <v>0</v>
      </c>
      <c r="F4799" s="23" t="s">
        <v>3653</v>
      </c>
    </row>
    <row r="4801" spans="1:6" s="81" customFormat="1">
      <c r="A4801" s="81" t="s">
        <v>13919</v>
      </c>
    </row>
    <row r="4803" spans="1:6">
      <c r="C4803" s="198" t="s">
        <v>13902</v>
      </c>
    </row>
    <row r="4804" spans="1:6">
      <c r="D4804" s="23" t="s">
        <v>379</v>
      </c>
      <c r="E4804" s="614">
        <f>calcCh3Prod1Slot1Seg1PackFit</f>
        <v>14</v>
      </c>
    </row>
    <row r="4805" spans="1:6">
      <c r="D4805" s="23" t="s">
        <v>394</v>
      </c>
      <c r="E4805" s="614">
        <f>calcCh3Prod1Slot2Seg1PackFit</f>
        <v>0</v>
      </c>
    </row>
    <row r="4806" spans="1:6">
      <c r="D4806" s="23" t="s">
        <v>395</v>
      </c>
      <c r="E4806" s="614">
        <f>calcCh3Prod1Slot3Seg1PackFit</f>
        <v>0</v>
      </c>
    </row>
    <row r="4807" spans="1:6" ht="2.25" customHeight="1">
      <c r="D4807" s="197"/>
      <c r="E4807" s="632"/>
    </row>
    <row r="4808" spans="1:6">
      <c r="D4808" s="198" t="s">
        <v>4430</v>
      </c>
      <c r="E4808" s="633">
        <f>MAX(E4804,E4805,E4806)+(calcCh3Prod1SlotTotActive)*2</f>
        <v>16</v>
      </c>
      <c r="F4808" s="23" t="s">
        <v>3638</v>
      </c>
    </row>
    <row r="4809" spans="1:6">
      <c r="E4809" s="614"/>
    </row>
    <row r="4810" spans="1:6">
      <c r="C4810" s="198" t="s">
        <v>13903</v>
      </c>
      <c r="E4810" s="614"/>
    </row>
    <row r="4811" spans="1:6">
      <c r="D4811" s="23" t="s">
        <v>379</v>
      </c>
      <c r="E4811" s="614">
        <f>calcCh3Prod1Slot1Seg2PackFit</f>
        <v>24</v>
      </c>
    </row>
    <row r="4812" spans="1:6">
      <c r="D4812" s="23" t="s">
        <v>394</v>
      </c>
      <c r="E4812" s="614">
        <f>calcCh3Prod1Slot2Seg2PackFit</f>
        <v>0</v>
      </c>
    </row>
    <row r="4813" spans="1:6">
      <c r="D4813" s="23" t="s">
        <v>395</v>
      </c>
      <c r="E4813" s="614">
        <f>calcCh3Prod1Slot3Seg2PackFit</f>
        <v>0</v>
      </c>
    </row>
    <row r="4814" spans="1:6" ht="2.25" customHeight="1">
      <c r="D4814" s="197"/>
      <c r="E4814" s="632"/>
    </row>
    <row r="4815" spans="1:6">
      <c r="D4815" s="198" t="s">
        <v>4430</v>
      </c>
      <c r="E4815" s="633">
        <f>MAX(E4811,E4812,E4813)+(calcCh3Prod1SlotTotActive)*2</f>
        <v>26</v>
      </c>
      <c r="F4815" s="23" t="s">
        <v>3639</v>
      </c>
    </row>
    <row r="4816" spans="1:6">
      <c r="E4816" s="614"/>
    </row>
    <row r="4817" spans="3:6">
      <c r="C4817" s="198" t="s">
        <v>13904</v>
      </c>
      <c r="E4817" s="614"/>
    </row>
    <row r="4818" spans="3:6">
      <c r="D4818" s="23" t="s">
        <v>379</v>
      </c>
      <c r="E4818" s="614">
        <f>calcCh3Prod1Slot1Seg3PackFit</f>
        <v>34</v>
      </c>
    </row>
    <row r="4819" spans="3:6">
      <c r="D4819" s="23" t="s">
        <v>394</v>
      </c>
      <c r="E4819" s="614">
        <f>calcCh3Prod1Slot2Seg3PackFit</f>
        <v>0</v>
      </c>
    </row>
    <row r="4820" spans="3:6">
      <c r="D4820" s="23" t="s">
        <v>395</v>
      </c>
      <c r="E4820" s="614">
        <f>calcCh3Prod1Slot3Seg3PackFit</f>
        <v>0</v>
      </c>
    </row>
    <row r="4821" spans="3:6" ht="2.25" customHeight="1">
      <c r="D4821" s="197"/>
      <c r="E4821" s="632"/>
    </row>
    <row r="4822" spans="3:6">
      <c r="D4822" s="198" t="s">
        <v>4430</v>
      </c>
      <c r="E4822" s="633">
        <f>MAX(E4818,E4819,E4820)+(calcCh3Prod1SlotTotActive)*2</f>
        <v>36</v>
      </c>
      <c r="F4822" s="23" t="s">
        <v>3640</v>
      </c>
    </row>
    <row r="4823" spans="3:6">
      <c r="D4823" s="198"/>
      <c r="E4823" s="633"/>
    </row>
    <row r="4824" spans="3:6">
      <c r="C4824" s="198" t="s">
        <v>13905</v>
      </c>
      <c r="E4824" s="614"/>
    </row>
    <row r="4825" spans="3:6">
      <c r="D4825" s="23" t="s">
        <v>379</v>
      </c>
      <c r="E4825" s="614">
        <f>calcCh3Prod1Slot1Seg4PackFit</f>
        <v>24</v>
      </c>
    </row>
    <row r="4826" spans="3:6">
      <c r="D4826" s="23" t="s">
        <v>394</v>
      </c>
      <c r="E4826" s="614">
        <f>calcCh3Prod1Slot2Seg4PackFit</f>
        <v>0</v>
      </c>
    </row>
    <row r="4827" spans="3:6">
      <c r="D4827" s="23" t="s">
        <v>395</v>
      </c>
      <c r="E4827" s="614">
        <f>calcCh3Prod1Slot3Seg4PackFit</f>
        <v>0</v>
      </c>
    </row>
    <row r="4828" spans="3:6" ht="2.25" customHeight="1">
      <c r="D4828" s="197"/>
      <c r="E4828" s="632"/>
    </row>
    <row r="4829" spans="3:6">
      <c r="D4829" s="198" t="s">
        <v>4430</v>
      </c>
      <c r="E4829" s="633">
        <f>MAX(E4825,E4826,E4827)+(calcCh3Prod1SlotTotActive)*2</f>
        <v>26</v>
      </c>
      <c r="F4829" s="23" t="s">
        <v>3641</v>
      </c>
    </row>
    <row r="4830" spans="3:6">
      <c r="E4830" s="614"/>
    </row>
    <row r="4831" spans="3:6" s="614" customFormat="1">
      <c r="C4831" s="633" t="s">
        <v>13906</v>
      </c>
    </row>
    <row r="4832" spans="3:6" s="614" customFormat="1">
      <c r="D4832" s="614" t="s">
        <v>379</v>
      </c>
      <c r="E4832" s="614">
        <f>calcCh3Prod2Slot1Seg1PackFit</f>
        <v>27</v>
      </c>
    </row>
    <row r="4833" spans="3:6" s="614" customFormat="1">
      <c r="D4833" s="614" t="s">
        <v>394</v>
      </c>
      <c r="E4833" s="614">
        <f>calcCh3Prod2Slot2Seg1PackFit</f>
        <v>33</v>
      </c>
    </row>
    <row r="4834" spans="3:6" s="614" customFormat="1">
      <c r="D4834" s="614" t="s">
        <v>395</v>
      </c>
      <c r="E4834" s="614">
        <f>calcCh3Prod2Slot3Seg1PackFit</f>
        <v>0</v>
      </c>
    </row>
    <row r="4835" spans="3:6" s="614" customFormat="1" ht="2.25" customHeight="1">
      <c r="D4835" s="632"/>
      <c r="E4835" s="632"/>
    </row>
    <row r="4836" spans="3:6" s="614" customFormat="1">
      <c r="D4836" s="633" t="s">
        <v>4430</v>
      </c>
      <c r="E4836" s="633">
        <f>MAX(E4832,E4833,E4834)+(calcCh3Prod2SlotTotActive)*2</f>
        <v>37</v>
      </c>
      <c r="F4836" s="614" t="s">
        <v>11329</v>
      </c>
    </row>
    <row r="4837" spans="3:6" s="614" customFormat="1"/>
    <row r="4838" spans="3:6" s="614" customFormat="1">
      <c r="C4838" s="633" t="s">
        <v>13907</v>
      </c>
    </row>
    <row r="4839" spans="3:6" s="614" customFormat="1">
      <c r="D4839" s="614" t="s">
        <v>379</v>
      </c>
      <c r="E4839" s="614">
        <f>calcCh3Prod2Slot1Seg2PackFit</f>
        <v>32</v>
      </c>
    </row>
    <row r="4840" spans="3:6" s="614" customFormat="1">
      <c r="D4840" s="614" t="s">
        <v>394</v>
      </c>
      <c r="E4840" s="614">
        <f>calcCh3Prod2Slot2Seg2PackFit</f>
        <v>38</v>
      </c>
    </row>
    <row r="4841" spans="3:6" s="614" customFormat="1">
      <c r="D4841" s="614" t="s">
        <v>395</v>
      </c>
      <c r="E4841" s="614">
        <f>calcCh3Prod2Slot3Seg2PackFit</f>
        <v>0</v>
      </c>
    </row>
    <row r="4842" spans="3:6" s="614" customFormat="1" ht="2.25" customHeight="1">
      <c r="D4842" s="632"/>
      <c r="E4842" s="632"/>
    </row>
    <row r="4843" spans="3:6" s="614" customFormat="1">
      <c r="D4843" s="633" t="s">
        <v>4430</v>
      </c>
      <c r="E4843" s="633">
        <f>MAX(E4839,E4840,E4841)+(calcCh3Prod2SlotTotActive)*2</f>
        <v>42</v>
      </c>
      <c r="F4843" s="614" t="s">
        <v>11330</v>
      </c>
    </row>
    <row r="4844" spans="3:6" s="614" customFormat="1"/>
    <row r="4845" spans="3:6" s="614" customFormat="1">
      <c r="C4845" s="633" t="s">
        <v>13908</v>
      </c>
    </row>
    <row r="4846" spans="3:6" s="614" customFormat="1">
      <c r="D4846" s="614" t="s">
        <v>379</v>
      </c>
      <c r="E4846" s="614">
        <f>calcCh3Prod2Slot1Seg3PackFit</f>
        <v>22</v>
      </c>
    </row>
    <row r="4847" spans="3:6" s="614" customFormat="1">
      <c r="D4847" s="614" t="s">
        <v>394</v>
      </c>
      <c r="E4847" s="614">
        <f>calcCh3Prod2Slot2Seg3PackFit</f>
        <v>33</v>
      </c>
    </row>
    <row r="4848" spans="3:6" s="614" customFormat="1">
      <c r="D4848" s="614" t="s">
        <v>395</v>
      </c>
      <c r="E4848" s="614">
        <f>calcCh3Prod2Slot3Seg3PackFit</f>
        <v>0</v>
      </c>
    </row>
    <row r="4849" spans="3:6" s="614" customFormat="1" ht="2.25" customHeight="1">
      <c r="D4849" s="632"/>
      <c r="E4849" s="632"/>
    </row>
    <row r="4850" spans="3:6" s="614" customFormat="1">
      <c r="D4850" s="633" t="s">
        <v>4430</v>
      </c>
      <c r="E4850" s="633">
        <f>MAX(E4846,E4847,E4848)+(calcCh3Prod2SlotTotActive)*2</f>
        <v>37</v>
      </c>
      <c r="F4850" s="614" t="s">
        <v>11331</v>
      </c>
    </row>
    <row r="4851" spans="3:6" s="614" customFormat="1">
      <c r="D4851" s="633"/>
      <c r="E4851" s="633"/>
    </row>
    <row r="4852" spans="3:6" s="614" customFormat="1">
      <c r="C4852" s="633" t="s">
        <v>13909</v>
      </c>
    </row>
    <row r="4853" spans="3:6" s="614" customFormat="1">
      <c r="D4853" s="614" t="s">
        <v>379</v>
      </c>
      <c r="E4853" s="614">
        <f>calcCh3Prod2Slot1Seg4PackFit</f>
        <v>27</v>
      </c>
    </row>
    <row r="4854" spans="3:6" s="614" customFormat="1">
      <c r="D4854" s="614" t="s">
        <v>394</v>
      </c>
      <c r="E4854" s="614">
        <f>calcCh3Prod2Slot2Seg4PackFit</f>
        <v>38</v>
      </c>
    </row>
    <row r="4855" spans="3:6" s="614" customFormat="1">
      <c r="D4855" s="614" t="s">
        <v>395</v>
      </c>
      <c r="E4855" s="614">
        <f>calcCh3Prod2Slot3Seg4PackFit</f>
        <v>0</v>
      </c>
    </row>
    <row r="4856" spans="3:6" s="614" customFormat="1" ht="2.25" customHeight="1">
      <c r="D4856" s="632"/>
      <c r="E4856" s="632"/>
    </row>
    <row r="4857" spans="3:6" s="614" customFormat="1">
      <c r="D4857" s="633" t="s">
        <v>4430</v>
      </c>
      <c r="E4857" s="633">
        <f>MAX(E4853,E4854,E4855)+(calcCh3Prod2SlotTotActive)*2</f>
        <v>42</v>
      </c>
      <c r="F4857" s="614" t="s">
        <v>11332</v>
      </c>
    </row>
    <row r="4858" spans="3:6" s="614" customFormat="1"/>
    <row r="4859" spans="3:6" s="614" customFormat="1">
      <c r="C4859" s="633" t="s">
        <v>13910</v>
      </c>
    </row>
    <row r="4860" spans="3:6" s="614" customFormat="1">
      <c r="D4860" s="614" t="s">
        <v>379</v>
      </c>
      <c r="E4860" s="614">
        <f>calcCh3Prod3Slot1Seg1PackFit</f>
        <v>44</v>
      </c>
    </row>
    <row r="4861" spans="3:6" s="614" customFormat="1">
      <c r="D4861" s="614" t="s">
        <v>394</v>
      </c>
      <c r="E4861" s="614">
        <f>calcCh3Prod3Slot2Seg1PackFit</f>
        <v>0</v>
      </c>
    </row>
    <row r="4862" spans="3:6" s="614" customFormat="1">
      <c r="D4862" s="614" t="s">
        <v>395</v>
      </c>
      <c r="E4862" s="614">
        <f>calcCh3Prod3Slot3Seg1PackFit</f>
        <v>0</v>
      </c>
    </row>
    <row r="4863" spans="3:6" s="614" customFormat="1" ht="2.25" customHeight="1">
      <c r="D4863" s="632"/>
      <c r="E4863" s="632"/>
    </row>
    <row r="4864" spans="3:6" s="614" customFormat="1">
      <c r="D4864" s="633" t="s">
        <v>4430</v>
      </c>
      <c r="E4864" s="633">
        <f>MAX(E4860,E4861,E4862)+(calcCh3Prod3SlotTotActive)*2</f>
        <v>46</v>
      </c>
      <c r="F4864" s="614" t="s">
        <v>11333</v>
      </c>
    </row>
    <row r="4865" spans="3:6" s="614" customFormat="1"/>
    <row r="4866" spans="3:6" s="614" customFormat="1">
      <c r="C4866" s="633" t="s">
        <v>13911</v>
      </c>
    </row>
    <row r="4867" spans="3:6" s="614" customFormat="1">
      <c r="D4867" s="614" t="s">
        <v>379</v>
      </c>
      <c r="E4867" s="614">
        <f>calcCh3Prod3Slot1Seg2PackFit</f>
        <v>44</v>
      </c>
    </row>
    <row r="4868" spans="3:6" s="614" customFormat="1">
      <c r="D4868" s="614" t="s">
        <v>394</v>
      </c>
      <c r="E4868" s="614">
        <f>calcCh3Prod3Slot2Seg2PackFit</f>
        <v>0</v>
      </c>
    </row>
    <row r="4869" spans="3:6" s="614" customFormat="1">
      <c r="D4869" s="614" t="s">
        <v>395</v>
      </c>
      <c r="E4869" s="614">
        <f>calcCh3Prod3Slot3Seg2PackFit</f>
        <v>0</v>
      </c>
    </row>
    <row r="4870" spans="3:6" s="614" customFormat="1" ht="2.25" customHeight="1">
      <c r="D4870" s="632"/>
      <c r="E4870" s="632"/>
    </row>
    <row r="4871" spans="3:6" s="614" customFormat="1">
      <c r="D4871" s="633" t="s">
        <v>4430</v>
      </c>
      <c r="E4871" s="633">
        <f>MAX(E4867,E4868,E4869)+(calcCh3Prod3SlotTotActive)*2</f>
        <v>46</v>
      </c>
      <c r="F4871" s="614" t="s">
        <v>11334</v>
      </c>
    </row>
    <row r="4872" spans="3:6" s="614" customFormat="1"/>
    <row r="4873" spans="3:6" s="614" customFormat="1">
      <c r="C4873" s="633" t="s">
        <v>13912</v>
      </c>
    </row>
    <row r="4874" spans="3:6" s="614" customFormat="1">
      <c r="D4874" s="614" t="s">
        <v>379</v>
      </c>
      <c r="E4874" s="614">
        <f>calcCh3Prod3Slot1Seg3PackFit</f>
        <v>29</v>
      </c>
    </row>
    <row r="4875" spans="3:6" s="614" customFormat="1">
      <c r="D4875" s="614" t="s">
        <v>394</v>
      </c>
      <c r="E4875" s="614">
        <f>calcCh3Prod3Slot2Seg3PackFit</f>
        <v>0</v>
      </c>
    </row>
    <row r="4876" spans="3:6" s="614" customFormat="1">
      <c r="D4876" s="614" t="s">
        <v>395</v>
      </c>
      <c r="E4876" s="614">
        <f>calcCh3Prod3Slot3Seg3PackFit</f>
        <v>0</v>
      </c>
    </row>
    <row r="4877" spans="3:6" s="614" customFormat="1" ht="2.25" customHeight="1">
      <c r="D4877" s="632"/>
      <c r="E4877" s="632"/>
    </row>
    <row r="4878" spans="3:6" s="614" customFormat="1">
      <c r="D4878" s="633" t="s">
        <v>4430</v>
      </c>
      <c r="E4878" s="633">
        <f>MAX(E4874,E4875,E4876)+(calcCh3Prod3SlotTotActive)*2</f>
        <v>31</v>
      </c>
      <c r="F4878" s="614" t="s">
        <v>11335</v>
      </c>
    </row>
    <row r="4879" spans="3:6" s="614" customFormat="1">
      <c r="D4879" s="633"/>
      <c r="E4879" s="633"/>
    </row>
    <row r="4880" spans="3:6" s="614" customFormat="1">
      <c r="C4880" s="633" t="s">
        <v>13913</v>
      </c>
    </row>
    <row r="4881" spans="3:6" s="614" customFormat="1">
      <c r="D4881" s="614" t="s">
        <v>379</v>
      </c>
      <c r="E4881" s="614">
        <f>calcCh3Prod3Slot1Seg4PackFit</f>
        <v>44</v>
      </c>
    </row>
    <row r="4882" spans="3:6" s="614" customFormat="1">
      <c r="D4882" s="614" t="s">
        <v>394</v>
      </c>
      <c r="E4882" s="614">
        <f>calcCh3Prod3Slot2Seg4PackFit</f>
        <v>0</v>
      </c>
    </row>
    <row r="4883" spans="3:6" s="614" customFormat="1">
      <c r="D4883" s="614" t="s">
        <v>395</v>
      </c>
      <c r="E4883" s="614">
        <f>calcCh3Prod3Slot3Seg4PackFit</f>
        <v>0</v>
      </c>
    </row>
    <row r="4884" spans="3:6" s="614" customFormat="1" ht="2.25" customHeight="1">
      <c r="D4884" s="632"/>
      <c r="E4884" s="632"/>
    </row>
    <row r="4885" spans="3:6" s="614" customFormat="1">
      <c r="D4885" s="633" t="s">
        <v>4430</v>
      </c>
      <c r="E4885" s="633">
        <f>MAX(E4881,E4882,E4883)+(calcCh3Prod3SlotTotActive)*2</f>
        <v>46</v>
      </c>
      <c r="F4885" s="614" t="s">
        <v>11336</v>
      </c>
    </row>
    <row r="4886" spans="3:6">
      <c r="E4886" s="614"/>
    </row>
    <row r="4887" spans="3:6">
      <c r="C4887" s="198" t="s">
        <v>13914</v>
      </c>
      <c r="E4887" s="614"/>
    </row>
    <row r="4888" spans="3:6">
      <c r="D4888" s="23" t="s">
        <v>379</v>
      </c>
      <c r="E4888" s="614">
        <f>calcCh3Prod4Slot1Seg1PackFit</f>
        <v>0</v>
      </c>
    </row>
    <row r="4889" spans="3:6">
      <c r="D4889" s="23" t="s">
        <v>394</v>
      </c>
      <c r="E4889" s="614">
        <f>calcCh3Prod4Slot2Seg1PackFit</f>
        <v>0</v>
      </c>
    </row>
    <row r="4890" spans="3:6">
      <c r="D4890" s="23" t="s">
        <v>395</v>
      </c>
      <c r="E4890" s="614">
        <f>calcCh3Prod4Slot3Seg1PackFit</f>
        <v>0</v>
      </c>
    </row>
    <row r="4891" spans="3:6" ht="2.25" customHeight="1">
      <c r="D4891" s="197"/>
      <c r="E4891" s="632"/>
    </row>
    <row r="4892" spans="3:6">
      <c r="D4892" s="198" t="s">
        <v>4430</v>
      </c>
      <c r="E4892" s="633">
        <f>MAX(E4888,E4889,E4890)+(calcCh3Prod4SlotTotActive)*2</f>
        <v>0</v>
      </c>
      <c r="F4892" s="23" t="s">
        <v>3642</v>
      </c>
    </row>
    <row r="4893" spans="3:6">
      <c r="E4893" s="614"/>
    </row>
    <row r="4894" spans="3:6">
      <c r="C4894" s="198" t="s">
        <v>13915</v>
      </c>
      <c r="E4894" s="614"/>
    </row>
    <row r="4895" spans="3:6">
      <c r="D4895" s="23" t="s">
        <v>379</v>
      </c>
      <c r="E4895" s="614">
        <f>calcCh3Prod4Slot1Seg2PackFit</f>
        <v>0</v>
      </c>
    </row>
    <row r="4896" spans="3:6">
      <c r="D4896" s="23" t="s">
        <v>394</v>
      </c>
      <c r="E4896" s="614">
        <f>calcCh3Prod4Slot2Seg2PackFit</f>
        <v>0</v>
      </c>
    </row>
    <row r="4897" spans="3:6">
      <c r="D4897" s="23" t="s">
        <v>395</v>
      </c>
      <c r="E4897" s="614">
        <f>calcCh3Prod4Slot3Seg2PackFit</f>
        <v>0</v>
      </c>
    </row>
    <row r="4898" spans="3:6" ht="2.25" customHeight="1">
      <c r="D4898" s="197"/>
      <c r="E4898" s="632"/>
    </row>
    <row r="4899" spans="3:6">
      <c r="D4899" s="198" t="s">
        <v>4430</v>
      </c>
      <c r="E4899" s="633">
        <f>MAX(E4895,E4896,E4897)+(calcCh3Prod4SlotTotActive)*2</f>
        <v>0</v>
      </c>
      <c r="F4899" s="23" t="s">
        <v>3643</v>
      </c>
    </row>
    <row r="4900" spans="3:6">
      <c r="E4900" s="614"/>
    </row>
    <row r="4901" spans="3:6">
      <c r="C4901" s="198" t="s">
        <v>13916</v>
      </c>
      <c r="E4901" s="614"/>
    </row>
    <row r="4902" spans="3:6">
      <c r="D4902" s="23" t="s">
        <v>379</v>
      </c>
      <c r="E4902" s="614">
        <f>calcCh3Prod4Slot1Seg3PackFit</f>
        <v>0</v>
      </c>
    </row>
    <row r="4903" spans="3:6">
      <c r="D4903" s="23" t="s">
        <v>394</v>
      </c>
      <c r="E4903" s="614">
        <f>calcCh3Prod4Slot2Seg3PackFit</f>
        <v>0</v>
      </c>
    </row>
    <row r="4904" spans="3:6">
      <c r="D4904" s="23" t="s">
        <v>395</v>
      </c>
      <c r="E4904" s="614">
        <f>calcCh3Prod4Slot3Seg3PackFit</f>
        <v>0</v>
      </c>
    </row>
    <row r="4905" spans="3:6" ht="2.25" customHeight="1">
      <c r="D4905" s="197"/>
      <c r="E4905" s="632"/>
    </row>
    <row r="4906" spans="3:6">
      <c r="D4906" s="198" t="s">
        <v>4430</v>
      </c>
      <c r="E4906" s="633">
        <f>MAX(E4902,E4903,E4904)+(calcCh3Prod4SlotTotActive)*2</f>
        <v>0</v>
      </c>
      <c r="F4906" s="23" t="s">
        <v>3644</v>
      </c>
    </row>
    <row r="4907" spans="3:6">
      <c r="D4907" s="198"/>
      <c r="E4907" s="633"/>
    </row>
    <row r="4908" spans="3:6">
      <c r="C4908" s="198" t="s">
        <v>13917</v>
      </c>
      <c r="E4908" s="614"/>
    </row>
    <row r="4909" spans="3:6">
      <c r="D4909" s="23" t="s">
        <v>379</v>
      </c>
      <c r="E4909" s="614">
        <f>calcCh3Prod4Slot1Seg4PackFit</f>
        <v>0</v>
      </c>
    </row>
    <row r="4910" spans="3:6">
      <c r="D4910" s="23" t="s">
        <v>394</v>
      </c>
      <c r="E4910" s="614">
        <f>calcCh3Prod4Slot2Seg4PackFit</f>
        <v>0</v>
      </c>
    </row>
    <row r="4911" spans="3:6">
      <c r="D4911" s="23" t="s">
        <v>395</v>
      </c>
      <c r="E4911" s="614">
        <f>calcCh3Prod4Slot3Seg4PackFit</f>
        <v>0</v>
      </c>
    </row>
    <row r="4912" spans="3:6" ht="2.25" customHeight="1">
      <c r="D4912" s="197"/>
      <c r="E4912" s="632"/>
    </row>
    <row r="4913" spans="1:6">
      <c r="D4913" s="198" t="s">
        <v>4430</v>
      </c>
      <c r="E4913" s="633">
        <f>MAX(E4909,E4910,E4911)+(calcCh3Prod4SlotTotActive)*2</f>
        <v>0</v>
      </c>
      <c r="F4913" s="23" t="s">
        <v>3645</v>
      </c>
    </row>
    <row r="4915" spans="1:6" s="81" customFormat="1">
      <c r="A4915" s="81" t="s">
        <v>13920</v>
      </c>
    </row>
    <row r="4917" spans="1:6">
      <c r="C4917" s="198" t="s">
        <v>13902</v>
      </c>
    </row>
    <row r="4918" spans="1:6">
      <c r="D4918" s="23" t="s">
        <v>379</v>
      </c>
      <c r="E4918" s="614">
        <f>calcCh4Prod1Slot1Seg1PackFit</f>
        <v>45</v>
      </c>
    </row>
    <row r="4919" spans="1:6">
      <c r="D4919" s="23" t="s">
        <v>394</v>
      </c>
      <c r="E4919" s="614">
        <f>calcCh4Prod1Slot2Seg1PackFit</f>
        <v>0</v>
      </c>
    </row>
    <row r="4920" spans="1:6">
      <c r="D4920" s="23" t="s">
        <v>395</v>
      </c>
      <c r="E4920" s="614">
        <f>calcCh4Prod1Slot3Seg1PackFit</f>
        <v>0</v>
      </c>
    </row>
    <row r="4921" spans="1:6" ht="2.25" customHeight="1">
      <c r="D4921" s="197"/>
      <c r="E4921" s="632"/>
    </row>
    <row r="4922" spans="1:6">
      <c r="D4922" s="198" t="s">
        <v>4430</v>
      </c>
      <c r="E4922" s="633">
        <f>MAX(E4918,E4919,E4920)+(calcCh4Prod1SlotTotActive)*2</f>
        <v>47</v>
      </c>
      <c r="F4922" s="23" t="s">
        <v>3630</v>
      </c>
    </row>
    <row r="4923" spans="1:6">
      <c r="E4923" s="614"/>
    </row>
    <row r="4924" spans="1:6">
      <c r="C4924" s="198" t="s">
        <v>13903</v>
      </c>
      <c r="E4924" s="614"/>
    </row>
    <row r="4925" spans="1:6">
      <c r="D4925" s="23" t="s">
        <v>379</v>
      </c>
      <c r="E4925" s="614">
        <f>calcCh4Prod1Slot1Seg2PackFit</f>
        <v>45</v>
      </c>
    </row>
    <row r="4926" spans="1:6">
      <c r="D4926" s="23" t="s">
        <v>394</v>
      </c>
      <c r="E4926" s="614">
        <f>calcCh4Prod1Slot2Seg2PackFit</f>
        <v>0</v>
      </c>
    </row>
    <row r="4927" spans="1:6">
      <c r="D4927" s="23" t="s">
        <v>395</v>
      </c>
      <c r="E4927" s="614">
        <f>calcCh4Prod1Slot3Seg2PackFit</f>
        <v>0</v>
      </c>
    </row>
    <row r="4928" spans="1:6" ht="2.25" customHeight="1">
      <c r="D4928" s="197"/>
      <c r="E4928" s="632"/>
    </row>
    <row r="4929" spans="3:6">
      <c r="D4929" s="198" t="s">
        <v>4430</v>
      </c>
      <c r="E4929" s="633">
        <f>MAX(E4925,E4926,E4927)+(calcCh4Prod1SlotTotActive)*2</f>
        <v>47</v>
      </c>
      <c r="F4929" s="23" t="s">
        <v>3631</v>
      </c>
    </row>
    <row r="4930" spans="3:6">
      <c r="E4930" s="614"/>
    </row>
    <row r="4931" spans="3:6">
      <c r="C4931" s="198" t="s">
        <v>13904</v>
      </c>
      <c r="E4931" s="614"/>
    </row>
    <row r="4932" spans="3:6">
      <c r="D4932" s="23" t="s">
        <v>379</v>
      </c>
      <c r="E4932" s="614">
        <f>calcCh4Prod1Slot1Seg3PackFit</f>
        <v>40</v>
      </c>
    </row>
    <row r="4933" spans="3:6">
      <c r="D4933" s="23" t="s">
        <v>394</v>
      </c>
      <c r="E4933" s="614">
        <f>calcCh4Prod1Slot2Seg3PackFit</f>
        <v>0</v>
      </c>
    </row>
    <row r="4934" spans="3:6">
      <c r="D4934" s="23" t="s">
        <v>395</v>
      </c>
      <c r="E4934" s="614">
        <f>calcCh4Prod1Slot3Seg3PackFit</f>
        <v>0</v>
      </c>
    </row>
    <row r="4935" spans="3:6" ht="2.25" customHeight="1">
      <c r="D4935" s="197"/>
      <c r="E4935" s="632"/>
    </row>
    <row r="4936" spans="3:6">
      <c r="D4936" s="198" t="s">
        <v>4430</v>
      </c>
      <c r="E4936" s="633">
        <f>MAX(E4932,E4933,E4934)+(calcCh4Prod1SlotTotActive)*2</f>
        <v>42</v>
      </c>
      <c r="F4936" s="23" t="s">
        <v>3632</v>
      </c>
    </row>
    <row r="4937" spans="3:6">
      <c r="D4937" s="198"/>
      <c r="E4937" s="633"/>
    </row>
    <row r="4938" spans="3:6">
      <c r="C4938" s="198" t="s">
        <v>13905</v>
      </c>
      <c r="E4938" s="614"/>
    </row>
    <row r="4939" spans="3:6">
      <c r="D4939" s="23" t="s">
        <v>379</v>
      </c>
      <c r="E4939" s="614">
        <f>calcCh4Prod1Slot1Seg4PackFit</f>
        <v>45</v>
      </c>
    </row>
    <row r="4940" spans="3:6">
      <c r="D4940" s="23" t="s">
        <v>394</v>
      </c>
      <c r="E4940" s="614">
        <f>calcCh4Prod1Slot2Seg4PackFit</f>
        <v>0</v>
      </c>
    </row>
    <row r="4941" spans="3:6">
      <c r="D4941" s="23" t="s">
        <v>395</v>
      </c>
      <c r="E4941" s="614">
        <f>calcCh4Prod1Slot3Seg4PackFit</f>
        <v>0</v>
      </c>
    </row>
    <row r="4942" spans="3:6" ht="2.25" customHeight="1">
      <c r="D4942" s="197"/>
      <c r="E4942" s="632"/>
    </row>
    <row r="4943" spans="3:6">
      <c r="D4943" s="198" t="s">
        <v>4430</v>
      </c>
      <c r="E4943" s="633">
        <f>MAX(E4939,E4940,E4941)+(calcCh4Prod1SlotTotActive)*2</f>
        <v>47</v>
      </c>
      <c r="F4943" s="23" t="s">
        <v>3633</v>
      </c>
    </row>
    <row r="4944" spans="3:6">
      <c r="E4944" s="614"/>
    </row>
    <row r="4945" spans="3:6" s="614" customFormat="1">
      <c r="C4945" s="633" t="s">
        <v>13906</v>
      </c>
    </row>
    <row r="4946" spans="3:6" s="614" customFormat="1">
      <c r="D4946" s="614" t="s">
        <v>379</v>
      </c>
      <c r="E4946" s="614">
        <f>calcCh4Prod2Slot1Seg1PackFit</f>
        <v>45</v>
      </c>
    </row>
    <row r="4947" spans="3:6" s="614" customFormat="1">
      <c r="D4947" s="614" t="s">
        <v>394</v>
      </c>
      <c r="E4947" s="614">
        <f>calcCh4Prod2Slot2Seg1PackFit</f>
        <v>0</v>
      </c>
    </row>
    <row r="4948" spans="3:6" s="614" customFormat="1">
      <c r="D4948" s="614" t="s">
        <v>395</v>
      </c>
      <c r="E4948" s="614">
        <f>calcCh4Prod2Slot3Seg1PackFit</f>
        <v>0</v>
      </c>
    </row>
    <row r="4949" spans="3:6" s="614" customFormat="1" ht="2.25" customHeight="1">
      <c r="D4949" s="632"/>
      <c r="E4949" s="632"/>
    </row>
    <row r="4950" spans="3:6" s="614" customFormat="1">
      <c r="D4950" s="633" t="s">
        <v>4430</v>
      </c>
      <c r="E4950" s="633">
        <f>MAX(E4946,E4947,E4948)+(calcCh4Prod2SlotTotActive)*2</f>
        <v>47</v>
      </c>
      <c r="F4950" s="614" t="s">
        <v>11337</v>
      </c>
    </row>
    <row r="4951" spans="3:6" s="614" customFormat="1"/>
    <row r="4952" spans="3:6" s="614" customFormat="1">
      <c r="C4952" s="633" t="s">
        <v>13907</v>
      </c>
    </row>
    <row r="4953" spans="3:6" s="614" customFormat="1">
      <c r="D4953" s="614" t="s">
        <v>379</v>
      </c>
      <c r="E4953" s="614">
        <f>calcCh4Prod2Slot1Seg2PackFit</f>
        <v>45</v>
      </c>
    </row>
    <row r="4954" spans="3:6" s="614" customFormat="1">
      <c r="D4954" s="614" t="s">
        <v>394</v>
      </c>
      <c r="E4954" s="614">
        <f>calcCh4Prod2Slot2Seg2PackFit</f>
        <v>0</v>
      </c>
    </row>
    <row r="4955" spans="3:6" s="614" customFormat="1">
      <c r="D4955" s="614" t="s">
        <v>395</v>
      </c>
      <c r="E4955" s="614">
        <f>calcCh4Prod2Slot3Seg2PackFit</f>
        <v>0</v>
      </c>
    </row>
    <row r="4956" spans="3:6" s="614" customFormat="1" ht="2.25" customHeight="1">
      <c r="D4956" s="632"/>
      <c r="E4956" s="632"/>
    </row>
    <row r="4957" spans="3:6" s="614" customFormat="1">
      <c r="D4957" s="633" t="s">
        <v>4430</v>
      </c>
      <c r="E4957" s="633">
        <f>MAX(E4953,E4954,E4955)+(calcCh4Prod2SlotTotActive)*2</f>
        <v>47</v>
      </c>
      <c r="F4957" s="614" t="s">
        <v>11338</v>
      </c>
    </row>
    <row r="4958" spans="3:6" s="614" customFormat="1"/>
    <row r="4959" spans="3:6" s="614" customFormat="1">
      <c r="C4959" s="633" t="s">
        <v>13908</v>
      </c>
    </row>
    <row r="4960" spans="3:6" s="614" customFormat="1">
      <c r="D4960" s="614" t="s">
        <v>379</v>
      </c>
      <c r="E4960" s="614">
        <f>calcCh4Prod2Slot1Seg3PackFit</f>
        <v>40</v>
      </c>
    </row>
    <row r="4961" spans="3:6" s="614" customFormat="1">
      <c r="D4961" s="614" t="s">
        <v>394</v>
      </c>
      <c r="E4961" s="614">
        <f>calcCh4Prod2Slot2Seg3PackFit</f>
        <v>0</v>
      </c>
    </row>
    <row r="4962" spans="3:6" s="614" customFormat="1">
      <c r="D4962" s="614" t="s">
        <v>395</v>
      </c>
      <c r="E4962" s="614">
        <f>calcCh4Prod2Slot3Seg3PackFit</f>
        <v>0</v>
      </c>
    </row>
    <row r="4963" spans="3:6" s="614" customFormat="1" ht="2.25" customHeight="1">
      <c r="D4963" s="632"/>
      <c r="E4963" s="632"/>
    </row>
    <row r="4964" spans="3:6" s="614" customFormat="1">
      <c r="D4964" s="633" t="s">
        <v>4430</v>
      </c>
      <c r="E4964" s="633">
        <f>MAX(E4960,E4961,E4962)+(calcCh4Prod2SlotTotActive)*2</f>
        <v>42</v>
      </c>
      <c r="F4964" s="614" t="s">
        <v>11339</v>
      </c>
    </row>
    <row r="4965" spans="3:6" s="614" customFormat="1">
      <c r="D4965" s="633"/>
      <c r="E4965" s="633"/>
    </row>
    <row r="4966" spans="3:6" s="614" customFormat="1">
      <c r="C4966" s="633" t="s">
        <v>13909</v>
      </c>
    </row>
    <row r="4967" spans="3:6" s="614" customFormat="1">
      <c r="D4967" s="614" t="s">
        <v>379</v>
      </c>
      <c r="E4967" s="614">
        <f>calcCh4Prod2Slot1Seg4PackFit</f>
        <v>45</v>
      </c>
    </row>
    <row r="4968" spans="3:6" s="614" customFormat="1">
      <c r="D4968" s="614" t="s">
        <v>394</v>
      </c>
      <c r="E4968" s="614">
        <f>calcCh4Prod2Slot2Seg4PackFit</f>
        <v>0</v>
      </c>
    </row>
    <row r="4969" spans="3:6" s="614" customFormat="1">
      <c r="D4969" s="614" t="s">
        <v>395</v>
      </c>
      <c r="E4969" s="614">
        <f>calcCh4Prod2Slot3Seg4PackFit</f>
        <v>0</v>
      </c>
    </row>
    <row r="4970" spans="3:6" s="614" customFormat="1" ht="2.25" customHeight="1">
      <c r="D4970" s="632"/>
      <c r="E4970" s="632"/>
    </row>
    <row r="4971" spans="3:6" s="614" customFormat="1">
      <c r="D4971" s="633" t="s">
        <v>4430</v>
      </c>
      <c r="E4971" s="633">
        <f>MAX(E4967,E4968,E4969)+(calcCh4Prod2SlotTotActive)*2</f>
        <v>47</v>
      </c>
      <c r="F4971" s="614" t="s">
        <v>11340</v>
      </c>
    </row>
    <row r="4972" spans="3:6" s="614" customFormat="1"/>
    <row r="4973" spans="3:6" s="614" customFormat="1">
      <c r="C4973" s="633" t="s">
        <v>13910</v>
      </c>
    </row>
    <row r="4974" spans="3:6" s="614" customFormat="1">
      <c r="D4974" s="614" t="s">
        <v>379</v>
      </c>
      <c r="E4974" s="614">
        <f>calcCh4Prod3Slot1Seg1PackFit</f>
        <v>45</v>
      </c>
    </row>
    <row r="4975" spans="3:6" s="614" customFormat="1">
      <c r="D4975" s="614" t="s">
        <v>394</v>
      </c>
      <c r="E4975" s="614">
        <f>calcCh4Prod3Slot2Seg1PackFit</f>
        <v>0</v>
      </c>
    </row>
    <row r="4976" spans="3:6" s="614" customFormat="1">
      <c r="D4976" s="614" t="s">
        <v>395</v>
      </c>
      <c r="E4976" s="614">
        <f>calcCh4Prod3Slot3Seg1PackFit</f>
        <v>0</v>
      </c>
    </row>
    <row r="4977" spans="3:6" s="614" customFormat="1" ht="2.25" customHeight="1">
      <c r="D4977" s="632"/>
      <c r="E4977" s="632"/>
    </row>
    <row r="4978" spans="3:6" s="614" customFormat="1">
      <c r="D4978" s="633" t="s">
        <v>4430</v>
      </c>
      <c r="E4978" s="633">
        <f>MAX(E4974,E4975,E4976)+(calcCh4Prod3SlotTotActive)*2</f>
        <v>47</v>
      </c>
      <c r="F4978" s="614" t="s">
        <v>11341</v>
      </c>
    </row>
    <row r="4979" spans="3:6" s="614" customFormat="1"/>
    <row r="4980" spans="3:6" s="614" customFormat="1">
      <c r="C4980" s="633" t="s">
        <v>13911</v>
      </c>
    </row>
    <row r="4981" spans="3:6" s="614" customFormat="1">
      <c r="D4981" s="614" t="s">
        <v>379</v>
      </c>
      <c r="E4981" s="614">
        <f>calcCh4Prod3Slot1Seg2PackFit</f>
        <v>45</v>
      </c>
    </row>
    <row r="4982" spans="3:6" s="614" customFormat="1">
      <c r="D4982" s="614" t="s">
        <v>394</v>
      </c>
      <c r="E4982" s="614">
        <f>calcCh4Prod3Slot2Seg2PackFit</f>
        <v>0</v>
      </c>
    </row>
    <row r="4983" spans="3:6" s="614" customFormat="1">
      <c r="D4983" s="614" t="s">
        <v>395</v>
      </c>
      <c r="E4983" s="614">
        <f>calcCh4Prod3Slot3Seg2PackFit</f>
        <v>0</v>
      </c>
    </row>
    <row r="4984" spans="3:6" s="614" customFormat="1" ht="2.25" customHeight="1">
      <c r="D4984" s="632"/>
      <c r="E4984" s="632"/>
    </row>
    <row r="4985" spans="3:6" s="614" customFormat="1">
      <c r="D4985" s="633" t="s">
        <v>4430</v>
      </c>
      <c r="E4985" s="633">
        <f>MAX(E4981,E4982,E4983)+(calcCh4Prod3SlotTotActive)*2</f>
        <v>47</v>
      </c>
      <c r="F4985" s="614" t="s">
        <v>11342</v>
      </c>
    </row>
    <row r="4986" spans="3:6" s="614" customFormat="1"/>
    <row r="4987" spans="3:6" s="614" customFormat="1">
      <c r="C4987" s="633" t="s">
        <v>13912</v>
      </c>
    </row>
    <row r="4988" spans="3:6" s="614" customFormat="1">
      <c r="D4988" s="614" t="s">
        <v>379</v>
      </c>
      <c r="E4988" s="614">
        <f>calcCh4Prod3Slot1Seg3PackFit</f>
        <v>40</v>
      </c>
    </row>
    <row r="4989" spans="3:6" s="614" customFormat="1">
      <c r="D4989" s="614" t="s">
        <v>394</v>
      </c>
      <c r="E4989" s="614">
        <f>calcCh4Prod3Slot2Seg3PackFit</f>
        <v>0</v>
      </c>
    </row>
    <row r="4990" spans="3:6" s="614" customFormat="1">
      <c r="D4990" s="614" t="s">
        <v>395</v>
      </c>
      <c r="E4990" s="614">
        <f>calcCh4Prod3Slot3Seg3PackFit</f>
        <v>0</v>
      </c>
    </row>
    <row r="4991" spans="3:6" s="614" customFormat="1" ht="2.25" customHeight="1">
      <c r="D4991" s="632"/>
      <c r="E4991" s="632"/>
    </row>
    <row r="4992" spans="3:6" s="614" customFormat="1">
      <c r="D4992" s="633" t="s">
        <v>4430</v>
      </c>
      <c r="E4992" s="633">
        <f>MAX(E4988,E4989,E4990)+(calcCh4Prod3SlotTotActive)*2</f>
        <v>42</v>
      </c>
      <c r="F4992" s="614" t="s">
        <v>11343</v>
      </c>
    </row>
    <row r="4993" spans="3:6" s="614" customFormat="1">
      <c r="D4993" s="633"/>
      <c r="E4993" s="633"/>
    </row>
    <row r="4994" spans="3:6" s="614" customFormat="1">
      <c r="C4994" s="633" t="s">
        <v>13913</v>
      </c>
    </row>
    <row r="4995" spans="3:6" s="614" customFormat="1">
      <c r="D4995" s="614" t="s">
        <v>379</v>
      </c>
      <c r="E4995" s="614">
        <f>calcCh4Prod3Slot1Seg4PackFit</f>
        <v>45</v>
      </c>
    </row>
    <row r="4996" spans="3:6" s="614" customFormat="1">
      <c r="D4996" s="614" t="s">
        <v>394</v>
      </c>
      <c r="E4996" s="614">
        <f>calcCh4Prod3Slot2Seg4PackFit</f>
        <v>0</v>
      </c>
    </row>
    <row r="4997" spans="3:6" s="614" customFormat="1">
      <c r="D4997" s="614" t="s">
        <v>395</v>
      </c>
      <c r="E4997" s="614">
        <f>calcCh4Prod3Slot3Seg4PackFit</f>
        <v>0</v>
      </c>
    </row>
    <row r="4998" spans="3:6" s="614" customFormat="1" ht="2.25" customHeight="1">
      <c r="D4998" s="632"/>
      <c r="E4998" s="632"/>
    </row>
    <row r="4999" spans="3:6" s="614" customFormat="1">
      <c r="D4999" s="633" t="s">
        <v>4430</v>
      </c>
      <c r="E4999" s="633">
        <f>MAX(E4995,E4996,E4997)+(calcCh4Prod3SlotTotActive)*2</f>
        <v>47</v>
      </c>
      <c r="F4999" s="614" t="s">
        <v>11344</v>
      </c>
    </row>
    <row r="5000" spans="3:6">
      <c r="E5000" s="614"/>
    </row>
    <row r="5001" spans="3:6">
      <c r="C5001" s="198" t="s">
        <v>13914</v>
      </c>
      <c r="E5001" s="614"/>
    </row>
    <row r="5002" spans="3:6">
      <c r="D5002" s="23" t="s">
        <v>379</v>
      </c>
      <c r="E5002" s="614">
        <f>calcCh4Prod4Slot1Seg1PackFit</f>
        <v>45</v>
      </c>
    </row>
    <row r="5003" spans="3:6">
      <c r="D5003" s="23" t="s">
        <v>394</v>
      </c>
      <c r="E5003" s="614">
        <f>calcCh4Prod4Slot2Seg1PackFit</f>
        <v>0</v>
      </c>
    </row>
    <row r="5004" spans="3:6">
      <c r="D5004" s="23" t="s">
        <v>395</v>
      </c>
      <c r="E5004" s="614">
        <f>calcCh4Prod4Slot3Seg1PackFit</f>
        <v>0</v>
      </c>
    </row>
    <row r="5005" spans="3:6" ht="2.25" customHeight="1">
      <c r="D5005" s="197"/>
      <c r="E5005" s="632"/>
    </row>
    <row r="5006" spans="3:6">
      <c r="D5006" s="198" t="s">
        <v>4430</v>
      </c>
      <c r="E5006" s="633">
        <f>MAX(E5002,E5003,E5004)+(calcCh4Prod4SlotTotActive)*2</f>
        <v>47</v>
      </c>
      <c r="F5006" s="23" t="s">
        <v>3634</v>
      </c>
    </row>
    <row r="5007" spans="3:6">
      <c r="E5007" s="614"/>
    </row>
    <row r="5008" spans="3:6">
      <c r="C5008" s="198" t="s">
        <v>13915</v>
      </c>
      <c r="E5008" s="614"/>
    </row>
    <row r="5009" spans="3:6">
      <c r="D5009" s="23" t="s">
        <v>379</v>
      </c>
      <c r="E5009" s="614">
        <f>calcCh4Prod4Slot1Seg2PackFit</f>
        <v>45</v>
      </c>
    </row>
    <row r="5010" spans="3:6">
      <c r="D5010" s="23" t="s">
        <v>394</v>
      </c>
      <c r="E5010" s="614">
        <f>calcCh4Prod4Slot2Seg2PackFit</f>
        <v>0</v>
      </c>
    </row>
    <row r="5011" spans="3:6">
      <c r="D5011" s="23" t="s">
        <v>395</v>
      </c>
      <c r="E5011" s="614">
        <f>calcCh4Prod4Slot3Seg2PackFit</f>
        <v>0</v>
      </c>
    </row>
    <row r="5012" spans="3:6" ht="2.25" customHeight="1">
      <c r="D5012" s="197"/>
      <c r="E5012" s="632"/>
    </row>
    <row r="5013" spans="3:6">
      <c r="D5013" s="198" t="s">
        <v>4430</v>
      </c>
      <c r="E5013" s="633">
        <f>MAX(E5009,E5010,E5011)+(calcCh4Prod4SlotTotActive)*2</f>
        <v>47</v>
      </c>
      <c r="F5013" s="23" t="s">
        <v>3635</v>
      </c>
    </row>
    <row r="5014" spans="3:6">
      <c r="E5014" s="614"/>
    </row>
    <row r="5015" spans="3:6">
      <c r="C5015" s="198" t="s">
        <v>13916</v>
      </c>
      <c r="E5015" s="614"/>
    </row>
    <row r="5016" spans="3:6">
      <c r="D5016" s="23" t="s">
        <v>379</v>
      </c>
      <c r="E5016" s="614">
        <f>calcCh4Prod4Slot1Seg3PackFit</f>
        <v>30</v>
      </c>
    </row>
    <row r="5017" spans="3:6">
      <c r="D5017" s="23" t="s">
        <v>394</v>
      </c>
      <c r="E5017" s="614">
        <f>calcCh4Prod4Slot2Seg3PackFit</f>
        <v>0</v>
      </c>
    </row>
    <row r="5018" spans="3:6">
      <c r="D5018" s="23" t="s">
        <v>395</v>
      </c>
      <c r="E5018" s="614">
        <f>calcCh4Prod4Slot3Seg3PackFit</f>
        <v>0</v>
      </c>
    </row>
    <row r="5019" spans="3:6" ht="2.25" customHeight="1">
      <c r="D5019" s="197"/>
      <c r="E5019" s="632"/>
    </row>
    <row r="5020" spans="3:6">
      <c r="D5020" s="198" t="s">
        <v>4430</v>
      </c>
      <c r="E5020" s="633">
        <f>MAX(E5016,E5017,E5018)+(calcCh4Prod4SlotTotActive)*2</f>
        <v>32</v>
      </c>
      <c r="F5020" s="23" t="s">
        <v>3636</v>
      </c>
    </row>
    <row r="5021" spans="3:6">
      <c r="D5021" s="198"/>
      <c r="E5021" s="633"/>
    </row>
    <row r="5022" spans="3:6">
      <c r="C5022" s="198" t="s">
        <v>13917</v>
      </c>
      <c r="E5022" s="614"/>
    </row>
    <row r="5023" spans="3:6">
      <c r="D5023" s="23" t="s">
        <v>379</v>
      </c>
      <c r="E5023" s="614">
        <f>calcCh4Prod4Slot1Seg4PackFit</f>
        <v>45</v>
      </c>
    </row>
    <row r="5024" spans="3:6">
      <c r="D5024" s="23" t="s">
        <v>394</v>
      </c>
      <c r="E5024" s="614">
        <f>calcCh4Prod4Slot2Seg4PackFit</f>
        <v>0</v>
      </c>
    </row>
    <row r="5025" spans="1:6">
      <c r="D5025" s="23" t="s">
        <v>395</v>
      </c>
      <c r="E5025" s="614">
        <f>calcCh4Prod4Slot3Seg4PackFit</f>
        <v>0</v>
      </c>
    </row>
    <row r="5026" spans="1:6" ht="2.25" customHeight="1">
      <c r="D5026" s="197"/>
      <c r="E5026" s="632"/>
    </row>
    <row r="5027" spans="1:6">
      <c r="D5027" s="198" t="s">
        <v>4430</v>
      </c>
      <c r="E5027" s="633">
        <f>MAX(E5023,E5024,E5025)+(calcCh4Prod4SlotTotActive)*2</f>
        <v>47</v>
      </c>
      <c r="F5027" s="23" t="s">
        <v>3637</v>
      </c>
    </row>
    <row r="5029" spans="1:6" s="81" customFormat="1">
      <c r="A5029" s="81" t="s">
        <v>786</v>
      </c>
    </row>
    <row r="5031" spans="1:6">
      <c r="C5031" s="198" t="s">
        <v>244</v>
      </c>
    </row>
    <row r="5032" spans="1:6">
      <c r="D5032" s="23" t="s">
        <v>789</v>
      </c>
      <c r="E5032" s="89" t="str">
        <f>decCh1MarkPlan</f>
        <v>Select Plan</v>
      </c>
      <c r="F5032" s="23" t="s">
        <v>795</v>
      </c>
    </row>
    <row r="5033" spans="1:6" ht="1.5" customHeight="1">
      <c r="C5033" s="197"/>
      <c r="D5033" s="197"/>
      <c r="E5033" s="265"/>
    </row>
    <row r="5034" spans="1:6">
      <c r="D5034" s="23" t="s">
        <v>13816</v>
      </c>
      <c r="E5034" s="23">
        <f>VLOOKUP(calcCh1MarkPlan,dataMarketingPlansExp,2,FALSE)</f>
        <v>0</v>
      </c>
      <c r="F5034" s="23" t="s">
        <v>796</v>
      </c>
    </row>
    <row r="5035" spans="1:6">
      <c r="D5035" s="23" t="s">
        <v>1719</v>
      </c>
      <c r="E5035" s="258">
        <f>VLOOKUP(calcCh1MarkPlan,dataMarketingPlansExp,3,FALSE)+paramTM</f>
        <v>0</v>
      </c>
      <c r="F5035" s="23" t="s">
        <v>797</v>
      </c>
    </row>
    <row r="5036" spans="1:6" s="614" customFormat="1">
      <c r="E5036" s="641"/>
    </row>
    <row r="5037" spans="1:6" s="614" customFormat="1">
      <c r="D5037" s="614" t="s">
        <v>13921</v>
      </c>
      <c r="E5037" s="690">
        <f>VLOOKUP(calcCh1MarkPlan,dataMarketingPlansFit,2,FALSE)+paramCh1MarkPlanSI</f>
        <v>0.95</v>
      </c>
      <c r="F5037" s="614" t="s">
        <v>11242</v>
      </c>
    </row>
    <row r="5038" spans="1:6" s="614" customFormat="1">
      <c r="D5038" s="614" t="s">
        <v>13922</v>
      </c>
      <c r="E5038" s="690">
        <f>VLOOKUP(calcCh1MarkPlan,dataMarketingPlansFit,3,FALSE)+paramCh1MarkPlanSI</f>
        <v>0.95</v>
      </c>
      <c r="F5038" s="614" t="s">
        <v>11245</v>
      </c>
    </row>
    <row r="5039" spans="1:6" s="614" customFormat="1">
      <c r="D5039" s="614" t="s">
        <v>13923</v>
      </c>
      <c r="E5039" s="690">
        <f>VLOOKUP(calcCh1MarkPlan,dataMarketingPlansFit,4,FALSE)+paramCh1MarkPlanSI</f>
        <v>0.95</v>
      </c>
      <c r="F5039" s="614" t="s">
        <v>11244</v>
      </c>
    </row>
    <row r="5040" spans="1:6" s="614" customFormat="1">
      <c r="D5040" s="614" t="s">
        <v>13924</v>
      </c>
      <c r="E5040" s="690">
        <f>VLOOKUP(calcCh1MarkPlan,dataMarketingPlansFit,5,FALSE)+paramCh1MarkPlanSI</f>
        <v>0.95</v>
      </c>
      <c r="F5040" s="614" t="s">
        <v>11243</v>
      </c>
    </row>
    <row r="5041" spans="3:6" s="614" customFormat="1">
      <c r="E5041" s="641"/>
    </row>
    <row r="5043" spans="3:6">
      <c r="C5043" s="198" t="s">
        <v>245</v>
      </c>
    </row>
    <row r="5044" spans="3:6">
      <c r="D5044" s="23" t="s">
        <v>789</v>
      </c>
      <c r="E5044" s="89" t="str">
        <f>decCh2MarkPlan</f>
        <v>Select Plan</v>
      </c>
      <c r="F5044" s="23" t="s">
        <v>798</v>
      </c>
    </row>
    <row r="5045" spans="3:6" ht="1.5" customHeight="1">
      <c r="C5045" s="197"/>
      <c r="D5045" s="197"/>
      <c r="E5045" s="265"/>
    </row>
    <row r="5046" spans="3:6">
      <c r="D5046" s="23" t="s">
        <v>13816</v>
      </c>
      <c r="E5046" s="23">
        <f>VLOOKUP(calcCh2MarkPlan,dataMarketingPlansExp,2,FALSE)</f>
        <v>0</v>
      </c>
      <c r="F5046" s="23" t="s">
        <v>799</v>
      </c>
    </row>
    <row r="5047" spans="3:6">
      <c r="D5047" s="23" t="s">
        <v>1719</v>
      </c>
      <c r="E5047" s="258">
        <f>VLOOKUP(calcCh2MarkPlan,dataMarketingPlansExp,3,FALSE)+paramTM</f>
        <v>0</v>
      </c>
      <c r="F5047" s="23" t="s">
        <v>800</v>
      </c>
    </row>
    <row r="5048" spans="3:6" s="614" customFormat="1">
      <c r="E5048" s="641"/>
    </row>
    <row r="5049" spans="3:6" s="614" customFormat="1">
      <c r="D5049" s="614" t="s">
        <v>13921</v>
      </c>
      <c r="E5049" s="690">
        <f>VLOOKUP(calcCh2MarkPlan,dataMarketingPlansFit,2,FALSE)+paramCh2MarkPlanSI</f>
        <v>0.95</v>
      </c>
      <c r="F5049" s="614" t="s">
        <v>11253</v>
      </c>
    </row>
    <row r="5050" spans="3:6" s="614" customFormat="1">
      <c r="D5050" s="614" t="s">
        <v>13922</v>
      </c>
      <c r="E5050" s="690">
        <f>VLOOKUP(calcCh2MarkPlan,dataMarketingPlansFit,3,FALSE)+paramCh2MarkPlanSI</f>
        <v>0.95</v>
      </c>
      <c r="F5050" s="614" t="s">
        <v>11254</v>
      </c>
    </row>
    <row r="5051" spans="3:6" s="614" customFormat="1">
      <c r="D5051" s="614" t="s">
        <v>13923</v>
      </c>
      <c r="E5051" s="690">
        <f>VLOOKUP(calcCh2MarkPlan,dataMarketingPlansFit,4,FALSE)+paramCh2MarkPlanSI</f>
        <v>0.95</v>
      </c>
      <c r="F5051" s="614" t="s">
        <v>11255</v>
      </c>
    </row>
    <row r="5052" spans="3:6" s="614" customFormat="1">
      <c r="D5052" s="614" t="s">
        <v>13924</v>
      </c>
      <c r="E5052" s="690">
        <f>VLOOKUP(calcCh2MarkPlan,dataMarketingPlansFit,5,FALSE)+paramCh2MarkPlanSI</f>
        <v>0.95</v>
      </c>
      <c r="F5052" s="614" t="s">
        <v>11256</v>
      </c>
    </row>
    <row r="5054" spans="3:6">
      <c r="C5054" s="198" t="s">
        <v>5199</v>
      </c>
    </row>
    <row r="5055" spans="3:6">
      <c r="D5055" s="23" t="s">
        <v>789</v>
      </c>
      <c r="E5055" s="89" t="str">
        <f>decCh3MarkPlan</f>
        <v>Select Plan</v>
      </c>
      <c r="F5055" s="23" t="s">
        <v>801</v>
      </c>
    </row>
    <row r="5056" spans="3:6" ht="1.5" customHeight="1">
      <c r="C5056" s="197"/>
      <c r="D5056" s="197"/>
      <c r="E5056" s="265"/>
    </row>
    <row r="5057" spans="3:6">
      <c r="D5057" s="23" t="s">
        <v>13816</v>
      </c>
      <c r="E5057" s="23">
        <f>VLOOKUP(calcCh3MarkPlan,dataMarketingPlansExp,2,FALSE)</f>
        <v>0</v>
      </c>
      <c r="F5057" s="23" t="s">
        <v>802</v>
      </c>
    </row>
    <row r="5058" spans="3:6">
      <c r="D5058" s="23" t="s">
        <v>1719</v>
      </c>
      <c r="E5058" s="258">
        <f>VLOOKUP(calcCh3MarkPlan,dataMarketingPlansExp,3,FALSE)+paramTM</f>
        <v>0</v>
      </c>
      <c r="F5058" s="23" t="s">
        <v>803</v>
      </c>
    </row>
    <row r="5059" spans="3:6" s="614" customFormat="1">
      <c r="E5059" s="641"/>
    </row>
    <row r="5060" spans="3:6" s="614" customFormat="1">
      <c r="D5060" s="614" t="s">
        <v>13921</v>
      </c>
      <c r="E5060" s="690">
        <f>VLOOKUP(calcCh3MarkPlan,dataMarketingPlansFit,2,FALSE)+paramCh3MarkPlanSI</f>
        <v>0.95</v>
      </c>
      <c r="F5060" s="614" t="s">
        <v>11257</v>
      </c>
    </row>
    <row r="5061" spans="3:6" s="614" customFormat="1">
      <c r="D5061" s="614" t="s">
        <v>13922</v>
      </c>
      <c r="E5061" s="690">
        <f>VLOOKUP(calcCh3MarkPlan,dataMarketingPlansFit,3,FALSE)+paramCh3MarkPlanSI</f>
        <v>0.95</v>
      </c>
      <c r="F5061" s="614" t="s">
        <v>11258</v>
      </c>
    </row>
    <row r="5062" spans="3:6" s="614" customFormat="1">
      <c r="D5062" s="614" t="s">
        <v>13923</v>
      </c>
      <c r="E5062" s="690">
        <f>VLOOKUP(calcCh3MarkPlan,dataMarketingPlansFit,4,FALSE)+paramCh3MarkPlanSI</f>
        <v>0.95</v>
      </c>
      <c r="F5062" s="614" t="s">
        <v>11259</v>
      </c>
    </row>
    <row r="5063" spans="3:6" s="614" customFormat="1">
      <c r="D5063" s="614" t="s">
        <v>13924</v>
      </c>
      <c r="E5063" s="690">
        <f>VLOOKUP(calcCh3MarkPlan,dataMarketingPlansFit,5,FALSE)+paramCh3MarkPlanSI</f>
        <v>0.95</v>
      </c>
      <c r="F5063" s="614" t="s">
        <v>11260</v>
      </c>
    </row>
    <row r="5065" spans="3:6">
      <c r="C5065" s="198" t="s">
        <v>246</v>
      </c>
    </row>
    <row r="5066" spans="3:6">
      <c r="D5066" s="23" t="s">
        <v>789</v>
      </c>
      <c r="E5066" s="89" t="str">
        <f>decCh4MarkPlan</f>
        <v>Select Plan</v>
      </c>
      <c r="F5066" s="23" t="s">
        <v>804</v>
      </c>
    </row>
    <row r="5067" spans="3:6" ht="1.5" customHeight="1">
      <c r="C5067" s="197"/>
      <c r="D5067" s="197"/>
      <c r="E5067" s="265"/>
    </row>
    <row r="5068" spans="3:6">
      <c r="D5068" s="23" t="s">
        <v>13816</v>
      </c>
      <c r="E5068" s="23">
        <f>VLOOKUP(calcCh4MarkPlan,dataMarketingPlansExp,2,FALSE)</f>
        <v>0</v>
      </c>
      <c r="F5068" s="23" t="s">
        <v>805</v>
      </c>
    </row>
    <row r="5069" spans="3:6">
      <c r="D5069" s="23" t="s">
        <v>1719</v>
      </c>
      <c r="E5069" s="258">
        <f>VLOOKUP(calcCh4MarkPlan,dataMarketingPlansExp,3,FALSE)-paramTM</f>
        <v>0</v>
      </c>
      <c r="F5069" s="23" t="s">
        <v>806</v>
      </c>
    </row>
    <row r="5070" spans="3:6" s="614" customFormat="1">
      <c r="E5070" s="641"/>
    </row>
    <row r="5071" spans="3:6" s="614" customFormat="1">
      <c r="D5071" s="614" t="s">
        <v>13921</v>
      </c>
      <c r="E5071" s="690">
        <f>VLOOKUP(calcCh4MarkPlan,dataMarketingPlansFit,2,FALSE)+paramCh4MarkPlanSI</f>
        <v>0.95</v>
      </c>
      <c r="F5071" s="614" t="s">
        <v>11249</v>
      </c>
    </row>
    <row r="5072" spans="3:6" s="614" customFormat="1">
      <c r="D5072" s="614" t="s">
        <v>13922</v>
      </c>
      <c r="E5072" s="690">
        <f>VLOOKUP(calcCh4MarkPlan,dataMarketingPlansFit,3,FALSE)+paramCh4MarkPlanSI</f>
        <v>0.95</v>
      </c>
      <c r="F5072" s="614" t="s">
        <v>11250</v>
      </c>
    </row>
    <row r="5073" spans="1:6" s="614" customFormat="1">
      <c r="D5073" s="614" t="s">
        <v>13923</v>
      </c>
      <c r="E5073" s="690">
        <f>VLOOKUP(calcCh4MarkPlan,dataMarketingPlansFit,4,FALSE)+paramCh4MarkPlanSI</f>
        <v>0.95</v>
      </c>
      <c r="F5073" s="614" t="s">
        <v>11251</v>
      </c>
    </row>
    <row r="5074" spans="1:6" s="614" customFormat="1">
      <c r="D5074" s="614" t="s">
        <v>13924</v>
      </c>
      <c r="E5074" s="690">
        <f>VLOOKUP(calcCh4MarkPlan,dataMarketingPlansFit,5,FALSE)+paramCh4MarkPlanSI</f>
        <v>0.95</v>
      </c>
      <c r="F5074" s="614" t="s">
        <v>11252</v>
      </c>
    </row>
    <row r="5076" spans="1:6">
      <c r="C5076" s="198" t="s">
        <v>794</v>
      </c>
    </row>
    <row r="5078" spans="1:6">
      <c r="D5078" s="23" t="s">
        <v>13816</v>
      </c>
      <c r="E5078" s="23">
        <f>calcCh1MarkPlanEmp1Req+calcCh2MarkPlanEmp1Req+calcCh3MarkPlanEmp1Req+calcCh4MarkPlanEmp1Req</f>
        <v>0</v>
      </c>
      <c r="F5078" s="23" t="s">
        <v>809</v>
      </c>
    </row>
    <row r="5079" spans="1:6">
      <c r="D5079" s="23" t="s">
        <v>1719</v>
      </c>
      <c r="E5079" s="258">
        <f>calcCh1MarkPlanExp+calcCh2MarkPlanExp+calcCh3MarkPlanExp+calcCh4MarkPlanExp</f>
        <v>0</v>
      </c>
      <c r="F5079" s="23" t="s">
        <v>810</v>
      </c>
    </row>
    <row r="5081" spans="1:6" s="81" customFormat="1">
      <c r="A5081" s="81" t="s">
        <v>13925</v>
      </c>
    </row>
    <row r="5083" spans="1:6">
      <c r="C5083" s="198" t="s">
        <v>244</v>
      </c>
    </row>
    <row r="5084" spans="1:6">
      <c r="D5084" s="23" t="s">
        <v>1414</v>
      </c>
      <c r="E5084" s="480">
        <f>obalCh1ValDrivCond</f>
        <v>0.31</v>
      </c>
    </row>
    <row r="5085" spans="1:6">
      <c r="D5085" s="23" t="s">
        <v>1413</v>
      </c>
      <c r="E5085" s="480">
        <f>VLOOKUP(calcCh1ValDrivCond,dataValDrivCond,2,FALSE)</f>
        <v>0.01</v>
      </c>
    </row>
    <row r="5086" spans="1:6">
      <c r="D5086" s="23" t="s">
        <v>67</v>
      </c>
      <c r="E5086" s="480">
        <f>paramCh1ValDrivCondSI</f>
        <v>0</v>
      </c>
    </row>
    <row r="5087" spans="1:6" ht="1.5" customHeight="1">
      <c r="C5087" s="197"/>
      <c r="D5087" s="197"/>
      <c r="E5087" s="265"/>
    </row>
    <row r="5088" spans="1:6">
      <c r="D5088" s="198" t="s">
        <v>1415</v>
      </c>
      <c r="E5088" s="370">
        <f>SUM(E5084:E5087)</f>
        <v>0.32</v>
      </c>
      <c r="F5088" s="23" t="s">
        <v>1416</v>
      </c>
    </row>
    <row r="5090" spans="3:6">
      <c r="C5090" s="198" t="s">
        <v>245</v>
      </c>
    </row>
    <row r="5091" spans="3:6">
      <c r="D5091" s="23" t="s">
        <v>1414</v>
      </c>
      <c r="E5091" s="480">
        <f>obalCh2ValDrivCond</f>
        <v>0.31</v>
      </c>
    </row>
    <row r="5092" spans="3:6">
      <c r="D5092" s="23" t="s">
        <v>1413</v>
      </c>
      <c r="E5092" s="480">
        <f>VLOOKUP(calcCh2ValDrivCond,dataValDrivCond,2,FALSE)</f>
        <v>0.01</v>
      </c>
    </row>
    <row r="5093" spans="3:6">
      <c r="D5093" s="23" t="s">
        <v>67</v>
      </c>
      <c r="E5093" s="480">
        <f>paramCh2ValDrivCondSI</f>
        <v>0</v>
      </c>
    </row>
    <row r="5094" spans="3:6" ht="1.5" customHeight="1">
      <c r="C5094" s="197"/>
      <c r="D5094" s="197"/>
      <c r="E5094" s="265"/>
    </row>
    <row r="5095" spans="3:6">
      <c r="D5095" s="198" t="s">
        <v>1415</v>
      </c>
      <c r="E5095" s="370">
        <f>SUM(E5091:E5094)</f>
        <v>0.32</v>
      </c>
      <c r="F5095" s="23" t="s">
        <v>1419</v>
      </c>
    </row>
    <row r="5097" spans="3:6">
      <c r="C5097" s="198" t="s">
        <v>5199</v>
      </c>
    </row>
    <row r="5098" spans="3:6">
      <c r="D5098" s="23" t="s">
        <v>1414</v>
      </c>
      <c r="E5098" s="480">
        <f>obalCh3ValDrivCond</f>
        <v>0.31</v>
      </c>
    </row>
    <row r="5099" spans="3:6">
      <c r="D5099" s="23" t="s">
        <v>1413</v>
      </c>
      <c r="E5099" s="480">
        <f>VLOOKUP(calcCh3ValDrivCond,dataValDrivCond,2,FALSE)</f>
        <v>0.01</v>
      </c>
    </row>
    <row r="5100" spans="3:6">
      <c r="D5100" s="23" t="s">
        <v>67</v>
      </c>
      <c r="E5100" s="480">
        <f>paramCh3ValDrivCondSI</f>
        <v>0</v>
      </c>
    </row>
    <row r="5101" spans="3:6" ht="1.5" customHeight="1">
      <c r="C5101" s="197"/>
      <c r="D5101" s="197"/>
      <c r="E5101" s="265"/>
    </row>
    <row r="5102" spans="3:6">
      <c r="D5102" s="198" t="s">
        <v>1415</v>
      </c>
      <c r="E5102" s="370">
        <f>SUM(E5098:E5101)</f>
        <v>0.32</v>
      </c>
      <c r="F5102" s="23" t="s">
        <v>1418</v>
      </c>
    </row>
    <row r="5104" spans="3:6">
      <c r="C5104" s="198" t="s">
        <v>246</v>
      </c>
    </row>
    <row r="5105" spans="1:6">
      <c r="D5105" s="23" t="s">
        <v>1414</v>
      </c>
      <c r="E5105" s="480">
        <f>obalCh4ValDrivCond</f>
        <v>0.31</v>
      </c>
    </row>
    <row r="5106" spans="1:6">
      <c r="D5106" s="23" t="s">
        <v>1413</v>
      </c>
      <c r="E5106" s="480">
        <f>VLOOKUP(calcCh4ValDrivCond,dataValDrivCond,2,FALSE)</f>
        <v>0.01</v>
      </c>
    </row>
    <row r="5107" spans="1:6">
      <c r="D5107" s="23" t="s">
        <v>67</v>
      </c>
      <c r="E5107" s="480">
        <f>paramCh4ValDrivCondSI</f>
        <v>0</v>
      </c>
    </row>
    <row r="5108" spans="1:6" ht="1.5" customHeight="1">
      <c r="C5108" s="197"/>
      <c r="D5108" s="197"/>
      <c r="E5108" s="265"/>
    </row>
    <row r="5109" spans="1:6">
      <c r="D5109" s="198" t="s">
        <v>1415</v>
      </c>
      <c r="E5109" s="370">
        <f>SUM(E5105:E5108)</f>
        <v>0.32</v>
      </c>
      <c r="F5109" s="23" t="s">
        <v>1417</v>
      </c>
    </row>
    <row r="5111" spans="1:6" s="81" customFormat="1">
      <c r="A5111" s="81" t="s">
        <v>13926</v>
      </c>
    </row>
    <row r="5113" spans="1:6">
      <c r="C5113" s="198" t="s">
        <v>1293</v>
      </c>
    </row>
    <row r="5114" spans="1:6">
      <c r="D5114" s="23" t="s">
        <v>1324</v>
      </c>
      <c r="E5114" s="89" t="str">
        <f>decCh1ValDriv1</f>
        <v>Level 2</v>
      </c>
      <c r="F5114" s="23" t="s">
        <v>1326</v>
      </c>
    </row>
    <row r="5115" spans="1:6" ht="1.5" customHeight="1">
      <c r="C5115" s="197"/>
      <c r="D5115" s="197"/>
      <c r="E5115" s="265"/>
    </row>
    <row r="5116" spans="1:6">
      <c r="D5116" s="23" t="s">
        <v>13816</v>
      </c>
      <c r="E5116" s="23">
        <f>VLOOKUP(calcCh1ValDriv1,dataValDrivExp,2,FALSE)</f>
        <v>1</v>
      </c>
      <c r="F5116" s="23" t="s">
        <v>1327</v>
      </c>
    </row>
    <row r="5117" spans="1:6">
      <c r="D5117" s="23" t="s">
        <v>1545</v>
      </c>
      <c r="E5117" s="258">
        <f>VLOOKUP(calcCh1ValDriv1,dataValDrivExp,3,FALSE)</f>
        <v>300000</v>
      </c>
      <c r="F5117" s="23" t="s">
        <v>1328</v>
      </c>
    </row>
    <row r="5119" spans="1:6">
      <c r="C5119" s="198" t="s">
        <v>1411</v>
      </c>
    </row>
    <row r="5120" spans="1:6">
      <c r="D5120" s="23" t="s">
        <v>1324</v>
      </c>
      <c r="E5120" s="89" t="str">
        <f>decCh1ValDriv2</f>
        <v>Level 2</v>
      </c>
      <c r="F5120" s="23" t="s">
        <v>1338</v>
      </c>
    </row>
    <row r="5121" spans="3:6" ht="1.5" customHeight="1">
      <c r="C5121" s="197"/>
      <c r="D5121" s="197"/>
      <c r="E5121" s="265"/>
    </row>
    <row r="5122" spans="3:6">
      <c r="D5122" s="23" t="s">
        <v>13816</v>
      </c>
      <c r="E5122" s="23">
        <f>VLOOKUP(calcCh1ValDriv2,dataValDrivExp,2,FALSE)</f>
        <v>1</v>
      </c>
      <c r="F5122" s="23" t="s">
        <v>1339</v>
      </c>
    </row>
    <row r="5123" spans="3:6">
      <c r="D5123" s="23" t="s">
        <v>1545</v>
      </c>
      <c r="E5123" s="258">
        <f>VLOOKUP(calcCh1ValDriv2,dataValDrivExp,3,FALSE)</f>
        <v>300000</v>
      </c>
      <c r="F5123" s="23" t="s">
        <v>1340</v>
      </c>
    </row>
    <row r="5125" spans="3:6">
      <c r="C5125" s="198" t="s">
        <v>1294</v>
      </c>
    </row>
    <row r="5126" spans="3:6">
      <c r="D5126" s="23" t="s">
        <v>1324</v>
      </c>
      <c r="E5126" s="89" t="str">
        <f>decCh1ValDriv3</f>
        <v>Level 2</v>
      </c>
      <c r="F5126" s="23" t="s">
        <v>1335</v>
      </c>
    </row>
    <row r="5127" spans="3:6" ht="1.5" customHeight="1">
      <c r="C5127" s="197"/>
      <c r="D5127" s="197"/>
      <c r="E5127" s="265"/>
    </row>
    <row r="5128" spans="3:6">
      <c r="D5128" s="23" t="s">
        <v>13816</v>
      </c>
      <c r="E5128" s="23">
        <f>VLOOKUP(calcCh1ValDriv3,dataValDrivExp,2,FALSE)</f>
        <v>1</v>
      </c>
      <c r="F5128" s="23" t="s">
        <v>1336</v>
      </c>
    </row>
    <row r="5129" spans="3:6">
      <c r="D5129" s="23" t="s">
        <v>1545</v>
      </c>
      <c r="E5129" s="258">
        <f>VLOOKUP(calcCh1ValDriv3,dataValDrivExp,3,FALSE)</f>
        <v>300000</v>
      </c>
      <c r="F5129" s="23" t="s">
        <v>1337</v>
      </c>
    </row>
    <row r="5131" spans="3:6">
      <c r="C5131" s="198" t="s">
        <v>5196</v>
      </c>
    </row>
    <row r="5132" spans="3:6">
      <c r="D5132" s="23" t="s">
        <v>1324</v>
      </c>
      <c r="E5132" s="89" t="str">
        <f>decCh1ValDriv4</f>
        <v>Level 2</v>
      </c>
      <c r="F5132" s="23" t="s">
        <v>1332</v>
      </c>
    </row>
    <row r="5133" spans="3:6" ht="1.5" customHeight="1">
      <c r="C5133" s="197"/>
      <c r="D5133" s="197"/>
      <c r="E5133" s="265"/>
    </row>
    <row r="5134" spans="3:6">
      <c r="D5134" s="23" t="s">
        <v>13816</v>
      </c>
      <c r="E5134" s="23">
        <f>VLOOKUP(calcCh1ValDriv4,dataValDrivExp,2,FALSE)</f>
        <v>1</v>
      </c>
      <c r="F5134" s="23" t="s">
        <v>1333</v>
      </c>
    </row>
    <row r="5135" spans="3:6">
      <c r="D5135" s="23" t="s">
        <v>1545</v>
      </c>
      <c r="E5135" s="258">
        <f>VLOOKUP(calcCh1ValDriv4,dataValDrivExp,3,FALSE)</f>
        <v>300000</v>
      </c>
      <c r="F5135" s="23" t="s">
        <v>1334</v>
      </c>
    </row>
    <row r="5137" spans="3:6">
      <c r="C5137" s="198" t="s">
        <v>812</v>
      </c>
    </row>
    <row r="5138" spans="3:6">
      <c r="D5138" s="23" t="s">
        <v>1324</v>
      </c>
      <c r="E5138" s="89" t="str">
        <f>decCh1ValDriv5</f>
        <v>Level 2</v>
      </c>
      <c r="F5138" s="23" t="s">
        <v>1329</v>
      </c>
    </row>
    <row r="5139" spans="3:6" ht="1.5" customHeight="1">
      <c r="C5139" s="197"/>
      <c r="D5139" s="197"/>
      <c r="E5139" s="265"/>
    </row>
    <row r="5140" spans="3:6">
      <c r="D5140" s="23" t="s">
        <v>13816</v>
      </c>
      <c r="E5140" s="23">
        <f>VLOOKUP(calcCh1ValDriv5,dataValDrivExp,2,FALSE)</f>
        <v>1</v>
      </c>
      <c r="F5140" s="23" t="s">
        <v>1330</v>
      </c>
    </row>
    <row r="5141" spans="3:6">
      <c r="D5141" s="23" t="s">
        <v>1545</v>
      </c>
      <c r="E5141" s="258">
        <f>VLOOKUP(calcCh1ValDriv5,dataValDrivExp,3,FALSE)</f>
        <v>300000</v>
      </c>
      <c r="F5141" s="23" t="s">
        <v>1331</v>
      </c>
    </row>
    <row r="5143" spans="3:6">
      <c r="C5143" s="198" t="s">
        <v>1325</v>
      </c>
    </row>
    <row r="5144" spans="3:6">
      <c r="D5144" s="23" t="s">
        <v>13816</v>
      </c>
      <c r="E5144" s="23">
        <f>calcCh1ValDriv1Emp1Req+calcCh1ValDriv2Emp1Req+calcCh1ValDriv3Emp1Req+calcCh1ValDriv4Emp1Req+calcCh1ValDriv5Emp1Req</f>
        <v>5</v>
      </c>
      <c r="F5144" s="23" t="s">
        <v>1386</v>
      </c>
    </row>
    <row r="5145" spans="3:6">
      <c r="D5145" s="23" t="s">
        <v>1545</v>
      </c>
      <c r="E5145" s="258">
        <f>calcCh1ValDriv1Exp+calcCh1ValDriv2Exp+calcCh1ValDriv3Exp+calcCh1ValDriv4Exp+calcCh1ValDriv5Exp</f>
        <v>1500000</v>
      </c>
      <c r="F5145" s="23" t="s">
        <v>3327</v>
      </c>
    </row>
    <row r="5147" spans="3:6" s="614" customFormat="1">
      <c r="D5147" s="614" t="s">
        <v>13069</v>
      </c>
      <c r="E5147" s="641">
        <f>finPNLCh1Prod1Slot1GrossSales/finPNLCh1GrossSales*calcCh1ValDrivExpTot</f>
        <v>240242.24842766905</v>
      </c>
      <c r="F5147" s="614" t="s">
        <v>13325</v>
      </c>
    </row>
    <row r="5148" spans="3:6" s="614" customFormat="1">
      <c r="D5148" s="614" t="s">
        <v>13827</v>
      </c>
      <c r="E5148" s="641">
        <f>finPNLCh1Prod1Slot2GrossSales/finPNLCh1GrossSales*calcCh1ValDrivExpTot</f>
        <v>0</v>
      </c>
      <c r="F5148" s="614" t="s">
        <v>13326</v>
      </c>
    </row>
    <row r="5149" spans="3:6" s="614" customFormat="1">
      <c r="D5149" s="614" t="s">
        <v>13828</v>
      </c>
      <c r="E5149" s="641">
        <f>finPNLCh1Prod1Slot3GrossSales/finPNLCh1GrossSales*calcCh1ValDrivExpTot</f>
        <v>0</v>
      </c>
      <c r="F5149" s="614" t="s">
        <v>13327</v>
      </c>
    </row>
    <row r="5150" spans="3:6" s="614" customFormat="1">
      <c r="D5150" s="614" t="s">
        <v>4729</v>
      </c>
      <c r="E5150" s="641">
        <f>finPNLCh1Prod2Slot1GrossSales/finPNLCh1GrossSales*calcCh1ValDrivExpTot</f>
        <v>356759.58980965958</v>
      </c>
      <c r="F5150" s="614" t="s">
        <v>13334</v>
      </c>
    </row>
    <row r="5151" spans="3:6" s="614" customFormat="1">
      <c r="D5151" s="614" t="s">
        <v>13829</v>
      </c>
      <c r="E5151" s="641">
        <f>finPNLCh1Prod2Slot2GrossSales/finPNLCh1GrossSales*calcCh1ValDrivExpTot</f>
        <v>408291.53055994381</v>
      </c>
      <c r="F5151" s="614" t="s">
        <v>13335</v>
      </c>
    </row>
    <row r="5152" spans="3:6" s="614" customFormat="1">
      <c r="D5152" s="614" t="s">
        <v>13830</v>
      </c>
      <c r="E5152" s="641">
        <f>finPNLCh1Prod2Slot3GrossSales/finPNLCh1GrossSales*calcCh1ValDrivExpTot</f>
        <v>0</v>
      </c>
      <c r="F5152" s="614" t="s">
        <v>13336</v>
      </c>
    </row>
    <row r="5153" spans="1:6" s="614" customFormat="1">
      <c r="D5153" s="614" t="s">
        <v>8606</v>
      </c>
      <c r="E5153" s="641">
        <f>finPNLCh1Prod3Slot1GrossSales/finPNLCh1GrossSales*calcCh1ValDrivExpTot</f>
        <v>196037.59278429777</v>
      </c>
      <c r="F5153" s="614" t="s">
        <v>13331</v>
      </c>
    </row>
    <row r="5154" spans="1:6" s="614" customFormat="1">
      <c r="D5154" s="614" t="s">
        <v>13831</v>
      </c>
      <c r="E5154" s="641">
        <f>finPNLCh1Prod3Slot2GrossSales/finPNLCh1GrossSales*calcCh1ValDrivExpTot</f>
        <v>298669.03841843008</v>
      </c>
      <c r="F5154" s="614" t="s">
        <v>13332</v>
      </c>
    </row>
    <row r="5155" spans="1:6" s="614" customFormat="1">
      <c r="D5155" s="614" t="s">
        <v>13832</v>
      </c>
      <c r="E5155" s="641">
        <f>finPNLCh1Prod3Slot3GrossSales/finPNLCh1GrossSales*calcCh1ValDrivExpTot</f>
        <v>0</v>
      </c>
      <c r="F5155" s="614" t="s">
        <v>13333</v>
      </c>
    </row>
    <row r="5156" spans="1:6" s="614" customFormat="1">
      <c r="D5156" s="614" t="s">
        <v>13833</v>
      </c>
      <c r="E5156" s="641">
        <f>finPNLCh1Prod4Slot1GrossSales/finPNLCh1GrossSales*calcCh1ValDrivExpTot</f>
        <v>0</v>
      </c>
      <c r="F5156" s="614" t="s">
        <v>13328</v>
      </c>
    </row>
    <row r="5157" spans="1:6" s="614" customFormat="1">
      <c r="D5157" s="614" t="s">
        <v>13834</v>
      </c>
      <c r="E5157" s="641">
        <f>finPNLCh1Prod4Slot2GrossSales/finPNLCh1GrossSales*calcCh1ValDrivExpTot</f>
        <v>0</v>
      </c>
      <c r="F5157" s="614" t="s">
        <v>13329</v>
      </c>
    </row>
    <row r="5158" spans="1:6" s="614" customFormat="1">
      <c r="D5158" s="614" t="s">
        <v>13835</v>
      </c>
      <c r="E5158" s="641">
        <f>finPNLCh1Prod4Slot3GrossSales/finPNLCh1GrossSales*calcCh1ValDrivExpTot</f>
        <v>0</v>
      </c>
      <c r="F5158" s="614" t="s">
        <v>13330</v>
      </c>
    </row>
    <row r="5159" spans="1:6" s="614" customFormat="1" ht="1.5" customHeight="1">
      <c r="C5159" s="632"/>
      <c r="D5159" s="632"/>
      <c r="E5159" s="265"/>
    </row>
    <row r="5160" spans="1:6" s="614" customFormat="1">
      <c r="D5160" s="614" t="s">
        <v>14</v>
      </c>
      <c r="E5160" s="641">
        <f>SUM(E5147:E5158)</f>
        <v>1500000.0000000002</v>
      </c>
    </row>
    <row r="5161" spans="1:6" s="614" customFormat="1"/>
    <row r="5162" spans="1:6">
      <c r="C5162" s="198" t="s">
        <v>1410</v>
      </c>
    </row>
    <row r="5163" spans="1:6">
      <c r="D5163" s="23" t="s">
        <v>1324</v>
      </c>
      <c r="E5163" s="89" t="str">
        <f>decCh1ValDrivCond</f>
        <v>Level 1</v>
      </c>
      <c r="F5163" s="23" t="s">
        <v>3286</v>
      </c>
    </row>
    <row r="5164" spans="1:6" ht="1.5" customHeight="1">
      <c r="C5164" s="197"/>
      <c r="D5164" s="197"/>
      <c r="E5164" s="265"/>
    </row>
    <row r="5165" spans="1:6">
      <c r="D5165" s="23" t="s">
        <v>13816</v>
      </c>
      <c r="E5165" s="23">
        <f>VLOOKUP(calcCh1ValDrivCond,dataValDrivExp,2,FALSE)</f>
        <v>0</v>
      </c>
      <c r="F5165" s="23" t="s">
        <v>3287</v>
      </c>
    </row>
    <row r="5166" spans="1:6">
      <c r="D5166" s="23" t="s">
        <v>1545</v>
      </c>
      <c r="E5166" s="258">
        <f>VLOOKUP(calcCh1ValDrivCond,dataValDrivExp,3,FALSE)</f>
        <v>150000</v>
      </c>
      <c r="F5166" s="23" t="s">
        <v>3288</v>
      </c>
    </row>
    <row r="5167" spans="1:6">
      <c r="E5167" s="258"/>
    </row>
    <row r="5168" spans="1:6" s="81" customFormat="1">
      <c r="A5168" s="81" t="s">
        <v>13927</v>
      </c>
    </row>
    <row r="5170" spans="3:6">
      <c r="C5170" s="198" t="s">
        <v>1293</v>
      </c>
    </row>
    <row r="5171" spans="3:6">
      <c r="D5171" s="23" t="s">
        <v>1324</v>
      </c>
      <c r="E5171" s="89" t="str">
        <f>decCh2ValDriv1</f>
        <v>Level 2</v>
      </c>
      <c r="F5171" s="23" t="s">
        <v>1371</v>
      </c>
    </row>
    <row r="5172" spans="3:6" ht="1.5" customHeight="1">
      <c r="C5172" s="197"/>
      <c r="D5172" s="197"/>
      <c r="E5172" s="265"/>
    </row>
    <row r="5173" spans="3:6">
      <c r="D5173" s="23" t="s">
        <v>13816</v>
      </c>
      <c r="E5173" s="23">
        <f>VLOOKUP(calcCh2ValDriv1,dataValDrivExp,2,FALSE)</f>
        <v>1</v>
      </c>
      <c r="F5173" s="23" t="s">
        <v>1372</v>
      </c>
    </row>
    <row r="5174" spans="3:6">
      <c r="D5174" s="23" t="s">
        <v>1545</v>
      </c>
      <c r="E5174" s="258">
        <f>VLOOKUP(calcCh2ValDriv1,dataValDrivExp,3,FALSE)</f>
        <v>300000</v>
      </c>
      <c r="F5174" s="23" t="s">
        <v>1373</v>
      </c>
    </row>
    <row r="5176" spans="3:6">
      <c r="C5176" s="198" t="s">
        <v>1411</v>
      </c>
    </row>
    <row r="5177" spans="3:6">
      <c r="D5177" s="23" t="s">
        <v>1324</v>
      </c>
      <c r="E5177" s="89" t="str">
        <f>decCh2ValDriv2</f>
        <v>Level 2</v>
      </c>
      <c r="F5177" s="23" t="s">
        <v>1374</v>
      </c>
    </row>
    <row r="5178" spans="3:6" ht="1.5" customHeight="1">
      <c r="C5178" s="197"/>
      <c r="D5178" s="197"/>
      <c r="E5178" s="265"/>
    </row>
    <row r="5179" spans="3:6">
      <c r="D5179" s="23" t="s">
        <v>13816</v>
      </c>
      <c r="E5179" s="23">
        <f>VLOOKUP(calcCh2ValDriv2,dataValDrivExp,2,FALSE)</f>
        <v>1</v>
      </c>
      <c r="F5179" s="23" t="s">
        <v>1375</v>
      </c>
    </row>
    <row r="5180" spans="3:6">
      <c r="D5180" s="23" t="s">
        <v>1545</v>
      </c>
      <c r="E5180" s="258">
        <f>VLOOKUP(calcCh2ValDriv2,dataValDrivExp,3,FALSE)</f>
        <v>300000</v>
      </c>
      <c r="F5180" s="23" t="s">
        <v>1376</v>
      </c>
    </row>
    <row r="5182" spans="3:6">
      <c r="C5182" s="198" t="s">
        <v>1294</v>
      </c>
    </row>
    <row r="5183" spans="3:6">
      <c r="D5183" s="23" t="s">
        <v>1324</v>
      </c>
      <c r="E5183" s="89" t="str">
        <f>decCh2ValDriv3</f>
        <v>Level 2</v>
      </c>
      <c r="F5183" s="23" t="s">
        <v>1377</v>
      </c>
    </row>
    <row r="5184" spans="3:6" ht="1.5" customHeight="1">
      <c r="C5184" s="197"/>
      <c r="D5184" s="197"/>
      <c r="E5184" s="265"/>
    </row>
    <row r="5185" spans="3:6">
      <c r="D5185" s="23" t="s">
        <v>13816</v>
      </c>
      <c r="E5185" s="23">
        <f>VLOOKUP(calcCh2ValDriv3,dataValDrivExp,2,FALSE)</f>
        <v>1</v>
      </c>
      <c r="F5185" s="23" t="s">
        <v>1378</v>
      </c>
    </row>
    <row r="5186" spans="3:6">
      <c r="D5186" s="23" t="s">
        <v>1545</v>
      </c>
      <c r="E5186" s="258">
        <f>VLOOKUP(calcCh2ValDriv3,dataValDrivExp,3,FALSE)</f>
        <v>300000</v>
      </c>
      <c r="F5186" s="23" t="s">
        <v>1379</v>
      </c>
    </row>
    <row r="5188" spans="3:6">
      <c r="C5188" s="198" t="s">
        <v>5196</v>
      </c>
    </row>
    <row r="5189" spans="3:6">
      <c r="D5189" s="23" t="s">
        <v>1324</v>
      </c>
      <c r="E5189" s="89" t="str">
        <f>decCh2ValDriv4</f>
        <v>Level 2</v>
      </c>
      <c r="F5189" s="23" t="s">
        <v>1380</v>
      </c>
    </row>
    <row r="5190" spans="3:6" ht="1.5" customHeight="1">
      <c r="C5190" s="197"/>
      <c r="D5190" s="197"/>
      <c r="E5190" s="265"/>
    </row>
    <row r="5191" spans="3:6">
      <c r="D5191" s="23" t="s">
        <v>13816</v>
      </c>
      <c r="E5191" s="23">
        <f>VLOOKUP(calcCh2ValDriv4,dataValDrivExp,2,FALSE)</f>
        <v>1</v>
      </c>
      <c r="F5191" s="23" t="s">
        <v>1381</v>
      </c>
    </row>
    <row r="5192" spans="3:6">
      <c r="D5192" s="23" t="s">
        <v>1545</v>
      </c>
      <c r="E5192" s="258">
        <f>VLOOKUP(calcCh2ValDriv4,dataValDrivExp,3,FALSE)</f>
        <v>300000</v>
      </c>
      <c r="F5192" s="23" t="s">
        <v>1382</v>
      </c>
    </row>
    <row r="5194" spans="3:6">
      <c r="C5194" s="198" t="s">
        <v>812</v>
      </c>
    </row>
    <row r="5195" spans="3:6">
      <c r="D5195" s="23" t="s">
        <v>1324</v>
      </c>
      <c r="E5195" s="89" t="str">
        <f>decCh2ValDriv5</f>
        <v>Level 2</v>
      </c>
      <c r="F5195" s="23" t="s">
        <v>1383</v>
      </c>
    </row>
    <row r="5196" spans="3:6" ht="1.5" customHeight="1">
      <c r="C5196" s="197"/>
      <c r="D5196" s="197"/>
      <c r="E5196" s="265"/>
    </row>
    <row r="5197" spans="3:6">
      <c r="D5197" s="23" t="s">
        <v>13816</v>
      </c>
      <c r="E5197" s="23">
        <f>VLOOKUP(calcCh2ValDriv5,dataValDrivExp,2,FALSE)</f>
        <v>1</v>
      </c>
      <c r="F5197" s="23" t="s">
        <v>1384</v>
      </c>
    </row>
    <row r="5198" spans="3:6">
      <c r="D5198" s="23" t="s">
        <v>1545</v>
      </c>
      <c r="E5198" s="258">
        <f>VLOOKUP(calcCh2ValDriv5,dataValDrivExp,3,FALSE)</f>
        <v>300000</v>
      </c>
      <c r="F5198" s="23" t="s">
        <v>1385</v>
      </c>
    </row>
    <row r="5200" spans="3:6">
      <c r="C5200" s="198" t="s">
        <v>1325</v>
      </c>
    </row>
    <row r="5201" spans="3:6">
      <c r="D5201" s="23" t="s">
        <v>13816</v>
      </c>
      <c r="E5201" s="23">
        <f>calcCh2ValDriv1Emp1Req+calcCh2ValDriv2Emp1Req+calcCh2ValDriv3Emp1Req+calcCh2ValDriv4Emp1Req+calcCh2ValDriv5Emp1Req</f>
        <v>5</v>
      </c>
      <c r="F5201" s="23" t="s">
        <v>1387</v>
      </c>
    </row>
    <row r="5202" spans="3:6">
      <c r="D5202" s="23" t="s">
        <v>1545</v>
      </c>
      <c r="E5202" s="258">
        <f>calcCh2ValDriv1Exp+calcCh2ValDriv2Exp+calcCh2ValDriv3Exp+calcCh2ValDriv4Exp+calcCh2ValDriv5Exp</f>
        <v>1500000</v>
      </c>
      <c r="F5202" s="23" t="s">
        <v>3326</v>
      </c>
    </row>
    <row r="5203" spans="3:6" s="614" customFormat="1"/>
    <row r="5204" spans="3:6" s="614" customFormat="1">
      <c r="D5204" s="614" t="s">
        <v>13069</v>
      </c>
      <c r="E5204" s="641">
        <f>finPNLCh2Prod1Slot1GrossSales/finPNLCh2GrossSales*calcCh2ValDrivExpTot</f>
        <v>136340.89392928622</v>
      </c>
      <c r="F5204" s="614" t="s">
        <v>13337</v>
      </c>
    </row>
    <row r="5205" spans="3:6" s="614" customFormat="1">
      <c r="D5205" s="614" t="s">
        <v>13827</v>
      </c>
      <c r="E5205" s="641">
        <f>finPNLCh2Prod1Slot2GrossSales/finPNLCh2GrossSales*calcCh2ValDrivExpTot</f>
        <v>0</v>
      </c>
      <c r="F5205" s="614" t="s">
        <v>13338</v>
      </c>
    </row>
    <row r="5206" spans="3:6" s="614" customFormat="1">
      <c r="D5206" s="614" t="s">
        <v>13828</v>
      </c>
      <c r="E5206" s="641">
        <f>finPNLCh2Prod1Slot3GrossSales/finPNLCh2GrossSales*calcCh2ValDrivExpTot</f>
        <v>0</v>
      </c>
      <c r="F5206" s="614" t="s">
        <v>13339</v>
      </c>
    </row>
    <row r="5207" spans="3:6" s="614" customFormat="1">
      <c r="D5207" s="614" t="s">
        <v>4729</v>
      </c>
      <c r="E5207" s="641">
        <f>finPNLCh2Prod2Slot1GrossSales/finPNLCh2GrossSales*calcCh2ValDrivExpTot</f>
        <v>845813.87591727811</v>
      </c>
      <c r="F5207" s="614" t="s">
        <v>13340</v>
      </c>
    </row>
    <row r="5208" spans="3:6" s="614" customFormat="1">
      <c r="D5208" s="614" t="s">
        <v>13829</v>
      </c>
      <c r="E5208" s="641">
        <f>finPNLCh2Prod2Slot2GrossSales/finPNLCh2GrossSales*calcCh2ValDrivExpTot</f>
        <v>0</v>
      </c>
      <c r="F5208" s="614" t="s">
        <v>13341</v>
      </c>
    </row>
    <row r="5209" spans="3:6" s="614" customFormat="1">
      <c r="D5209" s="614" t="s">
        <v>13830</v>
      </c>
      <c r="E5209" s="641">
        <f>finPNLCh2Prod2Slot3GrossSales/finPNLCh2GrossSales*calcCh2ValDrivExpTot</f>
        <v>0</v>
      </c>
      <c r="F5209" s="614" t="s">
        <v>13342</v>
      </c>
    </row>
    <row r="5210" spans="3:6" s="614" customFormat="1">
      <c r="D5210" s="614" t="s">
        <v>8606</v>
      </c>
      <c r="E5210" s="641">
        <f>finPNLCh2Prod3Slot1GrossSales/finPNLCh2GrossSales*calcCh2ValDrivExpTot</f>
        <v>517845.23015343555</v>
      </c>
      <c r="F5210" s="614" t="s">
        <v>13343</v>
      </c>
    </row>
    <row r="5211" spans="3:6" s="614" customFormat="1">
      <c r="D5211" s="614" t="s">
        <v>13831</v>
      </c>
      <c r="E5211" s="641">
        <f>finPNLCh2Prod3Slot2GrossSales/finPNLCh2GrossSales*calcCh2ValDrivExpTot</f>
        <v>0</v>
      </c>
      <c r="F5211" s="614" t="s">
        <v>13344</v>
      </c>
    </row>
    <row r="5212" spans="3:6" s="614" customFormat="1">
      <c r="D5212" s="614" t="s">
        <v>13832</v>
      </c>
      <c r="E5212" s="641">
        <f>finPNLCh2Prod3Slot3GrossSales/finPNLCh2GrossSales*calcCh2ValDrivExpTot</f>
        <v>0</v>
      </c>
      <c r="F5212" s="614" t="s">
        <v>13345</v>
      </c>
    </row>
    <row r="5213" spans="3:6" s="614" customFormat="1">
      <c r="D5213" s="614" t="s">
        <v>13833</v>
      </c>
      <c r="E5213" s="641">
        <f>finPNLCh2Prod4Slot1GrossSales/finPNLCh2GrossSales*calcCh2ValDrivExpTot</f>
        <v>0</v>
      </c>
      <c r="F5213" s="614" t="s">
        <v>13346</v>
      </c>
    </row>
    <row r="5214" spans="3:6" s="614" customFormat="1">
      <c r="D5214" s="614" t="s">
        <v>13834</v>
      </c>
      <c r="E5214" s="641">
        <f>finPNLCh2Prod4Slot2GrossSales/finPNLCh2GrossSales*calcCh2ValDrivExpTot</f>
        <v>0</v>
      </c>
      <c r="F5214" s="614" t="s">
        <v>13347</v>
      </c>
    </row>
    <row r="5215" spans="3:6" s="614" customFormat="1">
      <c r="D5215" s="614" t="s">
        <v>13835</v>
      </c>
      <c r="E5215" s="641">
        <f>finPNLCh2Prod4Slot3GrossSales/finPNLCh2GrossSales*calcCh2ValDrivExpTot</f>
        <v>0</v>
      </c>
      <c r="F5215" s="614" t="s">
        <v>13348</v>
      </c>
    </row>
    <row r="5216" spans="3:6" s="614" customFormat="1" ht="1.5" customHeight="1">
      <c r="C5216" s="632"/>
      <c r="D5216" s="632"/>
      <c r="E5216" s="265"/>
    </row>
    <row r="5217" spans="1:6" s="614" customFormat="1">
      <c r="D5217" s="614" t="s">
        <v>14</v>
      </c>
      <c r="E5217" s="641">
        <f>SUM(E5204:E5215)</f>
        <v>1500000</v>
      </c>
    </row>
    <row r="5219" spans="1:6">
      <c r="C5219" s="198" t="s">
        <v>1410</v>
      </c>
    </row>
    <row r="5220" spans="1:6">
      <c r="D5220" s="23" t="s">
        <v>1324</v>
      </c>
      <c r="E5220" s="89" t="str">
        <f>decCh2ValDrivCond</f>
        <v>Level 1</v>
      </c>
      <c r="F5220" s="23" t="s">
        <v>3295</v>
      </c>
    </row>
    <row r="5221" spans="1:6" ht="1.5" customHeight="1">
      <c r="C5221" s="197"/>
      <c r="D5221" s="197"/>
      <c r="E5221" s="265"/>
    </row>
    <row r="5222" spans="1:6">
      <c r="D5222" s="23" t="s">
        <v>13816</v>
      </c>
      <c r="E5222" s="23">
        <f>VLOOKUP(calcCh2ValDrivCond,dataValDrivExp,2,FALSE)</f>
        <v>0</v>
      </c>
      <c r="F5222" s="23" t="s">
        <v>3296</v>
      </c>
    </row>
    <row r="5223" spans="1:6">
      <c r="D5223" s="23" t="s">
        <v>1545</v>
      </c>
      <c r="E5223" s="258">
        <f>VLOOKUP(calcCh2ValDrivCond,dataValDrivExp,3,FALSE)</f>
        <v>150000</v>
      </c>
      <c r="F5223" s="23" t="s">
        <v>3297</v>
      </c>
    </row>
    <row r="5224" spans="1:6">
      <c r="E5224" s="258"/>
    </row>
    <row r="5225" spans="1:6" s="81" customFormat="1">
      <c r="A5225" s="81" t="s">
        <v>13928</v>
      </c>
    </row>
    <row r="5227" spans="1:6">
      <c r="C5227" s="198" t="s">
        <v>1293</v>
      </c>
    </row>
    <row r="5228" spans="1:6">
      <c r="D5228" s="23" t="s">
        <v>1324</v>
      </c>
      <c r="E5228" s="89" t="str">
        <f>decCh3ValDriv1</f>
        <v>Level 2</v>
      </c>
      <c r="F5228" s="23" t="s">
        <v>1356</v>
      </c>
    </row>
    <row r="5229" spans="1:6" ht="1.5" customHeight="1">
      <c r="C5229" s="197"/>
      <c r="D5229" s="197"/>
      <c r="E5229" s="265"/>
    </row>
    <row r="5230" spans="1:6">
      <c r="D5230" s="23" t="s">
        <v>13816</v>
      </c>
      <c r="E5230" s="23">
        <f>VLOOKUP(calcCh3ValDriv1,dataValDrivExp,2,FALSE)</f>
        <v>1</v>
      </c>
      <c r="F5230" s="23" t="s">
        <v>1357</v>
      </c>
    </row>
    <row r="5231" spans="1:6">
      <c r="D5231" s="23" t="s">
        <v>1545</v>
      </c>
      <c r="E5231" s="258">
        <f>VLOOKUP(calcCh3ValDriv1,dataValDrivExp,3,FALSE)</f>
        <v>300000</v>
      </c>
      <c r="F5231" s="23" t="s">
        <v>1358</v>
      </c>
    </row>
    <row r="5233" spans="3:6">
      <c r="C5233" s="198" t="s">
        <v>1411</v>
      </c>
    </row>
    <row r="5234" spans="3:6">
      <c r="D5234" s="23" t="s">
        <v>1324</v>
      </c>
      <c r="E5234" s="89" t="str">
        <f>decCh3ValDriv2</f>
        <v>Level 2</v>
      </c>
      <c r="F5234" s="23" t="s">
        <v>1359</v>
      </c>
    </row>
    <row r="5235" spans="3:6" ht="1.5" customHeight="1">
      <c r="C5235" s="197"/>
      <c r="D5235" s="197"/>
      <c r="E5235" s="265"/>
    </row>
    <row r="5236" spans="3:6">
      <c r="D5236" s="23" t="s">
        <v>13816</v>
      </c>
      <c r="E5236" s="23">
        <f>VLOOKUP(calcCh3ValDriv2,dataValDrivExp,2,FALSE)</f>
        <v>1</v>
      </c>
      <c r="F5236" s="23" t="s">
        <v>1360</v>
      </c>
    </row>
    <row r="5237" spans="3:6">
      <c r="D5237" s="23" t="s">
        <v>1545</v>
      </c>
      <c r="E5237" s="258">
        <f>VLOOKUP(calcCh3ValDriv2,dataValDrivExp,3,FALSE)</f>
        <v>300000</v>
      </c>
      <c r="F5237" s="23" t="s">
        <v>1361</v>
      </c>
    </row>
    <row r="5239" spans="3:6">
      <c r="C5239" s="198" t="s">
        <v>1294</v>
      </c>
    </row>
    <row r="5240" spans="3:6">
      <c r="D5240" s="23" t="s">
        <v>1324</v>
      </c>
      <c r="E5240" s="89" t="str">
        <f>decCh3ValDriv3</f>
        <v>Level 2</v>
      </c>
      <c r="F5240" s="23" t="s">
        <v>1362</v>
      </c>
    </row>
    <row r="5241" spans="3:6" ht="1.5" customHeight="1">
      <c r="C5241" s="197"/>
      <c r="D5241" s="197"/>
      <c r="E5241" s="265"/>
    </row>
    <row r="5242" spans="3:6">
      <c r="D5242" s="23" t="s">
        <v>13816</v>
      </c>
      <c r="E5242" s="23">
        <f>VLOOKUP(calcCh3ValDriv3,dataValDrivExp,2,FALSE)</f>
        <v>1</v>
      </c>
      <c r="F5242" s="23" t="s">
        <v>1363</v>
      </c>
    </row>
    <row r="5243" spans="3:6">
      <c r="D5243" s="23" t="s">
        <v>1545</v>
      </c>
      <c r="E5243" s="258">
        <f>VLOOKUP(calcCh3ValDriv3,dataValDrivExp,3,FALSE)</f>
        <v>300000</v>
      </c>
      <c r="F5243" s="23" t="s">
        <v>1364</v>
      </c>
    </row>
    <row r="5245" spans="3:6">
      <c r="C5245" s="198" t="s">
        <v>5196</v>
      </c>
    </row>
    <row r="5246" spans="3:6">
      <c r="D5246" s="23" t="s">
        <v>1324</v>
      </c>
      <c r="E5246" s="89" t="str">
        <f>decCh3ValDriv4</f>
        <v>Level 2</v>
      </c>
      <c r="F5246" s="23" t="s">
        <v>1365</v>
      </c>
    </row>
    <row r="5247" spans="3:6" ht="1.5" customHeight="1">
      <c r="C5247" s="197"/>
      <c r="D5247" s="197"/>
      <c r="E5247" s="265"/>
    </row>
    <row r="5248" spans="3:6">
      <c r="D5248" s="23" t="s">
        <v>13816</v>
      </c>
      <c r="E5248" s="23">
        <f>VLOOKUP(calcCh3ValDriv4,dataValDrivExp,2,FALSE)</f>
        <v>1</v>
      </c>
      <c r="F5248" s="23" t="s">
        <v>1366</v>
      </c>
    </row>
    <row r="5249" spans="3:6">
      <c r="D5249" s="23" t="s">
        <v>1545</v>
      </c>
      <c r="E5249" s="258">
        <f>VLOOKUP(calcCh3ValDriv4,dataValDrivExp,3,FALSE)</f>
        <v>300000</v>
      </c>
      <c r="F5249" s="23" t="s">
        <v>1367</v>
      </c>
    </row>
    <row r="5251" spans="3:6">
      <c r="C5251" s="198" t="s">
        <v>812</v>
      </c>
    </row>
    <row r="5252" spans="3:6">
      <c r="D5252" s="23" t="s">
        <v>1324</v>
      </c>
      <c r="E5252" s="89" t="str">
        <f>decCh3ValDriv5</f>
        <v>Level 2</v>
      </c>
      <c r="F5252" s="23" t="s">
        <v>1368</v>
      </c>
    </row>
    <row r="5253" spans="3:6" ht="1.5" customHeight="1">
      <c r="C5253" s="197"/>
      <c r="D5253" s="197"/>
      <c r="E5253" s="265"/>
    </row>
    <row r="5254" spans="3:6">
      <c r="D5254" s="23" t="s">
        <v>13816</v>
      </c>
      <c r="E5254" s="23">
        <f>VLOOKUP(calcCh3ValDriv5,dataValDrivExp,2,FALSE)</f>
        <v>1</v>
      </c>
      <c r="F5254" s="23" t="s">
        <v>1369</v>
      </c>
    </row>
    <row r="5255" spans="3:6">
      <c r="D5255" s="23" t="s">
        <v>1545</v>
      </c>
      <c r="E5255" s="258">
        <f>VLOOKUP(calcCh3ValDriv5,dataValDrivExp,3,FALSE)</f>
        <v>300000</v>
      </c>
      <c r="F5255" s="23" t="s">
        <v>1370</v>
      </c>
    </row>
    <row r="5257" spans="3:6">
      <c r="C5257" s="198" t="s">
        <v>1325</v>
      </c>
    </row>
    <row r="5258" spans="3:6">
      <c r="D5258" s="23" t="s">
        <v>13816</v>
      </c>
      <c r="E5258" s="23">
        <f>calcCh3ValDriv1Emp1Req+calcCh3ValDriv2Emp1Req+calcCh3ValDriv3Emp1Req+calcCh3ValDriv4Emp1Req+calcCh3ValDriv5Emp1Req</f>
        <v>5</v>
      </c>
      <c r="F5258" s="23" t="s">
        <v>1388</v>
      </c>
    </row>
    <row r="5259" spans="3:6">
      <c r="D5259" s="23" t="s">
        <v>1545</v>
      </c>
      <c r="E5259" s="258">
        <f>calcCh3ValDriv1Exp+calcCh3ValDriv2Exp+calcCh3ValDriv3Exp+calcCh3ValDriv4Exp+calcCh3ValDriv5Exp</f>
        <v>1500000</v>
      </c>
      <c r="F5259" s="23" t="s">
        <v>3324</v>
      </c>
    </row>
    <row r="5260" spans="3:6" s="614" customFormat="1"/>
    <row r="5261" spans="3:6" s="614" customFormat="1">
      <c r="D5261" s="614" t="s">
        <v>13069</v>
      </c>
      <c r="E5261" s="641">
        <f>finPNLCh3Prod1Slot1GrossSales/finPNLCh3GrossSales*calcCh3ValDrivExpTot</f>
        <v>279908.04952962307</v>
      </c>
      <c r="F5261" s="614" t="s">
        <v>13361</v>
      </c>
    </row>
    <row r="5262" spans="3:6" s="614" customFormat="1">
      <c r="D5262" s="614" t="s">
        <v>13827</v>
      </c>
      <c r="E5262" s="641">
        <f>finPNLCh3Prod1Slot2GrossSales/finPNLCh3GrossSales*calcCh3ValDrivExpTot</f>
        <v>0</v>
      </c>
      <c r="F5262" s="614" t="s">
        <v>13362</v>
      </c>
    </row>
    <row r="5263" spans="3:6" s="614" customFormat="1">
      <c r="D5263" s="614" t="s">
        <v>13828</v>
      </c>
      <c r="E5263" s="641">
        <f>finPNLCh3Prod1Slot3GrossSales/finPNLCh3GrossSales*calcCh3ValDrivExpTot</f>
        <v>0</v>
      </c>
      <c r="F5263" s="614" t="s">
        <v>13363</v>
      </c>
    </row>
    <row r="5264" spans="3:6" s="614" customFormat="1">
      <c r="D5264" s="614" t="s">
        <v>4729</v>
      </c>
      <c r="E5264" s="641">
        <f>finPNLCh3Prod2Slot1GrossSales/finPNLCh3GrossSales*calcCh3ValDrivExpTot</f>
        <v>251801.34062240421</v>
      </c>
      <c r="F5264" s="614" t="s">
        <v>13364</v>
      </c>
    </row>
    <row r="5265" spans="3:6" s="614" customFormat="1">
      <c r="D5265" s="614" t="s">
        <v>13829</v>
      </c>
      <c r="E5265" s="641">
        <f>finPNLCh3Prod2Slot2GrossSales/finPNLCh3GrossSales*calcCh3ValDrivExpTot</f>
        <v>384569.32022330823</v>
      </c>
      <c r="F5265" s="614" t="s">
        <v>13365</v>
      </c>
    </row>
    <row r="5266" spans="3:6" s="614" customFormat="1">
      <c r="D5266" s="614" t="s">
        <v>13830</v>
      </c>
      <c r="E5266" s="641">
        <f>finPNLCh3Prod2Slot3GrossSales/finPNLCh3GrossSales*calcCh3ValDrivExpTot</f>
        <v>0</v>
      </c>
      <c r="F5266" s="614" t="s">
        <v>13366</v>
      </c>
    </row>
    <row r="5267" spans="3:6" s="614" customFormat="1">
      <c r="D5267" s="614" t="s">
        <v>8606</v>
      </c>
      <c r="E5267" s="641">
        <f>finPNLCh3Prod3Slot1GrossSales/finPNLCh3GrossSales*calcCh3ValDrivExpTot</f>
        <v>583721.28962466435</v>
      </c>
      <c r="F5267" s="614" t="s">
        <v>13367</v>
      </c>
    </row>
    <row r="5268" spans="3:6" s="614" customFormat="1">
      <c r="D5268" s="614" t="s">
        <v>13831</v>
      </c>
      <c r="E5268" s="641">
        <f>finPNLCh3Prod3Slot2GrossSales/finPNLCh3GrossSales*calcCh3ValDrivExpTot</f>
        <v>0</v>
      </c>
      <c r="F5268" s="614" t="s">
        <v>13368</v>
      </c>
    </row>
    <row r="5269" spans="3:6" s="614" customFormat="1">
      <c r="D5269" s="614" t="s">
        <v>13832</v>
      </c>
      <c r="E5269" s="641">
        <f>finPNLCh3Prod3Slot3GrossSales/finPNLCh3GrossSales*calcCh3ValDrivExpTot</f>
        <v>0</v>
      </c>
      <c r="F5269" s="614" t="s">
        <v>13369</v>
      </c>
    </row>
    <row r="5270" spans="3:6" s="614" customFormat="1">
      <c r="D5270" s="614" t="s">
        <v>13833</v>
      </c>
      <c r="E5270" s="641">
        <f>finPNLCh3Prod4Slot1GrossSales/finPNLCh3GrossSales*calcCh3ValDrivExpTot</f>
        <v>0</v>
      </c>
      <c r="F5270" s="614" t="s">
        <v>13370</v>
      </c>
    </row>
    <row r="5271" spans="3:6" s="614" customFormat="1">
      <c r="D5271" s="614" t="s">
        <v>13834</v>
      </c>
      <c r="E5271" s="641">
        <f>finPNLCh3Prod4Slot2GrossSales/finPNLCh3GrossSales*calcCh3ValDrivExpTot</f>
        <v>0</v>
      </c>
      <c r="F5271" s="614" t="s">
        <v>13371</v>
      </c>
    </row>
    <row r="5272" spans="3:6" s="614" customFormat="1">
      <c r="D5272" s="614" t="s">
        <v>13835</v>
      </c>
      <c r="E5272" s="641">
        <f>finPNLCh3Prod4Slot3GrossSales/finPNLCh3GrossSales*calcCh3ValDrivExpTot</f>
        <v>0</v>
      </c>
      <c r="F5272" s="614" t="s">
        <v>13372</v>
      </c>
    </row>
    <row r="5273" spans="3:6" s="614" customFormat="1" ht="1.5" customHeight="1">
      <c r="C5273" s="632"/>
      <c r="D5273" s="632"/>
      <c r="E5273" s="265"/>
    </row>
    <row r="5274" spans="3:6" s="614" customFormat="1">
      <c r="D5274" s="614" t="s">
        <v>14</v>
      </c>
      <c r="E5274" s="641">
        <f>SUM(E5261:E5272)</f>
        <v>1500000</v>
      </c>
    </row>
    <row r="5276" spans="3:6">
      <c r="C5276" s="198" t="s">
        <v>1410</v>
      </c>
    </row>
    <row r="5277" spans="3:6">
      <c r="D5277" s="23" t="s">
        <v>1324</v>
      </c>
      <c r="E5277" s="89" t="str">
        <f>decCh3ValDrivCond</f>
        <v>Level 1</v>
      </c>
      <c r="F5277" s="23" t="s">
        <v>3292</v>
      </c>
    </row>
    <row r="5278" spans="3:6" ht="1.5" customHeight="1">
      <c r="C5278" s="197"/>
      <c r="D5278" s="197"/>
      <c r="E5278" s="265"/>
    </row>
    <row r="5279" spans="3:6">
      <c r="D5279" s="23" t="s">
        <v>13816</v>
      </c>
      <c r="E5279" s="23">
        <f>VLOOKUP(calcCh3ValDrivCond,dataValDrivExp,2,FALSE)</f>
        <v>0</v>
      </c>
      <c r="F5279" s="23" t="s">
        <v>3293</v>
      </c>
    </row>
    <row r="5280" spans="3:6">
      <c r="D5280" s="23" t="s">
        <v>1545</v>
      </c>
      <c r="E5280" s="258">
        <v>0</v>
      </c>
      <c r="F5280" s="23" t="s">
        <v>3294</v>
      </c>
    </row>
    <row r="5281" spans="1:6">
      <c r="E5281" s="258"/>
    </row>
    <row r="5282" spans="1:6" s="81" customFormat="1">
      <c r="A5282" s="81" t="s">
        <v>13929</v>
      </c>
    </row>
    <row r="5284" spans="1:6">
      <c r="C5284" s="198" t="s">
        <v>1293</v>
      </c>
    </row>
    <row r="5285" spans="1:6">
      <c r="D5285" s="23" t="s">
        <v>1324</v>
      </c>
      <c r="E5285" s="89" t="str">
        <f>decCh4ValDriv1</f>
        <v>Level 2</v>
      </c>
      <c r="F5285" s="23" t="s">
        <v>1341</v>
      </c>
    </row>
    <row r="5286" spans="1:6" ht="1.5" customHeight="1">
      <c r="C5286" s="197"/>
      <c r="D5286" s="197"/>
      <c r="E5286" s="265"/>
    </row>
    <row r="5287" spans="1:6">
      <c r="D5287" s="23" t="s">
        <v>13816</v>
      </c>
      <c r="E5287" s="23">
        <f>VLOOKUP(calcCh4ValDriv1,dataValDrivExp,2,FALSE)</f>
        <v>1</v>
      </c>
      <c r="F5287" s="23" t="s">
        <v>1342</v>
      </c>
    </row>
    <row r="5288" spans="1:6">
      <c r="D5288" s="23" t="s">
        <v>1545</v>
      </c>
      <c r="E5288" s="258">
        <f>VLOOKUP(calcCh4ValDriv1,dataValDrivExp,3,FALSE)</f>
        <v>300000</v>
      </c>
      <c r="F5288" s="23" t="s">
        <v>1343</v>
      </c>
    </row>
    <row r="5290" spans="1:6">
      <c r="C5290" s="198" t="s">
        <v>1411</v>
      </c>
    </row>
    <row r="5291" spans="1:6">
      <c r="D5291" s="23" t="s">
        <v>1324</v>
      </c>
      <c r="E5291" s="89" t="str">
        <f>decCh4ValDriv2</f>
        <v>Level 2</v>
      </c>
      <c r="F5291" s="23" t="s">
        <v>1344</v>
      </c>
    </row>
    <row r="5292" spans="1:6" ht="1.5" customHeight="1">
      <c r="C5292" s="197"/>
      <c r="D5292" s="197"/>
      <c r="E5292" s="265"/>
    </row>
    <row r="5293" spans="1:6">
      <c r="D5293" s="23" t="s">
        <v>13816</v>
      </c>
      <c r="E5293" s="23">
        <f>VLOOKUP(calcCh4ValDriv2,dataValDrivExp,2,FALSE)</f>
        <v>1</v>
      </c>
      <c r="F5293" s="23" t="s">
        <v>1345</v>
      </c>
    </row>
    <row r="5294" spans="1:6">
      <c r="D5294" s="23" t="s">
        <v>1545</v>
      </c>
      <c r="E5294" s="258">
        <f>VLOOKUP(calcCh4ValDriv2,dataValDrivExp,3,FALSE)</f>
        <v>300000</v>
      </c>
      <c r="F5294" s="23" t="s">
        <v>1346</v>
      </c>
    </row>
    <row r="5296" spans="1:6">
      <c r="C5296" s="198" t="s">
        <v>1294</v>
      </c>
    </row>
    <row r="5297" spans="3:6">
      <c r="D5297" s="23" t="s">
        <v>1324</v>
      </c>
      <c r="E5297" s="89" t="str">
        <f>decCh4ValDriv3</f>
        <v>Level 2</v>
      </c>
      <c r="F5297" s="23" t="s">
        <v>1347</v>
      </c>
    </row>
    <row r="5298" spans="3:6" ht="1.5" customHeight="1">
      <c r="C5298" s="197"/>
      <c r="D5298" s="197"/>
      <c r="E5298" s="265"/>
    </row>
    <row r="5299" spans="3:6">
      <c r="D5299" s="23" t="s">
        <v>13816</v>
      </c>
      <c r="E5299" s="23">
        <f>VLOOKUP(calcCh4ValDriv3,dataValDrivExp,2,FALSE)</f>
        <v>1</v>
      </c>
      <c r="F5299" s="23" t="s">
        <v>1348</v>
      </c>
    </row>
    <row r="5300" spans="3:6">
      <c r="D5300" s="23" t="s">
        <v>1545</v>
      </c>
      <c r="E5300" s="258">
        <f>VLOOKUP(calcCh4ValDriv3,dataValDrivExp,3,FALSE)</f>
        <v>300000</v>
      </c>
      <c r="F5300" s="23" t="s">
        <v>1349</v>
      </c>
    </row>
    <row r="5302" spans="3:6">
      <c r="C5302" s="198" t="s">
        <v>5196</v>
      </c>
    </row>
    <row r="5303" spans="3:6">
      <c r="D5303" s="23" t="s">
        <v>1324</v>
      </c>
      <c r="E5303" s="89" t="str">
        <f>decCh4ValDriv4</f>
        <v>Level 2</v>
      </c>
      <c r="F5303" s="23" t="s">
        <v>1350</v>
      </c>
    </row>
    <row r="5304" spans="3:6" ht="1.5" customHeight="1">
      <c r="C5304" s="197"/>
      <c r="D5304" s="197"/>
      <c r="E5304" s="265"/>
    </row>
    <row r="5305" spans="3:6">
      <c r="D5305" s="23" t="s">
        <v>13816</v>
      </c>
      <c r="E5305" s="23">
        <f>VLOOKUP(calcCh4ValDriv4,dataValDrivExp,2,FALSE)</f>
        <v>1</v>
      </c>
      <c r="F5305" s="23" t="s">
        <v>1351</v>
      </c>
    </row>
    <row r="5306" spans="3:6">
      <c r="D5306" s="23" t="s">
        <v>1545</v>
      </c>
      <c r="E5306" s="258">
        <f>VLOOKUP(calcCh4ValDriv4,dataValDrivExp,3,FALSE)</f>
        <v>300000</v>
      </c>
      <c r="F5306" s="23" t="s">
        <v>1352</v>
      </c>
    </row>
    <row r="5308" spans="3:6">
      <c r="C5308" s="198" t="s">
        <v>812</v>
      </c>
    </row>
    <row r="5309" spans="3:6">
      <c r="D5309" s="23" t="s">
        <v>1324</v>
      </c>
      <c r="E5309" s="89" t="str">
        <f>decCh4ValDriv5</f>
        <v>Level 2</v>
      </c>
      <c r="F5309" s="23" t="s">
        <v>1353</v>
      </c>
    </row>
    <row r="5310" spans="3:6" ht="1.5" customHeight="1">
      <c r="C5310" s="197"/>
      <c r="D5310" s="197"/>
      <c r="E5310" s="265"/>
    </row>
    <row r="5311" spans="3:6">
      <c r="D5311" s="23" t="s">
        <v>13816</v>
      </c>
      <c r="E5311" s="23">
        <f>VLOOKUP(calcCh4ValDriv5,dataValDrivExp,2,FALSE)</f>
        <v>1</v>
      </c>
      <c r="F5311" s="23" t="s">
        <v>1354</v>
      </c>
    </row>
    <row r="5312" spans="3:6">
      <c r="D5312" s="23" t="s">
        <v>1545</v>
      </c>
      <c r="E5312" s="258">
        <f>VLOOKUP(calcCh4ValDriv5,dataValDrivExp,3,FALSE)</f>
        <v>300000</v>
      </c>
      <c r="F5312" s="23" t="s">
        <v>1355</v>
      </c>
    </row>
    <row r="5314" spans="3:6">
      <c r="C5314" s="198" t="s">
        <v>1325</v>
      </c>
    </row>
    <row r="5315" spans="3:6">
      <c r="D5315" s="23" t="s">
        <v>13816</v>
      </c>
      <c r="E5315" s="23">
        <f>calcCh4ValDriv1Emp1Req+calcCh4ValDriv2Emp1Req+calcCh4ValDriv3Emp1Req+calcCh4ValDriv4Emp1Req+calcCh4ValDriv5Emp1Req</f>
        <v>5</v>
      </c>
      <c r="F5315" s="23" t="s">
        <v>1389</v>
      </c>
    </row>
    <row r="5316" spans="3:6">
      <c r="D5316" s="23" t="s">
        <v>1545</v>
      </c>
      <c r="E5316" s="258">
        <f>calcCh4ValDriv1Exp+calcCh4ValDriv2Exp+calcCh4ValDriv3Exp+calcCh4ValDriv4Exp+calcCh4ValDriv5Exp</f>
        <v>1500000</v>
      </c>
      <c r="F5316" s="23" t="s">
        <v>3325</v>
      </c>
    </row>
    <row r="5317" spans="3:6" s="614" customFormat="1"/>
    <row r="5318" spans="3:6" s="614" customFormat="1">
      <c r="D5318" s="614" t="s">
        <v>13069</v>
      </c>
      <c r="E5318" s="641">
        <f>finPNLCh4Prod1Slot1GrossSales/finPNLCh4GrossSales*calcCh4ValDrivExpTot</f>
        <v>415495.62209490867</v>
      </c>
      <c r="F5318" s="614" t="s">
        <v>13349</v>
      </c>
    </row>
    <row r="5319" spans="3:6" s="614" customFormat="1">
      <c r="D5319" s="614" t="s">
        <v>13827</v>
      </c>
      <c r="E5319" s="641">
        <f>finPNLCh4Prod1Slot2GrossSales/finPNLCh4GrossSales*calcCh4ValDrivExpTot</f>
        <v>0</v>
      </c>
      <c r="F5319" s="614" t="s">
        <v>13350</v>
      </c>
    </row>
    <row r="5320" spans="3:6" s="614" customFormat="1">
      <c r="D5320" s="614" t="s">
        <v>13828</v>
      </c>
      <c r="E5320" s="641">
        <f>finPNLCh4Prod1Slot3GrossSales/finPNLCh4GrossSales*calcCh4ValDrivExpTot</f>
        <v>0</v>
      </c>
      <c r="F5320" s="614" t="s">
        <v>13351</v>
      </c>
    </row>
    <row r="5321" spans="3:6" s="614" customFormat="1">
      <c r="D5321" s="614" t="s">
        <v>4729</v>
      </c>
      <c r="E5321" s="641">
        <f>finPNLCh4Prod2Slot1GrossSales/finPNLCh4GrossSales*calcCh4ValDrivExpTot</f>
        <v>292474.78224260255</v>
      </c>
      <c r="F5321" s="614" t="s">
        <v>13352</v>
      </c>
    </row>
    <row r="5322" spans="3:6" s="614" customFormat="1">
      <c r="D5322" s="614" t="s">
        <v>13829</v>
      </c>
      <c r="E5322" s="641">
        <f>finPNLCh4Prod2Slot2GrossSales/finPNLCh4GrossSales*calcCh4ValDrivExpTot</f>
        <v>0</v>
      </c>
      <c r="F5322" s="614" t="s">
        <v>13353</v>
      </c>
    </row>
    <row r="5323" spans="3:6" s="614" customFormat="1">
      <c r="D5323" s="614" t="s">
        <v>13830</v>
      </c>
      <c r="E5323" s="641">
        <f>finPNLCh4Prod2Slot3GrossSales/finPNLCh4GrossSales*calcCh4ValDrivExpTot</f>
        <v>0</v>
      </c>
      <c r="F5323" s="614" t="s">
        <v>13354</v>
      </c>
    </row>
    <row r="5324" spans="3:6" s="614" customFormat="1">
      <c r="D5324" s="614" t="s">
        <v>8606</v>
      </c>
      <c r="E5324" s="641">
        <f>finPNLCh4Prod3Slot1GrossSales/finPNLCh4GrossSales*calcCh4ValDrivExpTot</f>
        <v>190921.03840836551</v>
      </c>
      <c r="F5324" s="614" t="s">
        <v>13355</v>
      </c>
    </row>
    <row r="5325" spans="3:6" s="614" customFormat="1">
      <c r="D5325" s="614" t="s">
        <v>13831</v>
      </c>
      <c r="E5325" s="641">
        <f>finPNLCh4Prod3Slot2GrossSales/finPNLCh4GrossSales*calcCh4ValDrivExpTot</f>
        <v>0</v>
      </c>
      <c r="F5325" s="614" t="s">
        <v>13356</v>
      </c>
    </row>
    <row r="5326" spans="3:6" s="614" customFormat="1">
      <c r="D5326" s="614" t="s">
        <v>13832</v>
      </c>
      <c r="E5326" s="641">
        <f>finPNLCh4Prod3Slot3GrossSales/finPNLCh4GrossSales*calcCh4ValDrivExpTot</f>
        <v>0</v>
      </c>
      <c r="F5326" s="614" t="s">
        <v>13357</v>
      </c>
    </row>
    <row r="5327" spans="3:6" s="614" customFormat="1">
      <c r="D5327" s="614" t="s">
        <v>13833</v>
      </c>
      <c r="E5327" s="641">
        <f>finPNLCh4Prod4Slot1GrossSales/finPNLCh4GrossSales*calcCh4ValDrivExpTot</f>
        <v>601108.55725412327</v>
      </c>
      <c r="F5327" s="614" t="s">
        <v>13358</v>
      </c>
    </row>
    <row r="5328" spans="3:6" s="614" customFormat="1">
      <c r="D5328" s="614" t="s">
        <v>13834</v>
      </c>
      <c r="E5328" s="641">
        <f>finPNLCh4Prod4Slot2GrossSales/finPNLCh4GrossSales*calcCh4ValDrivExpTot</f>
        <v>0</v>
      </c>
      <c r="F5328" s="614" t="s">
        <v>13359</v>
      </c>
    </row>
    <row r="5329" spans="1:6" s="614" customFormat="1">
      <c r="D5329" s="614" t="s">
        <v>13835</v>
      </c>
      <c r="E5329" s="641">
        <f>finPNLCh4Prod4Slot3GrossSales/finPNLCh4GrossSales*calcCh4ValDrivExpTot</f>
        <v>0</v>
      </c>
      <c r="F5329" s="614" t="s">
        <v>13360</v>
      </c>
    </row>
    <row r="5330" spans="1:6" s="614" customFormat="1" ht="1.5" customHeight="1">
      <c r="C5330" s="632"/>
      <c r="D5330" s="632"/>
      <c r="E5330" s="265"/>
    </row>
    <row r="5331" spans="1:6" s="614" customFormat="1">
      <c r="D5331" s="614" t="s">
        <v>14</v>
      </c>
      <c r="E5331" s="641">
        <f>SUM(E5318:E5329)</f>
        <v>1500000</v>
      </c>
    </row>
    <row r="5333" spans="1:6">
      <c r="C5333" s="198" t="s">
        <v>1410</v>
      </c>
    </row>
    <row r="5334" spans="1:6">
      <c r="D5334" s="23" t="s">
        <v>1324</v>
      </c>
      <c r="E5334" s="89" t="str">
        <f>decCh4ValDrivCond</f>
        <v>Level 1</v>
      </c>
      <c r="F5334" s="23" t="s">
        <v>3289</v>
      </c>
    </row>
    <row r="5335" spans="1:6" ht="1.5" customHeight="1">
      <c r="C5335" s="197"/>
      <c r="D5335" s="197"/>
      <c r="E5335" s="265"/>
    </row>
    <row r="5336" spans="1:6">
      <c r="D5336" s="23" t="s">
        <v>13816</v>
      </c>
      <c r="E5336" s="23">
        <f>VLOOKUP(calcCh4ValDrivCond,dataValDrivExp,2,FALSE)</f>
        <v>0</v>
      </c>
      <c r="F5336" s="23" t="s">
        <v>3290</v>
      </c>
    </row>
    <row r="5337" spans="1:6">
      <c r="D5337" s="23" t="s">
        <v>1545</v>
      </c>
      <c r="E5337" s="258">
        <f>VLOOKUP(calcCh4ValDrivCond,dataValDrivExp,3,FALSE)</f>
        <v>150000</v>
      </c>
      <c r="F5337" s="23" t="s">
        <v>3291</v>
      </c>
    </row>
    <row r="5338" spans="1:6">
      <c r="E5338" s="258"/>
    </row>
    <row r="5339" spans="1:6" s="81" customFormat="1">
      <c r="A5339" s="81" t="s">
        <v>1293</v>
      </c>
    </row>
    <row r="5340" spans="1:6">
      <c r="E5340" s="258"/>
    </row>
    <row r="5341" spans="1:6">
      <c r="C5341" s="198" t="s">
        <v>244</v>
      </c>
      <c r="E5341" s="258"/>
    </row>
    <row r="5342" spans="1:6">
      <c r="D5342" s="23" t="s">
        <v>1414</v>
      </c>
      <c r="E5342" s="258">
        <f>obalCh1ValDriv1</f>
        <v>289800</v>
      </c>
      <c r="F5342" s="23" t="s">
        <v>3654</v>
      </c>
    </row>
    <row r="5343" spans="1:6">
      <c r="D5343" s="23" t="s">
        <v>12871</v>
      </c>
      <c r="E5343" s="258">
        <f>calcCh1ValDriv1Exp*calcCh1CondShare</f>
        <v>96000</v>
      </c>
    </row>
    <row r="5344" spans="1:6">
      <c r="D5344" s="23" t="s">
        <v>12872</v>
      </c>
      <c r="E5344" s="258">
        <f>calcCh1ValDriv1Exp*(1-calcCh1CondShare)</f>
        <v>203999.99999999997</v>
      </c>
    </row>
    <row r="5345" spans="1:6">
      <c r="D5345" s="267" t="s">
        <v>1420</v>
      </c>
      <c r="E5345" s="372">
        <f>paramCh1ValDriv1UnCondFactor</f>
        <v>0.4</v>
      </c>
    </row>
    <row r="5346" spans="1:6">
      <c r="D5346" s="312" t="s">
        <v>3315</v>
      </c>
      <c r="E5346" s="482">
        <f>E5344*E5345</f>
        <v>81600</v>
      </c>
    </row>
    <row r="5347" spans="1:6" s="614" customFormat="1">
      <c r="D5347" s="652" t="s">
        <v>67</v>
      </c>
      <c r="E5347" s="482">
        <f>paramCh1ValDriv1SIFactor</f>
        <v>0</v>
      </c>
    </row>
    <row r="5348" spans="1:6" ht="2.25" customHeight="1">
      <c r="A5348" s="297"/>
      <c r="C5348" s="298"/>
      <c r="D5348" s="298"/>
      <c r="E5348" s="299"/>
      <c r="F5348" s="297"/>
    </row>
    <row r="5349" spans="1:6">
      <c r="D5349" s="23" t="s">
        <v>14</v>
      </c>
      <c r="E5349" s="258">
        <f>E5342+E5344+E5346+E5347</f>
        <v>575400</v>
      </c>
      <c r="F5349" s="23" t="s">
        <v>3655</v>
      </c>
    </row>
    <row r="5351" spans="1:6">
      <c r="C5351" s="198" t="s">
        <v>245</v>
      </c>
      <c r="E5351" s="258"/>
    </row>
    <row r="5352" spans="1:6">
      <c r="D5352" s="23" t="s">
        <v>1414</v>
      </c>
      <c r="E5352" s="258">
        <f>obalCh2ValDriv1</f>
        <v>289800</v>
      </c>
      <c r="F5352" s="23" t="s">
        <v>3668</v>
      </c>
    </row>
    <row r="5353" spans="1:6">
      <c r="D5353" s="23" t="s">
        <v>12871</v>
      </c>
      <c r="E5353" s="258">
        <f>calcCh2ValDriv1Exp*calcCh2CondShare</f>
        <v>96000</v>
      </c>
    </row>
    <row r="5354" spans="1:6">
      <c r="D5354" s="23" t="s">
        <v>12872</v>
      </c>
      <c r="E5354" s="258">
        <f>calcCh2ValDriv1Exp*(1-calcCh2CondShare)</f>
        <v>203999.99999999997</v>
      </c>
    </row>
    <row r="5355" spans="1:6">
      <c r="D5355" s="267" t="s">
        <v>1420</v>
      </c>
      <c r="E5355" s="372">
        <f>paramCh2ValDriv1UnCondFactor</f>
        <v>0.4</v>
      </c>
    </row>
    <row r="5356" spans="1:6">
      <c r="D5356" s="312" t="s">
        <v>3315</v>
      </c>
      <c r="E5356" s="482">
        <f>E5354*E5355</f>
        <v>81600</v>
      </c>
    </row>
    <row r="5357" spans="1:6" s="614" customFormat="1">
      <c r="D5357" s="652" t="s">
        <v>67</v>
      </c>
      <c r="E5357" s="482">
        <f>paramCh2ValDriv1SIFactor</f>
        <v>0</v>
      </c>
    </row>
    <row r="5358" spans="1:6" ht="2.25" customHeight="1">
      <c r="A5358" s="297"/>
      <c r="C5358" s="298"/>
      <c r="D5358" s="298"/>
      <c r="E5358" s="299"/>
      <c r="F5358" s="297"/>
    </row>
    <row r="5359" spans="1:6">
      <c r="D5359" s="23" t="s">
        <v>14</v>
      </c>
      <c r="E5359" s="258">
        <f>E5352+E5354+E5356+E5357</f>
        <v>575400</v>
      </c>
      <c r="F5359" s="23" t="s">
        <v>3669</v>
      </c>
    </row>
    <row r="5361" spans="1:6">
      <c r="C5361" s="198" t="s">
        <v>5199</v>
      </c>
      <c r="E5361" s="258"/>
    </row>
    <row r="5362" spans="1:6">
      <c r="D5362" s="23" t="s">
        <v>1414</v>
      </c>
      <c r="E5362" s="258">
        <f>obalCh3ValDriv1</f>
        <v>310499.99999999994</v>
      </c>
      <c r="F5362" s="23" t="s">
        <v>3670</v>
      </c>
    </row>
    <row r="5363" spans="1:6">
      <c r="D5363" s="23" t="s">
        <v>12871</v>
      </c>
      <c r="E5363" s="258">
        <f>calcCh3ValDriv1Exp*calcCh3CondShare</f>
        <v>96000</v>
      </c>
    </row>
    <row r="5364" spans="1:6">
      <c r="D5364" s="23" t="s">
        <v>12872</v>
      </c>
      <c r="E5364" s="258">
        <f>calcCh3ValDriv1Exp*(1-calcCh3CondShare)</f>
        <v>203999.99999999997</v>
      </c>
    </row>
    <row r="5365" spans="1:6">
      <c r="D5365" s="267" t="s">
        <v>1420</v>
      </c>
      <c r="E5365" s="372">
        <f>paramCh3ValDriv1UnCondFactor</f>
        <v>0.5</v>
      </c>
    </row>
    <row r="5366" spans="1:6">
      <c r="D5366" s="312" t="s">
        <v>3315</v>
      </c>
      <c r="E5366" s="482">
        <f>E5364*E5365</f>
        <v>101999.99999999999</v>
      </c>
    </row>
    <row r="5367" spans="1:6" s="614" customFormat="1">
      <c r="D5367" s="652" t="s">
        <v>67</v>
      </c>
      <c r="E5367" s="482">
        <f>paramCh3ValDriv1SIFactor</f>
        <v>0</v>
      </c>
    </row>
    <row r="5368" spans="1:6" ht="2.25" customHeight="1">
      <c r="A5368" s="297"/>
      <c r="C5368" s="298"/>
      <c r="D5368" s="298"/>
      <c r="E5368" s="299"/>
      <c r="F5368" s="297"/>
    </row>
    <row r="5369" spans="1:6">
      <c r="D5369" s="23" t="s">
        <v>14</v>
      </c>
      <c r="E5369" s="258">
        <f>E5362+E5364+E5366+E5367</f>
        <v>616499.99999999988</v>
      </c>
      <c r="F5369" s="23" t="s">
        <v>3671</v>
      </c>
    </row>
    <row r="5370" spans="1:6">
      <c r="E5370" s="258"/>
    </row>
    <row r="5371" spans="1:6">
      <c r="C5371" s="198" t="s">
        <v>246</v>
      </c>
      <c r="E5371" s="258"/>
    </row>
    <row r="5372" spans="1:6">
      <c r="D5372" s="23" t="s">
        <v>1414</v>
      </c>
      <c r="E5372" s="258">
        <f>obalCh4ValDriv1</f>
        <v>331199.99999999994</v>
      </c>
      <c r="F5372" s="23" t="s">
        <v>3672</v>
      </c>
    </row>
    <row r="5373" spans="1:6">
      <c r="D5373" s="23" t="s">
        <v>12871</v>
      </c>
      <c r="E5373" s="258">
        <f>calcCh4ValDriv1Exp*calcCh4CondShare</f>
        <v>96000</v>
      </c>
    </row>
    <row r="5374" spans="1:6">
      <c r="D5374" s="23" t="s">
        <v>12872</v>
      </c>
      <c r="E5374" s="258">
        <f>calcCh4ValDriv1Exp*(1-calcCh4CondShare)</f>
        <v>203999.99999999997</v>
      </c>
    </row>
    <row r="5375" spans="1:6">
      <c r="D5375" s="267" t="s">
        <v>1420</v>
      </c>
      <c r="E5375" s="372">
        <f>paramCh4ValDriv1UnCondFactor</f>
        <v>0.6</v>
      </c>
    </row>
    <row r="5376" spans="1:6">
      <c r="D5376" s="312" t="s">
        <v>3315</v>
      </c>
      <c r="E5376" s="482">
        <f>E5374*E5375</f>
        <v>122399.99999999997</v>
      </c>
    </row>
    <row r="5377" spans="1:6" s="614" customFormat="1">
      <c r="D5377" s="652" t="s">
        <v>67</v>
      </c>
      <c r="E5377" s="482">
        <f>paramCh4ValDriv1SIFactor</f>
        <v>0</v>
      </c>
    </row>
    <row r="5378" spans="1:6" ht="2.25" customHeight="1">
      <c r="A5378" s="297"/>
      <c r="C5378" s="298"/>
      <c r="D5378" s="298"/>
      <c r="E5378" s="299"/>
      <c r="F5378" s="297"/>
    </row>
    <row r="5379" spans="1:6">
      <c r="D5379" s="23" t="s">
        <v>14</v>
      </c>
      <c r="E5379" s="258">
        <f>E5372+E5374+E5376+E5377</f>
        <v>657599.99999999988</v>
      </c>
      <c r="F5379" s="23" t="s">
        <v>3673</v>
      </c>
    </row>
    <row r="5380" spans="1:6">
      <c r="E5380" s="258"/>
    </row>
    <row r="5381" spans="1:6" s="81" customFormat="1">
      <c r="A5381" s="81" t="s">
        <v>13930</v>
      </c>
    </row>
    <row r="5382" spans="1:6">
      <c r="E5382" s="258"/>
    </row>
    <row r="5383" spans="1:6" s="614" customFormat="1">
      <c r="C5383" s="633"/>
      <c r="D5383" s="267" t="s">
        <v>13931</v>
      </c>
      <c r="E5383" s="371">
        <f>ROUNDDOWN(calcCh1ValDriv1AccEnd/1000000,1)*1000000</f>
        <v>500000</v>
      </c>
      <c r="F5383" s="614" t="s">
        <v>13740</v>
      </c>
    </row>
    <row r="5384" spans="1:6" s="614" customFormat="1">
      <c r="D5384" s="614" t="s">
        <v>13739</v>
      </c>
      <c r="E5384" s="992">
        <f>VLOOKUP(E5383,dataCh1WdDecImpacts,2,FALSE)</f>
        <v>2.5000000000000001E-2</v>
      </c>
      <c r="F5384" s="614" t="s">
        <v>13741</v>
      </c>
    </row>
    <row r="5385" spans="1:6" s="614" customFormat="1">
      <c r="E5385" s="992"/>
    </row>
    <row r="5386" spans="1:6">
      <c r="C5386" s="198" t="s">
        <v>13932</v>
      </c>
      <c r="E5386" s="258"/>
    </row>
    <row r="5387" spans="1:6">
      <c r="C5387" s="198"/>
      <c r="D5387" s="23" t="s">
        <v>3675</v>
      </c>
      <c r="E5387" s="465">
        <f>VLOOKUP(calcCh1Prod1Slot1Pack,dataCh1WdBaseline,2,FALSE)</f>
        <v>0.72857142857142843</v>
      </c>
    </row>
    <row r="5388" spans="1:6" ht="2.25" customHeight="1">
      <c r="A5388" s="297"/>
      <c r="C5388" s="298"/>
      <c r="D5388" s="298"/>
      <c r="E5388" s="299"/>
      <c r="F5388" s="297"/>
    </row>
    <row r="5389" spans="1:6">
      <c r="D5389" s="23" t="s">
        <v>3674</v>
      </c>
      <c r="E5389" s="690">
        <f>MIN(E5387+calcCh1WDValDriv1,1)</f>
        <v>0.75357142857142845</v>
      </c>
      <c r="F5389" s="23" t="s">
        <v>3676</v>
      </c>
    </row>
    <row r="5390" spans="1:6" s="614" customFormat="1">
      <c r="C5390" s="633" t="s">
        <v>13933</v>
      </c>
      <c r="E5390" s="641"/>
    </row>
    <row r="5391" spans="1:6" s="614" customFormat="1">
      <c r="C5391" s="633"/>
      <c r="D5391" s="614" t="s">
        <v>3675</v>
      </c>
      <c r="E5391" s="690">
        <f>VLOOKUP(calcCh1Prod1Slot2Pack,dataCh1WdBaseline,2,FALSE)</f>
        <v>0</v>
      </c>
    </row>
    <row r="5392" spans="1:6" s="614" customFormat="1" ht="2.25" customHeight="1">
      <c r="A5392" s="297"/>
      <c r="C5392" s="650"/>
      <c r="D5392" s="650"/>
      <c r="E5392" s="299"/>
      <c r="F5392" s="297"/>
    </row>
    <row r="5393" spans="1:6" s="614" customFormat="1">
      <c r="D5393" s="614" t="s">
        <v>3674</v>
      </c>
      <c r="E5393" s="690">
        <f>MIN(E5391+calcCh1WDValDriv1,1)</f>
        <v>2.5000000000000001E-2</v>
      </c>
      <c r="F5393" s="614" t="s">
        <v>3685</v>
      </c>
    </row>
    <row r="5394" spans="1:6" s="614" customFormat="1">
      <c r="C5394" s="633" t="s">
        <v>13934</v>
      </c>
      <c r="E5394" s="641"/>
    </row>
    <row r="5395" spans="1:6" s="614" customFormat="1">
      <c r="C5395" s="633"/>
      <c r="D5395" s="614" t="s">
        <v>3675</v>
      </c>
      <c r="E5395" s="690">
        <f>VLOOKUP(calcCh1Prod1Slot3Pack,dataCh1WdBaseline,2,FALSE)</f>
        <v>0</v>
      </c>
    </row>
    <row r="5396" spans="1:6" s="614" customFormat="1" ht="2.25" customHeight="1">
      <c r="A5396" s="297"/>
      <c r="C5396" s="650"/>
      <c r="D5396" s="650"/>
      <c r="E5396" s="299"/>
      <c r="F5396" s="297"/>
    </row>
    <row r="5397" spans="1:6" s="614" customFormat="1">
      <c r="D5397" s="614" t="s">
        <v>3674</v>
      </c>
      <c r="E5397" s="690">
        <f>MIN(E5395+calcCh1WDValDriv1,1)</f>
        <v>2.5000000000000001E-2</v>
      </c>
      <c r="F5397" s="614" t="s">
        <v>3686</v>
      </c>
    </row>
    <row r="5398" spans="1:6" s="614" customFormat="1">
      <c r="E5398" s="992"/>
    </row>
    <row r="5399" spans="1:6" s="614" customFormat="1">
      <c r="C5399" s="633" t="s">
        <v>13935</v>
      </c>
      <c r="E5399" s="641"/>
    </row>
    <row r="5400" spans="1:6" s="614" customFormat="1">
      <c r="C5400" s="633"/>
      <c r="D5400" s="614" t="s">
        <v>3675</v>
      </c>
      <c r="E5400" s="690">
        <f>VLOOKUP(calcCh1Prod2Slot1Pack,dataCh1WdBaseline,2,FALSE)</f>
        <v>0.72857142857142843</v>
      </c>
    </row>
    <row r="5401" spans="1:6" s="614" customFormat="1" ht="2.25" customHeight="1">
      <c r="A5401" s="297"/>
      <c r="C5401" s="650"/>
      <c r="D5401" s="650"/>
      <c r="E5401" s="299"/>
      <c r="F5401" s="297"/>
    </row>
    <row r="5402" spans="1:6" s="614" customFormat="1">
      <c r="D5402" s="614" t="s">
        <v>3674</v>
      </c>
      <c r="E5402" s="690">
        <f>MIN(E5400+calcCh1WDValDriv1,1)</f>
        <v>0.75357142857142845</v>
      </c>
      <c r="F5402" s="614" t="s">
        <v>3693</v>
      </c>
    </row>
    <row r="5403" spans="1:6" s="614" customFormat="1">
      <c r="C5403" s="633" t="s">
        <v>13936</v>
      </c>
      <c r="E5403" s="641"/>
    </row>
    <row r="5404" spans="1:6" s="614" customFormat="1">
      <c r="C5404" s="633"/>
      <c r="D5404" s="614" t="s">
        <v>3675</v>
      </c>
      <c r="E5404" s="690">
        <f>VLOOKUP(calcCh1Prod2Slot2Pack,dataCh1WdBaseline,2,FALSE)</f>
        <v>0.82857142857142851</v>
      </c>
    </row>
    <row r="5405" spans="1:6" s="614" customFormat="1" ht="2.25" customHeight="1">
      <c r="A5405" s="297"/>
      <c r="C5405" s="650"/>
      <c r="D5405" s="650"/>
      <c r="E5405" s="299"/>
      <c r="F5405" s="297"/>
    </row>
    <row r="5406" spans="1:6" s="614" customFormat="1">
      <c r="D5406" s="614" t="s">
        <v>3674</v>
      </c>
      <c r="E5406" s="690">
        <f>MIN(E5404+calcCh1WDValDriv1,1)</f>
        <v>0.85357142857142854</v>
      </c>
      <c r="F5406" s="614" t="s">
        <v>3694</v>
      </c>
    </row>
    <row r="5407" spans="1:6" s="614" customFormat="1">
      <c r="C5407" s="633" t="s">
        <v>13937</v>
      </c>
      <c r="E5407" s="641"/>
    </row>
    <row r="5408" spans="1:6" s="614" customFormat="1">
      <c r="C5408" s="633"/>
      <c r="D5408" s="614" t="s">
        <v>3675</v>
      </c>
      <c r="E5408" s="690">
        <f>VLOOKUP(calcCh1Prod2Slot3Pack,dataCh1WdBaseline,2,FALSE)</f>
        <v>0</v>
      </c>
    </row>
    <row r="5409" spans="1:6" s="614" customFormat="1" ht="2.25" customHeight="1">
      <c r="A5409" s="297"/>
      <c r="C5409" s="650"/>
      <c r="D5409" s="650"/>
      <c r="E5409" s="299"/>
      <c r="F5409" s="297"/>
    </row>
    <row r="5410" spans="1:6" s="614" customFormat="1">
      <c r="D5410" s="614" t="s">
        <v>3674</v>
      </c>
      <c r="E5410" s="690">
        <f>MIN(E5408+calcCh1WDValDriv1,1)</f>
        <v>2.5000000000000001E-2</v>
      </c>
      <c r="F5410" s="614" t="s">
        <v>3695</v>
      </c>
    </row>
    <row r="5411" spans="1:6" s="614" customFormat="1">
      <c r="E5411" s="992"/>
    </row>
    <row r="5412" spans="1:6" s="614" customFormat="1">
      <c r="C5412" s="633" t="s">
        <v>13938</v>
      </c>
      <c r="E5412" s="641"/>
    </row>
    <row r="5413" spans="1:6" s="614" customFormat="1">
      <c r="C5413" s="633"/>
      <c r="D5413" s="614" t="s">
        <v>3675</v>
      </c>
      <c r="E5413" s="690">
        <f>VLOOKUP(calcCh1Prod3Slot1Pack,dataCh1WdBaseline,2,FALSE)</f>
        <v>0.62857142857142856</v>
      </c>
    </row>
    <row r="5414" spans="1:6" s="614" customFormat="1" ht="2.25" customHeight="1">
      <c r="A5414" s="297"/>
      <c r="C5414" s="650"/>
      <c r="D5414" s="650"/>
      <c r="E5414" s="299"/>
      <c r="F5414" s="297"/>
    </row>
    <row r="5415" spans="1:6" s="614" customFormat="1">
      <c r="D5415" s="614" t="s">
        <v>3674</v>
      </c>
      <c r="E5415" s="690">
        <f>MIN(E5413+calcCh1WDValDriv1,1)</f>
        <v>0.65357142857142858</v>
      </c>
      <c r="F5415" s="614" t="s">
        <v>3690</v>
      </c>
    </row>
    <row r="5416" spans="1:6" s="614" customFormat="1">
      <c r="C5416" s="633" t="s">
        <v>13939</v>
      </c>
      <c r="E5416" s="641"/>
    </row>
    <row r="5417" spans="1:6" s="614" customFormat="1">
      <c r="C5417" s="633"/>
      <c r="D5417" s="614" t="s">
        <v>3675</v>
      </c>
      <c r="E5417" s="690">
        <f>VLOOKUP(calcCh1Prod3Slot2Pack,dataCh1WdBaseline,2,FALSE)</f>
        <v>0.82857142857142851</v>
      </c>
    </row>
    <row r="5418" spans="1:6" s="614" customFormat="1" ht="2.25" customHeight="1">
      <c r="A5418" s="297"/>
      <c r="C5418" s="650"/>
      <c r="D5418" s="650"/>
      <c r="E5418" s="299"/>
      <c r="F5418" s="297"/>
    </row>
    <row r="5419" spans="1:6" s="614" customFormat="1">
      <c r="D5419" s="614" t="s">
        <v>3674</v>
      </c>
      <c r="E5419" s="690">
        <f>MIN(E5417+calcCh1WDValDriv1,1)</f>
        <v>0.85357142857142854</v>
      </c>
      <c r="F5419" s="614" t="s">
        <v>3691</v>
      </c>
    </row>
    <row r="5420" spans="1:6" s="614" customFormat="1">
      <c r="C5420" s="633" t="s">
        <v>13940</v>
      </c>
      <c r="E5420" s="641"/>
    </row>
    <row r="5421" spans="1:6" s="614" customFormat="1">
      <c r="C5421" s="633"/>
      <c r="D5421" s="614" t="s">
        <v>3675</v>
      </c>
      <c r="E5421" s="690">
        <f>VLOOKUP(calcCh1Prod3Slot3Pack,dataCh1WdBaseline,2,FALSE)</f>
        <v>0</v>
      </c>
    </row>
    <row r="5422" spans="1:6" s="614" customFormat="1" ht="2.25" customHeight="1">
      <c r="A5422" s="297"/>
      <c r="C5422" s="650"/>
      <c r="D5422" s="650"/>
      <c r="E5422" s="299"/>
      <c r="F5422" s="297"/>
    </row>
    <row r="5423" spans="1:6" s="614" customFormat="1">
      <c r="D5423" s="614" t="s">
        <v>3674</v>
      </c>
      <c r="E5423" s="690">
        <f>MIN(E5421+calcCh1WDValDriv1,1)</f>
        <v>2.5000000000000001E-2</v>
      </c>
      <c r="F5423" s="614" t="s">
        <v>3692</v>
      </c>
    </row>
    <row r="5424" spans="1:6" s="614" customFormat="1">
      <c r="E5424" s="992"/>
    </row>
    <row r="5425" spans="1:6" s="614" customFormat="1">
      <c r="C5425" s="633" t="s">
        <v>13941</v>
      </c>
      <c r="E5425" s="641"/>
    </row>
    <row r="5426" spans="1:6" s="614" customFormat="1">
      <c r="C5426" s="633"/>
      <c r="D5426" s="614" t="s">
        <v>3675</v>
      </c>
      <c r="E5426" s="690">
        <f>VLOOKUP(calcCh1Prod4Slot1Pack,dataCh1WdBaseline,2,FALSE)</f>
        <v>0</v>
      </c>
    </row>
    <row r="5427" spans="1:6" s="614" customFormat="1" ht="2.25" customHeight="1">
      <c r="A5427" s="297"/>
      <c r="C5427" s="650"/>
      <c r="D5427" s="650"/>
      <c r="E5427" s="299"/>
      <c r="F5427" s="297"/>
    </row>
    <row r="5428" spans="1:6" s="614" customFormat="1">
      <c r="D5428" s="614" t="s">
        <v>3674</v>
      </c>
      <c r="E5428" s="690">
        <f>MIN(E5426+calcCh1WDValDriv1,1)</f>
        <v>2.5000000000000001E-2</v>
      </c>
      <c r="F5428" s="614" t="s">
        <v>3687</v>
      </c>
    </row>
    <row r="5429" spans="1:6" s="614" customFormat="1">
      <c r="C5429" s="633" t="s">
        <v>13942</v>
      </c>
      <c r="E5429" s="641"/>
    </row>
    <row r="5430" spans="1:6" s="614" customFormat="1">
      <c r="C5430" s="633"/>
      <c r="D5430" s="614" t="s">
        <v>3675</v>
      </c>
      <c r="E5430" s="690">
        <f>VLOOKUP(calcCh1Prod4Slot2Pack,dataCh1WdBaseline,2,FALSE)</f>
        <v>0</v>
      </c>
    </row>
    <row r="5431" spans="1:6" s="614" customFormat="1" ht="2.25" customHeight="1">
      <c r="A5431" s="297"/>
      <c r="C5431" s="650"/>
      <c r="D5431" s="650"/>
      <c r="E5431" s="299"/>
      <c r="F5431" s="297"/>
    </row>
    <row r="5432" spans="1:6" s="614" customFormat="1">
      <c r="D5432" s="614" t="s">
        <v>3674</v>
      </c>
      <c r="E5432" s="690">
        <f>MIN(E5430+calcCh1WDValDriv1,1)</f>
        <v>2.5000000000000001E-2</v>
      </c>
      <c r="F5432" s="614" t="s">
        <v>3688</v>
      </c>
    </row>
    <row r="5433" spans="1:6" s="614" customFormat="1">
      <c r="C5433" s="633" t="s">
        <v>13943</v>
      </c>
      <c r="E5433" s="641"/>
    </row>
    <row r="5434" spans="1:6" s="614" customFormat="1">
      <c r="C5434" s="633"/>
      <c r="D5434" s="614" t="s">
        <v>3675</v>
      </c>
      <c r="E5434" s="690">
        <f>VLOOKUP(calcCh1Prod4Slot3Pack,dataCh1WdBaseline,2,FALSE)</f>
        <v>0</v>
      </c>
    </row>
    <row r="5435" spans="1:6" s="614" customFormat="1" ht="2.25" customHeight="1">
      <c r="A5435" s="297"/>
      <c r="C5435" s="650"/>
      <c r="D5435" s="650"/>
      <c r="E5435" s="299"/>
      <c r="F5435" s="297"/>
    </row>
    <row r="5436" spans="1:6" s="614" customFormat="1">
      <c r="D5436" s="614" t="s">
        <v>3674</v>
      </c>
      <c r="E5436" s="690">
        <f>MIN(E5434+calcCh1WDValDriv1,1)</f>
        <v>2.5000000000000001E-2</v>
      </c>
      <c r="F5436" s="614" t="s">
        <v>3689</v>
      </c>
    </row>
    <row r="5438" spans="1:6" s="616" customFormat="1">
      <c r="A5438" s="616" t="s">
        <v>13944</v>
      </c>
    </row>
    <row r="5439" spans="1:6" s="614" customFormat="1">
      <c r="E5439" s="641"/>
    </row>
    <row r="5440" spans="1:6" s="614" customFormat="1">
      <c r="C5440" s="633"/>
      <c r="D5440" s="267" t="s">
        <v>13931</v>
      </c>
      <c r="E5440" s="371">
        <f>ROUNDDOWN(calcCh2ValDriv1AccEnd/1000000,1)*1000000</f>
        <v>500000</v>
      </c>
      <c r="F5440" s="614" t="s">
        <v>13746</v>
      </c>
    </row>
    <row r="5441" spans="1:6" s="614" customFormat="1">
      <c r="D5441" s="614" t="s">
        <v>13739</v>
      </c>
      <c r="E5441" s="992">
        <f>VLOOKUP(E5440,dataCh2WdDecImpacts,2,FALSE)</f>
        <v>2.5000000000000001E-2</v>
      </c>
      <c r="F5441" s="614" t="s">
        <v>13747</v>
      </c>
    </row>
    <row r="5442" spans="1:6" s="614" customFormat="1">
      <c r="E5442" s="992"/>
    </row>
    <row r="5443" spans="1:6" s="614" customFormat="1">
      <c r="C5443" s="633" t="s">
        <v>13932</v>
      </c>
      <c r="E5443" s="641"/>
    </row>
    <row r="5444" spans="1:6" s="614" customFormat="1">
      <c r="C5444" s="633"/>
      <c r="D5444" s="614" t="s">
        <v>3675</v>
      </c>
      <c r="E5444" s="690">
        <f>VLOOKUP(calcCh2Prod1Slot1Pack,dataCh2WdBaseline,2,FALSE)</f>
        <v>0.9285714285714286</v>
      </c>
    </row>
    <row r="5445" spans="1:6" s="614" customFormat="1" ht="2.25" customHeight="1">
      <c r="A5445" s="297"/>
      <c r="C5445" s="650"/>
      <c r="D5445" s="650"/>
      <c r="E5445" s="299"/>
      <c r="F5445" s="297"/>
    </row>
    <row r="5446" spans="1:6" s="614" customFormat="1">
      <c r="D5446" s="614" t="s">
        <v>3674</v>
      </c>
      <c r="E5446" s="690">
        <f>MIN(E5444+calcCh2WDValDriv1,1)</f>
        <v>0.95357142857142863</v>
      </c>
      <c r="F5446" s="614" t="s">
        <v>3720</v>
      </c>
    </row>
    <row r="5447" spans="1:6" s="614" customFormat="1">
      <c r="C5447" s="633" t="s">
        <v>13933</v>
      </c>
      <c r="E5447" s="641"/>
    </row>
    <row r="5448" spans="1:6" s="614" customFormat="1">
      <c r="C5448" s="633"/>
      <c r="D5448" s="614" t="s">
        <v>3675</v>
      </c>
      <c r="E5448" s="690">
        <f>VLOOKUP(calcCh2Prod1Slot2Pack,dataCh2WdBaseline,2,FALSE)</f>
        <v>0</v>
      </c>
    </row>
    <row r="5449" spans="1:6" s="614" customFormat="1" ht="2.25" customHeight="1">
      <c r="A5449" s="297"/>
      <c r="C5449" s="650"/>
      <c r="D5449" s="650"/>
      <c r="E5449" s="299"/>
      <c r="F5449" s="297"/>
    </row>
    <row r="5450" spans="1:6" s="614" customFormat="1">
      <c r="D5450" s="614" t="s">
        <v>3674</v>
      </c>
      <c r="E5450" s="690">
        <f>MIN(E5448+calcCh2WDValDriv1,1)</f>
        <v>2.5000000000000001E-2</v>
      </c>
      <c r="F5450" s="614" t="s">
        <v>3721</v>
      </c>
    </row>
    <row r="5451" spans="1:6" s="614" customFormat="1">
      <c r="C5451" s="633" t="s">
        <v>13934</v>
      </c>
      <c r="E5451" s="641"/>
    </row>
    <row r="5452" spans="1:6" s="614" customFormat="1">
      <c r="C5452" s="633"/>
      <c r="D5452" s="614" t="s">
        <v>3675</v>
      </c>
      <c r="E5452" s="690">
        <f>VLOOKUP(calcCh2Prod1Slot3Pack,dataCh2WdBaseline,2,FALSE)</f>
        <v>0</v>
      </c>
    </row>
    <row r="5453" spans="1:6" s="614" customFormat="1" ht="2.25" customHeight="1">
      <c r="A5453" s="297"/>
      <c r="C5453" s="650"/>
      <c r="D5453" s="650"/>
      <c r="E5453" s="299"/>
      <c r="F5453" s="297"/>
    </row>
    <row r="5454" spans="1:6" s="614" customFormat="1">
      <c r="D5454" s="614" t="s">
        <v>3674</v>
      </c>
      <c r="E5454" s="690">
        <f>MIN(E5452+calcCh2WDValDriv1,1)</f>
        <v>2.5000000000000001E-2</v>
      </c>
      <c r="F5454" s="614" t="s">
        <v>3722</v>
      </c>
    </row>
    <row r="5455" spans="1:6" s="614" customFormat="1">
      <c r="E5455" s="992"/>
    </row>
    <row r="5456" spans="1:6" s="614" customFormat="1">
      <c r="C5456" s="633" t="s">
        <v>13935</v>
      </c>
      <c r="E5456" s="641"/>
    </row>
    <row r="5457" spans="1:6" s="614" customFormat="1">
      <c r="C5457" s="633"/>
      <c r="D5457" s="614" t="s">
        <v>3675</v>
      </c>
      <c r="E5457" s="690">
        <f>VLOOKUP(calcCh2Prod2Slot1Pack,dataCh2WdBaseline,2,FALSE)</f>
        <v>0.9285714285714286</v>
      </c>
    </row>
    <row r="5458" spans="1:6" s="614" customFormat="1" ht="2.25" customHeight="1">
      <c r="A5458" s="297"/>
      <c r="C5458" s="650"/>
      <c r="D5458" s="650"/>
      <c r="E5458" s="299"/>
      <c r="F5458" s="297"/>
    </row>
    <row r="5459" spans="1:6" s="614" customFormat="1">
      <c r="D5459" s="614" t="s">
        <v>3674</v>
      </c>
      <c r="E5459" s="690">
        <f>MIN(E5457+calcCh2WDValDriv1,1)</f>
        <v>0.95357142857142863</v>
      </c>
      <c r="F5459" s="614" t="s">
        <v>3723</v>
      </c>
    </row>
    <row r="5460" spans="1:6" s="614" customFormat="1">
      <c r="C5460" s="633" t="s">
        <v>13936</v>
      </c>
      <c r="E5460" s="641"/>
    </row>
    <row r="5461" spans="1:6" s="614" customFormat="1">
      <c r="C5461" s="633"/>
      <c r="D5461" s="614" t="s">
        <v>3675</v>
      </c>
      <c r="E5461" s="690">
        <f>VLOOKUP(calcCh2Prod2Slot2Pack,dataCh2WdBaseline,2,FALSE)</f>
        <v>0</v>
      </c>
    </row>
    <row r="5462" spans="1:6" s="614" customFormat="1" ht="2.25" customHeight="1">
      <c r="A5462" s="297"/>
      <c r="C5462" s="650"/>
      <c r="D5462" s="650"/>
      <c r="E5462" s="299"/>
      <c r="F5462" s="297"/>
    </row>
    <row r="5463" spans="1:6" s="614" customFormat="1">
      <c r="D5463" s="614" t="s">
        <v>3674</v>
      </c>
      <c r="E5463" s="690">
        <f>MIN(E5461+calcCh2WDValDriv1,1)</f>
        <v>2.5000000000000001E-2</v>
      </c>
      <c r="F5463" s="614" t="s">
        <v>3724</v>
      </c>
    </row>
    <row r="5464" spans="1:6" s="614" customFormat="1">
      <c r="C5464" s="633" t="s">
        <v>13937</v>
      </c>
      <c r="E5464" s="641"/>
    </row>
    <row r="5465" spans="1:6" s="614" customFormat="1">
      <c r="C5465" s="633"/>
      <c r="D5465" s="614" t="s">
        <v>3675</v>
      </c>
      <c r="E5465" s="690">
        <f>VLOOKUP(calcCh2Prod2Slot3Pack,dataCh2WdBaseline,2,FALSE)</f>
        <v>0</v>
      </c>
    </row>
    <row r="5466" spans="1:6" s="614" customFormat="1" ht="2.25" customHeight="1">
      <c r="A5466" s="297"/>
      <c r="C5466" s="650"/>
      <c r="D5466" s="650"/>
      <c r="E5466" s="299"/>
      <c r="F5466" s="297"/>
    </row>
    <row r="5467" spans="1:6" s="614" customFormat="1">
      <c r="D5467" s="614" t="s">
        <v>3674</v>
      </c>
      <c r="E5467" s="690">
        <f>MIN(E5465+calcCh2WDValDriv1,1)</f>
        <v>2.5000000000000001E-2</v>
      </c>
      <c r="F5467" s="614" t="s">
        <v>3725</v>
      </c>
    </row>
    <row r="5468" spans="1:6" s="614" customFormat="1">
      <c r="E5468" s="992"/>
    </row>
    <row r="5469" spans="1:6" s="614" customFormat="1">
      <c r="C5469" s="633" t="s">
        <v>13938</v>
      </c>
      <c r="E5469" s="641"/>
    </row>
    <row r="5470" spans="1:6" s="614" customFormat="1">
      <c r="C5470" s="633"/>
      <c r="D5470" s="614" t="s">
        <v>3675</v>
      </c>
      <c r="E5470" s="690">
        <f>VLOOKUP(calcCh2Prod3Slot1Pack,dataCh2WdBaseline,2,FALSE)</f>
        <v>0.6</v>
      </c>
    </row>
    <row r="5471" spans="1:6" s="614" customFormat="1" ht="2.25" customHeight="1">
      <c r="A5471" s="297"/>
      <c r="C5471" s="650"/>
      <c r="D5471" s="650"/>
      <c r="E5471" s="299"/>
      <c r="F5471" s="297"/>
    </row>
    <row r="5472" spans="1:6" s="614" customFormat="1">
      <c r="D5472" s="614" t="s">
        <v>3674</v>
      </c>
      <c r="E5472" s="690">
        <f>MIN(E5470+calcCh2WDValDriv1,1)</f>
        <v>0.625</v>
      </c>
      <c r="F5472" s="614" t="s">
        <v>3726</v>
      </c>
    </row>
    <row r="5473" spans="1:6" s="614" customFormat="1">
      <c r="C5473" s="633" t="s">
        <v>13939</v>
      </c>
      <c r="E5473" s="641"/>
    </row>
    <row r="5474" spans="1:6" s="614" customFormat="1">
      <c r="C5474" s="633"/>
      <c r="D5474" s="614" t="s">
        <v>3675</v>
      </c>
      <c r="E5474" s="690">
        <f>VLOOKUP(calcCh2Prod3Slot2Pack,dataCh2WdBaseline,2,FALSE)</f>
        <v>0</v>
      </c>
    </row>
    <row r="5475" spans="1:6" s="614" customFormat="1" ht="2.25" customHeight="1">
      <c r="A5475" s="297"/>
      <c r="C5475" s="650"/>
      <c r="D5475" s="650"/>
      <c r="E5475" s="299"/>
      <c r="F5475" s="297"/>
    </row>
    <row r="5476" spans="1:6" s="614" customFormat="1">
      <c r="D5476" s="614" t="s">
        <v>3674</v>
      </c>
      <c r="E5476" s="690">
        <f>MIN(E5474+calcCh2WDValDriv1,1)</f>
        <v>2.5000000000000001E-2</v>
      </c>
      <c r="F5476" s="614" t="s">
        <v>3727</v>
      </c>
    </row>
    <row r="5477" spans="1:6" s="614" customFormat="1">
      <c r="C5477" s="633" t="s">
        <v>13940</v>
      </c>
      <c r="E5477" s="641"/>
    </row>
    <row r="5478" spans="1:6" s="614" customFormat="1">
      <c r="C5478" s="633"/>
      <c r="D5478" s="614" t="s">
        <v>3675</v>
      </c>
      <c r="E5478" s="690">
        <f>VLOOKUP(calcCh2Prod3Slot3Pack,dataCh2WdBaseline,2,FALSE)</f>
        <v>0</v>
      </c>
    </row>
    <row r="5479" spans="1:6" s="614" customFormat="1" ht="2.25" customHeight="1">
      <c r="A5479" s="297"/>
      <c r="C5479" s="650"/>
      <c r="D5479" s="650"/>
      <c r="E5479" s="299"/>
      <c r="F5479" s="297"/>
    </row>
    <row r="5480" spans="1:6" s="614" customFormat="1">
      <c r="D5480" s="614" t="s">
        <v>3674</v>
      </c>
      <c r="E5480" s="690">
        <f>MIN(E5478+calcCh2WDValDriv1,1)</f>
        <v>2.5000000000000001E-2</v>
      </c>
      <c r="F5480" s="614" t="s">
        <v>3728</v>
      </c>
    </row>
    <row r="5481" spans="1:6" s="614" customFormat="1">
      <c r="E5481" s="992"/>
    </row>
    <row r="5482" spans="1:6" s="614" customFormat="1">
      <c r="C5482" s="633" t="s">
        <v>13941</v>
      </c>
      <c r="E5482" s="641"/>
    </row>
    <row r="5483" spans="1:6" s="614" customFormat="1">
      <c r="C5483" s="633"/>
      <c r="D5483" s="614" t="s">
        <v>3675</v>
      </c>
      <c r="E5483" s="690">
        <f>VLOOKUP(calcCh2Prod4Slot1Pack,dataCh2WdBaseline,2,FALSE)</f>
        <v>0</v>
      </c>
    </row>
    <row r="5484" spans="1:6" s="614" customFormat="1" ht="2.25" customHeight="1">
      <c r="A5484" s="297"/>
      <c r="C5484" s="650"/>
      <c r="D5484" s="650"/>
      <c r="E5484" s="299"/>
      <c r="F5484" s="297"/>
    </row>
    <row r="5485" spans="1:6" s="614" customFormat="1">
      <c r="D5485" s="614" t="s">
        <v>3674</v>
      </c>
      <c r="E5485" s="690">
        <f>MIN(E5483+calcCh2WDValDriv1,1)</f>
        <v>2.5000000000000001E-2</v>
      </c>
      <c r="F5485" s="614" t="s">
        <v>3729</v>
      </c>
    </row>
    <row r="5486" spans="1:6" s="614" customFormat="1">
      <c r="C5486" s="633" t="s">
        <v>13942</v>
      </c>
      <c r="E5486" s="641"/>
    </row>
    <row r="5487" spans="1:6" s="614" customFormat="1">
      <c r="C5487" s="633"/>
      <c r="D5487" s="614" t="s">
        <v>3675</v>
      </c>
      <c r="E5487" s="690">
        <f>VLOOKUP(calcCh2Prod4Slot2Pack,dataCh2WdBaseline,2,FALSE)</f>
        <v>0</v>
      </c>
    </row>
    <row r="5488" spans="1:6" s="614" customFormat="1" ht="2.25" customHeight="1">
      <c r="A5488" s="297"/>
      <c r="C5488" s="650"/>
      <c r="D5488" s="650"/>
      <c r="E5488" s="299"/>
      <c r="F5488" s="297"/>
    </row>
    <row r="5489" spans="1:6" s="614" customFormat="1">
      <c r="D5489" s="614" t="s">
        <v>3674</v>
      </c>
      <c r="E5489" s="690">
        <f>MIN(E5487+calcCh2WDValDriv1,1)</f>
        <v>2.5000000000000001E-2</v>
      </c>
      <c r="F5489" s="614" t="s">
        <v>3730</v>
      </c>
    </row>
    <row r="5490" spans="1:6" s="614" customFormat="1">
      <c r="C5490" s="633" t="s">
        <v>13943</v>
      </c>
      <c r="E5490" s="641"/>
    </row>
    <row r="5491" spans="1:6" s="614" customFormat="1">
      <c r="C5491" s="633"/>
      <c r="D5491" s="614" t="s">
        <v>3675</v>
      </c>
      <c r="E5491" s="690">
        <f>VLOOKUP(calcCh2Prod4Slot3Pack,dataCh2WdBaseline,2,FALSE)</f>
        <v>0</v>
      </c>
    </row>
    <row r="5492" spans="1:6" s="614" customFormat="1" ht="2.25" customHeight="1">
      <c r="A5492" s="297"/>
      <c r="C5492" s="650"/>
      <c r="D5492" s="650"/>
      <c r="E5492" s="299"/>
      <c r="F5492" s="297"/>
    </row>
    <row r="5493" spans="1:6" s="614" customFormat="1">
      <c r="D5493" s="614" t="s">
        <v>3674</v>
      </c>
      <c r="E5493" s="690">
        <f>MIN(E5491+calcCh2WDValDriv1,1)</f>
        <v>2.5000000000000001E-2</v>
      </c>
      <c r="F5493" s="614" t="s">
        <v>3731</v>
      </c>
    </row>
    <row r="5494" spans="1:6" s="614" customFormat="1"/>
    <row r="5495" spans="1:6" s="616" customFormat="1">
      <c r="A5495" s="616" t="s">
        <v>13945</v>
      </c>
    </row>
    <row r="5496" spans="1:6" s="614" customFormat="1">
      <c r="E5496" s="641"/>
    </row>
    <row r="5497" spans="1:6" s="614" customFormat="1">
      <c r="C5497" s="633"/>
      <c r="D5497" s="267" t="s">
        <v>13931</v>
      </c>
      <c r="E5497" s="371">
        <f>ROUNDDOWN(calcCh3ValDriv1AccEnd/1000000,1)*1000000</f>
        <v>600000</v>
      </c>
      <c r="F5497" s="614" t="s">
        <v>13744</v>
      </c>
    </row>
    <row r="5498" spans="1:6" s="614" customFormat="1">
      <c r="D5498" s="614" t="s">
        <v>13739</v>
      </c>
      <c r="E5498" s="992">
        <f>VLOOKUP(E5497,dataCh3WdDecImpacts,2,FALSE)</f>
        <v>0.06</v>
      </c>
      <c r="F5498" s="614" t="s">
        <v>13745</v>
      </c>
    </row>
    <row r="5499" spans="1:6" s="614" customFormat="1">
      <c r="E5499" s="992"/>
    </row>
    <row r="5500" spans="1:6" s="614" customFormat="1">
      <c r="C5500" s="633" t="s">
        <v>13932</v>
      </c>
      <c r="E5500" s="641"/>
    </row>
    <row r="5501" spans="1:6" s="614" customFormat="1">
      <c r="C5501" s="633"/>
      <c r="D5501" s="614" t="s">
        <v>3675</v>
      </c>
      <c r="E5501" s="690">
        <f>VLOOKUP(calcCh3Prod1Slot1Pack,dataCh3WdBaseline,2,FALSE)</f>
        <v>0.32857142857142857</v>
      </c>
    </row>
    <row r="5502" spans="1:6" s="614" customFormat="1" ht="2.25" customHeight="1">
      <c r="A5502" s="297"/>
      <c r="C5502" s="650"/>
      <c r="D5502" s="650"/>
      <c r="E5502" s="299"/>
      <c r="F5502" s="297"/>
    </row>
    <row r="5503" spans="1:6" s="614" customFormat="1">
      <c r="D5503" s="614" t="s">
        <v>3674</v>
      </c>
      <c r="E5503" s="690">
        <f>MIN(E5501+calcCh3WDValDriv1,1)</f>
        <v>0.38857142857142857</v>
      </c>
      <c r="F5503" s="614" t="s">
        <v>3708</v>
      </c>
    </row>
    <row r="5504" spans="1:6" s="614" customFormat="1">
      <c r="C5504" s="633" t="s">
        <v>13933</v>
      </c>
      <c r="E5504" s="641"/>
    </row>
    <row r="5505" spans="1:6" s="614" customFormat="1">
      <c r="C5505" s="633"/>
      <c r="D5505" s="614" t="s">
        <v>3675</v>
      </c>
      <c r="E5505" s="690">
        <f>VLOOKUP(calcCh3Prod1Slot2Pack,dataCh3WdBaseline,2,FALSE)</f>
        <v>0</v>
      </c>
    </row>
    <row r="5506" spans="1:6" s="614" customFormat="1" ht="2.25" customHeight="1">
      <c r="A5506" s="297"/>
      <c r="C5506" s="650"/>
      <c r="D5506" s="650"/>
      <c r="E5506" s="299"/>
      <c r="F5506" s="297"/>
    </row>
    <row r="5507" spans="1:6" s="614" customFormat="1">
      <c r="D5507" s="614" t="s">
        <v>3674</v>
      </c>
      <c r="E5507" s="690">
        <f>MIN(E5505+calcCh3WDValDriv1,1)</f>
        <v>0.06</v>
      </c>
      <c r="F5507" s="614" t="s">
        <v>3709</v>
      </c>
    </row>
    <row r="5508" spans="1:6" s="614" customFormat="1">
      <c r="C5508" s="633" t="s">
        <v>13934</v>
      </c>
      <c r="E5508" s="641"/>
    </row>
    <row r="5509" spans="1:6" s="614" customFormat="1">
      <c r="C5509" s="633"/>
      <c r="D5509" s="614" t="s">
        <v>3675</v>
      </c>
      <c r="E5509" s="690">
        <f>VLOOKUP(calcCh3Prod1Slot3Pack,dataCh3WdBaseline,2,FALSE)</f>
        <v>0</v>
      </c>
    </row>
    <row r="5510" spans="1:6" s="614" customFormat="1" ht="2.25" customHeight="1">
      <c r="A5510" s="297"/>
      <c r="C5510" s="650"/>
      <c r="D5510" s="650"/>
      <c r="E5510" s="299"/>
      <c r="F5510" s="297"/>
    </row>
    <row r="5511" spans="1:6" s="614" customFormat="1">
      <c r="D5511" s="614" t="s">
        <v>3674</v>
      </c>
      <c r="E5511" s="690">
        <f>MIN(E5509+calcCh3WDValDriv1,1)</f>
        <v>0.06</v>
      </c>
      <c r="F5511" s="614" t="s">
        <v>3710</v>
      </c>
    </row>
    <row r="5512" spans="1:6" s="614" customFormat="1">
      <c r="E5512" s="992"/>
    </row>
    <row r="5513" spans="1:6" s="614" customFormat="1">
      <c r="C5513" s="633" t="s">
        <v>13935</v>
      </c>
      <c r="E5513" s="641"/>
    </row>
    <row r="5514" spans="1:6" s="614" customFormat="1">
      <c r="C5514" s="633"/>
      <c r="D5514" s="614" t="s">
        <v>3675</v>
      </c>
      <c r="E5514" s="690">
        <f>VLOOKUP(calcCh3Prod2Slot1Pack,dataCh3WdBaseline,2,FALSE)</f>
        <v>0.42857142857142849</v>
      </c>
    </row>
    <row r="5515" spans="1:6" s="614" customFormat="1" ht="2.25" customHeight="1">
      <c r="A5515" s="297"/>
      <c r="C5515" s="650"/>
      <c r="D5515" s="650"/>
      <c r="E5515" s="299"/>
      <c r="F5515" s="297"/>
    </row>
    <row r="5516" spans="1:6" s="614" customFormat="1">
      <c r="D5516" s="614" t="s">
        <v>3674</v>
      </c>
      <c r="E5516" s="690">
        <f>MIN(E5514+calcCh3WDValDriv1,1)</f>
        <v>0.48857142857142849</v>
      </c>
      <c r="F5516" s="614" t="s">
        <v>3711</v>
      </c>
    </row>
    <row r="5517" spans="1:6" s="614" customFormat="1">
      <c r="C5517" s="633" t="s">
        <v>13936</v>
      </c>
      <c r="E5517" s="641"/>
    </row>
    <row r="5518" spans="1:6" s="614" customFormat="1">
      <c r="C5518" s="633"/>
      <c r="D5518" s="614" t="s">
        <v>3675</v>
      </c>
      <c r="E5518" s="690">
        <f>VLOOKUP(calcCh3Prod2Slot2Pack,dataCh3WdBaseline,2,FALSE)</f>
        <v>0.62857142857142867</v>
      </c>
    </row>
    <row r="5519" spans="1:6" s="614" customFormat="1" ht="2.25" customHeight="1">
      <c r="A5519" s="297"/>
      <c r="C5519" s="650"/>
      <c r="D5519" s="650"/>
      <c r="E5519" s="299"/>
      <c r="F5519" s="297"/>
    </row>
    <row r="5520" spans="1:6" s="614" customFormat="1">
      <c r="D5520" s="614" t="s">
        <v>3674</v>
      </c>
      <c r="E5520" s="690">
        <f>MIN(E5518+calcCh3WDValDriv1,1)</f>
        <v>0.68857142857142861</v>
      </c>
      <c r="F5520" s="614" t="s">
        <v>3712</v>
      </c>
    </row>
    <row r="5521" spans="1:6" s="614" customFormat="1">
      <c r="C5521" s="633" t="s">
        <v>13937</v>
      </c>
      <c r="E5521" s="641"/>
    </row>
    <row r="5522" spans="1:6" s="614" customFormat="1">
      <c r="C5522" s="633"/>
      <c r="D5522" s="614" t="s">
        <v>3675</v>
      </c>
      <c r="E5522" s="690">
        <f>VLOOKUP(calcCh3Prod2Slot3Pack,dataCh3WdBaseline,2,FALSE)</f>
        <v>0</v>
      </c>
    </row>
    <row r="5523" spans="1:6" s="614" customFormat="1" ht="2.25" customHeight="1">
      <c r="A5523" s="297"/>
      <c r="C5523" s="650"/>
      <c r="D5523" s="650"/>
      <c r="E5523" s="299"/>
      <c r="F5523" s="297"/>
    </row>
    <row r="5524" spans="1:6" s="614" customFormat="1">
      <c r="D5524" s="614" t="s">
        <v>3674</v>
      </c>
      <c r="E5524" s="690">
        <f>MIN(E5522+calcCh3WDValDriv1,1)</f>
        <v>0.06</v>
      </c>
      <c r="F5524" s="614" t="s">
        <v>3713</v>
      </c>
    </row>
    <row r="5525" spans="1:6" s="614" customFormat="1">
      <c r="E5525" s="992"/>
    </row>
    <row r="5526" spans="1:6" s="614" customFormat="1">
      <c r="C5526" s="633" t="s">
        <v>13938</v>
      </c>
      <c r="E5526" s="641"/>
    </row>
    <row r="5527" spans="1:6" s="614" customFormat="1">
      <c r="C5527" s="633"/>
      <c r="D5527" s="614" t="s">
        <v>3675</v>
      </c>
      <c r="E5527" s="690">
        <f>VLOOKUP(calcCh3Prod3Slot1Pack,dataCh3WdBaseline,2,FALSE)</f>
        <v>0.67142857142857149</v>
      </c>
    </row>
    <row r="5528" spans="1:6" s="614" customFormat="1" ht="2.25" customHeight="1">
      <c r="A5528" s="297"/>
      <c r="C5528" s="650"/>
      <c r="D5528" s="650"/>
      <c r="E5528" s="299"/>
      <c r="F5528" s="297"/>
    </row>
    <row r="5529" spans="1:6" s="614" customFormat="1">
      <c r="D5529" s="614" t="s">
        <v>3674</v>
      </c>
      <c r="E5529" s="690">
        <f>MIN(E5527+calcCh3WDValDriv1,1)</f>
        <v>0.73142857142857154</v>
      </c>
      <c r="F5529" s="614" t="s">
        <v>3714</v>
      </c>
    </row>
    <row r="5530" spans="1:6" s="614" customFormat="1">
      <c r="C5530" s="633" t="s">
        <v>13939</v>
      </c>
      <c r="E5530" s="641"/>
    </row>
    <row r="5531" spans="1:6" s="614" customFormat="1">
      <c r="C5531" s="633"/>
      <c r="D5531" s="614" t="s">
        <v>3675</v>
      </c>
      <c r="E5531" s="690">
        <f>VLOOKUP(calcCh3Prod3Slot2Pack,dataCh3WdBaseline,2,FALSE)</f>
        <v>0</v>
      </c>
    </row>
    <row r="5532" spans="1:6" s="614" customFormat="1" ht="2.25" customHeight="1">
      <c r="A5532" s="297"/>
      <c r="C5532" s="650"/>
      <c r="D5532" s="650"/>
      <c r="E5532" s="299"/>
      <c r="F5532" s="297"/>
    </row>
    <row r="5533" spans="1:6" s="614" customFormat="1">
      <c r="D5533" s="614" t="s">
        <v>3674</v>
      </c>
      <c r="E5533" s="690">
        <f>MIN(E5531+calcCh3WDValDriv1,1)</f>
        <v>0.06</v>
      </c>
      <c r="F5533" s="614" t="s">
        <v>3715</v>
      </c>
    </row>
    <row r="5534" spans="1:6" s="614" customFormat="1">
      <c r="C5534" s="633" t="s">
        <v>13940</v>
      </c>
      <c r="E5534" s="641"/>
    </row>
    <row r="5535" spans="1:6" s="614" customFormat="1">
      <c r="C5535" s="633"/>
      <c r="D5535" s="614" t="s">
        <v>3675</v>
      </c>
      <c r="E5535" s="690">
        <f>VLOOKUP(calcCh3Prod3Slot3Pack,dataCh3WdBaseline,2,FALSE)</f>
        <v>0</v>
      </c>
    </row>
    <row r="5536" spans="1:6" s="614" customFormat="1" ht="2.25" customHeight="1">
      <c r="A5536" s="297"/>
      <c r="C5536" s="650"/>
      <c r="D5536" s="650"/>
      <c r="E5536" s="299"/>
      <c r="F5536" s="297"/>
    </row>
    <row r="5537" spans="1:6" s="614" customFormat="1">
      <c r="D5537" s="614" t="s">
        <v>3674</v>
      </c>
      <c r="E5537" s="690">
        <f>MIN(E5535+calcCh3WDValDriv1,1)</f>
        <v>0.06</v>
      </c>
      <c r="F5537" s="614" t="s">
        <v>3716</v>
      </c>
    </row>
    <row r="5538" spans="1:6" s="614" customFormat="1">
      <c r="E5538" s="992"/>
    </row>
    <row r="5539" spans="1:6" s="614" customFormat="1">
      <c r="C5539" s="633" t="s">
        <v>13941</v>
      </c>
      <c r="E5539" s="641"/>
    </row>
    <row r="5540" spans="1:6" s="614" customFormat="1">
      <c r="C5540" s="633"/>
      <c r="D5540" s="614" t="s">
        <v>3675</v>
      </c>
      <c r="E5540" s="690">
        <f>VLOOKUP(calcCh3Prod4Slot1Pack,dataCh3WdBaseline,2,FALSE)</f>
        <v>0</v>
      </c>
    </row>
    <row r="5541" spans="1:6" s="614" customFormat="1" ht="2.25" customHeight="1">
      <c r="A5541" s="297"/>
      <c r="C5541" s="650"/>
      <c r="D5541" s="650"/>
      <c r="E5541" s="299"/>
      <c r="F5541" s="297"/>
    </row>
    <row r="5542" spans="1:6" s="614" customFormat="1">
      <c r="D5542" s="614" t="s">
        <v>3674</v>
      </c>
      <c r="E5542" s="690">
        <f>MIN(E5540+calcCh3WDValDriv1,1)</f>
        <v>0.06</v>
      </c>
      <c r="F5542" s="614" t="s">
        <v>3717</v>
      </c>
    </row>
    <row r="5543" spans="1:6" s="614" customFormat="1">
      <c r="C5543" s="633" t="s">
        <v>13942</v>
      </c>
      <c r="E5543" s="641"/>
    </row>
    <row r="5544" spans="1:6" s="614" customFormat="1">
      <c r="C5544" s="633"/>
      <c r="D5544" s="614" t="s">
        <v>3675</v>
      </c>
      <c r="E5544" s="690">
        <f>VLOOKUP(calcCh3Prod4Slot2Pack,dataCh3WdBaseline,2,FALSE)</f>
        <v>0</v>
      </c>
    </row>
    <row r="5545" spans="1:6" s="614" customFormat="1" ht="2.25" customHeight="1">
      <c r="A5545" s="297"/>
      <c r="C5545" s="650"/>
      <c r="D5545" s="650"/>
      <c r="E5545" s="299"/>
      <c r="F5545" s="297"/>
    </row>
    <row r="5546" spans="1:6" s="614" customFormat="1">
      <c r="D5546" s="614" t="s">
        <v>3674</v>
      </c>
      <c r="E5546" s="690">
        <f>MIN(E5544+calcCh3WDValDriv1,1)</f>
        <v>0.06</v>
      </c>
      <c r="F5546" s="614" t="s">
        <v>3718</v>
      </c>
    </row>
    <row r="5547" spans="1:6" s="614" customFormat="1">
      <c r="C5547" s="633" t="s">
        <v>13943</v>
      </c>
      <c r="E5547" s="641"/>
    </row>
    <row r="5548" spans="1:6" s="614" customFormat="1">
      <c r="C5548" s="633"/>
      <c r="D5548" s="614" t="s">
        <v>3675</v>
      </c>
      <c r="E5548" s="690">
        <f>VLOOKUP(calcCh3Prod4Slot3Pack,dataCh3WdBaseline,2,FALSE)</f>
        <v>0</v>
      </c>
    </row>
    <row r="5549" spans="1:6" s="614" customFormat="1" ht="2.25" customHeight="1">
      <c r="A5549" s="297"/>
      <c r="C5549" s="650"/>
      <c r="D5549" s="650"/>
      <c r="E5549" s="299"/>
      <c r="F5549" s="297"/>
    </row>
    <row r="5550" spans="1:6" s="614" customFormat="1">
      <c r="D5550" s="614" t="s">
        <v>3674</v>
      </c>
      <c r="E5550" s="690">
        <f>MIN(E5548+calcCh3WDValDriv1,1)</f>
        <v>0.06</v>
      </c>
      <c r="F5550" s="614" t="s">
        <v>3719</v>
      </c>
    </row>
    <row r="5551" spans="1:6" s="614" customFormat="1"/>
    <row r="5552" spans="1:6" s="616" customFormat="1">
      <c r="A5552" s="616" t="s">
        <v>13946</v>
      </c>
    </row>
    <row r="5553" spans="1:6" s="614" customFormat="1">
      <c r="E5553" s="641"/>
    </row>
    <row r="5554" spans="1:6" s="614" customFormat="1">
      <c r="C5554" s="633"/>
      <c r="D5554" s="267" t="s">
        <v>13931</v>
      </c>
      <c r="E5554" s="371">
        <f>ROUNDDOWN(calcCh4ValDriv1AccEnd/1000000,1)*1000000</f>
        <v>600000</v>
      </c>
      <c r="F5554" s="614" t="s">
        <v>13742</v>
      </c>
    </row>
    <row r="5555" spans="1:6" s="614" customFormat="1">
      <c r="D5555" s="614" t="s">
        <v>13739</v>
      </c>
      <c r="E5555" s="992">
        <f>VLOOKUP(E5554,dataCh4WdDecImpacts,2,FALSE)</f>
        <v>0.06</v>
      </c>
      <c r="F5555" s="614" t="s">
        <v>13743</v>
      </c>
    </row>
    <row r="5556" spans="1:6" s="614" customFormat="1">
      <c r="E5556" s="992"/>
    </row>
    <row r="5557" spans="1:6" s="614" customFormat="1">
      <c r="C5557" s="633" t="s">
        <v>13932</v>
      </c>
      <c r="E5557" s="641"/>
    </row>
    <row r="5558" spans="1:6" s="614" customFormat="1">
      <c r="C5558" s="633"/>
      <c r="D5558" s="614" t="s">
        <v>3675</v>
      </c>
      <c r="E5558" s="690">
        <f>VLOOKUP(calcCh4Prod1Slot1Pack,dataCh4WdBaseline,2,FALSE)</f>
        <v>0.75</v>
      </c>
    </row>
    <row r="5559" spans="1:6" s="614" customFormat="1" ht="2.25" customHeight="1">
      <c r="A5559" s="297"/>
      <c r="C5559" s="650"/>
      <c r="D5559" s="650"/>
      <c r="E5559" s="299"/>
      <c r="F5559" s="297"/>
    </row>
    <row r="5560" spans="1:6" s="614" customFormat="1">
      <c r="D5560" s="614" t="s">
        <v>3674</v>
      </c>
      <c r="E5560" s="690">
        <f>MIN(E5558+calcCh4WDValDriv1,1)</f>
        <v>0.81</v>
      </c>
      <c r="F5560" s="614" t="s">
        <v>3696</v>
      </c>
    </row>
    <row r="5561" spans="1:6" s="614" customFormat="1">
      <c r="C5561" s="633" t="s">
        <v>13933</v>
      </c>
      <c r="E5561" s="641"/>
    </row>
    <row r="5562" spans="1:6" s="614" customFormat="1">
      <c r="C5562" s="633"/>
      <c r="D5562" s="614" t="s">
        <v>3675</v>
      </c>
      <c r="E5562" s="690">
        <f>VLOOKUP(calcCh4Prod1Slot2Pack,dataCh4WdBaseline,2,FALSE)</f>
        <v>0</v>
      </c>
    </row>
    <row r="5563" spans="1:6" s="614" customFormat="1" ht="2.25" customHeight="1">
      <c r="A5563" s="297"/>
      <c r="C5563" s="650"/>
      <c r="D5563" s="650"/>
      <c r="E5563" s="299"/>
      <c r="F5563" s="297"/>
    </row>
    <row r="5564" spans="1:6" s="614" customFormat="1">
      <c r="D5564" s="614" t="s">
        <v>3674</v>
      </c>
      <c r="E5564" s="690">
        <f>MIN(E5562+calcCh4WDValDriv1,1)</f>
        <v>0.06</v>
      </c>
      <c r="F5564" s="614" t="s">
        <v>3697</v>
      </c>
    </row>
    <row r="5565" spans="1:6" s="614" customFormat="1">
      <c r="C5565" s="633" t="s">
        <v>13934</v>
      </c>
      <c r="E5565" s="641"/>
    </row>
    <row r="5566" spans="1:6" s="614" customFormat="1">
      <c r="C5566" s="633"/>
      <c r="D5566" s="614" t="s">
        <v>3675</v>
      </c>
      <c r="E5566" s="690">
        <f>VLOOKUP(calcCh4Prod1Slot3Pack,dataCh4WdBaseline,2,FALSE)</f>
        <v>0</v>
      </c>
    </row>
    <row r="5567" spans="1:6" s="614" customFormat="1" ht="2.25" customHeight="1">
      <c r="A5567" s="297"/>
      <c r="C5567" s="650"/>
      <c r="D5567" s="650"/>
      <c r="E5567" s="299"/>
      <c r="F5567" s="297"/>
    </row>
    <row r="5568" spans="1:6" s="614" customFormat="1">
      <c r="D5568" s="614" t="s">
        <v>3674</v>
      </c>
      <c r="E5568" s="690">
        <f>MIN(E5566+calcCh4WDValDriv1,1)</f>
        <v>0.06</v>
      </c>
      <c r="F5568" s="614" t="s">
        <v>3698</v>
      </c>
    </row>
    <row r="5569" spans="1:6" s="614" customFormat="1">
      <c r="E5569" s="992"/>
    </row>
    <row r="5570" spans="1:6" s="614" customFormat="1">
      <c r="C5570" s="633" t="s">
        <v>13935</v>
      </c>
      <c r="E5570" s="641"/>
    </row>
    <row r="5571" spans="1:6" s="614" customFormat="1">
      <c r="C5571" s="633"/>
      <c r="D5571" s="614" t="s">
        <v>3675</v>
      </c>
      <c r="E5571" s="690">
        <f>VLOOKUP(calcCh4Prod2Slot1Pack,dataCh4WdBaseline,2,FALSE)</f>
        <v>0.75</v>
      </c>
    </row>
    <row r="5572" spans="1:6" s="614" customFormat="1" ht="2.25" customHeight="1">
      <c r="A5572" s="297"/>
      <c r="C5572" s="650"/>
      <c r="D5572" s="650"/>
      <c r="E5572" s="299"/>
      <c r="F5572" s="297"/>
    </row>
    <row r="5573" spans="1:6" s="614" customFormat="1">
      <c r="D5573" s="614" t="s">
        <v>3674</v>
      </c>
      <c r="E5573" s="690">
        <f>MIN(E5571+calcCh4WDValDriv1,1)</f>
        <v>0.81</v>
      </c>
      <c r="F5573" s="614" t="s">
        <v>3699</v>
      </c>
    </row>
    <row r="5574" spans="1:6" s="614" customFormat="1">
      <c r="C5574" s="633" t="s">
        <v>13936</v>
      </c>
      <c r="E5574" s="641"/>
    </row>
    <row r="5575" spans="1:6" s="614" customFormat="1">
      <c r="C5575" s="633"/>
      <c r="D5575" s="614" t="s">
        <v>3675</v>
      </c>
      <c r="E5575" s="690">
        <f>VLOOKUP(calcCh4Prod2Slot2Pack,dataCh4WdBaseline,2,FALSE)</f>
        <v>0</v>
      </c>
    </row>
    <row r="5576" spans="1:6" s="614" customFormat="1" ht="2.25" customHeight="1">
      <c r="A5576" s="297"/>
      <c r="C5576" s="650"/>
      <c r="D5576" s="650"/>
      <c r="E5576" s="299"/>
      <c r="F5576" s="297"/>
    </row>
    <row r="5577" spans="1:6" s="614" customFormat="1">
      <c r="D5577" s="614" t="s">
        <v>3674</v>
      </c>
      <c r="E5577" s="690">
        <f>MIN(E5575+calcCh4WDValDriv1,1)</f>
        <v>0.06</v>
      </c>
      <c r="F5577" s="614" t="s">
        <v>3700</v>
      </c>
    </row>
    <row r="5578" spans="1:6" s="614" customFormat="1">
      <c r="C5578" s="633" t="s">
        <v>13937</v>
      </c>
      <c r="E5578" s="641"/>
    </row>
    <row r="5579" spans="1:6" s="614" customFormat="1">
      <c r="C5579" s="633"/>
      <c r="D5579" s="614" t="s">
        <v>3675</v>
      </c>
      <c r="E5579" s="690">
        <f>VLOOKUP(calcCh4Prod2Slot3Pack,dataCh4WdBaseline,2,FALSE)</f>
        <v>0</v>
      </c>
    </row>
    <row r="5580" spans="1:6" s="614" customFormat="1" ht="2.25" customHeight="1">
      <c r="A5580" s="297"/>
      <c r="C5580" s="650"/>
      <c r="D5580" s="650"/>
      <c r="E5580" s="299"/>
      <c r="F5580" s="297"/>
    </row>
    <row r="5581" spans="1:6" s="614" customFormat="1">
      <c r="D5581" s="614" t="s">
        <v>3674</v>
      </c>
      <c r="E5581" s="690">
        <f>MIN(E5579+calcCh4WDValDriv1,1)</f>
        <v>0.06</v>
      </c>
      <c r="F5581" s="614" t="s">
        <v>3701</v>
      </c>
    </row>
    <row r="5582" spans="1:6" s="614" customFormat="1">
      <c r="E5582" s="992"/>
    </row>
    <row r="5583" spans="1:6" s="614" customFormat="1">
      <c r="C5583" s="633" t="s">
        <v>13938</v>
      </c>
      <c r="E5583" s="641"/>
    </row>
    <row r="5584" spans="1:6" s="614" customFormat="1">
      <c r="C5584" s="633"/>
      <c r="D5584" s="614" t="s">
        <v>3675</v>
      </c>
      <c r="E5584" s="690">
        <f>VLOOKUP(calcCh4Prod3Slot1Pack,dataCh4WdBaseline,2,FALSE)</f>
        <v>0.75</v>
      </c>
    </row>
    <row r="5585" spans="1:6" s="614" customFormat="1" ht="2.25" customHeight="1">
      <c r="A5585" s="297"/>
      <c r="C5585" s="650"/>
      <c r="D5585" s="650"/>
      <c r="E5585" s="299"/>
      <c r="F5585" s="297"/>
    </row>
    <row r="5586" spans="1:6" s="614" customFormat="1">
      <c r="D5586" s="614" t="s">
        <v>3674</v>
      </c>
      <c r="E5586" s="690">
        <f>MIN(E5584+calcCh4WDValDriv1,1)</f>
        <v>0.81</v>
      </c>
      <c r="F5586" s="614" t="s">
        <v>3702</v>
      </c>
    </row>
    <row r="5587" spans="1:6" s="614" customFormat="1">
      <c r="C5587" s="633" t="s">
        <v>13939</v>
      </c>
      <c r="E5587" s="641"/>
    </row>
    <row r="5588" spans="1:6" s="614" customFormat="1">
      <c r="C5588" s="633"/>
      <c r="D5588" s="614" t="s">
        <v>3675</v>
      </c>
      <c r="E5588" s="690">
        <f>VLOOKUP(calcCh4Prod3Slot2Pack,dataCh4WdBaseline,2,FALSE)</f>
        <v>0</v>
      </c>
    </row>
    <row r="5589" spans="1:6" s="614" customFormat="1" ht="2.25" customHeight="1">
      <c r="A5589" s="297"/>
      <c r="C5589" s="650"/>
      <c r="D5589" s="650"/>
      <c r="E5589" s="299"/>
      <c r="F5589" s="297"/>
    </row>
    <row r="5590" spans="1:6" s="614" customFormat="1">
      <c r="D5590" s="614" t="s">
        <v>3674</v>
      </c>
      <c r="E5590" s="690">
        <f>MIN(E5588+calcCh4WDValDriv1,1)</f>
        <v>0.06</v>
      </c>
      <c r="F5590" s="614" t="s">
        <v>3703</v>
      </c>
    </row>
    <row r="5591" spans="1:6" s="614" customFormat="1">
      <c r="C5591" s="633" t="s">
        <v>13940</v>
      </c>
      <c r="E5591" s="641"/>
    </row>
    <row r="5592" spans="1:6" s="614" customFormat="1">
      <c r="C5592" s="633"/>
      <c r="D5592" s="614" t="s">
        <v>3675</v>
      </c>
      <c r="E5592" s="690">
        <f>VLOOKUP(calcCh4Prod3Slot3Pack,dataCh4WdBaseline,2,FALSE)</f>
        <v>0</v>
      </c>
    </row>
    <row r="5593" spans="1:6" s="614" customFormat="1" ht="2.25" customHeight="1">
      <c r="A5593" s="297"/>
      <c r="C5593" s="650"/>
      <c r="D5593" s="650"/>
      <c r="E5593" s="299"/>
      <c r="F5593" s="297"/>
    </row>
    <row r="5594" spans="1:6" s="614" customFormat="1">
      <c r="D5594" s="614" t="s">
        <v>3674</v>
      </c>
      <c r="E5594" s="690">
        <f>MIN(E5592+calcCh4WDValDriv1,1)</f>
        <v>0.06</v>
      </c>
      <c r="F5594" s="614" t="s">
        <v>3704</v>
      </c>
    </row>
    <row r="5595" spans="1:6" s="614" customFormat="1">
      <c r="E5595" s="992"/>
    </row>
    <row r="5596" spans="1:6" s="614" customFormat="1">
      <c r="C5596" s="633" t="s">
        <v>13941</v>
      </c>
      <c r="E5596" s="641"/>
    </row>
    <row r="5597" spans="1:6" s="614" customFormat="1">
      <c r="C5597" s="633"/>
      <c r="D5597" s="614" t="s">
        <v>3675</v>
      </c>
      <c r="E5597" s="690">
        <f>VLOOKUP(calcCh4Prod4Slot1Pack,dataCh4WdBaseline,2,FALSE)</f>
        <v>0.60000000000000009</v>
      </c>
    </row>
    <row r="5598" spans="1:6" s="614" customFormat="1" ht="2.25" customHeight="1">
      <c r="A5598" s="297"/>
      <c r="C5598" s="650"/>
      <c r="D5598" s="650"/>
      <c r="E5598" s="299"/>
      <c r="F5598" s="297"/>
    </row>
    <row r="5599" spans="1:6" s="614" customFormat="1">
      <c r="D5599" s="614" t="s">
        <v>3674</v>
      </c>
      <c r="E5599" s="690">
        <f>MIN(E5597+calcCh4WDValDriv1,1)</f>
        <v>0.66000000000000014</v>
      </c>
      <c r="F5599" s="614" t="s">
        <v>3705</v>
      </c>
    </row>
    <row r="5600" spans="1:6" s="614" customFormat="1">
      <c r="C5600" s="633" t="s">
        <v>13942</v>
      </c>
      <c r="E5600" s="641"/>
    </row>
    <row r="5601" spans="1:6" s="614" customFormat="1">
      <c r="C5601" s="633"/>
      <c r="D5601" s="614" t="s">
        <v>3675</v>
      </c>
      <c r="E5601" s="690">
        <f>VLOOKUP(calcCh4Prod4Slot2Pack,dataCh4WdBaseline,2,FALSE)</f>
        <v>0</v>
      </c>
    </row>
    <row r="5602" spans="1:6" s="614" customFormat="1" ht="2.25" customHeight="1">
      <c r="A5602" s="297"/>
      <c r="C5602" s="650"/>
      <c r="D5602" s="650"/>
      <c r="E5602" s="299"/>
      <c r="F5602" s="297"/>
    </row>
    <row r="5603" spans="1:6" s="614" customFormat="1">
      <c r="D5603" s="614" t="s">
        <v>3674</v>
      </c>
      <c r="E5603" s="690">
        <f>MIN(E5601+calcCh4WDValDriv1,1)</f>
        <v>0.06</v>
      </c>
      <c r="F5603" s="614" t="s">
        <v>3706</v>
      </c>
    </row>
    <row r="5604" spans="1:6" s="614" customFormat="1">
      <c r="C5604" s="633" t="s">
        <v>13943</v>
      </c>
      <c r="E5604" s="641"/>
    </row>
    <row r="5605" spans="1:6" s="614" customFormat="1">
      <c r="C5605" s="633"/>
      <c r="D5605" s="614" t="s">
        <v>3675</v>
      </c>
      <c r="E5605" s="690">
        <f>VLOOKUP(calcCh4Prod4Slot3Pack,dataCh4WdBaseline,2,FALSE)</f>
        <v>0</v>
      </c>
    </row>
    <row r="5606" spans="1:6" s="614" customFormat="1" ht="2.25" customHeight="1">
      <c r="A5606" s="297"/>
      <c r="C5606" s="650"/>
      <c r="D5606" s="650"/>
      <c r="E5606" s="299"/>
      <c r="F5606" s="297"/>
    </row>
    <row r="5607" spans="1:6" s="614" customFormat="1">
      <c r="D5607" s="614" t="s">
        <v>3674</v>
      </c>
      <c r="E5607" s="690">
        <f>MIN(E5605+calcCh4WDValDriv1,1)</f>
        <v>0.06</v>
      </c>
      <c r="F5607" s="614" t="s">
        <v>3707</v>
      </c>
    </row>
    <row r="5608" spans="1:6" s="614" customFormat="1"/>
    <row r="5609" spans="1:6" s="81" customFormat="1">
      <c r="A5609" s="81" t="s">
        <v>1411</v>
      </c>
    </row>
    <row r="5610" spans="1:6">
      <c r="E5610" s="258"/>
    </row>
    <row r="5611" spans="1:6">
      <c r="C5611" s="198" t="s">
        <v>244</v>
      </c>
      <c r="E5611" s="258"/>
    </row>
    <row r="5612" spans="1:6">
      <c r="D5612" s="23" t="s">
        <v>1414</v>
      </c>
      <c r="E5612" s="258">
        <f>obalCh1ValDriv2</f>
        <v>175800</v>
      </c>
      <c r="F5612" s="23" t="s">
        <v>1517</v>
      </c>
    </row>
    <row r="5613" spans="1:6">
      <c r="D5613" s="23" t="s">
        <v>12871</v>
      </c>
      <c r="E5613" s="258">
        <f>calcCh1ValDriv2Exp*calcCh1CondShare</f>
        <v>96000</v>
      </c>
    </row>
    <row r="5614" spans="1:6">
      <c r="D5614" s="23" t="s">
        <v>12872</v>
      </c>
      <c r="E5614" s="258">
        <f>calcCh1ValDriv2Exp*(1-calcCh1CondShare)</f>
        <v>203999.99999999997</v>
      </c>
    </row>
    <row r="5615" spans="1:6">
      <c r="D5615" s="267" t="s">
        <v>1420</v>
      </c>
      <c r="E5615" s="372">
        <f>paramCh1ValDriv2UnCondFactor</f>
        <v>0.4</v>
      </c>
    </row>
    <row r="5616" spans="1:6">
      <c r="D5616" s="312" t="s">
        <v>3315</v>
      </c>
      <c r="E5616" s="482">
        <f>E5614*E5615</f>
        <v>81600</v>
      </c>
    </row>
    <row r="5617" spans="1:6" s="614" customFormat="1">
      <c r="D5617" s="652" t="s">
        <v>67</v>
      </c>
      <c r="E5617" s="482">
        <f>paramCh1ValDriv2SIFactor</f>
        <v>0</v>
      </c>
    </row>
    <row r="5618" spans="1:6" ht="2.25" customHeight="1">
      <c r="A5618" s="297"/>
      <c r="C5618" s="298"/>
      <c r="D5618" s="298"/>
      <c r="E5618" s="299"/>
      <c r="F5618" s="297"/>
    </row>
    <row r="5619" spans="1:6">
      <c r="D5619" s="23" t="s">
        <v>14</v>
      </c>
      <c r="E5619" s="258">
        <f>E5612+E5613+E5616+E5617</f>
        <v>353400</v>
      </c>
      <c r="F5619" s="23" t="s">
        <v>1421</v>
      </c>
    </row>
    <row r="5620" spans="1:6">
      <c r="E5620" s="258"/>
    </row>
    <row r="5621" spans="1:6">
      <c r="C5621" s="198" t="s">
        <v>245</v>
      </c>
      <c r="E5621" s="258"/>
    </row>
    <row r="5622" spans="1:6">
      <c r="D5622" s="23" t="s">
        <v>1414</v>
      </c>
      <c r="E5622" s="258">
        <f>obalCh2ValDriv2</f>
        <v>175800</v>
      </c>
      <c r="F5622" s="23" t="s">
        <v>1518</v>
      </c>
    </row>
    <row r="5623" spans="1:6">
      <c r="D5623" s="23" t="s">
        <v>12871</v>
      </c>
      <c r="E5623" s="258">
        <f>calcCh2ValDriv2Exp*calcCh2CondShare</f>
        <v>96000</v>
      </c>
    </row>
    <row r="5624" spans="1:6">
      <c r="D5624" s="23" t="s">
        <v>12872</v>
      </c>
      <c r="E5624" s="258">
        <f>calcCh2ValDriv2Exp*(1-calcCh2CondShare)</f>
        <v>203999.99999999997</v>
      </c>
    </row>
    <row r="5625" spans="1:6">
      <c r="D5625" s="267" t="s">
        <v>1420</v>
      </c>
      <c r="E5625" s="372">
        <f>paramCh2ValDriv2UnCondFactor</f>
        <v>0.4</v>
      </c>
    </row>
    <row r="5626" spans="1:6">
      <c r="D5626" s="312" t="s">
        <v>3315</v>
      </c>
      <c r="E5626" s="482">
        <f>E5624*E5625</f>
        <v>81600</v>
      </c>
    </row>
    <row r="5627" spans="1:6" s="614" customFormat="1">
      <c r="D5627" s="652" t="s">
        <v>67</v>
      </c>
      <c r="E5627" s="482">
        <f>paramCh2ValDriv2SIFactor</f>
        <v>0</v>
      </c>
    </row>
    <row r="5628" spans="1:6" ht="2.25" customHeight="1">
      <c r="A5628" s="297"/>
      <c r="C5628" s="298"/>
      <c r="D5628" s="298"/>
      <c r="E5628" s="299"/>
      <c r="F5628" s="297"/>
    </row>
    <row r="5629" spans="1:6">
      <c r="D5629" s="23" t="s">
        <v>14</v>
      </c>
      <c r="E5629" s="641">
        <f>E5622+E5623+E5626+E5627</f>
        <v>353400</v>
      </c>
      <c r="F5629" s="23" t="s">
        <v>1424</v>
      </c>
    </row>
    <row r="5630" spans="1:6">
      <c r="E5630" s="258"/>
    </row>
    <row r="5631" spans="1:6">
      <c r="C5631" s="198" t="s">
        <v>5199</v>
      </c>
      <c r="E5631" s="258"/>
    </row>
    <row r="5632" spans="1:6">
      <c r="D5632" s="23" t="s">
        <v>1414</v>
      </c>
      <c r="E5632" s="258">
        <f>obalCh3ValDriv2</f>
        <v>196500</v>
      </c>
      <c r="F5632" s="23" t="s">
        <v>1519</v>
      </c>
    </row>
    <row r="5633" spans="1:6">
      <c r="D5633" s="23" t="s">
        <v>12871</v>
      </c>
      <c r="E5633" s="258">
        <f>calcCh3ValDriv2Exp*calcCh3CondShare</f>
        <v>96000</v>
      </c>
    </row>
    <row r="5634" spans="1:6">
      <c r="D5634" s="23" t="s">
        <v>12872</v>
      </c>
      <c r="E5634" s="258">
        <f>calcCh3ValDriv2Exp*(1-calcCh3CondShare)</f>
        <v>203999.99999999997</v>
      </c>
    </row>
    <row r="5635" spans="1:6">
      <c r="D5635" s="267" t="s">
        <v>1420</v>
      </c>
      <c r="E5635" s="372">
        <f>paramCh3ValDriv2UnCondFactor</f>
        <v>0.5</v>
      </c>
    </row>
    <row r="5636" spans="1:6">
      <c r="D5636" s="312" t="s">
        <v>3315</v>
      </c>
      <c r="E5636" s="482">
        <f>E5634*E5635</f>
        <v>101999.99999999999</v>
      </c>
    </row>
    <row r="5637" spans="1:6" s="614" customFormat="1">
      <c r="D5637" s="652" t="s">
        <v>67</v>
      </c>
      <c r="E5637" s="482">
        <f>paramCh3ValDriv2SIFactor</f>
        <v>0</v>
      </c>
    </row>
    <row r="5638" spans="1:6" ht="2.25" customHeight="1">
      <c r="A5638" s="297"/>
      <c r="C5638" s="298"/>
      <c r="D5638" s="298"/>
      <c r="E5638" s="299"/>
      <c r="F5638" s="297"/>
    </row>
    <row r="5639" spans="1:6">
      <c r="D5639" s="23" t="s">
        <v>14</v>
      </c>
      <c r="E5639" s="641">
        <f>E5632+E5633+E5636+E5637</f>
        <v>394500</v>
      </c>
      <c r="F5639" s="23" t="s">
        <v>1423</v>
      </c>
    </row>
    <row r="5640" spans="1:6">
      <c r="E5640" s="258"/>
    </row>
    <row r="5641" spans="1:6">
      <c r="C5641" s="198" t="s">
        <v>246</v>
      </c>
      <c r="E5641" s="258"/>
    </row>
    <row r="5642" spans="1:6">
      <c r="D5642" s="23" t="s">
        <v>1414</v>
      </c>
      <c r="E5642" s="258">
        <f>obalCh4ValDriv2</f>
        <v>217199.99999999997</v>
      </c>
      <c r="F5642" s="23" t="s">
        <v>1516</v>
      </c>
    </row>
    <row r="5643" spans="1:6">
      <c r="D5643" s="23" t="s">
        <v>12871</v>
      </c>
      <c r="E5643" s="258">
        <f>calcCh4ValDriv2Exp*calcCh4CondShare</f>
        <v>96000</v>
      </c>
    </row>
    <row r="5644" spans="1:6">
      <c r="D5644" s="23" t="s">
        <v>12872</v>
      </c>
      <c r="E5644" s="258">
        <f>calcCh4ValDriv2Exp*(1-calcCh4CondShare)</f>
        <v>203999.99999999997</v>
      </c>
    </row>
    <row r="5645" spans="1:6">
      <c r="D5645" s="267" t="s">
        <v>1420</v>
      </c>
      <c r="E5645" s="372">
        <f>paramCh4ValDriv2UnCondFactor</f>
        <v>0.6</v>
      </c>
    </row>
    <row r="5646" spans="1:6">
      <c r="D5646" s="312" t="s">
        <v>3315</v>
      </c>
      <c r="E5646" s="482">
        <f>E5644*E5645</f>
        <v>122399.99999999997</v>
      </c>
    </row>
    <row r="5647" spans="1:6" s="614" customFormat="1">
      <c r="D5647" s="652" t="s">
        <v>67</v>
      </c>
      <c r="E5647" s="482">
        <f>paramCh4ValDriv2SIFactor</f>
        <v>0</v>
      </c>
    </row>
    <row r="5648" spans="1:6" ht="2.25" customHeight="1">
      <c r="A5648" s="297"/>
      <c r="C5648" s="298"/>
      <c r="D5648" s="298"/>
      <c r="E5648" s="299"/>
      <c r="F5648" s="297"/>
    </row>
    <row r="5649" spans="1:6">
      <c r="D5649" s="23" t="s">
        <v>14</v>
      </c>
      <c r="E5649" s="641">
        <f>E5642+E5643+E5646+E5647</f>
        <v>435600</v>
      </c>
      <c r="F5649" s="23" t="s">
        <v>1422</v>
      </c>
    </row>
    <row r="5650" spans="1:6">
      <c r="E5650" s="258"/>
    </row>
    <row r="5651" spans="1:6">
      <c r="E5651" s="258"/>
    </row>
    <row r="5652" spans="1:6" s="81" customFormat="1">
      <c r="A5652" s="81" t="s">
        <v>1427</v>
      </c>
    </row>
    <row r="5653" spans="1:6">
      <c r="E5653" s="258"/>
    </row>
    <row r="5654" spans="1:6">
      <c r="C5654" s="198" t="s">
        <v>244</v>
      </c>
      <c r="E5654" s="258"/>
    </row>
    <row r="5655" spans="1:6" s="614" customFormat="1">
      <c r="C5655" s="633"/>
      <c r="D5655" s="614" t="s">
        <v>13748</v>
      </c>
      <c r="E5655" s="641" t="str">
        <f>decCh1ValDriv2</f>
        <v>Level 2</v>
      </c>
    </row>
    <row r="5656" spans="1:6" s="614" customFormat="1">
      <c r="C5656" s="633"/>
      <c r="D5656" s="614" t="s">
        <v>13749</v>
      </c>
      <c r="E5656" s="690">
        <f>calcCh1CondShare</f>
        <v>0.32</v>
      </c>
    </row>
    <row r="5657" spans="1:6" s="614" customFormat="1">
      <c r="C5657" s="633"/>
      <c r="D5657" s="614" t="s">
        <v>6585</v>
      </c>
      <c r="E5657" s="641">
        <f>VLOOKUP(E5655,dataNewSlots,2)+IF(E5656&gt;0.4,VLOOKUP(E5655,dataNewSlots,3),0)</f>
        <v>0</v>
      </c>
      <c r="F5657" s="614" t="s">
        <v>13752</v>
      </c>
    </row>
    <row r="5658" spans="1:6" s="614" customFormat="1">
      <c r="C5658" s="633"/>
      <c r="E5658" s="641"/>
    </row>
    <row r="5659" spans="1:6">
      <c r="D5659" s="23" t="s">
        <v>1426</v>
      </c>
      <c r="E5659" s="258">
        <f>obalCh1Slots</f>
        <v>6</v>
      </c>
    </row>
    <row r="5660" spans="1:6">
      <c r="D5660" s="23" t="s">
        <v>1428</v>
      </c>
      <c r="E5660" s="258">
        <f>calcCh1SlotTotActive</f>
        <v>5</v>
      </c>
    </row>
    <row r="5661" spans="1:6">
      <c r="D5661" s="23" t="s">
        <v>1425</v>
      </c>
      <c r="E5661" s="258">
        <f>E5659-E5660</f>
        <v>1</v>
      </c>
      <c r="F5661" s="23" t="s">
        <v>1509</v>
      </c>
    </row>
    <row r="5662" spans="1:6" ht="2.25" customHeight="1">
      <c r="A5662" s="297"/>
      <c r="C5662" s="298"/>
      <c r="D5662" s="298"/>
      <c r="E5662" s="299"/>
      <c r="F5662" s="297"/>
    </row>
    <row r="5663" spans="1:6">
      <c r="D5663" s="23" t="s">
        <v>1429</v>
      </c>
      <c r="E5663" s="258" t="b">
        <f>IF(E5661=0,TRUE,FALSE)</f>
        <v>0</v>
      </c>
      <c r="F5663" s="23" t="s">
        <v>1508</v>
      </c>
    </row>
    <row r="5664" spans="1:6">
      <c r="E5664" s="258"/>
    </row>
    <row r="5665" spans="1:6" s="614" customFormat="1">
      <c r="C5665" s="633" t="s">
        <v>245</v>
      </c>
      <c r="E5665" s="641"/>
    </row>
    <row r="5666" spans="1:6" s="614" customFormat="1">
      <c r="C5666" s="633"/>
      <c r="D5666" s="614" t="s">
        <v>13748</v>
      </c>
      <c r="E5666" s="641" t="str">
        <f>decCh2ValDriv2</f>
        <v>Level 2</v>
      </c>
    </row>
    <row r="5667" spans="1:6" s="614" customFormat="1">
      <c r="C5667" s="633"/>
      <c r="D5667" s="614" t="s">
        <v>13749</v>
      </c>
      <c r="E5667" s="690">
        <f>calcCh2CondShare</f>
        <v>0.32</v>
      </c>
    </row>
    <row r="5668" spans="1:6" s="614" customFormat="1">
      <c r="C5668" s="633"/>
      <c r="D5668" s="614" t="s">
        <v>6585</v>
      </c>
      <c r="E5668" s="641">
        <f>VLOOKUP(E5666,dataNewSlots,2)+IF(E5667&gt;0.4,VLOOKUP(E5666,dataNewSlots,3),0)</f>
        <v>0</v>
      </c>
      <c r="F5668" s="614" t="s">
        <v>13763</v>
      </c>
    </row>
    <row r="5669" spans="1:6" s="614" customFormat="1">
      <c r="C5669" s="633"/>
      <c r="E5669" s="641"/>
    </row>
    <row r="5670" spans="1:6" s="614" customFormat="1">
      <c r="D5670" s="614" t="s">
        <v>1426</v>
      </c>
      <c r="E5670" s="641">
        <f>obalCh2Slots</f>
        <v>4</v>
      </c>
    </row>
    <row r="5671" spans="1:6" s="614" customFormat="1">
      <c r="D5671" s="614" t="s">
        <v>1428</v>
      </c>
      <c r="E5671" s="641">
        <f>calcCh2SlotTotActive</f>
        <v>3</v>
      </c>
    </row>
    <row r="5672" spans="1:6" s="614" customFormat="1">
      <c r="D5672" s="614" t="s">
        <v>1425</v>
      </c>
      <c r="E5672" s="641">
        <f>E5670-E5671</f>
        <v>1</v>
      </c>
      <c r="F5672" s="614" t="s">
        <v>1514</v>
      </c>
    </row>
    <row r="5673" spans="1:6" s="614" customFormat="1" ht="2.25" customHeight="1">
      <c r="A5673" s="297"/>
      <c r="C5673" s="650"/>
      <c r="D5673" s="650"/>
      <c r="E5673" s="299"/>
      <c r="F5673" s="297"/>
    </row>
    <row r="5674" spans="1:6" s="614" customFormat="1">
      <c r="D5674" s="614" t="s">
        <v>1429</v>
      </c>
      <c r="E5674" s="641" t="b">
        <f>IF(E5672=0,TRUE,FALSE)</f>
        <v>0</v>
      </c>
      <c r="F5674" s="614" t="s">
        <v>1515</v>
      </c>
    </row>
    <row r="5675" spans="1:6" s="614" customFormat="1">
      <c r="E5675" s="641"/>
    </row>
    <row r="5676" spans="1:6" s="614" customFormat="1">
      <c r="C5676" s="633" t="s">
        <v>5199</v>
      </c>
      <c r="E5676" s="641"/>
    </row>
    <row r="5677" spans="1:6" s="614" customFormat="1">
      <c r="C5677" s="633"/>
      <c r="D5677" s="614" t="s">
        <v>13748</v>
      </c>
      <c r="E5677" s="641" t="str">
        <f>decCh3ValDriv2</f>
        <v>Level 2</v>
      </c>
    </row>
    <row r="5678" spans="1:6" s="614" customFormat="1">
      <c r="C5678" s="633"/>
      <c r="D5678" s="614" t="s">
        <v>13749</v>
      </c>
      <c r="E5678" s="690">
        <f>calcCh3CondShare</f>
        <v>0.32</v>
      </c>
    </row>
    <row r="5679" spans="1:6" s="614" customFormat="1">
      <c r="C5679" s="633"/>
      <c r="D5679" s="614" t="s">
        <v>6585</v>
      </c>
      <c r="E5679" s="641">
        <f>VLOOKUP(E5677,dataNewSlots,2)+IF(E5678&gt;0.4,VLOOKUP(E5677,dataNewSlots,3),0)</f>
        <v>0</v>
      </c>
      <c r="F5679" s="614" t="s">
        <v>13762</v>
      </c>
    </row>
    <row r="5680" spans="1:6" s="614" customFormat="1">
      <c r="C5680" s="633"/>
      <c r="E5680" s="641"/>
    </row>
    <row r="5681" spans="1:6" s="614" customFormat="1">
      <c r="D5681" s="614" t="s">
        <v>1426</v>
      </c>
      <c r="E5681" s="641">
        <f>obalCh3Slots</f>
        <v>4</v>
      </c>
    </row>
    <row r="5682" spans="1:6" s="614" customFormat="1">
      <c r="D5682" s="614" t="s">
        <v>1428</v>
      </c>
      <c r="E5682" s="641">
        <f>calcCh3SlotTotActive</f>
        <v>4</v>
      </c>
    </row>
    <row r="5683" spans="1:6" s="614" customFormat="1">
      <c r="D5683" s="614" t="s">
        <v>1425</v>
      </c>
      <c r="E5683" s="641">
        <f>E5681-E5682</f>
        <v>0</v>
      </c>
      <c r="F5683" s="614" t="s">
        <v>1512</v>
      </c>
    </row>
    <row r="5684" spans="1:6" s="614" customFormat="1" ht="2.25" customHeight="1">
      <c r="A5684" s="297"/>
      <c r="C5684" s="650"/>
      <c r="D5684" s="650"/>
      <c r="E5684" s="299"/>
      <c r="F5684" s="297"/>
    </row>
    <row r="5685" spans="1:6" s="614" customFormat="1">
      <c r="D5685" s="614" t="s">
        <v>1429</v>
      </c>
      <c r="E5685" s="641" t="b">
        <f>IF(E5683=0,TRUE,FALSE)</f>
        <v>1</v>
      </c>
      <c r="F5685" s="614" t="s">
        <v>1513</v>
      </c>
    </row>
    <row r="5686" spans="1:6" s="614" customFormat="1">
      <c r="E5686" s="641"/>
    </row>
    <row r="5687" spans="1:6" s="614" customFormat="1">
      <c r="C5687" s="633" t="s">
        <v>246</v>
      </c>
      <c r="E5687" s="641"/>
    </row>
    <row r="5688" spans="1:6" s="614" customFormat="1">
      <c r="C5688" s="633"/>
      <c r="D5688" s="614" t="s">
        <v>13748</v>
      </c>
      <c r="E5688" s="641" t="str">
        <f>decCh4ValDriv2</f>
        <v>Level 2</v>
      </c>
    </row>
    <row r="5689" spans="1:6" s="614" customFormat="1">
      <c r="C5689" s="633"/>
      <c r="D5689" s="614" t="s">
        <v>13749</v>
      </c>
      <c r="E5689" s="690">
        <f>calcCh4CondShare</f>
        <v>0.32</v>
      </c>
    </row>
    <row r="5690" spans="1:6" s="614" customFormat="1">
      <c r="C5690" s="633"/>
      <c r="D5690" s="614" t="s">
        <v>6585</v>
      </c>
      <c r="E5690" s="641">
        <f>VLOOKUP(E5688,dataNewSlots,2)+IF(E5689&gt;0.4,VLOOKUP(E5688,dataNewSlots,3),0)</f>
        <v>0</v>
      </c>
      <c r="F5690" s="614" t="s">
        <v>13761</v>
      </c>
    </row>
    <row r="5691" spans="1:6" s="614" customFormat="1">
      <c r="C5691" s="633"/>
      <c r="E5691" s="641"/>
    </row>
    <row r="5692" spans="1:6" s="614" customFormat="1">
      <c r="D5692" s="614" t="s">
        <v>1426</v>
      </c>
      <c r="E5692" s="641">
        <f>obalCh4Slots</f>
        <v>4</v>
      </c>
    </row>
    <row r="5693" spans="1:6" s="614" customFormat="1">
      <c r="D5693" s="614" t="s">
        <v>1428</v>
      </c>
      <c r="E5693" s="641">
        <f>calcCh4SlotTotActive</f>
        <v>4</v>
      </c>
    </row>
    <row r="5694" spans="1:6" s="614" customFormat="1">
      <c r="D5694" s="614" t="s">
        <v>1425</v>
      </c>
      <c r="E5694" s="641">
        <f>E5692-E5693</f>
        <v>0</v>
      </c>
      <c r="F5694" s="614" t="s">
        <v>1510</v>
      </c>
    </row>
    <row r="5695" spans="1:6" s="614" customFormat="1" ht="2.25" customHeight="1">
      <c r="A5695" s="297"/>
      <c r="C5695" s="650"/>
      <c r="D5695" s="650"/>
      <c r="E5695" s="299"/>
      <c r="F5695" s="297"/>
    </row>
    <row r="5696" spans="1:6" s="614" customFormat="1">
      <c r="D5696" s="614" t="s">
        <v>1429</v>
      </c>
      <c r="E5696" s="641" t="b">
        <f>IF(E5694=0,TRUE,FALSE)</f>
        <v>1</v>
      </c>
      <c r="F5696" s="614" t="s">
        <v>1511</v>
      </c>
    </row>
    <row r="5697" spans="1:6" s="614" customFormat="1">
      <c r="E5697" s="641"/>
    </row>
    <row r="5698" spans="1:6" s="81" customFormat="1">
      <c r="A5698" s="81" t="s">
        <v>1294</v>
      </c>
    </row>
    <row r="5699" spans="1:6">
      <c r="E5699" s="258"/>
    </row>
    <row r="5700" spans="1:6">
      <c r="C5700" s="198" t="s">
        <v>244</v>
      </c>
      <c r="E5700" s="258"/>
    </row>
    <row r="5701" spans="1:6">
      <c r="D5701" s="23" t="s">
        <v>1414</v>
      </c>
      <c r="E5701" s="258">
        <f>obalCh1ValDriv3</f>
        <v>175800</v>
      </c>
      <c r="F5701" s="23" t="s">
        <v>1529</v>
      </c>
    </row>
    <row r="5702" spans="1:6">
      <c r="D5702" s="23" t="s">
        <v>12871</v>
      </c>
      <c r="E5702" s="258">
        <f>calcCh1ValDriv3Exp*calcCh1CondShare</f>
        <v>96000</v>
      </c>
    </row>
    <row r="5703" spans="1:6">
      <c r="D5703" s="23" t="s">
        <v>12872</v>
      </c>
      <c r="E5703" s="258">
        <f>calcCh1ValDriv3Exp*(1-calcCh1CondShare)</f>
        <v>203999.99999999997</v>
      </c>
    </row>
    <row r="5704" spans="1:6">
      <c r="D5704" s="267" t="s">
        <v>1420</v>
      </c>
      <c r="E5704" s="372">
        <f>paramCh1ValDriv3UnCondFactor</f>
        <v>0.4</v>
      </c>
    </row>
    <row r="5705" spans="1:6">
      <c r="D5705" s="312" t="s">
        <v>3315</v>
      </c>
      <c r="E5705" s="482">
        <f>E5703*E5704</f>
        <v>81600</v>
      </c>
    </row>
    <row r="5706" spans="1:6" s="614" customFormat="1">
      <c r="D5706" s="652" t="s">
        <v>67</v>
      </c>
      <c r="E5706" s="482">
        <f>paramCh1ValDriv3SIFactor</f>
        <v>0</v>
      </c>
    </row>
    <row r="5707" spans="1:6" ht="2.25" customHeight="1">
      <c r="A5707" s="297"/>
      <c r="C5707" s="298"/>
      <c r="D5707" s="298"/>
      <c r="E5707" s="299"/>
      <c r="F5707" s="297"/>
    </row>
    <row r="5708" spans="1:6">
      <c r="D5708" s="23" t="s">
        <v>14</v>
      </c>
      <c r="E5708" s="258">
        <f>E5701+E5702+E5705+E5706</f>
        <v>353400</v>
      </c>
      <c r="F5708" s="23" t="s">
        <v>1530</v>
      </c>
    </row>
    <row r="5709" spans="1:6">
      <c r="E5709" s="258"/>
    </row>
    <row r="5710" spans="1:6">
      <c r="C5710" s="198" t="s">
        <v>245</v>
      </c>
      <c r="E5710" s="258"/>
    </row>
    <row r="5711" spans="1:6">
      <c r="D5711" s="23" t="s">
        <v>1414</v>
      </c>
      <c r="E5711" s="258">
        <f>obalCh2ValDriv3</f>
        <v>175800</v>
      </c>
      <c r="F5711" s="23" t="s">
        <v>1531</v>
      </c>
    </row>
    <row r="5712" spans="1:6">
      <c r="D5712" s="23" t="s">
        <v>12871</v>
      </c>
      <c r="E5712" s="258">
        <f>calcCh2ValDriv3Exp*calcCh2CondShare</f>
        <v>96000</v>
      </c>
    </row>
    <row r="5713" spans="1:6">
      <c r="D5713" s="23" t="s">
        <v>12872</v>
      </c>
      <c r="E5713" s="258">
        <f>calcCh2ValDriv3Exp*(1-calcCh2CondShare)</f>
        <v>203999.99999999997</v>
      </c>
    </row>
    <row r="5714" spans="1:6">
      <c r="D5714" s="267" t="s">
        <v>1420</v>
      </c>
      <c r="E5714" s="372">
        <f>paramCh2ValDriv3UnCondFactor</f>
        <v>0.4</v>
      </c>
    </row>
    <row r="5715" spans="1:6">
      <c r="D5715" s="312" t="s">
        <v>3315</v>
      </c>
      <c r="E5715" s="482">
        <f>E5713*E5714</f>
        <v>81600</v>
      </c>
    </row>
    <row r="5716" spans="1:6" s="614" customFormat="1">
      <c r="D5716" s="652" t="s">
        <v>67</v>
      </c>
      <c r="E5716" s="482">
        <f>paramCh2ValDriv3SIFactor</f>
        <v>0</v>
      </c>
    </row>
    <row r="5717" spans="1:6" ht="2.25" customHeight="1">
      <c r="A5717" s="297"/>
      <c r="C5717" s="298"/>
      <c r="D5717" s="298"/>
      <c r="E5717" s="299"/>
      <c r="F5717" s="297"/>
    </row>
    <row r="5718" spans="1:6">
      <c r="D5718" s="23" t="s">
        <v>14</v>
      </c>
      <c r="E5718" s="641">
        <f>E5711+E5712+E5715+E5716</f>
        <v>353400</v>
      </c>
      <c r="F5718" s="23" t="s">
        <v>1532</v>
      </c>
    </row>
    <row r="5719" spans="1:6">
      <c r="E5719" s="258"/>
    </row>
    <row r="5720" spans="1:6">
      <c r="C5720" s="198" t="s">
        <v>5199</v>
      </c>
      <c r="E5720" s="258"/>
    </row>
    <row r="5721" spans="1:6">
      <c r="D5721" s="23" t="s">
        <v>1414</v>
      </c>
      <c r="E5721" s="258">
        <f>obalCh3ValDriv3</f>
        <v>196500</v>
      </c>
      <c r="F5721" s="23" t="s">
        <v>1533</v>
      </c>
    </row>
    <row r="5722" spans="1:6">
      <c r="D5722" s="23" t="s">
        <v>12871</v>
      </c>
      <c r="E5722" s="258">
        <f>calcCh3ValDriv3Exp*calcCh3CondShare</f>
        <v>96000</v>
      </c>
    </row>
    <row r="5723" spans="1:6">
      <c r="D5723" s="23" t="s">
        <v>12872</v>
      </c>
      <c r="E5723" s="258">
        <f>calcCh3ValDriv3Exp*(1-calcCh3CondShare)</f>
        <v>203999.99999999997</v>
      </c>
    </row>
    <row r="5724" spans="1:6">
      <c r="D5724" s="267" t="s">
        <v>1420</v>
      </c>
      <c r="E5724" s="372">
        <f>paramCh3ValDriv3UnCondFactor</f>
        <v>0.5</v>
      </c>
    </row>
    <row r="5725" spans="1:6">
      <c r="D5725" s="312" t="s">
        <v>3315</v>
      </c>
      <c r="E5725" s="482">
        <f>E5723*E5724</f>
        <v>101999.99999999999</v>
      </c>
    </row>
    <row r="5726" spans="1:6" s="614" customFormat="1">
      <c r="D5726" s="652" t="s">
        <v>67</v>
      </c>
      <c r="E5726" s="482">
        <f>paramCh3ValDriv3SIFactor</f>
        <v>0</v>
      </c>
    </row>
    <row r="5727" spans="1:6" ht="2.25" customHeight="1">
      <c r="A5727" s="297"/>
      <c r="C5727" s="298"/>
      <c r="D5727" s="298"/>
      <c r="E5727" s="299"/>
      <c r="F5727" s="297"/>
    </row>
    <row r="5728" spans="1:6">
      <c r="D5728" s="23" t="s">
        <v>14</v>
      </c>
      <c r="E5728" s="641">
        <f>E5721+E5722+E5725+E5726</f>
        <v>394500</v>
      </c>
      <c r="F5728" s="23" t="s">
        <v>1534</v>
      </c>
    </row>
    <row r="5729" spans="1:6">
      <c r="E5729" s="258"/>
    </row>
    <row r="5730" spans="1:6">
      <c r="C5730" s="198" t="s">
        <v>246</v>
      </c>
      <c r="E5730" s="258"/>
    </row>
    <row r="5731" spans="1:6">
      <c r="D5731" s="23" t="s">
        <v>1414</v>
      </c>
      <c r="E5731" s="258">
        <f>obalCh4ValDriv3</f>
        <v>217199.99999999997</v>
      </c>
      <c r="F5731" s="23" t="s">
        <v>1535</v>
      </c>
    </row>
    <row r="5732" spans="1:6">
      <c r="D5732" s="23" t="s">
        <v>12871</v>
      </c>
      <c r="E5732" s="258">
        <f>calcCh4ValDriv3Exp*calcCh4CondShare</f>
        <v>96000</v>
      </c>
    </row>
    <row r="5733" spans="1:6">
      <c r="D5733" s="23" t="s">
        <v>12872</v>
      </c>
      <c r="E5733" s="258">
        <f>calcCh4ValDriv3Exp*(1-calcCh4CondShare)</f>
        <v>203999.99999999997</v>
      </c>
    </row>
    <row r="5734" spans="1:6">
      <c r="D5734" s="267" t="s">
        <v>1420</v>
      </c>
      <c r="E5734" s="372">
        <f>paramCh4ValDriv3UnCondFactor</f>
        <v>0.6</v>
      </c>
    </row>
    <row r="5735" spans="1:6">
      <c r="D5735" s="312" t="s">
        <v>3315</v>
      </c>
      <c r="E5735" s="482">
        <f>E5733*E5734</f>
        <v>122399.99999999997</v>
      </c>
    </row>
    <row r="5736" spans="1:6" s="614" customFormat="1">
      <c r="D5736" s="652" t="s">
        <v>67</v>
      </c>
      <c r="E5736" s="482">
        <f>paramCh4ValDriv3SIFactor</f>
        <v>0</v>
      </c>
    </row>
    <row r="5737" spans="1:6" ht="2.25" customHeight="1">
      <c r="A5737" s="297"/>
      <c r="C5737" s="298"/>
      <c r="D5737" s="298"/>
      <c r="E5737" s="299"/>
      <c r="F5737" s="297"/>
    </row>
    <row r="5738" spans="1:6">
      <c r="D5738" s="23" t="s">
        <v>14</v>
      </c>
      <c r="E5738" s="641">
        <f>E5731+E5732+E5735+E5736</f>
        <v>435600</v>
      </c>
      <c r="F5738" s="23" t="s">
        <v>1536</v>
      </c>
    </row>
    <row r="5739" spans="1:6">
      <c r="E5739" s="258"/>
    </row>
    <row r="5740" spans="1:6" s="616" customFormat="1">
      <c r="A5740" s="616" t="s">
        <v>5196</v>
      </c>
    </row>
    <row r="5741" spans="1:6" s="614" customFormat="1">
      <c r="E5741" s="641"/>
    </row>
    <row r="5742" spans="1:6" s="614" customFormat="1">
      <c r="C5742" s="633" t="s">
        <v>244</v>
      </c>
      <c r="E5742" s="641"/>
    </row>
    <row r="5743" spans="1:6" s="614" customFormat="1">
      <c r="D5743" s="614" t="s">
        <v>1414</v>
      </c>
      <c r="E5743" s="641">
        <f>obalCh1ValDriv4</f>
        <v>175800</v>
      </c>
      <c r="F5743" s="614" t="s">
        <v>8414</v>
      </c>
    </row>
    <row r="5744" spans="1:6" s="614" customFormat="1">
      <c r="D5744" s="614" t="s">
        <v>12871</v>
      </c>
      <c r="E5744" s="641">
        <f>calcCh1ValDriv4Exp*calcCh1CondShare</f>
        <v>96000</v>
      </c>
    </row>
    <row r="5745" spans="1:6" s="614" customFormat="1">
      <c r="D5745" s="614" t="s">
        <v>12872</v>
      </c>
      <c r="E5745" s="641">
        <f>calcCh1ValDriv4Exp*(1-calcCh1CondShare)</f>
        <v>203999.99999999997</v>
      </c>
    </row>
    <row r="5746" spans="1:6" s="614" customFormat="1">
      <c r="D5746" s="267" t="s">
        <v>1420</v>
      </c>
      <c r="E5746" s="372">
        <f>paramCh1ValDriv4UnCondFactor</f>
        <v>0.4</v>
      </c>
    </row>
    <row r="5747" spans="1:6" s="614" customFormat="1">
      <c r="D5747" s="652" t="s">
        <v>3315</v>
      </c>
      <c r="E5747" s="482">
        <f>E5745*E5746</f>
        <v>81600</v>
      </c>
    </row>
    <row r="5748" spans="1:6" s="614" customFormat="1">
      <c r="D5748" s="652" t="s">
        <v>67</v>
      </c>
      <c r="E5748" s="482">
        <f>paramCh1ValDriv4SIFactor</f>
        <v>0</v>
      </c>
    </row>
    <row r="5749" spans="1:6" s="614" customFormat="1" ht="2.25" customHeight="1">
      <c r="A5749" s="297"/>
      <c r="C5749" s="650"/>
      <c r="D5749" s="650"/>
      <c r="E5749" s="299"/>
      <c r="F5749" s="297"/>
    </row>
    <row r="5750" spans="1:6" s="614" customFormat="1">
      <c r="D5750" s="614" t="s">
        <v>14</v>
      </c>
      <c r="E5750" s="950">
        <f>E5743+E5744+E5747+E5748</f>
        <v>353400</v>
      </c>
      <c r="F5750" s="614" t="s">
        <v>8415</v>
      </c>
    </row>
    <row r="5751" spans="1:6" s="614" customFormat="1">
      <c r="D5751" s="614" t="s">
        <v>11232</v>
      </c>
      <c r="E5751" s="951">
        <f>calcCh1ValDriv4AccEnd/1000000</f>
        <v>0.35339999999999999</v>
      </c>
      <c r="F5751" s="614" t="s">
        <v>11231</v>
      </c>
    </row>
    <row r="5752" spans="1:6" s="614" customFormat="1">
      <c r="E5752" s="641"/>
    </row>
    <row r="5753" spans="1:6" s="614" customFormat="1">
      <c r="C5753" s="633" t="s">
        <v>245</v>
      </c>
      <c r="E5753" s="641"/>
    </row>
    <row r="5754" spans="1:6" s="614" customFormat="1">
      <c r="D5754" s="614" t="s">
        <v>1414</v>
      </c>
      <c r="E5754" s="641">
        <f>obalCh2ValDriv4</f>
        <v>175800</v>
      </c>
      <c r="F5754" s="614" t="s">
        <v>8416</v>
      </c>
    </row>
    <row r="5755" spans="1:6" s="614" customFormat="1">
      <c r="D5755" s="614" t="s">
        <v>12871</v>
      </c>
      <c r="E5755" s="641">
        <f>calcCh2ValDriv4Exp*calcCh2CondShare</f>
        <v>96000</v>
      </c>
    </row>
    <row r="5756" spans="1:6" s="614" customFormat="1">
      <c r="D5756" s="614" t="s">
        <v>12872</v>
      </c>
      <c r="E5756" s="641">
        <f>calcCh2ValDriv4Exp*(1-calcCh2CondShare)</f>
        <v>203999.99999999997</v>
      </c>
    </row>
    <row r="5757" spans="1:6" s="614" customFormat="1">
      <c r="D5757" s="267" t="s">
        <v>1420</v>
      </c>
      <c r="E5757" s="372">
        <f>paramCh2ValDriv4UnCondFactor</f>
        <v>0.4</v>
      </c>
    </row>
    <row r="5758" spans="1:6" s="614" customFormat="1">
      <c r="D5758" s="652" t="s">
        <v>3315</v>
      </c>
      <c r="E5758" s="482">
        <f>E5756*E5757</f>
        <v>81600</v>
      </c>
    </row>
    <row r="5759" spans="1:6" s="614" customFormat="1">
      <c r="D5759" s="652" t="s">
        <v>67</v>
      </c>
      <c r="E5759" s="482">
        <f>paramCh2ValDriv4SIFactor</f>
        <v>0</v>
      </c>
    </row>
    <row r="5760" spans="1:6" s="614" customFormat="1" ht="2.25" customHeight="1">
      <c r="A5760" s="297"/>
      <c r="C5760" s="650"/>
      <c r="D5760" s="650"/>
      <c r="E5760" s="299"/>
      <c r="F5760" s="297"/>
    </row>
    <row r="5761" spans="1:6" s="614" customFormat="1">
      <c r="D5761" s="614" t="s">
        <v>14</v>
      </c>
      <c r="E5761" s="950">
        <f>E5754+E5755+E5758+E5759</f>
        <v>353400</v>
      </c>
      <c r="F5761" s="614" t="s">
        <v>8417</v>
      </c>
    </row>
    <row r="5762" spans="1:6" s="614" customFormat="1">
      <c r="D5762" s="614" t="s">
        <v>11232</v>
      </c>
      <c r="E5762" s="951">
        <f>calcCh2ValDriv4AccEnd/1000000</f>
        <v>0.35339999999999999</v>
      </c>
      <c r="F5762" s="614" t="s">
        <v>11235</v>
      </c>
    </row>
    <row r="5763" spans="1:6" s="614" customFormat="1">
      <c r="E5763" s="641"/>
    </row>
    <row r="5764" spans="1:6" s="614" customFormat="1">
      <c r="C5764" s="633" t="s">
        <v>5199</v>
      </c>
      <c r="E5764" s="641"/>
    </row>
    <row r="5765" spans="1:6" s="614" customFormat="1">
      <c r="D5765" s="614" t="s">
        <v>1414</v>
      </c>
      <c r="E5765" s="641">
        <f>obalCh3ValDriv4</f>
        <v>175800</v>
      </c>
      <c r="F5765" s="614" t="s">
        <v>8418</v>
      </c>
    </row>
    <row r="5766" spans="1:6" s="614" customFormat="1">
      <c r="D5766" s="614" t="s">
        <v>12871</v>
      </c>
      <c r="E5766" s="641">
        <f>calcCh3ValDriv4Exp*calcCh3CondShare</f>
        <v>96000</v>
      </c>
    </row>
    <row r="5767" spans="1:6" s="614" customFormat="1">
      <c r="D5767" s="614" t="s">
        <v>12872</v>
      </c>
      <c r="E5767" s="641">
        <f>calcCh3ValDriv4Exp*(1-calcCh3CondShare)</f>
        <v>203999.99999999997</v>
      </c>
    </row>
    <row r="5768" spans="1:6" s="614" customFormat="1">
      <c r="D5768" s="267" t="s">
        <v>1420</v>
      </c>
      <c r="E5768" s="372">
        <f>paramCh3ValDriv4UnCondFactor</f>
        <v>0.5</v>
      </c>
    </row>
    <row r="5769" spans="1:6" s="614" customFormat="1">
      <c r="D5769" s="652" t="s">
        <v>3315</v>
      </c>
      <c r="E5769" s="482">
        <f>E5767*E5768</f>
        <v>101999.99999999999</v>
      </c>
    </row>
    <row r="5770" spans="1:6" s="614" customFormat="1">
      <c r="D5770" s="652" t="s">
        <v>67</v>
      </c>
      <c r="E5770" s="482">
        <f>paramCh3ValDriv4SIFactor</f>
        <v>0</v>
      </c>
    </row>
    <row r="5771" spans="1:6" s="614" customFormat="1" ht="2.25" customHeight="1">
      <c r="A5771" s="297"/>
      <c r="C5771" s="650"/>
      <c r="D5771" s="650"/>
      <c r="E5771" s="299"/>
      <c r="F5771" s="297"/>
    </row>
    <row r="5772" spans="1:6" s="614" customFormat="1">
      <c r="D5772" s="614" t="s">
        <v>14</v>
      </c>
      <c r="E5772" s="950">
        <f>E5765+E5766+E5769+E5770</f>
        <v>373800</v>
      </c>
      <c r="F5772" s="614" t="s">
        <v>8419</v>
      </c>
    </row>
    <row r="5773" spans="1:6" s="614" customFormat="1">
      <c r="D5773" s="614" t="s">
        <v>11232</v>
      </c>
      <c r="E5773" s="951">
        <f>calcCh3ValDriv4AccEnd/1000000</f>
        <v>0.37380000000000002</v>
      </c>
      <c r="F5773" s="614" t="s">
        <v>11234</v>
      </c>
    </row>
    <row r="5774" spans="1:6" s="614" customFormat="1">
      <c r="E5774" s="641"/>
    </row>
    <row r="5775" spans="1:6" s="614" customFormat="1">
      <c r="C5775" s="633" t="s">
        <v>246</v>
      </c>
      <c r="E5775" s="641"/>
    </row>
    <row r="5776" spans="1:6" s="614" customFormat="1">
      <c r="D5776" s="614" t="s">
        <v>1414</v>
      </c>
      <c r="E5776" s="641">
        <f>obalCh4ValDriv4</f>
        <v>175800</v>
      </c>
      <c r="F5776" s="614" t="s">
        <v>8420</v>
      </c>
    </row>
    <row r="5777" spans="1:6" s="614" customFormat="1">
      <c r="D5777" s="614" t="s">
        <v>12871</v>
      </c>
      <c r="E5777" s="641">
        <f>calcCh4ValDriv4Exp*calcCh4CondShare</f>
        <v>96000</v>
      </c>
    </row>
    <row r="5778" spans="1:6" s="614" customFormat="1">
      <c r="D5778" s="614" t="s">
        <v>12872</v>
      </c>
      <c r="E5778" s="641">
        <f>calcCh4ValDriv4Exp*(1-calcCh4CondShare)</f>
        <v>203999.99999999997</v>
      </c>
    </row>
    <row r="5779" spans="1:6" s="614" customFormat="1">
      <c r="D5779" s="267" t="s">
        <v>1420</v>
      </c>
      <c r="E5779" s="372">
        <f>paramCh4ValDriv4UnCondFactor</f>
        <v>0.6</v>
      </c>
    </row>
    <row r="5780" spans="1:6" s="614" customFormat="1">
      <c r="D5780" s="652" t="s">
        <v>3315</v>
      </c>
      <c r="E5780" s="482">
        <f>E5778*E5779</f>
        <v>122399.99999999997</v>
      </c>
    </row>
    <row r="5781" spans="1:6" s="614" customFormat="1">
      <c r="D5781" s="652" t="s">
        <v>67</v>
      </c>
      <c r="E5781" s="482">
        <f>paramCh4ValDriv4SIFactor</f>
        <v>0</v>
      </c>
    </row>
    <row r="5782" spans="1:6" s="614" customFormat="1" ht="2.25" customHeight="1">
      <c r="A5782" s="297"/>
      <c r="C5782" s="650"/>
      <c r="D5782" s="650"/>
      <c r="E5782" s="299"/>
      <c r="F5782" s="297"/>
    </row>
    <row r="5783" spans="1:6" s="614" customFormat="1">
      <c r="D5783" s="614" t="s">
        <v>14</v>
      </c>
      <c r="E5783" s="950">
        <f>E5776+E5777+E5780+E5781</f>
        <v>394200</v>
      </c>
      <c r="F5783" s="614" t="s">
        <v>8421</v>
      </c>
    </row>
    <row r="5784" spans="1:6" s="614" customFormat="1">
      <c r="D5784" s="614" t="s">
        <v>11232</v>
      </c>
      <c r="E5784" s="951">
        <f>calcCh4ValDriv4AccEnd/1000000</f>
        <v>0.39419999999999999</v>
      </c>
      <c r="F5784" s="614" t="s">
        <v>11233</v>
      </c>
    </row>
    <row r="5785" spans="1:6" s="614" customFormat="1">
      <c r="E5785" s="641"/>
    </row>
    <row r="5786" spans="1:6" s="616" customFormat="1">
      <c r="A5786" s="616" t="s">
        <v>812</v>
      </c>
    </row>
    <row r="5787" spans="1:6" s="614" customFormat="1">
      <c r="E5787" s="641"/>
    </row>
    <row r="5788" spans="1:6" s="614" customFormat="1">
      <c r="C5788" s="633" t="s">
        <v>244</v>
      </c>
      <c r="E5788" s="641"/>
    </row>
    <row r="5789" spans="1:6" s="614" customFormat="1">
      <c r="D5789" s="614" t="s">
        <v>1414</v>
      </c>
      <c r="E5789" s="641">
        <f>obalCh1ValDriv5</f>
        <v>879000</v>
      </c>
      <c r="F5789" s="614" t="s">
        <v>8422</v>
      </c>
    </row>
    <row r="5790" spans="1:6" s="614" customFormat="1">
      <c r="D5790" s="614" t="s">
        <v>12871</v>
      </c>
      <c r="E5790" s="641">
        <f>calcCh1ValDriv5Exp*calcCh1CondShare</f>
        <v>96000</v>
      </c>
    </row>
    <row r="5791" spans="1:6" s="614" customFormat="1">
      <c r="D5791" s="614" t="s">
        <v>12872</v>
      </c>
      <c r="E5791" s="641">
        <f>calcCh1ValDriv5Exp*(1-calcCh1CondShare)</f>
        <v>203999.99999999997</v>
      </c>
    </row>
    <row r="5792" spans="1:6" s="614" customFormat="1">
      <c r="D5792" s="267" t="s">
        <v>1420</v>
      </c>
      <c r="E5792" s="372">
        <f>paramCh1ValDriv5UnCondFactor</f>
        <v>0.4</v>
      </c>
    </row>
    <row r="5793" spans="1:6" s="614" customFormat="1">
      <c r="D5793" s="652" t="s">
        <v>3315</v>
      </c>
      <c r="E5793" s="482">
        <f>E5791*E5792</f>
        <v>81600</v>
      </c>
    </row>
    <row r="5794" spans="1:6" s="614" customFormat="1">
      <c r="D5794" s="652" t="s">
        <v>67</v>
      </c>
      <c r="E5794" s="482">
        <f>paramCh1ValDriv5SIFactor</f>
        <v>0</v>
      </c>
    </row>
    <row r="5795" spans="1:6" s="614" customFormat="1">
      <c r="D5795" s="652" t="s">
        <v>1411</v>
      </c>
      <c r="E5795" s="482">
        <f>(calcCh1ValDriv2AccEnd-calcCh1ValDriv2AccStart)/paramValDriv2VisibilityShare</f>
        <v>355200</v>
      </c>
    </row>
    <row r="5796" spans="1:6" s="614" customFormat="1">
      <c r="D5796" s="652" t="s">
        <v>1294</v>
      </c>
      <c r="E5796" s="482">
        <f>(calcCh1ValDriv3AccEnd-calcCh1ValDriv3AccStart)/paramValDriv3VisibilityShare</f>
        <v>355200</v>
      </c>
    </row>
    <row r="5797" spans="1:6" s="614" customFormat="1" ht="2.25" customHeight="1">
      <c r="A5797" s="297"/>
      <c r="C5797" s="650"/>
      <c r="D5797" s="650"/>
      <c r="E5797" s="299"/>
      <c r="F5797" s="297"/>
    </row>
    <row r="5798" spans="1:6" s="614" customFormat="1">
      <c r="D5798" s="614" t="s">
        <v>14</v>
      </c>
      <c r="E5798" s="950">
        <f>E5789+E5790+E5793+E5794+E5795+E5796</f>
        <v>1767000</v>
      </c>
      <c r="F5798" s="614" t="s">
        <v>8423</v>
      </c>
    </row>
    <row r="5799" spans="1:6" s="614" customFormat="1">
      <c r="D5799" s="614" t="s">
        <v>11232</v>
      </c>
      <c r="E5799" s="951">
        <f>calcCh1ValDriv5AccEnd/1000000</f>
        <v>1.7669999999999999</v>
      </c>
      <c r="F5799" s="614" t="s">
        <v>11239</v>
      </c>
    </row>
    <row r="5800" spans="1:6" s="614" customFormat="1">
      <c r="E5800" s="641"/>
    </row>
    <row r="5801" spans="1:6" s="614" customFormat="1">
      <c r="C5801" s="633" t="s">
        <v>245</v>
      </c>
      <c r="E5801" s="641"/>
    </row>
    <row r="5802" spans="1:6" s="614" customFormat="1">
      <c r="D5802" s="614" t="s">
        <v>1414</v>
      </c>
      <c r="E5802" s="641">
        <f>obalCh2ValDriv5</f>
        <v>879000</v>
      </c>
      <c r="F5802" s="614" t="s">
        <v>8424</v>
      </c>
    </row>
    <row r="5803" spans="1:6" s="614" customFormat="1">
      <c r="D5803" s="614" t="s">
        <v>12871</v>
      </c>
      <c r="E5803" s="641">
        <f>calcCh2ValDriv5Exp*calcCh2CondShare</f>
        <v>96000</v>
      </c>
    </row>
    <row r="5804" spans="1:6" s="614" customFormat="1">
      <c r="D5804" s="614" t="s">
        <v>12872</v>
      </c>
      <c r="E5804" s="641">
        <f>calcCh2ValDriv5Exp*(1-calcCh2CondShare)</f>
        <v>203999.99999999997</v>
      </c>
    </row>
    <row r="5805" spans="1:6" s="614" customFormat="1">
      <c r="D5805" s="267" t="s">
        <v>1420</v>
      </c>
      <c r="E5805" s="372">
        <f>paramCh2ValDriv5UnCondFactor</f>
        <v>0.4</v>
      </c>
    </row>
    <row r="5806" spans="1:6" s="614" customFormat="1">
      <c r="D5806" s="652" t="s">
        <v>3315</v>
      </c>
      <c r="E5806" s="482">
        <f>E5804*E5805</f>
        <v>81600</v>
      </c>
    </row>
    <row r="5807" spans="1:6" s="614" customFormat="1">
      <c r="D5807" s="652" t="s">
        <v>67</v>
      </c>
      <c r="E5807" s="482">
        <f>paramCh2ValDriv5SIFactor</f>
        <v>0</v>
      </c>
    </row>
    <row r="5808" spans="1:6" s="614" customFormat="1">
      <c r="D5808" s="652" t="s">
        <v>1411</v>
      </c>
      <c r="E5808" s="482">
        <f>(calcCh2ValDriv2AccEnd-calcCh2ValDriv2AccStart)/paramValDriv2VisibilityShare</f>
        <v>355200</v>
      </c>
    </row>
    <row r="5809" spans="1:6" s="614" customFormat="1">
      <c r="D5809" s="652" t="s">
        <v>1294</v>
      </c>
      <c r="E5809" s="482">
        <f>(calcCh2ValDriv3AccEnd-calcCh2ValDriv3AccStart)/paramValDriv3VisibilityShare</f>
        <v>355200</v>
      </c>
    </row>
    <row r="5810" spans="1:6" s="614" customFormat="1" ht="2.25" customHeight="1">
      <c r="A5810" s="297"/>
      <c r="C5810" s="650"/>
      <c r="D5810" s="650"/>
      <c r="E5810" s="299"/>
      <c r="F5810" s="297"/>
    </row>
    <row r="5811" spans="1:6" s="614" customFormat="1">
      <c r="D5811" s="614" t="s">
        <v>14</v>
      </c>
      <c r="E5811" s="950">
        <f>E5802+E5803+E5806+E5807+E5808+E5809</f>
        <v>1767000</v>
      </c>
      <c r="F5811" s="614" t="s">
        <v>8425</v>
      </c>
    </row>
    <row r="5812" spans="1:6" s="614" customFormat="1">
      <c r="D5812" s="614" t="s">
        <v>11232</v>
      </c>
      <c r="E5812" s="951">
        <f>calcCh2ValDriv5AccEnd/1000000</f>
        <v>1.7669999999999999</v>
      </c>
      <c r="F5812" s="614" t="s">
        <v>11240</v>
      </c>
    </row>
    <row r="5813" spans="1:6" s="614" customFormat="1">
      <c r="E5813" s="641"/>
    </row>
    <row r="5814" spans="1:6" s="614" customFormat="1">
      <c r="C5814" s="633" t="s">
        <v>5199</v>
      </c>
      <c r="E5814" s="641"/>
    </row>
    <row r="5815" spans="1:6" s="614" customFormat="1">
      <c r="D5815" s="614" t="s">
        <v>1414</v>
      </c>
      <c r="E5815" s="641">
        <f>obalCh3ValDriv5</f>
        <v>982500</v>
      </c>
      <c r="F5815" s="614" t="s">
        <v>8426</v>
      </c>
    </row>
    <row r="5816" spans="1:6" s="614" customFormat="1">
      <c r="D5816" s="614" t="s">
        <v>12871</v>
      </c>
      <c r="E5816" s="641">
        <f>calcCh3ValDriv5Exp*calcCh3CondShare</f>
        <v>96000</v>
      </c>
    </row>
    <row r="5817" spans="1:6" s="614" customFormat="1">
      <c r="D5817" s="614" t="s">
        <v>12872</v>
      </c>
      <c r="E5817" s="641">
        <f>calcCh3ValDriv5Exp*(1-calcCh3CondShare)</f>
        <v>203999.99999999997</v>
      </c>
    </row>
    <row r="5818" spans="1:6" s="614" customFormat="1">
      <c r="D5818" s="267" t="s">
        <v>1420</v>
      </c>
      <c r="E5818" s="372">
        <f>paramCh3ValDriv5UnCondFactor</f>
        <v>0.5</v>
      </c>
    </row>
    <row r="5819" spans="1:6" s="614" customFormat="1">
      <c r="D5819" s="652" t="s">
        <v>3315</v>
      </c>
      <c r="E5819" s="482">
        <f>E5817*E5818</f>
        <v>101999.99999999999</v>
      </c>
    </row>
    <row r="5820" spans="1:6" s="614" customFormat="1">
      <c r="D5820" s="652" t="s">
        <v>67</v>
      </c>
      <c r="E5820" s="482">
        <f>paramCh3ValDriv5SIFactor</f>
        <v>0</v>
      </c>
    </row>
    <row r="5821" spans="1:6" s="614" customFormat="1">
      <c r="D5821" s="652" t="s">
        <v>1411</v>
      </c>
      <c r="E5821" s="482">
        <f>(calcCh3ValDriv2AccEnd-calcCh3ValDriv2AccStart)/paramValDriv2VisibilityShare</f>
        <v>396000</v>
      </c>
    </row>
    <row r="5822" spans="1:6" s="614" customFormat="1">
      <c r="D5822" s="652" t="s">
        <v>1294</v>
      </c>
      <c r="E5822" s="482">
        <f>(calcCh3ValDriv3AccEnd-calcCh3ValDriv3AccStart)/paramValDriv3VisibilityShare</f>
        <v>396000</v>
      </c>
    </row>
    <row r="5823" spans="1:6" s="614" customFormat="1" ht="2.25" customHeight="1">
      <c r="A5823" s="297"/>
      <c r="C5823" s="650"/>
      <c r="D5823" s="650"/>
      <c r="E5823" s="299"/>
      <c r="F5823" s="297"/>
    </row>
    <row r="5824" spans="1:6" s="614" customFormat="1">
      <c r="D5824" s="614" t="s">
        <v>14</v>
      </c>
      <c r="E5824" s="950">
        <f>E5815+E5816+E5819+E5820+E5821+E5822</f>
        <v>1972500</v>
      </c>
      <c r="F5824" s="614" t="s">
        <v>8427</v>
      </c>
    </row>
    <row r="5825" spans="1:6" s="614" customFormat="1">
      <c r="D5825" s="614" t="s">
        <v>11232</v>
      </c>
      <c r="E5825" s="951">
        <f>calcCh3ValDriv5AccEnd/1000000</f>
        <v>1.9724999999999999</v>
      </c>
      <c r="F5825" s="614" t="s">
        <v>11241</v>
      </c>
    </row>
    <row r="5826" spans="1:6" s="614" customFormat="1">
      <c r="E5826" s="641"/>
    </row>
    <row r="5827" spans="1:6" s="614" customFormat="1">
      <c r="C5827" s="633" t="s">
        <v>246</v>
      </c>
      <c r="E5827" s="641"/>
    </row>
    <row r="5828" spans="1:6" s="614" customFormat="1">
      <c r="D5828" s="614" t="s">
        <v>1414</v>
      </c>
      <c r="E5828" s="641">
        <f>obalCh4ValDriv5</f>
        <v>1085999.9999999998</v>
      </c>
      <c r="F5828" s="614" t="s">
        <v>8428</v>
      </c>
    </row>
    <row r="5829" spans="1:6" s="614" customFormat="1">
      <c r="D5829" s="614" t="s">
        <v>12871</v>
      </c>
      <c r="E5829" s="641">
        <f>calcCh4ValDriv5Exp*calcCh4CondShare</f>
        <v>96000</v>
      </c>
    </row>
    <row r="5830" spans="1:6" s="614" customFormat="1">
      <c r="D5830" s="614" t="s">
        <v>12872</v>
      </c>
      <c r="E5830" s="641">
        <f>calcCh4ValDriv5Exp*(1-calcCh4CondShare)</f>
        <v>203999.99999999997</v>
      </c>
    </row>
    <row r="5831" spans="1:6" s="614" customFormat="1">
      <c r="D5831" s="267" t="s">
        <v>1420</v>
      </c>
      <c r="E5831" s="372">
        <f>paramCh4ValDriv5UnCondFactor</f>
        <v>0.6</v>
      </c>
    </row>
    <row r="5832" spans="1:6" s="614" customFormat="1">
      <c r="D5832" s="652" t="s">
        <v>3315</v>
      </c>
      <c r="E5832" s="482">
        <f>E5830*E5831</f>
        <v>122399.99999999997</v>
      </c>
    </row>
    <row r="5833" spans="1:6" s="614" customFormat="1">
      <c r="D5833" s="652" t="s">
        <v>67</v>
      </c>
      <c r="E5833" s="482">
        <f>paramCh4ValDriv5SIFactor</f>
        <v>0</v>
      </c>
    </row>
    <row r="5834" spans="1:6" s="614" customFormat="1">
      <c r="D5834" s="652" t="s">
        <v>1411</v>
      </c>
      <c r="E5834" s="482">
        <f>(calcCh4ValDriv2AccEnd-calcCh4ValDriv2AccStart)/paramValDriv2VisibilityShare</f>
        <v>436800.00000000006</v>
      </c>
    </row>
    <row r="5835" spans="1:6" s="614" customFormat="1">
      <c r="D5835" s="652" t="s">
        <v>1294</v>
      </c>
      <c r="E5835" s="482">
        <f>(calcCh4ValDriv3AccEnd-calcCh4ValDriv3AccStart)/paramValDriv3VisibilityShare</f>
        <v>436800.00000000006</v>
      </c>
    </row>
    <row r="5836" spans="1:6" s="614" customFormat="1" ht="2.25" customHeight="1">
      <c r="A5836" s="297"/>
      <c r="C5836" s="650"/>
      <c r="D5836" s="650"/>
      <c r="E5836" s="299"/>
      <c r="F5836" s="297"/>
    </row>
    <row r="5837" spans="1:6" s="614" customFormat="1">
      <c r="D5837" s="614" t="s">
        <v>14</v>
      </c>
      <c r="E5837" s="950">
        <f>E5828+E5829+E5832+E5833+E5834+E5835</f>
        <v>2178000</v>
      </c>
      <c r="F5837" s="614" t="s">
        <v>8429</v>
      </c>
    </row>
    <row r="5838" spans="1:6" s="614" customFormat="1">
      <c r="D5838" s="614" t="s">
        <v>11232</v>
      </c>
      <c r="E5838" s="951">
        <f>calcCh4ValDriv5AccEnd/1000000</f>
        <v>2.1779999999999999</v>
      </c>
      <c r="F5838" s="614" t="s">
        <v>11238</v>
      </c>
    </row>
    <row r="5839" spans="1:6" s="614" customFormat="1">
      <c r="E5839" s="641"/>
    </row>
    <row r="5840" spans="1:6" s="81" customFormat="1">
      <c r="A5840" s="81" t="s">
        <v>3284</v>
      </c>
    </row>
    <row r="5842" spans="2:6">
      <c r="B5842" s="198" t="s">
        <v>13947</v>
      </c>
    </row>
    <row r="5843" spans="2:6">
      <c r="C5843" s="198" t="s">
        <v>13069</v>
      </c>
    </row>
    <row r="5844" spans="2:6">
      <c r="D5844" s="23" t="s">
        <v>5663</v>
      </c>
      <c r="E5844" s="89">
        <f>IF(calcCh1Prod1Slot1Active=1,decCh1Prod1Slot1Promo1Weeks,"No Promotion")</f>
        <v>4</v>
      </c>
    </row>
    <row r="5845" spans="2:6" ht="1.5" customHeight="1">
      <c r="C5845" s="197"/>
      <c r="D5845" s="197"/>
      <c r="E5845" s="265"/>
    </row>
    <row r="5846" spans="2:6">
      <c r="D5846" s="23" t="s">
        <v>13816</v>
      </c>
      <c r="E5846" s="23">
        <f>VLOOKUP(E5844,dataCh1PromoPlansExp,2,FALSE)</f>
        <v>2</v>
      </c>
      <c r="F5846" s="23" t="s">
        <v>6113</v>
      </c>
    </row>
    <row r="5847" spans="2:6">
      <c r="D5847" s="23" t="s">
        <v>1719</v>
      </c>
      <c r="E5847" s="258">
        <f>VLOOKUP(E5844,dataCh1PromoPlansExp,3,FALSE)</f>
        <v>800000</v>
      </c>
      <c r="F5847" s="23" t="s">
        <v>6114</v>
      </c>
    </row>
    <row r="5849" spans="2:6">
      <c r="C5849" s="198" t="s">
        <v>13827</v>
      </c>
    </row>
    <row r="5850" spans="2:6">
      <c r="D5850" s="614" t="s">
        <v>5663</v>
      </c>
      <c r="E5850" s="89" t="str">
        <f>IF(calcCh1Prod1Slot2Active=1,decCh1Prod1Slot2Promo1Weeks,"No Promotion")</f>
        <v>No Promotion</v>
      </c>
    </row>
    <row r="5851" spans="2:6" ht="1.5" customHeight="1">
      <c r="C5851" s="197"/>
      <c r="D5851" s="197"/>
      <c r="E5851" s="265"/>
    </row>
    <row r="5852" spans="2:6">
      <c r="D5852" s="23" t="s">
        <v>13816</v>
      </c>
      <c r="E5852" s="614">
        <f>VLOOKUP(E5850,dataCh1PromoPlansExp,2,FALSE)</f>
        <v>0</v>
      </c>
      <c r="F5852" s="23" t="s">
        <v>6115</v>
      </c>
    </row>
    <row r="5853" spans="2:6">
      <c r="D5853" s="23" t="s">
        <v>1719</v>
      </c>
      <c r="E5853" s="641">
        <f>VLOOKUP(E5850,dataCh1PromoPlansExp,3,FALSE)</f>
        <v>0</v>
      </c>
      <c r="F5853" s="23" t="s">
        <v>6116</v>
      </c>
    </row>
    <row r="5855" spans="2:6">
      <c r="C5855" s="198" t="s">
        <v>13828</v>
      </c>
    </row>
    <row r="5856" spans="2:6">
      <c r="D5856" s="614" t="s">
        <v>5663</v>
      </c>
      <c r="E5856" s="89" t="str">
        <f>IF(calcCh1Prod1Slot3Active=1,decCh1Prod1Slot3Promo1Weeks,"No Promotion")</f>
        <v>No Promotion</v>
      </c>
    </row>
    <row r="5857" spans="3:6" ht="1.5" customHeight="1">
      <c r="C5857" s="197"/>
      <c r="D5857" s="632"/>
      <c r="E5857" s="265"/>
    </row>
    <row r="5858" spans="3:6">
      <c r="D5858" s="614" t="s">
        <v>13816</v>
      </c>
      <c r="E5858" s="614">
        <f>VLOOKUP(E5856,dataCh1PromoPlansExp,2,FALSE)</f>
        <v>0</v>
      </c>
      <c r="F5858" s="23" t="s">
        <v>6117</v>
      </c>
    </row>
    <row r="5859" spans="3:6">
      <c r="D5859" s="614" t="s">
        <v>1719</v>
      </c>
      <c r="E5859" s="641">
        <f>VLOOKUP(E5856,dataCh1PromoPlansExp,3,FALSE)</f>
        <v>0</v>
      </c>
      <c r="F5859" s="23" t="s">
        <v>6118</v>
      </c>
    </row>
    <row r="5860" spans="3:6">
      <c r="D5860" s="614"/>
    </row>
    <row r="5861" spans="3:6">
      <c r="C5861" s="198" t="s">
        <v>4729</v>
      </c>
      <c r="D5861" s="614"/>
    </row>
    <row r="5862" spans="3:6">
      <c r="D5862" s="614" t="s">
        <v>5663</v>
      </c>
      <c r="E5862" s="89">
        <f>IF(calcCh1Prod2Slot1Active=1,decCh1Prod2Slot1Promo1Weeks,"No Promotion")</f>
        <v>2</v>
      </c>
    </row>
    <row r="5863" spans="3:6" ht="1.5" customHeight="1">
      <c r="C5863" s="197"/>
      <c r="D5863" s="632"/>
      <c r="E5863" s="265"/>
    </row>
    <row r="5864" spans="3:6">
      <c r="D5864" s="614" t="s">
        <v>13816</v>
      </c>
      <c r="E5864" s="614">
        <f>VLOOKUP(E5862,dataCh1PromoPlansExp,2,FALSE)</f>
        <v>1</v>
      </c>
      <c r="F5864" s="23" t="s">
        <v>6119</v>
      </c>
    </row>
    <row r="5865" spans="3:6">
      <c r="D5865" s="614" t="s">
        <v>1719</v>
      </c>
      <c r="E5865" s="641">
        <f>VLOOKUP(E5862,dataCh1PromoPlansExp,3,FALSE)</f>
        <v>400000</v>
      </c>
      <c r="F5865" s="23" t="s">
        <v>6120</v>
      </c>
    </row>
    <row r="5867" spans="3:6">
      <c r="C5867" s="198" t="s">
        <v>13829</v>
      </c>
    </row>
    <row r="5868" spans="3:6">
      <c r="D5868" s="614" t="s">
        <v>5663</v>
      </c>
      <c r="E5868" s="89">
        <f>IF(calcCh1Prod2Slot2Active=1,decCh1Prod2Slot2Promo1Weeks,"No Promotion")</f>
        <v>3</v>
      </c>
    </row>
    <row r="5869" spans="3:6" ht="1.5" customHeight="1">
      <c r="C5869" s="197"/>
      <c r="D5869" s="632"/>
      <c r="E5869" s="265"/>
    </row>
    <row r="5870" spans="3:6">
      <c r="D5870" s="614" t="s">
        <v>13816</v>
      </c>
      <c r="E5870" s="614">
        <f>VLOOKUP(E5868,dataCh1PromoPlansExp,2,FALSE)</f>
        <v>1</v>
      </c>
      <c r="F5870" s="23" t="s">
        <v>6121</v>
      </c>
    </row>
    <row r="5871" spans="3:6">
      <c r="D5871" s="614" t="s">
        <v>1719</v>
      </c>
      <c r="E5871" s="641">
        <f>VLOOKUP(E5868,dataCh1PromoPlansExp,3,FALSE)</f>
        <v>600000</v>
      </c>
      <c r="F5871" s="23" t="s">
        <v>6122</v>
      </c>
    </row>
    <row r="5872" spans="3:6">
      <c r="D5872" s="614"/>
    </row>
    <row r="5873" spans="3:6">
      <c r="C5873" s="198" t="s">
        <v>13830</v>
      </c>
      <c r="D5873" s="614"/>
    </row>
    <row r="5874" spans="3:6">
      <c r="D5874" s="614" t="s">
        <v>5663</v>
      </c>
      <c r="E5874" s="89" t="str">
        <f>IF(calcCh1Prod2Slot3Active=1,decCh1Prod2Slot3Promo1Weeks,"No Promotion")</f>
        <v>No Promotion</v>
      </c>
    </row>
    <row r="5875" spans="3:6" ht="1.5" customHeight="1">
      <c r="C5875" s="197"/>
      <c r="D5875" s="632"/>
      <c r="E5875" s="265"/>
    </row>
    <row r="5876" spans="3:6">
      <c r="D5876" s="614" t="s">
        <v>13816</v>
      </c>
      <c r="E5876" s="614">
        <f>VLOOKUP(E5874,dataCh1PromoPlansExp,2,FALSE)</f>
        <v>0</v>
      </c>
      <c r="F5876" s="23" t="s">
        <v>6123</v>
      </c>
    </row>
    <row r="5877" spans="3:6">
      <c r="D5877" s="614" t="s">
        <v>1719</v>
      </c>
      <c r="E5877" s="641">
        <f>VLOOKUP(E5874,dataCh1PromoPlansExp,3,FALSE)</f>
        <v>0</v>
      </c>
      <c r="F5877" s="23" t="s">
        <v>6124</v>
      </c>
    </row>
    <row r="5879" spans="3:6">
      <c r="C5879" s="198" t="s">
        <v>8606</v>
      </c>
    </row>
    <row r="5880" spans="3:6">
      <c r="D5880" s="614" t="s">
        <v>5663</v>
      </c>
      <c r="E5880" s="89">
        <f>IF(calcCh1Prod3Slot1Active=1,decCh1Prod3Slot1Promo1Weeks,"No Promotion")</f>
        <v>2</v>
      </c>
    </row>
    <row r="5881" spans="3:6" ht="1.5" customHeight="1">
      <c r="C5881" s="197"/>
      <c r="D5881" s="632"/>
      <c r="E5881" s="265"/>
    </row>
    <row r="5882" spans="3:6">
      <c r="D5882" s="614" t="s">
        <v>13816</v>
      </c>
      <c r="E5882" s="614">
        <f>VLOOKUP(E5880,dataCh1PromoPlansExp,2,FALSE)</f>
        <v>1</v>
      </c>
      <c r="F5882" s="23" t="s">
        <v>6125</v>
      </c>
    </row>
    <row r="5883" spans="3:6">
      <c r="D5883" s="614" t="s">
        <v>1719</v>
      </c>
      <c r="E5883" s="641">
        <f>VLOOKUP(E5880,dataCh1PromoPlansExp,3,FALSE)</f>
        <v>400000</v>
      </c>
      <c r="F5883" s="23" t="s">
        <v>6126</v>
      </c>
    </row>
    <row r="5884" spans="3:6">
      <c r="D5884" s="614"/>
    </row>
    <row r="5885" spans="3:6">
      <c r="C5885" s="198" t="s">
        <v>13831</v>
      </c>
      <c r="D5885" s="614"/>
    </row>
    <row r="5886" spans="3:6">
      <c r="D5886" s="614" t="s">
        <v>5663</v>
      </c>
      <c r="E5886" s="89">
        <f>IF(calcCh1Prod3Slot2Active=1,decCh1Prod3Slot2Promo1Weeks,"No Promotion")</f>
        <v>3</v>
      </c>
    </row>
    <row r="5887" spans="3:6" ht="1.5" customHeight="1">
      <c r="C5887" s="197"/>
      <c r="D5887" s="632"/>
      <c r="E5887" s="265"/>
    </row>
    <row r="5888" spans="3:6">
      <c r="D5888" s="614" t="s">
        <v>13816</v>
      </c>
      <c r="E5888" s="614">
        <f>VLOOKUP(E5886,dataCh1PromoPlansExp,2,FALSE)</f>
        <v>1</v>
      </c>
      <c r="F5888" s="23" t="s">
        <v>6127</v>
      </c>
    </row>
    <row r="5889" spans="3:6">
      <c r="D5889" s="614" t="s">
        <v>1719</v>
      </c>
      <c r="E5889" s="641">
        <f>VLOOKUP(E5886,dataCh1PromoPlansExp,3,FALSE)</f>
        <v>600000</v>
      </c>
      <c r="F5889" s="23" t="s">
        <v>6128</v>
      </c>
    </row>
    <row r="5891" spans="3:6">
      <c r="C5891" s="198" t="s">
        <v>13832</v>
      </c>
    </row>
    <row r="5892" spans="3:6">
      <c r="D5892" s="614" t="s">
        <v>5663</v>
      </c>
      <c r="E5892" s="89" t="str">
        <f>IF(calcCh1Prod3Slot3Active=1,decCh1Prod3Slot3Promo1Weeks,"No Promotion")</f>
        <v>No Promotion</v>
      </c>
    </row>
    <row r="5893" spans="3:6" ht="1.5" customHeight="1">
      <c r="C5893" s="197"/>
      <c r="D5893" s="632"/>
      <c r="E5893" s="265"/>
    </row>
    <row r="5894" spans="3:6">
      <c r="D5894" s="614" t="s">
        <v>13816</v>
      </c>
      <c r="E5894" s="614">
        <f>VLOOKUP(E5892,dataCh1PromoPlansExp,2,FALSE)</f>
        <v>0</v>
      </c>
      <c r="F5894" s="23" t="s">
        <v>6129</v>
      </c>
    </row>
    <row r="5895" spans="3:6">
      <c r="D5895" s="614" t="s">
        <v>1719</v>
      </c>
      <c r="E5895" s="641">
        <f>VLOOKUP(E5892,dataCh1PromoPlansExp,3,FALSE)</f>
        <v>0</v>
      </c>
      <c r="F5895" s="23" t="s">
        <v>6130</v>
      </c>
    </row>
    <row r="5896" spans="3:6">
      <c r="D5896" s="614"/>
    </row>
    <row r="5897" spans="3:6">
      <c r="C5897" s="198" t="s">
        <v>13833</v>
      </c>
      <c r="D5897" s="614"/>
    </row>
    <row r="5898" spans="3:6">
      <c r="D5898" s="614" t="s">
        <v>5663</v>
      </c>
      <c r="E5898" s="89" t="str">
        <f>IF(calcCh1Prod4Slot1Active=1,decCh1Prod4Slot1Promo1Weeks,"No Promotion")</f>
        <v>No Promotion</v>
      </c>
    </row>
    <row r="5899" spans="3:6" ht="1.5" customHeight="1">
      <c r="C5899" s="197"/>
      <c r="D5899" s="632"/>
      <c r="E5899" s="265"/>
    </row>
    <row r="5900" spans="3:6">
      <c r="D5900" s="614" t="s">
        <v>13816</v>
      </c>
      <c r="E5900" s="614">
        <f>VLOOKUP(E5898,dataCh1PromoPlansExp,2,FALSE)</f>
        <v>0</v>
      </c>
      <c r="F5900" s="23" t="s">
        <v>6131</v>
      </c>
    </row>
    <row r="5901" spans="3:6">
      <c r="D5901" s="614" t="s">
        <v>1719</v>
      </c>
      <c r="E5901" s="641">
        <f>VLOOKUP(E5898,dataCh1PromoPlansExp,3,FALSE)</f>
        <v>0</v>
      </c>
      <c r="F5901" s="23" t="s">
        <v>6132</v>
      </c>
    </row>
    <row r="5903" spans="3:6">
      <c r="C5903" s="198" t="s">
        <v>13834</v>
      </c>
    </row>
    <row r="5904" spans="3:6">
      <c r="D5904" s="614" t="s">
        <v>5663</v>
      </c>
      <c r="E5904" s="89" t="str">
        <f>IF(calcCh1Prod4Slot2Active=1,decCh1Prod4Slot2Promo1Weeks,"No Promotion")</f>
        <v>No Promotion</v>
      </c>
    </row>
    <row r="5905" spans="2:6" ht="1.5" customHeight="1">
      <c r="C5905" s="197"/>
      <c r="D5905" s="632"/>
      <c r="E5905" s="265"/>
    </row>
    <row r="5906" spans="2:6">
      <c r="D5906" s="614" t="s">
        <v>13816</v>
      </c>
      <c r="E5906" s="614">
        <f>VLOOKUP(E5904,dataCh1PromoPlansExp,2,FALSE)</f>
        <v>0</v>
      </c>
      <c r="F5906" s="23" t="s">
        <v>6133</v>
      </c>
    </row>
    <row r="5907" spans="2:6">
      <c r="D5907" s="614" t="s">
        <v>1719</v>
      </c>
      <c r="E5907" s="641">
        <f>VLOOKUP(E5904,dataCh1PromoPlansExp,3,FALSE)</f>
        <v>0</v>
      </c>
      <c r="F5907" s="23" t="s">
        <v>6134</v>
      </c>
    </row>
    <row r="5908" spans="2:6">
      <c r="D5908" s="614"/>
    </row>
    <row r="5909" spans="2:6">
      <c r="C5909" s="198" t="s">
        <v>13835</v>
      </c>
      <c r="D5909" s="614"/>
    </row>
    <row r="5910" spans="2:6">
      <c r="D5910" s="614" t="s">
        <v>5663</v>
      </c>
      <c r="E5910" s="89" t="str">
        <f>IF(calcCh1Prod4Slot3Active=1,decCh1Prod4Slot3Promo1Weeks,"No Promotion")</f>
        <v>No Promotion</v>
      </c>
    </row>
    <row r="5911" spans="2:6" ht="1.5" customHeight="1">
      <c r="C5911" s="197"/>
      <c r="D5911" s="632"/>
      <c r="E5911" s="265"/>
    </row>
    <row r="5912" spans="2:6">
      <c r="D5912" s="614" t="s">
        <v>13816</v>
      </c>
      <c r="E5912" s="614">
        <f>VLOOKUP(E5910,dataCh1PromoPlansExp,2,FALSE)</f>
        <v>0</v>
      </c>
      <c r="F5912" s="23" t="s">
        <v>6135</v>
      </c>
    </row>
    <row r="5913" spans="2:6">
      <c r="D5913" s="614" t="s">
        <v>1719</v>
      </c>
      <c r="E5913" s="641">
        <f>VLOOKUP(E5910,dataCh1PromoPlansExp,3,FALSE)</f>
        <v>0</v>
      </c>
      <c r="F5913" s="23" t="s">
        <v>6136</v>
      </c>
    </row>
    <row r="5915" spans="2:6">
      <c r="C5915" s="198" t="s">
        <v>794</v>
      </c>
    </row>
    <row r="5916" spans="2:6">
      <c r="D5916" s="23" t="s">
        <v>13816</v>
      </c>
      <c r="E5916" s="23">
        <f>calcCh1Prod1Slot1Promo1PlanEmp1Req+calcCh1Prod1Slot2Promo1PlanEmp1Req+calcCh1Prod1Slot3Promo1PlanEmp1Req+calcCh1Prod2Slot1Promo1PlanEmp1Req+calcCh1Prod2Slot2Promo1PlanEmp1Req+calcCh1Prod2Slot3Promo1PlanEmp1Req+calcCh1Prod3Slot1Promo1PlanEmp1Req+calcCh1Prod3Slot2Promo1PlanEmp1Req+calcCh1Prod3Slot3Promo1PlanEmp1Req+calcCh1Prod4Slot1Promo1PlanEmp1Req+calcCh1Prod4Slot2Promo1PlanEmp1Req+calcCh1Prod4Slot3Promo1PlanEmp1Req</f>
        <v>6</v>
      </c>
      <c r="F5916" s="23" t="s">
        <v>6137</v>
      </c>
    </row>
    <row r="5917" spans="2:6">
      <c r="D5917" s="23" t="s">
        <v>1719</v>
      </c>
      <c r="E5917" s="258">
        <f>calcCh1Prod1Slot1Promo1PlanExp+calcCh1Prod1Slot2Promo1PlanExp+calcCh1Prod1Slot3Promo1PlanExp+calcCh1Prod2Slot1Promo1PlanExp+calcCh1Prod2Slot2Promo1PlanExp+calcCh1Prod2Slot3Promo1PlanExp+calcCh1Prod3Slot1Promo1PlanExp+calcCh1Prod3Slot2Promo1PlanExp+calcCh1Prod3Slot3Promo1PlanExp+calcCh1Prod4Slot1Promo1PlanExp+calcCh1Prod4Slot2Promo1PlanExp+calcCh1Prod4Slot3Promo1PlanExp</f>
        <v>2800000</v>
      </c>
      <c r="F5917" s="23" t="s">
        <v>6138</v>
      </c>
    </row>
    <row r="5918" spans="2:6">
      <c r="E5918" s="258"/>
    </row>
    <row r="5919" spans="2:6">
      <c r="B5919" s="633" t="s">
        <v>13948</v>
      </c>
    </row>
    <row r="5920" spans="2:6">
      <c r="C5920" s="198" t="s">
        <v>13069</v>
      </c>
    </row>
    <row r="5921" spans="3:6">
      <c r="D5921" s="614" t="s">
        <v>5663</v>
      </c>
      <c r="E5921" s="89">
        <f>IF(calcCh1Prod1Slot1Active=1,decCh1Prod1Slot1Promo2Weeks,"No Promotion")</f>
        <v>2</v>
      </c>
    </row>
    <row r="5922" spans="3:6" ht="1.5" customHeight="1">
      <c r="C5922" s="197"/>
      <c r="D5922" s="632"/>
      <c r="E5922" s="265"/>
    </row>
    <row r="5923" spans="3:6">
      <c r="D5923" s="614" t="s">
        <v>13816</v>
      </c>
      <c r="E5923" s="614">
        <f>VLOOKUP(E5921,dataCh1PromoPlansExp,2,FALSE)</f>
        <v>1</v>
      </c>
      <c r="F5923" s="23" t="s">
        <v>6191</v>
      </c>
    </row>
    <row r="5924" spans="3:6">
      <c r="D5924" s="614" t="s">
        <v>1719</v>
      </c>
      <c r="E5924" s="641">
        <f>VLOOKUP(E5921,dataCh1PromoPlansExp,3,FALSE)</f>
        <v>400000</v>
      </c>
      <c r="F5924" s="23" t="s">
        <v>6192</v>
      </c>
    </row>
    <row r="5925" spans="3:6">
      <c r="D5925" s="614"/>
    </row>
    <row r="5926" spans="3:6">
      <c r="C5926" s="198" t="s">
        <v>13827</v>
      </c>
      <c r="D5926" s="614"/>
    </row>
    <row r="5927" spans="3:6">
      <c r="D5927" s="614" t="s">
        <v>5663</v>
      </c>
      <c r="E5927" s="89" t="str">
        <f>IF(calcCh1Prod1Slot2Active=1,decCh1Prod1Slot2Promo2Weeks,"No Promotion")</f>
        <v>No Promotion</v>
      </c>
    </row>
    <row r="5928" spans="3:6" ht="1.5" customHeight="1">
      <c r="C5928" s="197"/>
      <c r="D5928" s="632"/>
      <c r="E5928" s="265"/>
    </row>
    <row r="5929" spans="3:6">
      <c r="D5929" s="614" t="s">
        <v>13816</v>
      </c>
      <c r="E5929" s="614">
        <f>VLOOKUP(E5927,dataCh1PromoPlansExp,2,FALSE)</f>
        <v>0</v>
      </c>
      <c r="F5929" s="23" t="s">
        <v>6193</v>
      </c>
    </row>
    <row r="5930" spans="3:6">
      <c r="D5930" s="614" t="s">
        <v>1719</v>
      </c>
      <c r="E5930" s="641">
        <f>VLOOKUP(E5927,dataCh1PromoPlansExp,3,FALSE)</f>
        <v>0</v>
      </c>
      <c r="F5930" s="23" t="s">
        <v>6194</v>
      </c>
    </row>
    <row r="5931" spans="3:6">
      <c r="D5931" s="614"/>
    </row>
    <row r="5932" spans="3:6">
      <c r="C5932" s="198" t="s">
        <v>13828</v>
      </c>
      <c r="D5932" s="614"/>
    </row>
    <row r="5933" spans="3:6">
      <c r="D5933" s="614" t="s">
        <v>5663</v>
      </c>
      <c r="E5933" s="89" t="str">
        <f>IF(calcCh1Prod1Slot3Active=1,decCh1Prod1Slot3Promo2Weeks,"No Promotion")</f>
        <v>No Promotion</v>
      </c>
    </row>
    <row r="5934" spans="3:6" ht="1.5" customHeight="1">
      <c r="C5934" s="197"/>
      <c r="D5934" s="632"/>
      <c r="E5934" s="265"/>
    </row>
    <row r="5935" spans="3:6">
      <c r="D5935" s="614" t="s">
        <v>13816</v>
      </c>
      <c r="E5935" s="614">
        <f>VLOOKUP(E5933,dataCh1PromoPlansExp,2,FALSE)</f>
        <v>0</v>
      </c>
      <c r="F5935" s="23" t="s">
        <v>6195</v>
      </c>
    </row>
    <row r="5936" spans="3:6">
      <c r="D5936" s="614" t="s">
        <v>1719</v>
      </c>
      <c r="E5936" s="641">
        <f>VLOOKUP(E5933,dataCh1PromoPlansExp,3,FALSE)</f>
        <v>0</v>
      </c>
      <c r="F5936" s="23" t="s">
        <v>6196</v>
      </c>
    </row>
    <row r="5937" spans="3:6">
      <c r="D5937" s="614"/>
    </row>
    <row r="5938" spans="3:6">
      <c r="C5938" s="198" t="s">
        <v>4729</v>
      </c>
      <c r="D5938" s="614"/>
    </row>
    <row r="5939" spans="3:6">
      <c r="D5939" s="614" t="s">
        <v>5663</v>
      </c>
      <c r="E5939" s="89">
        <f>IF(calcCh1Prod2Slot1Active=1,decCh1Prod2Slot1Promo2Weeks,"No Promotion")</f>
        <v>0</v>
      </c>
    </row>
    <row r="5940" spans="3:6" ht="1.5" customHeight="1">
      <c r="C5940" s="197"/>
      <c r="D5940" s="632"/>
      <c r="E5940" s="265"/>
    </row>
    <row r="5941" spans="3:6">
      <c r="D5941" s="614" t="s">
        <v>13816</v>
      </c>
      <c r="E5941" s="614">
        <f>VLOOKUP(E5939,dataCh1PromoPlansExp,2,FALSE)</f>
        <v>0</v>
      </c>
      <c r="F5941" s="23" t="s">
        <v>6197</v>
      </c>
    </row>
    <row r="5942" spans="3:6">
      <c r="D5942" s="614" t="s">
        <v>1719</v>
      </c>
      <c r="E5942" s="641">
        <f>VLOOKUP(E5939,dataCh1PromoPlansExp,3,FALSE)</f>
        <v>0</v>
      </c>
      <c r="F5942" s="23" t="s">
        <v>6198</v>
      </c>
    </row>
    <row r="5943" spans="3:6">
      <c r="D5943" s="614"/>
    </row>
    <row r="5944" spans="3:6">
      <c r="C5944" s="198" t="s">
        <v>13829</v>
      </c>
      <c r="D5944" s="614"/>
    </row>
    <row r="5945" spans="3:6">
      <c r="D5945" s="614" t="s">
        <v>5663</v>
      </c>
      <c r="E5945" s="89">
        <f>IF(calcCh1Prod2Slot2Active=1,decCh1Prod2Slot2Promo2Weeks,"No Promotion")</f>
        <v>2</v>
      </c>
    </row>
    <row r="5946" spans="3:6" ht="1.5" customHeight="1">
      <c r="C5946" s="197"/>
      <c r="D5946" s="632"/>
      <c r="E5946" s="265"/>
    </row>
    <row r="5947" spans="3:6">
      <c r="D5947" s="614" t="s">
        <v>13816</v>
      </c>
      <c r="E5947" s="614">
        <f>VLOOKUP(E5945,dataCh1PromoPlansExp,2,FALSE)</f>
        <v>1</v>
      </c>
      <c r="F5947" s="23" t="s">
        <v>6199</v>
      </c>
    </row>
    <row r="5948" spans="3:6">
      <c r="D5948" s="614" t="s">
        <v>1719</v>
      </c>
      <c r="E5948" s="641">
        <f>VLOOKUP(E5945,dataCh1PromoPlansExp,3,FALSE)</f>
        <v>400000</v>
      </c>
      <c r="F5948" s="23" t="s">
        <v>6200</v>
      </c>
    </row>
    <row r="5949" spans="3:6">
      <c r="D5949" s="614"/>
    </row>
    <row r="5950" spans="3:6">
      <c r="C5950" s="198" t="s">
        <v>13830</v>
      </c>
      <c r="D5950" s="614"/>
    </row>
    <row r="5951" spans="3:6">
      <c r="D5951" s="614" t="s">
        <v>5663</v>
      </c>
      <c r="E5951" s="89" t="str">
        <f>IF(calcCh1Prod2Slot3Active=1,decCh1Prod2Slot3Promo2Weeks,"No Promotion")</f>
        <v>No Promotion</v>
      </c>
    </row>
    <row r="5952" spans="3:6" ht="1.5" customHeight="1">
      <c r="C5952" s="197"/>
      <c r="D5952" s="632"/>
      <c r="E5952" s="265"/>
    </row>
    <row r="5953" spans="3:6">
      <c r="D5953" s="614" t="s">
        <v>13816</v>
      </c>
      <c r="E5953" s="614">
        <f>VLOOKUP(E5951,dataCh1PromoPlansExp,2,FALSE)</f>
        <v>0</v>
      </c>
      <c r="F5953" s="23" t="s">
        <v>6201</v>
      </c>
    </row>
    <row r="5954" spans="3:6">
      <c r="D5954" s="614" t="s">
        <v>1719</v>
      </c>
      <c r="E5954" s="641">
        <f>VLOOKUP(E5951,dataCh1PromoPlansExp,3,FALSE)</f>
        <v>0</v>
      </c>
      <c r="F5954" s="23" t="s">
        <v>6202</v>
      </c>
    </row>
    <row r="5956" spans="3:6">
      <c r="C5956" s="198" t="s">
        <v>8606</v>
      </c>
    </row>
    <row r="5957" spans="3:6">
      <c r="D5957" s="614" t="s">
        <v>5663</v>
      </c>
      <c r="E5957" s="89">
        <f>IF(calcCh1Prod3Slot1Active=1,decCh1Prod3Slot1Promo2Weeks,"No Promotion")</f>
        <v>0</v>
      </c>
    </row>
    <row r="5958" spans="3:6" ht="1.5" customHeight="1">
      <c r="C5958" s="197"/>
      <c r="D5958" s="632"/>
      <c r="E5958" s="265"/>
    </row>
    <row r="5959" spans="3:6">
      <c r="D5959" s="614" t="s">
        <v>13816</v>
      </c>
      <c r="E5959" s="614">
        <f>VLOOKUP(E5957,dataCh1PromoPlansExp,2,FALSE)</f>
        <v>0</v>
      </c>
      <c r="F5959" s="23" t="s">
        <v>6203</v>
      </c>
    </row>
    <row r="5960" spans="3:6">
      <c r="D5960" s="614" t="s">
        <v>1719</v>
      </c>
      <c r="E5960" s="641">
        <f>VLOOKUP(E5957,dataCh1PromoPlansExp,3,FALSE)</f>
        <v>0</v>
      </c>
      <c r="F5960" s="23" t="s">
        <v>6204</v>
      </c>
    </row>
    <row r="5961" spans="3:6">
      <c r="D5961" s="614"/>
    </row>
    <row r="5962" spans="3:6">
      <c r="C5962" s="198" t="s">
        <v>13831</v>
      </c>
      <c r="D5962" s="614"/>
    </row>
    <row r="5963" spans="3:6">
      <c r="D5963" s="614" t="s">
        <v>5663</v>
      </c>
      <c r="E5963" s="89">
        <f>IF(calcCh1Prod3Slot2Active=1,decCh1Prod3Slot2Promo2Weeks,"No Promotion")</f>
        <v>0</v>
      </c>
    </row>
    <row r="5964" spans="3:6" ht="1.5" customHeight="1">
      <c r="C5964" s="197"/>
      <c r="D5964" s="632"/>
      <c r="E5964" s="265"/>
    </row>
    <row r="5965" spans="3:6">
      <c r="D5965" s="614" t="s">
        <v>13816</v>
      </c>
      <c r="E5965" s="614">
        <f>VLOOKUP(E5963,dataCh1PromoPlansExp,2,FALSE)</f>
        <v>0</v>
      </c>
      <c r="F5965" s="23" t="s">
        <v>6205</v>
      </c>
    </row>
    <row r="5966" spans="3:6">
      <c r="D5966" s="614" t="s">
        <v>1719</v>
      </c>
      <c r="E5966" s="641">
        <f>VLOOKUP(E5963,dataCh1PromoPlansExp,3,FALSE)</f>
        <v>0</v>
      </c>
      <c r="F5966" s="23" t="s">
        <v>6206</v>
      </c>
    </row>
    <row r="5967" spans="3:6">
      <c r="D5967" s="614"/>
    </row>
    <row r="5968" spans="3:6">
      <c r="C5968" s="198" t="s">
        <v>13832</v>
      </c>
      <c r="D5968" s="614"/>
    </row>
    <row r="5969" spans="3:6">
      <c r="D5969" s="614" t="s">
        <v>5663</v>
      </c>
      <c r="E5969" s="89" t="str">
        <f>IF(calcCh1Prod3Slot3Active=1,decCh1Prod3Slot3Promo2Weeks,"No Promotion")</f>
        <v>No Promotion</v>
      </c>
    </row>
    <row r="5970" spans="3:6" ht="1.5" customHeight="1">
      <c r="C5970" s="197"/>
      <c r="D5970" s="632"/>
      <c r="E5970" s="265"/>
    </row>
    <row r="5971" spans="3:6">
      <c r="D5971" s="614" t="s">
        <v>13816</v>
      </c>
      <c r="E5971" s="614">
        <f>VLOOKUP(E5969,dataCh1PromoPlansExp,2,FALSE)</f>
        <v>0</v>
      </c>
      <c r="F5971" s="23" t="s">
        <v>6207</v>
      </c>
    </row>
    <row r="5972" spans="3:6">
      <c r="D5972" s="614" t="s">
        <v>1719</v>
      </c>
      <c r="E5972" s="641">
        <f>VLOOKUP(E5969,dataCh1PromoPlansExp,3,FALSE)</f>
        <v>0</v>
      </c>
      <c r="F5972" s="23" t="s">
        <v>6208</v>
      </c>
    </row>
    <row r="5973" spans="3:6">
      <c r="D5973" s="614"/>
    </row>
    <row r="5974" spans="3:6">
      <c r="C5974" s="198" t="s">
        <v>13833</v>
      </c>
      <c r="D5974" s="614"/>
    </row>
    <row r="5975" spans="3:6">
      <c r="D5975" s="614" t="s">
        <v>5663</v>
      </c>
      <c r="E5975" s="89" t="str">
        <f>IF(calcCh1Prod4Slot1Active=1,decCh1Prod4Slot1Promo2Weeks,"No Promotion")</f>
        <v>No Promotion</v>
      </c>
    </row>
    <row r="5976" spans="3:6" ht="1.5" customHeight="1">
      <c r="C5976" s="197"/>
      <c r="D5976" s="632"/>
      <c r="E5976" s="265"/>
    </row>
    <row r="5977" spans="3:6">
      <c r="D5977" s="614" t="s">
        <v>13816</v>
      </c>
      <c r="E5977" s="614">
        <f>VLOOKUP(E5975,dataCh1PromoPlansExp,2,FALSE)</f>
        <v>0</v>
      </c>
      <c r="F5977" s="23" t="s">
        <v>6209</v>
      </c>
    </row>
    <row r="5978" spans="3:6">
      <c r="D5978" s="614" t="s">
        <v>1719</v>
      </c>
      <c r="E5978" s="641">
        <f>VLOOKUP(E5975,dataCh1PromoPlansExp,3,FALSE)</f>
        <v>0</v>
      </c>
      <c r="F5978" s="23" t="s">
        <v>6210</v>
      </c>
    </row>
    <row r="5979" spans="3:6">
      <c r="D5979" s="614"/>
    </row>
    <row r="5980" spans="3:6">
      <c r="C5980" s="198" t="s">
        <v>13834</v>
      </c>
      <c r="D5980" s="614"/>
    </row>
    <row r="5981" spans="3:6">
      <c r="D5981" s="614" t="s">
        <v>5663</v>
      </c>
      <c r="E5981" s="89" t="str">
        <f>IF(calcCh1Prod4Slot2Active=1,decCh1Prod4Slot2Promo2Weeks,"No Promotion")</f>
        <v>No Promotion</v>
      </c>
    </row>
    <row r="5982" spans="3:6" ht="1.5" customHeight="1">
      <c r="C5982" s="197"/>
      <c r="D5982" s="632"/>
      <c r="E5982" s="265"/>
    </row>
    <row r="5983" spans="3:6">
      <c r="D5983" s="614" t="s">
        <v>13816</v>
      </c>
      <c r="E5983" s="614">
        <f>VLOOKUP(E5981,dataCh1PromoPlansExp,2,FALSE)</f>
        <v>0</v>
      </c>
      <c r="F5983" s="23" t="s">
        <v>6211</v>
      </c>
    </row>
    <row r="5984" spans="3:6">
      <c r="D5984" s="614" t="s">
        <v>1719</v>
      </c>
      <c r="E5984" s="641">
        <f>VLOOKUP(E5981,dataCh1PromoPlansExp,3,FALSE)</f>
        <v>0</v>
      </c>
      <c r="F5984" s="23" t="s">
        <v>6212</v>
      </c>
    </row>
    <row r="5985" spans="2:6">
      <c r="D5985" s="614"/>
    </row>
    <row r="5986" spans="2:6">
      <c r="C5986" s="198" t="s">
        <v>13835</v>
      </c>
      <c r="D5986" s="614"/>
    </row>
    <row r="5987" spans="2:6">
      <c r="D5987" s="614" t="s">
        <v>5663</v>
      </c>
      <c r="E5987" s="89" t="str">
        <f>IF(calcCh1Prod4Slot3Active=1,decCh1Prod4Slot3Promo2Weeks,"No Promotion")</f>
        <v>No Promotion</v>
      </c>
    </row>
    <row r="5988" spans="2:6" ht="1.5" customHeight="1">
      <c r="C5988" s="197"/>
      <c r="D5988" s="632"/>
      <c r="E5988" s="265"/>
    </row>
    <row r="5989" spans="2:6">
      <c r="D5989" s="614" t="s">
        <v>13816</v>
      </c>
      <c r="E5989" s="614">
        <f>VLOOKUP(E5987,dataCh1PromoPlansExp,2,FALSE)</f>
        <v>0</v>
      </c>
      <c r="F5989" s="23" t="s">
        <v>6213</v>
      </c>
    </row>
    <row r="5990" spans="2:6">
      <c r="D5990" s="614" t="s">
        <v>1719</v>
      </c>
      <c r="E5990" s="641">
        <f>VLOOKUP(E5987,dataCh1PromoPlansExp,3,FALSE)</f>
        <v>0</v>
      </c>
      <c r="F5990" s="23" t="s">
        <v>6214</v>
      </c>
    </row>
    <row r="5992" spans="2:6">
      <c r="C5992" s="198" t="s">
        <v>794</v>
      </c>
    </row>
    <row r="5993" spans="2:6">
      <c r="D5993" s="23" t="s">
        <v>13816</v>
      </c>
      <c r="E5993" s="23">
        <f>calcCh1Prod1Slot1Promo2PlanEmp1Req+calcCh1Prod1Slot2Promo2PlanEmp1Req+calcCh1Prod1Slot3Promo2PlanEmp1Req+calcCh1Prod2Slot1Promo2PlanEmp1Req+calcCh1Prod2Slot2Promo2PlanEmp1Req+calcCh1Prod2Slot3Promo2PlanEmp1Req+calcCh1Prod3Slot1Promo2PlanEmp1Req+calcCh1Prod3Slot2Promo2PlanEmp1Req+calcCh1Prod3Slot3Promo2PlanEmp1Req+calcCh1Prod4Slot1Promo2PlanEmp1Req+calcCh1Prod4Slot2Promo2PlanEmp1Req+calcCh1Prod4Slot3Promo2PlanEmp1Req</f>
        <v>2</v>
      </c>
      <c r="F5993" s="23" t="s">
        <v>6215</v>
      </c>
    </row>
    <row r="5994" spans="2:6">
      <c r="D5994" s="23" t="s">
        <v>1719</v>
      </c>
      <c r="E5994" s="258">
        <f>calcCh1Prod1Slot1Promo2PlanExp+calcCh1Prod1Slot2Promo2PlanExp+calcCh1Prod1Slot3Promo2PlanExp+calcCh1Prod2Slot1Promo2PlanExp+calcCh1Prod2Slot2Promo2PlanExp+calcCh1Prod2Slot3Promo2PlanExp+calcCh1Prod3Slot1Promo2PlanExp+calcCh1Prod3Slot2Promo2PlanExp+calcCh1Prod3Slot3Promo2PlanExp+calcCh1Prod4Slot1Promo2PlanExp+calcCh1Prod4Slot2Promo2PlanExp+calcCh1Prod4Slot3Promo2PlanExp</f>
        <v>800000</v>
      </c>
      <c r="F5994" s="23" t="s">
        <v>6216</v>
      </c>
    </row>
    <row r="5995" spans="2:6">
      <c r="E5995" s="258"/>
    </row>
    <row r="5996" spans="2:6">
      <c r="B5996" s="198" t="s">
        <v>5199</v>
      </c>
    </row>
    <row r="5997" spans="2:6">
      <c r="C5997" s="198" t="s">
        <v>13069</v>
      </c>
    </row>
    <row r="5998" spans="2:6">
      <c r="D5998" s="614" t="s">
        <v>5663</v>
      </c>
      <c r="E5998" s="89">
        <f>IF(calcCh3Prod1Slot1Active=1,decCh3Prod1Slot1Promo1Weeks,"No Promotion")</f>
        <v>2</v>
      </c>
    </row>
    <row r="5999" spans="2:6" ht="1.5" customHeight="1">
      <c r="C5999" s="197"/>
      <c r="D5999" s="632"/>
      <c r="E5999" s="265"/>
    </row>
    <row r="6000" spans="2:6">
      <c r="D6000" s="614" t="s">
        <v>13816</v>
      </c>
      <c r="E6000" s="614">
        <f>VLOOKUP(E5998,dataCh3PromoPlansExp,2,FALSE)</f>
        <v>1</v>
      </c>
      <c r="F6000" s="23" t="s">
        <v>6139</v>
      </c>
    </row>
    <row r="6001" spans="3:6">
      <c r="D6001" s="614" t="s">
        <v>1719</v>
      </c>
      <c r="E6001" s="641">
        <f>VLOOKUP(E5998,dataCh3PromoPlansExp,3,FALSE)</f>
        <v>400000</v>
      </c>
      <c r="F6001" s="23" t="s">
        <v>6140</v>
      </c>
    </row>
    <row r="6002" spans="3:6">
      <c r="D6002" s="614"/>
    </row>
    <row r="6003" spans="3:6">
      <c r="C6003" s="198" t="s">
        <v>13827</v>
      </c>
      <c r="D6003" s="614"/>
    </row>
    <row r="6004" spans="3:6">
      <c r="D6004" s="614" t="s">
        <v>5663</v>
      </c>
      <c r="E6004" s="89" t="str">
        <f>IF(calcCh3Prod1Slot2Active=1,decCh3Prod1Slot2Promo1Weeks,"No Promotion")</f>
        <v>No Promotion</v>
      </c>
    </row>
    <row r="6005" spans="3:6" ht="1.5" customHeight="1">
      <c r="C6005" s="197"/>
      <c r="D6005" s="632"/>
      <c r="E6005" s="265"/>
    </row>
    <row r="6006" spans="3:6">
      <c r="D6006" s="614" t="s">
        <v>13816</v>
      </c>
      <c r="E6006" s="614">
        <f>VLOOKUP(E6004,dataCh3PromoPlansExp,2,FALSE)</f>
        <v>0</v>
      </c>
      <c r="F6006" s="23" t="s">
        <v>6141</v>
      </c>
    </row>
    <row r="6007" spans="3:6">
      <c r="D6007" s="614" t="s">
        <v>1719</v>
      </c>
      <c r="E6007" s="641">
        <f>VLOOKUP(E6004,dataCh3PromoPlansExp,3,FALSE)</f>
        <v>0</v>
      </c>
      <c r="F6007" s="23" t="s">
        <v>6142</v>
      </c>
    </row>
    <row r="6008" spans="3:6">
      <c r="D6008" s="614"/>
    </row>
    <row r="6009" spans="3:6">
      <c r="C6009" s="198" t="s">
        <v>13828</v>
      </c>
      <c r="D6009" s="614"/>
    </row>
    <row r="6010" spans="3:6">
      <c r="D6010" s="614" t="s">
        <v>5663</v>
      </c>
      <c r="E6010" s="89" t="str">
        <f>IF(calcCh3Prod1Slot3Active=1,decCh3Prod1Slot3Promo1Weeks,"No Promotion")</f>
        <v>No Promotion</v>
      </c>
    </row>
    <row r="6011" spans="3:6" ht="1.5" customHeight="1">
      <c r="C6011" s="197"/>
      <c r="D6011" s="632"/>
      <c r="E6011" s="265"/>
    </row>
    <row r="6012" spans="3:6">
      <c r="D6012" s="614" t="s">
        <v>13816</v>
      </c>
      <c r="E6012" s="614">
        <f>VLOOKUP(E6010,dataCh3PromoPlansExp,2,FALSE)</f>
        <v>0</v>
      </c>
      <c r="F6012" s="23" t="s">
        <v>6143</v>
      </c>
    </row>
    <row r="6013" spans="3:6">
      <c r="D6013" s="614" t="s">
        <v>1719</v>
      </c>
      <c r="E6013" s="641">
        <f>VLOOKUP(E6010,dataCh3PromoPlansExp,3,FALSE)</f>
        <v>0</v>
      </c>
      <c r="F6013" s="23" t="s">
        <v>6144</v>
      </c>
    </row>
    <row r="6014" spans="3:6">
      <c r="D6014" s="614"/>
    </row>
    <row r="6015" spans="3:6">
      <c r="C6015" s="198" t="s">
        <v>4729</v>
      </c>
      <c r="D6015" s="614"/>
    </row>
    <row r="6016" spans="3:6">
      <c r="D6016" s="614" t="s">
        <v>5663</v>
      </c>
      <c r="E6016" s="89">
        <f>IF(calcCh3Prod2Slot1Active=1,decCh3Prod2Slot1Promo1Weeks,"No Promotion")</f>
        <v>2</v>
      </c>
    </row>
    <row r="6017" spans="3:6" ht="1.5" customHeight="1">
      <c r="C6017" s="197"/>
      <c r="D6017" s="632"/>
      <c r="E6017" s="265"/>
    </row>
    <row r="6018" spans="3:6">
      <c r="D6018" s="614" t="s">
        <v>13816</v>
      </c>
      <c r="E6018" s="614">
        <f>VLOOKUP(E6016,dataCh3PromoPlansExp,2,FALSE)</f>
        <v>1</v>
      </c>
      <c r="F6018" s="23" t="s">
        <v>6145</v>
      </c>
    </row>
    <row r="6019" spans="3:6">
      <c r="D6019" s="614" t="s">
        <v>1719</v>
      </c>
      <c r="E6019" s="641">
        <f>VLOOKUP(E6016,dataCh3PromoPlansExp,3,FALSE)</f>
        <v>400000</v>
      </c>
      <c r="F6019" s="23" t="s">
        <v>6146</v>
      </c>
    </row>
    <row r="6020" spans="3:6">
      <c r="D6020" s="614"/>
    </row>
    <row r="6021" spans="3:6">
      <c r="C6021" s="198" t="s">
        <v>13829</v>
      </c>
      <c r="D6021" s="614"/>
    </row>
    <row r="6022" spans="3:6">
      <c r="D6022" s="614" t="s">
        <v>5663</v>
      </c>
      <c r="E6022" s="89">
        <f>IF(calcCh3Prod2Slot2Active=1,decCh3Prod2Slot2Promo1Weeks,"No Promotion")</f>
        <v>2</v>
      </c>
    </row>
    <row r="6023" spans="3:6" ht="1.5" customHeight="1">
      <c r="C6023" s="197"/>
      <c r="D6023" s="632"/>
      <c r="E6023" s="265"/>
    </row>
    <row r="6024" spans="3:6">
      <c r="D6024" s="614" t="s">
        <v>13816</v>
      </c>
      <c r="E6024" s="614">
        <f>VLOOKUP(E6022,dataCh3PromoPlansExp,2,FALSE)</f>
        <v>1</v>
      </c>
      <c r="F6024" s="23" t="s">
        <v>6147</v>
      </c>
    </row>
    <row r="6025" spans="3:6">
      <c r="D6025" s="614" t="s">
        <v>1719</v>
      </c>
      <c r="E6025" s="641">
        <f>VLOOKUP(E6022,dataCh3PromoPlansExp,3,FALSE)</f>
        <v>400000</v>
      </c>
      <c r="F6025" s="23" t="s">
        <v>6148</v>
      </c>
    </row>
    <row r="6026" spans="3:6">
      <c r="D6026" s="614"/>
    </row>
    <row r="6027" spans="3:6">
      <c r="C6027" s="198" t="s">
        <v>13830</v>
      </c>
      <c r="D6027" s="614"/>
    </row>
    <row r="6028" spans="3:6">
      <c r="D6028" s="614" t="s">
        <v>5663</v>
      </c>
      <c r="E6028" s="89" t="str">
        <f>IF(calcCh3Prod2Slot3Active=1,decCh3Prod2Slot3Promo1Weeks,"No Promotion")</f>
        <v>No Promotion</v>
      </c>
    </row>
    <row r="6029" spans="3:6" ht="1.5" customHeight="1">
      <c r="C6029" s="197"/>
      <c r="D6029" s="632"/>
      <c r="E6029" s="265"/>
    </row>
    <row r="6030" spans="3:6">
      <c r="D6030" s="614" t="s">
        <v>13816</v>
      </c>
      <c r="E6030" s="614">
        <f>VLOOKUP(E6028,dataCh3PromoPlansExp,2,FALSE)</f>
        <v>0</v>
      </c>
      <c r="F6030" s="23" t="s">
        <v>6149</v>
      </c>
    </row>
    <row r="6031" spans="3:6">
      <c r="D6031" s="614" t="s">
        <v>1719</v>
      </c>
      <c r="E6031" s="641">
        <f>VLOOKUP(E6028,dataCh3PromoPlansExp,3,FALSE)</f>
        <v>0</v>
      </c>
      <c r="F6031" s="23" t="s">
        <v>6150</v>
      </c>
    </row>
    <row r="6033" spans="3:6">
      <c r="C6033" s="198" t="s">
        <v>8606</v>
      </c>
    </row>
    <row r="6034" spans="3:6">
      <c r="D6034" s="614" t="s">
        <v>5663</v>
      </c>
      <c r="E6034" s="89">
        <f>IF(calcCh3Prod3Slot1Active=1,decCh3Prod3Slot1Promo1Weeks,"No Promotion")</f>
        <v>3</v>
      </c>
    </row>
    <row r="6035" spans="3:6" ht="1.5" customHeight="1">
      <c r="C6035" s="197"/>
      <c r="D6035" s="632"/>
      <c r="E6035" s="265"/>
    </row>
    <row r="6036" spans="3:6">
      <c r="D6036" s="614" t="s">
        <v>13816</v>
      </c>
      <c r="E6036" s="614">
        <f>VLOOKUP(E6034,dataCh3PromoPlansExp,2,FALSE)</f>
        <v>1</v>
      </c>
      <c r="F6036" s="23" t="s">
        <v>6151</v>
      </c>
    </row>
    <row r="6037" spans="3:6">
      <c r="D6037" s="614" t="s">
        <v>1719</v>
      </c>
      <c r="E6037" s="641">
        <f>VLOOKUP(E6034,dataCh3PromoPlansExp,3,FALSE)</f>
        <v>600000</v>
      </c>
      <c r="F6037" s="23" t="s">
        <v>6152</v>
      </c>
    </row>
    <row r="6038" spans="3:6">
      <c r="D6038" s="614"/>
    </row>
    <row r="6039" spans="3:6">
      <c r="C6039" s="198" t="s">
        <v>13831</v>
      </c>
      <c r="D6039" s="614"/>
    </row>
    <row r="6040" spans="3:6">
      <c r="D6040" s="614" t="s">
        <v>5663</v>
      </c>
      <c r="E6040" s="89" t="str">
        <f>IF(calcCh3Prod3Slot2Active=1,decCh3Prod3Slot2Promo1Weeks,"No Promotion")</f>
        <v>No Promotion</v>
      </c>
    </row>
    <row r="6041" spans="3:6" ht="1.5" customHeight="1">
      <c r="C6041" s="197"/>
      <c r="D6041" s="632"/>
      <c r="E6041" s="265"/>
    </row>
    <row r="6042" spans="3:6">
      <c r="D6042" s="614" t="s">
        <v>13816</v>
      </c>
      <c r="E6042" s="614">
        <f>VLOOKUP(E6040,dataCh3PromoPlansExp,2,FALSE)</f>
        <v>0</v>
      </c>
      <c r="F6042" s="23" t="s">
        <v>6153</v>
      </c>
    </row>
    <row r="6043" spans="3:6">
      <c r="D6043" s="614" t="s">
        <v>1719</v>
      </c>
      <c r="E6043" s="641">
        <f>VLOOKUP(E6040,dataCh3PromoPlansExp,3,FALSE)</f>
        <v>0</v>
      </c>
      <c r="F6043" s="23" t="s">
        <v>6154</v>
      </c>
    </row>
    <row r="6044" spans="3:6">
      <c r="D6044" s="614"/>
    </row>
    <row r="6045" spans="3:6">
      <c r="C6045" s="198" t="s">
        <v>13832</v>
      </c>
      <c r="D6045" s="614"/>
    </row>
    <row r="6046" spans="3:6">
      <c r="D6046" s="614" t="s">
        <v>5663</v>
      </c>
      <c r="E6046" s="89" t="str">
        <f>IF(calcCh3Prod3Slot3Active=1,decCh3Prod3Slot3Promo1Weeks,"No Promotion")</f>
        <v>No Promotion</v>
      </c>
    </row>
    <row r="6047" spans="3:6" ht="1.5" customHeight="1">
      <c r="C6047" s="197"/>
      <c r="D6047" s="632"/>
      <c r="E6047" s="265"/>
    </row>
    <row r="6048" spans="3:6">
      <c r="D6048" s="614" t="s">
        <v>13816</v>
      </c>
      <c r="E6048" s="614">
        <f>VLOOKUP(E6046,dataCh3PromoPlansExp,2,FALSE)</f>
        <v>0</v>
      </c>
      <c r="F6048" s="23" t="s">
        <v>6155</v>
      </c>
    </row>
    <row r="6049" spans="3:6">
      <c r="D6049" s="614" t="s">
        <v>1719</v>
      </c>
      <c r="E6049" s="641">
        <f>VLOOKUP(E6046,dataCh3PromoPlansExp,3,FALSE)</f>
        <v>0</v>
      </c>
      <c r="F6049" s="23" t="s">
        <v>6156</v>
      </c>
    </row>
    <row r="6050" spans="3:6">
      <c r="D6050" s="614"/>
    </row>
    <row r="6051" spans="3:6">
      <c r="C6051" s="198" t="s">
        <v>13833</v>
      </c>
      <c r="D6051" s="614"/>
    </row>
    <row r="6052" spans="3:6">
      <c r="D6052" s="614" t="s">
        <v>5663</v>
      </c>
      <c r="E6052" s="89" t="str">
        <f>IF(calcCh3Prod4Slot1Active=1,decCh3Prod4Slot1Promo1Weeks,"No Promotion")</f>
        <v>No Promotion</v>
      </c>
    </row>
    <row r="6053" spans="3:6" ht="1.5" customHeight="1">
      <c r="C6053" s="197"/>
      <c r="D6053" s="632"/>
      <c r="E6053" s="265"/>
    </row>
    <row r="6054" spans="3:6">
      <c r="D6054" s="614" t="s">
        <v>13816</v>
      </c>
      <c r="E6054" s="614">
        <f>VLOOKUP(E6052,dataCh3PromoPlansExp,2,FALSE)</f>
        <v>0</v>
      </c>
      <c r="F6054" s="23" t="s">
        <v>6157</v>
      </c>
    </row>
    <row r="6055" spans="3:6">
      <c r="D6055" s="614" t="s">
        <v>1719</v>
      </c>
      <c r="E6055" s="641">
        <f>VLOOKUP(E6052,dataCh3PromoPlansExp,3,FALSE)</f>
        <v>0</v>
      </c>
      <c r="F6055" s="23" t="s">
        <v>6158</v>
      </c>
    </row>
    <row r="6056" spans="3:6">
      <c r="D6056" s="614"/>
    </row>
    <row r="6057" spans="3:6">
      <c r="C6057" s="198" t="s">
        <v>13834</v>
      </c>
      <c r="D6057" s="614"/>
    </row>
    <row r="6058" spans="3:6">
      <c r="D6058" s="614" t="s">
        <v>5663</v>
      </c>
      <c r="E6058" s="89" t="str">
        <f>IF(calcCh3Prod4Slot2Active=1,decCh3Prod4Slot2Promo1Weeks,"No Promotion")</f>
        <v>No Promotion</v>
      </c>
    </row>
    <row r="6059" spans="3:6" ht="1.5" customHeight="1">
      <c r="C6059" s="197"/>
      <c r="D6059" s="632"/>
      <c r="E6059" s="265"/>
    </row>
    <row r="6060" spans="3:6">
      <c r="D6060" s="614" t="s">
        <v>13816</v>
      </c>
      <c r="E6060" s="614">
        <f>VLOOKUP(E6058,dataCh3PromoPlansExp,2,FALSE)</f>
        <v>0</v>
      </c>
      <c r="F6060" s="23" t="s">
        <v>6159</v>
      </c>
    </row>
    <row r="6061" spans="3:6">
      <c r="D6061" s="614" t="s">
        <v>1719</v>
      </c>
      <c r="E6061" s="641">
        <f>VLOOKUP(E6058,dataCh3PromoPlansExp,3,FALSE)</f>
        <v>0</v>
      </c>
      <c r="F6061" s="23" t="s">
        <v>6160</v>
      </c>
    </row>
    <row r="6062" spans="3:6">
      <c r="D6062" s="614"/>
    </row>
    <row r="6063" spans="3:6">
      <c r="C6063" s="198" t="s">
        <v>13835</v>
      </c>
      <c r="D6063" s="614"/>
    </row>
    <row r="6064" spans="3:6">
      <c r="D6064" s="614" t="s">
        <v>5663</v>
      </c>
      <c r="E6064" s="89" t="str">
        <f>IF(calcCh3Prod4Slot3Active=1,decCh3Prod4Slot3Promo1Weeks,"No Promotion")</f>
        <v>No Promotion</v>
      </c>
    </row>
    <row r="6065" spans="2:6" ht="1.5" customHeight="1">
      <c r="C6065" s="197"/>
      <c r="D6065" s="632"/>
      <c r="E6065" s="265"/>
    </row>
    <row r="6066" spans="2:6">
      <c r="D6066" s="614" t="s">
        <v>13816</v>
      </c>
      <c r="E6066" s="614">
        <f>VLOOKUP(E6064,dataCh3PromoPlansExp,2,FALSE)</f>
        <v>0</v>
      </c>
      <c r="F6066" s="23" t="s">
        <v>6161</v>
      </c>
    </row>
    <row r="6067" spans="2:6">
      <c r="D6067" s="614" t="s">
        <v>1719</v>
      </c>
      <c r="E6067" s="641">
        <f>VLOOKUP(E6064,dataCh3PromoPlansExp,3,FALSE)</f>
        <v>0</v>
      </c>
      <c r="F6067" s="23" t="s">
        <v>6162</v>
      </c>
    </row>
    <row r="6069" spans="2:6">
      <c r="C6069" s="198" t="s">
        <v>794</v>
      </c>
    </row>
    <row r="6070" spans="2:6">
      <c r="D6070" s="23" t="s">
        <v>13816</v>
      </c>
      <c r="E6070" s="23">
        <f>calcCh3Prod1Slot1Promo1PlanEmp1Req+calcCh3Prod1Slot2Promo1PlanEmp1Req+calcCh3Prod1Slot3Promo1PlanEmp1Req+calcCh3Prod2Slot1Promo1PlanEmp1Req+calcCh3Prod2Slot2Promo1PlanEmp1Req+calcCh3Prod2Slot3Promo1PlanEmp1Req+calcCh3Prod3Slot1Promo1PlanEmp1Req+calcCh3Prod3Slot2Promo1PlanEmp1Req+calcCh3Prod3Slot3Promo1PlanEmp1Req+calcCh3Prod4Slot1Promo1PlanEmp1Req+calcCh3Prod4Slot2Promo1PlanEmp1Req+calcCh3Prod4Slot3Promo1PlanEmp1Req</f>
        <v>4</v>
      </c>
      <c r="F6070" s="23" t="s">
        <v>6163</v>
      </c>
    </row>
    <row r="6071" spans="2:6">
      <c r="D6071" s="23" t="s">
        <v>1719</v>
      </c>
      <c r="E6071" s="258">
        <f>calcCh3Prod1Slot1Promo1PlanExp+calcCh3Prod1Slot2Promo1PlanExp+calcCh3Prod1Slot3Promo1PlanExp+calcCh3Prod2Slot1Promo1PlanExp+calcCh3Prod2Slot2Promo1PlanExp+calcCh3Prod2Slot3Promo1PlanExp+calcCh3Prod3Slot1Promo1PlanExp+calcCh3Prod3Slot2Promo1PlanExp+calcCh3Prod3Slot3Promo1PlanExp+calcCh3Prod4Slot1Promo1PlanExp+calcCh3Prod4Slot2Promo1PlanExp+calcCh3Prod4Slot3Promo1PlanExp</f>
        <v>1800000</v>
      </c>
      <c r="F6071" s="23" t="s">
        <v>6164</v>
      </c>
    </row>
    <row r="6072" spans="2:6">
      <c r="E6072" s="258"/>
    </row>
    <row r="6073" spans="2:6">
      <c r="B6073" s="198" t="s">
        <v>246</v>
      </c>
    </row>
    <row r="6074" spans="2:6">
      <c r="C6074" s="198" t="s">
        <v>13069</v>
      </c>
    </row>
    <row r="6075" spans="2:6">
      <c r="D6075" s="614" t="s">
        <v>5663</v>
      </c>
      <c r="E6075" s="89">
        <f>IF(calcCh4Prod1Slot1Active=1,decCh4Prod1Slot1Promo1Weeks,"No Promotion")</f>
        <v>4</v>
      </c>
    </row>
    <row r="6076" spans="2:6" ht="1.5" customHeight="1">
      <c r="C6076" s="197"/>
      <c r="D6076" s="632"/>
      <c r="E6076" s="265"/>
    </row>
    <row r="6077" spans="2:6">
      <c r="D6077" s="614" t="s">
        <v>13816</v>
      </c>
      <c r="E6077" s="614">
        <f>VLOOKUP(E6075,dataCh4PromoPlansExp,2,FALSE)</f>
        <v>2</v>
      </c>
      <c r="F6077" s="23" t="s">
        <v>6165</v>
      </c>
    </row>
    <row r="6078" spans="2:6">
      <c r="D6078" s="614" t="s">
        <v>1719</v>
      </c>
      <c r="E6078" s="641">
        <f>VLOOKUP(E6075,dataCh4PromoPlansExp,3,FALSE)</f>
        <v>800000</v>
      </c>
      <c r="F6078" s="23" t="s">
        <v>6166</v>
      </c>
    </row>
    <row r="6079" spans="2:6">
      <c r="D6079" s="614"/>
    </row>
    <row r="6080" spans="2:6">
      <c r="C6080" s="198" t="s">
        <v>13827</v>
      </c>
      <c r="D6080" s="614"/>
    </row>
    <row r="6081" spans="3:6">
      <c r="D6081" s="614" t="s">
        <v>5663</v>
      </c>
      <c r="E6081" s="89" t="str">
        <f>IF(calcCh4Prod1Slot2Active=1,decCh4Prod1Slot2Promo1Weeks,"No Promotion")</f>
        <v>No Promotion</v>
      </c>
    </row>
    <row r="6082" spans="3:6" ht="1.5" customHeight="1">
      <c r="C6082" s="197"/>
      <c r="D6082" s="632"/>
      <c r="E6082" s="265"/>
    </row>
    <row r="6083" spans="3:6">
      <c r="D6083" s="614" t="s">
        <v>13816</v>
      </c>
      <c r="E6083" s="614">
        <f>VLOOKUP(E6081,dataCh4PromoPlansExp,2,FALSE)</f>
        <v>0</v>
      </c>
      <c r="F6083" s="23" t="s">
        <v>6167</v>
      </c>
    </row>
    <row r="6084" spans="3:6">
      <c r="D6084" s="614" t="s">
        <v>1719</v>
      </c>
      <c r="E6084" s="641">
        <f>VLOOKUP(E6081,dataCh4PromoPlansExp,3,FALSE)</f>
        <v>0</v>
      </c>
      <c r="F6084" s="23" t="s">
        <v>6168</v>
      </c>
    </row>
    <row r="6085" spans="3:6">
      <c r="D6085" s="614"/>
    </row>
    <row r="6086" spans="3:6">
      <c r="C6086" s="198" t="s">
        <v>13828</v>
      </c>
      <c r="D6086" s="614"/>
    </row>
    <row r="6087" spans="3:6">
      <c r="D6087" s="614" t="s">
        <v>5663</v>
      </c>
      <c r="E6087" s="89" t="str">
        <f>IF(calcCh4Prod1Slot3Active=1,decCh4Prod1Slot3Promo1Weeks,"No Promotion")</f>
        <v>No Promotion</v>
      </c>
    </row>
    <row r="6088" spans="3:6" ht="1.5" customHeight="1">
      <c r="C6088" s="197"/>
      <c r="D6088" s="632"/>
      <c r="E6088" s="265"/>
    </row>
    <row r="6089" spans="3:6">
      <c r="D6089" s="614" t="s">
        <v>13816</v>
      </c>
      <c r="E6089" s="614">
        <f>VLOOKUP(E6087,dataCh4PromoPlansExp,2,FALSE)</f>
        <v>0</v>
      </c>
      <c r="F6089" s="23" t="s">
        <v>6169</v>
      </c>
    </row>
    <row r="6090" spans="3:6">
      <c r="D6090" s="614" t="s">
        <v>1719</v>
      </c>
      <c r="E6090" s="641">
        <f>VLOOKUP(E6087,dataCh4PromoPlansExp,3,FALSE)</f>
        <v>0</v>
      </c>
      <c r="F6090" s="23" t="s">
        <v>6170</v>
      </c>
    </row>
    <row r="6091" spans="3:6">
      <c r="D6091" s="614"/>
    </row>
    <row r="6092" spans="3:6">
      <c r="C6092" s="198" t="s">
        <v>4729</v>
      </c>
      <c r="D6092" s="614"/>
    </row>
    <row r="6093" spans="3:6">
      <c r="D6093" s="614" t="s">
        <v>5663</v>
      </c>
      <c r="E6093" s="89">
        <f>IF(calcCh4Prod2Slot1Active=1,decCh4Prod2Slot1Promo1Weeks,"No Promotion")</f>
        <v>8</v>
      </c>
    </row>
    <row r="6094" spans="3:6" ht="1.5" customHeight="1">
      <c r="C6094" s="197"/>
      <c r="D6094" s="632"/>
      <c r="E6094" s="265"/>
    </row>
    <row r="6095" spans="3:6">
      <c r="D6095" s="614" t="s">
        <v>13816</v>
      </c>
      <c r="E6095" s="614">
        <f>VLOOKUP(E6093,dataCh4PromoPlansExp,2,FALSE)</f>
        <v>3</v>
      </c>
      <c r="F6095" s="23" t="s">
        <v>6171</v>
      </c>
    </row>
    <row r="6096" spans="3:6">
      <c r="D6096" s="614" t="s">
        <v>1719</v>
      </c>
      <c r="E6096" s="641">
        <f>VLOOKUP(E6093,dataCh4PromoPlansExp,3,FALSE)</f>
        <v>1600000</v>
      </c>
      <c r="F6096" s="23" t="s">
        <v>6172</v>
      </c>
    </row>
    <row r="6097" spans="3:6">
      <c r="D6097" s="614"/>
    </row>
    <row r="6098" spans="3:6">
      <c r="C6098" s="198" t="s">
        <v>13829</v>
      </c>
      <c r="D6098" s="614"/>
    </row>
    <row r="6099" spans="3:6">
      <c r="D6099" s="614" t="s">
        <v>5663</v>
      </c>
      <c r="E6099" s="89" t="str">
        <f>IF(calcCh4Prod2Slot2Active=1,decCh4Prod2Slot2Promo1Weeks,"No Promotion")</f>
        <v>No Promotion</v>
      </c>
    </row>
    <row r="6100" spans="3:6" ht="1.5" customHeight="1">
      <c r="C6100" s="197"/>
      <c r="D6100" s="632"/>
      <c r="E6100" s="265"/>
    </row>
    <row r="6101" spans="3:6">
      <c r="D6101" s="614" t="s">
        <v>13816</v>
      </c>
      <c r="E6101" s="614">
        <f>VLOOKUP(E6099,dataCh4PromoPlansExp,2,FALSE)</f>
        <v>0</v>
      </c>
      <c r="F6101" s="23" t="s">
        <v>6173</v>
      </c>
    </row>
    <row r="6102" spans="3:6">
      <c r="D6102" s="614" t="s">
        <v>1719</v>
      </c>
      <c r="E6102" s="641">
        <f>VLOOKUP(E6099,dataCh4PromoPlansExp,3,FALSE)</f>
        <v>0</v>
      </c>
      <c r="F6102" s="23" t="s">
        <v>6174</v>
      </c>
    </row>
    <row r="6103" spans="3:6">
      <c r="D6103" s="614"/>
    </row>
    <row r="6104" spans="3:6">
      <c r="C6104" s="198" t="s">
        <v>13830</v>
      </c>
      <c r="D6104" s="614"/>
    </row>
    <row r="6105" spans="3:6">
      <c r="D6105" s="614" t="s">
        <v>5663</v>
      </c>
      <c r="E6105" s="89" t="str">
        <f>IF(calcCh4Prod2Slot3Active=1,decCh4Prod2Slot3Promo1Weeks,"No Promotion")</f>
        <v>No Promotion</v>
      </c>
    </row>
    <row r="6106" spans="3:6" ht="1.5" customHeight="1">
      <c r="C6106" s="197"/>
      <c r="D6106" s="632"/>
      <c r="E6106" s="265"/>
    </row>
    <row r="6107" spans="3:6">
      <c r="D6107" s="614" t="s">
        <v>13816</v>
      </c>
      <c r="E6107" s="614">
        <f>VLOOKUP(E6105,dataCh4PromoPlansExp,2,FALSE)</f>
        <v>0</v>
      </c>
      <c r="F6107" s="23" t="s">
        <v>6175</v>
      </c>
    </row>
    <row r="6108" spans="3:6">
      <c r="D6108" s="614" t="s">
        <v>1719</v>
      </c>
      <c r="E6108" s="641">
        <f>VLOOKUP(E6105,dataCh4PromoPlansExp,3,FALSE)</f>
        <v>0</v>
      </c>
      <c r="F6108" s="23" t="s">
        <v>6176</v>
      </c>
    </row>
    <row r="6110" spans="3:6">
      <c r="C6110" s="198" t="s">
        <v>8606</v>
      </c>
    </row>
    <row r="6111" spans="3:6">
      <c r="D6111" s="614" t="s">
        <v>5663</v>
      </c>
      <c r="E6111" s="89">
        <f>IF(calcCh4Prod3Slot1Active=1,decCh4Prod3Slot1Promo1Weeks,"No Promotion")</f>
        <v>0</v>
      </c>
    </row>
    <row r="6112" spans="3:6" ht="1.5" customHeight="1">
      <c r="C6112" s="197"/>
      <c r="D6112" s="632"/>
      <c r="E6112" s="265"/>
    </row>
    <row r="6113" spans="3:6">
      <c r="D6113" s="614" t="s">
        <v>13816</v>
      </c>
      <c r="E6113" s="614">
        <f>VLOOKUP(E6111,dataCh4PromoPlansExp,2,FALSE)</f>
        <v>0</v>
      </c>
      <c r="F6113" s="23" t="s">
        <v>6177</v>
      </c>
    </row>
    <row r="6114" spans="3:6">
      <c r="D6114" s="614" t="s">
        <v>1719</v>
      </c>
      <c r="E6114" s="641">
        <f>VLOOKUP(E6111,dataCh4PromoPlansExp,3,FALSE)</f>
        <v>0</v>
      </c>
      <c r="F6114" s="23" t="s">
        <v>6178</v>
      </c>
    </row>
    <row r="6115" spans="3:6">
      <c r="D6115" s="614"/>
    </row>
    <row r="6116" spans="3:6">
      <c r="C6116" s="198" t="s">
        <v>13831</v>
      </c>
      <c r="D6116" s="614"/>
    </row>
    <row r="6117" spans="3:6">
      <c r="D6117" s="614" t="s">
        <v>5663</v>
      </c>
      <c r="E6117" s="89" t="str">
        <f>IF(calcCh4Prod3Slot2Active=1,decCh4Prod3Slot2Promo1Weeks,"No Promotion")</f>
        <v>No Promotion</v>
      </c>
    </row>
    <row r="6118" spans="3:6" ht="1.5" customHeight="1">
      <c r="C6118" s="197"/>
      <c r="D6118" s="632"/>
      <c r="E6118" s="265"/>
    </row>
    <row r="6119" spans="3:6">
      <c r="D6119" s="614" t="s">
        <v>13816</v>
      </c>
      <c r="E6119" s="614">
        <f>VLOOKUP(E6117,dataCh4PromoPlansExp,2,FALSE)</f>
        <v>0</v>
      </c>
      <c r="F6119" s="23" t="s">
        <v>6179</v>
      </c>
    </row>
    <row r="6120" spans="3:6">
      <c r="D6120" s="614" t="s">
        <v>1719</v>
      </c>
      <c r="E6120" s="641">
        <f>VLOOKUP(E6117,dataCh4PromoPlansExp,3,FALSE)</f>
        <v>0</v>
      </c>
      <c r="F6120" s="23" t="s">
        <v>6180</v>
      </c>
    </row>
    <row r="6121" spans="3:6">
      <c r="D6121" s="614"/>
    </row>
    <row r="6122" spans="3:6">
      <c r="C6122" s="198" t="s">
        <v>13832</v>
      </c>
      <c r="D6122" s="614"/>
    </row>
    <row r="6123" spans="3:6">
      <c r="D6123" s="614" t="s">
        <v>5663</v>
      </c>
      <c r="E6123" s="89" t="str">
        <f>IF(calcCh4Prod3Slot3Active=1,decCh4Prod3Slot3Promo1Weeks,"No Promotion")</f>
        <v>No Promotion</v>
      </c>
    </row>
    <row r="6124" spans="3:6" ht="1.5" customHeight="1">
      <c r="C6124" s="197"/>
      <c r="D6124" s="632"/>
      <c r="E6124" s="265"/>
    </row>
    <row r="6125" spans="3:6">
      <c r="D6125" s="614" t="s">
        <v>13816</v>
      </c>
      <c r="E6125" s="614">
        <f>VLOOKUP(E6123,dataCh4PromoPlansExp,2,FALSE)</f>
        <v>0</v>
      </c>
      <c r="F6125" s="23" t="s">
        <v>6181</v>
      </c>
    </row>
    <row r="6126" spans="3:6">
      <c r="D6126" s="614" t="s">
        <v>1719</v>
      </c>
      <c r="E6126" s="641">
        <f>VLOOKUP(E6123,dataCh4PromoPlansExp,3,FALSE)</f>
        <v>0</v>
      </c>
      <c r="F6126" s="23" t="s">
        <v>6182</v>
      </c>
    </row>
    <row r="6127" spans="3:6">
      <c r="D6127" s="614"/>
    </row>
    <row r="6128" spans="3:6">
      <c r="C6128" s="198" t="s">
        <v>13833</v>
      </c>
      <c r="D6128" s="614"/>
    </row>
    <row r="6129" spans="3:6">
      <c r="D6129" s="614" t="s">
        <v>5663</v>
      </c>
      <c r="E6129" s="89">
        <f>IF(calcCh4Prod4Slot1Active=1,decCh4Prod4Slot1Promo1Weeks,"No Promotion")</f>
        <v>2</v>
      </c>
    </row>
    <row r="6130" spans="3:6" ht="1.5" customHeight="1">
      <c r="C6130" s="197"/>
      <c r="D6130" s="632"/>
      <c r="E6130" s="265"/>
    </row>
    <row r="6131" spans="3:6">
      <c r="D6131" s="614" t="s">
        <v>13816</v>
      </c>
      <c r="E6131" s="614">
        <f>VLOOKUP(E6129,dataCh4PromoPlansExp,2,FALSE)</f>
        <v>1</v>
      </c>
      <c r="F6131" s="23" t="s">
        <v>6183</v>
      </c>
    </row>
    <row r="6132" spans="3:6">
      <c r="D6132" s="614" t="s">
        <v>1719</v>
      </c>
      <c r="E6132" s="641">
        <f>VLOOKUP(E6129,dataCh4PromoPlansExp,3,FALSE)</f>
        <v>400000</v>
      </c>
      <c r="F6132" s="23" t="s">
        <v>6184</v>
      </c>
    </row>
    <row r="6133" spans="3:6">
      <c r="D6133" s="614"/>
    </row>
    <row r="6134" spans="3:6">
      <c r="C6134" s="198" t="s">
        <v>13834</v>
      </c>
      <c r="D6134" s="614"/>
    </row>
    <row r="6135" spans="3:6">
      <c r="D6135" s="614" t="s">
        <v>5663</v>
      </c>
      <c r="E6135" s="89" t="str">
        <f>IF(calcCh4Prod4Slot2Active=1,decCh4Prod4Slot2Promo1Weeks,"No Promotion")</f>
        <v>No Promotion</v>
      </c>
    </row>
    <row r="6136" spans="3:6" ht="1.5" customHeight="1">
      <c r="C6136" s="197"/>
      <c r="D6136" s="632"/>
      <c r="E6136" s="265"/>
    </row>
    <row r="6137" spans="3:6">
      <c r="D6137" s="614" t="s">
        <v>13816</v>
      </c>
      <c r="E6137" s="614">
        <f>VLOOKUP(E6135,dataCh4PromoPlansExp,2,FALSE)</f>
        <v>0</v>
      </c>
      <c r="F6137" s="23" t="s">
        <v>6185</v>
      </c>
    </row>
    <row r="6138" spans="3:6">
      <c r="D6138" s="614" t="s">
        <v>1719</v>
      </c>
      <c r="E6138" s="641">
        <f>VLOOKUP(E6135,dataCh4PromoPlansExp,3,FALSE)</f>
        <v>0</v>
      </c>
      <c r="F6138" s="23" t="s">
        <v>6186</v>
      </c>
    </row>
    <row r="6139" spans="3:6">
      <c r="D6139" s="614"/>
    </row>
    <row r="6140" spans="3:6">
      <c r="C6140" s="198" t="s">
        <v>13835</v>
      </c>
      <c r="D6140" s="614"/>
    </row>
    <row r="6141" spans="3:6">
      <c r="D6141" s="614" t="s">
        <v>5663</v>
      </c>
      <c r="E6141" s="89" t="str">
        <f>IF(calcCh4Prod4Slot3Active=1,decCh4Prod4Slot3Promo1Weeks,"No Promotion")</f>
        <v>No Promotion</v>
      </c>
    </row>
    <row r="6142" spans="3:6" ht="1.5" customHeight="1">
      <c r="C6142" s="197"/>
      <c r="D6142" s="632"/>
      <c r="E6142" s="265"/>
    </row>
    <row r="6143" spans="3:6">
      <c r="D6143" s="614" t="s">
        <v>13816</v>
      </c>
      <c r="E6143" s="614">
        <f>VLOOKUP(E6141,dataCh4PromoPlansExp,2,FALSE)</f>
        <v>0</v>
      </c>
      <c r="F6143" s="23" t="s">
        <v>6187</v>
      </c>
    </row>
    <row r="6144" spans="3:6">
      <c r="D6144" s="614" t="s">
        <v>1719</v>
      </c>
      <c r="E6144" s="641">
        <f>VLOOKUP(E6141,dataCh4PromoPlansExp,3,FALSE)</f>
        <v>0</v>
      </c>
      <c r="F6144" s="23" t="s">
        <v>6188</v>
      </c>
    </row>
    <row r="6146" spans="1:6">
      <c r="C6146" s="198" t="s">
        <v>794</v>
      </c>
    </row>
    <row r="6147" spans="1:6">
      <c r="D6147" s="23" t="s">
        <v>13816</v>
      </c>
      <c r="E6147" s="23">
        <f>calcCh4Prod1Slot1Promo1PlanEmp1Req+calcCh4Prod1Slot2Promo1PlanEmp1Req+calcCh4Prod1Slot3Promo1PlanEmp1Req+calcCh4Prod2Slot1Promo1PlanEmp1Req+calcCh4Prod2Slot2Promo1PlanEmp1Req+calcCh4Prod2Slot3Promo1PlanEmp1Req+calcCh4Prod3Slot1Promo1PlanEmp1Req+calcCh4Prod3Slot2Promo1PlanEmp1Req+calcCh4Prod3Slot3Promo1PlanEmp1Req+calcCh4Prod4Slot1Promo1PlanEmp1Req+calcCh4Prod4Slot2Promo1PlanEmp1Req+calcCh4Prod4Slot3Promo1PlanEmp1Req</f>
        <v>6</v>
      </c>
      <c r="F6147" s="23" t="s">
        <v>6189</v>
      </c>
    </row>
    <row r="6148" spans="1:6">
      <c r="D6148" s="23" t="s">
        <v>1719</v>
      </c>
      <c r="E6148" s="258">
        <f>calcCh4Prod1Slot1Promo1PlanExp+calcCh4Prod1Slot2Promo1PlanExp+calcCh4Prod1Slot3Promo1PlanExp+calcCh4Prod2Slot1Promo1PlanExp+calcCh4Prod2Slot2Promo1PlanExp+calcCh4Prod2Slot3Promo1PlanExp+calcCh4Prod3Slot1Promo1PlanExp+calcCh4Prod3Slot2Promo1PlanExp+calcCh4Prod3Slot3Promo1PlanExp+calcCh4Prod4Slot1Promo1PlanExp+calcCh4Prod4Slot2Promo1PlanExp+calcCh4Prod4Slot3Promo1PlanExp</f>
        <v>2800000</v>
      </c>
      <c r="F6148" s="23" t="s">
        <v>6190</v>
      </c>
    </row>
    <row r="6149" spans="1:6">
      <c r="E6149" s="258"/>
    </row>
    <row r="6150" spans="1:6" s="81" customFormat="1">
      <c r="A6150" s="81" t="s">
        <v>5863</v>
      </c>
    </row>
    <row r="6151" spans="1:6">
      <c r="E6151" s="258"/>
    </row>
    <row r="6152" spans="1:6">
      <c r="C6152" s="198" t="s">
        <v>244</v>
      </c>
      <c r="E6152" s="258"/>
    </row>
    <row r="6153" spans="1:6">
      <c r="C6153" s="198"/>
      <c r="D6153" s="23" t="s">
        <v>13949</v>
      </c>
      <c r="E6153" s="593">
        <f>ROUNDDOWN(calcCh1ValDriv3AccStart/1000000,1)*1000000</f>
        <v>100000</v>
      </c>
    </row>
    <row r="6154" spans="1:6">
      <c r="D6154" s="23" t="s">
        <v>6221</v>
      </c>
      <c r="E6154" s="593">
        <f>VLOOKUP(E6153,dataCh1PromoWeeks,2,FALSE)</f>
        <v>18</v>
      </c>
      <c r="F6154" s="23" t="s">
        <v>6224</v>
      </c>
    </row>
    <row r="6155" spans="1:6">
      <c r="D6155" s="23" t="s">
        <v>6222</v>
      </c>
      <c r="E6155" s="593">
        <f>decCh1Prod1Slot1Promo1Weeks+decCh1Prod1Slot2Promo1Weeks+decCh1Prod1Slot3Promo1Weeks+decCh1Prod2Slot1Promo1Weeks+decCh1Prod2Slot2Promo1Weeks+decCh1Prod2Slot3Promo1Weeks+decCh1Prod3Slot1Promo1Weeks+decCh1Prod3Slot2Promo1Weeks+decCh1Prod3Slot3Promo1Weeks+decCh1Prod4Slot1Promo1Weeks+decCh1Prod4Slot2Promo1Weeks+decCh1Prod4Slot3Promo1Weeks+decCh1Prod1Slot1Promo2Weeks+decCh1Prod1Slot2Promo2Weeks+decCh1Prod1Slot3Promo2Weeks+decCh1Prod2Slot1Promo2Weeks+decCh1Prod2Slot2Promo2Weeks+decCh1Prod2Slot3Promo2Weeks+decCh1Prod3Slot1Promo2Weeks+decCh1Prod3Slot2Promo2Weeks+decCh1Prod3Slot3Promo2Weeks+decCh1Prod4Slot1Promo2Weeks+decCh1Prod4Slot2Promo2Weeks+decCh1Prod4Slot3Promo2Weeks</f>
        <v>18</v>
      </c>
      <c r="F6155" s="23" t="s">
        <v>6225</v>
      </c>
    </row>
    <row r="6156" spans="1:6">
      <c r="D6156" s="23" t="s">
        <v>6223</v>
      </c>
      <c r="E6156" s="593">
        <f>calcCh1PromoWeeks-calcCh1PromoWeeksUsed</f>
        <v>0</v>
      </c>
      <c r="F6156" s="23" t="s">
        <v>6226</v>
      </c>
    </row>
    <row r="6157" spans="1:6" ht="2.25" customHeight="1">
      <c r="A6157" s="297"/>
      <c r="C6157" s="298"/>
      <c r="D6157" s="298"/>
      <c r="E6157" s="650"/>
      <c r="F6157" s="297"/>
    </row>
    <row r="6158" spans="1:6">
      <c r="D6158" s="23" t="s">
        <v>1429</v>
      </c>
      <c r="E6158" s="593" t="b">
        <f>IF(E6156=0,TRUE,FALSE)</f>
        <v>1</v>
      </c>
      <c r="F6158" s="23" t="s">
        <v>6227</v>
      </c>
    </row>
    <row r="6159" spans="1:6">
      <c r="E6159" s="593"/>
    </row>
    <row r="6160" spans="1:6">
      <c r="C6160" s="198" t="s">
        <v>5199</v>
      </c>
      <c r="E6160" s="593"/>
    </row>
    <row r="6161" spans="1:6">
      <c r="C6161" s="198"/>
      <c r="D6161" s="614" t="s">
        <v>13949</v>
      </c>
      <c r="E6161" s="593">
        <f>ROUNDDOWN(calcCh3ValDriv3AccStart/1000000,1)*1000000</f>
        <v>100000</v>
      </c>
    </row>
    <row r="6162" spans="1:6">
      <c r="D6162" s="614" t="s">
        <v>6221</v>
      </c>
      <c r="E6162" s="593">
        <f>VLOOKUP(E6161,dataCh3PromoWeeks,2,FALSE)</f>
        <v>10</v>
      </c>
      <c r="F6162" s="23" t="s">
        <v>6228</v>
      </c>
    </row>
    <row r="6163" spans="1:6">
      <c r="D6163" s="614" t="s">
        <v>6222</v>
      </c>
      <c r="E6163" s="593">
        <f>decCh3Prod1Slot1Promo1Weeks+decCh3Prod1Slot2Promo1Weeks+decCh3Prod1Slot3Promo1Weeks+decCh3Prod2Slot1Promo1Weeks+decCh3Prod2Slot2Promo1Weeks+decCh3Prod2Slot3Promo1Weeks+decCh3Prod3Slot1Promo1Weeks+decCh3Prod3Slot2Promo1Weeks+decCh3Prod3Slot3Promo1Weeks+decCh3Prod4Slot1Promo1Weeks+decCh3Prod4Slot2Promo1Weeks+decCh3Prod4Slot3Promo1Weeks</f>
        <v>9</v>
      </c>
      <c r="F6163" s="23" t="s">
        <v>6229</v>
      </c>
    </row>
    <row r="6164" spans="1:6">
      <c r="D6164" s="614" t="s">
        <v>6223</v>
      </c>
      <c r="E6164" s="593">
        <f>calcCh3PromoWeeks-calcCh3PromoWeeksUsed</f>
        <v>1</v>
      </c>
      <c r="F6164" s="23" t="s">
        <v>6230</v>
      </c>
    </row>
    <row r="6165" spans="1:6" ht="2.25" customHeight="1">
      <c r="A6165" s="297"/>
      <c r="C6165" s="298"/>
      <c r="D6165" s="650"/>
      <c r="E6165" s="650"/>
      <c r="F6165" s="297"/>
    </row>
    <row r="6166" spans="1:6">
      <c r="D6166" s="614" t="s">
        <v>1429</v>
      </c>
      <c r="E6166" s="593" t="b">
        <f>IF(E6164=0,TRUE,FALSE)</f>
        <v>0</v>
      </c>
      <c r="F6166" s="23" t="s">
        <v>6231</v>
      </c>
    </row>
    <row r="6167" spans="1:6">
      <c r="E6167" s="593"/>
    </row>
    <row r="6168" spans="1:6">
      <c r="C6168" s="198" t="s">
        <v>246</v>
      </c>
      <c r="E6168" s="593"/>
    </row>
    <row r="6169" spans="1:6">
      <c r="C6169" s="198"/>
      <c r="D6169" s="614" t="s">
        <v>13949</v>
      </c>
      <c r="E6169" s="593">
        <f>ROUNDDOWN(calcCh4ValDriv3AccStart/1000000,1)*1000000</f>
        <v>200000</v>
      </c>
    </row>
    <row r="6170" spans="1:6">
      <c r="D6170" s="614" t="s">
        <v>6221</v>
      </c>
      <c r="E6170" s="593">
        <f>VLOOKUP(E6169,dataCh4PromoWeeks,2,FALSE)</f>
        <v>16</v>
      </c>
      <c r="F6170" s="23" t="s">
        <v>6232</v>
      </c>
    </row>
    <row r="6171" spans="1:6">
      <c r="D6171" s="614" t="s">
        <v>6222</v>
      </c>
      <c r="E6171" s="593">
        <f>decCh4Prod1Slot1Promo1Weeks+decCh4Prod1Slot2Promo1Weeks+decCh4Prod1Slot3Promo1Weeks+decCh4Prod2Slot1Promo1Weeks+decCh4Prod2Slot2Promo1Weeks+decCh4Prod2Slot3Promo1Weeks+decCh4Prod3Slot1Promo1Weeks+decCh4Prod3Slot2Promo1Weeks+decCh4Prod3Slot3Promo1Weeks+decCh4Prod4Slot1Promo1Weeks+decCh4Prod4Slot2Promo1Weeks+decCh4Prod4Slot3Promo1Weeks</f>
        <v>14</v>
      </c>
      <c r="F6171" s="23" t="s">
        <v>6233</v>
      </c>
    </row>
    <row r="6172" spans="1:6">
      <c r="D6172" s="614" t="s">
        <v>6223</v>
      </c>
      <c r="E6172" s="593">
        <f>calcCh4PromoWeeks-calcCh4PromoWeeksUsed</f>
        <v>2</v>
      </c>
      <c r="F6172" s="23" t="s">
        <v>6234</v>
      </c>
    </row>
    <row r="6173" spans="1:6" ht="2.25" customHeight="1">
      <c r="A6173" s="297"/>
      <c r="C6173" s="298"/>
      <c r="D6173" s="650"/>
      <c r="E6173" s="650"/>
      <c r="F6173" s="297"/>
    </row>
    <row r="6174" spans="1:6">
      <c r="D6174" s="614" t="s">
        <v>1429</v>
      </c>
      <c r="E6174" s="593" t="b">
        <f>IF(E6172=0,TRUE,FALSE)</f>
        <v>0</v>
      </c>
      <c r="F6174" s="23" t="s">
        <v>6235</v>
      </c>
    </row>
    <row r="6175" spans="1:6" s="614" customFormat="1"/>
    <row r="6176" spans="1:6" s="616" customFormat="1">
      <c r="A6176" s="616" t="s">
        <v>13950</v>
      </c>
    </row>
    <row r="6177" spans="3:6" s="614" customFormat="1"/>
    <row r="6178" spans="3:6" s="614" customFormat="1">
      <c r="C6178" s="633" t="s">
        <v>13951</v>
      </c>
    </row>
    <row r="6179" spans="3:6" s="614" customFormat="1">
      <c r="C6179" s="633" t="s">
        <v>3859</v>
      </c>
    </row>
    <row r="6180" spans="3:6" s="614" customFormat="1">
      <c r="D6180" s="614" t="s">
        <v>11564</v>
      </c>
      <c r="E6180" s="593">
        <f>IF(AND(calcCh1Prod1Slot1Active=1,NOT(calcCh1Prod1Slot1Promo1Weeks=0)),IF(xxSim0Tool1=0,MMCh1Prod1Seg1Slot1UnitsSoldRSP+MMCh1Prod1Seg2Slot1UnitsSoldRSP+MMCh1Prod1Seg3Slot1UnitsSoldRSP+MMCh1Prod1Seg4Slot1UnitsSoldRSP,calcCh1Prod1VolForecastProd*decCh1Prod1Slot1Forecast*(1-decCh1Prod1Slot1Promo1ShareFrc-decCh1Prod1Slot1Promo2ShareFrc))/(cnstWeeksPYear-calcCh1Prod1Slot1Promo1Weeks-calcCh1Prod1Slot1Promo2Weeks),"")</f>
        <v>504332.73252173909</v>
      </c>
      <c r="F6180" s="611" t="s">
        <v>11566</v>
      </c>
    </row>
    <row r="6181" spans="3:6" s="614" customFormat="1">
      <c r="D6181" s="614" t="s">
        <v>11569</v>
      </c>
      <c r="E6181" s="959">
        <f>IF(AND(calcCh1Prod1Slot1Active=1,NOT(calcCh1Prod1Slot1Promo1Weeks=0)),calcCh1Prod1Slot1CustPrice-finCalcCh1Prod1Slot1COGSPUnit-finCalcCh1Prod1Slot1LogExpPerUnit-paramExciseProd1,"")</f>
        <v>2.7683855390624821</v>
      </c>
      <c r="F6181" s="611" t="s">
        <v>11576</v>
      </c>
    </row>
    <row r="6182" spans="3:6" s="614" customFormat="1">
      <c r="D6182" s="614" t="s">
        <v>11580</v>
      </c>
      <c r="E6182" s="593">
        <f>IF(AND(calcCh1Prod1Slot1Active=1,NOT(calcCh1Prod1Slot1Promo1Weeks=0)),calcCh1Prod1Slot1BaseVolPWeek*calcCh1Prod1Slot1BaseGPaLPUnit,"")</f>
        <v>1396187.4435890492</v>
      </c>
      <c r="F6182" s="611" t="s">
        <v>11579</v>
      </c>
    </row>
    <row r="6183" spans="3:6" s="614" customFormat="1">
      <c r="D6183" s="614" t="s">
        <v>11586</v>
      </c>
      <c r="E6183" s="593">
        <f>IF(AND(calcCh1Prod1Slot1Active=1,NOT(calcCh1Prod1Slot1Promo1Weeks=0)),calcCh1Prod1Slot1CustPrice*calcCh1Prod1Slot1BaseVolPWeek,"")</f>
        <v>3883362.0404173909</v>
      </c>
      <c r="F6183" s="611" t="s">
        <v>11587</v>
      </c>
    </row>
    <row r="6184" spans="3:6" s="614" customFormat="1">
      <c r="E6184" s="593"/>
      <c r="F6184" s="611"/>
    </row>
    <row r="6185" spans="3:6" s="614" customFormat="1">
      <c r="D6185" s="633" t="s">
        <v>6111</v>
      </c>
    </row>
    <row r="6186" spans="3:6" s="614" customFormat="1">
      <c r="D6186" s="633" t="s">
        <v>11388</v>
      </c>
    </row>
    <row r="6187" spans="3:6" s="614" customFormat="1">
      <c r="D6187" s="377" t="s">
        <v>11565</v>
      </c>
      <c r="E6187" s="593">
        <f>IF(AND(calcCh1Prod1Slot1Active=1,NOT(calcCh1Prod1Slot1Promo1Weeks=0)),(IF(xxSim0Tool1=0,MMCh1Prod1Seg1Slot1UnitsSoldPromo1+MMCh1Prod1Seg2Slot1UnitsSoldPromo1+MMCh1Prod1Seg3Slot1UnitsSoldPromo1+MMCh1Prod1Seg4Slot1UnitsSoldPromo1,calcCh1Prod1VolForecastProd*decCh1Prod1Slot1Promo1ShareFrc))/(calcCh1Prod1Slot1Promo1Weeks),"")</f>
        <v>5799826.4240000006</v>
      </c>
      <c r="F6187" s="614" t="s">
        <v>11567</v>
      </c>
    </row>
    <row r="6188" spans="3:6" s="614" customFormat="1">
      <c r="D6188" s="377" t="s">
        <v>11388</v>
      </c>
      <c r="E6188" s="958">
        <f>IF(AND(calcCh1Prod1Slot1Active=1,NOT(calcCh1Prod1Slot1Promo1Weeks=0)),calcCh1Prod1Slot1Promo1VolPWeek/calcCh1Prod1Slot1BaseVolPWeek-1,"")</f>
        <v>10.500000000000002</v>
      </c>
      <c r="F6188" s="614" t="s">
        <v>11568</v>
      </c>
    </row>
    <row r="6189" spans="3:6" s="614" customFormat="1"/>
    <row r="6190" spans="3:6" s="614" customFormat="1">
      <c r="D6190" s="633" t="s">
        <v>4413</v>
      </c>
    </row>
    <row r="6191" spans="3:6" s="614" customFormat="1">
      <c r="D6191" s="377" t="s">
        <v>11577</v>
      </c>
      <c r="E6191" s="959">
        <f>IF(AND(calcCh1Prod1Slot1Active=1,NOT(calcCh1Prod1Slot1Promo1Weeks=0)),calcCh1Prod1Slot1Promo1CustPrice-finCalcCh1Prod1Slot1COGSPUnit-finCalcCh1Prod1Slot1LogExpPerUnit-paramExciseProd1,"")</f>
        <v>0.22738553906248216</v>
      </c>
      <c r="F6191" s="611" t="s">
        <v>11578</v>
      </c>
    </row>
    <row r="6192" spans="3:6" s="614" customFormat="1">
      <c r="D6192" s="377" t="s">
        <v>11582</v>
      </c>
      <c r="E6192" s="593">
        <f>IF(AND(calcCh1Prod1Slot1Active=1,NOT(calcCh1Prod1Slot1Promo1Weeks=0)),calcCh1Prod1Slot1Promo1GPaLPUnit*calcCh1Prod1Slot1Promo1VolPWeek,"")</f>
        <v>1318796.6578900684</v>
      </c>
      <c r="F6192" s="611" t="s">
        <v>11581</v>
      </c>
    </row>
    <row r="6193" spans="4:6" s="614" customFormat="1">
      <c r="D6193" s="377" t="s">
        <v>4413</v>
      </c>
      <c r="E6193" s="958">
        <f>IF(AND(calcCh1Prod1Slot1Active=1,NOT(calcCh1Prod1Slot1Promo1Weeks=0)),calcCh1Prod1Slot1Promo1GPaLPWeek/calcCh1Prod1Slot1BaseGPaLPWeek-1,"")</f>
        <v>-5.5430082869130759E-2</v>
      </c>
      <c r="F6193" s="614" t="s">
        <v>11583</v>
      </c>
    </row>
    <row r="6194" spans="4:6" s="614" customFormat="1">
      <c r="E6194" s="593"/>
    </row>
    <row r="6195" spans="4:6" s="614" customFormat="1">
      <c r="D6195" s="633" t="s">
        <v>4414</v>
      </c>
      <c r="E6195" s="958"/>
    </row>
    <row r="6196" spans="4:6" s="614" customFormat="1">
      <c r="D6196" s="377" t="s">
        <v>11584</v>
      </c>
      <c r="E6196" s="593">
        <f>IF(AND(calcCh1Prod1Slot1Active=1,NOT(calcCh1Prod1Slot1Promo1Weeks=0)),(calcCh1Prod1Slot1Promo1GPaLPWeek-calcCh1Prod1Slot1BaseGPaLPWeek)*decCh1Prod1Slot1Promo1Weeks,"")</f>
        <v>-309563.14279592317</v>
      </c>
    </row>
    <row r="6197" spans="4:6" s="614" customFormat="1">
      <c r="D6197" s="377" t="s">
        <v>748</v>
      </c>
      <c r="E6197" s="593">
        <f>IF(AND(calcCh1Prod1Slot1Active=1,NOT(calcCh1Prod1Slot1Promo1Weeks=0)),calcCh1Prod1Slot1Promo1PlanExp+0+0,"")</f>
        <v>800000</v>
      </c>
    </row>
    <row r="6198" spans="4:6" s="614" customFormat="1">
      <c r="D6198" s="377" t="s">
        <v>4414</v>
      </c>
      <c r="E6198" s="690">
        <f>IF(AND(calcCh1Prod1Slot1Active=1,NOT(calcCh1Prod1Slot1Promo1Weeks=0)),E6196/E6197,"")</f>
        <v>-0.38695392849490395</v>
      </c>
      <c r="F6198" s="614" t="s">
        <v>11585</v>
      </c>
    </row>
    <row r="6199" spans="4:6" s="614" customFormat="1"/>
    <row r="6200" spans="4:6" s="614" customFormat="1">
      <c r="D6200" s="633" t="s">
        <v>5195</v>
      </c>
    </row>
    <row r="6201" spans="4:6" s="614" customFormat="1">
      <c r="D6201" s="377" t="s">
        <v>11588</v>
      </c>
      <c r="E6201" s="593">
        <f>IF(AND(calcCh1Prod1Slot1Active=1,NOT(calcCh1Prod1Slot1Promo1Weeks=0)),calcCh1Prod1Slot1Promo1CustPrice*calcCh1Prod1Slot1Promo1VolPWeek,"")</f>
        <v>29921304.521416001</v>
      </c>
    </row>
    <row r="6202" spans="4:6" s="614" customFormat="1">
      <c r="D6202" s="377" t="s">
        <v>11589</v>
      </c>
      <c r="E6202" s="593">
        <f>E6197</f>
        <v>800000</v>
      </c>
    </row>
    <row r="6203" spans="4:6" s="614" customFormat="1">
      <c r="D6203" s="377" t="s">
        <v>5195</v>
      </c>
      <c r="E6203" s="958">
        <f>IF(AND(calcCh1Prod1Slot1Active=1,NOT(calcCh1Prod1Slot1Promo1Weeks=0)),((E6201+E6202)-calcCh1Prod1Slot1BaseCustProfPWeek)/calcCh1Prod1Slot1BaseCustProfPWeek,"")</f>
        <v>6.9110070608080667</v>
      </c>
      <c r="F6203" s="611" t="s">
        <v>11977</v>
      </c>
    </row>
    <row r="6204" spans="4:6" s="614" customFormat="1"/>
    <row r="6205" spans="4:6" s="614" customFormat="1">
      <c r="D6205" s="633" t="s">
        <v>6112</v>
      </c>
    </row>
    <row r="6206" spans="4:6" s="614" customFormat="1">
      <c r="D6206" s="633" t="s">
        <v>11388</v>
      </c>
    </row>
    <row r="6207" spans="4:6" s="614" customFormat="1">
      <c r="D6207" s="377" t="s">
        <v>11565</v>
      </c>
      <c r="E6207" s="593">
        <f>IF(AND(calcCh1Prod1Slot1Active=1,NOT(calcCh1Prod1Slot1Promo2Weeks=0)),(IF(xxSim0Tool1=0,MMCh1Prod1Seg1Slot1UnitsSoldPromo2+MMCh1Prod1Seg2Slot1UnitsSoldPromo2+MMCh1Prod1Seg3Slot1UnitsSoldPromo2+MMCh1Prod1Seg4Slot1UnitsSoldPromo2,calcCh1Prod1VolForecastProd*decCh1Prod1Slot1Promo2ShareFrc))/(calcCh1Prod1Slot1Promo2Weeks),"")</f>
        <v>5799826.4240000006</v>
      </c>
      <c r="F6207" s="614" t="s">
        <v>11590</v>
      </c>
    </row>
    <row r="6208" spans="4:6" s="614" customFormat="1">
      <c r="D6208" s="377" t="s">
        <v>11388</v>
      </c>
      <c r="E6208" s="958">
        <f>IF(AND(calcCh1Prod1Slot1Active=1,NOT(calcCh1Prod1Slot1Promo2Weeks=0)),calcCh1Prod1Slot1Promo2VolPWeek/calcCh1Prod1Slot1BaseVolPWeek-1,"")</f>
        <v>10.500000000000002</v>
      </c>
      <c r="F6208" s="614" t="s">
        <v>11591</v>
      </c>
    </row>
    <row r="6209" spans="4:6" s="614" customFormat="1"/>
    <row r="6210" spans="4:6" s="614" customFormat="1">
      <c r="D6210" s="633" t="s">
        <v>4413</v>
      </c>
    </row>
    <row r="6211" spans="4:6" s="614" customFormat="1">
      <c r="D6211" s="377" t="s">
        <v>11577</v>
      </c>
      <c r="E6211" s="959">
        <f>IF(AND(calcCh1Prod1Slot1Active=1,NOT(calcCh1Prod1Slot1Promo2Weeks=0)),calcCh1Prod1Slot1Promo2CustPrice-finCalcCh1Prod1Slot1COGSPUnit-finCalcCh1Prod1Slot1LogExpPerUnit-paramExciseProd1,"")</f>
        <v>1.2283855390624825</v>
      </c>
      <c r="F6211" s="611" t="s">
        <v>11592</v>
      </c>
    </row>
    <row r="6212" spans="4:6" s="614" customFormat="1">
      <c r="D6212" s="377" t="s">
        <v>11582</v>
      </c>
      <c r="E6212" s="593">
        <f>IF(AND(calcCh1Prod1Slot1Active=1,NOT(calcCh1Prod1Slot1Promo2Weeks=0)),calcCh1Prod1Slot1Promo2GPaLPUnit*calcCh1Prod1Slot1Promo2VolPWeek,"")</f>
        <v>7124422.9083140707</v>
      </c>
      <c r="F6212" s="611" t="s">
        <v>11593</v>
      </c>
    </row>
    <row r="6213" spans="4:6" s="614" customFormat="1">
      <c r="D6213" s="377" t="s">
        <v>4413</v>
      </c>
      <c r="E6213" s="958">
        <f>IF(AND(calcCh1Prod1Slot1Active=1,NOT(calcCh1Prod1Slot1Promo2Weeks=0)),calcCh1Prod1Slot1Promo2GPaLPWeek/calcCh1Prod1Slot1BaseGPaLPWeek-1,"")</f>
        <v>4.1027696467459842</v>
      </c>
      <c r="F6213" s="614" t="s">
        <v>11594</v>
      </c>
    </row>
    <row r="6214" spans="4:6" s="614" customFormat="1">
      <c r="E6214" s="593"/>
    </row>
    <row r="6215" spans="4:6" s="614" customFormat="1">
      <c r="D6215" s="633" t="s">
        <v>4414</v>
      </c>
      <c r="E6215" s="958"/>
    </row>
    <row r="6216" spans="4:6" s="614" customFormat="1">
      <c r="D6216" s="377" t="s">
        <v>11584</v>
      </c>
      <c r="E6216" s="593">
        <f>IF(AND(calcCh1Prod1Slot1Active=1,NOT(calcCh1Prod1Slot1Promo2Weeks=0)),(calcCh1Prod1Slot1Promo2GPaLPWeek-calcCh1Prod1Slot1BaseGPaLPWeek)*decCh1Prod1Slot1Promo2Weeks,"")</f>
        <v>11456470.929450043</v>
      </c>
    </row>
    <row r="6217" spans="4:6" s="614" customFormat="1">
      <c r="D6217" s="377" t="s">
        <v>748</v>
      </c>
      <c r="E6217" s="593">
        <f>IF(AND(calcCh1Prod1Slot1Active=1,NOT(calcCh1Prod1Slot1Promo2Weeks=0)),calcCh1Prod1Slot1Promo2PlanExp+0,"")</f>
        <v>400000</v>
      </c>
    </row>
    <row r="6218" spans="4:6" s="614" customFormat="1">
      <c r="D6218" s="377" t="s">
        <v>4414</v>
      </c>
      <c r="E6218" s="690">
        <f>IF(AND(calcCh1Prod1Slot1Active=1,NOT(calcCh1Prod1Slot1Promo2Weeks=0)),E6216/E6217,"")</f>
        <v>28.641177323625108</v>
      </c>
      <c r="F6218" s="614" t="s">
        <v>11595</v>
      </c>
    </row>
    <row r="6219" spans="4:6" s="614" customFormat="1"/>
    <row r="6220" spans="4:6" s="614" customFormat="1">
      <c r="D6220" s="633" t="s">
        <v>5195</v>
      </c>
    </row>
    <row r="6221" spans="4:6" s="614" customFormat="1">
      <c r="D6221" s="377" t="s">
        <v>11588</v>
      </c>
      <c r="E6221" s="593">
        <f>IF(AND(calcCh1Prod1Slot1Active=1,NOT(calcCh1Prod1Slot1Promo2Weeks=0)),calcCh1Prod1Slot1Promo2CustPrice*calcCh1Prod1Slot1Promo2VolPWeek,"")</f>
        <v>35726930.771840006</v>
      </c>
    </row>
    <row r="6222" spans="4:6" s="614" customFormat="1">
      <c r="D6222" s="377" t="s">
        <v>11589</v>
      </c>
      <c r="E6222" s="593">
        <f>E6217</f>
        <v>400000</v>
      </c>
    </row>
    <row r="6223" spans="4:6" s="614" customFormat="1">
      <c r="D6223" s="377" t="s">
        <v>5195</v>
      </c>
      <c r="E6223" s="958">
        <f>IF(AND(calcCh1Prod1Slot1Active=1,NOT(calcCh1Prod1Slot1Promo2Weeks=0)),((E6221+E6222)-calcCh1Prod1Slot1BaseCustProfPWeek)/calcCh1Prod1Slot1BaseCustProfPWeek,"")</f>
        <v>8.3030035304040357</v>
      </c>
      <c r="F6223" s="611" t="s">
        <v>11978</v>
      </c>
    </row>
    <row r="6224" spans="4:6" s="614" customFormat="1"/>
    <row r="6225" spans="3:6" s="614" customFormat="1">
      <c r="C6225" s="633" t="s">
        <v>3858</v>
      </c>
    </row>
    <row r="6226" spans="3:6" s="614" customFormat="1">
      <c r="D6226" s="614" t="s">
        <v>11564</v>
      </c>
      <c r="E6226" s="593" t="str">
        <f>IF(AND(calcCh1Prod1Slot2Active=1,NOT(calcCh1Prod1Slot2Promo1Weeks=0)),IF(xxSim0Tool1=0,MMCh1Prod1Seg1Slot2UnitsSoldRSP+MMCh1Prod1Seg2Slot2UnitsSoldRSP+MMCh1Prod1Seg3Slot2UnitsSoldRSP+MMCh1Prod1Seg4Slot2UnitsSoldRSP,calcCh1Prod1VolForecastProd*decCh1Prod1Slot2Forecast*(1-decCh1Prod1Slot2Promo1ShareFrc-decCh1Prod1Slot2Promo2ShareFrc))/(cnstWeeksPYear-calcCh1Prod1Slot2Promo1Weeks-calcCh1Prod1Slot2Promo2Weeks),"")</f>
        <v/>
      </c>
      <c r="F6226" s="611" t="s">
        <v>11611</v>
      </c>
    </row>
    <row r="6227" spans="3:6" s="614" customFormat="1">
      <c r="D6227" s="614" t="s">
        <v>11569</v>
      </c>
      <c r="E6227" s="959" t="str">
        <f>IF(AND(calcCh1Prod1Slot2Active=1,NOT(calcCh1Prod1Slot2Promo1Weeks=0)),calcCh1Prod1Slot2CustPrice-finCalcCh1Prod1Slot2COGSPUnit-finCalcCh1Prod1Slot2LogExpPerUnit-paramExciseProd1,"")</f>
        <v/>
      </c>
      <c r="F6227" s="611" t="s">
        <v>11612</v>
      </c>
    </row>
    <row r="6228" spans="3:6" s="614" customFormat="1">
      <c r="D6228" s="614" t="s">
        <v>11580</v>
      </c>
      <c r="E6228" s="593" t="str">
        <f>IF(AND(calcCh1Prod1Slot2Active=1,NOT(calcCh1Prod1Slot2Promo1Weeks=0)),calcCh1Prod1Slot2BaseVolPWeek*calcCh1Prod1Slot2BaseGPaLPUnit,"")</f>
        <v/>
      </c>
      <c r="F6228" s="611" t="s">
        <v>11613</v>
      </c>
    </row>
    <row r="6229" spans="3:6" s="614" customFormat="1">
      <c r="D6229" s="614" t="s">
        <v>11586</v>
      </c>
      <c r="E6229" s="593" t="str">
        <f>IF(AND(calcCh1Prod1Slot2Active=1,NOT(calcCh1Prod1Slot2Promo1Weeks=0)),calcCh1Prod1Slot2CustPrice*calcCh1Prod1Slot2BaseVolPWeek,"")</f>
        <v/>
      </c>
      <c r="F6229" s="611" t="s">
        <v>11979</v>
      </c>
    </row>
    <row r="6230" spans="3:6" s="614" customFormat="1">
      <c r="E6230" s="593"/>
      <c r="F6230" s="611"/>
    </row>
    <row r="6231" spans="3:6" s="614" customFormat="1">
      <c r="D6231" s="633" t="s">
        <v>6111</v>
      </c>
    </row>
    <row r="6232" spans="3:6" s="614" customFormat="1">
      <c r="D6232" s="633" t="s">
        <v>11388</v>
      </c>
    </row>
    <row r="6233" spans="3:6" s="614" customFormat="1">
      <c r="D6233" s="377" t="s">
        <v>11565</v>
      </c>
      <c r="E6233" s="593" t="str">
        <f>IF(AND(calcCh1Prod1Slot2Active=1,NOT(calcCh1Prod1Slot2Promo1Weeks=0)),(IF(xxSim0Tool1=0,MMCh1Prod1Seg1Slot2UnitsSoldPromo1+MMCh1Prod1Seg2Slot2UnitsSoldPromo1+MMCh1Prod1Seg3Slot2UnitsSoldPromo1+MMCh1Prod1Seg4Slot2UnitsSoldPromo1,calcCh1Prod1VolForecastProd*decCh1Prod1Slot2Promo1ShareFrc))/(calcCh1Prod1Slot2Promo1Weeks),"")</f>
        <v/>
      </c>
      <c r="F6233" s="614" t="s">
        <v>11614</v>
      </c>
    </row>
    <row r="6234" spans="3:6" s="614" customFormat="1">
      <c r="D6234" s="377" t="s">
        <v>11388</v>
      </c>
      <c r="E6234" s="958" t="str">
        <f>IF(AND(calcCh1Prod1Slot2Active=1,NOT(calcCh1Prod1Slot2Promo1Weeks=0)),calcCh1Prod1Slot2Promo1VolPWeek/calcCh1Prod1Slot2BaseVolPWeek-1,"")</f>
        <v/>
      </c>
      <c r="F6234" s="614" t="s">
        <v>11615</v>
      </c>
    </row>
    <row r="6235" spans="3:6" s="614" customFormat="1"/>
    <row r="6236" spans="3:6" s="614" customFormat="1">
      <c r="D6236" s="633" t="s">
        <v>4413</v>
      </c>
    </row>
    <row r="6237" spans="3:6" s="614" customFormat="1">
      <c r="D6237" s="377" t="s">
        <v>11577</v>
      </c>
      <c r="E6237" s="959" t="str">
        <f>IF(AND(calcCh1Prod1Slot2Active=1,NOT(calcCh1Prod1Slot2Promo1Weeks=0)),calcCh1Prod1Slot2Promo1CustPrice-finCalcCh1Prod1Slot2COGSPUnit-finCalcCh1Prod1Slot2LogExpPerUnit-paramExciseProd1,"")</f>
        <v/>
      </c>
      <c r="F6237" s="611" t="s">
        <v>11616</v>
      </c>
    </row>
    <row r="6238" spans="3:6" s="614" customFormat="1">
      <c r="D6238" s="377" t="s">
        <v>11582</v>
      </c>
      <c r="E6238" s="593" t="str">
        <f>IF(AND(calcCh1Prod1Slot2Active=1,NOT(calcCh1Prod1Slot2Promo1Weeks=0)),calcCh1Prod1Slot2Promo1GPaLPUnit*calcCh1Prod1Slot2Promo1VolPWeek,"")</f>
        <v/>
      </c>
      <c r="F6238" s="611" t="s">
        <v>11617</v>
      </c>
    </row>
    <row r="6239" spans="3:6" s="614" customFormat="1">
      <c r="D6239" s="377" t="s">
        <v>4413</v>
      </c>
      <c r="E6239" s="958" t="str">
        <f>IF(AND(calcCh1Prod1Slot2Active=1,NOT(calcCh1Prod1Slot2Promo1Weeks=0)),calcCh1Prod1Slot2Promo1GPaLPWeek/calcCh1Prod1Slot2BaseGPaLPWeek-1,"")</f>
        <v/>
      </c>
      <c r="F6239" s="614" t="s">
        <v>11618</v>
      </c>
    </row>
    <row r="6240" spans="3:6" s="614" customFormat="1">
      <c r="E6240" s="593"/>
    </row>
    <row r="6241" spans="4:6" s="614" customFormat="1">
      <c r="D6241" s="633" t="s">
        <v>4414</v>
      </c>
      <c r="E6241" s="958"/>
    </row>
    <row r="6242" spans="4:6" s="614" customFormat="1">
      <c r="D6242" s="377" t="s">
        <v>11584</v>
      </c>
      <c r="E6242" s="593" t="str">
        <f>IF(AND(calcCh1Prod1Slot2Active=1,NOT(calcCh1Prod1Slot2Promo1Weeks=0)),(calcCh1Prod1Slot2Promo1GPaLPWeek-calcCh1Prod1Slot2BaseGPaLPWeek)*decCh1Prod1Slot2Promo1Weeks,"")</f>
        <v/>
      </c>
    </row>
    <row r="6243" spans="4:6" s="614" customFormat="1">
      <c r="D6243" s="377" t="s">
        <v>748</v>
      </c>
      <c r="E6243" s="593" t="str">
        <f>IF(AND(calcCh1Prod1Slot2Active=1,NOT(calcCh1Prod1Slot2Promo1Weeks=0)),calcCh1Prod1Slot2Promo1PlanExp+0+0,"")</f>
        <v/>
      </c>
    </row>
    <row r="6244" spans="4:6" s="614" customFormat="1">
      <c r="D6244" s="377" t="s">
        <v>4414</v>
      </c>
      <c r="E6244" s="690" t="str">
        <f>IF(AND(calcCh1Prod1Slot2Active=1,NOT(calcCh1Prod1Slot2Promo1Weeks=0)),E6242/E6243,"")</f>
        <v/>
      </c>
      <c r="F6244" s="614" t="s">
        <v>11619</v>
      </c>
    </row>
    <row r="6245" spans="4:6" s="614" customFormat="1"/>
    <row r="6246" spans="4:6" s="614" customFormat="1">
      <c r="D6246" s="633" t="s">
        <v>5195</v>
      </c>
    </row>
    <row r="6247" spans="4:6" s="614" customFormat="1">
      <c r="D6247" s="377" t="s">
        <v>11588</v>
      </c>
      <c r="E6247" s="593" t="str">
        <f>IF(AND(calcCh1Prod1Slot2Active=1,NOT(calcCh1Prod1Slot2Promo1Weeks=0)),calcCh1Prod1Slot2Promo1CustPrice*calcCh1Prod1Slot2Promo1VolPWeek,"")</f>
        <v/>
      </c>
    </row>
    <row r="6248" spans="4:6" s="614" customFormat="1">
      <c r="D6248" s="377" t="s">
        <v>11589</v>
      </c>
      <c r="E6248" s="593" t="str">
        <f>E6243</f>
        <v/>
      </c>
    </row>
    <row r="6249" spans="4:6" s="614" customFormat="1">
      <c r="D6249" s="377" t="s">
        <v>5195</v>
      </c>
      <c r="E6249" s="958" t="str">
        <f>IF(AND(calcCh1Prod1Slot2Active=1,NOT(calcCh1Prod1Slot2Promo1Weeks=0)),((E6247+E6248)-calcCh1Prod1Slot2BaseCustProfPWeek)/calcCh1Prod1Slot2BaseCustProfPWeek,"")</f>
        <v/>
      </c>
      <c r="F6249" s="611" t="s">
        <v>11980</v>
      </c>
    </row>
    <row r="6250" spans="4:6" s="614" customFormat="1"/>
    <row r="6251" spans="4:6" s="614" customFormat="1">
      <c r="D6251" s="633" t="s">
        <v>6112</v>
      </c>
    </row>
    <row r="6252" spans="4:6" s="614" customFormat="1">
      <c r="D6252" s="633" t="s">
        <v>11388</v>
      </c>
    </row>
    <row r="6253" spans="4:6" s="614" customFormat="1">
      <c r="D6253" s="377" t="s">
        <v>11565</v>
      </c>
      <c r="E6253" s="593" t="str">
        <f>IF(AND(calcCh1Prod1Slot2Active=1,NOT(calcCh1Prod1Slot2Promo2Weeks=0)),(IF(xxSim0Tool1=0,MMCh1Prod1Seg1Slot2UnitsSoldPromo2+MMCh1Prod1Seg2Slot2UnitsSoldPromo2+MMCh1Prod1Seg3Slot2UnitsSoldPromo2+MMCh1Prod1Seg4Slot2UnitsSoldPromo2,calcCh1Prod1VolForecastProd*decCh1Prod1Slot2Promo2ShareFrc))/(calcCh1Prod1Slot2Promo2Weeks),"")</f>
        <v/>
      </c>
      <c r="F6253" s="614" t="s">
        <v>11620</v>
      </c>
    </row>
    <row r="6254" spans="4:6" s="614" customFormat="1">
      <c r="D6254" s="377" t="s">
        <v>11388</v>
      </c>
      <c r="E6254" s="958" t="str">
        <f>IF(AND(calcCh1Prod1Slot2Active=1,NOT(calcCh1Prod1Slot2Promo2Weeks=0)),calcCh1Prod1Slot2Promo2VolPWeek/calcCh1Prod1Slot2BaseVolPWeek-1,"")</f>
        <v/>
      </c>
      <c r="F6254" s="614" t="s">
        <v>11621</v>
      </c>
    </row>
    <row r="6255" spans="4:6" s="614" customFormat="1"/>
    <row r="6256" spans="4:6" s="614" customFormat="1">
      <c r="D6256" s="633" t="s">
        <v>4413</v>
      </c>
    </row>
    <row r="6257" spans="3:6" s="614" customFormat="1">
      <c r="D6257" s="377" t="s">
        <v>11577</v>
      </c>
      <c r="E6257" s="959" t="str">
        <f>IF(AND(calcCh1Prod1Slot2Active=1,NOT(calcCh1Prod1Slot2Promo2Weeks=0)),calcCh1Prod1Slot2Promo2CustPrice-finCalcCh1Prod1Slot2COGSPUnit-finCalcCh1Prod1Slot2LogExpPerUnit-paramExciseProd1,"")</f>
        <v/>
      </c>
      <c r="F6257" s="611" t="s">
        <v>11622</v>
      </c>
    </row>
    <row r="6258" spans="3:6" s="614" customFormat="1">
      <c r="D6258" s="377" t="s">
        <v>11582</v>
      </c>
      <c r="E6258" s="593" t="str">
        <f>IF(AND(calcCh1Prod1Slot2Active=1,NOT(calcCh1Prod1Slot2Promo2Weeks=0)),calcCh1Prod1Slot2Promo2GPaLPUnit*calcCh1Prod1Slot2Promo2VolPWeek,"")</f>
        <v/>
      </c>
      <c r="F6258" s="611" t="s">
        <v>11623</v>
      </c>
    </row>
    <row r="6259" spans="3:6" s="614" customFormat="1">
      <c r="D6259" s="377" t="s">
        <v>4413</v>
      </c>
      <c r="E6259" s="958" t="str">
        <f>IF(AND(calcCh1Prod1Slot2Active=1,NOT(calcCh1Prod1Slot2Promo2Weeks=0)),calcCh1Prod1Slot2Promo2GPaLPWeek/calcCh1Prod1Slot2BaseGPaLPWeek-1,"")</f>
        <v/>
      </c>
      <c r="F6259" s="614" t="s">
        <v>11624</v>
      </c>
    </row>
    <row r="6260" spans="3:6" s="614" customFormat="1">
      <c r="E6260" s="593"/>
    </row>
    <row r="6261" spans="3:6" s="614" customFormat="1">
      <c r="D6261" s="633" t="s">
        <v>4414</v>
      </c>
      <c r="E6261" s="958"/>
    </row>
    <row r="6262" spans="3:6" s="614" customFormat="1">
      <c r="D6262" s="377" t="s">
        <v>11584</v>
      </c>
      <c r="E6262" s="593" t="str">
        <f>IF(AND(calcCh1Prod1Slot2Active=1,NOT(calcCh1Prod1Slot2Promo2Weeks=0)),(calcCh1Prod1Slot2Promo2GPaLPWeek-calcCh1Prod1Slot2BaseGPaLPWeek)*decCh1Prod1Slot2Promo2Weeks,"")</f>
        <v/>
      </c>
    </row>
    <row r="6263" spans="3:6" s="614" customFormat="1">
      <c r="D6263" s="377" t="s">
        <v>748</v>
      </c>
      <c r="E6263" s="593" t="str">
        <f>IF(AND(calcCh1Prod1Slot2Active=1,NOT(calcCh1Prod1Slot2Promo2Weeks=0)),calcCh1Prod1Slot2Promo2PlanExp+0,"")</f>
        <v/>
      </c>
    </row>
    <row r="6264" spans="3:6" s="614" customFormat="1">
      <c r="D6264" s="377" t="s">
        <v>4414</v>
      </c>
      <c r="E6264" s="690" t="str">
        <f>IF(AND(calcCh1Prod1Slot2Active=1,NOT(calcCh1Prod1Slot2Promo2Weeks=0)),E6262/E6263,"")</f>
        <v/>
      </c>
      <c r="F6264" s="614" t="s">
        <v>11625</v>
      </c>
    </row>
    <row r="6265" spans="3:6" s="614" customFormat="1"/>
    <row r="6266" spans="3:6" s="614" customFormat="1">
      <c r="D6266" s="633" t="s">
        <v>5195</v>
      </c>
    </row>
    <row r="6267" spans="3:6" s="614" customFormat="1">
      <c r="D6267" s="377" t="s">
        <v>11588</v>
      </c>
      <c r="E6267" s="593" t="str">
        <f>IF(AND(calcCh1Prod1Slot2Active=1,NOT(calcCh1Prod1Slot2Promo2Weeks=0)),calcCh1Prod1Slot2Promo2CustPrice*calcCh1Prod1Slot2Promo2VolPWeek,"")</f>
        <v/>
      </c>
    </row>
    <row r="6268" spans="3:6" s="614" customFormat="1">
      <c r="D6268" s="377" t="s">
        <v>11589</v>
      </c>
      <c r="E6268" s="593" t="str">
        <f>E6263</f>
        <v/>
      </c>
    </row>
    <row r="6269" spans="3:6" s="614" customFormat="1">
      <c r="D6269" s="377" t="s">
        <v>5195</v>
      </c>
      <c r="E6269" s="958" t="str">
        <f>IF(AND(calcCh1Prod1Slot2Active=1,NOT(calcCh1Prod1Slot2Promo2Weeks=0)),((E6267+E6268)-calcCh1Prod1Slot2BaseCustProfPWeek)/calcCh1Prod1Slot2BaseCustProfPWeek,"")</f>
        <v/>
      </c>
      <c r="F6269" s="611" t="s">
        <v>11981</v>
      </c>
    </row>
    <row r="6270" spans="3:6" s="614" customFormat="1"/>
    <row r="6271" spans="3:6" s="614" customFormat="1">
      <c r="C6271" s="633" t="s">
        <v>3860</v>
      </c>
    </row>
    <row r="6272" spans="3:6" s="614" customFormat="1">
      <c r="D6272" s="614" t="s">
        <v>11564</v>
      </c>
      <c r="E6272" s="593" t="str">
        <f>IF(AND(calcCh1Prod1Slot3Active=1,NOT(calcCh1Prod1Slot3Promo1Weeks=0)),IF(xxSim0Tool1=0,MMCh1Prod1Seg1Slot3UnitsSoldRSP+MMCh1Prod1Seg2Slot3UnitsSoldRSP+MMCh1Prod1Seg3Slot3UnitsSoldRSP+MMCh1Prod1Seg4Slot3UnitsSoldRSP,calcCh1Prod1VolForecastProd*decCh1Prod1Slot3Forecast*(1-decCh1Prod1Slot3Promo1ShareFrc-decCh1Prod1Slot3Promo2ShareFrc))/(cnstWeeksPYear-calcCh1Prod1Slot3Promo1Weeks-calcCh1Prod1Slot3Promo2Weeks),"")</f>
        <v/>
      </c>
      <c r="F6272" s="611" t="s">
        <v>11596</v>
      </c>
    </row>
    <row r="6273" spans="4:6" s="614" customFormat="1">
      <c r="D6273" s="614" t="s">
        <v>11569</v>
      </c>
      <c r="E6273" s="959" t="str">
        <f>IF(AND(calcCh1Prod1Slot3Active=1,NOT(calcCh1Prod1Slot3Promo1Weeks=0)),calcCh1Prod1Slot3CustPrice-finCalcCh1Prod1Slot3COGSPUnit-finCalcCh1Prod1Slot3LogExpPerUnit-paramExciseProd1,"")</f>
        <v/>
      </c>
      <c r="F6273" s="611" t="s">
        <v>11597</v>
      </c>
    </row>
    <row r="6274" spans="4:6" s="614" customFormat="1">
      <c r="D6274" s="614" t="s">
        <v>11580</v>
      </c>
      <c r="E6274" s="593" t="str">
        <f>IF(AND(calcCh1Prod1Slot3Active=1,NOT(calcCh1Prod1Slot3Promo1Weeks=0)),calcCh1Prod1Slot3BaseVolPWeek*calcCh1Prod1Slot3BaseGPaLPUnit,"")</f>
        <v/>
      </c>
      <c r="F6274" s="611" t="s">
        <v>11598</v>
      </c>
    </row>
    <row r="6275" spans="4:6" s="614" customFormat="1">
      <c r="D6275" s="614" t="s">
        <v>11586</v>
      </c>
      <c r="E6275" s="593" t="str">
        <f>IF(AND(calcCh1Prod1Slot3Active=1,NOT(calcCh1Prod1Slot3Promo1Weeks=0)),calcCh1Prod1Slot3CustPrice*calcCh1Prod1Slot3BaseVolPWeek,"")</f>
        <v/>
      </c>
      <c r="F6275" s="611" t="s">
        <v>11982</v>
      </c>
    </row>
    <row r="6276" spans="4:6" s="614" customFormat="1">
      <c r="E6276" s="593"/>
      <c r="F6276" s="611"/>
    </row>
    <row r="6277" spans="4:6" s="614" customFormat="1">
      <c r="D6277" s="633" t="s">
        <v>6111</v>
      </c>
    </row>
    <row r="6278" spans="4:6" s="614" customFormat="1">
      <c r="D6278" s="633" t="s">
        <v>11388</v>
      </c>
    </row>
    <row r="6279" spans="4:6" s="614" customFormat="1">
      <c r="D6279" s="377" t="s">
        <v>11565</v>
      </c>
      <c r="E6279" s="593" t="str">
        <f>IF(AND(calcCh1Prod1Slot3Active=1,NOT(calcCh1Prod1Slot3Promo1Weeks=0)),(IF(xxSim0Tool1=0,MMCh1Prod1Seg1Slot3UnitsSoldPromo1+MMCh1Prod1Seg2Slot3UnitsSoldPromo1+MMCh1Prod1Seg3Slot3UnitsSoldPromo1+MMCh1Prod1Seg4Slot3UnitsSoldPromo1,calcCh1Prod1VolForecastProd*decCh1Prod1Slot3Promo1ShareFrc))/(calcCh1Prod1Slot3Promo1Weeks),"")</f>
        <v/>
      </c>
      <c r="F6279" s="614" t="s">
        <v>11599</v>
      </c>
    </row>
    <row r="6280" spans="4:6" s="614" customFormat="1">
      <c r="D6280" s="377" t="s">
        <v>11388</v>
      </c>
      <c r="E6280" s="958" t="str">
        <f>IF(AND(calcCh1Prod1Slot3Active=1,NOT(calcCh1Prod1Slot3Promo1Weeks=0)),calcCh1Prod1Slot3Promo1VolPWeek/calcCh1Prod1Slot3BaseVolPWeek-1,"")</f>
        <v/>
      </c>
      <c r="F6280" s="614" t="s">
        <v>11600</v>
      </c>
    </row>
    <row r="6281" spans="4:6" s="614" customFormat="1"/>
    <row r="6282" spans="4:6" s="614" customFormat="1">
      <c r="D6282" s="633" t="s">
        <v>4413</v>
      </c>
    </row>
    <row r="6283" spans="4:6" s="614" customFormat="1">
      <c r="D6283" s="377" t="s">
        <v>11577</v>
      </c>
      <c r="E6283" s="959" t="str">
        <f>IF(AND(calcCh1Prod1Slot3Active=1,NOT(calcCh1Prod1Slot3Promo1Weeks=0)),calcCh1Prod1Slot3Promo1CustPrice-finCalcCh1Prod1Slot3COGSPUnit-finCalcCh1Prod1Slot3LogExpPerUnit-paramExciseProd1,"")</f>
        <v/>
      </c>
      <c r="F6283" s="611" t="s">
        <v>11601</v>
      </c>
    </row>
    <row r="6284" spans="4:6" s="614" customFormat="1">
      <c r="D6284" s="377" t="s">
        <v>11582</v>
      </c>
      <c r="E6284" s="593" t="str">
        <f>IF(AND(calcCh1Prod1Slot3Active=1,NOT(calcCh1Prod1Slot3Promo1Weeks=0)),calcCh1Prod1Slot3Promo1GPaLPUnit*calcCh1Prod1Slot3Promo1VolPWeek,"")</f>
        <v/>
      </c>
      <c r="F6284" s="611" t="s">
        <v>11602</v>
      </c>
    </row>
    <row r="6285" spans="4:6" s="614" customFormat="1">
      <c r="D6285" s="377" t="s">
        <v>4413</v>
      </c>
      <c r="E6285" s="958" t="str">
        <f>IF(AND(calcCh1Prod1Slot3Active=1,NOT(calcCh1Prod1Slot3Promo1Weeks=0)),calcCh1Prod1Slot3Promo1GPaLPWeek/calcCh1Prod1Slot3BaseGPaLPWeek-1,"")</f>
        <v/>
      </c>
      <c r="F6285" s="614" t="s">
        <v>11603</v>
      </c>
    </row>
    <row r="6286" spans="4:6" s="614" customFormat="1">
      <c r="E6286" s="593"/>
    </row>
    <row r="6287" spans="4:6" s="614" customFormat="1">
      <c r="D6287" s="633" t="s">
        <v>4414</v>
      </c>
      <c r="E6287" s="958"/>
    </row>
    <row r="6288" spans="4:6" s="614" customFormat="1">
      <c r="D6288" s="377" t="s">
        <v>11584</v>
      </c>
      <c r="E6288" s="593" t="str">
        <f>IF(AND(calcCh1Prod1Slot3Active=1,NOT(calcCh1Prod1Slot3Promo1Weeks=0)),(calcCh1Prod1Slot3Promo1GPaLPWeek-calcCh1Prod1Slot3BaseGPaLPWeek)*decCh1Prod1Slot3Promo1Weeks,"")</f>
        <v/>
      </c>
    </row>
    <row r="6289" spans="4:6" s="614" customFormat="1">
      <c r="D6289" s="377" t="s">
        <v>748</v>
      </c>
      <c r="E6289" s="593" t="str">
        <f>IF(AND(calcCh1Prod1Slot3Active=1,NOT(calcCh1Prod1Slot3Promo1Weeks=0)),calcCh1Prod1Slot3Promo1PlanExp+0+0,"")</f>
        <v/>
      </c>
    </row>
    <row r="6290" spans="4:6" s="614" customFormat="1">
      <c r="D6290" s="377" t="s">
        <v>4414</v>
      </c>
      <c r="E6290" s="690" t="str">
        <f>IF(AND(calcCh1Prod1Slot3Active=1,NOT(calcCh1Prod1Slot3Promo1Weeks=0)),E6288/E6289,"")</f>
        <v/>
      </c>
      <c r="F6290" s="614" t="s">
        <v>11604</v>
      </c>
    </row>
    <row r="6291" spans="4:6" s="614" customFormat="1"/>
    <row r="6292" spans="4:6" s="614" customFormat="1">
      <c r="D6292" s="633" t="s">
        <v>5195</v>
      </c>
    </row>
    <row r="6293" spans="4:6" s="614" customFormat="1">
      <c r="D6293" s="377" t="s">
        <v>11588</v>
      </c>
      <c r="E6293" s="593" t="str">
        <f>IF(AND(calcCh1Prod1Slot3Active=1,NOT(calcCh1Prod1Slot3Promo1Weeks=0)),calcCh1Prod1Slot3Promo1CustPrice*calcCh1Prod1Slot3Promo1VolPWeek,"")</f>
        <v/>
      </c>
    </row>
    <row r="6294" spans="4:6" s="614" customFormat="1">
      <c r="D6294" s="377" t="s">
        <v>11589</v>
      </c>
      <c r="E6294" s="593" t="str">
        <f>E6289</f>
        <v/>
      </c>
    </row>
    <row r="6295" spans="4:6" s="614" customFormat="1">
      <c r="D6295" s="377" t="s">
        <v>5195</v>
      </c>
      <c r="E6295" s="958" t="str">
        <f>IF(AND(calcCh1Prod1Slot3Active=1,NOT(calcCh1Prod1Slot3Promo1Weeks=0)),((E6293+E6294)-calcCh1Prod1Slot3BaseCustProfPWeek)/calcCh1Prod1Slot3BaseCustProfPWeek,"")</f>
        <v/>
      </c>
      <c r="F6295" s="611" t="s">
        <v>11983</v>
      </c>
    </row>
    <row r="6296" spans="4:6" s="614" customFormat="1"/>
    <row r="6297" spans="4:6" s="614" customFormat="1">
      <c r="D6297" s="633" t="s">
        <v>6112</v>
      </c>
    </row>
    <row r="6298" spans="4:6" s="614" customFormat="1">
      <c r="D6298" s="633" t="s">
        <v>11388</v>
      </c>
    </row>
    <row r="6299" spans="4:6" s="614" customFormat="1">
      <c r="D6299" s="377" t="s">
        <v>11565</v>
      </c>
      <c r="E6299" s="593" t="str">
        <f>IF(AND(calcCh1Prod1Slot3Active=1,NOT(calcCh1Prod1Slot3Promo2Weeks=0)),(IF(xxSim0Tool1=0,MMCh1Prod1Seg1Slot3UnitsSoldPromo2+MMCh1Prod1Seg2Slot3UnitsSoldPromo2+MMCh1Prod1Seg3Slot3UnitsSoldPromo2+MMCh1Prod1Seg4Slot3UnitsSoldPromo2,calcCh1Prod1VolForecastProd*decCh1Prod1Slot3Promo2ShareFrc))/(calcCh1Prod1Slot3Promo2Weeks),"")</f>
        <v/>
      </c>
      <c r="F6299" s="614" t="s">
        <v>11605</v>
      </c>
    </row>
    <row r="6300" spans="4:6" s="614" customFormat="1">
      <c r="D6300" s="377" t="s">
        <v>11388</v>
      </c>
      <c r="E6300" s="958" t="str">
        <f>IF(AND(calcCh1Prod1Slot3Active=1,NOT(calcCh1Prod1Slot3Promo2Weeks=0)),calcCh1Prod1Slot3Promo2VolPWeek/calcCh1Prod1Slot3BaseVolPWeek-1,"")</f>
        <v/>
      </c>
      <c r="F6300" s="614" t="s">
        <v>11606</v>
      </c>
    </row>
    <row r="6301" spans="4:6" s="614" customFormat="1"/>
    <row r="6302" spans="4:6" s="614" customFormat="1">
      <c r="D6302" s="633" t="s">
        <v>4413</v>
      </c>
    </row>
    <row r="6303" spans="4:6" s="614" customFormat="1">
      <c r="D6303" s="377" t="s">
        <v>11577</v>
      </c>
      <c r="E6303" s="959" t="str">
        <f>IF(AND(calcCh1Prod1Slot3Active=1,NOT(calcCh1Prod1Slot3Promo2Weeks=0)),calcCh1Prod1Slot3Promo2CustPrice-finCalcCh1Prod1Slot3COGSPUnit-finCalcCh1Prod1Slot3LogExpPerUnit-paramExciseProd1,"")</f>
        <v/>
      </c>
      <c r="F6303" s="611" t="s">
        <v>11607</v>
      </c>
    </row>
    <row r="6304" spans="4:6" s="614" customFormat="1">
      <c r="D6304" s="377" t="s">
        <v>11582</v>
      </c>
      <c r="E6304" s="593" t="str">
        <f>IF(AND(calcCh1Prod1Slot3Active=1,NOT(calcCh1Prod1Slot3Promo2Weeks=0)),calcCh1Prod1Slot3Promo2GPaLPUnit*calcCh1Prod1Slot3Promo2VolPWeek,"")</f>
        <v/>
      </c>
      <c r="F6304" s="611" t="s">
        <v>11608</v>
      </c>
    </row>
    <row r="6305" spans="3:6" s="614" customFormat="1">
      <c r="D6305" s="377" t="s">
        <v>4413</v>
      </c>
      <c r="E6305" s="958" t="str">
        <f>IF(AND(calcCh1Prod1Slot3Active=1,NOT(calcCh1Prod1Slot3Promo2Weeks=0)),calcCh1Prod1Slot3Promo2GPaLPWeek/calcCh1Prod1Slot3BaseGPaLPWeek-1,"")</f>
        <v/>
      </c>
      <c r="F6305" s="614" t="s">
        <v>11609</v>
      </c>
    </row>
    <row r="6306" spans="3:6" s="614" customFormat="1">
      <c r="E6306" s="593"/>
    </row>
    <row r="6307" spans="3:6" s="614" customFormat="1">
      <c r="D6307" s="633" t="s">
        <v>4414</v>
      </c>
      <c r="E6307" s="958"/>
    </row>
    <row r="6308" spans="3:6" s="614" customFormat="1">
      <c r="D6308" s="377" t="s">
        <v>11584</v>
      </c>
      <c r="E6308" s="593" t="str">
        <f>IF(AND(calcCh1Prod1Slot3Active=1,NOT(calcCh1Prod1Slot3Promo2Weeks=0)),(calcCh1Prod1Slot3Promo2GPaLPWeek-calcCh1Prod1Slot3BaseGPaLPWeek)*decCh1Prod1Slot3Promo2Weeks,"")</f>
        <v/>
      </c>
    </row>
    <row r="6309" spans="3:6" s="614" customFormat="1">
      <c r="D6309" s="377" t="s">
        <v>748</v>
      </c>
      <c r="E6309" s="593" t="str">
        <f>IF(AND(calcCh1Prod1Slot3Active=1,NOT(calcCh1Prod1Slot3Promo2Weeks=0)),calcCh1Prod1Slot3Promo2PlanExp+0,"")</f>
        <v/>
      </c>
    </row>
    <row r="6310" spans="3:6" s="614" customFormat="1">
      <c r="D6310" s="377" t="s">
        <v>4414</v>
      </c>
      <c r="E6310" s="690" t="str">
        <f>IF(AND(calcCh1Prod1Slot3Active=1,NOT(calcCh1Prod1Slot3Promo2Weeks=0)),E6308/E6309,"")</f>
        <v/>
      </c>
      <c r="F6310" s="614" t="s">
        <v>11610</v>
      </c>
    </row>
    <row r="6311" spans="3:6" s="614" customFormat="1"/>
    <row r="6312" spans="3:6" s="614" customFormat="1">
      <c r="D6312" s="633" t="s">
        <v>5195</v>
      </c>
    </row>
    <row r="6313" spans="3:6" s="614" customFormat="1">
      <c r="D6313" s="377" t="s">
        <v>11588</v>
      </c>
      <c r="E6313" s="593" t="str">
        <f>IF(AND(calcCh1Prod1Slot3Active=1,NOT(calcCh1Prod1Slot3Promo2Weeks=0)),calcCh1Prod1Slot3Promo2CustPrice*calcCh1Prod1Slot3Promo2VolPWeek,"")</f>
        <v/>
      </c>
    </row>
    <row r="6314" spans="3:6" s="614" customFormat="1">
      <c r="D6314" s="377" t="s">
        <v>11589</v>
      </c>
      <c r="E6314" s="593" t="str">
        <f>E6309</f>
        <v/>
      </c>
    </row>
    <row r="6315" spans="3:6" s="614" customFormat="1">
      <c r="D6315" s="377" t="s">
        <v>5195</v>
      </c>
      <c r="E6315" s="958" t="str">
        <f>IF(AND(calcCh1Prod1Slot3Active=1,NOT(calcCh1Prod1Slot3Promo2Weeks=0)),((E6313+E6314)-calcCh1Prod1Slot3BaseCustProfPWeek)/calcCh1Prod1Slot3BaseCustProfPWeek,"")</f>
        <v/>
      </c>
      <c r="F6315" s="611" t="s">
        <v>11984</v>
      </c>
    </row>
    <row r="6316" spans="3:6" s="614" customFormat="1"/>
    <row r="6317" spans="3:6" s="614" customFormat="1">
      <c r="C6317" s="633" t="s">
        <v>13952</v>
      </c>
    </row>
    <row r="6318" spans="3:6" s="614" customFormat="1">
      <c r="C6318" s="633" t="s">
        <v>3859</v>
      </c>
    </row>
    <row r="6319" spans="3:6" s="614" customFormat="1">
      <c r="D6319" s="614" t="s">
        <v>11564</v>
      </c>
      <c r="E6319" s="593">
        <f>IF(AND(calcCh1Prod2Slot1Active=1,NOT(calcCh1Prod2Slot1Promo1Weeks=0)),IF(xxSim0Tool1=0,MMCh1Prod2Seg1Slot1UnitsSoldRSP+MMCh1Prod2Seg2Slot1UnitsSoldRSP+MMCh1Prod2Seg3Slot1UnitsSoldRSP+MMCh1Prod2Seg4Slot1UnitsSoldRSP,calcCh1Prod2VolForecastProd*decCh1Prod2Slot1Forecast*(1-decCh1Prod2Slot1Promo1ShareFrc-decCh1Prod2Slot1Promo2ShareFrc))/(cnstWeeksPYear-calcCh1Prod2Slot1Promo1Weeks-calcCh1Prod2Slot1Promo2Weeks),"")</f>
        <v>1479825.0935999998</v>
      </c>
      <c r="F6319" s="611" t="s">
        <v>11716</v>
      </c>
    </row>
    <row r="6320" spans="3:6" s="614" customFormat="1">
      <c r="D6320" s="614" t="s">
        <v>11569</v>
      </c>
      <c r="E6320" s="959">
        <f>IF(AND(calcCh1Prod2Slot1Active=1,NOT(calcCh1Prod2Slot1Promo1Weeks=0)),calcCh1Prod2Slot1CustPrice-finCalcCh1Prod2Slot1COGSPUnit-finCalcCh1Prod2Slot1LogExpPerUnit-paramExciseProd2,"")</f>
        <v>3.0857961905440789</v>
      </c>
      <c r="F6320" s="611" t="s">
        <v>11717</v>
      </c>
    </row>
    <row r="6321" spans="4:6" s="614" customFormat="1">
      <c r="D6321" s="614" t="s">
        <v>11580</v>
      </c>
      <c r="E6321" s="593">
        <f>IF(AND(calcCh1Prod2Slot1Active=1,NOT(calcCh1Prod2Slot1Promo1Weeks=0)),calcCh1Prod2Slot1BaseVolPWeek*calcCh1Prod2Slot1BaseGPaLPUnit,"")</f>
        <v>4566438.636502414</v>
      </c>
      <c r="F6321" s="611" t="s">
        <v>11718</v>
      </c>
    </row>
    <row r="6322" spans="4:6" s="614" customFormat="1">
      <c r="D6322" s="614" t="s">
        <v>11586</v>
      </c>
      <c r="E6322" s="593">
        <f>IF(AND(calcCh1Prod2Slot1Active=1,NOT(calcCh1Prod2Slot1Promo1Weeks=0)),calcCh1Prod2Slot1CustPrice*calcCh1Prod2Slot1BaseVolPWeek,"")</f>
        <v>11690618.23944</v>
      </c>
      <c r="F6322" s="611" t="s">
        <v>11985</v>
      </c>
    </row>
    <row r="6323" spans="4:6" s="614" customFormat="1">
      <c r="E6323" s="593"/>
      <c r="F6323" s="611"/>
    </row>
    <row r="6324" spans="4:6" s="614" customFormat="1">
      <c r="D6324" s="633" t="s">
        <v>6111</v>
      </c>
    </row>
    <row r="6325" spans="4:6" s="614" customFormat="1">
      <c r="D6325" s="633" t="s">
        <v>11388</v>
      </c>
    </row>
    <row r="6326" spans="4:6" s="614" customFormat="1">
      <c r="D6326" s="377" t="s">
        <v>11565</v>
      </c>
      <c r="E6326" s="593">
        <f>IF(AND(calcCh1Prod2Slot1Active=1,NOT(calcCh1Prod2Slot1Promo1Weeks=0)),(IF(xxSim0Tool1=0,MMCh1Prod2Seg1Slot1UnitsSoldPromo1+MMCh1Prod2Seg2Slot1UnitsSoldPromo1+MMCh1Prod2Seg3Slot1UnitsSoldPromo1+MMCh1Prod2Seg4Slot1UnitsSoldPromo1,calcCh1Prod2VolForecastProd*decCh1Prod2Slot1Promo1ShareFrc))/(calcCh1Prod2Slot1Promo1Weeks),"")</f>
        <v>9134722.8000000007</v>
      </c>
      <c r="F6326" s="614" t="s">
        <v>11719</v>
      </c>
    </row>
    <row r="6327" spans="4:6" s="614" customFormat="1">
      <c r="D6327" s="377" t="s">
        <v>11388</v>
      </c>
      <c r="E6327" s="958">
        <f>IF(AND(calcCh1Prod2Slot1Active=1,NOT(calcCh1Prod2Slot1Promo1Weeks=0)),calcCh1Prod2Slot1Promo1VolPWeek/calcCh1Prod2Slot1BaseVolPWeek-1,"")</f>
        <v>5.1728395061728412</v>
      </c>
      <c r="F6327" s="614" t="s">
        <v>11720</v>
      </c>
    </row>
    <row r="6328" spans="4:6" s="614" customFormat="1"/>
    <row r="6329" spans="4:6" s="614" customFormat="1">
      <c r="D6329" s="633" t="s">
        <v>4413</v>
      </c>
    </row>
    <row r="6330" spans="4:6" s="614" customFormat="1">
      <c r="D6330" s="377" t="s">
        <v>11577</v>
      </c>
      <c r="E6330" s="959">
        <f>IF(AND(calcCh1Prod2Slot1Active=1,NOT(calcCh1Prod2Slot1Promo1Weeks=0)),calcCh1Prod2Slot1Promo1CustPrice-finCalcCh1Prod2Slot1COGSPUnit-finCalcCh1Prod2Slot1LogExpPerUnit-paramExciseProd2,"")</f>
        <v>0.4787961905440774</v>
      </c>
      <c r="F6330" s="611" t="s">
        <v>11721</v>
      </c>
    </row>
    <row r="6331" spans="4:6" s="614" customFormat="1">
      <c r="D6331" s="377" t="s">
        <v>11582</v>
      </c>
      <c r="E6331" s="593">
        <f>IF(AND(calcCh1Prod2Slot1Active=1,NOT(calcCh1Prod2Slot1Promo1Weeks=0)),calcCh1Prod2Slot1Promo1GPaLPUnit*calcCh1Prod2Slot1Promo1VolPWeek,"")</f>
        <v>4373670.4783161283</v>
      </c>
      <c r="F6331" s="611" t="s">
        <v>11722</v>
      </c>
    </row>
    <row r="6332" spans="4:6" s="614" customFormat="1">
      <c r="D6332" s="377" t="s">
        <v>4413</v>
      </c>
      <c r="E6332" s="958">
        <f>IF(AND(calcCh1Prod2Slot1Active=1,NOT(calcCh1Prod2Slot1Promo1Weeks=0)),calcCh1Prod2Slot1Promo1GPaLPWeek/calcCh1Prod2Slot1BaseGPaLPWeek-1,"")</f>
        <v>-4.2214113345434789E-2</v>
      </c>
      <c r="F6332" s="614" t="s">
        <v>11723</v>
      </c>
    </row>
    <row r="6333" spans="4:6" s="614" customFormat="1">
      <c r="E6333" s="593"/>
    </row>
    <row r="6334" spans="4:6" s="614" customFormat="1">
      <c r="D6334" s="633" t="s">
        <v>4414</v>
      </c>
      <c r="E6334" s="958"/>
    </row>
    <row r="6335" spans="4:6" s="614" customFormat="1">
      <c r="D6335" s="377" t="s">
        <v>11584</v>
      </c>
      <c r="E6335" s="593">
        <f>IF(AND(calcCh1Prod2Slot1Active=1,NOT(calcCh1Prod2Slot1Promo1Weeks=0)),(calcCh1Prod2Slot1Promo1GPaLPWeek-calcCh1Prod2Slot1BaseGPaLPWeek)*decCh1Prod2Slot1Promo1Weeks,"")</f>
        <v>-385536.31637257151</v>
      </c>
    </row>
    <row r="6336" spans="4:6" s="614" customFormat="1">
      <c r="D6336" s="377" t="s">
        <v>748</v>
      </c>
      <c r="E6336" s="593">
        <f>IF(AND(calcCh1Prod2Slot1Active=1,NOT(calcCh1Prod2Slot1Promo1Weeks=0)),calcCh1Prod2Slot1Promo1PlanExp+0+0,"")</f>
        <v>400000</v>
      </c>
    </row>
    <row r="6337" spans="4:6" s="614" customFormat="1">
      <c r="D6337" s="377" t="s">
        <v>4414</v>
      </c>
      <c r="E6337" s="690">
        <f>IF(AND(calcCh1Prod2Slot1Active=1,NOT(calcCh1Prod2Slot1Promo1Weeks=0)),E6335/E6336,"")</f>
        <v>-0.96384079093142883</v>
      </c>
      <c r="F6337" s="614" t="s">
        <v>11724</v>
      </c>
    </row>
    <row r="6338" spans="4:6" s="614" customFormat="1"/>
    <row r="6339" spans="4:6" s="614" customFormat="1">
      <c r="D6339" s="633" t="s">
        <v>5195</v>
      </c>
    </row>
    <row r="6340" spans="4:6" s="614" customFormat="1">
      <c r="D6340" s="377" t="s">
        <v>11588</v>
      </c>
      <c r="E6340" s="593">
        <f>IF(AND(calcCh1Prod2Slot1Active=1,NOT(calcCh1Prod2Slot1Promo1Weeks=0)),calcCh1Prod2Slot1Promo1CustPrice*calcCh1Prod2Slot1Promo1VolPWeek,"")</f>
        <v>48350087.780400001</v>
      </c>
    </row>
    <row r="6341" spans="4:6" s="614" customFormat="1">
      <c r="D6341" s="377" t="s">
        <v>11589</v>
      </c>
      <c r="E6341" s="593">
        <f>E6336</f>
        <v>400000</v>
      </c>
    </row>
    <row r="6342" spans="4:6" s="614" customFormat="1">
      <c r="D6342" s="377" t="s">
        <v>5195</v>
      </c>
      <c r="E6342" s="958">
        <f>IF(AND(calcCh1Prod2Slot1Active=1,NOT(calcCh1Prod2Slot1Promo1Weeks=0)),((E6340+E6341)-calcCh1Prod2Slot1BaseCustProfPWeek)/calcCh1Prod2Slot1BaseCustProfPWeek,"")</f>
        <v>3.1700179393365606</v>
      </c>
      <c r="F6342" s="611" t="s">
        <v>11986</v>
      </c>
    </row>
    <row r="6343" spans="4:6" s="614" customFormat="1"/>
    <row r="6344" spans="4:6" s="614" customFormat="1">
      <c r="D6344" s="633" t="s">
        <v>6112</v>
      </c>
    </row>
    <row r="6345" spans="4:6" s="614" customFormat="1">
      <c r="D6345" s="633" t="s">
        <v>11388</v>
      </c>
    </row>
    <row r="6346" spans="4:6" s="614" customFormat="1">
      <c r="D6346" s="377" t="s">
        <v>11565</v>
      </c>
      <c r="E6346" s="593" t="str">
        <f>IF(AND(calcCh1Prod2Slot1Active=1,NOT(calcCh1Prod2Slot1Promo2Weeks=0)),(IF(xxSim0Tool1=0,MMCh1Prod2Seg1Slot1UnitsSoldPromo2+MMCh1Prod2Seg2Slot1UnitsSoldPromo2+MMCh1Prod2Seg3Slot1UnitsSoldPromo2+MMCh1Prod2Seg4Slot1UnitsSoldPromo2,calcCh1Prod2VolForecastProd*decCh1Prod2Slot1Promo2ShareFrc))/(calcCh1Prod2Slot1Promo2Weeks),"")</f>
        <v/>
      </c>
      <c r="F6346" s="614" t="s">
        <v>11725</v>
      </c>
    </row>
    <row r="6347" spans="4:6" s="614" customFormat="1">
      <c r="D6347" s="377" t="s">
        <v>11388</v>
      </c>
      <c r="E6347" s="958" t="str">
        <f>IF(AND(calcCh1Prod2Slot1Active=1,NOT(calcCh1Prod2Slot1Promo2Weeks=0)),calcCh1Prod2Slot1Promo2VolPWeek/calcCh1Prod2Slot1BaseVolPWeek-1,"")</f>
        <v/>
      </c>
      <c r="F6347" s="614" t="s">
        <v>11726</v>
      </c>
    </row>
    <row r="6348" spans="4:6" s="614" customFormat="1"/>
    <row r="6349" spans="4:6" s="614" customFormat="1">
      <c r="D6349" s="633" t="s">
        <v>4413</v>
      </c>
    </row>
    <row r="6350" spans="4:6" s="614" customFormat="1">
      <c r="D6350" s="377" t="s">
        <v>11577</v>
      </c>
      <c r="E6350" s="959" t="str">
        <f>IF(AND(calcCh1Prod2Slot1Active=1,NOT(calcCh1Prod2Slot1Promo2Weeks=0)),calcCh1Prod2Slot1Promo2CustPrice-finCalcCh1Prod2Slot1COGSPUnit-finCalcCh1Prod2Slot1LogExpPerUnit-paramExciseProd2,"")</f>
        <v/>
      </c>
      <c r="F6350" s="611" t="s">
        <v>11727</v>
      </c>
    </row>
    <row r="6351" spans="4:6" s="614" customFormat="1">
      <c r="D6351" s="377" t="s">
        <v>11582</v>
      </c>
      <c r="E6351" s="593" t="str">
        <f>IF(AND(calcCh1Prod2Slot1Active=1,NOT(calcCh1Prod2Slot1Promo2Weeks=0)),calcCh1Prod2Slot1Promo2GPaLPUnit*calcCh1Prod2Slot1Promo2VolPWeek,"")</f>
        <v/>
      </c>
      <c r="F6351" s="611" t="s">
        <v>11728</v>
      </c>
    </row>
    <row r="6352" spans="4:6" s="614" customFormat="1">
      <c r="D6352" s="377" t="s">
        <v>4413</v>
      </c>
      <c r="E6352" s="958" t="str">
        <f>IF(AND(calcCh1Prod2Slot1Active=1,NOT(calcCh1Prod2Slot1Promo2Weeks=0)),calcCh1Prod2Slot1Promo2GPaLPWeek/calcCh1Prod2Slot1BaseGPaLPWeek-1,"")</f>
        <v/>
      </c>
      <c r="F6352" s="614" t="s">
        <v>11729</v>
      </c>
    </row>
    <row r="6353" spans="3:6" s="614" customFormat="1">
      <c r="E6353" s="593"/>
    </row>
    <row r="6354" spans="3:6" s="614" customFormat="1">
      <c r="D6354" s="633" t="s">
        <v>4414</v>
      </c>
      <c r="E6354" s="958"/>
    </row>
    <row r="6355" spans="3:6" s="614" customFormat="1">
      <c r="D6355" s="377" t="s">
        <v>11584</v>
      </c>
      <c r="E6355" s="593" t="str">
        <f>IF(AND(calcCh1Prod2Slot1Active=1,NOT(calcCh1Prod2Slot1Promo2Weeks=0)),(calcCh1Prod2Slot1Promo2GPaLPWeek-calcCh1Prod2Slot1BaseGPaLPWeek)*decCh1Prod2Slot1Promo2Weeks,"")</f>
        <v/>
      </c>
    </row>
    <row r="6356" spans="3:6" s="614" customFormat="1">
      <c r="D6356" s="377" t="s">
        <v>748</v>
      </c>
      <c r="E6356" s="593" t="str">
        <f>IF(AND(calcCh1Prod2Slot1Active=1,NOT(calcCh1Prod2Slot1Promo2Weeks=0)),calcCh1Prod2Slot1Promo2PlanExp+0,"")</f>
        <v/>
      </c>
    </row>
    <row r="6357" spans="3:6" s="614" customFormat="1">
      <c r="D6357" s="377" t="s">
        <v>4414</v>
      </c>
      <c r="E6357" s="690" t="str">
        <f>IF(AND(calcCh1Prod2Slot1Active=1,NOT(calcCh1Prod2Slot1Promo2Weeks=0)),E6355/E6356,"")</f>
        <v/>
      </c>
      <c r="F6357" s="614" t="s">
        <v>11730</v>
      </c>
    </row>
    <row r="6358" spans="3:6" s="614" customFormat="1"/>
    <row r="6359" spans="3:6" s="614" customFormat="1">
      <c r="D6359" s="633" t="s">
        <v>5195</v>
      </c>
    </row>
    <row r="6360" spans="3:6" s="614" customFormat="1">
      <c r="D6360" s="377" t="s">
        <v>11588</v>
      </c>
      <c r="E6360" s="593" t="str">
        <f>IF(AND(calcCh1Prod2Slot1Active=1,NOT(calcCh1Prod2Slot1Promo2Weeks=0)),calcCh1Prod2Slot1Promo2CustPrice*calcCh1Prod2Slot1Promo2VolPWeek,"")</f>
        <v/>
      </c>
    </row>
    <row r="6361" spans="3:6" s="614" customFormat="1">
      <c r="D6361" s="377" t="s">
        <v>11589</v>
      </c>
      <c r="E6361" s="593" t="str">
        <f>E6356</f>
        <v/>
      </c>
    </row>
    <row r="6362" spans="3:6" s="614" customFormat="1">
      <c r="D6362" s="377" t="s">
        <v>5195</v>
      </c>
      <c r="E6362" s="958" t="str">
        <f>IF(AND(calcCh1Prod2Slot1Active=1,NOT(calcCh1Prod2Slot1Promo2Weeks=0)),((E6360+E6361)-calcCh1Prod2Slot1BaseCustProfPWeek)/calcCh1Prod2Slot1BaseCustProfPWeek,"")</f>
        <v/>
      </c>
      <c r="F6362" s="611" t="s">
        <v>11987</v>
      </c>
    </row>
    <row r="6363" spans="3:6" s="614" customFormat="1"/>
    <row r="6364" spans="3:6" s="614" customFormat="1">
      <c r="C6364" s="633" t="s">
        <v>3858</v>
      </c>
    </row>
    <row r="6365" spans="3:6" s="614" customFormat="1">
      <c r="D6365" s="614" t="s">
        <v>11564</v>
      </c>
      <c r="E6365" s="593">
        <f>IF(AND(calcCh1Prod2Slot2Active=1,NOT(calcCh1Prod2Slot2Promo1Weeks=0)),IF(xxSim0Tool1=0,MMCh1Prod2Seg1Slot2UnitsSoldRSP+MMCh1Prod2Seg2Slot2UnitsSoldRSP+MMCh1Prod2Seg3Slot2UnitsSoldRSP+MMCh1Prod2Seg4Slot2UnitsSoldRSP,calcCh1Prod2VolForecastProd*decCh1Prod2Slot2Forecast*(1-decCh1Prod2Slot2Promo1ShareFrc-decCh1Prod2Slot2Promo2ShareFrc))/(cnstWeeksPYear-calcCh1Prod2Slot2Promo1Weeks-calcCh1Prod2Slot2Promo2Weeks),"")</f>
        <v>962061.23106382973</v>
      </c>
      <c r="F6365" s="611" t="s">
        <v>11731</v>
      </c>
    </row>
    <row r="6366" spans="3:6" s="614" customFormat="1">
      <c r="D6366" s="614" t="s">
        <v>11569</v>
      </c>
      <c r="E6366" s="959">
        <f>IF(AND(calcCh1Prod2Slot2Active=1,NOT(calcCh1Prod2Slot2Promo1Weeks=0)),calcCh1Prod2Slot2CustPrice-finCalcCh1Prod2Slot2COGSPUnit-finCalcCh1Prod2Slot2LogExpPerUnit-paramExciseProd2,"")</f>
        <v>2.7208238968156757</v>
      </c>
      <c r="F6366" s="611" t="s">
        <v>11732</v>
      </c>
    </row>
    <row r="6367" spans="3:6" s="614" customFormat="1">
      <c r="D6367" s="614" t="s">
        <v>11580</v>
      </c>
      <c r="E6367" s="593">
        <f>IF(AND(calcCh1Prod2Slot2Active=1,NOT(calcCh1Prod2Slot2Promo1Weeks=0)),calcCh1Prod2Slot2BaseVolPWeek*calcCh1Prod2Slot2BaseGPaLPUnit,"")</f>
        <v>2617599.1876783753</v>
      </c>
      <c r="F6367" s="611" t="s">
        <v>11733</v>
      </c>
    </row>
    <row r="6368" spans="3:6" s="614" customFormat="1">
      <c r="D6368" s="614" t="s">
        <v>11586</v>
      </c>
      <c r="E6368" s="593">
        <f>IF(AND(calcCh1Prod2Slot2Active=1,NOT(calcCh1Prod2Slot2Promo1Weeks=0)),calcCh1Prod2Slot2CustPrice*calcCh1Prod2Slot2BaseVolPWeek,"")</f>
        <v>7263562.2945319144</v>
      </c>
      <c r="F6368" s="611" t="s">
        <v>11988</v>
      </c>
    </row>
    <row r="6369" spans="4:6" s="614" customFormat="1">
      <c r="E6369" s="593"/>
      <c r="F6369" s="611"/>
    </row>
    <row r="6370" spans="4:6" s="614" customFormat="1">
      <c r="D6370" s="633" t="s">
        <v>6111</v>
      </c>
    </row>
    <row r="6371" spans="4:6" s="614" customFormat="1">
      <c r="D6371" s="633" t="s">
        <v>11388</v>
      </c>
    </row>
    <row r="6372" spans="4:6" s="614" customFormat="1">
      <c r="D6372" s="377" t="s">
        <v>11565</v>
      </c>
      <c r="E6372" s="593">
        <f>IF(AND(calcCh1Prod2Slot2Active=1,NOT(calcCh1Prod2Slot2Promo1Weeks=0)),(IF(xxSim0Tool1=0,MMCh1Prod2Seg1Slot2UnitsSoldPromo1+MMCh1Prod2Seg2Slot2UnitsSoldPromo1+MMCh1Prod2Seg3Slot2UnitsSoldPromo1+MMCh1Prod2Seg4Slot2UnitsSoldPromo1,calcCh1Prod2VolForecastProd*decCh1Prod2Slot2Promo1ShareFrc))/(calcCh1Prod2Slot2Promo1Weeks),"")</f>
        <v>18269445.599999998</v>
      </c>
      <c r="F6372" s="614" t="s">
        <v>11734</v>
      </c>
    </row>
    <row r="6373" spans="4:6" s="614" customFormat="1">
      <c r="D6373" s="377" t="s">
        <v>11388</v>
      </c>
      <c r="E6373" s="958">
        <f>IF(AND(calcCh1Prod2Slot2Active=1,NOT(calcCh1Prod2Slot2Promo1Weeks=0)),calcCh1Prod2Slot2Promo1VolPWeek/calcCh1Prod2Slot2BaseVolPWeek-1,"")</f>
        <v>17.98989898989899</v>
      </c>
      <c r="F6373" s="614" t="s">
        <v>11735</v>
      </c>
    </row>
    <row r="6374" spans="4:6" s="614" customFormat="1"/>
    <row r="6375" spans="4:6" s="614" customFormat="1">
      <c r="D6375" s="633" t="s">
        <v>4413</v>
      </c>
    </row>
    <row r="6376" spans="4:6" s="614" customFormat="1">
      <c r="D6376" s="377" t="s">
        <v>11577</v>
      </c>
      <c r="E6376" s="959">
        <f>IF(AND(calcCh1Prod2Slot2Active=1,NOT(calcCh1Prod2Slot2Promo1Weeks=0)),calcCh1Prod2Slot2Promo1CustPrice-finCalcCh1Prod2Slot2COGSPUnit-finCalcCh1Prod2Slot2LogExpPerUnit-paramExciseProd2,"")</f>
        <v>1.2108238968156759</v>
      </c>
      <c r="F6376" s="611" t="s">
        <v>11736</v>
      </c>
    </row>
    <row r="6377" spans="4:6" s="614" customFormat="1">
      <c r="D6377" s="377" t="s">
        <v>11582</v>
      </c>
      <c r="E6377" s="593">
        <f>IF(AND(calcCh1Prod2Slot2Active=1,NOT(calcCh1Prod2Slot2Promo1Weeks=0)),calcCh1Prod2Slot2Promo1GPaLPUnit*calcCh1Prod2Slot2Promo1VolPWeek,"")</f>
        <v>22121081.314054001</v>
      </c>
      <c r="F6377" s="611" t="s">
        <v>11737</v>
      </c>
    </row>
    <row r="6378" spans="4:6" s="614" customFormat="1">
      <c r="D6378" s="377" t="s">
        <v>4413</v>
      </c>
      <c r="E6378" s="958">
        <f>IF(AND(calcCh1Prod2Slot2Active=1,NOT(calcCh1Prod2Slot2Promo1Weeks=0)),calcCh1Prod2Slot2Promo1GPaLPWeek/calcCh1Prod2Slot2BaseGPaLPWeek-1,"")</f>
        <v>7.4509047138243609</v>
      </c>
      <c r="F6378" s="614" t="s">
        <v>11738</v>
      </c>
    </row>
    <row r="6379" spans="4:6" s="614" customFormat="1">
      <c r="E6379" s="593"/>
    </row>
    <row r="6380" spans="4:6" s="614" customFormat="1">
      <c r="D6380" s="633" t="s">
        <v>4414</v>
      </c>
      <c r="E6380" s="958"/>
    </row>
    <row r="6381" spans="4:6" s="614" customFormat="1">
      <c r="D6381" s="377" t="s">
        <v>11584</v>
      </c>
      <c r="E6381" s="593">
        <f>IF(AND(calcCh1Prod2Slot2Active=1,NOT(calcCh1Prod2Slot2Promo1Weeks=0)),(calcCh1Prod2Slot2Promo1GPaLPWeek-calcCh1Prod2Slot2BaseGPaLPWeek)*decCh1Prod2Slot2Promo1Weeks,"")</f>
        <v>58510446.379126877</v>
      </c>
    </row>
    <row r="6382" spans="4:6" s="614" customFormat="1">
      <c r="D6382" s="377" t="s">
        <v>748</v>
      </c>
      <c r="E6382" s="593">
        <f>IF(AND(calcCh1Prod2Slot2Active=1,NOT(calcCh1Prod2Slot2Promo1Weeks=0)),calcCh1Prod2Slot2Promo1PlanExp+0+0,"")</f>
        <v>600000</v>
      </c>
    </row>
    <row r="6383" spans="4:6" s="614" customFormat="1">
      <c r="D6383" s="377" t="s">
        <v>4414</v>
      </c>
      <c r="E6383" s="690">
        <f>IF(AND(calcCh1Prod2Slot2Active=1,NOT(calcCh1Prod2Slot2Promo1Weeks=0)),E6381/E6382,"")</f>
        <v>97.517410631878121</v>
      </c>
      <c r="F6383" s="614" t="s">
        <v>11739</v>
      </c>
    </row>
    <row r="6384" spans="4:6" s="614" customFormat="1"/>
    <row r="6385" spans="4:6" s="614" customFormat="1">
      <c r="D6385" s="633" t="s">
        <v>5195</v>
      </c>
    </row>
    <row r="6386" spans="4:6" s="614" customFormat="1">
      <c r="D6386" s="377" t="s">
        <v>11588</v>
      </c>
      <c r="E6386" s="593">
        <f>IF(AND(calcCh1Prod2Slot2Active=1,NOT(calcCh1Prod2Slot2Promo1Weeks=0)),calcCh1Prod2Slot2Promo1CustPrice*calcCh1Prod2Slot2Promo1VolPWeek,"")</f>
        <v>110347451.42399998</v>
      </c>
    </row>
    <row r="6387" spans="4:6" s="614" customFormat="1">
      <c r="D6387" s="377" t="s">
        <v>11589</v>
      </c>
      <c r="E6387" s="593">
        <f>E6382</f>
        <v>600000</v>
      </c>
    </row>
    <row r="6388" spans="4:6" s="614" customFormat="1">
      <c r="D6388" s="377" t="s">
        <v>5195</v>
      </c>
      <c r="E6388" s="958">
        <f>IF(AND(calcCh1Prod2Slot2Active=1,NOT(calcCh1Prod2Slot2Promo1Weeks=0)),((E6386+E6387)-calcCh1Prod2Slot2BaseCustProfPWeek)/calcCh1Prod2Slot2BaseCustProfPWeek,"")</f>
        <v>14.274523288321268</v>
      </c>
      <c r="F6388" s="611" t="s">
        <v>11989</v>
      </c>
    </row>
    <row r="6389" spans="4:6" s="614" customFormat="1"/>
    <row r="6390" spans="4:6" s="614" customFormat="1">
      <c r="D6390" s="633" t="s">
        <v>6112</v>
      </c>
    </row>
    <row r="6391" spans="4:6" s="614" customFormat="1">
      <c r="D6391" s="633" t="s">
        <v>11388</v>
      </c>
    </row>
    <row r="6392" spans="4:6" s="614" customFormat="1">
      <c r="D6392" s="377" t="s">
        <v>11565</v>
      </c>
      <c r="E6392" s="593">
        <f>IF(AND(calcCh1Prod2Slot2Active=1,NOT(calcCh1Prod2Slot2Promo2Weeks=0)),(IF(xxSim0Tool1=0,MMCh1Prod2Seg1Slot2UnitsSoldPromo2+MMCh1Prod2Seg2Slot2UnitsSoldPromo2+MMCh1Prod2Seg3Slot2UnitsSoldPromo2+MMCh1Prod2Seg4Slot2UnitsSoldPromo2,calcCh1Prod2VolForecastProd*decCh1Prod2Slot2Promo2ShareFrc))/(calcCh1Prod2Slot2Promo2Weeks),"")</f>
        <v>22836807</v>
      </c>
      <c r="F6392" s="614" t="s">
        <v>11740</v>
      </c>
    </row>
    <row r="6393" spans="4:6" s="614" customFormat="1">
      <c r="D6393" s="377" t="s">
        <v>11388</v>
      </c>
      <c r="E6393" s="958">
        <f>IF(AND(calcCh1Prod2Slot2Active=1,NOT(calcCh1Prod2Slot2Promo2Weeks=0)),calcCh1Prod2Slot2Promo2VolPWeek/calcCh1Prod2Slot2BaseVolPWeek-1,"")</f>
        <v>22.737373737373737</v>
      </c>
      <c r="F6393" s="614" t="s">
        <v>11741</v>
      </c>
    </row>
    <row r="6394" spans="4:6" s="614" customFormat="1"/>
    <row r="6395" spans="4:6" s="614" customFormat="1">
      <c r="D6395" s="633" t="s">
        <v>4413</v>
      </c>
    </row>
    <row r="6396" spans="4:6" s="614" customFormat="1">
      <c r="D6396" s="377" t="s">
        <v>11577</v>
      </c>
      <c r="E6396" s="959">
        <f>IF(AND(calcCh1Prod2Slot2Active=1,NOT(calcCh1Prod2Slot2Promo2Weeks=0)),calcCh1Prod2Slot2Promo2CustPrice-finCalcCh1Prod2Slot2COGSPUnit-finCalcCh1Prod2Slot2LogExpPerUnit-paramExciseProd2,"")</f>
        <v>0.22932389681567544</v>
      </c>
      <c r="F6396" s="611" t="s">
        <v>11742</v>
      </c>
    </row>
    <row r="6397" spans="4:6" s="614" customFormat="1">
      <c r="D6397" s="377" t="s">
        <v>11582</v>
      </c>
      <c r="E6397" s="593">
        <f>IF(AND(calcCh1Prod2Slot2Active=1,NOT(calcCh1Prod2Slot2Promo2Weeks=0)),calcCh1Prod2Slot2Promo2GPaLPUnit*calcCh1Prod2Slot2Promo2VolPWeek,"")</f>
        <v>5237025.5720674945</v>
      </c>
      <c r="F6397" s="611" t="s">
        <v>11743</v>
      </c>
    </row>
    <row r="6398" spans="4:6" s="614" customFormat="1">
      <c r="D6398" s="377" t="s">
        <v>4413</v>
      </c>
      <c r="E6398" s="958">
        <f>IF(AND(calcCh1Prod2Slot2Active=1,NOT(calcCh1Prod2Slot2Promo2Weeks=0)),calcCh1Prod2Slot2Promo2GPaLPWeek/calcCh1Prod2Slot2BaseGPaLPWeek-1,"")</f>
        <v>1.0006980429698116</v>
      </c>
      <c r="F6398" s="614" t="s">
        <v>11744</v>
      </c>
    </row>
    <row r="6399" spans="4:6" s="614" customFormat="1">
      <c r="E6399" s="593"/>
    </row>
    <row r="6400" spans="4:6" s="614" customFormat="1">
      <c r="D6400" s="633" t="s">
        <v>4414</v>
      </c>
      <c r="E6400" s="958"/>
    </row>
    <row r="6401" spans="3:6" s="614" customFormat="1">
      <c r="D6401" s="377" t="s">
        <v>11584</v>
      </c>
      <c r="E6401" s="593">
        <f>IF(AND(calcCh1Prod2Slot2Active=1,NOT(calcCh1Prod2Slot2Promo2Weeks=0)),(calcCh1Prod2Slot2Promo2GPaLPWeek-calcCh1Prod2Slot2BaseGPaLPWeek)*decCh1Prod2Slot2Promo2Weeks,"")</f>
        <v>5238852.7687782384</v>
      </c>
    </row>
    <row r="6402" spans="3:6" s="614" customFormat="1">
      <c r="D6402" s="377" t="s">
        <v>748</v>
      </c>
      <c r="E6402" s="593">
        <f>IF(AND(calcCh1Prod2Slot2Active=1,NOT(calcCh1Prod2Slot2Promo2Weeks=0)),calcCh1Prod2Slot2Promo2PlanExp+0,"")</f>
        <v>400000</v>
      </c>
    </row>
    <row r="6403" spans="3:6" s="614" customFormat="1">
      <c r="D6403" s="377" t="s">
        <v>4414</v>
      </c>
      <c r="E6403" s="690">
        <f>IF(AND(calcCh1Prod2Slot2Active=1,NOT(calcCh1Prod2Slot2Promo2Weeks=0)),E6401/E6402,"")</f>
        <v>13.097131921945596</v>
      </c>
      <c r="F6403" s="614" t="s">
        <v>11745</v>
      </c>
    </row>
    <row r="6404" spans="3:6" s="614" customFormat="1"/>
    <row r="6405" spans="3:6" s="614" customFormat="1">
      <c r="D6405" s="633" t="s">
        <v>5195</v>
      </c>
    </row>
    <row r="6406" spans="3:6" s="614" customFormat="1">
      <c r="D6406" s="377" t="s">
        <v>11588</v>
      </c>
      <c r="E6406" s="593">
        <f>IF(AND(calcCh1Prod2Slot2Active=1,NOT(calcCh1Prod2Slot2Promo2Weeks=0)),calcCh1Prod2Slot2Promo2CustPrice*calcCh1Prod2Slot2Promo2VolPWeek,"")</f>
        <v>115519988.20949998</v>
      </c>
    </row>
    <row r="6407" spans="3:6" s="614" customFormat="1">
      <c r="D6407" s="377" t="s">
        <v>11589</v>
      </c>
      <c r="E6407" s="593">
        <f>E6402</f>
        <v>400000</v>
      </c>
    </row>
    <row r="6408" spans="3:6" s="614" customFormat="1">
      <c r="D6408" s="377" t="s">
        <v>5195</v>
      </c>
      <c r="E6408" s="958">
        <f>IF(AND(calcCh1Prod2Slot2Active=1,NOT(calcCh1Prod2Slot2Promo2Weeks=0)),((E6406+E6407)-calcCh1Prod2Slot2BaseCustProfPWeek)/calcCh1Prod2Slot2BaseCustProfPWeek,"")</f>
        <v>14.959109801641787</v>
      </c>
      <c r="F6408" s="611" t="s">
        <v>11990</v>
      </c>
    </row>
    <row r="6409" spans="3:6" s="614" customFormat="1"/>
    <row r="6410" spans="3:6" s="614" customFormat="1">
      <c r="C6410" s="633" t="s">
        <v>3860</v>
      </c>
    </row>
    <row r="6411" spans="3:6" s="614" customFormat="1">
      <c r="D6411" s="614" t="s">
        <v>11564</v>
      </c>
      <c r="E6411" s="593" t="str">
        <f>IF(AND(calcCh1Prod2Slot3Active=1,NOT(calcCh1Prod2Slot3Promo1Weeks=0)),IF(xxSim0Tool1=0,MMCh1Prod2Seg1Slot3UnitsSoldRSP+MMCh1Prod2Seg2Slot3UnitsSoldRSP+MMCh1Prod2Seg3Slot3UnitsSoldRSP+MMCh1Prod2Seg4Slot3UnitsSoldRSP,calcCh1Prod2VolForecastProd*decCh1Prod2Slot3Forecast*(1-decCh1Prod2Slot3Promo1ShareFrc-decCh1Prod2Slot3Promo2ShareFrc))/(cnstWeeksPYear-calcCh1Prod2Slot3Promo1Weeks-calcCh1Prod2Slot3Promo2Weeks),"")</f>
        <v/>
      </c>
      <c r="F6411" s="611" t="s">
        <v>11746</v>
      </c>
    </row>
    <row r="6412" spans="3:6" s="614" customFormat="1">
      <c r="D6412" s="614" t="s">
        <v>11569</v>
      </c>
      <c r="E6412" s="959" t="str">
        <f>IF(AND(calcCh1Prod2Slot3Active=1,NOT(calcCh1Prod2Slot3Promo1Weeks=0)),calcCh1Prod2Slot3CustPrice-finCalcCh1Prod2Slot3COGSPUnit-finCalcCh1Prod2Slot3LogExpPerUnit-paramExciseProd2,"")</f>
        <v/>
      </c>
      <c r="F6412" s="611" t="s">
        <v>11747</v>
      </c>
    </row>
    <row r="6413" spans="3:6" s="614" customFormat="1">
      <c r="D6413" s="614" t="s">
        <v>11580</v>
      </c>
      <c r="E6413" s="593" t="str">
        <f>IF(AND(calcCh1Prod2Slot3Active=1,NOT(calcCh1Prod2Slot3Promo1Weeks=0)),calcCh1Prod2Slot3BaseVolPWeek*calcCh1Prod2Slot3BaseGPaLPUnit,"")</f>
        <v/>
      </c>
      <c r="F6413" s="611" t="s">
        <v>11748</v>
      </c>
    </row>
    <row r="6414" spans="3:6" s="614" customFormat="1">
      <c r="D6414" s="614" t="s">
        <v>11586</v>
      </c>
      <c r="E6414" s="593" t="str">
        <f>IF(AND(calcCh1Prod2Slot3Active=1,NOT(calcCh1Prod2Slot3Promo1Weeks=0)),calcCh1Prod2Slot3CustPrice*calcCh1Prod2Slot3BaseVolPWeek,"")</f>
        <v/>
      </c>
      <c r="F6414" s="611" t="s">
        <v>11991</v>
      </c>
    </row>
    <row r="6415" spans="3:6" s="614" customFormat="1">
      <c r="E6415" s="593"/>
      <c r="F6415" s="611"/>
    </row>
    <row r="6416" spans="3:6" s="614" customFormat="1">
      <c r="D6416" s="633" t="s">
        <v>6111</v>
      </c>
    </row>
    <row r="6417" spans="4:6" s="614" customFormat="1">
      <c r="D6417" s="633" t="s">
        <v>11388</v>
      </c>
    </row>
    <row r="6418" spans="4:6" s="614" customFormat="1">
      <c r="D6418" s="377" t="s">
        <v>11565</v>
      </c>
      <c r="E6418" s="593" t="str">
        <f>IF(AND(calcCh1Prod2Slot3Active=1,NOT(calcCh1Prod2Slot3Promo1Weeks=0)),(IF(xxSim0Tool1=0,MMCh1Prod2Seg1Slot3UnitsSoldPromo1+MMCh1Prod2Seg2Slot3UnitsSoldPromo1+MMCh1Prod2Seg3Slot3UnitsSoldPromo1+MMCh1Prod2Seg4Slot3UnitsSoldPromo1,calcCh1Prod2VolForecastProd*decCh1Prod2Slot3Promo1ShareFrc))/(calcCh1Prod2Slot3Promo1Weeks),"")</f>
        <v/>
      </c>
      <c r="F6418" s="614" t="s">
        <v>11749</v>
      </c>
    </row>
    <row r="6419" spans="4:6" s="614" customFormat="1">
      <c r="D6419" s="377" t="s">
        <v>11388</v>
      </c>
      <c r="E6419" s="958" t="str">
        <f>IF(AND(calcCh1Prod2Slot3Active=1,NOT(calcCh1Prod2Slot3Promo1Weeks=0)),calcCh1Prod2Slot3Promo1VolPWeek/calcCh1Prod2Slot3BaseVolPWeek-1,"")</f>
        <v/>
      </c>
      <c r="F6419" s="614" t="s">
        <v>11750</v>
      </c>
    </row>
    <row r="6420" spans="4:6" s="614" customFormat="1"/>
    <row r="6421" spans="4:6" s="614" customFormat="1">
      <c r="D6421" s="633" t="s">
        <v>4413</v>
      </c>
    </row>
    <row r="6422" spans="4:6" s="614" customFormat="1">
      <c r="D6422" s="377" t="s">
        <v>11577</v>
      </c>
      <c r="E6422" s="959" t="str">
        <f>IF(AND(calcCh1Prod2Slot3Active=1,NOT(calcCh1Prod2Slot3Promo1Weeks=0)),calcCh1Prod2Slot3Promo1CustPrice-finCalcCh1Prod2Slot3COGSPUnit-finCalcCh1Prod2Slot3LogExpPerUnit-paramExciseProd2,"")</f>
        <v/>
      </c>
      <c r="F6422" s="611" t="s">
        <v>11751</v>
      </c>
    </row>
    <row r="6423" spans="4:6" s="614" customFormat="1">
      <c r="D6423" s="377" t="s">
        <v>11582</v>
      </c>
      <c r="E6423" s="593" t="str">
        <f>IF(AND(calcCh1Prod2Slot3Active=1,NOT(calcCh1Prod2Slot3Promo1Weeks=0)),calcCh1Prod2Slot3Promo1GPaLPUnit*calcCh1Prod2Slot3Promo1VolPWeek,"")</f>
        <v/>
      </c>
      <c r="F6423" s="611" t="s">
        <v>11752</v>
      </c>
    </row>
    <row r="6424" spans="4:6" s="614" customFormat="1">
      <c r="D6424" s="377" t="s">
        <v>4413</v>
      </c>
      <c r="E6424" s="958" t="str">
        <f>IF(AND(calcCh1Prod2Slot3Active=1,NOT(calcCh1Prod2Slot3Promo1Weeks=0)),calcCh1Prod2Slot3Promo1GPaLPWeek/calcCh1Prod2Slot3BaseGPaLPWeek-1,"")</f>
        <v/>
      </c>
      <c r="F6424" s="614" t="s">
        <v>11753</v>
      </c>
    </row>
    <row r="6425" spans="4:6" s="614" customFormat="1">
      <c r="E6425" s="593"/>
    </row>
    <row r="6426" spans="4:6" s="614" customFormat="1">
      <c r="D6426" s="633" t="s">
        <v>4414</v>
      </c>
      <c r="E6426" s="958"/>
    </row>
    <row r="6427" spans="4:6" s="614" customFormat="1">
      <c r="D6427" s="377" t="s">
        <v>11584</v>
      </c>
      <c r="E6427" s="593" t="str">
        <f>IF(AND(calcCh1Prod2Slot3Active=1,NOT(calcCh1Prod2Slot3Promo1Weeks=0)),(calcCh1Prod2Slot3Promo1GPaLPWeek-calcCh1Prod2Slot3BaseGPaLPWeek)*decCh1Prod2Slot3Promo1Weeks,"")</f>
        <v/>
      </c>
    </row>
    <row r="6428" spans="4:6" s="614" customFormat="1">
      <c r="D6428" s="377" t="s">
        <v>748</v>
      </c>
      <c r="E6428" s="593" t="str">
        <f>IF(AND(calcCh1Prod2Slot3Active=1,NOT(calcCh1Prod2Slot3Promo1Weeks=0)),calcCh1Prod2Slot3Promo1PlanExp+0+0,"")</f>
        <v/>
      </c>
    </row>
    <row r="6429" spans="4:6" s="614" customFormat="1">
      <c r="D6429" s="377" t="s">
        <v>4414</v>
      </c>
      <c r="E6429" s="690" t="str">
        <f>IF(AND(calcCh1Prod2Slot3Active=1,NOT(calcCh1Prod2Slot3Promo1Weeks=0)),E6427/E6428,"")</f>
        <v/>
      </c>
      <c r="F6429" s="614" t="s">
        <v>11754</v>
      </c>
    </row>
    <row r="6430" spans="4:6" s="614" customFormat="1"/>
    <row r="6431" spans="4:6" s="614" customFormat="1">
      <c r="D6431" s="633" t="s">
        <v>5195</v>
      </c>
    </row>
    <row r="6432" spans="4:6" s="614" customFormat="1">
      <c r="D6432" s="377" t="s">
        <v>11588</v>
      </c>
      <c r="E6432" s="593" t="str">
        <f>IF(AND(calcCh1Prod2Slot3Active=1,NOT(calcCh1Prod2Slot3Promo1Weeks=0)),calcCh1Prod2Slot3Promo1CustPrice*calcCh1Prod2Slot3Promo1VolPWeek,"")</f>
        <v/>
      </c>
    </row>
    <row r="6433" spans="4:6" s="614" customFormat="1">
      <c r="D6433" s="377" t="s">
        <v>11589</v>
      </c>
      <c r="E6433" s="593" t="str">
        <f>E6428</f>
        <v/>
      </c>
    </row>
    <row r="6434" spans="4:6" s="614" customFormat="1">
      <c r="D6434" s="377" t="s">
        <v>5195</v>
      </c>
      <c r="E6434" s="958" t="str">
        <f>IF(AND(calcCh1Prod2Slot3Active=1,NOT(calcCh1Prod2Slot3Promo1Weeks=0)),((E6432+E6433)-calcCh1Prod2Slot3BaseCustProfPWeek)/calcCh1Prod2Slot3BaseCustProfPWeek,"")</f>
        <v/>
      </c>
      <c r="F6434" s="611" t="s">
        <v>11992</v>
      </c>
    </row>
    <row r="6435" spans="4:6" s="614" customFormat="1"/>
    <row r="6436" spans="4:6" s="614" customFormat="1">
      <c r="D6436" s="633" t="s">
        <v>6112</v>
      </c>
    </row>
    <row r="6437" spans="4:6" s="614" customFormat="1">
      <c r="D6437" s="633" t="s">
        <v>11388</v>
      </c>
    </row>
    <row r="6438" spans="4:6" s="614" customFormat="1">
      <c r="D6438" s="377" t="s">
        <v>11565</v>
      </c>
      <c r="E6438" s="593" t="str">
        <f>IF(AND(calcCh1Prod2Slot3Active=1,NOT(calcCh1Prod2Slot3Promo2Weeks=0)),(IF(xxSim0Tool1=0,MMCh1Prod2Seg1Slot3UnitsSoldPromo2+MMCh1Prod2Seg2Slot3UnitsSoldPromo2+MMCh1Prod2Seg3Slot3UnitsSoldPromo2+MMCh1Prod2Seg4Slot3UnitsSoldPromo2,calcCh1Prod2VolForecastProd*decCh1Prod2Slot3Promo2ShareFrc))/(calcCh1Prod2Slot3Promo2Weeks),"")</f>
        <v/>
      </c>
      <c r="F6438" s="614" t="s">
        <v>11755</v>
      </c>
    </row>
    <row r="6439" spans="4:6" s="614" customFormat="1">
      <c r="D6439" s="377" t="s">
        <v>11388</v>
      </c>
      <c r="E6439" s="958" t="str">
        <f>IF(AND(calcCh1Prod2Slot3Active=1,NOT(calcCh1Prod2Slot3Promo2Weeks=0)),calcCh1Prod2Slot3Promo2VolPWeek/calcCh1Prod2Slot3BaseVolPWeek-1,"")</f>
        <v/>
      </c>
      <c r="F6439" s="614" t="s">
        <v>11756</v>
      </c>
    </row>
    <row r="6440" spans="4:6" s="614" customFormat="1"/>
    <row r="6441" spans="4:6" s="614" customFormat="1">
      <c r="D6441" s="633" t="s">
        <v>4413</v>
      </c>
    </row>
    <row r="6442" spans="4:6" s="614" customFormat="1">
      <c r="D6442" s="377" t="s">
        <v>11577</v>
      </c>
      <c r="E6442" s="959" t="str">
        <f>IF(AND(calcCh1Prod2Slot3Active=1,NOT(calcCh1Prod2Slot3Promo2Weeks=0)),calcCh1Prod2Slot3Promo2CustPrice-finCalcCh1Prod2Slot3COGSPUnit-finCalcCh1Prod2Slot3LogExpPerUnit-paramExciseProd2,"")</f>
        <v/>
      </c>
      <c r="F6442" s="611" t="s">
        <v>11757</v>
      </c>
    </row>
    <row r="6443" spans="4:6" s="614" customFormat="1">
      <c r="D6443" s="377" t="s">
        <v>11582</v>
      </c>
      <c r="E6443" s="593" t="str">
        <f>IF(AND(calcCh1Prod2Slot3Active=1,NOT(calcCh1Prod2Slot3Promo2Weeks=0)),calcCh1Prod2Slot3Promo2GPaLPUnit*calcCh1Prod2Slot3Promo2VolPWeek,"")</f>
        <v/>
      </c>
      <c r="F6443" s="611" t="s">
        <v>11758</v>
      </c>
    </row>
    <row r="6444" spans="4:6" s="614" customFormat="1">
      <c r="D6444" s="377" t="s">
        <v>4413</v>
      </c>
      <c r="E6444" s="958" t="str">
        <f>IF(AND(calcCh1Prod2Slot3Active=1,NOT(calcCh1Prod2Slot3Promo2Weeks=0)),calcCh1Prod2Slot3Promo2GPaLPWeek/calcCh1Prod2Slot3BaseGPaLPWeek-1,"")</f>
        <v/>
      </c>
      <c r="F6444" s="614" t="s">
        <v>11759</v>
      </c>
    </row>
    <row r="6445" spans="4:6" s="614" customFormat="1">
      <c r="E6445" s="593"/>
    </row>
    <row r="6446" spans="4:6" s="614" customFormat="1">
      <c r="D6446" s="633" t="s">
        <v>4414</v>
      </c>
      <c r="E6446" s="958"/>
    </row>
    <row r="6447" spans="4:6" s="614" customFormat="1">
      <c r="D6447" s="377" t="s">
        <v>11584</v>
      </c>
      <c r="E6447" s="593" t="str">
        <f>IF(AND(calcCh1Prod2Slot3Active=1,NOT(calcCh1Prod2Slot3Promo2Weeks=0)),(calcCh1Prod2Slot3Promo2GPaLPWeek-calcCh1Prod2Slot3BaseGPaLPWeek)*decCh1Prod2Slot3Promo2Weeks,"")</f>
        <v/>
      </c>
    </row>
    <row r="6448" spans="4:6" s="614" customFormat="1">
      <c r="D6448" s="377" t="s">
        <v>748</v>
      </c>
      <c r="E6448" s="593" t="str">
        <f>IF(AND(calcCh1Prod2Slot3Active=1,NOT(calcCh1Prod2Slot3Promo2Weeks=0)),calcCh1Prod2Slot3Promo2PlanExp+0,"")</f>
        <v/>
      </c>
    </row>
    <row r="6449" spans="3:6" s="614" customFormat="1">
      <c r="D6449" s="377" t="s">
        <v>4414</v>
      </c>
      <c r="E6449" s="690" t="str">
        <f>IF(AND(calcCh1Prod2Slot3Active=1,NOT(calcCh1Prod2Slot3Promo2Weeks=0)),E6447/E6448,"")</f>
        <v/>
      </c>
      <c r="F6449" s="614" t="s">
        <v>11760</v>
      </c>
    </row>
    <row r="6450" spans="3:6" s="614" customFormat="1"/>
    <row r="6451" spans="3:6" s="614" customFormat="1">
      <c r="D6451" s="633" t="s">
        <v>5195</v>
      </c>
    </row>
    <row r="6452" spans="3:6" s="614" customFormat="1">
      <c r="D6452" s="377" t="s">
        <v>11588</v>
      </c>
      <c r="E6452" s="593" t="str">
        <f>IF(AND(calcCh1Prod2Slot3Active=1,NOT(calcCh1Prod2Slot3Promo2Weeks=0)),calcCh1Prod2Slot3Promo2CustPrice*calcCh1Prod2Slot3Promo2VolPWeek,"")</f>
        <v/>
      </c>
    </row>
    <row r="6453" spans="3:6" s="614" customFormat="1">
      <c r="D6453" s="377" t="s">
        <v>11589</v>
      </c>
      <c r="E6453" s="593" t="str">
        <f>E6448</f>
        <v/>
      </c>
    </row>
    <row r="6454" spans="3:6" s="614" customFormat="1">
      <c r="D6454" s="377" t="s">
        <v>5195</v>
      </c>
      <c r="E6454" s="958" t="str">
        <f>IF(AND(calcCh1Prod2Slot3Active=1,NOT(calcCh1Prod2Slot3Promo2Weeks=0)),((E6452+E6453)-calcCh1Prod2Slot3BaseCustProfPWeek)/calcCh1Prod2Slot3BaseCustProfPWeek,"")</f>
        <v/>
      </c>
      <c r="F6454" s="611" t="s">
        <v>11993</v>
      </c>
    </row>
    <row r="6455" spans="3:6" s="614" customFormat="1"/>
    <row r="6456" spans="3:6" s="614" customFormat="1">
      <c r="C6456" s="633" t="s">
        <v>13953</v>
      </c>
    </row>
    <row r="6457" spans="3:6" s="614" customFormat="1">
      <c r="C6457" s="633" t="s">
        <v>3859</v>
      </c>
    </row>
    <row r="6458" spans="3:6" s="614" customFormat="1">
      <c r="D6458" s="614" t="s">
        <v>11564</v>
      </c>
      <c r="E6458" s="593">
        <f>IF(AND(calcCh1Prod3Slot1Active=1,NOT(calcCh1Prod3Slot1Promo1Weeks=0)),IF(xxSim0Tool1=0,MMCh1Prod3Seg1Slot1UnitsSoldRSP+MMCh1Prod3Seg2Slot1UnitsSoldRSP+MMCh1Prod3Seg3Slot1UnitsSoldRSP+MMCh1Prod3Seg4Slot1UnitsSoldRSP,calcCh1Prod3VolForecastProd*decCh1Prod3Slot1Forecast*(1-decCh1Prod3Slot1Promo1ShareFrc-decCh1Prod3Slot1Promo2ShareFrc))/(cnstWeeksPYear-calcCh1Prod3Slot1Promo1Weeks-calcCh1Prod3Slot1Promo2Weeks),"")</f>
        <v>876933.38880000007</v>
      </c>
      <c r="F6458" s="611" t="s">
        <v>11671</v>
      </c>
    </row>
    <row r="6459" spans="3:6" s="614" customFormat="1">
      <c r="D6459" s="614" t="s">
        <v>11569</v>
      </c>
      <c r="E6459" s="959">
        <f>IF(AND(calcCh1Prod3Slot1Active=1,NOT(calcCh1Prod3Slot1Promo1Weeks=0)),calcCh1Prod3Slot1CustPrice-finCalcCh1Prod3Slot1COGSPUnit-finCalcCh1Prod3Slot1LogExpPerUnit-paramExciseProd3,"")</f>
        <v>2.569672589889497</v>
      </c>
      <c r="F6459" s="611" t="s">
        <v>11672</v>
      </c>
    </row>
    <row r="6460" spans="3:6" s="614" customFormat="1">
      <c r="D6460" s="614" t="s">
        <v>11580</v>
      </c>
      <c r="E6460" s="593">
        <f>IF(AND(calcCh1Prod3Slot1Active=1,NOT(calcCh1Prod3Slot1Promo1Weeks=0)),calcCh1Prod3Slot1BaseVolPWeek*calcCh1Prod3Slot1BaseGPaLPUnit,"")</f>
        <v>2253431.6923582694</v>
      </c>
      <c r="F6460" s="611" t="s">
        <v>11673</v>
      </c>
    </row>
    <row r="6461" spans="3:6" s="614" customFormat="1">
      <c r="D6461" s="614" t="s">
        <v>11586</v>
      </c>
      <c r="E6461" s="593">
        <f>IF(AND(calcCh1Prod3Slot1Active=1,NOT(calcCh1Prod3Slot1Promo1Weeks=0)),calcCh1Prod3Slot1CustPrice*calcCh1Prod3Slot1BaseVolPWeek,"")</f>
        <v>6664693.7548799999</v>
      </c>
      <c r="F6461" s="611" t="s">
        <v>11994</v>
      </c>
    </row>
    <row r="6462" spans="3:6" s="614" customFormat="1">
      <c r="E6462" s="593"/>
      <c r="F6462" s="611"/>
    </row>
    <row r="6463" spans="3:6" s="614" customFormat="1">
      <c r="D6463" s="633" t="s">
        <v>6111</v>
      </c>
    </row>
    <row r="6464" spans="3:6" s="614" customFormat="1">
      <c r="D6464" s="633" t="s">
        <v>11388</v>
      </c>
    </row>
    <row r="6465" spans="4:6" s="614" customFormat="1">
      <c r="D6465" s="377" t="s">
        <v>11565</v>
      </c>
      <c r="E6465" s="593">
        <f>IF(AND(calcCh1Prod3Slot1Active=1,NOT(calcCh1Prod3Slot1Promo1Weeks=0)),(IF(xxSim0Tool1=0,MMCh1Prod3Seg1Slot1UnitsSoldPromo1+MMCh1Prod3Seg2Slot1UnitsSoldPromo1+MMCh1Prod3Seg3Slot1UnitsSoldPromo1+MMCh1Prod3Seg4Slot1UnitsSoldPromo1,calcCh1Prod3VolForecastProd*decCh1Prod3Slot1Promo1ShareFrc))/(calcCh1Prod3Slot1Promo1Weeks),"")</f>
        <v>6089815.2000000002</v>
      </c>
      <c r="F6465" s="614" t="s">
        <v>11674</v>
      </c>
    </row>
    <row r="6466" spans="4:6" s="614" customFormat="1">
      <c r="D6466" s="377" t="s">
        <v>11388</v>
      </c>
      <c r="E6466" s="958">
        <f>IF(AND(calcCh1Prod3Slot1Active=1,NOT(calcCh1Prod3Slot1Promo1Weeks=0)),calcCh1Prod3Slot1Promo1VolPWeek/calcCh1Prod3Slot1BaseVolPWeek-1,"")</f>
        <v>5.9444444444444438</v>
      </c>
      <c r="F6466" s="614" t="s">
        <v>11675</v>
      </c>
    </row>
    <row r="6467" spans="4:6" s="614" customFormat="1"/>
    <row r="6468" spans="4:6" s="614" customFormat="1">
      <c r="D6468" s="633" t="s">
        <v>4413</v>
      </c>
    </row>
    <row r="6469" spans="4:6" s="614" customFormat="1">
      <c r="D6469" s="377" t="s">
        <v>11577</v>
      </c>
      <c r="E6469" s="959">
        <f>IF(AND(calcCh1Prod3Slot1Active=1,NOT(calcCh1Prod3Slot1Promo1Weeks=0)),calcCh1Prod3Slot1Promo1CustPrice-finCalcCh1Prod3Slot1COGSPUnit-finCalcCh1Prod3Slot1LogExpPerUnit-paramExciseProd3,"")</f>
        <v>6.167258988949742E-2</v>
      </c>
      <c r="F6469" s="611" t="s">
        <v>11676</v>
      </c>
    </row>
    <row r="6470" spans="4:6" s="614" customFormat="1">
      <c r="D6470" s="377" t="s">
        <v>11582</v>
      </c>
      <c r="E6470" s="593">
        <f>IF(AND(calcCh1Prod3Slot1Active=1,NOT(calcCh1Prod3Slot1Promo1Weeks=0)),calcCh1Prod3Slot1Promo1GPaLPUnit*calcCh1Prod3Slot1Promo1VolPWeek,"")</f>
        <v>375574.67533242772</v>
      </c>
      <c r="F6470" s="611" t="s">
        <v>11677</v>
      </c>
    </row>
    <row r="6471" spans="4:6" s="614" customFormat="1">
      <c r="D6471" s="377" t="s">
        <v>4413</v>
      </c>
      <c r="E6471" s="958">
        <f>IF(AND(calcCh1Prod3Slot1Active=1,NOT(calcCh1Prod3Slot1Promo1Weeks=0)),calcCh1Prod3Slot1Promo1GPaLPWeek/calcCh1Prod3Slot1BaseGPaLPWeek-1,"")</f>
        <v>-0.83333212335387896</v>
      </c>
      <c r="F6471" s="614" t="s">
        <v>11678</v>
      </c>
    </row>
    <row r="6472" spans="4:6" s="614" customFormat="1">
      <c r="E6472" s="593"/>
    </row>
    <row r="6473" spans="4:6" s="614" customFormat="1">
      <c r="D6473" s="633" t="s">
        <v>4414</v>
      </c>
      <c r="E6473" s="958"/>
    </row>
    <row r="6474" spans="4:6" s="614" customFormat="1">
      <c r="D6474" s="377" t="s">
        <v>11584</v>
      </c>
      <c r="E6474" s="593">
        <f>IF(AND(calcCh1Prod3Slot1Active=1,NOT(calcCh1Prod3Slot1Promo1Weeks=0)),(calcCh1Prod3Slot1Promo1GPaLPWeek-calcCh1Prod3Slot1BaseGPaLPWeek)*decCh1Prod3Slot1Promo1Weeks,"")</f>
        <v>-3755714.0340516833</v>
      </c>
    </row>
    <row r="6475" spans="4:6" s="614" customFormat="1">
      <c r="D6475" s="377" t="s">
        <v>748</v>
      </c>
      <c r="E6475" s="593">
        <f>IF(AND(calcCh1Prod3Slot1Active=1,NOT(calcCh1Prod3Slot1Promo1Weeks=0)),calcCh1Prod3Slot1Promo1PlanExp+0+0,"")</f>
        <v>400000</v>
      </c>
    </row>
    <row r="6476" spans="4:6" s="614" customFormat="1">
      <c r="D6476" s="377" t="s">
        <v>4414</v>
      </c>
      <c r="E6476" s="690">
        <f>IF(AND(calcCh1Prod3Slot1Active=1,NOT(calcCh1Prod3Slot1Promo1Weeks=0)),E6474/E6475,"")</f>
        <v>-9.3892850851292078</v>
      </c>
      <c r="F6476" s="614" t="s">
        <v>11679</v>
      </c>
    </row>
    <row r="6477" spans="4:6" s="614" customFormat="1"/>
    <row r="6478" spans="4:6" s="614" customFormat="1">
      <c r="D6478" s="633" t="s">
        <v>5195</v>
      </c>
    </row>
    <row r="6479" spans="4:6" s="614" customFormat="1">
      <c r="D6479" s="377" t="s">
        <v>11588</v>
      </c>
      <c r="E6479" s="593">
        <f>IF(AND(calcCh1Prod3Slot1Active=1,NOT(calcCh1Prod3Slot1Promo1Weeks=0)),calcCh1Prod3Slot1Promo1CustPrice*calcCh1Prod3Slot1Promo1VolPWeek,"")</f>
        <v>31009338.998399999</v>
      </c>
    </row>
    <row r="6480" spans="4:6" s="614" customFormat="1">
      <c r="D6480" s="377" t="s">
        <v>11589</v>
      </c>
      <c r="E6480" s="593">
        <f>E6475</f>
        <v>400000</v>
      </c>
    </row>
    <row r="6481" spans="4:6" s="614" customFormat="1">
      <c r="D6481" s="377" t="s">
        <v>5195</v>
      </c>
      <c r="E6481" s="958">
        <f>IF(AND(calcCh1Prod3Slot1Active=1,NOT(calcCh1Prod3Slot1Promo1Weeks=0)),((E6479+E6480)-calcCh1Prod3Slot1BaseCustProfPWeek)/calcCh1Prod3Slot1BaseCustProfPWeek,"")</f>
        <v>3.7127955392401275</v>
      </c>
      <c r="F6481" s="611" t="s">
        <v>11995</v>
      </c>
    </row>
    <row r="6482" spans="4:6" s="614" customFormat="1"/>
    <row r="6483" spans="4:6" s="614" customFormat="1">
      <c r="D6483" s="633" t="s">
        <v>6112</v>
      </c>
    </row>
    <row r="6484" spans="4:6" s="614" customFormat="1">
      <c r="D6484" s="633" t="s">
        <v>11388</v>
      </c>
    </row>
    <row r="6485" spans="4:6" s="614" customFormat="1">
      <c r="D6485" s="377" t="s">
        <v>11565</v>
      </c>
      <c r="E6485" s="593" t="str">
        <f>IF(AND(calcCh1Prod3Slot1Active=1,NOT(calcCh1Prod3Slot1Promo2Weeks=0)),(IF(xxSim0Tool1=0,MMCh1Prod3Seg1Slot1UnitsSoldPromo2+MMCh1Prod3Seg2Slot1UnitsSoldPromo2+MMCh1Prod3Seg3Slot1UnitsSoldPromo2+MMCh1Prod3Seg4Slot1UnitsSoldPromo2,calcCh1Prod3VolForecastProd*decCh1Prod3Slot1Promo2ShareFrc))/(calcCh1Prod3Slot1Promo2Weeks),"")</f>
        <v/>
      </c>
      <c r="F6485" s="614" t="s">
        <v>11680</v>
      </c>
    </row>
    <row r="6486" spans="4:6" s="614" customFormat="1">
      <c r="D6486" s="377" t="s">
        <v>11388</v>
      </c>
      <c r="E6486" s="958" t="str">
        <f>IF(AND(calcCh1Prod3Slot1Active=1,NOT(calcCh1Prod3Slot1Promo2Weeks=0)),calcCh1Prod3Slot1Promo2VolPWeek/calcCh1Prod3Slot1BaseVolPWeek-1,"")</f>
        <v/>
      </c>
      <c r="F6486" s="614" t="s">
        <v>11681</v>
      </c>
    </row>
    <row r="6487" spans="4:6" s="614" customFormat="1"/>
    <row r="6488" spans="4:6" s="614" customFormat="1">
      <c r="D6488" s="633" t="s">
        <v>4413</v>
      </c>
    </row>
    <row r="6489" spans="4:6" s="614" customFormat="1">
      <c r="D6489" s="377" t="s">
        <v>11577</v>
      </c>
      <c r="E6489" s="959" t="str">
        <f>IF(AND(calcCh1Prod3Slot1Active=1,NOT(calcCh1Prod3Slot1Promo2Weeks=0)),calcCh1Prod3Slot1Promo2CustPrice-finCalcCh1Prod3Slot1COGSPUnit-finCalcCh1Prod3Slot1LogExpPerUnit-paramExciseProd3,"")</f>
        <v/>
      </c>
      <c r="F6489" s="611" t="s">
        <v>11682</v>
      </c>
    </row>
    <row r="6490" spans="4:6" s="614" customFormat="1">
      <c r="D6490" s="377" t="s">
        <v>11582</v>
      </c>
      <c r="E6490" s="593" t="str">
        <f>IF(AND(calcCh1Prod3Slot1Active=1,NOT(calcCh1Prod3Slot1Promo2Weeks=0)),calcCh1Prod3Slot1Promo2GPaLPUnit*calcCh1Prod3Slot1Promo2VolPWeek,"")</f>
        <v/>
      </c>
      <c r="F6490" s="611" t="s">
        <v>11683</v>
      </c>
    </row>
    <row r="6491" spans="4:6" s="614" customFormat="1">
      <c r="D6491" s="377" t="s">
        <v>4413</v>
      </c>
      <c r="E6491" s="958" t="str">
        <f>IF(AND(calcCh1Prod3Slot1Active=1,NOT(calcCh1Prod3Slot1Promo2Weeks=0)),calcCh1Prod3Slot1Promo2GPaLPWeek/calcCh1Prod3Slot1BaseGPaLPWeek-1,"")</f>
        <v/>
      </c>
      <c r="F6491" s="614" t="s">
        <v>11684</v>
      </c>
    </row>
    <row r="6492" spans="4:6" s="614" customFormat="1">
      <c r="E6492" s="593"/>
    </row>
    <row r="6493" spans="4:6" s="614" customFormat="1">
      <c r="D6493" s="633" t="s">
        <v>4414</v>
      </c>
      <c r="E6493" s="958"/>
    </row>
    <row r="6494" spans="4:6" s="614" customFormat="1">
      <c r="D6494" s="377" t="s">
        <v>11584</v>
      </c>
      <c r="E6494" s="593" t="str">
        <f>IF(AND(calcCh1Prod3Slot1Active=1,NOT(calcCh1Prod3Slot1Promo2Weeks=0)),(calcCh1Prod3Slot1Promo2GPaLPWeek-calcCh1Prod3Slot1BaseGPaLPWeek)*decCh1Prod3Slot1Promo2Weeks,"")</f>
        <v/>
      </c>
    </row>
    <row r="6495" spans="4:6" s="614" customFormat="1">
      <c r="D6495" s="377" t="s">
        <v>748</v>
      </c>
      <c r="E6495" s="593" t="str">
        <f>IF(AND(calcCh1Prod3Slot1Active=1,NOT(calcCh1Prod3Slot1Promo2Weeks=0)),calcCh1Prod3Slot1Promo2PlanExp+0,"")</f>
        <v/>
      </c>
    </row>
    <row r="6496" spans="4:6" s="614" customFormat="1">
      <c r="D6496" s="377" t="s">
        <v>4414</v>
      </c>
      <c r="E6496" s="690" t="str">
        <f>IF(AND(calcCh1Prod3Slot1Active=1,NOT(calcCh1Prod3Slot1Promo2Weeks=0)),E6494/E6495,"")</f>
        <v/>
      </c>
      <c r="F6496" s="614" t="s">
        <v>11685</v>
      </c>
    </row>
    <row r="6497" spans="3:6" s="614" customFormat="1"/>
    <row r="6498" spans="3:6" s="614" customFormat="1">
      <c r="D6498" s="633" t="s">
        <v>5195</v>
      </c>
    </row>
    <row r="6499" spans="3:6" s="614" customFormat="1">
      <c r="D6499" s="377" t="s">
        <v>11588</v>
      </c>
      <c r="E6499" s="593" t="str">
        <f>IF(AND(calcCh1Prod3Slot1Active=1,NOT(calcCh1Prod3Slot1Promo2Weeks=0)),calcCh1Prod3Slot1Promo2CustPrice*calcCh1Prod3Slot1Promo2VolPWeek,"")</f>
        <v/>
      </c>
    </row>
    <row r="6500" spans="3:6" s="614" customFormat="1">
      <c r="D6500" s="377" t="s">
        <v>11589</v>
      </c>
      <c r="E6500" s="593" t="str">
        <f>E6495</f>
        <v/>
      </c>
    </row>
    <row r="6501" spans="3:6" s="614" customFormat="1">
      <c r="D6501" s="377" t="s">
        <v>5195</v>
      </c>
      <c r="E6501" s="958" t="str">
        <f>IF(AND(calcCh1Prod3Slot1Active=1,NOT(calcCh1Prod3Slot1Promo2Weeks=0)),((E6499+E6500)-calcCh1Prod3Slot1BaseCustProfPWeek)/calcCh1Prod3Slot1BaseCustProfPWeek,"")</f>
        <v/>
      </c>
      <c r="F6501" s="611" t="s">
        <v>11996</v>
      </c>
    </row>
    <row r="6502" spans="3:6" s="614" customFormat="1"/>
    <row r="6503" spans="3:6" s="614" customFormat="1">
      <c r="C6503" s="633" t="s">
        <v>3858</v>
      </c>
    </row>
    <row r="6504" spans="3:6" s="614" customFormat="1">
      <c r="D6504" s="614" t="s">
        <v>11564</v>
      </c>
      <c r="E6504" s="593">
        <f>IF(AND(calcCh1Prod3Slot2Active=1,NOT(calcCh1Prod3Slot2Promo1Weeks=0)),IF(xxSim0Tool1=0,MMCh1Prod3Seg1Slot2UnitsSoldRSP+MMCh1Prod3Seg2Slot2UnitsSoldRSP+MMCh1Prod3Seg3Slot2UnitsSoldRSP+MMCh1Prod3Seg4Slot2UnitsSoldRSP,calcCh1Prod3VolForecastProd*decCh1Prod3Slot2Forecast*(1-decCh1Prod3Slot2Promo1ShareFrc-decCh1Prod3Slot2Promo2ShareFrc))/(cnstWeeksPYear-calcCh1Prod3Slot2Promo1Weeks-calcCh1Prod3Slot2Promo2Weeks),"")</f>
        <v>894829.98857142834</v>
      </c>
      <c r="F6504" s="611" t="s">
        <v>11686</v>
      </c>
    </row>
    <row r="6505" spans="3:6" s="614" customFormat="1">
      <c r="D6505" s="614" t="s">
        <v>11569</v>
      </c>
      <c r="E6505" s="959">
        <f>IF(AND(calcCh1Prod3Slot2Active=1,NOT(calcCh1Prod3Slot2Promo1Weeks=0)),calcCh1Prod3Slot2CustPrice-finCalcCh1Prod3Slot2COGSPUnit-finCalcCh1Prod3Slot2LogExpPerUnit-paramExciseProd3,"")</f>
        <v>2.7508238968156755</v>
      </c>
      <c r="F6505" s="611" t="s">
        <v>11687</v>
      </c>
    </row>
    <row r="6506" spans="3:6" s="614" customFormat="1">
      <c r="D6506" s="614" t="s">
        <v>11580</v>
      </c>
      <c r="E6506" s="593">
        <f>IF(AND(calcCh1Prod3Slot2Active=1,NOT(calcCh1Prod3Slot2Promo1Weeks=0)),calcCh1Prod3Slot2BaseVolPWeek*calcCh1Prod3Slot2BaseGPaLPUnit,"")</f>
        <v>2461519.716149583</v>
      </c>
      <c r="F6506" s="611" t="s">
        <v>11688</v>
      </c>
    </row>
    <row r="6507" spans="3:6" s="614" customFormat="1">
      <c r="D6507" s="614" t="s">
        <v>11586</v>
      </c>
      <c r="E6507" s="593">
        <f>IF(AND(calcCh1Prod3Slot2Active=1,NOT(calcCh1Prod3Slot2Promo1Weeks=0)),calcCh1Prod3Slot2CustPrice*calcCh1Prod3Slot2BaseVolPWeek,"")</f>
        <v>6872294.3122285698</v>
      </c>
      <c r="F6507" s="611" t="s">
        <v>11997</v>
      </c>
    </row>
    <row r="6508" spans="3:6" s="614" customFormat="1">
      <c r="E6508" s="593"/>
      <c r="F6508" s="611"/>
    </row>
    <row r="6509" spans="3:6" s="614" customFormat="1">
      <c r="D6509" s="633" t="s">
        <v>6111</v>
      </c>
    </row>
    <row r="6510" spans="3:6" s="614" customFormat="1">
      <c r="D6510" s="633" t="s">
        <v>11388</v>
      </c>
    </row>
    <row r="6511" spans="3:6" s="614" customFormat="1">
      <c r="D6511" s="377" t="s">
        <v>11565</v>
      </c>
      <c r="E6511" s="593">
        <f>IF(AND(calcCh1Prod3Slot2Active=1,NOT(calcCh1Prod3Slot2Promo1Weeks=0)),(IF(xxSim0Tool1=0,MMCh1Prod3Seg1Slot2UnitsSoldPromo1+MMCh1Prod3Seg2Slot2UnitsSoldPromo1+MMCh1Prod3Seg3Slot2UnitsSoldPromo1+MMCh1Prod3Seg4Slot2UnitsSoldPromo1,calcCh1Prod3VolForecastProd*decCh1Prod3Slot2Promo1ShareFrc))/(calcCh1Prod3Slot2Promo1Weeks),"")</f>
        <v>16239507.200000001</v>
      </c>
      <c r="F6511" s="614" t="s">
        <v>11689</v>
      </c>
    </row>
    <row r="6512" spans="3:6" s="614" customFormat="1">
      <c r="D6512" s="377" t="s">
        <v>11388</v>
      </c>
      <c r="E6512" s="958">
        <f>IF(AND(calcCh1Prod3Slot2Active=1,NOT(calcCh1Prod3Slot2Promo1Weeks=0)),calcCh1Prod3Slot2Promo1VolPWeek/calcCh1Prod3Slot2BaseVolPWeek-1,"")</f>
        <v>17.148148148148152</v>
      </c>
      <c r="F6512" s="614" t="s">
        <v>11690</v>
      </c>
    </row>
    <row r="6513" spans="4:6" s="614" customFormat="1"/>
    <row r="6514" spans="4:6" s="614" customFormat="1">
      <c r="D6514" s="633" t="s">
        <v>4413</v>
      </c>
    </row>
    <row r="6515" spans="4:6" s="614" customFormat="1">
      <c r="D6515" s="377" t="s">
        <v>11577</v>
      </c>
      <c r="E6515" s="959">
        <f>IF(AND(calcCh1Prod3Slot2Active=1,NOT(calcCh1Prod3Slot2Promo1Weeks=0)),calcCh1Prod3Slot2Promo1CustPrice-finCalcCh1Prod3Slot2COGSPUnit-finCalcCh1Prod3Slot2LogExpPerUnit-paramExciseProd3,"")</f>
        <v>1.2148238968156759</v>
      </c>
      <c r="F6515" s="611" t="s">
        <v>11691</v>
      </c>
    </row>
    <row r="6516" spans="4:6" s="614" customFormat="1">
      <c r="D6516" s="377" t="s">
        <v>11582</v>
      </c>
      <c r="E6516" s="593">
        <f>IF(AND(calcCh1Prod3Slot2Active=1,NOT(calcCh1Prod3Slot2Promo1Weeks=0)),calcCh1Prod3Slot2Promo1GPaLPUnit*calcCh1Prod3Slot2Promo1VolPWeek,"")</f>
        <v>19728141.419070229</v>
      </c>
      <c r="F6516" s="611" t="s">
        <v>11692</v>
      </c>
    </row>
    <row r="6517" spans="4:6" s="614" customFormat="1">
      <c r="D6517" s="377" t="s">
        <v>4413</v>
      </c>
      <c r="E6517" s="958">
        <f>IF(AND(calcCh1Prod3Slot2Active=1,NOT(calcCh1Prod3Slot2Promo1Weeks=0)),calcCh1Prod3Slot2Promo1GPaLPWeek/calcCh1Prod3Slot2BaseGPaLPWeek-1,"")</f>
        <v>7.0146184853354949</v>
      </c>
      <c r="F6517" s="614" t="s">
        <v>11693</v>
      </c>
    </row>
    <row r="6518" spans="4:6" s="614" customFormat="1">
      <c r="E6518" s="593"/>
    </row>
    <row r="6519" spans="4:6" s="614" customFormat="1">
      <c r="D6519" s="633" t="s">
        <v>4414</v>
      </c>
      <c r="E6519" s="958"/>
    </row>
    <row r="6520" spans="4:6" s="614" customFormat="1">
      <c r="D6520" s="377" t="s">
        <v>11584</v>
      </c>
      <c r="E6520" s="593">
        <f>IF(AND(calcCh1Prod3Slot2Active=1,NOT(calcCh1Prod3Slot2Promo1Weeks=0)),(calcCh1Prod3Slot2Promo1GPaLPWeek-calcCh1Prod3Slot2BaseGPaLPWeek)*decCh1Prod3Slot2Promo1Weeks,"")</f>
        <v>51799865.108761936</v>
      </c>
    </row>
    <row r="6521" spans="4:6" s="614" customFormat="1">
      <c r="D6521" s="377" t="s">
        <v>748</v>
      </c>
      <c r="E6521" s="593">
        <f>IF(AND(calcCh1Prod3Slot2Active=1,NOT(calcCh1Prod3Slot2Promo1Weeks=0)),calcCh1Prod3Slot2Promo1PlanExp+0+0,"")</f>
        <v>600000</v>
      </c>
    </row>
    <row r="6522" spans="4:6" s="614" customFormat="1">
      <c r="D6522" s="377" t="s">
        <v>4414</v>
      </c>
      <c r="E6522" s="690">
        <f>IF(AND(calcCh1Prod3Slot2Active=1,NOT(calcCh1Prod3Slot2Promo1Weeks=0)),E6520/E6521,"")</f>
        <v>86.333108514603225</v>
      </c>
      <c r="F6522" s="614" t="s">
        <v>11694</v>
      </c>
    </row>
    <row r="6523" spans="4:6" s="614" customFormat="1"/>
    <row r="6524" spans="4:6" s="614" customFormat="1">
      <c r="D6524" s="633" t="s">
        <v>5195</v>
      </c>
    </row>
    <row r="6525" spans="4:6" s="614" customFormat="1">
      <c r="D6525" s="377" t="s">
        <v>11588</v>
      </c>
      <c r="E6525" s="593">
        <f>IF(AND(calcCh1Prod3Slot2Active=1,NOT(calcCh1Prod3Slot2Promo1Weeks=0)),calcCh1Prod3Slot2Promo1CustPrice*calcCh1Prod3Slot2Promo1VolPWeek,"")</f>
        <v>99775532.236800015</v>
      </c>
    </row>
    <row r="6526" spans="4:6" s="614" customFormat="1">
      <c r="D6526" s="377" t="s">
        <v>11589</v>
      </c>
      <c r="E6526" s="593">
        <f>E6521</f>
        <v>600000</v>
      </c>
    </row>
    <row r="6527" spans="4:6" s="614" customFormat="1">
      <c r="D6527" s="377" t="s">
        <v>5195</v>
      </c>
      <c r="E6527" s="958">
        <f>IF(AND(calcCh1Prod3Slot2Active=1,NOT(calcCh1Prod3Slot2Promo1Weeks=0)),((E6525+E6526)-calcCh1Prod3Slot2BaseCustProfPWeek)/calcCh1Prod3Slot2BaseCustProfPWeek,"")</f>
        <v>13.605825605895784</v>
      </c>
      <c r="F6527" s="611" t="s">
        <v>11998</v>
      </c>
    </row>
    <row r="6528" spans="4:6" s="614" customFormat="1"/>
    <row r="6529" spans="4:6" s="614" customFormat="1">
      <c r="D6529" s="633" t="s">
        <v>6112</v>
      </c>
    </row>
    <row r="6530" spans="4:6" s="614" customFormat="1">
      <c r="D6530" s="633" t="s">
        <v>11388</v>
      </c>
    </row>
    <row r="6531" spans="4:6" s="614" customFormat="1">
      <c r="D6531" s="377" t="s">
        <v>11565</v>
      </c>
      <c r="E6531" s="593" t="str">
        <f>IF(AND(calcCh1Prod3Slot2Active=1,NOT(calcCh1Prod3Slot2Promo2Weeks=0)),(IF(xxSim0Tool1=0,MMCh1Prod3Seg1Slot2UnitsSoldPromo2+MMCh1Prod3Seg2Slot2UnitsSoldPromo2+MMCh1Prod3Seg3Slot2UnitsSoldPromo2+MMCh1Prod3Seg4Slot2UnitsSoldPromo2,calcCh1Prod3VolForecastProd*decCh1Prod3Slot2Promo2ShareFrc))/(calcCh1Prod3Slot2Promo2Weeks),"")</f>
        <v/>
      </c>
      <c r="F6531" s="614" t="s">
        <v>11695</v>
      </c>
    </row>
    <row r="6532" spans="4:6" s="614" customFormat="1">
      <c r="D6532" s="377" t="s">
        <v>11388</v>
      </c>
      <c r="E6532" s="958" t="str">
        <f>IF(AND(calcCh1Prod3Slot2Active=1,NOT(calcCh1Prod3Slot2Promo2Weeks=0)),calcCh1Prod3Slot2Promo2VolPWeek/calcCh1Prod3Slot2BaseVolPWeek-1,"")</f>
        <v/>
      </c>
      <c r="F6532" s="614" t="s">
        <v>11696</v>
      </c>
    </row>
    <row r="6533" spans="4:6" s="614" customFormat="1"/>
    <row r="6534" spans="4:6" s="614" customFormat="1">
      <c r="D6534" s="633" t="s">
        <v>4413</v>
      </c>
    </row>
    <row r="6535" spans="4:6" s="614" customFormat="1">
      <c r="D6535" s="377" t="s">
        <v>11577</v>
      </c>
      <c r="E6535" s="959" t="str">
        <f>IF(AND(calcCh1Prod3Slot2Active=1,NOT(calcCh1Prod3Slot2Promo2Weeks=0)),calcCh1Prod3Slot2Promo2CustPrice-finCalcCh1Prod3Slot2COGSPUnit-finCalcCh1Prod3Slot2LogExpPerUnit-paramExciseProd3,"")</f>
        <v/>
      </c>
      <c r="F6535" s="611" t="s">
        <v>11697</v>
      </c>
    </row>
    <row r="6536" spans="4:6" s="614" customFormat="1">
      <c r="D6536" s="377" t="s">
        <v>11582</v>
      </c>
      <c r="E6536" s="593" t="str">
        <f>IF(AND(calcCh1Prod3Slot2Active=1,NOT(calcCh1Prod3Slot2Promo2Weeks=0)),calcCh1Prod3Slot2Promo2GPaLPUnit*calcCh1Prod3Slot2Promo2VolPWeek,"")</f>
        <v/>
      </c>
      <c r="F6536" s="611" t="s">
        <v>11698</v>
      </c>
    </row>
    <row r="6537" spans="4:6" s="614" customFormat="1">
      <c r="D6537" s="377" t="s">
        <v>4413</v>
      </c>
      <c r="E6537" s="958" t="str">
        <f>IF(AND(calcCh1Prod3Slot2Active=1,NOT(calcCh1Prod3Slot2Promo2Weeks=0)),calcCh1Prod3Slot2Promo2GPaLPWeek/calcCh1Prod3Slot2BaseGPaLPWeek-1,"")</f>
        <v/>
      </c>
      <c r="F6537" s="614" t="s">
        <v>11699</v>
      </c>
    </row>
    <row r="6538" spans="4:6" s="614" customFormat="1">
      <c r="E6538" s="593"/>
    </row>
    <row r="6539" spans="4:6" s="614" customFormat="1">
      <c r="D6539" s="633" t="s">
        <v>4414</v>
      </c>
      <c r="E6539" s="958"/>
    </row>
    <row r="6540" spans="4:6" s="614" customFormat="1">
      <c r="D6540" s="377" t="s">
        <v>11584</v>
      </c>
      <c r="E6540" s="593" t="str">
        <f>IF(AND(calcCh1Prod3Slot2Active=1,NOT(calcCh1Prod3Slot2Promo2Weeks=0)),(calcCh1Prod3Slot2Promo2GPaLPWeek-calcCh1Prod3Slot2BaseGPaLPWeek)*decCh1Prod3Slot2Promo2Weeks,"")</f>
        <v/>
      </c>
    </row>
    <row r="6541" spans="4:6" s="614" customFormat="1">
      <c r="D6541" s="377" t="s">
        <v>748</v>
      </c>
      <c r="E6541" s="593" t="str">
        <f>IF(AND(calcCh1Prod3Slot2Active=1,NOT(calcCh1Prod3Slot2Promo2Weeks=0)),calcCh1Prod3Slot2Promo2PlanExp+0,"")</f>
        <v/>
      </c>
    </row>
    <row r="6542" spans="4:6" s="614" customFormat="1">
      <c r="D6542" s="377" t="s">
        <v>4414</v>
      </c>
      <c r="E6542" s="690" t="str">
        <f>IF(AND(calcCh1Prod3Slot2Active=1,NOT(calcCh1Prod3Slot2Promo2Weeks=0)),E6540/E6541,"")</f>
        <v/>
      </c>
      <c r="F6542" s="614" t="s">
        <v>11700</v>
      </c>
    </row>
    <row r="6543" spans="4:6" s="614" customFormat="1"/>
    <row r="6544" spans="4:6" s="614" customFormat="1">
      <c r="D6544" s="633" t="s">
        <v>5195</v>
      </c>
    </row>
    <row r="6545" spans="3:6" s="614" customFormat="1">
      <c r="D6545" s="377" t="s">
        <v>11588</v>
      </c>
      <c r="E6545" s="593" t="str">
        <f>IF(AND(calcCh1Prod3Slot2Active=1,NOT(calcCh1Prod3Slot2Promo2Weeks=0)),calcCh1Prod3Slot2Promo2CustPrice*calcCh1Prod3Slot2Promo2VolPWeek,"")</f>
        <v/>
      </c>
    </row>
    <row r="6546" spans="3:6" s="614" customFormat="1">
      <c r="D6546" s="377" t="s">
        <v>11589</v>
      </c>
      <c r="E6546" s="593" t="str">
        <f>E6541</f>
        <v/>
      </c>
    </row>
    <row r="6547" spans="3:6" s="614" customFormat="1">
      <c r="D6547" s="377" t="s">
        <v>5195</v>
      </c>
      <c r="E6547" s="958" t="str">
        <f>IF(AND(calcCh1Prod3Slot2Active=1,NOT(calcCh1Prod3Slot2Promo2Weeks=0)),((E6545+E6546)-calcCh1Prod3Slot2BaseCustProfPWeek)/calcCh1Prod3Slot2BaseCustProfPWeek,"")</f>
        <v/>
      </c>
      <c r="F6547" s="611" t="s">
        <v>11999</v>
      </c>
    </row>
    <row r="6548" spans="3:6" s="614" customFormat="1"/>
    <row r="6549" spans="3:6" s="614" customFormat="1">
      <c r="C6549" s="633" t="s">
        <v>3860</v>
      </c>
    </row>
    <row r="6550" spans="3:6" s="614" customFormat="1">
      <c r="D6550" s="614" t="s">
        <v>11564</v>
      </c>
      <c r="E6550" s="593" t="str">
        <f>IF(AND(calcCh1Prod3Slot3Active=1,NOT(calcCh1Prod3Slot3Promo1Weeks=0)),IF(xxSim0Tool1=0,MMCh1Prod3Seg1Slot3UnitsSoldRSP+MMCh1Prod3Seg2Slot3UnitsSoldRSP+MMCh1Prod3Seg3Slot3UnitsSoldRSP+MMCh1Prod3Seg4Slot3UnitsSoldRSP,calcCh1Prod3VolForecastProd*decCh1Prod3Slot3Forecast*(1-decCh1Prod3Slot3Promo1ShareFrc-decCh1Prod3Slot3Promo2ShareFrc))/(cnstWeeksPYear-calcCh1Prod3Slot3Promo1Weeks-calcCh1Prod3Slot3Promo2Weeks),"")</f>
        <v/>
      </c>
      <c r="F6550" s="611" t="s">
        <v>11701</v>
      </c>
    </row>
    <row r="6551" spans="3:6" s="614" customFormat="1">
      <c r="D6551" s="614" t="s">
        <v>11569</v>
      </c>
      <c r="E6551" s="959" t="str">
        <f>IF(AND(calcCh1Prod3Slot3Active=1,NOT(calcCh1Prod3Slot3Promo1Weeks=0)),calcCh1Prod3Slot3CustPrice-finCalcCh1Prod3Slot3COGSPUnit-finCalcCh1Prod3Slot3LogExpPerUnit-paramExciseProd3,"")</f>
        <v/>
      </c>
      <c r="F6551" s="611" t="s">
        <v>11702</v>
      </c>
    </row>
    <row r="6552" spans="3:6" s="614" customFormat="1">
      <c r="D6552" s="614" t="s">
        <v>11580</v>
      </c>
      <c r="E6552" s="593" t="str">
        <f>IF(AND(calcCh1Prod3Slot3Active=1,NOT(calcCh1Prod3Slot3Promo1Weeks=0)),calcCh1Prod3Slot3BaseVolPWeek*calcCh1Prod3Slot3BaseGPaLPUnit,"")</f>
        <v/>
      </c>
      <c r="F6552" s="611" t="s">
        <v>11703</v>
      </c>
    </row>
    <row r="6553" spans="3:6" s="614" customFormat="1">
      <c r="D6553" s="614" t="s">
        <v>11586</v>
      </c>
      <c r="E6553" s="593" t="str">
        <f>IF(AND(calcCh1Prod3Slot3Active=1,NOT(calcCh1Prod3Slot3Promo1Weeks=0)),calcCh1Prod3Slot3CustPrice*calcCh1Prod3Slot3BaseVolPWeek,"")</f>
        <v/>
      </c>
      <c r="F6553" s="611" t="s">
        <v>12000</v>
      </c>
    </row>
    <row r="6554" spans="3:6" s="614" customFormat="1">
      <c r="E6554" s="593"/>
      <c r="F6554" s="611"/>
    </row>
    <row r="6555" spans="3:6" s="614" customFormat="1">
      <c r="D6555" s="633" t="s">
        <v>6111</v>
      </c>
    </row>
    <row r="6556" spans="3:6" s="614" customFormat="1">
      <c r="D6556" s="633" t="s">
        <v>11388</v>
      </c>
    </row>
    <row r="6557" spans="3:6" s="614" customFormat="1">
      <c r="D6557" s="377" t="s">
        <v>11565</v>
      </c>
      <c r="E6557" s="593" t="str">
        <f>IF(AND(calcCh1Prod3Slot3Active=1,NOT(calcCh1Prod3Slot3Promo1Weeks=0)),(IF(xxSim0Tool1=0,MMCh1Prod3Seg1Slot3UnitsSoldPromo1+MMCh1Prod3Seg2Slot3UnitsSoldPromo1+MMCh1Prod3Seg3Slot3UnitsSoldPromo1+MMCh1Prod3Seg4Slot3UnitsSoldPromo1,calcCh1Prod3VolForecastProd*decCh1Prod3Slot3Promo1ShareFrc))/(calcCh1Prod3Slot3Promo1Weeks),"")</f>
        <v/>
      </c>
      <c r="F6557" s="614" t="s">
        <v>11704</v>
      </c>
    </row>
    <row r="6558" spans="3:6" s="614" customFormat="1">
      <c r="D6558" s="377" t="s">
        <v>11388</v>
      </c>
      <c r="E6558" s="958" t="str">
        <f>IF(AND(calcCh1Prod3Slot3Active=1,NOT(calcCh1Prod3Slot3Promo1Weeks=0)),calcCh1Prod3Slot3Promo1VolPWeek/calcCh1Prod3Slot3BaseVolPWeek-1,"")</f>
        <v/>
      </c>
      <c r="F6558" s="614" t="s">
        <v>11705</v>
      </c>
    </row>
    <row r="6559" spans="3:6" s="614" customFormat="1"/>
    <row r="6560" spans="3:6" s="614" customFormat="1">
      <c r="D6560" s="633" t="s">
        <v>4413</v>
      </c>
    </row>
    <row r="6561" spans="4:6" s="614" customFormat="1">
      <c r="D6561" s="377" t="s">
        <v>11577</v>
      </c>
      <c r="E6561" s="959" t="str">
        <f>IF(AND(calcCh1Prod3Slot3Active=1,NOT(calcCh1Prod3Slot3Promo1Weeks=0)),calcCh1Prod3Slot3Promo1CustPrice-finCalcCh1Prod3Slot3COGSPUnit-finCalcCh1Prod3Slot3LogExpPerUnit-paramExciseProd3,"")</f>
        <v/>
      </c>
      <c r="F6561" s="611" t="s">
        <v>11706</v>
      </c>
    </row>
    <row r="6562" spans="4:6" s="614" customFormat="1">
      <c r="D6562" s="377" t="s">
        <v>11582</v>
      </c>
      <c r="E6562" s="593" t="str">
        <f>IF(AND(calcCh1Prod3Slot3Active=1,NOT(calcCh1Prod3Slot3Promo1Weeks=0)),calcCh1Prod3Slot3Promo1GPaLPUnit*calcCh1Prod3Slot3Promo1VolPWeek,"")</f>
        <v/>
      </c>
      <c r="F6562" s="611" t="s">
        <v>11707</v>
      </c>
    </row>
    <row r="6563" spans="4:6" s="614" customFormat="1">
      <c r="D6563" s="377" t="s">
        <v>4413</v>
      </c>
      <c r="E6563" s="958" t="str">
        <f>IF(AND(calcCh1Prod3Slot3Active=1,NOT(calcCh1Prod3Slot3Promo1Weeks=0)),calcCh1Prod3Slot3Promo1GPaLPWeek/calcCh1Prod3Slot3BaseGPaLPWeek-1,"")</f>
        <v/>
      </c>
      <c r="F6563" s="614" t="s">
        <v>11708</v>
      </c>
    </row>
    <row r="6564" spans="4:6" s="614" customFormat="1">
      <c r="E6564" s="593"/>
    </row>
    <row r="6565" spans="4:6" s="614" customFormat="1">
      <c r="D6565" s="633" t="s">
        <v>4414</v>
      </c>
      <c r="E6565" s="958"/>
    </row>
    <row r="6566" spans="4:6" s="614" customFormat="1">
      <c r="D6566" s="377" t="s">
        <v>11584</v>
      </c>
      <c r="E6566" s="593" t="str">
        <f>IF(AND(calcCh1Prod3Slot3Active=1,NOT(calcCh1Prod3Slot3Promo1Weeks=0)),(calcCh1Prod3Slot3Promo1GPaLPWeek-calcCh1Prod3Slot3BaseGPaLPWeek)*decCh1Prod3Slot3Promo1Weeks,"")</f>
        <v/>
      </c>
    </row>
    <row r="6567" spans="4:6" s="614" customFormat="1">
      <c r="D6567" s="377" t="s">
        <v>748</v>
      </c>
      <c r="E6567" s="593" t="str">
        <f>IF(AND(calcCh1Prod3Slot3Active=1,NOT(calcCh1Prod3Slot3Promo1Weeks=0)),calcCh1Prod3Slot3Promo1PlanExp+0+0,"")</f>
        <v/>
      </c>
    </row>
    <row r="6568" spans="4:6" s="614" customFormat="1">
      <c r="D6568" s="377" t="s">
        <v>4414</v>
      </c>
      <c r="E6568" s="690" t="str">
        <f>IF(AND(calcCh1Prod3Slot3Active=1,NOT(calcCh1Prod3Slot3Promo1Weeks=0)),E6566/E6567,"")</f>
        <v/>
      </c>
      <c r="F6568" s="614" t="s">
        <v>11709</v>
      </c>
    </row>
    <row r="6569" spans="4:6" s="614" customFormat="1"/>
    <row r="6570" spans="4:6" s="614" customFormat="1">
      <c r="D6570" s="633" t="s">
        <v>5195</v>
      </c>
    </row>
    <row r="6571" spans="4:6" s="614" customFormat="1">
      <c r="D6571" s="377" t="s">
        <v>11588</v>
      </c>
      <c r="E6571" s="593" t="str">
        <f>IF(AND(calcCh1Prod3Slot3Active=1,NOT(calcCh1Prod3Slot3Promo1Weeks=0)),calcCh1Prod3Slot3Promo1CustPrice*calcCh1Prod3Slot3Promo1VolPWeek,"")</f>
        <v/>
      </c>
    </row>
    <row r="6572" spans="4:6" s="614" customFormat="1">
      <c r="D6572" s="377" t="s">
        <v>11589</v>
      </c>
      <c r="E6572" s="593" t="str">
        <f>E6567</f>
        <v/>
      </c>
    </row>
    <row r="6573" spans="4:6" s="614" customFormat="1">
      <c r="D6573" s="377" t="s">
        <v>5195</v>
      </c>
      <c r="E6573" s="958" t="str">
        <f>IF(AND(calcCh1Prod3Slot3Active=1,NOT(calcCh1Prod3Slot3Promo1Weeks=0)),((E6571+E6572)-calcCh1Prod3Slot3BaseCustProfPWeek)/calcCh1Prod3Slot3BaseCustProfPWeek,"")</f>
        <v/>
      </c>
      <c r="F6573" s="611" t="s">
        <v>12001</v>
      </c>
    </row>
    <row r="6574" spans="4:6" s="614" customFormat="1"/>
    <row r="6575" spans="4:6" s="614" customFormat="1">
      <c r="D6575" s="633" t="s">
        <v>6112</v>
      </c>
    </row>
    <row r="6576" spans="4:6" s="614" customFormat="1">
      <c r="D6576" s="633" t="s">
        <v>11388</v>
      </c>
    </row>
    <row r="6577" spans="4:6" s="614" customFormat="1">
      <c r="D6577" s="377" t="s">
        <v>11565</v>
      </c>
      <c r="E6577" s="593" t="str">
        <f>IF(AND(calcCh1Prod3Slot3Active=1,NOT(calcCh1Prod3Slot3Promo2Weeks=0)),(IF(xxSim0Tool1=0,MMCh1Prod3Seg1Slot3UnitsSoldPromo2+MMCh1Prod3Seg2Slot3UnitsSoldPromo2+MMCh1Prod3Seg3Slot3UnitsSoldPromo2+MMCh1Prod3Seg4Slot3UnitsSoldPromo2,calcCh1Prod3VolForecastProd*decCh1Prod3Slot3Promo2ShareFrc))/(calcCh1Prod3Slot3Promo2Weeks),"")</f>
        <v/>
      </c>
      <c r="F6577" s="614" t="s">
        <v>11710</v>
      </c>
    </row>
    <row r="6578" spans="4:6" s="614" customFormat="1">
      <c r="D6578" s="377" t="s">
        <v>11388</v>
      </c>
      <c r="E6578" s="958" t="str">
        <f>IF(AND(calcCh1Prod3Slot3Active=1,NOT(calcCh1Prod3Slot3Promo2Weeks=0)),calcCh1Prod3Slot3Promo2VolPWeek/calcCh1Prod3Slot3BaseVolPWeek-1,"")</f>
        <v/>
      </c>
      <c r="F6578" s="614" t="s">
        <v>11711</v>
      </c>
    </row>
    <row r="6579" spans="4:6" s="614" customFormat="1"/>
    <row r="6580" spans="4:6" s="614" customFormat="1">
      <c r="D6580" s="633" t="s">
        <v>4413</v>
      </c>
    </row>
    <row r="6581" spans="4:6" s="614" customFormat="1">
      <c r="D6581" s="377" t="s">
        <v>11577</v>
      </c>
      <c r="E6581" s="959" t="str">
        <f>IF(AND(calcCh1Prod3Slot3Active=1,NOT(calcCh1Prod3Slot3Promo2Weeks=0)),calcCh1Prod3Slot3Promo2CustPrice-finCalcCh1Prod3Slot3COGSPUnit-finCalcCh1Prod3Slot3LogExpPerUnit-paramExciseProd3,"")</f>
        <v/>
      </c>
      <c r="F6581" s="611" t="s">
        <v>11712</v>
      </c>
    </row>
    <row r="6582" spans="4:6" s="614" customFormat="1">
      <c r="D6582" s="377" t="s">
        <v>11582</v>
      </c>
      <c r="E6582" s="593" t="str">
        <f>IF(AND(calcCh1Prod3Slot3Active=1,NOT(calcCh1Prod3Slot3Promo2Weeks=0)),calcCh1Prod3Slot3Promo2GPaLPUnit*calcCh1Prod3Slot3Promo2VolPWeek,"")</f>
        <v/>
      </c>
      <c r="F6582" s="611" t="s">
        <v>11713</v>
      </c>
    </row>
    <row r="6583" spans="4:6" s="614" customFormat="1">
      <c r="D6583" s="377" t="s">
        <v>4413</v>
      </c>
      <c r="E6583" s="958" t="str">
        <f>IF(AND(calcCh1Prod3Slot3Active=1,NOT(calcCh1Prod3Slot3Promo2Weeks=0)),calcCh1Prod3Slot3Promo2GPaLPWeek/calcCh1Prod3Slot3BaseGPaLPWeek-1,"")</f>
        <v/>
      </c>
      <c r="F6583" s="614" t="s">
        <v>11714</v>
      </c>
    </row>
    <row r="6584" spans="4:6" s="614" customFormat="1">
      <c r="E6584" s="593"/>
    </row>
    <row r="6585" spans="4:6" s="614" customFormat="1">
      <c r="D6585" s="633" t="s">
        <v>4414</v>
      </c>
      <c r="E6585" s="958"/>
    </row>
    <row r="6586" spans="4:6" s="614" customFormat="1">
      <c r="D6586" s="377" t="s">
        <v>11584</v>
      </c>
      <c r="E6586" s="593" t="str">
        <f>IF(AND(calcCh1Prod3Slot3Active=1,NOT(calcCh1Prod3Slot3Promo2Weeks=0)),(calcCh1Prod3Slot3Promo2GPaLPWeek-calcCh1Prod3Slot3BaseGPaLPWeek)*decCh1Prod3Slot3Promo2Weeks,"")</f>
        <v/>
      </c>
    </row>
    <row r="6587" spans="4:6" s="614" customFormat="1">
      <c r="D6587" s="377" t="s">
        <v>748</v>
      </c>
      <c r="E6587" s="593" t="str">
        <f>IF(AND(calcCh1Prod3Slot3Active=1,NOT(calcCh1Prod3Slot3Promo2Weeks=0)),calcCh1Prod3Slot3Promo2PlanExp+0,"")</f>
        <v/>
      </c>
    </row>
    <row r="6588" spans="4:6" s="614" customFormat="1">
      <c r="D6588" s="377" t="s">
        <v>4414</v>
      </c>
      <c r="E6588" s="690" t="str">
        <f>IF(AND(calcCh1Prod3Slot3Active=1,NOT(calcCh1Prod3Slot3Promo2Weeks=0)),E6586/E6587,"")</f>
        <v/>
      </c>
      <c r="F6588" s="614" t="s">
        <v>11715</v>
      </c>
    </row>
    <row r="6589" spans="4:6" s="614" customFormat="1"/>
    <row r="6590" spans="4:6" s="614" customFormat="1">
      <c r="D6590" s="633" t="s">
        <v>5195</v>
      </c>
    </row>
    <row r="6591" spans="4:6" s="614" customFormat="1">
      <c r="D6591" s="377" t="s">
        <v>11588</v>
      </c>
      <c r="E6591" s="593" t="str">
        <f>IF(AND(calcCh1Prod3Slot3Active=1,NOT(calcCh1Prod3Slot3Promo2Weeks=0)),calcCh1Prod3Slot3Promo2CustPrice*calcCh1Prod3Slot3Promo2VolPWeek,"")</f>
        <v/>
      </c>
    </row>
    <row r="6592" spans="4:6" s="614" customFormat="1">
      <c r="D6592" s="377" t="s">
        <v>11589</v>
      </c>
      <c r="E6592" s="593" t="str">
        <f>E6587</f>
        <v/>
      </c>
    </row>
    <row r="6593" spans="3:6" s="614" customFormat="1">
      <c r="D6593" s="377" t="s">
        <v>5195</v>
      </c>
      <c r="E6593" s="958" t="str">
        <f>IF(AND(calcCh1Prod3Slot3Active=1,NOT(calcCh1Prod3Slot3Promo2Weeks=0)),((E6591+E6592)-calcCh1Prod3Slot3BaseCustProfPWeek)/calcCh1Prod3Slot3BaseCustProfPWeek,"")</f>
        <v/>
      </c>
      <c r="F6593" s="611" t="s">
        <v>12002</v>
      </c>
    </row>
    <row r="6594" spans="3:6" s="614" customFormat="1"/>
    <row r="6595" spans="3:6" s="614" customFormat="1">
      <c r="C6595" s="633" t="s">
        <v>13954</v>
      </c>
    </row>
    <row r="6596" spans="3:6" s="614" customFormat="1">
      <c r="C6596" s="633" t="s">
        <v>3859</v>
      </c>
    </row>
    <row r="6597" spans="3:6" s="614" customFormat="1">
      <c r="D6597" s="614" t="s">
        <v>11564</v>
      </c>
      <c r="E6597" s="593" t="str">
        <f>IF(AND(calcCh1Prod4Slot1Active=1,NOT(calcCh1Prod4Slot1Promo1Weeks=0)),IF(xxSim0Tool1=0,MMCh1Prod4Seg1Slot1UnitsSoldRSP+MMCh1Prod4Seg2Slot1UnitsSoldRSP+MMCh1Prod4Seg3Slot1UnitsSoldRSP+MMCh1Prod4Seg4Slot1UnitsSoldRSP,calcCh1Prod4VolForecastProd*decCh1Prod4Slot1Forecast*(1-decCh1Prod4Slot1Promo1ShareFrc-decCh1Prod4Slot1Promo2ShareFrc))/(cnstWeeksPYear-calcCh1Prod4Slot1Promo1Weeks-calcCh1Prod4Slot1Promo2Weeks),"")</f>
        <v/>
      </c>
      <c r="F6597" s="611" t="s">
        <v>11626</v>
      </c>
    </row>
    <row r="6598" spans="3:6" s="614" customFormat="1">
      <c r="D6598" s="614" t="s">
        <v>11569</v>
      </c>
      <c r="E6598" s="959" t="str">
        <f>IF(AND(calcCh1Prod4Slot1Active=1,NOT(calcCh1Prod4Slot1Promo1Weeks=0)),calcCh1Prod4Slot1CustPrice-finCalcCh1Prod4Slot1COGSPUnit-finCalcCh1Prod4Slot1LogExpPerUnit-paramExciseProd4,"")</f>
        <v/>
      </c>
      <c r="F6598" s="611" t="s">
        <v>11627</v>
      </c>
    </row>
    <row r="6599" spans="3:6" s="614" customFormat="1">
      <c r="D6599" s="614" t="s">
        <v>11580</v>
      </c>
      <c r="E6599" s="593" t="str">
        <f>IF(AND(calcCh1Prod4Slot1Active=1,NOT(calcCh1Prod4Slot1Promo1Weeks=0)),calcCh1Prod4Slot1BaseVolPWeek*calcCh1Prod4Slot1BaseGPaLPUnit,"")</f>
        <v/>
      </c>
      <c r="F6599" s="611" t="s">
        <v>11628</v>
      </c>
    </row>
    <row r="6600" spans="3:6" s="614" customFormat="1">
      <c r="D6600" s="614" t="s">
        <v>11586</v>
      </c>
      <c r="E6600" s="593" t="str">
        <f>IF(AND(calcCh1Prod4Slot1Active=1,NOT(calcCh1Prod4Slot1Promo1Weeks=0)),calcCh1Prod4Slot1CustPrice*calcCh1Prod4Slot1BaseVolPWeek,"")</f>
        <v/>
      </c>
      <c r="F6600" s="611" t="s">
        <v>12003</v>
      </c>
    </row>
    <row r="6601" spans="3:6" s="614" customFormat="1">
      <c r="E6601" s="593"/>
      <c r="F6601" s="611"/>
    </row>
    <row r="6602" spans="3:6" s="614" customFormat="1">
      <c r="D6602" s="633" t="s">
        <v>6111</v>
      </c>
    </row>
    <row r="6603" spans="3:6" s="614" customFormat="1">
      <c r="D6603" s="633" t="s">
        <v>11388</v>
      </c>
    </row>
    <row r="6604" spans="3:6" s="614" customFormat="1">
      <c r="D6604" s="377" t="s">
        <v>11565</v>
      </c>
      <c r="E6604" s="593" t="str">
        <f>IF(AND(calcCh1Prod4Slot1Active=1,NOT(calcCh1Prod4Slot1Promo1Weeks=0)),(IF(xxSim0Tool1=0,MMCh1Prod4Seg1Slot1UnitsSoldPromo1+MMCh1Prod4Seg2Slot1UnitsSoldPromo1+MMCh1Prod4Seg3Slot1UnitsSoldPromo1+MMCh1Prod4Seg4Slot1UnitsSoldPromo1,calcCh1Prod4VolForecastProd*decCh1Prod4Slot1Promo1ShareFrc))/(calcCh1Prod4Slot1Promo1Weeks),"")</f>
        <v/>
      </c>
      <c r="F6604" s="614" t="s">
        <v>11629</v>
      </c>
    </row>
    <row r="6605" spans="3:6" s="614" customFormat="1">
      <c r="D6605" s="377" t="s">
        <v>11388</v>
      </c>
      <c r="E6605" s="958" t="str">
        <f>IF(AND(calcCh1Prod4Slot1Active=1,NOT(calcCh1Prod4Slot1Promo1Weeks=0)),calcCh1Prod4Slot1Promo1VolPWeek/calcCh1Prod4Slot1BaseVolPWeek-1,"")</f>
        <v/>
      </c>
      <c r="F6605" s="614" t="s">
        <v>11630</v>
      </c>
    </row>
    <row r="6606" spans="3:6" s="614" customFormat="1"/>
    <row r="6607" spans="3:6" s="614" customFormat="1">
      <c r="D6607" s="633" t="s">
        <v>4413</v>
      </c>
    </row>
    <row r="6608" spans="3:6" s="614" customFormat="1">
      <c r="D6608" s="377" t="s">
        <v>11577</v>
      </c>
      <c r="E6608" s="959" t="str">
        <f>IF(AND(calcCh1Prod4Slot1Active=1,NOT(calcCh1Prod4Slot1Promo1Weeks=0)),calcCh1Prod4Slot1Promo1CustPrice-finCalcCh1Prod4Slot1COGSPUnit-finCalcCh1Prod4Slot1LogExpPerUnit-paramExciseProd4,"")</f>
        <v/>
      </c>
      <c r="F6608" s="611" t="s">
        <v>11631</v>
      </c>
    </row>
    <row r="6609" spans="4:6" s="614" customFormat="1">
      <c r="D6609" s="377" t="s">
        <v>11582</v>
      </c>
      <c r="E6609" s="593" t="str">
        <f>IF(AND(calcCh1Prod4Slot1Active=1,NOT(calcCh1Prod4Slot1Promo1Weeks=0)),calcCh1Prod4Slot1Promo1GPaLPUnit*calcCh1Prod4Slot1Promo1VolPWeek,"")</f>
        <v/>
      </c>
      <c r="F6609" s="611" t="s">
        <v>11632</v>
      </c>
    </row>
    <row r="6610" spans="4:6" s="614" customFormat="1">
      <c r="D6610" s="377" t="s">
        <v>4413</v>
      </c>
      <c r="E6610" s="958" t="str">
        <f>IF(AND(calcCh1Prod4Slot1Active=1,NOT(calcCh1Prod4Slot1Promo1Weeks=0)),calcCh1Prod4Slot1Promo1GPaLPWeek/calcCh1Prod4Slot1BaseGPaLPWeek-1,"")</f>
        <v/>
      </c>
      <c r="F6610" s="614" t="s">
        <v>11633</v>
      </c>
    </row>
    <row r="6611" spans="4:6" s="614" customFormat="1">
      <c r="E6611" s="593"/>
    </row>
    <row r="6612" spans="4:6" s="614" customFormat="1">
      <c r="D6612" s="633" t="s">
        <v>4414</v>
      </c>
      <c r="E6612" s="958"/>
    </row>
    <row r="6613" spans="4:6" s="614" customFormat="1">
      <c r="D6613" s="377" t="s">
        <v>11584</v>
      </c>
      <c r="E6613" s="593" t="str">
        <f>IF(AND(calcCh1Prod4Slot1Active=1,NOT(calcCh1Prod4Slot1Promo1Weeks=0)),(calcCh1Prod4Slot1Promo1GPaLPWeek-calcCh1Prod4Slot1BaseGPaLPWeek)*decCh1Prod4Slot1Promo1Weeks,"")</f>
        <v/>
      </c>
    </row>
    <row r="6614" spans="4:6" s="614" customFormat="1">
      <c r="D6614" s="377" t="s">
        <v>748</v>
      </c>
      <c r="E6614" s="593" t="str">
        <f>IF(AND(calcCh1Prod4Slot1Active=1,NOT(calcCh1Prod4Slot1Promo1Weeks=0)),calcCh1Prod4Slot1Promo1PlanExp+0+0,"")</f>
        <v/>
      </c>
    </row>
    <row r="6615" spans="4:6" s="614" customFormat="1">
      <c r="D6615" s="377" t="s">
        <v>4414</v>
      </c>
      <c r="E6615" s="690" t="str">
        <f>IF(AND(calcCh1Prod4Slot1Active=1,NOT(calcCh1Prod4Slot1Promo1Weeks=0)),E6613/E6614,"")</f>
        <v/>
      </c>
      <c r="F6615" s="614" t="s">
        <v>11634</v>
      </c>
    </row>
    <row r="6616" spans="4:6" s="614" customFormat="1"/>
    <row r="6617" spans="4:6" s="614" customFormat="1">
      <c r="D6617" s="633" t="s">
        <v>5195</v>
      </c>
    </row>
    <row r="6618" spans="4:6" s="614" customFormat="1">
      <c r="D6618" s="377" t="s">
        <v>11588</v>
      </c>
      <c r="E6618" s="593" t="str">
        <f>IF(AND(calcCh1Prod4Slot1Active=1,NOT(calcCh1Prod4Slot1Promo1Weeks=0)),calcCh1Prod4Slot1Promo1CustPrice*calcCh1Prod4Slot1Promo1VolPWeek,"")</f>
        <v/>
      </c>
    </row>
    <row r="6619" spans="4:6" s="614" customFormat="1">
      <c r="D6619" s="377" t="s">
        <v>11589</v>
      </c>
      <c r="E6619" s="593" t="str">
        <f>E6614</f>
        <v/>
      </c>
    </row>
    <row r="6620" spans="4:6" s="614" customFormat="1">
      <c r="D6620" s="377" t="s">
        <v>5195</v>
      </c>
      <c r="E6620" s="958" t="str">
        <f>IF(AND(calcCh1Prod4Slot1Active=1,NOT(calcCh1Prod4Slot1Promo1Weeks=0)),((E6618+E6619)-calcCh1Prod4Slot1BaseCustProfPWeek)/calcCh1Prod4Slot1BaseCustProfPWeek,"")</f>
        <v/>
      </c>
      <c r="F6620" s="611" t="s">
        <v>12004</v>
      </c>
    </row>
    <row r="6621" spans="4:6" s="614" customFormat="1"/>
    <row r="6622" spans="4:6" s="614" customFormat="1">
      <c r="D6622" s="633" t="s">
        <v>6112</v>
      </c>
    </row>
    <row r="6623" spans="4:6" s="614" customFormat="1">
      <c r="D6623" s="633" t="s">
        <v>11388</v>
      </c>
    </row>
    <row r="6624" spans="4:6" s="614" customFormat="1">
      <c r="D6624" s="377" t="s">
        <v>11565</v>
      </c>
      <c r="E6624" s="593" t="str">
        <f>IF(AND(calcCh1Prod4Slot1Active=1,NOT(calcCh1Prod4Slot1Promo2Weeks=0)),(IF(xxSim0Tool1=0,MMCh1Prod4Seg1Slot1UnitsSoldPromo2+MMCh1Prod4Seg2Slot1UnitsSoldPromo2+MMCh1Prod4Seg3Slot1UnitsSoldPromo2+MMCh1Prod4Seg4Slot1UnitsSoldPromo2,calcCh1Prod4VolForecastProd*decCh1Prod4Slot1Promo2ShareFrc))/(calcCh1Prod4Slot1Promo2Weeks),"")</f>
        <v/>
      </c>
      <c r="F6624" s="614" t="s">
        <v>11635</v>
      </c>
    </row>
    <row r="6625" spans="4:6" s="614" customFormat="1">
      <c r="D6625" s="377" t="s">
        <v>11388</v>
      </c>
      <c r="E6625" s="958" t="str">
        <f>IF(AND(calcCh1Prod4Slot1Active=1,NOT(calcCh1Prod4Slot1Promo2Weeks=0)),calcCh1Prod4Slot1Promo2VolPWeek/calcCh1Prod4Slot1BaseVolPWeek-1,"")</f>
        <v/>
      </c>
      <c r="F6625" s="614" t="s">
        <v>11636</v>
      </c>
    </row>
    <row r="6626" spans="4:6" s="614" customFormat="1"/>
    <row r="6627" spans="4:6" s="614" customFormat="1">
      <c r="D6627" s="633" t="s">
        <v>4413</v>
      </c>
    </row>
    <row r="6628" spans="4:6" s="614" customFormat="1">
      <c r="D6628" s="377" t="s">
        <v>11577</v>
      </c>
      <c r="E6628" s="959" t="str">
        <f>IF(AND(calcCh1Prod4Slot1Active=1,NOT(calcCh1Prod4Slot1Promo2Weeks=0)),calcCh1Prod4Slot1Promo2CustPrice-finCalcCh1Prod4Slot1COGSPUnit-finCalcCh1Prod4Slot1LogExpPerUnit-paramExciseProd4,"")</f>
        <v/>
      </c>
      <c r="F6628" s="611" t="s">
        <v>11637</v>
      </c>
    </row>
    <row r="6629" spans="4:6" s="614" customFormat="1">
      <c r="D6629" s="377" t="s">
        <v>11582</v>
      </c>
      <c r="E6629" s="593" t="str">
        <f>IF(AND(calcCh1Prod4Slot1Active=1,NOT(calcCh1Prod4Slot1Promo2Weeks=0)),calcCh1Prod4Slot1Promo2GPaLPUnit*calcCh1Prod4Slot1Promo2VolPWeek,"")</f>
        <v/>
      </c>
      <c r="F6629" s="611" t="s">
        <v>11638</v>
      </c>
    </row>
    <row r="6630" spans="4:6" s="614" customFormat="1">
      <c r="D6630" s="377" t="s">
        <v>4413</v>
      </c>
      <c r="E6630" s="958" t="str">
        <f>IF(AND(calcCh1Prod4Slot1Active=1,NOT(calcCh1Prod4Slot1Promo2Weeks=0)),calcCh1Prod4Slot1Promo2GPaLPWeek/calcCh1Prod4Slot1BaseGPaLPWeek-1,"")</f>
        <v/>
      </c>
      <c r="F6630" s="614" t="s">
        <v>11639</v>
      </c>
    </row>
    <row r="6631" spans="4:6" s="614" customFormat="1">
      <c r="E6631" s="593"/>
    </row>
    <row r="6632" spans="4:6" s="614" customFormat="1">
      <c r="D6632" s="633" t="s">
        <v>4414</v>
      </c>
      <c r="E6632" s="958"/>
    </row>
    <row r="6633" spans="4:6" s="614" customFormat="1">
      <c r="D6633" s="377" t="s">
        <v>11584</v>
      </c>
      <c r="E6633" s="593" t="str">
        <f>IF(AND(calcCh1Prod4Slot1Active=1,NOT(calcCh1Prod4Slot1Promo2Weeks=0)),(calcCh1Prod4Slot1Promo2GPaLPWeek-calcCh1Prod4Slot1BaseGPaLPWeek)*decCh1Prod4Slot1Promo2Weeks,"")</f>
        <v/>
      </c>
    </row>
    <row r="6634" spans="4:6" s="614" customFormat="1">
      <c r="D6634" s="377" t="s">
        <v>748</v>
      </c>
      <c r="E6634" s="593" t="str">
        <f>IF(AND(calcCh1Prod4Slot1Active=1,NOT(calcCh1Prod4Slot1Promo2Weeks=0)),calcCh1Prod4Slot1Promo2PlanExp+0,"")</f>
        <v/>
      </c>
    </row>
    <row r="6635" spans="4:6" s="614" customFormat="1">
      <c r="D6635" s="377" t="s">
        <v>4414</v>
      </c>
      <c r="E6635" s="690" t="str">
        <f>IF(AND(calcCh1Prod4Slot1Active=1,NOT(calcCh1Prod4Slot1Promo2Weeks=0)),E6633/E6634,"")</f>
        <v/>
      </c>
      <c r="F6635" s="614" t="s">
        <v>11640</v>
      </c>
    </row>
    <row r="6636" spans="4:6" s="614" customFormat="1"/>
    <row r="6637" spans="4:6" s="614" customFormat="1">
      <c r="D6637" s="633" t="s">
        <v>5195</v>
      </c>
    </row>
    <row r="6638" spans="4:6" s="614" customFormat="1">
      <c r="D6638" s="377" t="s">
        <v>11588</v>
      </c>
      <c r="E6638" s="593" t="str">
        <f>IF(AND(calcCh1Prod4Slot1Active=1,NOT(calcCh1Prod4Slot1Promo2Weeks=0)),calcCh1Prod4Slot1Promo2CustPrice*calcCh1Prod4Slot1Promo2VolPWeek,"")</f>
        <v/>
      </c>
    </row>
    <row r="6639" spans="4:6" s="614" customFormat="1">
      <c r="D6639" s="377" t="s">
        <v>11589</v>
      </c>
      <c r="E6639" s="593" t="str">
        <f>E6634</f>
        <v/>
      </c>
    </row>
    <row r="6640" spans="4:6" s="614" customFormat="1">
      <c r="D6640" s="377" t="s">
        <v>5195</v>
      </c>
      <c r="E6640" s="958" t="str">
        <f>IF(AND(calcCh1Prod4Slot1Active=1,NOT(calcCh1Prod4Slot1Promo2Weeks=0)),((E6638+E6639)-calcCh1Prod4Slot1BaseCustProfPWeek)/calcCh1Prod4Slot1BaseCustProfPWeek,"")</f>
        <v/>
      </c>
      <c r="F6640" s="611" t="s">
        <v>12005</v>
      </c>
    </row>
    <row r="6641" spans="3:6" s="614" customFormat="1"/>
    <row r="6642" spans="3:6" s="614" customFormat="1">
      <c r="C6642" s="633" t="s">
        <v>3858</v>
      </c>
    </row>
    <row r="6643" spans="3:6" s="614" customFormat="1">
      <c r="D6643" s="614" t="s">
        <v>11564</v>
      </c>
      <c r="E6643" s="593" t="str">
        <f>IF(AND(calcCh1Prod4Slot2Active=1,NOT(calcCh1Prod4Slot2Promo1Weeks=0)),IF(xxSim0Tool1=0,MMCh1Prod4Seg1Slot2UnitsSoldRSP+MMCh1Prod4Seg2Slot2UnitsSoldRSP+MMCh1Prod4Seg3Slot2UnitsSoldRSP+MMCh1Prod4Seg4Slot2UnitsSoldRSP,calcCh1Prod4VolForecastProd*decCh1Prod4Slot2Forecast*(1-decCh1Prod4Slot2Promo1ShareFrc-decCh1Prod4Slot2Promo2ShareFrc))/(cnstWeeksPYear-calcCh1Prod4Slot2Promo1Weeks-calcCh1Prod4Slot2Promo2Weeks),"")</f>
        <v/>
      </c>
      <c r="F6643" s="611" t="s">
        <v>11641</v>
      </c>
    </row>
    <row r="6644" spans="3:6" s="614" customFormat="1">
      <c r="D6644" s="614" t="s">
        <v>11569</v>
      </c>
      <c r="E6644" s="959" t="str">
        <f>IF(AND(calcCh1Prod4Slot2Active=1,NOT(calcCh1Prod4Slot2Promo1Weeks=0)),calcCh1Prod4Slot2CustPrice-finCalcCh1Prod4Slot2COGSPUnit-finCalcCh1Prod4Slot2LogExpPerUnit-paramExciseProd4,"")</f>
        <v/>
      </c>
      <c r="F6644" s="611" t="s">
        <v>11642</v>
      </c>
    </row>
    <row r="6645" spans="3:6" s="614" customFormat="1">
      <c r="D6645" s="614" t="s">
        <v>11580</v>
      </c>
      <c r="E6645" s="593" t="str">
        <f>IF(AND(calcCh1Prod4Slot2Active=1,NOT(calcCh1Prod4Slot2Promo1Weeks=0)),calcCh1Prod4Slot2BaseVolPWeek*calcCh1Prod4Slot2BaseGPaLPUnit,"")</f>
        <v/>
      </c>
      <c r="F6645" s="611" t="s">
        <v>11643</v>
      </c>
    </row>
    <row r="6646" spans="3:6" s="614" customFormat="1">
      <c r="D6646" s="614" t="s">
        <v>11586</v>
      </c>
      <c r="E6646" s="593" t="str">
        <f>IF(AND(calcCh1Prod4Slot2Active=1,NOT(calcCh1Prod4Slot2Promo1Weeks=0)),calcCh1Prod4Slot2CustPrice*calcCh1Prod4Slot2BaseVolPWeek,"")</f>
        <v/>
      </c>
      <c r="F6646" s="611" t="s">
        <v>12006</v>
      </c>
    </row>
    <row r="6647" spans="3:6" s="614" customFormat="1">
      <c r="E6647" s="593"/>
      <c r="F6647" s="611"/>
    </row>
    <row r="6648" spans="3:6" s="614" customFormat="1">
      <c r="D6648" s="633" t="s">
        <v>6111</v>
      </c>
    </row>
    <row r="6649" spans="3:6" s="614" customFormat="1">
      <c r="D6649" s="633" t="s">
        <v>11388</v>
      </c>
    </row>
    <row r="6650" spans="3:6" s="614" customFormat="1">
      <c r="D6650" s="377" t="s">
        <v>11565</v>
      </c>
      <c r="E6650" s="593" t="str">
        <f>IF(AND(calcCh1Prod4Slot2Active=1,NOT(calcCh1Prod4Slot2Promo1Weeks=0)),(IF(xxSim0Tool1=0,MMCh1Prod4Seg1Slot2UnitsSoldPromo1+MMCh1Prod4Seg2Slot2UnitsSoldPromo1+MMCh1Prod4Seg3Slot2UnitsSoldPromo1+MMCh1Prod4Seg4Slot2UnitsSoldPromo1,calcCh1Prod4VolForecastProd*decCh1Prod4Slot2Promo1ShareFrc))/(calcCh1Prod4Slot2Promo1Weeks),"")</f>
        <v/>
      </c>
      <c r="F6650" s="614" t="s">
        <v>11644</v>
      </c>
    </row>
    <row r="6651" spans="3:6" s="614" customFormat="1">
      <c r="D6651" s="377" t="s">
        <v>11388</v>
      </c>
      <c r="E6651" s="958" t="str">
        <f>IF(AND(calcCh1Prod4Slot2Active=1,NOT(calcCh1Prod4Slot2Promo1Weeks=0)),calcCh1Prod4Slot2Promo1VolPWeek/calcCh1Prod4Slot2BaseVolPWeek-1,"")</f>
        <v/>
      </c>
      <c r="F6651" s="614" t="s">
        <v>11645</v>
      </c>
    </row>
    <row r="6652" spans="3:6" s="614" customFormat="1"/>
    <row r="6653" spans="3:6" s="614" customFormat="1">
      <c r="D6653" s="633" t="s">
        <v>4413</v>
      </c>
    </row>
    <row r="6654" spans="3:6" s="614" customFormat="1">
      <c r="D6654" s="377" t="s">
        <v>11577</v>
      </c>
      <c r="E6654" s="959" t="str">
        <f>IF(AND(calcCh1Prod4Slot2Active=1,NOT(calcCh1Prod4Slot2Promo1Weeks=0)),calcCh1Prod4Slot2Promo1CustPrice-finCalcCh1Prod4Slot2COGSPUnit-finCalcCh1Prod4Slot2LogExpPerUnit-paramExciseProd4,"")</f>
        <v/>
      </c>
      <c r="F6654" s="611" t="s">
        <v>11646</v>
      </c>
    </row>
    <row r="6655" spans="3:6" s="614" customFormat="1">
      <c r="D6655" s="377" t="s">
        <v>11582</v>
      </c>
      <c r="E6655" s="593" t="str">
        <f>IF(AND(calcCh1Prod4Slot2Active=1,NOT(calcCh1Prod4Slot2Promo1Weeks=0)),calcCh1Prod4Slot2Promo1GPaLPUnit*calcCh1Prod4Slot2Promo1VolPWeek,"")</f>
        <v/>
      </c>
      <c r="F6655" s="611" t="s">
        <v>11647</v>
      </c>
    </row>
    <row r="6656" spans="3:6" s="614" customFormat="1">
      <c r="D6656" s="377" t="s">
        <v>4413</v>
      </c>
      <c r="E6656" s="958" t="str">
        <f>IF(AND(calcCh1Prod4Slot2Active=1,NOT(calcCh1Prod4Slot2Promo1Weeks=0)),calcCh1Prod4Slot2Promo1GPaLPWeek/calcCh1Prod4Slot2BaseGPaLPWeek-1,"")</f>
        <v/>
      </c>
      <c r="F6656" s="614" t="s">
        <v>11648</v>
      </c>
    </row>
    <row r="6657" spans="4:6" s="614" customFormat="1">
      <c r="E6657" s="593"/>
    </row>
    <row r="6658" spans="4:6" s="614" customFormat="1">
      <c r="D6658" s="633" t="s">
        <v>4414</v>
      </c>
      <c r="E6658" s="958"/>
    </row>
    <row r="6659" spans="4:6" s="614" customFormat="1">
      <c r="D6659" s="377" t="s">
        <v>11584</v>
      </c>
      <c r="E6659" s="593" t="str">
        <f>IF(AND(calcCh1Prod4Slot2Active=1,NOT(calcCh1Prod4Slot2Promo1Weeks=0)),(calcCh1Prod4Slot2Promo1GPaLPWeek-calcCh1Prod4Slot2BaseGPaLPWeek)*decCh1Prod4Slot2Promo1Weeks,"")</f>
        <v/>
      </c>
    </row>
    <row r="6660" spans="4:6" s="614" customFormat="1">
      <c r="D6660" s="377" t="s">
        <v>748</v>
      </c>
      <c r="E6660" s="593" t="str">
        <f>IF(AND(calcCh1Prod4Slot2Active=1,NOT(calcCh1Prod4Slot2Promo1Weeks=0)),calcCh1Prod4Slot2Promo1PlanExp+0+0,"")</f>
        <v/>
      </c>
    </row>
    <row r="6661" spans="4:6" s="614" customFormat="1">
      <c r="D6661" s="377" t="s">
        <v>4414</v>
      </c>
      <c r="E6661" s="690" t="str">
        <f>IF(AND(calcCh1Prod4Slot2Active=1,NOT(calcCh1Prod4Slot2Promo1Weeks=0)),E6659/E6660,"")</f>
        <v/>
      </c>
      <c r="F6661" s="614" t="s">
        <v>11649</v>
      </c>
    </row>
    <row r="6662" spans="4:6" s="614" customFormat="1"/>
    <row r="6663" spans="4:6" s="614" customFormat="1">
      <c r="D6663" s="633" t="s">
        <v>5195</v>
      </c>
    </row>
    <row r="6664" spans="4:6" s="614" customFormat="1">
      <c r="D6664" s="377" t="s">
        <v>11588</v>
      </c>
      <c r="E6664" s="593" t="str">
        <f>IF(AND(calcCh1Prod4Slot2Active=1,NOT(calcCh1Prod4Slot2Promo1Weeks=0)),calcCh1Prod4Slot2Promo1CustPrice*calcCh1Prod4Slot2Promo1VolPWeek,"")</f>
        <v/>
      </c>
    </row>
    <row r="6665" spans="4:6" s="614" customFormat="1">
      <c r="D6665" s="377" t="s">
        <v>11589</v>
      </c>
      <c r="E6665" s="593" t="str">
        <f>E6660</f>
        <v/>
      </c>
    </row>
    <row r="6666" spans="4:6" s="614" customFormat="1">
      <c r="D6666" s="377" t="s">
        <v>5195</v>
      </c>
      <c r="E6666" s="958" t="str">
        <f>IF(AND(calcCh1Prod4Slot2Active=1,NOT(calcCh1Prod4Slot2Promo1Weeks=0)),((E6664+E6665)-calcCh1Prod4Slot2BaseCustProfPWeek)/calcCh1Prod4Slot2BaseCustProfPWeek,"")</f>
        <v/>
      </c>
      <c r="F6666" s="611" t="s">
        <v>12007</v>
      </c>
    </row>
    <row r="6667" spans="4:6" s="614" customFormat="1"/>
    <row r="6668" spans="4:6" s="614" customFormat="1">
      <c r="D6668" s="633" t="s">
        <v>6112</v>
      </c>
    </row>
    <row r="6669" spans="4:6" s="614" customFormat="1">
      <c r="D6669" s="633" t="s">
        <v>11388</v>
      </c>
    </row>
    <row r="6670" spans="4:6" s="614" customFormat="1">
      <c r="D6670" s="377" t="s">
        <v>11565</v>
      </c>
      <c r="E6670" s="593" t="str">
        <f>IF(AND(calcCh1Prod4Slot2Active=1,NOT(calcCh1Prod4Slot2Promo2Weeks=0)),(IF(xxSim0Tool1=0,MMCh1Prod4Seg1Slot2UnitsSoldPromo2+MMCh1Prod4Seg2Slot2UnitsSoldPromo2+MMCh1Prod4Seg3Slot2UnitsSoldPromo2+MMCh1Prod4Seg4Slot2UnitsSoldPromo2,calcCh1Prod4VolForecastProd*decCh1Prod4Slot2Promo2ShareFrc))/(calcCh1Prod4Slot2Promo2Weeks),"")</f>
        <v/>
      </c>
      <c r="F6670" s="614" t="s">
        <v>11650</v>
      </c>
    </row>
    <row r="6671" spans="4:6" s="614" customFormat="1">
      <c r="D6671" s="377" t="s">
        <v>11388</v>
      </c>
      <c r="E6671" s="958" t="str">
        <f>IF(AND(calcCh1Prod4Slot2Active=1,NOT(calcCh1Prod4Slot2Promo2Weeks=0)),calcCh1Prod4Slot2Promo2VolPWeek/calcCh1Prod4Slot2BaseVolPWeek-1,"")</f>
        <v/>
      </c>
      <c r="F6671" s="614" t="s">
        <v>11651</v>
      </c>
    </row>
    <row r="6672" spans="4:6" s="614" customFormat="1"/>
    <row r="6673" spans="3:6" s="614" customFormat="1">
      <c r="D6673" s="633" t="s">
        <v>4413</v>
      </c>
    </row>
    <row r="6674" spans="3:6" s="614" customFormat="1">
      <c r="D6674" s="377" t="s">
        <v>11577</v>
      </c>
      <c r="E6674" s="959" t="str">
        <f>IF(AND(calcCh1Prod4Slot2Active=1,NOT(calcCh1Prod4Slot2Promo2Weeks=0)),calcCh1Prod4Slot2Promo2CustPrice-finCalcCh1Prod4Slot2COGSPUnit-finCalcCh1Prod4Slot2LogExpPerUnit-paramExciseProd4,"")</f>
        <v/>
      </c>
      <c r="F6674" s="611" t="s">
        <v>11652</v>
      </c>
    </row>
    <row r="6675" spans="3:6" s="614" customFormat="1">
      <c r="D6675" s="377" t="s">
        <v>11582</v>
      </c>
      <c r="E6675" s="593" t="str">
        <f>IF(AND(calcCh1Prod4Slot2Active=1,NOT(calcCh1Prod4Slot2Promo2Weeks=0)),calcCh1Prod4Slot2Promo2GPaLPUnit*calcCh1Prod4Slot2Promo2VolPWeek,"")</f>
        <v/>
      </c>
      <c r="F6675" s="611" t="s">
        <v>11653</v>
      </c>
    </row>
    <row r="6676" spans="3:6" s="614" customFormat="1">
      <c r="D6676" s="377" t="s">
        <v>4413</v>
      </c>
      <c r="E6676" s="958" t="str">
        <f>IF(AND(calcCh1Prod4Slot2Active=1,NOT(calcCh1Prod4Slot2Promo2Weeks=0)),calcCh1Prod4Slot2Promo2GPaLPWeek/calcCh1Prod4Slot2BaseGPaLPWeek-1,"")</f>
        <v/>
      </c>
      <c r="F6676" s="614" t="s">
        <v>11654</v>
      </c>
    </row>
    <row r="6677" spans="3:6" s="614" customFormat="1">
      <c r="E6677" s="593"/>
    </row>
    <row r="6678" spans="3:6" s="614" customFormat="1">
      <c r="D6678" s="633" t="s">
        <v>4414</v>
      </c>
      <c r="E6678" s="958"/>
    </row>
    <row r="6679" spans="3:6" s="614" customFormat="1">
      <c r="D6679" s="377" t="s">
        <v>11584</v>
      </c>
      <c r="E6679" s="593" t="str">
        <f>IF(AND(calcCh1Prod4Slot2Active=1,NOT(calcCh1Prod4Slot2Promo2Weeks=0)),(calcCh1Prod4Slot2Promo2GPaLPWeek-calcCh1Prod4Slot2BaseGPaLPWeek)*decCh1Prod4Slot2Promo2Weeks,"")</f>
        <v/>
      </c>
    </row>
    <row r="6680" spans="3:6" s="614" customFormat="1">
      <c r="D6680" s="377" t="s">
        <v>748</v>
      </c>
      <c r="E6680" s="593" t="str">
        <f>IF(AND(calcCh1Prod4Slot2Active=1,NOT(calcCh1Prod4Slot2Promo2Weeks=0)),calcCh1Prod4Slot2Promo2PlanExp+0,"")</f>
        <v/>
      </c>
    </row>
    <row r="6681" spans="3:6" s="614" customFormat="1">
      <c r="D6681" s="377" t="s">
        <v>4414</v>
      </c>
      <c r="E6681" s="690" t="str">
        <f>IF(AND(calcCh1Prod4Slot2Active=1,NOT(calcCh1Prod4Slot2Promo2Weeks=0)),E6679/E6680,"")</f>
        <v/>
      </c>
      <c r="F6681" s="614" t="s">
        <v>11655</v>
      </c>
    </row>
    <row r="6682" spans="3:6" s="614" customFormat="1"/>
    <row r="6683" spans="3:6" s="614" customFormat="1">
      <c r="D6683" s="633" t="s">
        <v>5195</v>
      </c>
    </row>
    <row r="6684" spans="3:6" s="614" customFormat="1">
      <c r="D6684" s="377" t="s">
        <v>11588</v>
      </c>
      <c r="E6684" s="593" t="str">
        <f>IF(AND(calcCh1Prod4Slot2Active=1,NOT(calcCh1Prod4Slot2Promo2Weeks=0)),calcCh1Prod4Slot2Promo2CustPrice*calcCh1Prod4Slot2Promo2VolPWeek,"")</f>
        <v/>
      </c>
    </row>
    <row r="6685" spans="3:6" s="614" customFormat="1">
      <c r="D6685" s="377" t="s">
        <v>11589</v>
      </c>
      <c r="E6685" s="593" t="str">
        <f>E6680</f>
        <v/>
      </c>
    </row>
    <row r="6686" spans="3:6" s="614" customFormat="1">
      <c r="D6686" s="377" t="s">
        <v>5195</v>
      </c>
      <c r="E6686" s="958" t="str">
        <f>IF(AND(calcCh1Prod4Slot2Active=1,NOT(calcCh1Prod4Slot2Promo2Weeks=0)),((E6684+E6685)-calcCh1Prod4Slot2BaseCustProfPWeek)/calcCh1Prod4Slot2BaseCustProfPWeek,"")</f>
        <v/>
      </c>
      <c r="F6686" s="611" t="s">
        <v>12008</v>
      </c>
    </row>
    <row r="6687" spans="3:6" s="614" customFormat="1"/>
    <row r="6688" spans="3:6" s="614" customFormat="1">
      <c r="C6688" s="633" t="s">
        <v>3860</v>
      </c>
    </row>
    <row r="6689" spans="4:6" s="614" customFormat="1">
      <c r="D6689" s="614" t="s">
        <v>11564</v>
      </c>
      <c r="E6689" s="593" t="str">
        <f>IF(AND(calcCh1Prod4Slot3Active=1,NOT(calcCh1Prod4Slot3Promo1Weeks=0)),IF(xxSim0Tool1=0,MMCh1Prod4Seg1Slot3UnitsSoldRSP+MMCh1Prod4Seg2Slot3UnitsSoldRSP+MMCh1Prod4Seg3Slot3UnitsSoldRSP+MMCh1Prod4Seg4Slot3UnitsSoldRSP,calcCh1Prod4VolForecastProd*decCh1Prod4Slot3Forecast*(1-decCh1Prod4Slot3Promo1ShareFrc-decCh1Prod4Slot3Promo2ShareFrc))/(cnstWeeksPYear-calcCh1Prod4Slot3Promo1Weeks-calcCh1Prod4Slot3Promo2Weeks),"")</f>
        <v/>
      </c>
      <c r="F6689" s="611" t="s">
        <v>11656</v>
      </c>
    </row>
    <row r="6690" spans="4:6" s="614" customFormat="1">
      <c r="D6690" s="614" t="s">
        <v>11569</v>
      </c>
      <c r="E6690" s="959" t="str">
        <f>IF(AND(calcCh1Prod4Slot3Active=1,NOT(calcCh1Prod4Slot3Promo1Weeks=0)),calcCh1Prod4Slot3CustPrice-finCalcCh1Prod4Slot3COGSPUnit-finCalcCh1Prod4Slot3LogExpPerUnit-paramExciseProd4,"")</f>
        <v/>
      </c>
      <c r="F6690" s="611" t="s">
        <v>11657</v>
      </c>
    </row>
    <row r="6691" spans="4:6" s="614" customFormat="1">
      <c r="D6691" s="614" t="s">
        <v>11580</v>
      </c>
      <c r="E6691" s="593" t="str">
        <f>IF(AND(calcCh1Prod4Slot3Active=1,NOT(calcCh1Prod4Slot3Promo1Weeks=0)),calcCh1Prod4Slot3BaseVolPWeek*calcCh1Prod4Slot3BaseGPaLPUnit,"")</f>
        <v/>
      </c>
      <c r="F6691" s="611" t="s">
        <v>11658</v>
      </c>
    </row>
    <row r="6692" spans="4:6" s="614" customFormat="1">
      <c r="D6692" s="614" t="s">
        <v>11586</v>
      </c>
      <c r="E6692" s="593" t="str">
        <f>IF(AND(calcCh1Prod4Slot3Active=1,NOT(calcCh1Prod4Slot3Promo1Weeks=0)),calcCh1Prod4Slot3CustPrice*calcCh1Prod4Slot3BaseVolPWeek,"")</f>
        <v/>
      </c>
      <c r="F6692" s="611" t="s">
        <v>12009</v>
      </c>
    </row>
    <row r="6693" spans="4:6" s="614" customFormat="1">
      <c r="E6693" s="593"/>
      <c r="F6693" s="611"/>
    </row>
    <row r="6694" spans="4:6" s="614" customFormat="1">
      <c r="D6694" s="633" t="s">
        <v>6111</v>
      </c>
    </row>
    <row r="6695" spans="4:6" s="614" customFormat="1">
      <c r="D6695" s="633" t="s">
        <v>11388</v>
      </c>
    </row>
    <row r="6696" spans="4:6" s="614" customFormat="1">
      <c r="D6696" s="377" t="s">
        <v>11565</v>
      </c>
      <c r="E6696" s="593" t="str">
        <f>IF(AND(calcCh1Prod4Slot3Active=1,NOT(calcCh1Prod4Slot3Promo1Weeks=0)),(IF(xxSim0Tool1=0,MMCh1Prod4Seg1Slot3UnitsSoldPromo1+MMCh1Prod4Seg2Slot3UnitsSoldPromo1+MMCh1Prod4Seg3Slot3UnitsSoldPromo1+MMCh1Prod4Seg4Slot3UnitsSoldPromo1,calcCh1Prod4VolForecastProd*decCh1Prod4Slot3Promo1ShareFrc))/(calcCh1Prod4Slot3Promo1Weeks),"")</f>
        <v/>
      </c>
      <c r="F6696" s="614" t="s">
        <v>11659</v>
      </c>
    </row>
    <row r="6697" spans="4:6" s="614" customFormat="1">
      <c r="D6697" s="377" t="s">
        <v>11388</v>
      </c>
      <c r="E6697" s="958" t="str">
        <f>IF(AND(calcCh1Prod4Slot3Active=1,NOT(calcCh1Prod4Slot3Promo1Weeks=0)),calcCh1Prod4Slot3Promo1VolPWeek/calcCh1Prod4Slot3BaseVolPWeek-1,"")</f>
        <v/>
      </c>
      <c r="F6697" s="614" t="s">
        <v>11660</v>
      </c>
    </row>
    <row r="6698" spans="4:6" s="614" customFormat="1"/>
    <row r="6699" spans="4:6" s="614" customFormat="1">
      <c r="D6699" s="633" t="s">
        <v>4413</v>
      </c>
    </row>
    <row r="6700" spans="4:6" s="614" customFormat="1">
      <c r="D6700" s="377" t="s">
        <v>11577</v>
      </c>
      <c r="E6700" s="959" t="str">
        <f>IF(AND(calcCh1Prod4Slot3Active=1,NOT(calcCh1Prod4Slot3Promo1Weeks=0)),calcCh1Prod4Slot3Promo1CustPrice-finCalcCh1Prod4Slot3COGSPUnit-finCalcCh1Prod4Slot3LogExpPerUnit-paramExciseProd4,"")</f>
        <v/>
      </c>
      <c r="F6700" s="611" t="s">
        <v>11661</v>
      </c>
    </row>
    <row r="6701" spans="4:6" s="614" customFormat="1">
      <c r="D6701" s="377" t="s">
        <v>11582</v>
      </c>
      <c r="E6701" s="593" t="str">
        <f>IF(AND(calcCh1Prod4Slot3Active=1,NOT(calcCh1Prod4Slot3Promo1Weeks=0)),calcCh1Prod4Slot3Promo1GPaLPUnit*calcCh1Prod4Slot3Promo1VolPWeek,"")</f>
        <v/>
      </c>
      <c r="F6701" s="611" t="s">
        <v>11662</v>
      </c>
    </row>
    <row r="6702" spans="4:6" s="614" customFormat="1">
      <c r="D6702" s="377" t="s">
        <v>4413</v>
      </c>
      <c r="E6702" s="958" t="str">
        <f>IF(AND(calcCh1Prod4Slot3Active=1,NOT(calcCh1Prod4Slot3Promo1Weeks=0)),calcCh1Prod4Slot3Promo1GPaLPWeek/calcCh1Prod4Slot3BaseGPaLPWeek-1,"")</f>
        <v/>
      </c>
      <c r="F6702" s="614" t="s">
        <v>11663</v>
      </c>
    </row>
    <row r="6703" spans="4:6" s="614" customFormat="1">
      <c r="E6703" s="593"/>
    </row>
    <row r="6704" spans="4:6" s="614" customFormat="1">
      <c r="D6704" s="633" t="s">
        <v>4414</v>
      </c>
      <c r="E6704" s="958"/>
    </row>
    <row r="6705" spans="4:6" s="614" customFormat="1">
      <c r="D6705" s="377" t="s">
        <v>11584</v>
      </c>
      <c r="E6705" s="593" t="str">
        <f>IF(AND(calcCh1Prod4Slot3Active=1,NOT(calcCh1Prod4Slot3Promo1Weeks=0)),(calcCh1Prod4Slot3Promo1GPaLPWeek-calcCh1Prod4Slot3BaseGPaLPWeek)*decCh1Prod4Slot3Promo1Weeks,"")</f>
        <v/>
      </c>
    </row>
    <row r="6706" spans="4:6" s="614" customFormat="1">
      <c r="D6706" s="377" t="s">
        <v>748</v>
      </c>
      <c r="E6706" s="593" t="str">
        <f>IF(AND(calcCh1Prod4Slot3Active=1,NOT(calcCh1Prod4Slot3Promo1Weeks=0)),calcCh1Prod4Slot3Promo1PlanExp+0+0,"")</f>
        <v/>
      </c>
    </row>
    <row r="6707" spans="4:6" s="614" customFormat="1">
      <c r="D6707" s="377" t="s">
        <v>4414</v>
      </c>
      <c r="E6707" s="690" t="str">
        <f>IF(AND(calcCh1Prod4Slot3Active=1,NOT(calcCh1Prod4Slot3Promo1Weeks=0)),E6705/E6706,"")</f>
        <v/>
      </c>
      <c r="F6707" s="614" t="s">
        <v>11664</v>
      </c>
    </row>
    <row r="6708" spans="4:6" s="614" customFormat="1"/>
    <row r="6709" spans="4:6" s="614" customFormat="1">
      <c r="D6709" s="633" t="s">
        <v>5195</v>
      </c>
    </row>
    <row r="6710" spans="4:6" s="614" customFormat="1">
      <c r="D6710" s="377" t="s">
        <v>11588</v>
      </c>
      <c r="E6710" s="593" t="str">
        <f>IF(AND(calcCh1Prod4Slot3Active=1,NOT(calcCh1Prod4Slot3Promo1Weeks=0)),calcCh1Prod4Slot3Promo1CustPrice*calcCh1Prod4Slot3Promo1VolPWeek,"")</f>
        <v/>
      </c>
    </row>
    <row r="6711" spans="4:6" s="614" customFormat="1">
      <c r="D6711" s="377" t="s">
        <v>11589</v>
      </c>
      <c r="E6711" s="593" t="str">
        <f>E6706</f>
        <v/>
      </c>
    </row>
    <row r="6712" spans="4:6" s="614" customFormat="1">
      <c r="D6712" s="377" t="s">
        <v>5195</v>
      </c>
      <c r="E6712" s="958" t="str">
        <f>IF(AND(calcCh1Prod4Slot3Active=1,NOT(calcCh1Prod4Slot3Promo1Weeks=0)),((E6710+E6711)-calcCh1Prod4Slot3BaseCustProfPWeek)/calcCh1Prod4Slot3BaseCustProfPWeek,"")</f>
        <v/>
      </c>
      <c r="F6712" s="611" t="s">
        <v>12010</v>
      </c>
    </row>
    <row r="6713" spans="4:6" s="614" customFormat="1"/>
    <row r="6714" spans="4:6" s="614" customFormat="1">
      <c r="D6714" s="633" t="s">
        <v>6112</v>
      </c>
    </row>
    <row r="6715" spans="4:6" s="614" customFormat="1">
      <c r="D6715" s="633" t="s">
        <v>11388</v>
      </c>
    </row>
    <row r="6716" spans="4:6" s="614" customFormat="1">
      <c r="D6716" s="377" t="s">
        <v>11565</v>
      </c>
      <c r="E6716" s="593" t="str">
        <f>IF(AND(calcCh1Prod4Slot3Active=1,NOT(calcCh1Prod4Slot3Promo2Weeks=0)),(IF(xxSim0Tool1=0,MMCh1Prod4Seg1Slot3UnitsSoldPromo2+MMCh1Prod4Seg2Slot3UnitsSoldPromo2+MMCh1Prod4Seg3Slot3UnitsSoldPromo2+MMCh1Prod4Seg4Slot3UnitsSoldPromo2,calcCh1Prod4VolForecastProd*decCh1Prod4Slot3Promo2ShareFrc))/(calcCh1Prod4Slot3Promo2Weeks),"")</f>
        <v/>
      </c>
      <c r="F6716" s="614" t="s">
        <v>11665</v>
      </c>
    </row>
    <row r="6717" spans="4:6" s="614" customFormat="1">
      <c r="D6717" s="377" t="s">
        <v>11388</v>
      </c>
      <c r="E6717" s="958" t="str">
        <f>IF(AND(calcCh1Prod4Slot3Active=1,NOT(calcCh1Prod4Slot3Promo2Weeks=0)),calcCh1Prod4Slot3Promo2VolPWeek/calcCh1Prod4Slot3BaseVolPWeek-1,"")</f>
        <v/>
      </c>
      <c r="F6717" s="614" t="s">
        <v>11666</v>
      </c>
    </row>
    <row r="6718" spans="4:6" s="614" customFormat="1"/>
    <row r="6719" spans="4:6" s="614" customFormat="1">
      <c r="D6719" s="633" t="s">
        <v>4413</v>
      </c>
    </row>
    <row r="6720" spans="4:6" s="614" customFormat="1">
      <c r="D6720" s="377" t="s">
        <v>11577</v>
      </c>
      <c r="E6720" s="959" t="str">
        <f>IF(AND(calcCh1Prod4Slot3Active=1,NOT(calcCh1Prod4Slot3Promo2Weeks=0)),calcCh1Prod4Slot3Promo2CustPrice-finCalcCh1Prod4Slot3COGSPUnit-finCalcCh1Prod4Slot3LogExpPerUnit-paramExciseProd4,"")</f>
        <v/>
      </c>
      <c r="F6720" s="611" t="s">
        <v>11667</v>
      </c>
    </row>
    <row r="6721" spans="1:6" s="614" customFormat="1">
      <c r="D6721" s="377" t="s">
        <v>11582</v>
      </c>
      <c r="E6721" s="593" t="str">
        <f>IF(AND(calcCh1Prod4Slot3Active=1,NOT(calcCh1Prod4Slot3Promo2Weeks=0)),calcCh1Prod4Slot3Promo2GPaLPUnit*calcCh1Prod4Slot3Promo2VolPWeek,"")</f>
        <v/>
      </c>
      <c r="F6721" s="611" t="s">
        <v>11668</v>
      </c>
    </row>
    <row r="6722" spans="1:6" s="614" customFormat="1">
      <c r="D6722" s="377" t="s">
        <v>4413</v>
      </c>
      <c r="E6722" s="958" t="str">
        <f>IF(AND(calcCh1Prod4Slot3Active=1,NOT(calcCh1Prod4Slot3Promo2Weeks=0)),calcCh1Prod4Slot3Promo2GPaLPWeek/calcCh1Prod4Slot3BaseGPaLPWeek-1,"")</f>
        <v/>
      </c>
      <c r="F6722" s="614" t="s">
        <v>11669</v>
      </c>
    </row>
    <row r="6723" spans="1:6" s="614" customFormat="1">
      <c r="E6723" s="593"/>
    </row>
    <row r="6724" spans="1:6" s="614" customFormat="1">
      <c r="D6724" s="633" t="s">
        <v>4414</v>
      </c>
      <c r="E6724" s="958"/>
    </row>
    <row r="6725" spans="1:6" s="614" customFormat="1">
      <c r="D6725" s="377" t="s">
        <v>11584</v>
      </c>
      <c r="E6725" s="593" t="str">
        <f>IF(AND(calcCh1Prod4Slot3Active=1,NOT(calcCh1Prod4Slot3Promo2Weeks=0)),(calcCh1Prod4Slot3Promo2GPaLPWeek-calcCh1Prod4Slot3BaseGPaLPWeek)*decCh1Prod4Slot3Promo2Weeks,"")</f>
        <v/>
      </c>
    </row>
    <row r="6726" spans="1:6" s="614" customFormat="1">
      <c r="D6726" s="377" t="s">
        <v>748</v>
      </c>
      <c r="E6726" s="593" t="str">
        <f>IF(AND(calcCh1Prod4Slot3Active=1,NOT(calcCh1Prod4Slot3Promo2Weeks=0)),calcCh1Prod4Slot3Promo2PlanExp+0,"")</f>
        <v/>
      </c>
    </row>
    <row r="6727" spans="1:6" s="614" customFormat="1">
      <c r="D6727" s="377" t="s">
        <v>4414</v>
      </c>
      <c r="E6727" s="690" t="str">
        <f>IF(AND(calcCh1Prod4Slot3Active=1,NOT(calcCh1Prod4Slot3Promo2Weeks=0)),E6725/E6726,"")</f>
        <v/>
      </c>
      <c r="F6727" s="614" t="s">
        <v>11670</v>
      </c>
    </row>
    <row r="6728" spans="1:6" s="614" customFormat="1"/>
    <row r="6729" spans="1:6" s="614" customFormat="1">
      <c r="D6729" s="633" t="s">
        <v>5195</v>
      </c>
    </row>
    <row r="6730" spans="1:6" s="614" customFormat="1">
      <c r="D6730" s="377" t="s">
        <v>11588</v>
      </c>
      <c r="E6730" s="593" t="str">
        <f>IF(AND(calcCh1Prod4Slot3Active=1,NOT(calcCh1Prod4Slot3Promo2Weeks=0)),calcCh1Prod4Slot3Promo2CustPrice*calcCh1Prod4Slot3Promo2VolPWeek,"")</f>
        <v/>
      </c>
    </row>
    <row r="6731" spans="1:6" s="614" customFormat="1">
      <c r="D6731" s="377" t="s">
        <v>11589</v>
      </c>
      <c r="E6731" s="593" t="str">
        <f>E6726</f>
        <v/>
      </c>
    </row>
    <row r="6732" spans="1:6" s="614" customFormat="1">
      <c r="D6732" s="377" t="s">
        <v>5195</v>
      </c>
      <c r="E6732" s="958" t="str">
        <f>IF(AND(calcCh1Prod4Slot3Active=1,NOT(calcCh1Prod4Slot3Promo2Weeks=0)),((E6730+E6731)-calcCh1Prod4Slot3BaseCustProfPWeek)/calcCh1Prod4Slot3BaseCustProfPWeek,"")</f>
        <v/>
      </c>
      <c r="F6732" s="611" t="s">
        <v>12011</v>
      </c>
    </row>
    <row r="6733" spans="1:6" s="614" customFormat="1"/>
    <row r="6734" spans="1:6" s="614" customFormat="1"/>
    <row r="6735" spans="1:6" s="616" customFormat="1">
      <c r="A6735" s="616" t="s">
        <v>13955</v>
      </c>
    </row>
    <row r="6736" spans="1:6" s="614" customFormat="1"/>
    <row r="6737" spans="3:6" s="614" customFormat="1">
      <c r="C6737" s="633" t="s">
        <v>13956</v>
      </c>
    </row>
    <row r="6738" spans="3:6" s="614" customFormat="1">
      <c r="C6738" s="633" t="s">
        <v>3859</v>
      </c>
    </row>
    <row r="6739" spans="3:6" s="614" customFormat="1">
      <c r="D6739" s="614" t="s">
        <v>11564</v>
      </c>
      <c r="E6739" s="593">
        <f>IF(AND(calcCh3Prod1Slot1Active=1,NOT(calcCh3Prod1Slot1Promo1Weeks=0)),(IF(xxSim0Tool1=0,MMCh3Prod1Seg1Slot1UnitsSoldRSP+MMCh3Prod1Seg2Slot1UnitsSoldRSP+MMCh3Prod1Seg3Slot1UnitsSoldRSP+MMCh3Prod1Seg4Slot1UnitsSoldRSP,calcCh3Prod1VolForecastProd*decCh3Prod1Slot1Forecast*(1-decCh3Prod1Slot1Promo1ShareFrc)))/(cnstWeeksPYear-calcCh3Prod1Slot1Promo1Weeks),"")</f>
        <v>577642.27500000002</v>
      </c>
      <c r="F6739" s="611" t="s">
        <v>11761</v>
      </c>
    </row>
    <row r="6740" spans="3:6" s="614" customFormat="1">
      <c r="D6740" s="614" t="s">
        <v>11569</v>
      </c>
      <c r="E6740" s="959">
        <f>IF(AND(calcCh3Prod1Slot1Active=1,NOT(calcCh3Prod1Slot1Promo1Weeks=0)),calcCh3Prod1Slot1CustPrice-finCalcCh3Prod1Slot1COGSPUnit-finCalcCh3Prod1Slot1LogExpPerUnit-paramExciseProd1,"")</f>
        <v>2.1183855390624817</v>
      </c>
      <c r="F6740" s="611" t="s">
        <v>11762</v>
      </c>
    </row>
    <row r="6741" spans="3:6" s="614" customFormat="1">
      <c r="D6741" s="614" t="s">
        <v>11580</v>
      </c>
      <c r="E6741" s="593">
        <f>IF(AND(calcCh3Prod1Slot1Active=1,NOT(calcCh3Prod1Slot1Promo1Weeks=0)),calcCh3Prod1Slot1BaseVolPWeek*calcCh3Prod1Slot1BaseGPaLPUnit,"")</f>
        <v>1223669.0421111532</v>
      </c>
      <c r="F6741" s="611" t="s">
        <v>11763</v>
      </c>
    </row>
    <row r="6742" spans="3:6" s="614" customFormat="1">
      <c r="D6742" s="614" t="s">
        <v>11586</v>
      </c>
      <c r="E6742" s="593">
        <f>IF(AND(calcCh3Prod1Slot1Active=1,NOT(calcCh3Prod1Slot1Promo1Weeks=0)),calcCh3Prod1Slot1CustPrice*calcCh3Prod1Slot1BaseVolPWeek,"")</f>
        <v>4072378.0387499998</v>
      </c>
      <c r="F6742" s="611" t="s">
        <v>12012</v>
      </c>
    </row>
    <row r="6743" spans="3:6" s="614" customFormat="1">
      <c r="E6743" s="593"/>
      <c r="F6743" s="611"/>
    </row>
    <row r="6744" spans="3:6" s="614" customFormat="1">
      <c r="D6744" s="633" t="s">
        <v>6111</v>
      </c>
    </row>
    <row r="6745" spans="3:6" s="614" customFormat="1">
      <c r="D6745" s="633" t="s">
        <v>11388</v>
      </c>
    </row>
    <row r="6746" spans="3:6" s="614" customFormat="1">
      <c r="D6746" s="377" t="s">
        <v>11565</v>
      </c>
      <c r="E6746" s="593">
        <f>IF(AND(calcCh3Prod1Slot1Active=1,NOT(calcCh3Prod1Slot1Promo1Weeks=0)),(IF(xxSim0Tool1=0,MMCh3Prod1Seg1Slot1UnitsSoldPromo1+MMCh3Prod1Seg2Slot1UnitsSoldPromo1+MMCh3Prod1Seg3Slot1UnitsSoldPromo1+MMCh3Prod1Seg4Slot1UnitsSoldPromo1,calcCh3Prod1VolForecastProd*decCh3Prod1Slot1Promo1ShareFrc))/(calcCh3Prod1Slot1Promo1Weeks),"")</f>
        <v>4813685.625</v>
      </c>
      <c r="F6746" s="614" t="s">
        <v>11764</v>
      </c>
    </row>
    <row r="6747" spans="3:6" s="614" customFormat="1">
      <c r="D6747" s="377" t="s">
        <v>11388</v>
      </c>
      <c r="E6747" s="958">
        <f>IF(AND(calcCh3Prod1Slot1Active=1,NOT(calcCh3Prod1Slot1Promo1Weeks=0)),calcCh3Prod1Slot1Promo1VolPWeek/calcCh3Prod1Slot1BaseVolPWeek-1,"")</f>
        <v>7.3333333333333321</v>
      </c>
      <c r="F6747" s="614" t="s">
        <v>11765</v>
      </c>
    </row>
    <row r="6748" spans="3:6" s="614" customFormat="1"/>
    <row r="6749" spans="3:6" s="614" customFormat="1">
      <c r="D6749" s="633" t="s">
        <v>4413</v>
      </c>
    </row>
    <row r="6750" spans="3:6" s="614" customFormat="1">
      <c r="D6750" s="377" t="s">
        <v>11577</v>
      </c>
      <c r="E6750" s="959">
        <f>IF(AND(calcCh3Prod1Slot1Active=1,NOT(calcCh3Prod1Slot1Promo1Weeks=0)),calcCh3Prod1Slot1Promo1CustPrice-finCalcCh3Prod1Slot1COGSPUnit-finCalcCh3Prod1Slot1LogExpPerUnit-paramExciseProd1,"")</f>
        <v>0.70838553906248292</v>
      </c>
      <c r="F6750" s="611" t="s">
        <v>11766</v>
      </c>
    </row>
    <row r="6751" spans="3:6" s="614" customFormat="1">
      <c r="D6751" s="377" t="s">
        <v>11582</v>
      </c>
      <c r="E6751" s="593">
        <f>IF(AND(calcCh3Prod1Slot1Active=1,NOT(calcCh3Prod1Slot1Promo1Weeks=0)),calcCh3Prod1Slot1Promo1GPaLPUnit*calcCh3Prod1Slot1Promo1VolPWeek,"")</f>
        <v>3409945.2863429501</v>
      </c>
      <c r="F6751" s="611" t="s">
        <v>11767</v>
      </c>
    </row>
    <row r="6752" spans="3:6" s="614" customFormat="1">
      <c r="D6752" s="377" t="s">
        <v>4413</v>
      </c>
      <c r="E6752" s="958">
        <f>IF(AND(calcCh3Prod1Slot1Active=1,NOT(calcCh3Prod1Slot1Promo1Weeks=0)),calcCh3Prod1Slot1Promo1GPaLPWeek/calcCh3Prod1Slot1BaseGPaLPWeek-1,"")</f>
        <v>1.7866564969723275</v>
      </c>
      <c r="F6752" s="614" t="s">
        <v>11768</v>
      </c>
    </row>
    <row r="6753" spans="3:6" s="614" customFormat="1">
      <c r="E6753" s="593"/>
    </row>
    <row r="6754" spans="3:6" s="614" customFormat="1">
      <c r="D6754" s="633" t="s">
        <v>4414</v>
      </c>
      <c r="E6754" s="958"/>
    </row>
    <row r="6755" spans="3:6" s="614" customFormat="1">
      <c r="D6755" s="377" t="s">
        <v>11584</v>
      </c>
      <c r="E6755" s="593">
        <f>IF(AND(calcCh3Prod1Slot1Active=1,NOT(calcCh3Prod1Slot1Promo1Weeks=0)),(calcCh3Prod1Slot1Promo1GPaLPWeek-calcCh3Prod1Slot1BaseGPaLPWeek)*decCh3Prod1Slot1Promo1Weeks,"")</f>
        <v>4372552.4884635936</v>
      </c>
    </row>
    <row r="6756" spans="3:6" s="614" customFormat="1">
      <c r="D6756" s="377" t="s">
        <v>748</v>
      </c>
      <c r="E6756" s="593">
        <f>IF(AND(calcCh3Prod1Slot1Active=1,NOT(calcCh3Prod1Slot1Promo1Weeks=0)),calcCh3Prod1Slot1Promo1PlanExp+0,"")</f>
        <v>400000</v>
      </c>
    </row>
    <row r="6757" spans="3:6" s="614" customFormat="1">
      <c r="D6757" s="377" t="s">
        <v>4414</v>
      </c>
      <c r="E6757" s="690">
        <f>IF(AND(calcCh3Prod1Slot1Active=1,NOT(calcCh3Prod1Slot1Promo1Weeks=0)),E6755/E6756,"")</f>
        <v>10.931381221158984</v>
      </c>
      <c r="F6757" s="614" t="s">
        <v>11769</v>
      </c>
    </row>
    <row r="6758" spans="3:6" s="614" customFormat="1"/>
    <row r="6759" spans="3:6" s="614" customFormat="1">
      <c r="D6759" s="633" t="s">
        <v>5195</v>
      </c>
    </row>
    <row r="6760" spans="3:6" s="614" customFormat="1">
      <c r="D6760" s="377" t="s">
        <v>11588</v>
      </c>
      <c r="E6760" s="593">
        <f>IF(AND(calcCh3Prod1Slot1Active=1,NOT(calcCh3Prod1Slot1Promo1Weeks=0)),calcCh3Prod1Slot1Promo1CustPrice*calcCh3Prod1Slot1Promo1VolPWeek,"")</f>
        <v>27149186.925000004</v>
      </c>
    </row>
    <row r="6761" spans="3:6" s="614" customFormat="1">
      <c r="D6761" s="377" t="s">
        <v>11589</v>
      </c>
      <c r="E6761" s="593">
        <f>E6756</f>
        <v>400000</v>
      </c>
    </row>
    <row r="6762" spans="3:6" s="614" customFormat="1">
      <c r="D6762" s="377" t="s">
        <v>5195</v>
      </c>
      <c r="E6762" s="958">
        <f>IF(AND(calcCh3Prod1Slot1Active=1,NOT(calcCh3Prod1Slot1Promo1Weeks=0)),((E6760+E6761)-calcCh3Prod1Slot1BaseCustProfPWeek)/calcCh3Prod1Slot1BaseCustProfPWeek,"")</f>
        <v>5.7648893749206342</v>
      </c>
      <c r="F6762" s="611" t="s">
        <v>12013</v>
      </c>
    </row>
    <row r="6763" spans="3:6" s="614" customFormat="1"/>
    <row r="6764" spans="3:6" s="614" customFormat="1">
      <c r="C6764" s="633" t="s">
        <v>3858</v>
      </c>
    </row>
    <row r="6765" spans="3:6" s="614" customFormat="1">
      <c r="D6765" s="614" t="s">
        <v>11564</v>
      </c>
      <c r="E6765" s="593" t="str">
        <f>IF(AND(calcCh3Prod1Slot2Active=1,NOT(calcCh3Prod1Slot2Promo1Weeks=0)),(IF(xxSim0Tool1=0,MMCh3Prod1Seg1Slot2UnitsSoldRSP+MMCh3Prod1Seg2Slot2UnitsSoldRSP+MMCh3Prod1Seg3Slot2UnitsSoldRSP+MMCh3Prod1Seg4Slot2UnitsSoldRSP,calcCh3Prod1VolForecastProd*decCh3Prod1Slot2Forecast*(1-decCh3Prod1Slot2Promo1ShareFrc)))/(cnstWeeksPYear-calcCh3Prod1Slot2Promo1Weeks),"")</f>
        <v/>
      </c>
      <c r="F6765" s="611" t="s">
        <v>11770</v>
      </c>
    </row>
    <row r="6766" spans="3:6" s="614" customFormat="1">
      <c r="D6766" s="614" t="s">
        <v>11569</v>
      </c>
      <c r="E6766" s="959" t="str">
        <f>IF(AND(calcCh3Prod1Slot2Active=1,NOT(calcCh3Prod1Slot2Promo1Weeks=0)),calcCh3Prod1Slot2CustPrice-finCalcCh3Prod1Slot2COGSPUnit-finCalcCh3Prod1Slot2LogExpPerUnit-paramExciseProd1,"")</f>
        <v/>
      </c>
      <c r="F6766" s="611" t="s">
        <v>11771</v>
      </c>
    </row>
    <row r="6767" spans="3:6" s="614" customFormat="1">
      <c r="D6767" s="614" t="s">
        <v>11580</v>
      </c>
      <c r="E6767" s="593" t="str">
        <f>IF(AND(calcCh3Prod1Slot2Active=1,NOT(calcCh3Prod1Slot2Promo1Weeks=0)),calcCh3Prod1Slot2BaseVolPWeek*calcCh3Prod1Slot2BaseGPaLPUnit,"")</f>
        <v/>
      </c>
      <c r="F6767" s="611" t="s">
        <v>11772</v>
      </c>
    </row>
    <row r="6768" spans="3:6" s="614" customFormat="1">
      <c r="D6768" s="614" t="s">
        <v>11586</v>
      </c>
      <c r="E6768" s="593" t="str">
        <f>IF(AND(calcCh3Prod1Slot2Active=1,NOT(calcCh3Prod1Slot2Promo1Weeks=0)),calcCh3Prod1Slot2CustPrice*calcCh3Prod1Slot2BaseVolPWeek,"")</f>
        <v/>
      </c>
      <c r="F6768" s="611" t="s">
        <v>12014</v>
      </c>
    </row>
    <row r="6769" spans="4:6" s="614" customFormat="1">
      <c r="E6769" s="593"/>
      <c r="F6769" s="611"/>
    </row>
    <row r="6770" spans="4:6" s="614" customFormat="1">
      <c r="D6770" s="633" t="s">
        <v>6111</v>
      </c>
    </row>
    <row r="6771" spans="4:6" s="614" customFormat="1">
      <c r="D6771" s="633" t="s">
        <v>11388</v>
      </c>
    </row>
    <row r="6772" spans="4:6" s="614" customFormat="1">
      <c r="D6772" s="377" t="s">
        <v>11565</v>
      </c>
      <c r="E6772" s="593" t="str">
        <f>IF(AND(calcCh3Prod1Slot2Active=1,NOT(calcCh3Prod1Slot2Promo1Weeks=0)),(IF(xxSim0Tool1=0,MMCh3Prod1Seg1Slot2UnitsSoldPromo1+MMCh3Prod1Seg2Slot2UnitsSoldPromo1+MMCh3Prod1Seg3Slot2UnitsSoldPromo1+MMCh3Prod1Seg4Slot2UnitsSoldPromo1,calcCh3Prod1VolForecastProd*decCh3Prod1Slot2Promo1ShareFrc))/(calcCh3Prod1Slot2Promo1Weeks),"")</f>
        <v/>
      </c>
      <c r="F6772" s="614" t="s">
        <v>11773</v>
      </c>
    </row>
    <row r="6773" spans="4:6" s="614" customFormat="1">
      <c r="D6773" s="377" t="s">
        <v>11388</v>
      </c>
      <c r="E6773" s="958" t="str">
        <f>IF(AND(calcCh3Prod1Slot2Active=1,NOT(calcCh3Prod1Slot2Promo1Weeks=0)),calcCh3Prod1Slot2Promo1VolPWeek/calcCh3Prod1Slot2BaseVolPWeek-1,"")</f>
        <v/>
      </c>
      <c r="F6773" s="614" t="s">
        <v>11774</v>
      </c>
    </row>
    <row r="6774" spans="4:6" s="614" customFormat="1"/>
    <row r="6775" spans="4:6" s="614" customFormat="1">
      <c r="D6775" s="633" t="s">
        <v>4413</v>
      </c>
    </row>
    <row r="6776" spans="4:6" s="614" customFormat="1">
      <c r="D6776" s="377" t="s">
        <v>11577</v>
      </c>
      <c r="E6776" s="959" t="str">
        <f>IF(AND(calcCh3Prod1Slot2Active=1,NOT(calcCh3Prod1Slot2Promo1Weeks=0)),calcCh3Prod1Slot2Promo1CustPrice-finCalcCh3Prod1Slot2COGSPUnit-finCalcCh3Prod1Slot2LogExpPerUnit-paramExciseProd1,"")</f>
        <v/>
      </c>
      <c r="F6776" s="611" t="s">
        <v>11775</v>
      </c>
    </row>
    <row r="6777" spans="4:6" s="614" customFormat="1">
      <c r="D6777" s="377" t="s">
        <v>11582</v>
      </c>
      <c r="E6777" s="593" t="str">
        <f>IF(AND(calcCh3Prod1Slot2Active=1,NOT(calcCh3Prod1Slot2Promo1Weeks=0)),calcCh3Prod1Slot2Promo1GPaLPUnit*calcCh3Prod1Slot2Promo1VolPWeek,"")</f>
        <v/>
      </c>
      <c r="F6777" s="611" t="s">
        <v>11776</v>
      </c>
    </row>
    <row r="6778" spans="4:6" s="614" customFormat="1">
      <c r="D6778" s="377" t="s">
        <v>4413</v>
      </c>
      <c r="E6778" s="958" t="str">
        <f>IF(AND(calcCh3Prod1Slot2Active=1,NOT(calcCh3Prod1Slot2Promo1Weeks=0)),calcCh3Prod1Slot2Promo1GPaLPWeek/calcCh3Prod1Slot2BaseGPaLPWeek-1,"")</f>
        <v/>
      </c>
      <c r="F6778" s="614" t="s">
        <v>11777</v>
      </c>
    </row>
    <row r="6779" spans="4:6" s="614" customFormat="1">
      <c r="E6779" s="593"/>
    </row>
    <row r="6780" spans="4:6" s="614" customFormat="1">
      <c r="D6780" s="633" t="s">
        <v>4414</v>
      </c>
      <c r="E6780" s="958"/>
    </row>
    <row r="6781" spans="4:6" s="614" customFormat="1">
      <c r="D6781" s="377" t="s">
        <v>11584</v>
      </c>
      <c r="E6781" s="593" t="str">
        <f>IF(AND(calcCh3Prod1Slot2Active=1,NOT(calcCh3Prod1Slot2Promo1Weeks=0)),(calcCh3Prod1Slot2Promo1GPaLPWeek-calcCh3Prod1Slot2BaseGPaLPWeek)*decCh3Prod1Slot2Promo1Weeks,"")</f>
        <v/>
      </c>
    </row>
    <row r="6782" spans="4:6" s="614" customFormat="1">
      <c r="D6782" s="377" t="s">
        <v>748</v>
      </c>
      <c r="E6782" s="593" t="str">
        <f>IF(AND(calcCh3Prod1Slot2Active=1,NOT(calcCh3Prod1Slot2Promo1Weeks=0)),calcCh3Prod1Slot2Promo1PlanExp+0,"")</f>
        <v/>
      </c>
    </row>
    <row r="6783" spans="4:6" s="614" customFormat="1">
      <c r="D6783" s="377" t="s">
        <v>4414</v>
      </c>
      <c r="E6783" s="690" t="str">
        <f>IF(AND(calcCh3Prod1Slot2Active=1,NOT(calcCh3Prod1Slot2Promo1Weeks=0)),E6781/E6782,"")</f>
        <v/>
      </c>
      <c r="F6783" s="614" t="s">
        <v>11778</v>
      </c>
    </row>
    <row r="6784" spans="4:6" s="614" customFormat="1"/>
    <row r="6785" spans="3:6" s="614" customFormat="1">
      <c r="D6785" s="633" t="s">
        <v>5195</v>
      </c>
    </row>
    <row r="6786" spans="3:6" s="614" customFormat="1">
      <c r="D6786" s="377" t="s">
        <v>11588</v>
      </c>
      <c r="E6786" s="593" t="str">
        <f>IF(AND(calcCh3Prod1Slot2Active=1,NOT(calcCh3Prod1Slot2Promo1Weeks=0)),calcCh3Prod1Slot2Promo1CustPrice*calcCh3Prod1Slot2Promo1VolPWeek,"")</f>
        <v/>
      </c>
    </row>
    <row r="6787" spans="3:6" s="614" customFormat="1">
      <c r="D6787" s="377" t="s">
        <v>11589</v>
      </c>
      <c r="E6787" s="593" t="str">
        <f>E6782</f>
        <v/>
      </c>
    </row>
    <row r="6788" spans="3:6" s="614" customFormat="1">
      <c r="D6788" s="377" t="s">
        <v>5195</v>
      </c>
      <c r="E6788" s="958" t="str">
        <f>IF(AND(calcCh3Prod1Slot2Active=1,NOT(calcCh3Prod1Slot2Promo1Weeks=0)),((E6786+E6787)-calcCh3Prod1Slot2BaseCustProfPWeek)/calcCh3Prod1Slot2BaseCustProfPWeek,"")</f>
        <v/>
      </c>
      <c r="F6788" s="611" t="s">
        <v>12015</v>
      </c>
    </row>
    <row r="6789" spans="3:6" s="614" customFormat="1"/>
    <row r="6790" spans="3:6" s="614" customFormat="1">
      <c r="C6790" s="633" t="s">
        <v>3860</v>
      </c>
    </row>
    <row r="6791" spans="3:6" s="614" customFormat="1">
      <c r="D6791" s="614" t="s">
        <v>11564</v>
      </c>
      <c r="E6791" s="593" t="str">
        <f>IF(AND(calcCh3Prod1Slot3Active=1,NOT(calcCh3Prod1Slot3Promo1Weeks=0)),(IF(xxSim0Tool1=0,MMCh3Prod1Seg1Slot3UnitsSoldRSP+MMCh3Prod1Seg2Slot3UnitsSoldRSP+MMCh3Prod1Seg3Slot3UnitsSoldRSP+MMCh3Prod1Seg4Slot3UnitsSoldRSP,calcCh3Prod1VolForecastProd*decCh3Prod1Slot3Forecast*(1-decCh3Prod1Slot3Promo1ShareFrc)))/(cnstWeeksPYear-calcCh3Prod1Slot3Promo1Weeks),"")</f>
        <v/>
      </c>
      <c r="F6791" s="611" t="s">
        <v>11779</v>
      </c>
    </row>
    <row r="6792" spans="3:6" s="614" customFormat="1">
      <c r="D6792" s="614" t="s">
        <v>11569</v>
      </c>
      <c r="E6792" s="959" t="str">
        <f>IF(AND(calcCh3Prod1Slot3Active=1,NOT(calcCh3Prod1Slot3Promo1Weeks=0)),calcCh3Prod1Slot3CustPrice-finCalcCh3Prod1Slot3COGSPUnit-finCalcCh3Prod1Slot3LogExpPerUnit-paramExciseProd1,"")</f>
        <v/>
      </c>
      <c r="F6792" s="611" t="s">
        <v>11780</v>
      </c>
    </row>
    <row r="6793" spans="3:6" s="614" customFormat="1">
      <c r="D6793" s="614" t="s">
        <v>11580</v>
      </c>
      <c r="E6793" s="593" t="str">
        <f>IF(AND(calcCh3Prod1Slot3Active=1,NOT(calcCh3Prod1Slot3Promo1Weeks=0)),calcCh3Prod1Slot3BaseVolPWeek*calcCh3Prod1Slot3BaseGPaLPUnit,"")</f>
        <v/>
      </c>
      <c r="F6793" s="611" t="s">
        <v>11781</v>
      </c>
    </row>
    <row r="6794" spans="3:6" s="614" customFormat="1">
      <c r="D6794" s="614" t="s">
        <v>11586</v>
      </c>
      <c r="E6794" s="593" t="str">
        <f>IF(AND(calcCh3Prod1Slot3Active=1,NOT(calcCh3Prod1Slot3Promo1Weeks=0)),calcCh3Prod1Slot3CustPrice*calcCh3Prod1Slot3BaseVolPWeek,"")</f>
        <v/>
      </c>
      <c r="F6794" s="611" t="s">
        <v>12016</v>
      </c>
    </row>
    <row r="6795" spans="3:6" s="614" customFormat="1">
      <c r="E6795" s="593"/>
      <c r="F6795" s="611"/>
    </row>
    <row r="6796" spans="3:6" s="614" customFormat="1">
      <c r="D6796" s="633" t="s">
        <v>6111</v>
      </c>
    </row>
    <row r="6797" spans="3:6" s="614" customFormat="1">
      <c r="D6797" s="633" t="s">
        <v>11388</v>
      </c>
    </row>
    <row r="6798" spans="3:6" s="614" customFormat="1">
      <c r="D6798" s="377" t="s">
        <v>11565</v>
      </c>
      <c r="E6798" s="593" t="str">
        <f>IF(AND(calcCh3Prod1Slot3Active=1,NOT(calcCh3Prod1Slot3Promo1Weeks=0)),(IF(xxSim0Tool1=0,MMCh3Prod1Seg1Slot3UnitsSoldPromo1+MMCh3Prod1Seg2Slot3UnitsSoldPromo1+MMCh3Prod1Seg3Slot3UnitsSoldPromo1+MMCh3Prod1Seg4Slot3UnitsSoldPromo1,calcCh3Prod1VolForecastProd*decCh3Prod1Slot3Promo1ShareFrc))/(calcCh3Prod1Slot3Promo1Weeks),"")</f>
        <v/>
      </c>
      <c r="F6798" s="614" t="s">
        <v>11782</v>
      </c>
    </row>
    <row r="6799" spans="3:6" s="614" customFormat="1">
      <c r="D6799" s="377" t="s">
        <v>11388</v>
      </c>
      <c r="E6799" s="958" t="str">
        <f>IF(AND(calcCh3Prod1Slot3Active=1,NOT(calcCh3Prod1Slot3Promo1Weeks=0)),calcCh3Prod1Slot3Promo1VolPWeek/calcCh3Prod1Slot3BaseVolPWeek-1,"")</f>
        <v/>
      </c>
      <c r="F6799" s="614" t="s">
        <v>11783</v>
      </c>
    </row>
    <row r="6800" spans="3:6" s="614" customFormat="1"/>
    <row r="6801" spans="3:6" s="614" customFormat="1">
      <c r="D6801" s="633" t="s">
        <v>4413</v>
      </c>
    </row>
    <row r="6802" spans="3:6" s="614" customFormat="1">
      <c r="D6802" s="377" t="s">
        <v>11577</v>
      </c>
      <c r="E6802" s="959" t="str">
        <f>IF(AND(calcCh3Prod1Slot3Active=1,NOT(calcCh3Prod1Slot3Promo1Weeks=0)),calcCh3Prod1Slot3Promo1CustPrice-finCalcCh3Prod1Slot3COGSPUnit-finCalcCh3Prod1Slot3LogExpPerUnit-paramExciseProd1,"")</f>
        <v/>
      </c>
      <c r="F6802" s="611" t="s">
        <v>11784</v>
      </c>
    </row>
    <row r="6803" spans="3:6" s="614" customFormat="1">
      <c r="D6803" s="377" t="s">
        <v>11582</v>
      </c>
      <c r="E6803" s="593" t="str">
        <f>IF(AND(calcCh3Prod1Slot3Active=1,NOT(calcCh3Prod1Slot3Promo1Weeks=0)),calcCh3Prod1Slot3Promo1GPaLPUnit*calcCh3Prod1Slot3Promo1VolPWeek,"")</f>
        <v/>
      </c>
      <c r="F6803" s="611" t="s">
        <v>11785</v>
      </c>
    </row>
    <row r="6804" spans="3:6" s="614" customFormat="1">
      <c r="D6804" s="377" t="s">
        <v>4413</v>
      </c>
      <c r="E6804" s="958" t="str">
        <f>IF(AND(calcCh3Prod1Slot3Active=1,NOT(calcCh3Prod1Slot3Promo1Weeks=0)),calcCh3Prod1Slot3Promo1GPaLPWeek/calcCh3Prod1Slot3BaseGPaLPWeek-1,"")</f>
        <v/>
      </c>
      <c r="F6804" s="614" t="s">
        <v>11786</v>
      </c>
    </row>
    <row r="6805" spans="3:6" s="614" customFormat="1">
      <c r="E6805" s="593"/>
    </row>
    <row r="6806" spans="3:6" s="614" customFormat="1">
      <c r="D6806" s="633" t="s">
        <v>4414</v>
      </c>
      <c r="E6806" s="958"/>
    </row>
    <row r="6807" spans="3:6" s="614" customFormat="1">
      <c r="D6807" s="377" t="s">
        <v>11584</v>
      </c>
      <c r="E6807" s="593" t="str">
        <f>IF(AND(calcCh3Prod1Slot3Active=1,NOT(calcCh3Prod1Slot3Promo1Weeks=0)),(calcCh3Prod1Slot3Promo1GPaLPWeek-calcCh3Prod1Slot3BaseGPaLPWeek)*decCh3Prod1Slot3Promo1Weeks,"")</f>
        <v/>
      </c>
    </row>
    <row r="6808" spans="3:6" s="614" customFormat="1">
      <c r="D6808" s="377" t="s">
        <v>748</v>
      </c>
      <c r="E6808" s="593" t="str">
        <f>IF(AND(calcCh3Prod1Slot3Active=1,NOT(calcCh3Prod1Slot3Promo1Weeks=0)),calcCh3Prod1Slot3Promo1PlanExp+0,"")</f>
        <v/>
      </c>
    </row>
    <row r="6809" spans="3:6" s="614" customFormat="1">
      <c r="D6809" s="377" t="s">
        <v>4414</v>
      </c>
      <c r="E6809" s="690" t="str">
        <f>IF(AND(calcCh3Prod1Slot3Active=1,NOT(calcCh3Prod1Slot3Promo1Weeks=0)),E6807/E6808,"")</f>
        <v/>
      </c>
      <c r="F6809" s="614" t="s">
        <v>11787</v>
      </c>
    </row>
    <row r="6810" spans="3:6" s="614" customFormat="1"/>
    <row r="6811" spans="3:6" s="614" customFormat="1">
      <c r="D6811" s="633" t="s">
        <v>5195</v>
      </c>
    </row>
    <row r="6812" spans="3:6" s="614" customFormat="1">
      <c r="D6812" s="377" t="s">
        <v>11588</v>
      </c>
      <c r="E6812" s="593" t="str">
        <f>IF(AND(calcCh3Prod1Slot3Active=1,NOT(calcCh3Prod1Slot3Promo1Weeks=0)),calcCh3Prod1Slot3Promo1CustPrice*calcCh3Prod1Slot3Promo1VolPWeek,"")</f>
        <v/>
      </c>
    </row>
    <row r="6813" spans="3:6" s="614" customFormat="1">
      <c r="D6813" s="377" t="s">
        <v>11589</v>
      </c>
      <c r="E6813" s="593" t="str">
        <f>E6808</f>
        <v/>
      </c>
    </row>
    <row r="6814" spans="3:6" s="614" customFormat="1">
      <c r="D6814" s="377" t="s">
        <v>5195</v>
      </c>
      <c r="E6814" s="958" t="str">
        <f>IF(AND(calcCh3Prod1Slot3Active=1,NOT(calcCh3Prod1Slot3Promo1Weeks=0)),((E6812+E6813)-calcCh3Prod1Slot3BaseCustProfPWeek)/calcCh3Prod1Slot3BaseCustProfPWeek,"")</f>
        <v/>
      </c>
      <c r="F6814" s="611" t="s">
        <v>12017</v>
      </c>
    </row>
    <row r="6815" spans="3:6" s="614" customFormat="1"/>
    <row r="6816" spans="3:6" s="614" customFormat="1">
      <c r="C6816" s="633" t="s">
        <v>13957</v>
      </c>
    </row>
    <row r="6817" spans="3:6" s="614" customFormat="1">
      <c r="C6817" s="633" t="s">
        <v>3859</v>
      </c>
    </row>
    <row r="6818" spans="3:6" s="614" customFormat="1">
      <c r="D6818" s="614" t="s">
        <v>11564</v>
      </c>
      <c r="E6818" s="593">
        <f>IF(AND(calcCh3Prod2Slot1Active=1,NOT(calcCh3Prod2Slot1Promo1Weeks=0)),(IF(xxSim0Tool1=0,MMCh3Prod2Seg1Slot1UnitsSoldRSP+MMCh3Prod2Seg2Slot1UnitsSoldRSP+MMCh3Prod2Seg3Slot1UnitsSoldRSP+MMCh3Prod2Seg4Slot1UnitsSoldRSP,calcCh3Prod2VolForecastProd*decCh3Prod2Slot1Forecast*(1-decCh3Prod2Slot1Promo1ShareFrc)))/(cnstWeeksPYear-calcCh3Prod2Slot1Promo1Weeks),"")</f>
        <v>463580.84800000006</v>
      </c>
      <c r="F6818" s="611" t="s">
        <v>11788</v>
      </c>
    </row>
    <row r="6819" spans="3:6" s="614" customFormat="1">
      <c r="D6819" s="614" t="s">
        <v>11569</v>
      </c>
      <c r="E6819" s="959">
        <f>IF(AND(calcCh3Prod2Slot1Active=1,NOT(calcCh3Prod2Slot1Promo1Weeks=0)),calcCh3Prod2Slot1CustPrice-finCalcCh3Prod2Slot1COGSPUnit-finCalcCh3Prod2Slot1LogExpPerUnit-paramExciseProd2,"")</f>
        <v>3.0857961905440789</v>
      </c>
      <c r="F6819" s="611" t="s">
        <v>11789</v>
      </c>
    </row>
    <row r="6820" spans="3:6" s="614" customFormat="1">
      <c r="D6820" s="614" t="s">
        <v>11580</v>
      </c>
      <c r="E6820" s="593">
        <f>IF(AND(calcCh3Prod2Slot1Active=1,NOT(calcCh3Prod2Slot1Promo1Weeks=0)),calcCh3Prod2Slot1BaseVolPWeek*calcCh3Prod2Slot1BaseGPaLPUnit,"")</f>
        <v>1430516.0147675939</v>
      </c>
      <c r="F6820" s="611" t="s">
        <v>11790</v>
      </c>
    </row>
    <row r="6821" spans="3:6" s="614" customFormat="1">
      <c r="D6821" s="614" t="s">
        <v>11586</v>
      </c>
      <c r="E6821" s="593">
        <f>IF(AND(calcCh3Prod2Slot1Active=1,NOT(calcCh3Prod2Slot1Promo1Weeks=0)),calcCh3Prod2Slot1CustPrice*calcCh3Prod2Slot1BaseVolPWeek,"")</f>
        <v>3662288.6992000006</v>
      </c>
      <c r="F6821" s="611" t="s">
        <v>12018</v>
      </c>
    </row>
    <row r="6822" spans="3:6" s="614" customFormat="1">
      <c r="E6822" s="593"/>
      <c r="F6822" s="611"/>
    </row>
    <row r="6823" spans="3:6" s="614" customFormat="1">
      <c r="D6823" s="633" t="s">
        <v>6111</v>
      </c>
    </row>
    <row r="6824" spans="3:6" s="614" customFormat="1">
      <c r="D6824" s="633" t="s">
        <v>11388</v>
      </c>
    </row>
    <row r="6825" spans="3:6" s="614" customFormat="1">
      <c r="D6825" s="377" t="s">
        <v>11565</v>
      </c>
      <c r="E6825" s="593">
        <f>IF(AND(calcCh3Prod2Slot1Active=1,NOT(calcCh3Prod2Slot1Promo1Weeks=0)),(IF(xxSim0Tool1=0,MMCh3Prod2Seg1Slot1UnitsSoldPromo1+MMCh3Prod2Seg2Slot1UnitsSoldPromo1+MMCh3Prod2Seg3Slot1UnitsSoldPromo1+MMCh3Prod2Seg4Slot1UnitsSoldPromo1,calcCh3Prod2VolForecastProd*decCh3Prod2Slot1Promo1ShareFrc))/(calcCh3Prod2Slot1Promo1Weeks),"")</f>
        <v>7243450.75</v>
      </c>
      <c r="F6825" s="614" t="s">
        <v>11791</v>
      </c>
    </row>
    <row r="6826" spans="3:6" s="614" customFormat="1">
      <c r="D6826" s="377" t="s">
        <v>11388</v>
      </c>
      <c r="E6826" s="958">
        <f>IF(AND(calcCh3Prod2Slot1Active=1,NOT(calcCh3Prod2Slot1Promo1Weeks=0)),calcCh3Prod2Slot1Promo1VolPWeek/calcCh3Prod2Slot1BaseVolPWeek-1,"")</f>
        <v>14.624999999999998</v>
      </c>
      <c r="F6826" s="614" t="s">
        <v>11792</v>
      </c>
    </row>
    <row r="6827" spans="3:6" s="614" customFormat="1"/>
    <row r="6828" spans="3:6" s="614" customFormat="1">
      <c r="D6828" s="633" t="s">
        <v>4413</v>
      </c>
    </row>
    <row r="6829" spans="3:6" s="614" customFormat="1">
      <c r="D6829" s="377" t="s">
        <v>11577</v>
      </c>
      <c r="E6829" s="959">
        <f>IF(AND(calcCh3Prod2Slot1Active=1,NOT(calcCh3Prod2Slot1Promo1Weeks=0)),calcCh3Prod2Slot1Promo1CustPrice-finCalcCh3Prod2Slot1COGSPUnit-finCalcCh3Prod2Slot1LogExpPerUnit-paramExciseProd2,"")</f>
        <v>0.4787961905440774</v>
      </c>
      <c r="F6829" s="611" t="s">
        <v>11793</v>
      </c>
    </row>
    <row r="6830" spans="3:6" s="614" customFormat="1">
      <c r="D6830" s="377" t="s">
        <v>11582</v>
      </c>
      <c r="E6830" s="593">
        <f>IF(AND(calcCh3Prod2Slot1Active=1,NOT(calcCh3Prod2Slot1Promo1Weeks=0)),calcCh3Prod2Slot1Promo1GPaLPUnit*calcCh3Prod2Slot1Promo1VolPWeek,"")</f>
        <v>3468136.6254936405</v>
      </c>
      <c r="F6830" s="611" t="s">
        <v>11794</v>
      </c>
    </row>
    <row r="6831" spans="3:6" s="614" customFormat="1">
      <c r="D6831" s="377" t="s">
        <v>4413</v>
      </c>
      <c r="E6831" s="958">
        <f>IF(AND(calcCh3Prod2Slot1Active=1,NOT(calcCh3Prod2Slot1Promo1Weeks=0)),calcCh3Prod2Slot1Promo1GPaLPWeek/calcCh3Prod2Slot1BaseGPaLPWeek-1,"")</f>
        <v>1.4243955255943672</v>
      </c>
      <c r="F6831" s="614" t="s">
        <v>11795</v>
      </c>
    </row>
    <row r="6832" spans="3:6" s="614" customFormat="1">
      <c r="E6832" s="593"/>
    </row>
    <row r="6833" spans="3:6" s="614" customFormat="1">
      <c r="D6833" s="633" t="s">
        <v>4414</v>
      </c>
      <c r="E6833" s="958"/>
    </row>
    <row r="6834" spans="3:6" s="614" customFormat="1">
      <c r="D6834" s="377" t="s">
        <v>11584</v>
      </c>
      <c r="E6834" s="593">
        <f>IF(AND(calcCh3Prod2Slot1Active=1,NOT(calcCh3Prod2Slot1Promo1Weeks=0)),(calcCh3Prod2Slot1Promo1GPaLPWeek-calcCh3Prod2Slot1BaseGPaLPWeek)*decCh3Prod2Slot1Promo1Weeks,"")</f>
        <v>4075241.2214520932</v>
      </c>
    </row>
    <row r="6835" spans="3:6" s="614" customFormat="1">
      <c r="D6835" s="377" t="s">
        <v>748</v>
      </c>
      <c r="E6835" s="593">
        <f>IF(AND(calcCh3Prod2Slot1Active=1,NOT(calcCh3Prod2Slot1Promo1Weeks=0)),calcCh3Prod2Slot1Promo1PlanExp+0,"")</f>
        <v>400000</v>
      </c>
    </row>
    <row r="6836" spans="3:6" s="614" customFormat="1">
      <c r="D6836" s="377" t="s">
        <v>4414</v>
      </c>
      <c r="E6836" s="690">
        <f>IF(AND(calcCh3Prod2Slot1Active=1,NOT(calcCh3Prod2Slot1Promo1Weeks=0)),E6834/E6835,"")</f>
        <v>10.188103053630233</v>
      </c>
      <c r="F6836" s="614" t="s">
        <v>11796</v>
      </c>
    </row>
    <row r="6837" spans="3:6" s="614" customFormat="1"/>
    <row r="6838" spans="3:6" s="614" customFormat="1">
      <c r="D6838" s="633" t="s">
        <v>5195</v>
      </c>
    </row>
    <row r="6839" spans="3:6" s="614" customFormat="1">
      <c r="D6839" s="377" t="s">
        <v>11588</v>
      </c>
      <c r="E6839" s="593">
        <f>IF(AND(calcCh3Prod2Slot1Active=1,NOT(calcCh3Prod2Slot1Promo1Weeks=0)),calcCh3Prod2Slot1Promo1CustPrice*calcCh3Prod2Slot1Promo1VolPWeek,"")</f>
        <v>38339584.819749996</v>
      </c>
    </row>
    <row r="6840" spans="3:6" s="614" customFormat="1">
      <c r="D6840" s="377" t="s">
        <v>11589</v>
      </c>
      <c r="E6840" s="593">
        <f>E6835</f>
        <v>400000</v>
      </c>
    </row>
    <row r="6841" spans="3:6" s="614" customFormat="1">
      <c r="D6841" s="377" t="s">
        <v>5195</v>
      </c>
      <c r="E6841" s="958">
        <f>IF(AND(calcCh3Prod2Slot1Active=1,NOT(calcCh3Prod2Slot1Promo1Weeks=0)),((E6839+E6840)-calcCh3Prod2Slot1BaseCustProfPWeek)/calcCh3Prod2Slot1BaseCustProfPWeek,"")</f>
        <v>9.5779713183759547</v>
      </c>
      <c r="F6841" s="611" t="s">
        <v>12019</v>
      </c>
    </row>
    <row r="6842" spans="3:6" s="614" customFormat="1"/>
    <row r="6843" spans="3:6" s="614" customFormat="1">
      <c r="C6843" s="633" t="s">
        <v>3858</v>
      </c>
    </row>
    <row r="6844" spans="3:6" s="614" customFormat="1">
      <c r="D6844" s="614" t="s">
        <v>11564</v>
      </c>
      <c r="E6844" s="593">
        <f>IF(AND(calcCh3Prod2Slot2Active=1,NOT(calcCh3Prod2Slot2Promo1Weeks=0)),(IF(xxSim0Tool1=0,MMCh3Prod2Seg1Slot2UnitsSoldRSP+MMCh3Prod2Seg2Slot2UnitsSoldRSP+MMCh3Prod2Seg3Slot2UnitsSoldRSP+MMCh3Prod2Seg4Slot2UnitsSoldRSP,calcCh3Prod2VolForecastProd*decCh3Prod2Slot2Forecast*(1-decCh3Prod2Slot2Promo1ShareFrc)))/(cnstWeeksPYear-calcCh3Prod2Slot2Promo1Weeks),"")</f>
        <v>695371.272</v>
      </c>
      <c r="F6844" s="611" t="s">
        <v>11797</v>
      </c>
    </row>
    <row r="6845" spans="3:6" s="614" customFormat="1">
      <c r="D6845" s="614" t="s">
        <v>11569</v>
      </c>
      <c r="E6845" s="959">
        <f>IF(AND(calcCh3Prod2Slot2Active=1,NOT(calcCh3Prod2Slot2Promo1Weeks=0)),calcCh3Prod2Slot2CustPrice-finCalcCh3Prod2Slot2COGSPUnit-finCalcCh3Prod2Slot2LogExpPerUnit-paramExciseProd2,"")</f>
        <v>3.1708238968156759</v>
      </c>
      <c r="F6845" s="611" t="s">
        <v>11798</v>
      </c>
    </row>
    <row r="6846" spans="3:6" s="614" customFormat="1">
      <c r="D6846" s="614" t="s">
        <v>11580</v>
      </c>
      <c r="E6846" s="593">
        <f>IF(AND(calcCh3Prod2Slot2Active=1,NOT(calcCh3Prod2Slot2Promo1Weeks=0)),calcCh3Prod2Slot2BaseVolPWeek*calcCh3Prod2Slot2BaseGPaLPUnit,"")</f>
        <v>2204899.8464167132</v>
      </c>
      <c r="F6846" s="611" t="s">
        <v>11799</v>
      </c>
    </row>
    <row r="6847" spans="3:6" s="614" customFormat="1">
      <c r="D6847" s="614" t="s">
        <v>11586</v>
      </c>
      <c r="E6847" s="593">
        <f>IF(AND(calcCh3Prod2Slot2Active=1,NOT(calcCh3Prod2Slot2Promo1Weeks=0)),calcCh3Prod2Slot2CustPrice*calcCh3Prod2Slot2BaseVolPWeek,"")</f>
        <v>5562970.176</v>
      </c>
      <c r="F6847" s="611" t="s">
        <v>12020</v>
      </c>
    </row>
    <row r="6848" spans="3:6" s="614" customFormat="1">
      <c r="E6848" s="593"/>
      <c r="F6848" s="611"/>
    </row>
    <row r="6849" spans="4:6" s="614" customFormat="1">
      <c r="D6849" s="633" t="s">
        <v>6111</v>
      </c>
    </row>
    <row r="6850" spans="4:6" s="614" customFormat="1">
      <c r="D6850" s="633" t="s">
        <v>11388</v>
      </c>
    </row>
    <row r="6851" spans="4:6" s="614" customFormat="1">
      <c r="D6851" s="377" t="s">
        <v>11565</v>
      </c>
      <c r="E6851" s="593">
        <f>IF(AND(calcCh3Prod2Slot2Active=1,NOT(calcCh3Prod2Slot2Promo1Weeks=0)),(IF(xxSim0Tool1=0,MMCh3Prod2Seg1Slot2UnitsSoldPromo1+MMCh3Prod2Seg2Slot2UnitsSoldPromo1+MMCh3Prod2Seg3Slot2UnitsSoldPromo1+MMCh3Prod2Seg4Slot2UnitsSoldPromo1,calcCh3Prod2VolForecastProd*decCh3Prod2Slot2Promo1ShareFrc))/(calcCh3Prod2Slot2Promo1Weeks),"")</f>
        <v>7243450.75</v>
      </c>
      <c r="F6851" s="614" t="s">
        <v>11800</v>
      </c>
    </row>
    <row r="6852" spans="4:6" s="614" customFormat="1">
      <c r="D6852" s="377" t="s">
        <v>11388</v>
      </c>
      <c r="E6852" s="958">
        <f>IF(AND(calcCh3Prod2Slot2Active=1,NOT(calcCh3Prod2Slot2Promo1Weeks=0)),calcCh3Prod2Slot2Promo1VolPWeek/calcCh3Prod2Slot2BaseVolPWeek-1,"")</f>
        <v>9.4166666666666661</v>
      </c>
      <c r="F6852" s="614" t="s">
        <v>11801</v>
      </c>
    </row>
    <row r="6853" spans="4:6" s="614" customFormat="1"/>
    <row r="6854" spans="4:6" s="614" customFormat="1">
      <c r="D6854" s="633" t="s">
        <v>4413</v>
      </c>
    </row>
    <row r="6855" spans="4:6" s="614" customFormat="1">
      <c r="D6855" s="377" t="s">
        <v>11577</v>
      </c>
      <c r="E6855" s="959">
        <f>IF(AND(calcCh3Prod2Slot2Active=1,NOT(calcCh3Prod2Slot2Promo1Weeks=0)),calcCh3Prod2Slot2Promo1CustPrice-finCalcCh3Prod2Slot2COGSPUnit-finCalcCh3Prod2Slot2LogExpPerUnit-paramExciseProd2,"")</f>
        <v>1.5708238968156762</v>
      </c>
      <c r="F6855" s="611" t="s">
        <v>11802</v>
      </c>
    </row>
    <row r="6856" spans="4:6" s="614" customFormat="1">
      <c r="D6856" s="377" t="s">
        <v>11582</v>
      </c>
      <c r="E6856" s="593">
        <f>IF(AND(calcCh3Prod2Slot2Active=1,NOT(calcCh3Prod2Slot2Promo1Weeks=0)),calcCh3Prod2Slot2Promo1GPaLPUnit*calcCh3Prod2Slot2Promo1VolPWeek,"")</f>
        <v>11378185.533507433</v>
      </c>
      <c r="F6856" s="611" t="s">
        <v>11803</v>
      </c>
    </row>
    <row r="6857" spans="4:6" s="614" customFormat="1">
      <c r="D6857" s="377" t="s">
        <v>4413</v>
      </c>
      <c r="E6857" s="958">
        <f>IF(AND(calcCh3Prod2Slot2Active=1,NOT(calcCh3Prod2Slot2Promo1Weeks=0)),calcCh3Prod2Slot2Promo1GPaLPWeek/calcCh3Prod2Slot2BaseGPaLPWeek-1,"")</f>
        <v>4.1604092367273093</v>
      </c>
      <c r="F6857" s="614" t="s">
        <v>11804</v>
      </c>
    </row>
    <row r="6858" spans="4:6" s="614" customFormat="1">
      <c r="E6858" s="593"/>
    </row>
    <row r="6859" spans="4:6" s="614" customFormat="1">
      <c r="D6859" s="633" t="s">
        <v>4414</v>
      </c>
      <c r="E6859" s="958"/>
    </row>
    <row r="6860" spans="4:6" s="614" customFormat="1">
      <c r="D6860" s="377" t="s">
        <v>11584</v>
      </c>
      <c r="E6860" s="593">
        <f>IF(AND(calcCh3Prod2Slot2Active=1,NOT(calcCh3Prod2Slot2Promo1Weeks=0)),(calcCh3Prod2Slot2Promo1GPaLPWeek-calcCh3Prod2Slot2BaseGPaLPWeek)*decCh3Prod2Slot2Promo1Weeks,"")</f>
        <v>18346571.374181438</v>
      </c>
    </row>
    <row r="6861" spans="4:6" s="614" customFormat="1">
      <c r="D6861" s="377" t="s">
        <v>748</v>
      </c>
      <c r="E6861" s="593">
        <f>IF(AND(calcCh3Prod2Slot2Active=1,NOT(calcCh3Prod2Slot2Promo1Weeks=0)),calcCh3Prod2Slot2Promo1PlanExp+0,"")</f>
        <v>400000</v>
      </c>
    </row>
    <row r="6862" spans="4:6" s="614" customFormat="1">
      <c r="D6862" s="377" t="s">
        <v>4414</v>
      </c>
      <c r="E6862" s="690">
        <f>IF(AND(calcCh3Prod2Slot2Active=1,NOT(calcCh3Prod2Slot2Promo1Weeks=0)),E6860/E6861,"")</f>
        <v>45.866428435453592</v>
      </c>
      <c r="F6862" s="614" t="s">
        <v>11805</v>
      </c>
    </row>
    <row r="6863" spans="4:6" s="614" customFormat="1"/>
    <row r="6864" spans="4:6" s="614" customFormat="1">
      <c r="D6864" s="633" t="s">
        <v>5195</v>
      </c>
    </row>
    <row r="6865" spans="3:6" s="614" customFormat="1">
      <c r="D6865" s="377" t="s">
        <v>11588</v>
      </c>
      <c r="E6865" s="593">
        <f>IF(AND(calcCh3Prod2Slot2Active=1,NOT(calcCh3Prod2Slot2Promo1Weeks=0)),calcCh3Prod2Slot2Promo1CustPrice*calcCh3Prod2Slot2Promo1VolPWeek,"")</f>
        <v>46358084.800000004</v>
      </c>
    </row>
    <row r="6866" spans="3:6" s="614" customFormat="1">
      <c r="D6866" s="377" t="s">
        <v>11589</v>
      </c>
      <c r="E6866" s="593">
        <f>E6861</f>
        <v>400000</v>
      </c>
    </row>
    <row r="6867" spans="3:6" s="614" customFormat="1">
      <c r="D6867" s="377" t="s">
        <v>5195</v>
      </c>
      <c r="E6867" s="958">
        <f>IF(AND(calcCh3Prod2Slot2Active=1,NOT(calcCh3Prod2Slot2Promo1Weeks=0)),((E6865+E6866)-calcCh3Prod2Slot2BaseCustProfPWeek)/calcCh3Prod2Slot2BaseCustProfPWeek,"")</f>
        <v>7.405237367930841</v>
      </c>
      <c r="F6867" s="611" t="s">
        <v>12021</v>
      </c>
    </row>
    <row r="6868" spans="3:6" s="614" customFormat="1"/>
    <row r="6869" spans="3:6" s="614" customFormat="1">
      <c r="C6869" s="633" t="s">
        <v>3860</v>
      </c>
    </row>
    <row r="6870" spans="3:6" s="614" customFormat="1">
      <c r="D6870" s="614" t="s">
        <v>11564</v>
      </c>
      <c r="E6870" s="593" t="str">
        <f>IF(AND(calcCh3Prod2Slot3Active=1,NOT(calcCh3Prod2Slot3Promo1Weeks=0)),(IF(xxSim0Tool1=0,MMCh3Prod2Seg1Slot3UnitsSoldRSP+MMCh3Prod2Seg2Slot3UnitsSoldRSP+MMCh3Prod2Seg3Slot3UnitsSoldRSP+MMCh3Prod2Seg4Slot3UnitsSoldRSP,calcCh3Prod2VolForecastProd*decCh3Prod2Slot3Forecast*(1-decCh3Prod2Slot3Promo1ShareFrc)))/(cnstWeeksPYear-calcCh3Prod2Slot3Promo1Weeks),"")</f>
        <v/>
      </c>
      <c r="F6870" s="611" t="s">
        <v>11806</v>
      </c>
    </row>
    <row r="6871" spans="3:6" s="614" customFormat="1">
      <c r="D6871" s="614" t="s">
        <v>11569</v>
      </c>
      <c r="E6871" s="959" t="str">
        <f>IF(AND(calcCh3Prod2Slot3Active=1,NOT(calcCh3Prod2Slot3Promo1Weeks=0)),calcCh3Prod2Slot3CustPrice-finCalcCh3Prod2Slot3COGSPUnit-finCalcCh3Prod2Slot3LogExpPerUnit-paramExciseProd2,"")</f>
        <v/>
      </c>
      <c r="F6871" s="611" t="s">
        <v>11807</v>
      </c>
    </row>
    <row r="6872" spans="3:6" s="614" customFormat="1">
      <c r="D6872" s="614" t="s">
        <v>11580</v>
      </c>
      <c r="E6872" s="593" t="str">
        <f>IF(AND(calcCh3Prod2Slot3Active=1,NOT(calcCh3Prod2Slot3Promo1Weeks=0)),calcCh3Prod2Slot3BaseVolPWeek*calcCh3Prod2Slot3BaseGPaLPUnit,"")</f>
        <v/>
      </c>
      <c r="F6872" s="611" t="s">
        <v>11808</v>
      </c>
    </row>
    <row r="6873" spans="3:6" s="614" customFormat="1">
      <c r="D6873" s="614" t="s">
        <v>11586</v>
      </c>
      <c r="E6873" s="593" t="str">
        <f>IF(AND(calcCh3Prod2Slot3Active=1,NOT(calcCh3Prod2Slot3Promo1Weeks=0)),calcCh3Prod2Slot3CustPrice*calcCh3Prod2Slot3BaseVolPWeek,"")</f>
        <v/>
      </c>
      <c r="F6873" s="611" t="s">
        <v>12022</v>
      </c>
    </row>
    <row r="6874" spans="3:6" s="614" customFormat="1">
      <c r="E6874" s="593"/>
      <c r="F6874" s="611"/>
    </row>
    <row r="6875" spans="3:6" s="614" customFormat="1">
      <c r="D6875" s="633" t="s">
        <v>6111</v>
      </c>
    </row>
    <row r="6876" spans="3:6" s="614" customFormat="1">
      <c r="D6876" s="633" t="s">
        <v>11388</v>
      </c>
    </row>
    <row r="6877" spans="3:6" s="614" customFormat="1">
      <c r="D6877" s="377" t="s">
        <v>11565</v>
      </c>
      <c r="E6877" s="593" t="str">
        <f>IF(AND(calcCh3Prod2Slot3Active=1,NOT(calcCh3Prod2Slot3Promo1Weeks=0)),(IF(xxSim0Tool1=0,MMCh3Prod2Seg1Slot3UnitsSoldPromo1+MMCh3Prod2Seg2Slot3UnitsSoldPromo1+MMCh3Prod2Seg3Slot3UnitsSoldPromo1+MMCh3Prod2Seg4Slot3UnitsSoldPromo1,calcCh3Prod2VolForecastProd*decCh3Prod2Slot3Promo1ShareFrc))/(calcCh3Prod2Slot3Promo1Weeks),"")</f>
        <v/>
      </c>
      <c r="F6877" s="614" t="s">
        <v>11809</v>
      </c>
    </row>
    <row r="6878" spans="3:6" s="614" customFormat="1">
      <c r="D6878" s="377" t="s">
        <v>11388</v>
      </c>
      <c r="E6878" s="958" t="str">
        <f>IF(AND(calcCh3Prod2Slot3Active=1,NOT(calcCh3Prod2Slot3Promo1Weeks=0)),calcCh3Prod2Slot3Promo1VolPWeek/calcCh3Prod2Slot3BaseVolPWeek-1,"")</f>
        <v/>
      </c>
      <c r="F6878" s="614" t="s">
        <v>11810</v>
      </c>
    </row>
    <row r="6879" spans="3:6" s="614" customFormat="1"/>
    <row r="6880" spans="3:6" s="614" customFormat="1">
      <c r="D6880" s="633" t="s">
        <v>4413</v>
      </c>
    </row>
    <row r="6881" spans="3:6" s="614" customFormat="1">
      <c r="D6881" s="377" t="s">
        <v>11577</v>
      </c>
      <c r="E6881" s="959" t="str">
        <f>IF(AND(calcCh3Prod2Slot3Active=1,NOT(calcCh3Prod2Slot3Promo1Weeks=0)),calcCh3Prod2Slot3Promo1CustPrice-finCalcCh3Prod2Slot3COGSPUnit-finCalcCh3Prod2Slot3LogExpPerUnit-paramExciseProd2,"")</f>
        <v/>
      </c>
      <c r="F6881" s="611" t="s">
        <v>11811</v>
      </c>
    </row>
    <row r="6882" spans="3:6" s="614" customFormat="1">
      <c r="D6882" s="377" t="s">
        <v>11582</v>
      </c>
      <c r="E6882" s="593" t="str">
        <f>IF(AND(calcCh3Prod2Slot3Active=1,NOT(calcCh3Prod2Slot3Promo1Weeks=0)),calcCh3Prod2Slot3Promo1GPaLPUnit*calcCh3Prod2Slot3Promo1VolPWeek,"")</f>
        <v/>
      </c>
      <c r="F6882" s="611" t="s">
        <v>11812</v>
      </c>
    </row>
    <row r="6883" spans="3:6" s="614" customFormat="1">
      <c r="D6883" s="377" t="s">
        <v>4413</v>
      </c>
      <c r="E6883" s="958" t="str">
        <f>IF(AND(calcCh3Prod2Slot3Active=1,NOT(calcCh3Prod2Slot3Promo1Weeks=0)),calcCh3Prod2Slot3Promo1GPaLPWeek/calcCh3Prod2Slot3BaseGPaLPWeek-1,"")</f>
        <v/>
      </c>
      <c r="F6883" s="614" t="s">
        <v>11813</v>
      </c>
    </row>
    <row r="6884" spans="3:6" s="614" customFormat="1">
      <c r="E6884" s="593"/>
    </row>
    <row r="6885" spans="3:6" s="614" customFormat="1">
      <c r="D6885" s="633" t="s">
        <v>4414</v>
      </c>
      <c r="E6885" s="958"/>
    </row>
    <row r="6886" spans="3:6" s="614" customFormat="1">
      <c r="D6886" s="377" t="s">
        <v>11584</v>
      </c>
      <c r="E6886" s="593" t="str">
        <f>IF(AND(calcCh3Prod2Slot3Active=1,NOT(calcCh3Prod2Slot3Promo1Weeks=0)),(calcCh3Prod2Slot3Promo1GPaLPWeek-calcCh3Prod2Slot3BaseGPaLPWeek)*decCh3Prod2Slot3Promo1Weeks,"")</f>
        <v/>
      </c>
    </row>
    <row r="6887" spans="3:6" s="614" customFormat="1">
      <c r="D6887" s="377" t="s">
        <v>748</v>
      </c>
      <c r="E6887" s="593" t="str">
        <f>IF(AND(calcCh3Prod2Slot3Active=1,NOT(calcCh3Prod2Slot3Promo1Weeks=0)),calcCh3Prod2Slot3Promo1PlanExp+0,"")</f>
        <v/>
      </c>
    </row>
    <row r="6888" spans="3:6" s="614" customFormat="1">
      <c r="D6888" s="377" t="s">
        <v>4414</v>
      </c>
      <c r="E6888" s="690" t="str">
        <f>IF(AND(calcCh3Prod2Slot3Active=1,NOT(calcCh3Prod2Slot3Promo1Weeks=0)),E6886/E6887,"")</f>
        <v/>
      </c>
      <c r="F6888" s="614" t="s">
        <v>11814</v>
      </c>
    </row>
    <row r="6889" spans="3:6" s="614" customFormat="1"/>
    <row r="6890" spans="3:6" s="614" customFormat="1">
      <c r="D6890" s="633" t="s">
        <v>5195</v>
      </c>
    </row>
    <row r="6891" spans="3:6" s="614" customFormat="1">
      <c r="D6891" s="377" t="s">
        <v>11588</v>
      </c>
      <c r="E6891" s="593" t="str">
        <f>IF(AND(calcCh3Prod2Slot3Active=1,NOT(calcCh3Prod2Slot3Promo1Weeks=0)),calcCh3Prod2Slot3Promo1CustPrice*calcCh3Prod2Slot3Promo1VolPWeek,"")</f>
        <v/>
      </c>
    </row>
    <row r="6892" spans="3:6" s="614" customFormat="1">
      <c r="D6892" s="377" t="s">
        <v>11589</v>
      </c>
      <c r="E6892" s="593" t="str">
        <f>E6887</f>
        <v/>
      </c>
    </row>
    <row r="6893" spans="3:6" s="614" customFormat="1">
      <c r="D6893" s="377" t="s">
        <v>5195</v>
      </c>
      <c r="E6893" s="958" t="str">
        <f>IF(AND(calcCh3Prod2Slot3Active=1,NOT(calcCh3Prod2Slot3Promo1Weeks=0)),((E6891+E6892)-calcCh3Prod2Slot3BaseCustProfPWeek)/calcCh3Prod2Slot3BaseCustProfPWeek,"")</f>
        <v/>
      </c>
      <c r="F6893" s="611" t="s">
        <v>12023</v>
      </c>
    </row>
    <row r="6894" spans="3:6" s="614" customFormat="1"/>
    <row r="6895" spans="3:6" s="614" customFormat="1">
      <c r="C6895" s="633" t="s">
        <v>13958</v>
      </c>
    </row>
    <row r="6896" spans="3:6" s="614" customFormat="1">
      <c r="C6896" s="633" t="s">
        <v>3859</v>
      </c>
    </row>
    <row r="6897" spans="4:6" s="614" customFormat="1">
      <c r="D6897" s="614" t="s">
        <v>11564</v>
      </c>
      <c r="E6897" s="593">
        <f>IF(AND(calcCh3Prod3Slot1Active=1,NOT(calcCh3Prod3Slot1Promo1Weeks=0)),(IF(xxSim0Tool1=0,MMCh3Prod3Seg1Slot1UnitsSoldRSP+MMCh3Prod3Seg2Slot1UnitsSoldRSP+MMCh3Prod3Seg3Slot1UnitsSoldRSP+MMCh3Prod3Seg4Slot1UnitsSoldRSP,calcCh3Prod3VolForecastProd*decCh3Prod3Slot1Forecast*(1-decCh3Prod3Slot1Promo1ShareFrc)))/(cnstWeeksPYear-calcCh3Prod3Slot1Promo1Weeks),"")</f>
        <v>960865.91581632651</v>
      </c>
      <c r="F6897" s="611" t="s">
        <v>11815</v>
      </c>
    </row>
    <row r="6898" spans="4:6" s="614" customFormat="1">
      <c r="D6898" s="614" t="s">
        <v>11569</v>
      </c>
      <c r="E6898" s="959">
        <f>IF(AND(calcCh3Prod3Slot1Active=1,NOT(calcCh3Prod3Slot1Promo1Weeks=0)),calcCh3Prod3Slot1CustPrice-finCalcCh3Prod3Slot1COGSPUnit-finCalcCh3Prod3Slot1LogExpPerUnit-paramExciseProd3,"")</f>
        <v>2.4657272265281627</v>
      </c>
      <c r="F6898" s="611" t="s">
        <v>11816</v>
      </c>
    </row>
    <row r="6899" spans="4:6" s="614" customFormat="1">
      <c r="D6899" s="614" t="s">
        <v>11580</v>
      </c>
      <c r="E6899" s="593">
        <f>IF(AND(calcCh3Prod3Slot1Active=1,NOT(calcCh3Prod3Slot1Promo1Weeks=0)),calcCh3Prod3Slot1BaseVolPWeek*calcCh3Prod3Slot1BaseGPaLPUnit,"")</f>
        <v>2369233.2496712338</v>
      </c>
      <c r="F6899" s="611" t="s">
        <v>11817</v>
      </c>
    </row>
    <row r="6900" spans="4:6" s="614" customFormat="1">
      <c r="D6900" s="614" t="s">
        <v>11586</v>
      </c>
      <c r="E6900" s="593">
        <f>IF(AND(calcCh3Prod3Slot1Active=1,NOT(calcCh3Prod3Slot1Promo1Weeks=0)),calcCh3Prod3Slot1CustPrice*calcCh3Prod3Slot1BaseVolPWeek,"")</f>
        <v>7302580.9602040807</v>
      </c>
      <c r="F6900" s="611" t="s">
        <v>12024</v>
      </c>
    </row>
    <row r="6901" spans="4:6" s="614" customFormat="1">
      <c r="E6901" s="593"/>
      <c r="F6901" s="611"/>
    </row>
    <row r="6902" spans="4:6" s="614" customFormat="1">
      <c r="D6902" s="633" t="s">
        <v>6111</v>
      </c>
    </row>
    <row r="6903" spans="4:6" s="614" customFormat="1">
      <c r="D6903" s="633" t="s">
        <v>11388</v>
      </c>
    </row>
    <row r="6904" spans="4:6" s="614" customFormat="1">
      <c r="D6904" s="377" t="s">
        <v>11565</v>
      </c>
      <c r="E6904" s="593">
        <f>IF(AND(calcCh3Prod3Slot1Active=1,NOT(calcCh3Prod3Slot1Promo1Weeks=0)),(IF(xxSim0Tool1=0,MMCh3Prod3Seg1Slot1UnitsSoldPromo1+MMCh3Prod3Seg2Slot1UnitsSoldPromo1+MMCh3Prod3Seg3Slot1UnitsSoldPromo1+MMCh3Prod3Seg4Slot1UnitsSoldPromo1,calcCh3Prod3VolForecastProd*decCh3Prod3Slot1Promo1ShareFrc))/(calcCh3Prod3Slot1Promo1Weeks),"")</f>
        <v>8450692.541666666</v>
      </c>
      <c r="F6904" s="614" t="s">
        <v>11818</v>
      </c>
    </row>
    <row r="6905" spans="4:6" s="614" customFormat="1">
      <c r="D6905" s="377" t="s">
        <v>11388</v>
      </c>
      <c r="E6905" s="958">
        <f>IF(AND(calcCh3Prod3Slot1Active=1,NOT(calcCh3Prod3Slot1Promo1Weeks=0)),calcCh3Prod3Slot1Promo1VolPWeek/calcCh3Prod3Slot1BaseVolPWeek-1,"")</f>
        <v>7.7948717948717938</v>
      </c>
      <c r="F6905" s="614" t="s">
        <v>11819</v>
      </c>
    </row>
    <row r="6906" spans="4:6" s="614" customFormat="1"/>
    <row r="6907" spans="4:6" s="614" customFormat="1">
      <c r="D6907" s="633" t="s">
        <v>4413</v>
      </c>
    </row>
    <row r="6908" spans="4:6" s="614" customFormat="1">
      <c r="D6908" s="377" t="s">
        <v>11577</v>
      </c>
      <c r="E6908" s="959">
        <f>IF(AND(calcCh3Prod3Slot1Active=1,NOT(calcCh3Prod3Slot1Promo1Weeks=0)),calcCh3Prod3Slot1Promo1CustPrice-finCalcCh3Prod3Slot1COGSPUnit-finCalcCh3Prod3Slot1LogExpPerUnit-paramExciseProd3,"")</f>
        <v>-4.2272773471837333E-2</v>
      </c>
      <c r="F6908" s="611" t="s">
        <v>11820</v>
      </c>
    </row>
    <row r="6909" spans="4:6" s="614" customFormat="1">
      <c r="D6909" s="377" t="s">
        <v>11582</v>
      </c>
      <c r="E6909" s="593">
        <f>IF(AND(calcCh3Prod3Slot1Active=1,NOT(calcCh3Prod3Slot1Promo1Weeks=0)),calcCh3Prod3Slot1Promo1GPaLPUnit*calcCh3Prod3Slot1Promo1VolPWeek,"")</f>
        <v>-357234.21149402024</v>
      </c>
      <c r="F6909" s="611" t="s">
        <v>11821</v>
      </c>
    </row>
    <row r="6910" spans="4:6" s="614" customFormat="1">
      <c r="D6910" s="377" t="s">
        <v>4413</v>
      </c>
      <c r="E6910" s="958">
        <f>IF(AND(calcCh3Prod3Slot1Active=1,NOT(calcCh3Prod3Slot1Promo1Weeks=0)),calcCh3Prod3Slot1Promo1GPaLPWeek/calcCh3Prod3Slot1BaseGPaLPWeek-1,"")</f>
        <v>-1.1507805158245148</v>
      </c>
      <c r="F6910" s="614" t="s">
        <v>11822</v>
      </c>
    </row>
    <row r="6911" spans="4:6" s="614" customFormat="1">
      <c r="E6911" s="593"/>
    </row>
    <row r="6912" spans="4:6" s="614" customFormat="1">
      <c r="D6912" s="633" t="s">
        <v>4414</v>
      </c>
      <c r="E6912" s="958"/>
    </row>
    <row r="6913" spans="3:6" s="614" customFormat="1">
      <c r="D6913" s="377" t="s">
        <v>11584</v>
      </c>
      <c r="E6913" s="593">
        <f>IF(AND(calcCh3Prod3Slot1Active=1,NOT(calcCh3Prod3Slot1Promo1Weeks=0)),(calcCh3Prod3Slot1Promo1GPaLPWeek-calcCh3Prod3Slot1BaseGPaLPWeek)*decCh3Prod3Slot1Promo1Weeks,"")</f>
        <v>-8179402.383495762</v>
      </c>
    </row>
    <row r="6914" spans="3:6" s="614" customFormat="1">
      <c r="D6914" s="377" t="s">
        <v>748</v>
      </c>
      <c r="E6914" s="593">
        <f>IF(AND(calcCh3Prod3Slot1Active=1,NOT(calcCh3Prod3Slot1Promo1Weeks=0)),calcCh3Prod3Slot1Promo1PlanExp+0,"")</f>
        <v>600000</v>
      </c>
    </row>
    <row r="6915" spans="3:6" s="614" customFormat="1">
      <c r="D6915" s="377" t="s">
        <v>4414</v>
      </c>
      <c r="E6915" s="690">
        <f>IF(AND(calcCh3Prod3Slot1Active=1,NOT(calcCh3Prod3Slot1Promo1Weeks=0)),E6913/E6914,"")</f>
        <v>-13.632337305826271</v>
      </c>
      <c r="F6915" s="614" t="s">
        <v>11823</v>
      </c>
    </row>
    <row r="6916" spans="3:6" s="614" customFormat="1"/>
    <row r="6917" spans="3:6" s="614" customFormat="1">
      <c r="D6917" s="633" t="s">
        <v>5195</v>
      </c>
    </row>
    <row r="6918" spans="3:6" s="614" customFormat="1">
      <c r="D6918" s="377" t="s">
        <v>11588</v>
      </c>
      <c r="E6918" s="593">
        <f>IF(AND(calcCh3Prod3Slot1Active=1,NOT(calcCh3Prod3Slot1Promo1Weeks=0)),calcCh3Prod3Slot1Promo1CustPrice*calcCh3Prod3Slot1Promo1VolPWeek,"")</f>
        <v>43030926.42216666</v>
      </c>
    </row>
    <row r="6919" spans="3:6" s="614" customFormat="1">
      <c r="D6919" s="377" t="s">
        <v>11589</v>
      </c>
      <c r="E6919" s="593">
        <f>E6914</f>
        <v>600000</v>
      </c>
    </row>
    <row r="6920" spans="3:6" s="614" customFormat="1">
      <c r="D6920" s="377" t="s">
        <v>5195</v>
      </c>
      <c r="E6920" s="958">
        <f>IF(AND(calcCh3Prod3Slot1Active=1,NOT(calcCh3Prod3Slot1Promo1Weeks=0)),((E6918+E6919)-calcCh3Prod3Slot1BaseCustProfPWeek)/calcCh3Prod3Slot1BaseCustProfPWeek,"")</f>
        <v>4.9747268342434552</v>
      </c>
      <c r="F6920" s="611" t="s">
        <v>12025</v>
      </c>
    </row>
    <row r="6921" spans="3:6" s="614" customFormat="1"/>
    <row r="6922" spans="3:6" s="614" customFormat="1">
      <c r="C6922" s="633" t="s">
        <v>3858</v>
      </c>
    </row>
    <row r="6923" spans="3:6" s="614" customFormat="1">
      <c r="D6923" s="614" t="s">
        <v>11564</v>
      </c>
      <c r="E6923" s="593" t="str">
        <f>IF(AND(calcCh3Prod3Slot2Active=1,NOT(calcCh3Prod3Slot2Promo1Weeks=0)),(IF(xxSim0Tool1=0,MMCh3Prod3Seg1Slot2UnitsSoldRSP+MMCh3Prod3Seg2Slot2UnitsSoldRSP+MMCh3Prod3Seg3Slot2UnitsSoldRSP+MMCh3Prod3Seg4Slot2UnitsSoldRSP,calcCh3Prod3VolForecastProd*decCh3Prod3Slot2Forecast*(1-decCh3Prod3Slot2Promo1ShareFrc)))/(cnstWeeksPYear-calcCh3Prod3Slot2Promo1Weeks),"")</f>
        <v/>
      </c>
      <c r="F6923" s="611" t="s">
        <v>11824</v>
      </c>
    </row>
    <row r="6924" spans="3:6" s="614" customFormat="1">
      <c r="D6924" s="614" t="s">
        <v>11569</v>
      </c>
      <c r="E6924" s="959" t="str">
        <f>IF(AND(calcCh3Prod3Slot2Active=1,NOT(calcCh3Prod3Slot2Promo1Weeks=0)),calcCh3Prod3Slot2CustPrice-finCalcCh3Prod3Slot2COGSPUnit-finCalcCh3Prod3Slot2LogExpPerUnit-paramExciseProd3,"")</f>
        <v/>
      </c>
      <c r="F6924" s="611" t="s">
        <v>11825</v>
      </c>
    </row>
    <row r="6925" spans="3:6" s="614" customFormat="1">
      <c r="D6925" s="614" t="s">
        <v>11580</v>
      </c>
      <c r="E6925" s="593" t="str">
        <f>IF(AND(calcCh3Prod3Slot2Active=1,NOT(calcCh3Prod3Slot2Promo1Weeks=0)),calcCh3Prod3Slot2BaseVolPWeek*calcCh3Prod3Slot2BaseGPaLPUnit,"")</f>
        <v/>
      </c>
      <c r="F6925" s="611" t="s">
        <v>11826</v>
      </c>
    </row>
    <row r="6926" spans="3:6" s="614" customFormat="1">
      <c r="D6926" s="614" t="s">
        <v>11586</v>
      </c>
      <c r="E6926" s="593" t="str">
        <f>IF(AND(calcCh3Prod3Slot2Active=1,NOT(calcCh3Prod3Slot2Promo1Weeks=0)),calcCh3Prod3Slot2CustPrice*calcCh3Prod3Slot2BaseVolPWeek,"")</f>
        <v/>
      </c>
      <c r="F6926" s="611" t="s">
        <v>12026</v>
      </c>
    </row>
    <row r="6927" spans="3:6" s="614" customFormat="1">
      <c r="E6927" s="593"/>
      <c r="F6927" s="611"/>
    </row>
    <row r="6928" spans="3:6" s="614" customFormat="1">
      <c r="D6928" s="633" t="s">
        <v>6111</v>
      </c>
    </row>
    <row r="6929" spans="4:6" s="614" customFormat="1">
      <c r="D6929" s="633" t="s">
        <v>11388</v>
      </c>
    </row>
    <row r="6930" spans="4:6" s="614" customFormat="1">
      <c r="D6930" s="377" t="s">
        <v>11565</v>
      </c>
      <c r="E6930" s="593" t="str">
        <f>IF(AND(calcCh3Prod3Slot2Active=1,NOT(calcCh3Prod3Slot2Promo1Weeks=0)),(IF(xxSim0Tool1=0,MMCh3Prod3Seg1Slot2UnitsSoldPromo1+MMCh3Prod3Seg2Slot2UnitsSoldPromo1+MMCh3Prod3Seg3Slot2UnitsSoldPromo1+MMCh3Prod3Seg4Slot2UnitsSoldPromo1,calcCh3Prod3VolForecastProd*decCh3Prod3Slot2Promo1ShareFrc))/(calcCh3Prod3Slot2Promo1Weeks),"")</f>
        <v/>
      </c>
      <c r="F6930" s="614" t="s">
        <v>11827</v>
      </c>
    </row>
    <row r="6931" spans="4:6" s="614" customFormat="1">
      <c r="D6931" s="377" t="s">
        <v>11388</v>
      </c>
      <c r="E6931" s="958" t="str">
        <f>IF(AND(calcCh3Prod3Slot2Active=1,NOT(calcCh3Prod3Slot2Promo1Weeks=0)),calcCh3Prod3Slot2Promo1VolPWeek/calcCh3Prod3Slot2BaseVolPWeek-1,"")</f>
        <v/>
      </c>
      <c r="F6931" s="614" t="s">
        <v>11828</v>
      </c>
    </row>
    <row r="6932" spans="4:6" s="614" customFormat="1"/>
    <row r="6933" spans="4:6" s="614" customFormat="1">
      <c r="D6933" s="633" t="s">
        <v>4413</v>
      </c>
    </row>
    <row r="6934" spans="4:6" s="614" customFormat="1">
      <c r="D6934" s="377" t="s">
        <v>11577</v>
      </c>
      <c r="E6934" s="959" t="str">
        <f>IF(AND(calcCh3Prod3Slot2Active=1,NOT(calcCh3Prod3Slot2Promo1Weeks=0)),calcCh3Prod3Slot2Promo1CustPrice-finCalcCh3Prod3Slot2COGSPUnit-finCalcCh3Prod3Slot2LogExpPerUnit-paramExciseProd3,"")</f>
        <v/>
      </c>
      <c r="F6934" s="611" t="s">
        <v>11829</v>
      </c>
    </row>
    <row r="6935" spans="4:6" s="614" customFormat="1">
      <c r="D6935" s="377" t="s">
        <v>11582</v>
      </c>
      <c r="E6935" s="593" t="str">
        <f>IF(AND(calcCh3Prod3Slot2Active=1,NOT(calcCh3Prod3Slot2Promo1Weeks=0)),calcCh3Prod3Slot2Promo1GPaLPUnit*calcCh3Prod3Slot2Promo1VolPWeek,"")</f>
        <v/>
      </c>
      <c r="F6935" s="611" t="s">
        <v>11830</v>
      </c>
    </row>
    <row r="6936" spans="4:6" s="614" customFormat="1">
      <c r="D6936" s="377" t="s">
        <v>4413</v>
      </c>
      <c r="E6936" s="958" t="str">
        <f>IF(AND(calcCh3Prod3Slot2Active=1,NOT(calcCh3Prod3Slot2Promo1Weeks=0)),calcCh3Prod3Slot2Promo1GPaLPWeek/calcCh3Prod3Slot2BaseGPaLPWeek-1,"")</f>
        <v/>
      </c>
      <c r="F6936" s="614" t="s">
        <v>11831</v>
      </c>
    </row>
    <row r="6937" spans="4:6" s="614" customFormat="1">
      <c r="E6937" s="593"/>
    </row>
    <row r="6938" spans="4:6" s="614" customFormat="1">
      <c r="D6938" s="633" t="s">
        <v>4414</v>
      </c>
      <c r="E6938" s="958"/>
    </row>
    <row r="6939" spans="4:6" s="614" customFormat="1">
      <c r="D6939" s="377" t="s">
        <v>11584</v>
      </c>
      <c r="E6939" s="593" t="str">
        <f>IF(AND(calcCh3Prod3Slot2Active=1,NOT(calcCh3Prod3Slot2Promo1Weeks=0)),(calcCh3Prod3Slot2Promo1GPaLPWeek-calcCh3Prod3Slot2BaseGPaLPWeek)*decCh3Prod3Slot2Promo1Weeks,"")</f>
        <v/>
      </c>
    </row>
    <row r="6940" spans="4:6" s="614" customFormat="1">
      <c r="D6940" s="377" t="s">
        <v>748</v>
      </c>
      <c r="E6940" s="593" t="str">
        <f>IF(AND(calcCh3Prod3Slot2Active=1,NOT(calcCh3Prod3Slot2Promo1Weeks=0)),calcCh3Prod3Slot2Promo1PlanExp+0,"")</f>
        <v/>
      </c>
    </row>
    <row r="6941" spans="4:6" s="614" customFormat="1">
      <c r="D6941" s="377" t="s">
        <v>4414</v>
      </c>
      <c r="E6941" s="690" t="str">
        <f>IF(AND(calcCh3Prod3Slot2Active=1,NOT(calcCh3Prod3Slot2Promo1Weeks=0)),E6939/E6940,"")</f>
        <v/>
      </c>
      <c r="F6941" s="614" t="s">
        <v>11832</v>
      </c>
    </row>
    <row r="6942" spans="4:6" s="614" customFormat="1"/>
    <row r="6943" spans="4:6" s="614" customFormat="1">
      <c r="D6943" s="633" t="s">
        <v>5195</v>
      </c>
    </row>
    <row r="6944" spans="4:6" s="614" customFormat="1">
      <c r="D6944" s="377" t="s">
        <v>11588</v>
      </c>
      <c r="E6944" s="593" t="str">
        <f>IF(AND(calcCh3Prod3Slot2Active=1,NOT(calcCh3Prod3Slot2Promo1Weeks=0)),calcCh3Prod3Slot2Promo1CustPrice*calcCh3Prod3Slot2Promo1VolPWeek,"")</f>
        <v/>
      </c>
    </row>
    <row r="6945" spans="3:6" s="614" customFormat="1">
      <c r="D6945" s="377" t="s">
        <v>11589</v>
      </c>
      <c r="E6945" s="593" t="str">
        <f>E6940</f>
        <v/>
      </c>
    </row>
    <row r="6946" spans="3:6" s="614" customFormat="1">
      <c r="D6946" s="377" t="s">
        <v>5195</v>
      </c>
      <c r="E6946" s="958" t="str">
        <f>IF(AND(calcCh3Prod3Slot2Active=1,NOT(calcCh3Prod3Slot2Promo1Weeks=0)),((E6944+E6945)-calcCh3Prod3Slot2BaseCustProfPWeek)/calcCh3Prod3Slot2BaseCustProfPWeek,"")</f>
        <v/>
      </c>
      <c r="F6946" s="611" t="s">
        <v>12027</v>
      </c>
    </row>
    <row r="6947" spans="3:6" s="614" customFormat="1"/>
    <row r="6948" spans="3:6" s="614" customFormat="1">
      <c r="C6948" s="633" t="s">
        <v>3860</v>
      </c>
    </row>
    <row r="6949" spans="3:6" s="614" customFormat="1">
      <c r="D6949" s="614" t="s">
        <v>11564</v>
      </c>
      <c r="E6949" s="593" t="str">
        <f>IF(AND(calcCh3Prod3Slot3Active=1,NOT(calcCh3Prod3Slot3Promo1Weeks=0)),(IF(xxSim0Tool1=0,MMCh3Prod3Seg1Slot3UnitsSoldRSP+MMCh3Prod3Seg2Slot3UnitsSoldRSP+MMCh3Prod3Seg3Slot3UnitsSoldRSP+MMCh3Prod3Seg4Slot3UnitsSoldRSP,calcCh3Prod3VolForecastProd*decCh3Prod3Slot3Forecast*(1-decCh3Prod3Slot3Promo1ShareFrc)))/(cnstWeeksPYear-calcCh3Prod3Slot3Promo1Weeks),"")</f>
        <v/>
      </c>
      <c r="F6949" s="611" t="s">
        <v>11833</v>
      </c>
    </row>
    <row r="6950" spans="3:6" s="614" customFormat="1">
      <c r="D6950" s="614" t="s">
        <v>11569</v>
      </c>
      <c r="E6950" s="959" t="str">
        <f>IF(AND(calcCh3Prod3Slot3Active=1,NOT(calcCh3Prod3Slot3Promo1Weeks=0)),calcCh3Prod3Slot3CustPrice-finCalcCh3Prod3Slot3COGSPUnit-finCalcCh3Prod3Slot3LogExpPerUnit-paramExciseProd3,"")</f>
        <v/>
      </c>
      <c r="F6950" s="611" t="s">
        <v>11834</v>
      </c>
    </row>
    <row r="6951" spans="3:6" s="614" customFormat="1">
      <c r="D6951" s="614" t="s">
        <v>11580</v>
      </c>
      <c r="E6951" s="593" t="str">
        <f>IF(AND(calcCh3Prod3Slot3Active=1,NOT(calcCh3Prod3Slot3Promo1Weeks=0)),calcCh3Prod3Slot3BaseVolPWeek*calcCh3Prod3Slot3BaseGPaLPUnit,"")</f>
        <v/>
      </c>
      <c r="F6951" s="611" t="s">
        <v>11835</v>
      </c>
    </row>
    <row r="6952" spans="3:6" s="614" customFormat="1">
      <c r="D6952" s="614" t="s">
        <v>11586</v>
      </c>
      <c r="E6952" s="593" t="str">
        <f>IF(AND(calcCh3Prod3Slot3Active=1,NOT(calcCh3Prod3Slot3Promo1Weeks=0)),calcCh3Prod3Slot3CustPrice*calcCh3Prod3Slot3BaseVolPWeek,"")</f>
        <v/>
      </c>
      <c r="F6952" s="611" t="s">
        <v>12028</v>
      </c>
    </row>
    <row r="6953" spans="3:6" s="614" customFormat="1">
      <c r="E6953" s="593"/>
      <c r="F6953" s="611"/>
    </row>
    <row r="6954" spans="3:6" s="614" customFormat="1">
      <c r="D6954" s="633" t="s">
        <v>6111</v>
      </c>
    </row>
    <row r="6955" spans="3:6" s="614" customFormat="1">
      <c r="D6955" s="633" t="s">
        <v>11388</v>
      </c>
    </row>
    <row r="6956" spans="3:6" s="614" customFormat="1">
      <c r="D6956" s="377" t="s">
        <v>11565</v>
      </c>
      <c r="E6956" s="593" t="str">
        <f>IF(AND(calcCh3Prod3Slot3Active=1,NOT(calcCh3Prod3Slot3Promo1Weeks=0)),(IF(xxSim0Tool1=0,MMCh3Prod3Seg1Slot3UnitsSoldPromo1+MMCh3Prod3Seg2Slot3UnitsSoldPromo1+MMCh3Prod3Seg3Slot3UnitsSoldPromo1+MMCh3Prod3Seg4Slot3UnitsSoldPromo1,calcCh3Prod3VolForecastProd*decCh3Prod3Slot3Promo1ShareFrc))/(calcCh3Prod3Slot3Promo1Weeks),"")</f>
        <v/>
      </c>
      <c r="F6956" s="614" t="s">
        <v>11836</v>
      </c>
    </row>
    <row r="6957" spans="3:6" s="614" customFormat="1">
      <c r="D6957" s="377" t="s">
        <v>11388</v>
      </c>
      <c r="E6957" s="958" t="str">
        <f>IF(AND(calcCh3Prod3Slot3Active=1,NOT(calcCh3Prod3Slot3Promo1Weeks=0)),calcCh3Prod3Slot3Promo1VolPWeek/calcCh3Prod3Slot3BaseVolPWeek-1,"")</f>
        <v/>
      </c>
      <c r="F6957" s="614" t="s">
        <v>11837</v>
      </c>
    </row>
    <row r="6958" spans="3:6" s="614" customFormat="1"/>
    <row r="6959" spans="3:6" s="614" customFormat="1">
      <c r="D6959" s="633" t="s">
        <v>4413</v>
      </c>
    </row>
    <row r="6960" spans="3:6" s="614" customFormat="1">
      <c r="D6960" s="377" t="s">
        <v>11577</v>
      </c>
      <c r="E6960" s="959" t="str">
        <f>IF(AND(calcCh3Prod3Slot3Active=1,NOT(calcCh3Prod3Slot3Promo1Weeks=0)),calcCh3Prod3Slot3Promo1CustPrice-finCalcCh3Prod3Slot3COGSPUnit-finCalcCh3Prod3Slot3LogExpPerUnit-paramExciseProd3,"")</f>
        <v/>
      </c>
      <c r="F6960" s="611" t="s">
        <v>11838</v>
      </c>
    </row>
    <row r="6961" spans="3:6" s="614" customFormat="1">
      <c r="D6961" s="377" t="s">
        <v>11582</v>
      </c>
      <c r="E6961" s="593" t="str">
        <f>IF(AND(calcCh3Prod3Slot3Active=1,NOT(calcCh3Prod3Slot3Promo1Weeks=0)),calcCh3Prod3Slot3Promo1GPaLPUnit*calcCh3Prod3Slot3Promo1VolPWeek,"")</f>
        <v/>
      </c>
      <c r="F6961" s="611" t="s">
        <v>11839</v>
      </c>
    </row>
    <row r="6962" spans="3:6" s="614" customFormat="1">
      <c r="D6962" s="377" t="s">
        <v>4413</v>
      </c>
      <c r="E6962" s="958" t="str">
        <f>IF(AND(calcCh3Prod3Slot3Active=1,NOT(calcCh3Prod3Slot3Promo1Weeks=0)),calcCh3Prod3Slot3Promo1GPaLPWeek/calcCh3Prod3Slot3BaseGPaLPWeek-1,"")</f>
        <v/>
      </c>
      <c r="F6962" s="614" t="s">
        <v>11840</v>
      </c>
    </row>
    <row r="6963" spans="3:6" s="614" customFormat="1">
      <c r="E6963" s="593"/>
    </row>
    <row r="6964" spans="3:6" s="614" customFormat="1">
      <c r="D6964" s="633" t="s">
        <v>4414</v>
      </c>
      <c r="E6964" s="958"/>
    </row>
    <row r="6965" spans="3:6" s="614" customFormat="1">
      <c r="D6965" s="377" t="s">
        <v>11584</v>
      </c>
      <c r="E6965" s="593" t="str">
        <f>IF(AND(calcCh3Prod3Slot3Active=1,NOT(calcCh3Prod3Slot3Promo1Weeks=0)),(calcCh3Prod3Slot3Promo1GPaLPWeek-calcCh3Prod3Slot3BaseGPaLPWeek)*decCh3Prod3Slot3Promo1Weeks,"")</f>
        <v/>
      </c>
    </row>
    <row r="6966" spans="3:6" s="614" customFormat="1">
      <c r="D6966" s="377" t="s">
        <v>748</v>
      </c>
      <c r="E6966" s="593" t="str">
        <f>IF(AND(calcCh3Prod3Slot3Active=1,NOT(calcCh3Prod3Slot3Promo1Weeks=0)),calcCh3Prod3Slot3Promo1PlanExp+0,"")</f>
        <v/>
      </c>
    </row>
    <row r="6967" spans="3:6" s="614" customFormat="1">
      <c r="D6967" s="377" t="s">
        <v>4414</v>
      </c>
      <c r="E6967" s="690" t="str">
        <f>IF(AND(calcCh3Prod3Slot3Active=1,NOT(calcCh3Prod3Slot3Promo1Weeks=0)),E6965/E6966,"")</f>
        <v/>
      </c>
      <c r="F6967" s="614" t="s">
        <v>11841</v>
      </c>
    </row>
    <row r="6968" spans="3:6" s="614" customFormat="1"/>
    <row r="6969" spans="3:6" s="614" customFormat="1">
      <c r="D6969" s="633" t="s">
        <v>5195</v>
      </c>
    </row>
    <row r="6970" spans="3:6" s="614" customFormat="1">
      <c r="D6970" s="377" t="s">
        <v>11588</v>
      </c>
      <c r="E6970" s="593" t="str">
        <f>IF(AND(calcCh3Prod3Slot3Active=1,NOT(calcCh3Prod3Slot3Promo1Weeks=0)),calcCh3Prod3Slot3Promo1CustPrice*calcCh3Prod3Slot3Promo1VolPWeek,"")</f>
        <v/>
      </c>
    </row>
    <row r="6971" spans="3:6" s="614" customFormat="1">
      <c r="D6971" s="377" t="s">
        <v>11589</v>
      </c>
      <c r="E6971" s="593" t="str">
        <f>E6966</f>
        <v/>
      </c>
    </row>
    <row r="6972" spans="3:6" s="614" customFormat="1">
      <c r="D6972" s="377" t="s">
        <v>5195</v>
      </c>
      <c r="E6972" s="958" t="str">
        <f>IF(AND(calcCh3Prod3Slot3Active=1,NOT(calcCh3Prod3Slot3Promo1Weeks=0)),((E6970+E6971)-calcCh3Prod3Slot3BaseCustProfPWeek)/calcCh3Prod3Slot3BaseCustProfPWeek,"")</f>
        <v/>
      </c>
      <c r="F6972" s="611" t="s">
        <v>12029</v>
      </c>
    </row>
    <row r="6973" spans="3:6" s="614" customFormat="1"/>
    <row r="6974" spans="3:6" s="614" customFormat="1">
      <c r="C6974" s="633" t="s">
        <v>13959</v>
      </c>
    </row>
    <row r="6975" spans="3:6" s="614" customFormat="1">
      <c r="C6975" s="633" t="s">
        <v>3859</v>
      </c>
    </row>
    <row r="6976" spans="3:6" s="614" customFormat="1">
      <c r="D6976" s="614" t="s">
        <v>11564</v>
      </c>
      <c r="E6976" s="593" t="str">
        <f>IF(AND(calcCh3Prod4Slot1Active=1,NOT(calcCh3Prod4Slot1Promo1Weeks=0)),(IF(xxSim0Tool1=0,MMCh3Prod4Seg1Slot1UnitsSoldRSP+MMCh3Prod4Seg2Slot1UnitsSoldRSP+MMCh3Prod4Seg3Slot1UnitsSoldRSP+MMCh3Prod4Seg4Slot1UnitsSoldRSP,calcCh3Prod4VolForecastProd*decCh3Prod4Slot1Forecast*(1-decCh3Prod4Slot1Promo1ShareFrc)))/(cnstWeeksPYear-calcCh3Prod4Slot1Promo1Weeks),"")</f>
        <v/>
      </c>
      <c r="F6976" s="611" t="s">
        <v>11842</v>
      </c>
    </row>
    <row r="6977" spans="4:6" s="614" customFormat="1">
      <c r="D6977" s="614" t="s">
        <v>11569</v>
      </c>
      <c r="E6977" s="959" t="str">
        <f>IF(AND(calcCh3Prod4Slot1Active=1,NOT(calcCh3Prod4Slot1Promo1Weeks=0)),calcCh3Prod4Slot1CustPrice-finCalcCh3Prod4Slot1COGSPUnit-finCalcCh3Prod4Slot1LogExpPerUnit-paramExciseProd4,"")</f>
        <v/>
      </c>
      <c r="F6977" s="611" t="s">
        <v>11843</v>
      </c>
    </row>
    <row r="6978" spans="4:6" s="614" customFormat="1">
      <c r="D6978" s="614" t="s">
        <v>11580</v>
      </c>
      <c r="E6978" s="593" t="str">
        <f>IF(AND(calcCh3Prod4Slot1Active=1,NOT(calcCh3Prod4Slot1Promo1Weeks=0)),calcCh3Prod4Slot1BaseVolPWeek*calcCh3Prod4Slot1BaseGPaLPUnit,"")</f>
        <v/>
      </c>
      <c r="F6978" s="611" t="s">
        <v>11844</v>
      </c>
    </row>
    <row r="6979" spans="4:6" s="614" customFormat="1">
      <c r="D6979" s="614" t="s">
        <v>11586</v>
      </c>
      <c r="E6979" s="593" t="str">
        <f>IF(AND(calcCh3Prod4Slot1Active=1,NOT(calcCh3Prod4Slot1Promo1Weeks=0)),calcCh3Prod4Slot1CustPrice*calcCh3Prod4Slot1BaseVolPWeek,"")</f>
        <v/>
      </c>
      <c r="F6979" s="611" t="s">
        <v>12030</v>
      </c>
    </row>
    <row r="6980" spans="4:6" s="614" customFormat="1">
      <c r="E6980" s="593"/>
      <c r="F6980" s="611"/>
    </row>
    <row r="6981" spans="4:6" s="614" customFormat="1">
      <c r="D6981" s="633" t="s">
        <v>6111</v>
      </c>
    </row>
    <row r="6982" spans="4:6" s="614" customFormat="1">
      <c r="D6982" s="633" t="s">
        <v>11388</v>
      </c>
    </row>
    <row r="6983" spans="4:6" s="614" customFormat="1">
      <c r="D6983" s="377" t="s">
        <v>11565</v>
      </c>
      <c r="E6983" s="593" t="str">
        <f>IF(AND(calcCh3Prod4Slot1Active=1,NOT(calcCh3Prod4Slot1Promo1Weeks=0)),(IF(xxSim0Tool1=0,MMCh3Prod4Seg1Slot1UnitsSoldPromo1+MMCh3Prod4Seg2Slot1UnitsSoldPromo1+MMCh3Prod4Seg3Slot1UnitsSoldPromo1+MMCh3Prod4Seg4Slot1UnitsSoldPromo1,calcCh3Prod4VolForecastProd*decCh3Prod4Slot1Promo1ShareFrc))/(calcCh3Prod4Slot1Promo1Weeks),"")</f>
        <v/>
      </c>
      <c r="F6983" s="614" t="s">
        <v>11845</v>
      </c>
    </row>
    <row r="6984" spans="4:6" s="614" customFormat="1">
      <c r="D6984" s="377" t="s">
        <v>11388</v>
      </c>
      <c r="E6984" s="958" t="str">
        <f>IF(AND(calcCh3Prod4Slot1Active=1,NOT(calcCh3Prod4Slot1Promo1Weeks=0)),calcCh3Prod4Slot1Promo1VolPWeek/calcCh3Prod4Slot1BaseVolPWeek-1,"")</f>
        <v/>
      </c>
      <c r="F6984" s="614" t="s">
        <v>11846</v>
      </c>
    </row>
    <row r="6985" spans="4:6" s="614" customFormat="1"/>
    <row r="6986" spans="4:6" s="614" customFormat="1">
      <c r="D6986" s="633" t="s">
        <v>4413</v>
      </c>
    </row>
    <row r="6987" spans="4:6" s="614" customFormat="1">
      <c r="D6987" s="377" t="s">
        <v>11577</v>
      </c>
      <c r="E6987" s="959" t="str">
        <f>IF(AND(calcCh3Prod4Slot1Active=1,NOT(calcCh3Prod4Slot1Promo1Weeks=0)),calcCh3Prod4Slot1Promo1CustPrice-finCalcCh3Prod4Slot1COGSPUnit-finCalcCh3Prod4Slot1LogExpPerUnit-paramExciseProd4,"")</f>
        <v/>
      </c>
      <c r="F6987" s="611" t="s">
        <v>11847</v>
      </c>
    </row>
    <row r="6988" spans="4:6" s="614" customFormat="1">
      <c r="D6988" s="377" t="s">
        <v>11582</v>
      </c>
      <c r="E6988" s="593" t="str">
        <f>IF(AND(calcCh3Prod4Slot1Active=1,NOT(calcCh3Prod4Slot1Promo1Weeks=0)),calcCh3Prod4Slot1Promo1GPaLPUnit*calcCh3Prod4Slot1Promo1VolPWeek,"")</f>
        <v/>
      </c>
      <c r="F6988" s="611" t="s">
        <v>11848</v>
      </c>
    </row>
    <row r="6989" spans="4:6" s="614" customFormat="1">
      <c r="D6989" s="377" t="s">
        <v>4413</v>
      </c>
      <c r="E6989" s="958" t="str">
        <f>IF(AND(calcCh3Prod4Slot1Active=1,NOT(calcCh3Prod4Slot1Promo1Weeks=0)),calcCh3Prod4Slot1Promo1GPaLPWeek/calcCh3Prod4Slot1BaseGPaLPWeek-1,"")</f>
        <v/>
      </c>
      <c r="F6989" s="614" t="s">
        <v>11849</v>
      </c>
    </row>
    <row r="6990" spans="4:6" s="614" customFormat="1">
      <c r="E6990" s="593"/>
    </row>
    <row r="6991" spans="4:6" s="614" customFormat="1">
      <c r="D6991" s="633" t="s">
        <v>4414</v>
      </c>
      <c r="E6991" s="958"/>
    </row>
    <row r="6992" spans="4:6" s="614" customFormat="1">
      <c r="D6992" s="377" t="s">
        <v>11584</v>
      </c>
      <c r="E6992" s="593" t="str">
        <f>IF(AND(calcCh3Prod4Slot1Active=1,NOT(calcCh3Prod4Slot1Promo1Weeks=0)),(calcCh3Prod4Slot1Promo1GPaLPWeek-calcCh3Prod4Slot1BaseGPaLPWeek)*decCh3Prod4Slot1Promo1Weeks,"")</f>
        <v/>
      </c>
    </row>
    <row r="6993" spans="3:6" s="614" customFormat="1">
      <c r="D6993" s="377" t="s">
        <v>748</v>
      </c>
      <c r="E6993" s="593" t="str">
        <f>IF(AND(calcCh3Prod4Slot1Active=1,NOT(calcCh3Prod4Slot1Promo1Weeks=0)),calcCh3Prod4Slot1Promo1PlanExp+0,"")</f>
        <v/>
      </c>
    </row>
    <row r="6994" spans="3:6" s="614" customFormat="1">
      <c r="D6994" s="377" t="s">
        <v>4414</v>
      </c>
      <c r="E6994" s="690" t="str">
        <f>IF(AND(calcCh3Prod4Slot1Active=1,NOT(calcCh3Prod4Slot1Promo1Weeks=0)),E6992/E6993,"")</f>
        <v/>
      </c>
      <c r="F6994" s="614" t="s">
        <v>11850</v>
      </c>
    </row>
    <row r="6995" spans="3:6" s="614" customFormat="1"/>
    <row r="6996" spans="3:6" s="614" customFormat="1">
      <c r="D6996" s="633" t="s">
        <v>5195</v>
      </c>
    </row>
    <row r="6997" spans="3:6" s="614" customFormat="1">
      <c r="D6997" s="377" t="s">
        <v>11588</v>
      </c>
      <c r="E6997" s="593" t="str">
        <f>IF(AND(calcCh3Prod4Slot1Active=1,NOT(calcCh3Prod4Slot1Promo1Weeks=0)),calcCh3Prod4Slot1Promo1CustPrice*calcCh3Prod4Slot1Promo1VolPWeek,"")</f>
        <v/>
      </c>
    </row>
    <row r="6998" spans="3:6" s="614" customFormat="1">
      <c r="D6998" s="377" t="s">
        <v>11589</v>
      </c>
      <c r="E6998" s="593" t="str">
        <f>E6993</f>
        <v/>
      </c>
    </row>
    <row r="6999" spans="3:6" s="614" customFormat="1">
      <c r="D6999" s="377" t="s">
        <v>5195</v>
      </c>
      <c r="E6999" s="958" t="str">
        <f>IF(AND(calcCh3Prod4Slot1Active=1,NOT(calcCh3Prod4Slot1Promo1Weeks=0)),((E6997+E6998)-calcCh3Prod4Slot1BaseCustProfPWeek)/calcCh3Prod4Slot1BaseCustProfPWeek,"")</f>
        <v/>
      </c>
      <c r="F6999" s="611" t="s">
        <v>12031</v>
      </c>
    </row>
    <row r="7000" spans="3:6" s="614" customFormat="1"/>
    <row r="7001" spans="3:6" s="614" customFormat="1">
      <c r="C7001" s="633" t="s">
        <v>3858</v>
      </c>
    </row>
    <row r="7002" spans="3:6" s="614" customFormat="1">
      <c r="D7002" s="614" t="s">
        <v>11564</v>
      </c>
      <c r="E7002" s="593" t="str">
        <f>IF(AND(calcCh3Prod4Slot2Active=1,NOT(calcCh3Prod4Slot2Promo1Weeks=0)),(IF(xxSim0Tool1=0,MMCh3Prod4Seg1Slot2UnitsSoldRSP+MMCh3Prod4Seg2Slot2UnitsSoldRSP+MMCh3Prod4Seg3Slot2UnitsSoldRSP+MMCh3Prod4Seg4Slot2UnitsSoldRSP,calcCh3Prod4VolForecastProd*decCh3Prod4Slot2Forecast*(1-decCh3Prod4Slot2Promo1ShareFrc)))/(cnstWeeksPYear-calcCh3Prod4Slot2Promo1Weeks),"")</f>
        <v/>
      </c>
      <c r="F7002" s="611" t="s">
        <v>11851</v>
      </c>
    </row>
    <row r="7003" spans="3:6" s="614" customFormat="1">
      <c r="D7003" s="614" t="s">
        <v>11569</v>
      </c>
      <c r="E7003" s="959" t="str">
        <f>IF(AND(calcCh3Prod4Slot2Active=1,NOT(calcCh3Prod4Slot2Promo1Weeks=0)),calcCh3Prod4Slot2CustPrice-finCalcCh3Prod4Slot2COGSPUnit-finCalcCh3Prod4Slot2LogExpPerUnit-paramExciseProd4,"")</f>
        <v/>
      </c>
      <c r="F7003" s="611" t="s">
        <v>11852</v>
      </c>
    </row>
    <row r="7004" spans="3:6" s="614" customFormat="1">
      <c r="D7004" s="614" t="s">
        <v>11580</v>
      </c>
      <c r="E7004" s="593" t="str">
        <f>IF(AND(calcCh3Prod4Slot2Active=1,NOT(calcCh3Prod4Slot2Promo1Weeks=0)),calcCh3Prod4Slot2BaseVolPWeek*calcCh3Prod4Slot2BaseGPaLPUnit,"")</f>
        <v/>
      </c>
      <c r="F7004" s="611" t="s">
        <v>11853</v>
      </c>
    </row>
    <row r="7005" spans="3:6" s="614" customFormat="1">
      <c r="D7005" s="614" t="s">
        <v>11586</v>
      </c>
      <c r="E7005" s="593" t="str">
        <f>IF(AND(calcCh3Prod4Slot2Active=1,NOT(calcCh3Prod4Slot2Promo1Weeks=0)),calcCh3Prod4Slot2CustPrice*calcCh3Prod4Slot2BaseVolPWeek,"")</f>
        <v/>
      </c>
      <c r="F7005" s="611" t="s">
        <v>12032</v>
      </c>
    </row>
    <row r="7006" spans="3:6" s="614" customFormat="1">
      <c r="E7006" s="593"/>
      <c r="F7006" s="611"/>
    </row>
    <row r="7007" spans="3:6" s="614" customFormat="1">
      <c r="D7007" s="633" t="s">
        <v>6111</v>
      </c>
    </row>
    <row r="7008" spans="3:6" s="614" customFormat="1">
      <c r="D7008" s="633" t="s">
        <v>11388</v>
      </c>
    </row>
    <row r="7009" spans="4:6" s="614" customFormat="1">
      <c r="D7009" s="377" t="s">
        <v>11565</v>
      </c>
      <c r="E7009" s="593" t="str">
        <f>IF(AND(calcCh3Prod4Slot2Active=1,NOT(calcCh3Prod4Slot2Promo1Weeks=0)),(IF(xxSim0Tool1=0,MMCh3Prod4Seg1Slot2UnitsSoldPromo1+MMCh3Prod4Seg2Slot2UnitsSoldPromo1+MMCh3Prod4Seg3Slot2UnitsSoldPromo1+MMCh3Prod4Seg4Slot2UnitsSoldPromo1,calcCh3Prod4VolForecastProd*decCh3Prod4Slot2Promo1ShareFrc))/(calcCh3Prod4Slot2Promo1Weeks),"")</f>
        <v/>
      </c>
      <c r="F7009" s="614" t="s">
        <v>11854</v>
      </c>
    </row>
    <row r="7010" spans="4:6" s="614" customFormat="1">
      <c r="D7010" s="377" t="s">
        <v>11388</v>
      </c>
      <c r="E7010" s="958" t="str">
        <f>IF(AND(calcCh3Prod4Slot2Active=1,NOT(calcCh3Prod4Slot2Promo1Weeks=0)),calcCh3Prod4Slot2Promo1VolPWeek/calcCh3Prod4Slot2BaseVolPWeek-1,"")</f>
        <v/>
      </c>
      <c r="F7010" s="614" t="s">
        <v>11855</v>
      </c>
    </row>
    <row r="7011" spans="4:6" s="614" customFormat="1"/>
    <row r="7012" spans="4:6" s="614" customFormat="1">
      <c r="D7012" s="633" t="s">
        <v>4413</v>
      </c>
    </row>
    <row r="7013" spans="4:6" s="614" customFormat="1">
      <c r="D7013" s="377" t="s">
        <v>11577</v>
      </c>
      <c r="E7013" s="959" t="str">
        <f>IF(AND(calcCh3Prod4Slot2Active=1,NOT(calcCh3Prod4Slot2Promo1Weeks=0)),calcCh3Prod4Slot2Promo1CustPrice-finCalcCh3Prod4Slot2COGSPUnit-finCalcCh3Prod4Slot2LogExpPerUnit-paramExciseProd4,"")</f>
        <v/>
      </c>
      <c r="F7013" s="611" t="s">
        <v>11856</v>
      </c>
    </row>
    <row r="7014" spans="4:6" s="614" customFormat="1">
      <c r="D7014" s="377" t="s">
        <v>11582</v>
      </c>
      <c r="E7014" s="593" t="str">
        <f>IF(AND(calcCh3Prod4Slot2Active=1,NOT(calcCh3Prod4Slot2Promo1Weeks=0)),calcCh3Prod4Slot2Promo1GPaLPUnit*calcCh3Prod4Slot2Promo1VolPWeek,"")</f>
        <v/>
      </c>
      <c r="F7014" s="611" t="s">
        <v>11857</v>
      </c>
    </row>
    <row r="7015" spans="4:6" s="614" customFormat="1">
      <c r="D7015" s="377" t="s">
        <v>4413</v>
      </c>
      <c r="E7015" s="958" t="str">
        <f>IF(AND(calcCh3Prod4Slot2Active=1,NOT(calcCh3Prod4Slot2Promo1Weeks=0)),calcCh3Prod4Slot2Promo1GPaLPWeek/calcCh3Prod4Slot2BaseGPaLPWeek-1,"")</f>
        <v/>
      </c>
      <c r="F7015" s="614" t="s">
        <v>11858</v>
      </c>
    </row>
    <row r="7016" spans="4:6" s="614" customFormat="1">
      <c r="E7016" s="593"/>
    </row>
    <row r="7017" spans="4:6" s="614" customFormat="1">
      <c r="D7017" s="633" t="s">
        <v>4414</v>
      </c>
      <c r="E7017" s="958"/>
    </row>
    <row r="7018" spans="4:6" s="614" customFormat="1">
      <c r="D7018" s="377" t="s">
        <v>11584</v>
      </c>
      <c r="E7018" s="593" t="str">
        <f>IF(AND(calcCh3Prod4Slot2Active=1,NOT(calcCh3Prod4Slot2Promo1Weeks=0)),(calcCh3Prod4Slot2Promo1GPaLPWeek-calcCh3Prod4Slot2BaseGPaLPWeek)*decCh3Prod4Slot2Promo1Weeks,"")</f>
        <v/>
      </c>
    </row>
    <row r="7019" spans="4:6" s="614" customFormat="1">
      <c r="D7019" s="377" t="s">
        <v>748</v>
      </c>
      <c r="E7019" s="593" t="str">
        <f>IF(AND(calcCh3Prod4Slot2Active=1,NOT(calcCh3Prod4Slot2Promo1Weeks=0)),calcCh3Prod4Slot2Promo1PlanExp+0,"")</f>
        <v/>
      </c>
    </row>
    <row r="7020" spans="4:6" s="614" customFormat="1">
      <c r="D7020" s="377" t="s">
        <v>4414</v>
      </c>
      <c r="E7020" s="690" t="str">
        <f>IF(AND(calcCh3Prod4Slot2Active=1,NOT(calcCh3Prod4Slot2Promo1Weeks=0)),E7018/E7019,"")</f>
        <v/>
      </c>
      <c r="F7020" s="614" t="s">
        <v>11859</v>
      </c>
    </row>
    <row r="7021" spans="4:6" s="614" customFormat="1"/>
    <row r="7022" spans="4:6" s="614" customFormat="1">
      <c r="D7022" s="633" t="s">
        <v>5195</v>
      </c>
    </row>
    <row r="7023" spans="4:6" s="614" customFormat="1">
      <c r="D7023" s="377" t="s">
        <v>11588</v>
      </c>
      <c r="E7023" s="593" t="str">
        <f>IF(AND(calcCh3Prod4Slot2Active=1,NOT(calcCh3Prod4Slot2Promo1Weeks=0)),calcCh3Prod4Slot2Promo1CustPrice*calcCh3Prod4Slot2Promo1VolPWeek,"")</f>
        <v/>
      </c>
    </row>
    <row r="7024" spans="4:6" s="614" customFormat="1">
      <c r="D7024" s="377" t="s">
        <v>11589</v>
      </c>
      <c r="E7024" s="593" t="str">
        <f>E7019</f>
        <v/>
      </c>
    </row>
    <row r="7025" spans="3:6" s="614" customFormat="1">
      <c r="D7025" s="377" t="s">
        <v>5195</v>
      </c>
      <c r="E7025" s="958" t="str">
        <f>IF(AND(calcCh3Prod4Slot2Active=1,NOT(calcCh3Prod4Slot2Promo1Weeks=0)),((E7023+E7024)-calcCh3Prod4Slot2BaseCustProfPWeek)/calcCh3Prod4Slot2BaseCustProfPWeek,"")</f>
        <v/>
      </c>
      <c r="F7025" s="611" t="s">
        <v>12033</v>
      </c>
    </row>
    <row r="7026" spans="3:6" s="614" customFormat="1"/>
    <row r="7027" spans="3:6" s="614" customFormat="1">
      <c r="C7027" s="633" t="s">
        <v>3860</v>
      </c>
    </row>
    <row r="7028" spans="3:6" s="614" customFormat="1">
      <c r="D7028" s="614" t="s">
        <v>11564</v>
      </c>
      <c r="E7028" s="593" t="str">
        <f>IF(AND(calcCh3Prod4Slot3Active=1,NOT(calcCh3Prod4Slot3Promo1Weeks=0)),(IF(xxSim0Tool1=0,MMCh3Prod4Seg1Slot3UnitsSoldRSP+MMCh3Prod4Seg2Slot3UnitsSoldRSP+MMCh3Prod4Seg3Slot3UnitsSoldRSP+MMCh3Prod4Seg4Slot3UnitsSoldRSP,calcCh3Prod4VolForecastProd*decCh3Prod4Slot3Forecast*(1-decCh3Prod4Slot3Promo1ShareFrc)))/(cnstWeeksPYear-calcCh3Prod4Slot3Promo1Weeks),"")</f>
        <v/>
      </c>
      <c r="F7028" s="611" t="s">
        <v>11860</v>
      </c>
    </row>
    <row r="7029" spans="3:6" s="614" customFormat="1">
      <c r="D7029" s="614" t="s">
        <v>11569</v>
      </c>
      <c r="E7029" s="959" t="str">
        <f>IF(AND(calcCh3Prod4Slot3Active=1,NOT(calcCh3Prod4Slot3Promo1Weeks=0)),calcCh3Prod4Slot3CustPrice-finCalcCh3Prod4Slot3COGSPUnit-finCalcCh3Prod4Slot3LogExpPerUnit-paramExciseProd4,"")</f>
        <v/>
      </c>
      <c r="F7029" s="611" t="s">
        <v>11861</v>
      </c>
    </row>
    <row r="7030" spans="3:6" s="614" customFormat="1">
      <c r="D7030" s="614" t="s">
        <v>11580</v>
      </c>
      <c r="E7030" s="593" t="str">
        <f>IF(AND(calcCh3Prod4Slot3Active=1,NOT(calcCh3Prod4Slot3Promo1Weeks=0)),calcCh3Prod4Slot3BaseVolPWeek*calcCh3Prod4Slot3BaseGPaLPUnit,"")</f>
        <v/>
      </c>
      <c r="F7030" s="611" t="s">
        <v>11862</v>
      </c>
    </row>
    <row r="7031" spans="3:6" s="614" customFormat="1">
      <c r="D7031" s="614" t="s">
        <v>11586</v>
      </c>
      <c r="E7031" s="593" t="str">
        <f>IF(AND(calcCh3Prod4Slot3Active=1,NOT(calcCh3Prod4Slot3Promo1Weeks=0)),calcCh3Prod4Slot3CustPrice*calcCh3Prod4Slot3BaseVolPWeek,"")</f>
        <v/>
      </c>
      <c r="F7031" s="611" t="s">
        <v>12034</v>
      </c>
    </row>
    <row r="7032" spans="3:6" s="614" customFormat="1">
      <c r="E7032" s="593"/>
      <c r="F7032" s="611"/>
    </row>
    <row r="7033" spans="3:6" s="614" customFormat="1">
      <c r="D7033" s="633" t="s">
        <v>6111</v>
      </c>
    </row>
    <row r="7034" spans="3:6" s="614" customFormat="1">
      <c r="D7034" s="633" t="s">
        <v>11388</v>
      </c>
    </row>
    <row r="7035" spans="3:6" s="614" customFormat="1">
      <c r="D7035" s="377" t="s">
        <v>11565</v>
      </c>
      <c r="E7035" s="593" t="str">
        <f>IF(AND(calcCh3Prod4Slot3Active=1,NOT(calcCh3Prod4Slot3Promo1Weeks=0)),(IF(xxSim0Tool1=0,MMCh3Prod4Seg1Slot3UnitsSoldPromo1+MMCh3Prod4Seg2Slot3UnitsSoldPromo1+MMCh3Prod4Seg3Slot3UnitsSoldPromo1+MMCh3Prod4Seg4Slot3UnitsSoldPromo1,calcCh3Prod4VolForecastProd*decCh3Prod4Slot3Promo1ShareFrc))/(calcCh3Prod4Slot3Promo1Weeks),"")</f>
        <v/>
      </c>
      <c r="F7035" s="614" t="s">
        <v>11863</v>
      </c>
    </row>
    <row r="7036" spans="3:6" s="614" customFormat="1">
      <c r="D7036" s="377" t="s">
        <v>11388</v>
      </c>
      <c r="E7036" s="958" t="str">
        <f>IF(AND(calcCh3Prod4Slot3Active=1,NOT(calcCh3Prod4Slot3Promo1Weeks=0)),calcCh3Prod4Slot3Promo1VolPWeek/calcCh3Prod4Slot3BaseVolPWeek-1,"")</f>
        <v/>
      </c>
      <c r="F7036" s="614" t="s">
        <v>11864</v>
      </c>
    </row>
    <row r="7037" spans="3:6" s="614" customFormat="1"/>
    <row r="7038" spans="3:6" s="614" customFormat="1">
      <c r="D7038" s="633" t="s">
        <v>4413</v>
      </c>
    </row>
    <row r="7039" spans="3:6" s="614" customFormat="1">
      <c r="D7039" s="377" t="s">
        <v>11577</v>
      </c>
      <c r="E7039" s="959" t="str">
        <f>IF(AND(calcCh3Prod4Slot3Active=1,NOT(calcCh3Prod4Slot3Promo1Weeks=0)),calcCh3Prod4Slot3Promo1CustPrice-finCalcCh3Prod4Slot3COGSPUnit-finCalcCh3Prod4Slot3LogExpPerUnit-paramExciseProd4,"")</f>
        <v/>
      </c>
      <c r="F7039" s="611" t="s">
        <v>11865</v>
      </c>
    </row>
    <row r="7040" spans="3:6" s="614" customFormat="1">
      <c r="D7040" s="377" t="s">
        <v>11582</v>
      </c>
      <c r="E7040" s="593" t="str">
        <f>IF(AND(calcCh3Prod4Slot3Active=1,NOT(calcCh3Prod4Slot3Promo1Weeks=0)),calcCh3Prod4Slot3Promo1GPaLPUnit*calcCh3Prod4Slot3Promo1VolPWeek,"")</f>
        <v/>
      </c>
      <c r="F7040" s="611" t="s">
        <v>11866</v>
      </c>
    </row>
    <row r="7041" spans="1:6" s="614" customFormat="1">
      <c r="D7041" s="377" t="s">
        <v>4413</v>
      </c>
      <c r="E7041" s="958" t="str">
        <f>IF(AND(calcCh3Prod4Slot3Active=1,NOT(calcCh3Prod4Slot3Promo1Weeks=0)),calcCh3Prod4Slot3Promo1GPaLPWeek/calcCh3Prod4Slot3BaseGPaLPWeek-1,"")</f>
        <v/>
      </c>
      <c r="F7041" s="614" t="s">
        <v>11867</v>
      </c>
    </row>
    <row r="7042" spans="1:6" s="614" customFormat="1">
      <c r="E7042" s="593"/>
    </row>
    <row r="7043" spans="1:6" s="614" customFormat="1">
      <c r="D7043" s="633" t="s">
        <v>4414</v>
      </c>
      <c r="E7043" s="958"/>
    </row>
    <row r="7044" spans="1:6" s="614" customFormat="1">
      <c r="D7044" s="377" t="s">
        <v>11584</v>
      </c>
      <c r="E7044" s="593" t="str">
        <f>IF(AND(calcCh3Prod4Slot3Active=1,NOT(calcCh3Prod4Slot3Promo1Weeks=0)),(calcCh3Prod4Slot3Promo1GPaLPWeek-calcCh3Prod4Slot3BaseGPaLPWeek)*decCh3Prod4Slot3Promo1Weeks,"")</f>
        <v/>
      </c>
    </row>
    <row r="7045" spans="1:6" s="614" customFormat="1">
      <c r="D7045" s="377" t="s">
        <v>748</v>
      </c>
      <c r="E7045" s="593" t="str">
        <f>IF(AND(calcCh3Prod4Slot3Active=1,NOT(calcCh3Prod4Slot3Promo1Weeks=0)),calcCh3Prod4Slot3Promo1PlanExp+0,"")</f>
        <v/>
      </c>
    </row>
    <row r="7046" spans="1:6" s="614" customFormat="1">
      <c r="D7046" s="377" t="s">
        <v>4414</v>
      </c>
      <c r="E7046" s="690" t="str">
        <f>IF(AND(calcCh3Prod4Slot3Active=1,NOT(calcCh3Prod4Slot3Promo1Weeks=0)),E7044/E7045,"")</f>
        <v/>
      </c>
      <c r="F7046" s="614" t="s">
        <v>11868</v>
      </c>
    </row>
    <row r="7047" spans="1:6" s="614" customFormat="1"/>
    <row r="7048" spans="1:6" s="614" customFormat="1">
      <c r="D7048" s="633" t="s">
        <v>5195</v>
      </c>
    </row>
    <row r="7049" spans="1:6" s="614" customFormat="1">
      <c r="D7049" s="377" t="s">
        <v>11588</v>
      </c>
      <c r="E7049" s="593" t="str">
        <f>IF(AND(calcCh3Prod4Slot3Active=1,NOT(calcCh3Prod4Slot3Promo1Weeks=0)),calcCh3Prod4Slot3Promo1CustPrice*calcCh3Prod4Slot3Promo1VolPWeek,"")</f>
        <v/>
      </c>
    </row>
    <row r="7050" spans="1:6" s="614" customFormat="1">
      <c r="D7050" s="377" t="s">
        <v>11589</v>
      </c>
      <c r="E7050" s="593" t="str">
        <f>E7045</f>
        <v/>
      </c>
    </row>
    <row r="7051" spans="1:6" s="614" customFormat="1">
      <c r="D7051" s="377" t="s">
        <v>5195</v>
      </c>
      <c r="E7051" s="958" t="str">
        <f>IF(AND(calcCh3Prod4Slot3Active=1,NOT(calcCh3Prod4Slot3Promo1Weeks=0)),((E7049+E7050)-calcCh3Prod4Slot3BaseCustProfPWeek)/calcCh3Prod4Slot3BaseCustProfPWeek,"")</f>
        <v/>
      </c>
      <c r="F7051" s="611" t="s">
        <v>12035</v>
      </c>
    </row>
    <row r="7052" spans="1:6" s="614" customFormat="1"/>
    <row r="7053" spans="1:6" s="616" customFormat="1">
      <c r="A7053" s="616" t="s">
        <v>13960</v>
      </c>
    </row>
    <row r="7054" spans="1:6" s="614" customFormat="1"/>
    <row r="7055" spans="1:6" s="614" customFormat="1">
      <c r="C7055" s="633" t="s">
        <v>13961</v>
      </c>
    </row>
    <row r="7056" spans="1:6" s="614" customFormat="1">
      <c r="C7056" s="633" t="s">
        <v>3859</v>
      </c>
    </row>
    <row r="7057" spans="4:6" s="614" customFormat="1">
      <c r="D7057" s="614" t="s">
        <v>11564</v>
      </c>
      <c r="E7057" s="593">
        <f>IF(AND(calcCh4Prod1Slot1Active=1,NOT(calcCh4Prod1Slot1Promo1Weeks=0)),(IF(xxSim0Tool1=0,MMCh4Prod1Seg1Slot1UnitsSoldRSP+MMCh4Prod1Seg2Slot1UnitsSoldRSP+MMCh4Prod1Seg3Slot1UnitsSoldRSP+MMCh4Prod1Seg4Slot1UnitsSoldRSP,calcCh4Prod1VolForecastProd*decCh4Prod1Slot1Forecast*(1-decCh4Prod1Slot1Promo1ShareFrc)))/(cnstWeeksPYear-calcCh4Prod1Slot1Promo1Weeks),"")</f>
        <v>792292.96875</v>
      </c>
      <c r="F7057" s="611" t="s">
        <v>11869</v>
      </c>
    </row>
    <row r="7058" spans="4:6" s="614" customFormat="1">
      <c r="D7058" s="614" t="s">
        <v>11569</v>
      </c>
      <c r="E7058" s="959">
        <f>IF(AND(calcCh4Prod1Slot1Active=1,NOT(calcCh4Prod1Slot1Promo1Weeks=0)),calcCh4Prod1Slot1CustPrice-finCalcCh4Prod1Slot1COGSPUnit-finCalcCh4Prod1Slot1LogExpPerUnit-paramExciseProd1,"")</f>
        <v>2.5540024502698895</v>
      </c>
      <c r="F7058" s="611" t="s">
        <v>11870</v>
      </c>
    </row>
    <row r="7059" spans="4:6" s="614" customFormat="1">
      <c r="D7059" s="614" t="s">
        <v>11580</v>
      </c>
      <c r="E7059" s="593">
        <f>IF(AND(calcCh4Prod1Slot1Active=1,NOT(calcCh4Prod1Slot1Promo1Weeks=0)),calcCh4Prod1Slot1BaseVolPWeek*calcCh4Prod1Slot1BaseGPaLPUnit,"")</f>
        <v>2023518.183519105</v>
      </c>
      <c r="F7059" s="611" t="s">
        <v>11871</v>
      </c>
    </row>
    <row r="7060" spans="4:6" s="614" customFormat="1">
      <c r="D7060" s="614" t="s">
        <v>11586</v>
      </c>
      <c r="E7060" s="593">
        <f>IF(AND(calcCh4Prod1Slot1Active=1,NOT(calcCh4Prod1Slot1Promo1Weeks=0)),calcCh4Prod1Slot1CustPrice*calcCh4Prod1Slot1BaseVolPWeek,"")</f>
        <v>5704509.375</v>
      </c>
      <c r="F7060" s="611" t="s">
        <v>12036</v>
      </c>
    </row>
    <row r="7061" spans="4:6" s="614" customFormat="1">
      <c r="E7061" s="593"/>
      <c r="F7061" s="611"/>
    </row>
    <row r="7062" spans="4:6" s="614" customFormat="1">
      <c r="D7062" s="633" t="s">
        <v>6111</v>
      </c>
    </row>
    <row r="7063" spans="4:6" s="614" customFormat="1">
      <c r="D7063" s="633" t="s">
        <v>11388</v>
      </c>
    </row>
    <row r="7064" spans="4:6" s="614" customFormat="1">
      <c r="D7064" s="377" t="s">
        <v>11565</v>
      </c>
      <c r="E7064" s="593">
        <f>IF(AND(calcCh4Prod1Slot1Active=1,NOT(calcCh4Prod1Slot1Promo1Weeks=0)),(IF(xxSim0Tool1=0,MMCh4Prod1Seg1Slot1UnitsSoldPromo1+MMCh4Prod1Seg2Slot1UnitsSoldPromo1+MMCh4Prod1Seg3Slot1UnitsSoldPromo1+MMCh4Prod1Seg4Slot1UnitsSoldPromo1,calcCh4Prod1VolForecastProd*decCh4Prod1Slot1Promo1ShareFrc))/(calcCh4Prod1Slot1Promo1Weeks),"")</f>
        <v>3169171.875</v>
      </c>
      <c r="F7064" s="614" t="s">
        <v>11872</v>
      </c>
    </row>
    <row r="7065" spans="4:6" s="614" customFormat="1">
      <c r="D7065" s="377" t="s">
        <v>11388</v>
      </c>
      <c r="E7065" s="958">
        <f>IF(AND(calcCh4Prod1Slot1Active=1,NOT(calcCh4Prod1Slot1Promo1Weeks=0)),calcCh4Prod1Slot1Promo1VolPWeek/calcCh4Prod1Slot1BaseVolPWeek-1,"")</f>
        <v>3</v>
      </c>
      <c r="F7065" s="614" t="s">
        <v>11873</v>
      </c>
    </row>
    <row r="7066" spans="4:6" s="614" customFormat="1"/>
    <row r="7067" spans="4:6" s="614" customFormat="1">
      <c r="D7067" s="633" t="s">
        <v>4413</v>
      </c>
    </row>
    <row r="7068" spans="4:6" s="614" customFormat="1">
      <c r="D7068" s="377" t="s">
        <v>11577</v>
      </c>
      <c r="E7068" s="959">
        <f>IF(AND(calcCh4Prod1Slot1Active=1,NOT(calcCh4Prod1Slot1Promo1Weeks=0)),calcCh4Prod1Slot1Promo1CustPrice-finCalcCh4Prod1Slot1COGSPUnit-finCalcCh4Prod1Slot1LogExpPerUnit-paramExciseProd1,"")</f>
        <v>1.11400245026989</v>
      </c>
      <c r="F7068" s="611" t="s">
        <v>11874</v>
      </c>
    </row>
    <row r="7069" spans="4:6" s="614" customFormat="1">
      <c r="D7069" s="377" t="s">
        <v>11582</v>
      </c>
      <c r="E7069" s="593">
        <f>IF(AND(calcCh4Prod1Slot1Active=1,NOT(calcCh4Prod1Slot1Promo1Weeks=0)),calcCh4Prod1Slot1Promo1GPaLPUnit*calcCh4Prod1Slot1Promo1VolPWeek,"")</f>
        <v>3530465.2340764212</v>
      </c>
      <c r="F7069" s="611" t="s">
        <v>11875</v>
      </c>
    </row>
    <row r="7070" spans="4:6" s="614" customFormat="1">
      <c r="D7070" s="377" t="s">
        <v>4413</v>
      </c>
      <c r="E7070" s="958">
        <f>IF(AND(calcCh4Prod1Slot1Active=1,NOT(calcCh4Prod1Slot1Promo1Weeks=0)),calcCh4Prod1Slot1Promo1GPaLPWeek/calcCh4Prod1Slot1BaseGPaLPWeek-1,"")</f>
        <v>0.74471633753079569</v>
      </c>
      <c r="F7070" s="614" t="s">
        <v>11876</v>
      </c>
    </row>
    <row r="7071" spans="4:6" s="614" customFormat="1">
      <c r="E7071" s="593"/>
    </row>
    <row r="7072" spans="4:6" s="614" customFormat="1">
      <c r="D7072" s="633" t="s">
        <v>4414</v>
      </c>
      <c r="E7072" s="958"/>
    </row>
    <row r="7073" spans="3:6" s="614" customFormat="1">
      <c r="D7073" s="377" t="s">
        <v>11584</v>
      </c>
      <c r="E7073" s="593">
        <f>IF(AND(calcCh4Prod1Slot1Active=1,NOT(calcCh4Prod1Slot1Promo1Weeks=0)),(calcCh4Prod1Slot1Promo1GPaLPWeek-calcCh4Prod1Slot1BaseGPaLPWeek)*decCh4Prod1Slot1Promo1Weeks,"")</f>
        <v>6027788.2022292651</v>
      </c>
    </row>
    <row r="7074" spans="3:6" s="614" customFormat="1">
      <c r="D7074" s="377" t="s">
        <v>748</v>
      </c>
      <c r="E7074" s="593">
        <f>IF(AND(calcCh4Prod1Slot1Active=1,NOT(calcCh4Prod1Slot1Promo1Weeks=0)),calcCh4Prod1Slot1Promo1PlanExp+0,"")</f>
        <v>800000</v>
      </c>
    </row>
    <row r="7075" spans="3:6" s="614" customFormat="1">
      <c r="D7075" s="377" t="s">
        <v>4414</v>
      </c>
      <c r="E7075" s="690">
        <f>IF(AND(calcCh4Prod1Slot1Active=1,NOT(calcCh4Prod1Slot1Promo1Weeks=0)),E7073/E7074,"")</f>
        <v>7.5347352527865814</v>
      </c>
      <c r="F7075" s="614" t="s">
        <v>11877</v>
      </c>
    </row>
    <row r="7076" spans="3:6" s="614" customFormat="1"/>
    <row r="7077" spans="3:6" s="614" customFormat="1">
      <c r="D7077" s="633" t="s">
        <v>5195</v>
      </c>
    </row>
    <row r="7078" spans="3:6" s="614" customFormat="1">
      <c r="D7078" s="377" t="s">
        <v>11588</v>
      </c>
      <c r="E7078" s="593">
        <f>IF(AND(calcCh4Prod1Slot1Active=1,NOT(calcCh4Prod1Slot1Promo1Weeks=0)),calcCh4Prod1Slot1Promo1CustPrice*calcCh4Prod1Slot1Promo1VolPWeek,"")</f>
        <v>18254430.000000004</v>
      </c>
    </row>
    <row r="7079" spans="3:6" s="614" customFormat="1">
      <c r="D7079" s="377" t="s">
        <v>11589</v>
      </c>
      <c r="E7079" s="593">
        <f>E7074</f>
        <v>800000</v>
      </c>
    </row>
    <row r="7080" spans="3:6" s="614" customFormat="1">
      <c r="D7080" s="377" t="s">
        <v>5195</v>
      </c>
      <c r="E7080" s="958">
        <f>IF(AND(calcCh4Prod1Slot1Active=1,NOT(calcCh4Prod1Slot1Promo1Weeks=0)),((E7078+E7079)-calcCh4Prod1Slot1BaseCustProfPWeek)/calcCh4Prod1Slot1BaseCustProfPWeek,"")</f>
        <v>2.3402399308003599</v>
      </c>
      <c r="F7080" s="611" t="s">
        <v>12037</v>
      </c>
    </row>
    <row r="7081" spans="3:6" s="614" customFormat="1"/>
    <row r="7082" spans="3:6" s="614" customFormat="1">
      <c r="C7082" s="633" t="s">
        <v>3858</v>
      </c>
    </row>
    <row r="7083" spans="3:6" s="614" customFormat="1">
      <c r="D7083" s="614" t="s">
        <v>11564</v>
      </c>
      <c r="E7083" s="593" t="str">
        <f>IF(AND(calcCh4Prod1Slot2Active=1,NOT(calcCh4Prod1Slot2Promo1Weeks=0)),(IF(xxSim0Tool1=0,MMCh4Prod1Seg1Slot2UnitsSoldRSP+MMCh4Prod1Seg2Slot2UnitsSoldRSP+MMCh4Prod1Seg3Slot2UnitsSoldRSP+MMCh4Prod1Seg4Slot2UnitsSoldRSP,calcCh4Prod1VolForecastProd*decCh4Prod1Slot2Forecast*(1-decCh4Prod1Slot2Promo1ShareFrc)))/(cnstWeeksPYear-calcCh4Prod1Slot2Promo1Weeks),"")</f>
        <v/>
      </c>
      <c r="F7083" s="611" t="s">
        <v>11878</v>
      </c>
    </row>
    <row r="7084" spans="3:6" s="614" customFormat="1">
      <c r="D7084" s="614" t="s">
        <v>11569</v>
      </c>
      <c r="E7084" s="959" t="str">
        <f>IF(AND(calcCh4Prod1Slot2Active=1,NOT(calcCh4Prod1Slot2Promo1Weeks=0)),calcCh4Prod1Slot2CustPrice-finCalcCh4Prod1Slot2COGSPUnit-finCalcCh4Prod1Slot2LogExpPerUnit-paramExciseProd1,"")</f>
        <v/>
      </c>
      <c r="F7084" s="611" t="s">
        <v>11879</v>
      </c>
    </row>
    <row r="7085" spans="3:6" s="614" customFormat="1">
      <c r="D7085" s="614" t="s">
        <v>11580</v>
      </c>
      <c r="E7085" s="593" t="str">
        <f>IF(AND(calcCh4Prod1Slot2Active=1,NOT(calcCh4Prod1Slot2Promo1Weeks=0)),calcCh4Prod1Slot2BaseVolPWeek*calcCh4Prod1Slot2BaseGPaLPUnit,"")</f>
        <v/>
      </c>
      <c r="F7085" s="611" t="s">
        <v>11880</v>
      </c>
    </row>
    <row r="7086" spans="3:6" s="614" customFormat="1">
      <c r="D7086" s="614" t="s">
        <v>11586</v>
      </c>
      <c r="E7086" s="593" t="str">
        <f>IF(AND(calcCh4Prod1Slot2Active=1,NOT(calcCh4Prod1Slot2Promo1Weeks=0)),calcCh4Prod1Slot2CustPrice*calcCh4Prod1Slot2BaseVolPWeek,"")</f>
        <v/>
      </c>
      <c r="F7086" s="611" t="s">
        <v>12038</v>
      </c>
    </row>
    <row r="7087" spans="3:6" s="614" customFormat="1">
      <c r="E7087" s="593"/>
      <c r="F7087" s="611"/>
    </row>
    <row r="7088" spans="3:6" s="614" customFormat="1">
      <c r="D7088" s="633" t="s">
        <v>6111</v>
      </c>
    </row>
    <row r="7089" spans="4:6" s="614" customFormat="1">
      <c r="D7089" s="633" t="s">
        <v>11388</v>
      </c>
    </row>
    <row r="7090" spans="4:6" s="614" customFormat="1">
      <c r="D7090" s="377" t="s">
        <v>11565</v>
      </c>
      <c r="E7090" s="593" t="str">
        <f>IF(AND(calcCh4Prod1Slot2Active=1,NOT(calcCh4Prod1Slot2Promo1Weeks=0)),(IF(xxSim0Tool1=0,MMCh4Prod1Seg1Slot2UnitsSoldPromo1+MMCh4Prod1Seg2Slot2UnitsSoldPromo1+MMCh4Prod1Seg3Slot2UnitsSoldPromo1+MMCh4Prod1Seg4Slot2UnitsSoldPromo1,calcCh4Prod1VolForecastProd*decCh4Prod1Slot2Promo1ShareFrc))/(calcCh4Prod1Slot2Promo1Weeks),"")</f>
        <v/>
      </c>
      <c r="F7090" s="614" t="s">
        <v>11881</v>
      </c>
    </row>
    <row r="7091" spans="4:6" s="614" customFormat="1">
      <c r="D7091" s="377" t="s">
        <v>11388</v>
      </c>
      <c r="E7091" s="958" t="str">
        <f>IF(AND(calcCh4Prod1Slot2Active=1,NOT(calcCh4Prod1Slot2Promo1Weeks=0)),calcCh4Prod1Slot2Promo1VolPWeek/calcCh4Prod1Slot2BaseVolPWeek-1,"")</f>
        <v/>
      </c>
      <c r="F7091" s="614" t="s">
        <v>11882</v>
      </c>
    </row>
    <row r="7092" spans="4:6" s="614" customFormat="1"/>
    <row r="7093" spans="4:6" s="614" customFormat="1">
      <c r="D7093" s="633" t="s">
        <v>4413</v>
      </c>
    </row>
    <row r="7094" spans="4:6" s="614" customFormat="1">
      <c r="D7094" s="377" t="s">
        <v>11577</v>
      </c>
      <c r="E7094" s="959" t="str">
        <f>IF(AND(calcCh4Prod1Slot2Active=1,NOT(calcCh4Prod1Slot2Promo1Weeks=0)),calcCh4Prod1Slot2Promo1CustPrice-finCalcCh4Prod1Slot2COGSPUnit-finCalcCh4Prod1Slot2LogExpPerUnit-paramExciseProd1,"")</f>
        <v/>
      </c>
      <c r="F7094" s="611" t="s">
        <v>11883</v>
      </c>
    </row>
    <row r="7095" spans="4:6" s="614" customFormat="1">
      <c r="D7095" s="377" t="s">
        <v>11582</v>
      </c>
      <c r="E7095" s="593" t="str">
        <f>IF(AND(calcCh4Prod1Slot2Active=1,NOT(calcCh4Prod1Slot2Promo1Weeks=0)),calcCh4Prod1Slot2Promo1GPaLPUnit*calcCh4Prod1Slot2Promo1VolPWeek,"")</f>
        <v/>
      </c>
      <c r="F7095" s="611" t="s">
        <v>11884</v>
      </c>
    </row>
    <row r="7096" spans="4:6" s="614" customFormat="1">
      <c r="D7096" s="377" t="s">
        <v>4413</v>
      </c>
      <c r="E7096" s="958" t="str">
        <f>IF(AND(calcCh4Prod1Slot2Active=1,NOT(calcCh4Prod1Slot2Promo1Weeks=0)),calcCh4Prod1Slot2Promo1GPaLPWeek/calcCh4Prod1Slot2BaseGPaLPWeek-1,"")</f>
        <v/>
      </c>
      <c r="F7096" s="614" t="s">
        <v>11885</v>
      </c>
    </row>
    <row r="7097" spans="4:6" s="614" customFormat="1">
      <c r="E7097" s="593"/>
    </row>
    <row r="7098" spans="4:6" s="614" customFormat="1">
      <c r="D7098" s="633" t="s">
        <v>4414</v>
      </c>
      <c r="E7098" s="958"/>
    </row>
    <row r="7099" spans="4:6" s="614" customFormat="1">
      <c r="D7099" s="377" t="s">
        <v>11584</v>
      </c>
      <c r="E7099" s="593" t="str">
        <f>IF(AND(calcCh4Prod1Slot2Active=1,NOT(calcCh4Prod1Slot2Promo1Weeks=0)),(calcCh4Prod1Slot2Promo1GPaLPWeek-calcCh4Prod1Slot2BaseGPaLPWeek)*decCh4Prod1Slot2Promo1Weeks,"")</f>
        <v/>
      </c>
    </row>
    <row r="7100" spans="4:6" s="614" customFormat="1">
      <c r="D7100" s="377" t="s">
        <v>748</v>
      </c>
      <c r="E7100" s="593" t="str">
        <f>IF(AND(calcCh4Prod1Slot2Active=1,NOT(calcCh4Prod1Slot2Promo1Weeks=0)),calcCh4Prod1Slot2Promo1PlanExp+0,"")</f>
        <v/>
      </c>
    </row>
    <row r="7101" spans="4:6" s="614" customFormat="1">
      <c r="D7101" s="377" t="s">
        <v>4414</v>
      </c>
      <c r="E7101" s="690" t="str">
        <f>IF(AND(calcCh4Prod1Slot2Active=1,NOT(calcCh4Prod1Slot2Promo1Weeks=0)),E7099/E7100,"")</f>
        <v/>
      </c>
      <c r="F7101" s="614" t="s">
        <v>11886</v>
      </c>
    </row>
    <row r="7102" spans="4:6" s="614" customFormat="1"/>
    <row r="7103" spans="4:6" s="614" customFormat="1">
      <c r="D7103" s="633" t="s">
        <v>5195</v>
      </c>
    </row>
    <row r="7104" spans="4:6" s="614" customFormat="1">
      <c r="D7104" s="377" t="s">
        <v>11588</v>
      </c>
      <c r="E7104" s="593" t="str">
        <f>IF(AND(calcCh4Prod1Slot2Active=1,NOT(calcCh4Prod1Slot2Promo1Weeks=0)),calcCh4Prod1Slot2Promo1CustPrice*calcCh4Prod1Slot2Promo1VolPWeek,"")</f>
        <v/>
      </c>
    </row>
    <row r="7105" spans="3:6" s="614" customFormat="1">
      <c r="D7105" s="377" t="s">
        <v>11589</v>
      </c>
      <c r="E7105" s="593" t="str">
        <f>E7100</f>
        <v/>
      </c>
    </row>
    <row r="7106" spans="3:6" s="614" customFormat="1">
      <c r="D7106" s="377" t="s">
        <v>5195</v>
      </c>
      <c r="E7106" s="958" t="str">
        <f>IF(AND(calcCh4Prod1Slot2Active=1,NOT(calcCh4Prod1Slot2Promo1Weeks=0)),((E7104+E7105)-calcCh4Prod1Slot2BaseCustProfPWeek)/calcCh4Prod1Slot2BaseCustProfPWeek,"")</f>
        <v/>
      </c>
      <c r="F7106" s="611" t="s">
        <v>12039</v>
      </c>
    </row>
    <row r="7107" spans="3:6" s="614" customFormat="1"/>
    <row r="7108" spans="3:6" s="614" customFormat="1">
      <c r="C7108" s="633" t="s">
        <v>3860</v>
      </c>
    </row>
    <row r="7109" spans="3:6" s="614" customFormat="1">
      <c r="D7109" s="614" t="s">
        <v>11564</v>
      </c>
      <c r="E7109" s="593" t="str">
        <f>IF(AND(calcCh4Prod1Slot3Active=1,NOT(calcCh4Prod1Slot3Promo1Weeks=0)),(IF(xxSim0Tool1=0,MMCh4Prod1Seg1Slot3UnitsSoldRSP+MMCh4Prod1Seg2Slot3UnitsSoldRSP+MMCh4Prod1Seg3Slot3UnitsSoldRSP+MMCh4Prod1Seg4Slot3UnitsSoldRSP,calcCh4Prod1VolForecastProd*decCh4Prod1Slot3Forecast*(1-decCh4Prod1Slot3Promo1ShareFrc)))/(cnstWeeksPYear-calcCh4Prod1Slot3Promo1Weeks),"")</f>
        <v/>
      </c>
      <c r="F7109" s="611" t="s">
        <v>11887</v>
      </c>
    </row>
    <row r="7110" spans="3:6" s="614" customFormat="1">
      <c r="D7110" s="614" t="s">
        <v>11569</v>
      </c>
      <c r="E7110" s="959" t="str">
        <f>IF(AND(calcCh4Prod1Slot3Active=1,NOT(calcCh4Prod1Slot3Promo1Weeks=0)),calcCh4Prod1Slot3CustPrice-finCalcCh4Prod1Slot3COGSPUnit-finCalcCh4Prod1Slot3LogExpPerUnit-paramExciseProd1,"")</f>
        <v/>
      </c>
      <c r="F7110" s="611" t="s">
        <v>11888</v>
      </c>
    </row>
    <row r="7111" spans="3:6" s="614" customFormat="1">
      <c r="D7111" s="614" t="s">
        <v>11580</v>
      </c>
      <c r="E7111" s="593" t="str">
        <f>IF(AND(calcCh4Prod1Slot3Active=1,NOT(calcCh4Prod1Slot3Promo1Weeks=0)),calcCh4Prod1Slot3BaseVolPWeek*calcCh4Prod1Slot3BaseGPaLPUnit,"")</f>
        <v/>
      </c>
      <c r="F7111" s="611" t="s">
        <v>11889</v>
      </c>
    </row>
    <row r="7112" spans="3:6" s="614" customFormat="1">
      <c r="D7112" s="614" t="s">
        <v>11586</v>
      </c>
      <c r="E7112" s="593" t="str">
        <f>IF(AND(calcCh4Prod1Slot3Active=1,NOT(calcCh4Prod1Slot3Promo1Weeks=0)),calcCh4Prod1Slot3CustPrice*calcCh4Prod1Slot3BaseVolPWeek,"")</f>
        <v/>
      </c>
      <c r="F7112" s="611" t="s">
        <v>12040</v>
      </c>
    </row>
    <row r="7113" spans="3:6" s="614" customFormat="1">
      <c r="E7113" s="593"/>
      <c r="F7113" s="611"/>
    </row>
    <row r="7114" spans="3:6" s="614" customFormat="1">
      <c r="D7114" s="633" t="s">
        <v>6111</v>
      </c>
    </row>
    <row r="7115" spans="3:6" s="614" customFormat="1">
      <c r="D7115" s="633" t="s">
        <v>11388</v>
      </c>
    </row>
    <row r="7116" spans="3:6" s="614" customFormat="1">
      <c r="D7116" s="377" t="s">
        <v>11565</v>
      </c>
      <c r="E7116" s="593" t="str">
        <f>IF(AND(calcCh4Prod1Slot3Active=1,NOT(calcCh4Prod1Slot3Promo1Weeks=0)),(IF(xxSim0Tool1=0,MMCh4Prod1Seg1Slot3UnitsSoldPromo1+MMCh4Prod1Seg2Slot3UnitsSoldPromo1+MMCh4Prod1Seg3Slot3UnitsSoldPromo1+MMCh4Prod1Seg4Slot3UnitsSoldPromo1,calcCh4Prod1VolForecastProd*decCh4Prod1Slot3Promo1ShareFrc))/(calcCh4Prod1Slot3Promo1Weeks),"")</f>
        <v/>
      </c>
      <c r="F7116" s="614" t="s">
        <v>11890</v>
      </c>
    </row>
    <row r="7117" spans="3:6" s="614" customFormat="1">
      <c r="D7117" s="377" t="s">
        <v>11388</v>
      </c>
      <c r="E7117" s="958" t="str">
        <f>IF(AND(calcCh4Prod1Slot3Active=1,NOT(calcCh4Prod1Slot3Promo1Weeks=0)),calcCh4Prod1Slot3Promo1VolPWeek/calcCh4Prod1Slot3BaseVolPWeek-1,"")</f>
        <v/>
      </c>
      <c r="F7117" s="614" t="s">
        <v>11891</v>
      </c>
    </row>
    <row r="7118" spans="3:6" s="614" customFormat="1"/>
    <row r="7119" spans="3:6" s="614" customFormat="1">
      <c r="D7119" s="633" t="s">
        <v>4413</v>
      </c>
    </row>
    <row r="7120" spans="3:6" s="614" customFormat="1">
      <c r="D7120" s="377" t="s">
        <v>11577</v>
      </c>
      <c r="E7120" s="959" t="str">
        <f>IF(AND(calcCh4Prod1Slot3Active=1,NOT(calcCh4Prod1Slot3Promo1Weeks=0)),calcCh4Prod1Slot3Promo1CustPrice-finCalcCh4Prod1Slot3COGSPUnit-finCalcCh4Prod1Slot3LogExpPerUnit-paramExciseProd1,"")</f>
        <v/>
      </c>
      <c r="F7120" s="611" t="s">
        <v>11892</v>
      </c>
    </row>
    <row r="7121" spans="3:6" s="614" customFormat="1">
      <c r="D7121" s="377" t="s">
        <v>11582</v>
      </c>
      <c r="E7121" s="593" t="str">
        <f>IF(AND(calcCh4Prod1Slot3Active=1,NOT(calcCh4Prod1Slot3Promo1Weeks=0)),calcCh4Prod1Slot3Promo1GPaLPUnit*calcCh4Prod1Slot3Promo1VolPWeek,"")</f>
        <v/>
      </c>
      <c r="F7121" s="611" t="s">
        <v>11893</v>
      </c>
    </row>
    <row r="7122" spans="3:6" s="614" customFormat="1">
      <c r="D7122" s="377" t="s">
        <v>4413</v>
      </c>
      <c r="E7122" s="958" t="str">
        <f>IF(AND(calcCh4Prod1Slot3Active=1,NOT(calcCh4Prod1Slot3Promo1Weeks=0)),calcCh4Prod1Slot3Promo1GPaLPWeek/calcCh4Prod1Slot3BaseGPaLPWeek-1,"")</f>
        <v/>
      </c>
      <c r="F7122" s="614" t="s">
        <v>11894</v>
      </c>
    </row>
    <row r="7123" spans="3:6" s="614" customFormat="1">
      <c r="E7123" s="593"/>
    </row>
    <row r="7124" spans="3:6" s="614" customFormat="1">
      <c r="D7124" s="633" t="s">
        <v>4414</v>
      </c>
      <c r="E7124" s="958"/>
    </row>
    <row r="7125" spans="3:6" s="614" customFormat="1">
      <c r="D7125" s="377" t="s">
        <v>11584</v>
      </c>
      <c r="E7125" s="593" t="str">
        <f>IF(AND(calcCh4Prod1Slot3Active=1,NOT(calcCh4Prod1Slot3Promo1Weeks=0)),(calcCh4Prod1Slot3Promo1GPaLPWeek-calcCh4Prod1Slot3BaseGPaLPWeek)*decCh4Prod1Slot3Promo1Weeks,"")</f>
        <v/>
      </c>
    </row>
    <row r="7126" spans="3:6" s="614" customFormat="1">
      <c r="D7126" s="377" t="s">
        <v>748</v>
      </c>
      <c r="E7126" s="593" t="str">
        <f>IF(AND(calcCh4Prod1Slot3Active=1,NOT(calcCh4Prod1Slot3Promo1Weeks=0)),calcCh4Prod1Slot3Promo1PlanExp+0,"")</f>
        <v/>
      </c>
    </row>
    <row r="7127" spans="3:6" s="614" customFormat="1">
      <c r="D7127" s="377" t="s">
        <v>4414</v>
      </c>
      <c r="E7127" s="690" t="str">
        <f>IF(AND(calcCh4Prod1Slot3Active=1,NOT(calcCh4Prod1Slot3Promo1Weeks=0)),E7125/E7126,"")</f>
        <v/>
      </c>
      <c r="F7127" s="614" t="s">
        <v>11895</v>
      </c>
    </row>
    <row r="7128" spans="3:6" s="614" customFormat="1"/>
    <row r="7129" spans="3:6" s="614" customFormat="1">
      <c r="D7129" s="633" t="s">
        <v>5195</v>
      </c>
    </row>
    <row r="7130" spans="3:6" s="614" customFormat="1">
      <c r="D7130" s="377" t="s">
        <v>11588</v>
      </c>
      <c r="E7130" s="593" t="str">
        <f>IF(AND(calcCh4Prod1Slot3Active=1,NOT(calcCh4Prod1Slot3Promo1Weeks=0)),calcCh4Prod1Slot3Promo1CustPrice*calcCh4Prod1Slot3Promo1VolPWeek,"")</f>
        <v/>
      </c>
    </row>
    <row r="7131" spans="3:6" s="614" customFormat="1">
      <c r="D7131" s="377" t="s">
        <v>11589</v>
      </c>
      <c r="E7131" s="593" t="str">
        <f>E7126</f>
        <v/>
      </c>
    </row>
    <row r="7132" spans="3:6" s="614" customFormat="1">
      <c r="D7132" s="377" t="s">
        <v>5195</v>
      </c>
      <c r="E7132" s="958" t="str">
        <f>IF(AND(calcCh4Prod1Slot3Active=1,NOT(calcCh4Prod1Slot3Promo1Weeks=0)),((E7130+E7131)-calcCh4Prod1Slot3BaseCustProfPWeek)/calcCh4Prod1Slot3BaseCustProfPWeek,"")</f>
        <v/>
      </c>
      <c r="F7132" s="611" t="s">
        <v>12041</v>
      </c>
    </row>
    <row r="7133" spans="3:6" s="614" customFormat="1"/>
    <row r="7134" spans="3:6" s="614" customFormat="1">
      <c r="C7134" s="633" t="s">
        <v>13962</v>
      </c>
    </row>
    <row r="7135" spans="3:6" s="614" customFormat="1">
      <c r="C7135" s="633" t="s">
        <v>3859</v>
      </c>
    </row>
    <row r="7136" spans="3:6" s="614" customFormat="1">
      <c r="D7136" s="614" t="s">
        <v>11564</v>
      </c>
      <c r="E7136" s="593">
        <f>IF(AND(calcCh4Prod2Slot1Active=1,NOT(calcCh4Prod2Slot1Promo1Weeks=0)),(IF(xxSim0Tool1=0,MMCh4Prod2Seg1Slot1UnitsSoldRSP+MMCh4Prod2Seg2Slot1UnitsSoldRSP+MMCh4Prod2Seg3Slot1UnitsSoldRSP+MMCh4Prod2Seg4Slot1UnitsSoldRSP,calcCh4Prod2VolForecastProd*decCh4Prod2Slot1Forecast*(1-decCh4Prod2Slot1Promo1ShareFrc)))/(cnstWeeksPYear-calcCh4Prod2Slot1Promo1Weeks),"")</f>
        <v>280967.11363636365</v>
      </c>
      <c r="F7136" s="611" t="s">
        <v>11896</v>
      </c>
    </row>
    <row r="7137" spans="4:6" s="614" customFormat="1">
      <c r="D7137" s="614" t="s">
        <v>11569</v>
      </c>
      <c r="E7137" s="959">
        <f>IF(AND(calcCh4Prod2Slot1Active=1,NOT(calcCh4Prod2Slot1Promo1Weeks=0)),calcCh4Prod2Slot1CustPrice-finCalcCh4Prod2Slot1COGSPUnit-finCalcCh4Prod2Slot1LogExpPerUnit-paramExciseProd2,"")</f>
        <v>2.6040024502698897</v>
      </c>
      <c r="F7137" s="611" t="s">
        <v>11897</v>
      </c>
    </row>
    <row r="7138" spans="4:6" s="614" customFormat="1">
      <c r="D7138" s="614" t="s">
        <v>11580</v>
      </c>
      <c r="E7138" s="593">
        <f>IF(AND(calcCh4Prod2Slot1Active=1,NOT(calcCh4Prod2Slot1Promo1Weeks=0)),calcCh4Prod2Slot1BaseVolPWeek*calcCh4Prod2Slot1BaseGPaLPUnit,"")</f>
        <v>731639.05235434952</v>
      </c>
      <c r="F7138" s="611" t="s">
        <v>11898</v>
      </c>
    </row>
    <row r="7139" spans="4:6" s="614" customFormat="1">
      <c r="D7139" s="614" t="s">
        <v>11586</v>
      </c>
      <c r="E7139" s="593">
        <f>IF(AND(calcCh4Prod2Slot1Active=1,NOT(calcCh4Prod2Slot1Promo1Weeks=0)),calcCh4Prod2Slot1CustPrice*calcCh4Prod2Slot1BaseVolPWeek,"")</f>
        <v>2022963.2181818183</v>
      </c>
      <c r="F7139" s="611" t="s">
        <v>12042</v>
      </c>
    </row>
    <row r="7140" spans="4:6" s="614" customFormat="1">
      <c r="E7140" s="593"/>
      <c r="F7140" s="611"/>
    </row>
    <row r="7141" spans="4:6" s="614" customFormat="1">
      <c r="D7141" s="633" t="s">
        <v>6111</v>
      </c>
    </row>
    <row r="7142" spans="4:6" s="614" customFormat="1">
      <c r="D7142" s="633" t="s">
        <v>11388</v>
      </c>
    </row>
    <row r="7143" spans="4:6" s="614" customFormat="1">
      <c r="D7143" s="377" t="s">
        <v>11565</v>
      </c>
      <c r="E7143" s="593">
        <f>IF(AND(calcCh4Prod2Slot1Active=1,NOT(calcCh4Prod2Slot1Promo1Weeks=0)),(IF(xxSim0Tool1=0,MMCh4Prod2Seg1Slot1UnitsSoldPromo1+MMCh4Prod2Seg2Slot1UnitsSoldPromo1+MMCh4Prod2Seg3Slot1UnitsSoldPromo1+MMCh4Prod2Seg4Slot1UnitsSoldPromo1,calcCh4Prod2VolForecastProd*decCh4Prod2Slot1Promo1ShareFrc))/(calcCh4Prod2Slot1Promo1Weeks),"")</f>
        <v>2869878.375</v>
      </c>
      <c r="F7143" s="614" t="s">
        <v>11899</v>
      </c>
    </row>
    <row r="7144" spans="4:6" s="614" customFormat="1">
      <c r="D7144" s="377" t="s">
        <v>11388</v>
      </c>
      <c r="E7144" s="958">
        <f>IF(AND(calcCh4Prod2Slot1Active=1,NOT(calcCh4Prod2Slot1Promo1Weeks=0)),calcCh4Prod2Slot1Promo1VolPWeek/calcCh4Prod2Slot1BaseVolPWeek-1,"")</f>
        <v>9.2142857142857135</v>
      </c>
      <c r="F7144" s="614" t="s">
        <v>11900</v>
      </c>
    </row>
    <row r="7145" spans="4:6" s="614" customFormat="1"/>
    <row r="7146" spans="4:6" s="614" customFormat="1">
      <c r="D7146" s="633" t="s">
        <v>4413</v>
      </c>
    </row>
    <row r="7147" spans="4:6" s="614" customFormat="1">
      <c r="D7147" s="377" t="s">
        <v>11577</v>
      </c>
      <c r="E7147" s="959">
        <f>IF(AND(calcCh4Prod2Slot1Active=1,NOT(calcCh4Prod2Slot1Promo1Weeks=0)),calcCh4Prod2Slot1Promo1CustPrice-finCalcCh4Prod2Slot1COGSPUnit-finCalcCh4Prod2Slot1LogExpPerUnit-paramExciseProd2,"")</f>
        <v>0.22800245026988941</v>
      </c>
      <c r="F7147" s="611" t="s">
        <v>11901</v>
      </c>
    </row>
    <row r="7148" spans="4:6" s="614" customFormat="1">
      <c r="D7148" s="377" t="s">
        <v>11582</v>
      </c>
      <c r="E7148" s="593">
        <f>IF(AND(calcCh4Prod2Slot1Active=1,NOT(calcCh4Prod2Slot1Promo1Weeks=0)),calcCh4Prod2Slot1Promo1GPaLPUnit*calcCh4Prod2Slot1Promo1VolPWeek,"")</f>
        <v>654339.30147656857</v>
      </c>
      <c r="F7148" s="611" t="s">
        <v>11902</v>
      </c>
    </row>
    <row r="7149" spans="4:6" s="614" customFormat="1">
      <c r="D7149" s="377" t="s">
        <v>4413</v>
      </c>
      <c r="E7149" s="958">
        <f>IF(AND(calcCh4Prod2Slot1Active=1,NOT(calcCh4Prod2Slot1Promo1Weeks=0)),calcCh4Prod2Slot1Promo1GPaLPWeek/calcCh4Prod2Slot1BaseGPaLPWeek-1,"")</f>
        <v>-0.10565284976114553</v>
      </c>
      <c r="F7149" s="614" t="s">
        <v>11903</v>
      </c>
    </row>
    <row r="7150" spans="4:6" s="614" customFormat="1">
      <c r="E7150" s="593"/>
    </row>
    <row r="7151" spans="4:6" s="614" customFormat="1">
      <c r="D7151" s="633" t="s">
        <v>4414</v>
      </c>
      <c r="E7151" s="958"/>
    </row>
    <row r="7152" spans="4:6" s="614" customFormat="1">
      <c r="D7152" s="377" t="s">
        <v>11584</v>
      </c>
      <c r="E7152" s="593">
        <f>IF(AND(calcCh4Prod2Slot1Active=1,NOT(calcCh4Prod2Slot1Promo1Weeks=0)),(calcCh4Prod2Slot1Promo1GPaLPWeek-calcCh4Prod2Slot1BaseGPaLPWeek)*decCh4Prod2Slot1Promo1Weeks,"")</f>
        <v>-618398.00702224765</v>
      </c>
    </row>
    <row r="7153" spans="3:6" s="614" customFormat="1">
      <c r="D7153" s="377" t="s">
        <v>748</v>
      </c>
      <c r="E7153" s="593">
        <f>IF(AND(calcCh4Prod2Slot1Active=1,NOT(calcCh4Prod2Slot1Promo1Weeks=0)),calcCh4Prod2Slot1Promo1PlanExp+0,"")</f>
        <v>1600000</v>
      </c>
    </row>
    <row r="7154" spans="3:6" s="614" customFormat="1">
      <c r="D7154" s="377" t="s">
        <v>4414</v>
      </c>
      <c r="E7154" s="690">
        <f>IF(AND(calcCh4Prod2Slot1Active=1,NOT(calcCh4Prod2Slot1Promo1Weeks=0)),E7152/E7153,"")</f>
        <v>-0.3864987543889048</v>
      </c>
      <c r="F7154" s="614" t="s">
        <v>11904</v>
      </c>
    </row>
    <row r="7155" spans="3:6" s="614" customFormat="1"/>
    <row r="7156" spans="3:6" s="614" customFormat="1">
      <c r="D7156" s="633" t="s">
        <v>5195</v>
      </c>
    </row>
    <row r="7157" spans="3:6" s="614" customFormat="1">
      <c r="D7157" s="377" t="s">
        <v>11588</v>
      </c>
      <c r="E7157" s="593">
        <f>IF(AND(calcCh4Prod2Slot1Active=1,NOT(calcCh4Prod2Slot1Promo1Weeks=0)),calcCh4Prod2Slot1Promo1CustPrice*calcCh4Prod2Slot1Promo1VolPWeek,"")</f>
        <v>13844293.280999999</v>
      </c>
    </row>
    <row r="7158" spans="3:6" s="614" customFormat="1">
      <c r="D7158" s="377" t="s">
        <v>11589</v>
      </c>
      <c r="E7158" s="593">
        <f>E7153</f>
        <v>1600000</v>
      </c>
    </row>
    <row r="7159" spans="3:6" s="614" customFormat="1">
      <c r="D7159" s="377" t="s">
        <v>5195</v>
      </c>
      <c r="E7159" s="958">
        <f>IF(AND(calcCh4Prod2Slot1Active=1,NOT(calcCh4Prod2Slot1Promo1Weeks=0)),((E7157+E7158)-calcCh4Prod2Slot1BaseCustProfPWeek)/calcCh4Prod2Slot1BaseCustProfPWeek,"")</f>
        <v>6.6344904060494434</v>
      </c>
      <c r="F7159" s="611" t="s">
        <v>12043</v>
      </c>
    </row>
    <row r="7160" spans="3:6" s="614" customFormat="1"/>
    <row r="7161" spans="3:6" s="614" customFormat="1">
      <c r="C7161" s="633" t="s">
        <v>3858</v>
      </c>
    </row>
    <row r="7162" spans="3:6" s="614" customFormat="1">
      <c r="D7162" s="614" t="s">
        <v>11564</v>
      </c>
      <c r="E7162" s="593" t="str">
        <f>IF(AND(calcCh4Prod2Slot2Active=1,NOT(calcCh4Prod2Slot2Promo1Weeks=0)),(IF(xxSim0Tool1=0,MMCh4Prod2Seg1Slot2UnitsSoldRSP+MMCh4Prod2Seg2Slot2UnitsSoldRSP+MMCh4Prod2Seg3Slot2UnitsSoldRSP+MMCh4Prod2Seg4Slot2UnitsSoldRSP,calcCh4Prod2VolForecastProd*decCh4Prod2Slot2Forecast*(1-decCh4Prod2Slot2Promo1ShareFrc)))/(cnstWeeksPYear-calcCh4Prod2Slot2Promo1Weeks),"")</f>
        <v/>
      </c>
      <c r="F7162" s="611" t="s">
        <v>11905</v>
      </c>
    </row>
    <row r="7163" spans="3:6" s="614" customFormat="1">
      <c r="D7163" s="614" t="s">
        <v>11569</v>
      </c>
      <c r="E7163" s="959" t="str">
        <f>IF(AND(calcCh4Prod2Slot2Active=1,NOT(calcCh4Prod2Slot2Promo1Weeks=0)),calcCh4Prod2Slot2CustPrice-finCalcCh4Prod2Slot2COGSPUnit-finCalcCh4Prod2Slot2LogExpPerUnit-paramExciseProd2,"")</f>
        <v/>
      </c>
      <c r="F7163" s="611" t="s">
        <v>11906</v>
      </c>
    </row>
    <row r="7164" spans="3:6" s="614" customFormat="1">
      <c r="D7164" s="614" t="s">
        <v>11580</v>
      </c>
      <c r="E7164" s="593" t="str">
        <f>IF(AND(calcCh4Prod2Slot2Active=1,NOT(calcCh4Prod2Slot2Promo1Weeks=0)),calcCh4Prod2Slot2BaseVolPWeek*calcCh4Prod2Slot2BaseGPaLPUnit,"")</f>
        <v/>
      </c>
      <c r="F7164" s="611" t="s">
        <v>11907</v>
      </c>
    </row>
    <row r="7165" spans="3:6" s="614" customFormat="1">
      <c r="D7165" s="614" t="s">
        <v>11586</v>
      </c>
      <c r="E7165" s="593" t="str">
        <f>IF(AND(calcCh4Prod2Slot2Active=1,NOT(calcCh4Prod2Slot2Promo1Weeks=0)),calcCh4Prod2Slot2CustPrice*calcCh4Prod2Slot2BaseVolPWeek,"")</f>
        <v/>
      </c>
      <c r="F7165" s="611" t="s">
        <v>12044</v>
      </c>
    </row>
    <row r="7166" spans="3:6" s="614" customFormat="1">
      <c r="E7166" s="593"/>
      <c r="F7166" s="611"/>
    </row>
    <row r="7167" spans="3:6" s="614" customFormat="1">
      <c r="D7167" s="633" t="s">
        <v>6111</v>
      </c>
    </row>
    <row r="7168" spans="3:6" s="614" customFormat="1">
      <c r="D7168" s="633" t="s">
        <v>11388</v>
      </c>
    </row>
    <row r="7169" spans="4:6" s="614" customFormat="1">
      <c r="D7169" s="377" t="s">
        <v>11565</v>
      </c>
      <c r="E7169" s="593" t="str">
        <f>IF(AND(calcCh4Prod2Slot2Active=1,NOT(calcCh4Prod2Slot2Promo1Weeks=0)),(IF(xxSim0Tool1=0,MMCh4Prod2Seg1Slot2UnitsSoldPromo1+MMCh4Prod2Seg2Slot2UnitsSoldPromo1+MMCh4Prod2Seg3Slot2UnitsSoldPromo1+MMCh4Prod2Seg4Slot2UnitsSoldPromo1,calcCh4Prod2VolForecastProd*decCh4Prod2Slot2Promo1ShareFrc))/(calcCh4Prod2Slot2Promo1Weeks),"")</f>
        <v/>
      </c>
      <c r="F7169" s="614" t="s">
        <v>11908</v>
      </c>
    </row>
    <row r="7170" spans="4:6" s="614" customFormat="1">
      <c r="D7170" s="377" t="s">
        <v>11388</v>
      </c>
      <c r="E7170" s="958" t="str">
        <f>IF(AND(calcCh4Prod2Slot2Active=1,NOT(calcCh4Prod2Slot2Promo1Weeks=0)),calcCh4Prod2Slot2Promo1VolPWeek/calcCh4Prod2Slot2BaseVolPWeek-1,"")</f>
        <v/>
      </c>
      <c r="F7170" s="614" t="s">
        <v>11909</v>
      </c>
    </row>
    <row r="7171" spans="4:6" s="614" customFormat="1"/>
    <row r="7172" spans="4:6" s="614" customFormat="1">
      <c r="D7172" s="633" t="s">
        <v>4413</v>
      </c>
    </row>
    <row r="7173" spans="4:6" s="614" customFormat="1">
      <c r="D7173" s="377" t="s">
        <v>11577</v>
      </c>
      <c r="E7173" s="959" t="str">
        <f>IF(AND(calcCh4Prod2Slot2Active=1,NOT(calcCh4Prod2Slot2Promo1Weeks=0)),calcCh4Prod2Slot2Promo1CustPrice-finCalcCh4Prod2Slot2COGSPUnit-finCalcCh4Prod2Slot2LogExpPerUnit-paramExciseProd2,"")</f>
        <v/>
      </c>
      <c r="F7173" s="611" t="s">
        <v>11910</v>
      </c>
    </row>
    <row r="7174" spans="4:6" s="614" customFormat="1">
      <c r="D7174" s="377" t="s">
        <v>11582</v>
      </c>
      <c r="E7174" s="593" t="str">
        <f>IF(AND(calcCh4Prod2Slot2Active=1,NOT(calcCh4Prod2Slot2Promo1Weeks=0)),calcCh4Prod2Slot2Promo1GPaLPUnit*calcCh4Prod2Slot2Promo1VolPWeek,"")</f>
        <v/>
      </c>
      <c r="F7174" s="611" t="s">
        <v>11911</v>
      </c>
    </row>
    <row r="7175" spans="4:6" s="614" customFormat="1">
      <c r="D7175" s="377" t="s">
        <v>4413</v>
      </c>
      <c r="E7175" s="958" t="str">
        <f>IF(AND(calcCh4Prod2Slot2Active=1,NOT(calcCh4Prod2Slot2Promo1Weeks=0)),calcCh4Prod2Slot2Promo1GPaLPWeek/calcCh4Prod2Slot2BaseGPaLPWeek-1,"")</f>
        <v/>
      </c>
      <c r="F7175" s="614" t="s">
        <v>11912</v>
      </c>
    </row>
    <row r="7176" spans="4:6" s="614" customFormat="1">
      <c r="E7176" s="593"/>
    </row>
    <row r="7177" spans="4:6" s="614" customFormat="1">
      <c r="D7177" s="633" t="s">
        <v>4414</v>
      </c>
      <c r="E7177" s="958"/>
    </row>
    <row r="7178" spans="4:6" s="614" customFormat="1">
      <c r="D7178" s="377" t="s">
        <v>11584</v>
      </c>
      <c r="E7178" s="593" t="str">
        <f>IF(AND(calcCh4Prod2Slot2Active=1,NOT(calcCh4Prod2Slot2Promo1Weeks=0)),(calcCh4Prod2Slot2Promo1GPaLPWeek-calcCh4Prod2Slot2BaseGPaLPWeek)*decCh4Prod2Slot2Promo1Weeks,"")</f>
        <v/>
      </c>
    </row>
    <row r="7179" spans="4:6" s="614" customFormat="1">
      <c r="D7179" s="377" t="s">
        <v>748</v>
      </c>
      <c r="E7179" s="593" t="str">
        <f>IF(AND(calcCh4Prod2Slot2Active=1,NOT(calcCh4Prod2Slot2Promo1Weeks=0)),calcCh4Prod2Slot2Promo1PlanExp+0,"")</f>
        <v/>
      </c>
    </row>
    <row r="7180" spans="4:6" s="614" customFormat="1">
      <c r="D7180" s="377" t="s">
        <v>4414</v>
      </c>
      <c r="E7180" s="690" t="str">
        <f>IF(AND(calcCh4Prod2Slot2Active=1,NOT(calcCh4Prod2Slot2Promo1Weeks=0)),E7178/E7179,"")</f>
        <v/>
      </c>
      <c r="F7180" s="614" t="s">
        <v>11913</v>
      </c>
    </row>
    <row r="7181" spans="4:6" s="614" customFormat="1"/>
    <row r="7182" spans="4:6" s="614" customFormat="1">
      <c r="D7182" s="633" t="s">
        <v>5195</v>
      </c>
    </row>
    <row r="7183" spans="4:6" s="614" customFormat="1">
      <c r="D7183" s="377" t="s">
        <v>11588</v>
      </c>
      <c r="E7183" s="593" t="str">
        <f>IF(AND(calcCh4Prod2Slot2Active=1,NOT(calcCh4Prod2Slot2Promo1Weeks=0)),calcCh4Prod2Slot2Promo1CustPrice*calcCh4Prod2Slot2Promo1VolPWeek,"")</f>
        <v/>
      </c>
    </row>
    <row r="7184" spans="4:6" s="614" customFormat="1">
      <c r="D7184" s="377" t="s">
        <v>11589</v>
      </c>
      <c r="E7184" s="593" t="str">
        <f>E7179</f>
        <v/>
      </c>
    </row>
    <row r="7185" spans="3:6" s="614" customFormat="1">
      <c r="D7185" s="377" t="s">
        <v>5195</v>
      </c>
      <c r="E7185" s="958" t="str">
        <f>IF(AND(calcCh4Prod2Slot2Active=1,NOT(calcCh4Prod2Slot2Promo1Weeks=0)),((E7183+E7184)-calcCh4Prod2Slot2BaseCustProfPWeek)/calcCh4Prod2Slot2BaseCustProfPWeek,"")</f>
        <v/>
      </c>
      <c r="F7185" s="611" t="s">
        <v>12045</v>
      </c>
    </row>
    <row r="7186" spans="3:6" s="614" customFormat="1"/>
    <row r="7187" spans="3:6" s="614" customFormat="1">
      <c r="C7187" s="633" t="s">
        <v>3860</v>
      </c>
    </row>
    <row r="7188" spans="3:6" s="614" customFormat="1">
      <c r="D7188" s="614" t="s">
        <v>11564</v>
      </c>
      <c r="E7188" s="593" t="str">
        <f>IF(AND(calcCh4Prod2Slot3Active=1,NOT(calcCh4Prod2Slot3Promo1Weeks=0)),(IF(xxSim0Tool1=0,MMCh4Prod2Seg1Slot3UnitsSoldRSP+MMCh4Prod2Seg2Slot3UnitsSoldRSP+MMCh4Prod2Seg3Slot3UnitsSoldRSP+MMCh4Prod2Seg4Slot3UnitsSoldRSP,calcCh4Prod2VolForecastProd*decCh4Prod2Slot3Forecast*(1-decCh4Prod2Slot3Promo1ShareFrc)))/(cnstWeeksPYear-calcCh4Prod2Slot3Promo1Weeks),"")</f>
        <v/>
      </c>
      <c r="F7188" s="611" t="s">
        <v>11914</v>
      </c>
    </row>
    <row r="7189" spans="3:6" s="614" customFormat="1">
      <c r="D7189" s="614" t="s">
        <v>11569</v>
      </c>
      <c r="E7189" s="959" t="str">
        <f>IF(AND(calcCh4Prod2Slot3Active=1,NOT(calcCh4Prod2Slot3Promo1Weeks=0)),calcCh4Prod2Slot3CustPrice-finCalcCh4Prod2Slot3COGSPUnit-finCalcCh4Prod2Slot3LogExpPerUnit-paramExciseProd2,"")</f>
        <v/>
      </c>
      <c r="F7189" s="611" t="s">
        <v>11915</v>
      </c>
    </row>
    <row r="7190" spans="3:6" s="614" customFormat="1">
      <c r="D7190" s="614" t="s">
        <v>11580</v>
      </c>
      <c r="E7190" s="593" t="str">
        <f>IF(AND(calcCh4Prod2Slot3Active=1,NOT(calcCh4Prod2Slot3Promo1Weeks=0)),calcCh4Prod2Slot3BaseVolPWeek*calcCh4Prod2Slot3BaseGPaLPUnit,"")</f>
        <v/>
      </c>
      <c r="F7190" s="611" t="s">
        <v>11916</v>
      </c>
    </row>
    <row r="7191" spans="3:6" s="614" customFormat="1">
      <c r="D7191" s="614" t="s">
        <v>11586</v>
      </c>
      <c r="E7191" s="593" t="str">
        <f>IF(AND(calcCh4Prod2Slot3Active=1,NOT(calcCh4Prod2Slot3Promo1Weeks=0)),calcCh4Prod2Slot3CustPrice*calcCh4Prod2Slot3BaseVolPWeek,"")</f>
        <v/>
      </c>
      <c r="F7191" s="611" t="s">
        <v>12046</v>
      </c>
    </row>
    <row r="7192" spans="3:6" s="614" customFormat="1">
      <c r="E7192" s="593"/>
      <c r="F7192" s="611"/>
    </row>
    <row r="7193" spans="3:6" s="614" customFormat="1">
      <c r="D7193" s="633" t="s">
        <v>6111</v>
      </c>
    </row>
    <row r="7194" spans="3:6" s="614" customFormat="1">
      <c r="D7194" s="633" t="s">
        <v>11388</v>
      </c>
    </row>
    <row r="7195" spans="3:6" s="614" customFormat="1">
      <c r="D7195" s="377" t="s">
        <v>11565</v>
      </c>
      <c r="E7195" s="593" t="str">
        <f>IF(AND(calcCh4Prod2Slot3Active=1,NOT(calcCh4Prod2Slot3Promo1Weeks=0)),(IF(xxSim0Tool1=0,MMCh4Prod2Seg1Slot3UnitsSoldPromo1+MMCh4Prod2Seg2Slot3UnitsSoldPromo1+MMCh4Prod2Seg3Slot3UnitsSoldPromo1+MMCh4Prod2Seg4Slot3UnitsSoldPromo1,calcCh4Prod2VolForecastProd*decCh4Prod2Slot3Promo1ShareFrc))/(calcCh4Prod2Slot3Promo1Weeks),"")</f>
        <v/>
      </c>
      <c r="F7195" s="614" t="s">
        <v>11917</v>
      </c>
    </row>
    <row r="7196" spans="3:6" s="614" customFormat="1">
      <c r="D7196" s="377" t="s">
        <v>11388</v>
      </c>
      <c r="E7196" s="958" t="str">
        <f>IF(AND(calcCh4Prod2Slot3Active=1,NOT(calcCh4Prod2Slot3Promo1Weeks=0)),calcCh4Prod2Slot3Promo1VolPWeek/calcCh4Prod2Slot3BaseVolPWeek-1,"")</f>
        <v/>
      </c>
      <c r="F7196" s="614" t="s">
        <v>11918</v>
      </c>
    </row>
    <row r="7197" spans="3:6" s="614" customFormat="1"/>
    <row r="7198" spans="3:6" s="614" customFormat="1">
      <c r="D7198" s="633" t="s">
        <v>4413</v>
      </c>
    </row>
    <row r="7199" spans="3:6" s="614" customFormat="1">
      <c r="D7199" s="377" t="s">
        <v>11577</v>
      </c>
      <c r="E7199" s="959" t="str">
        <f>IF(AND(calcCh4Prod2Slot3Active=1,NOT(calcCh4Prod2Slot3Promo1Weeks=0)),calcCh4Prod2Slot3Promo1CustPrice-finCalcCh4Prod2Slot3COGSPUnit-finCalcCh4Prod2Slot3LogExpPerUnit-paramExciseProd2,"")</f>
        <v/>
      </c>
      <c r="F7199" s="611" t="s">
        <v>11919</v>
      </c>
    </row>
    <row r="7200" spans="3:6" s="614" customFormat="1">
      <c r="D7200" s="377" t="s">
        <v>11582</v>
      </c>
      <c r="E7200" s="593" t="str">
        <f>IF(AND(calcCh4Prod2Slot3Active=1,NOT(calcCh4Prod2Slot3Promo1Weeks=0)),calcCh4Prod2Slot3Promo1GPaLPUnit*calcCh4Prod2Slot3Promo1VolPWeek,"")</f>
        <v/>
      </c>
      <c r="F7200" s="611" t="s">
        <v>11920</v>
      </c>
    </row>
    <row r="7201" spans="3:6" s="614" customFormat="1">
      <c r="D7201" s="377" t="s">
        <v>4413</v>
      </c>
      <c r="E7201" s="958" t="str">
        <f>IF(AND(calcCh4Prod2Slot3Active=1,NOT(calcCh4Prod2Slot3Promo1Weeks=0)),calcCh4Prod2Slot3Promo1GPaLPWeek/calcCh4Prod2Slot3BaseGPaLPWeek-1,"")</f>
        <v/>
      </c>
      <c r="F7201" s="614" t="s">
        <v>11921</v>
      </c>
    </row>
    <row r="7202" spans="3:6" s="614" customFormat="1">
      <c r="E7202" s="593"/>
    </row>
    <row r="7203" spans="3:6" s="614" customFormat="1">
      <c r="D7203" s="633" t="s">
        <v>4414</v>
      </c>
      <c r="E7203" s="958"/>
    </row>
    <row r="7204" spans="3:6" s="614" customFormat="1">
      <c r="D7204" s="377" t="s">
        <v>11584</v>
      </c>
      <c r="E7204" s="593" t="str">
        <f>IF(AND(calcCh4Prod2Slot3Active=1,NOT(calcCh4Prod2Slot3Promo1Weeks=0)),(calcCh4Prod2Slot3Promo1GPaLPWeek-calcCh4Prod2Slot3BaseGPaLPWeek)*decCh4Prod2Slot3Promo1Weeks,"")</f>
        <v/>
      </c>
    </row>
    <row r="7205" spans="3:6" s="614" customFormat="1">
      <c r="D7205" s="377" t="s">
        <v>748</v>
      </c>
      <c r="E7205" s="593" t="str">
        <f>IF(AND(calcCh4Prod2Slot3Active=1,NOT(calcCh4Prod2Slot3Promo1Weeks=0)),calcCh4Prod2Slot3Promo1PlanExp+0,"")</f>
        <v/>
      </c>
    </row>
    <row r="7206" spans="3:6" s="614" customFormat="1">
      <c r="D7206" s="377" t="s">
        <v>4414</v>
      </c>
      <c r="E7206" s="690" t="str">
        <f>IF(AND(calcCh4Prod2Slot3Active=1,NOT(calcCh4Prod2Slot3Promo1Weeks=0)),E7204/E7205,"")</f>
        <v/>
      </c>
      <c r="F7206" s="614" t="s">
        <v>11922</v>
      </c>
    </row>
    <row r="7207" spans="3:6" s="614" customFormat="1"/>
    <row r="7208" spans="3:6" s="614" customFormat="1">
      <c r="D7208" s="633" t="s">
        <v>5195</v>
      </c>
    </row>
    <row r="7209" spans="3:6" s="614" customFormat="1">
      <c r="D7209" s="377" t="s">
        <v>11588</v>
      </c>
      <c r="E7209" s="593" t="str">
        <f>IF(AND(calcCh4Prod2Slot3Active=1,NOT(calcCh4Prod2Slot3Promo1Weeks=0)),calcCh4Prod2Slot3Promo1CustPrice*calcCh4Prod2Slot3Promo1VolPWeek,"")</f>
        <v/>
      </c>
    </row>
    <row r="7210" spans="3:6" s="614" customFormat="1">
      <c r="D7210" s="377" t="s">
        <v>11589</v>
      </c>
      <c r="E7210" s="593" t="str">
        <f>E7205</f>
        <v/>
      </c>
    </row>
    <row r="7211" spans="3:6" s="614" customFormat="1">
      <c r="D7211" s="377" t="s">
        <v>5195</v>
      </c>
      <c r="E7211" s="958" t="str">
        <f>IF(AND(calcCh4Prod2Slot3Active=1,NOT(calcCh4Prod2Slot3Promo1Weeks=0)),((E7209+E7210)-calcCh4Prod2Slot3BaseCustProfPWeek)/calcCh4Prod2Slot3BaseCustProfPWeek,"")</f>
        <v/>
      </c>
      <c r="F7211" s="611" t="s">
        <v>12047</v>
      </c>
    </row>
    <row r="7212" spans="3:6" s="614" customFormat="1"/>
    <row r="7213" spans="3:6" s="614" customFormat="1">
      <c r="C7213" s="633" t="s">
        <v>13963</v>
      </c>
    </row>
    <row r="7214" spans="3:6" s="614" customFormat="1">
      <c r="C7214" s="633" t="s">
        <v>3859</v>
      </c>
    </row>
    <row r="7215" spans="3:6" s="614" customFormat="1">
      <c r="D7215" s="614" t="s">
        <v>11564</v>
      </c>
      <c r="E7215" s="593" t="str">
        <f>IF(AND(calcCh4Prod3Slot1Active=1,NOT(calcCh4Prod3Slot1Promo1Weeks=0)),(IF(xxSim0Tool1=0,MMCh4Prod3Seg1Slot1UnitsSoldRSP+MMCh4Prod3Seg2Slot1UnitsSoldRSP+MMCh4Prod3Seg3Slot1UnitsSoldRSP+MMCh4Prod3Seg4Slot1UnitsSoldRSP,calcCh4Prod3VolForecastProd*decCh4Prod3Slot1Forecast*(1-decCh4Prod3Slot1Promo1ShareFrc)))/(cnstWeeksPYear-calcCh4Prod3Slot1Promo1Weeks),"")</f>
        <v/>
      </c>
      <c r="F7215" s="611" t="s">
        <v>11923</v>
      </c>
    </row>
    <row r="7216" spans="3:6" s="614" customFormat="1">
      <c r="D7216" s="614" t="s">
        <v>11569</v>
      </c>
      <c r="E7216" s="959" t="str">
        <f>IF(AND(calcCh4Prod3Slot1Active=1,NOT(calcCh4Prod3Slot1Promo1Weeks=0)),calcCh4Prod3Slot1CustPrice-finCalcCh4Prod3Slot1COGSPUnit-finCalcCh4Prod3Slot1LogExpPerUnit-paramExciseProd3,"")</f>
        <v/>
      </c>
      <c r="F7216" s="611" t="s">
        <v>11924</v>
      </c>
    </row>
    <row r="7217" spans="4:6" s="614" customFormat="1">
      <c r="D7217" s="614" t="s">
        <v>11580</v>
      </c>
      <c r="E7217" s="593" t="str">
        <f>IF(AND(calcCh4Prod3Slot1Active=1,NOT(calcCh4Prod3Slot1Promo1Weeks=0)),calcCh4Prod3Slot1BaseVolPWeek*calcCh4Prod3Slot1BaseGPaLPUnit,"")</f>
        <v/>
      </c>
      <c r="F7217" s="611" t="s">
        <v>11925</v>
      </c>
    </row>
    <row r="7218" spans="4:6" s="614" customFormat="1">
      <c r="D7218" s="614" t="s">
        <v>11586</v>
      </c>
      <c r="E7218" s="593" t="str">
        <f>IF(AND(calcCh4Prod3Slot1Active=1,NOT(calcCh4Prod3Slot1Promo1Weeks=0)),calcCh4Prod3Slot1CustPrice*calcCh4Prod3Slot1BaseVolPWeek,"")</f>
        <v/>
      </c>
      <c r="F7218" s="611" t="s">
        <v>12048</v>
      </c>
    </row>
    <row r="7219" spans="4:6" s="614" customFormat="1">
      <c r="E7219" s="593"/>
      <c r="F7219" s="611"/>
    </row>
    <row r="7220" spans="4:6" s="614" customFormat="1">
      <c r="D7220" s="633" t="s">
        <v>6111</v>
      </c>
    </row>
    <row r="7221" spans="4:6" s="614" customFormat="1">
      <c r="D7221" s="633" t="s">
        <v>11388</v>
      </c>
    </row>
    <row r="7222" spans="4:6" s="614" customFormat="1">
      <c r="D7222" s="377" t="s">
        <v>11565</v>
      </c>
      <c r="E7222" s="593" t="str">
        <f>IF(AND(calcCh4Prod3Slot1Active=1,NOT(calcCh4Prod3Slot1Promo1Weeks=0)),(IF(xxSim0Tool1=0,MMCh4Prod3Seg1Slot1UnitsSoldPromo1+MMCh4Prod3Seg2Slot1UnitsSoldPromo1+MMCh4Prod3Seg3Slot1UnitsSoldPromo1+MMCh4Prod3Seg4Slot1UnitsSoldPromo1,calcCh4Prod3VolForecastProd*decCh4Prod3Slot1Promo1ShareFrc))/(calcCh4Prod3Slot1Promo1Weeks),"")</f>
        <v/>
      </c>
      <c r="F7222" s="614" t="s">
        <v>11926</v>
      </c>
    </row>
    <row r="7223" spans="4:6" s="614" customFormat="1">
      <c r="D7223" s="377" t="s">
        <v>11388</v>
      </c>
      <c r="E7223" s="958" t="str">
        <f>IF(AND(calcCh4Prod3Slot1Active=1,NOT(calcCh4Prod3Slot1Promo1Weeks=0)),calcCh4Prod3Slot1Promo1VolPWeek/calcCh4Prod3Slot1BaseVolPWeek-1,"")</f>
        <v/>
      </c>
      <c r="F7223" s="614" t="s">
        <v>11927</v>
      </c>
    </row>
    <row r="7224" spans="4:6" s="614" customFormat="1"/>
    <row r="7225" spans="4:6" s="614" customFormat="1">
      <c r="D7225" s="633" t="s">
        <v>4413</v>
      </c>
    </row>
    <row r="7226" spans="4:6" s="614" customFormat="1">
      <c r="D7226" s="377" t="s">
        <v>11577</v>
      </c>
      <c r="E7226" s="959" t="str">
        <f>IF(AND(calcCh4Prod3Slot1Active=1,NOT(calcCh4Prod3Slot1Promo1Weeks=0)),calcCh4Prod3Slot1Promo1CustPrice-finCalcCh4Prod3Slot1COGSPUnit-finCalcCh4Prod3Slot1LogExpPerUnit-paramExciseProd3,"")</f>
        <v/>
      </c>
      <c r="F7226" s="611" t="s">
        <v>11928</v>
      </c>
    </row>
    <row r="7227" spans="4:6" s="614" customFormat="1">
      <c r="D7227" s="377" t="s">
        <v>11582</v>
      </c>
      <c r="E7227" s="593" t="str">
        <f>IF(AND(calcCh4Prod3Slot1Active=1,NOT(calcCh4Prod3Slot1Promo1Weeks=0)),calcCh4Prod3Slot1Promo1GPaLPUnit*calcCh4Prod3Slot1Promo1VolPWeek,"")</f>
        <v/>
      </c>
      <c r="F7227" s="611" t="s">
        <v>11929</v>
      </c>
    </row>
    <row r="7228" spans="4:6" s="614" customFormat="1">
      <c r="D7228" s="377" t="s">
        <v>4413</v>
      </c>
      <c r="E7228" s="958" t="str">
        <f>IF(AND(calcCh4Prod3Slot1Active=1,NOT(calcCh4Prod3Slot1Promo1Weeks=0)),calcCh4Prod3Slot1Promo1GPaLPWeek/calcCh4Prod3Slot1BaseGPaLPWeek-1,"")</f>
        <v/>
      </c>
      <c r="F7228" s="614" t="s">
        <v>11930</v>
      </c>
    </row>
    <row r="7229" spans="4:6" s="614" customFormat="1">
      <c r="E7229" s="593"/>
    </row>
    <row r="7230" spans="4:6" s="614" customFormat="1">
      <c r="D7230" s="633" t="s">
        <v>4414</v>
      </c>
      <c r="E7230" s="958"/>
    </row>
    <row r="7231" spans="4:6" s="614" customFormat="1">
      <c r="D7231" s="377" t="s">
        <v>11584</v>
      </c>
      <c r="E7231" s="593" t="str">
        <f>IF(AND(calcCh4Prod3Slot1Active=1,NOT(calcCh4Prod3Slot1Promo1Weeks=0)),(calcCh4Prod3Slot1Promo1GPaLPWeek-calcCh4Prod3Slot1BaseGPaLPWeek)*decCh4Prod3Slot1Promo1Weeks,"")</f>
        <v/>
      </c>
    </row>
    <row r="7232" spans="4:6" s="614" customFormat="1">
      <c r="D7232" s="377" t="s">
        <v>748</v>
      </c>
      <c r="E7232" s="593" t="str">
        <f>IF(AND(calcCh4Prod3Slot1Active=1,NOT(calcCh4Prod3Slot1Promo1Weeks=0)),calcCh4Prod3Slot1Promo1PlanExp+0,"")</f>
        <v/>
      </c>
    </row>
    <row r="7233" spans="3:6" s="614" customFormat="1">
      <c r="D7233" s="377" t="s">
        <v>4414</v>
      </c>
      <c r="E7233" s="690" t="str">
        <f>IF(AND(calcCh4Prod3Slot1Active=1,NOT(calcCh4Prod3Slot1Promo1Weeks=0)),E7231/E7232,"")</f>
        <v/>
      </c>
      <c r="F7233" s="614" t="s">
        <v>11931</v>
      </c>
    </row>
    <row r="7234" spans="3:6" s="614" customFormat="1"/>
    <row r="7235" spans="3:6" s="614" customFormat="1">
      <c r="D7235" s="633" t="s">
        <v>5195</v>
      </c>
    </row>
    <row r="7236" spans="3:6" s="614" customFormat="1">
      <c r="D7236" s="377" t="s">
        <v>11588</v>
      </c>
      <c r="E7236" s="593" t="str">
        <f>IF(AND(calcCh4Prod3Slot1Active=1,NOT(calcCh4Prod3Slot1Promo1Weeks=0)),calcCh4Prod3Slot1Promo1CustPrice*calcCh4Prod3Slot1Promo1VolPWeek,"")</f>
        <v/>
      </c>
    </row>
    <row r="7237" spans="3:6" s="614" customFormat="1">
      <c r="D7237" s="377" t="s">
        <v>11589</v>
      </c>
      <c r="E7237" s="593" t="str">
        <f>E7232</f>
        <v/>
      </c>
    </row>
    <row r="7238" spans="3:6" s="614" customFormat="1">
      <c r="D7238" s="377" t="s">
        <v>5195</v>
      </c>
      <c r="E7238" s="958" t="str">
        <f>IF(AND(calcCh4Prod3Slot1Active=1,NOT(calcCh4Prod3Slot1Promo1Weeks=0)),((E7236+E7237)-calcCh4Prod3Slot1BaseCustProfPWeek)/calcCh4Prod3Slot1BaseCustProfPWeek,"")</f>
        <v/>
      </c>
      <c r="F7238" s="611" t="s">
        <v>12049</v>
      </c>
    </row>
    <row r="7239" spans="3:6" s="614" customFormat="1"/>
    <row r="7240" spans="3:6" s="614" customFormat="1">
      <c r="C7240" s="633" t="s">
        <v>3858</v>
      </c>
    </row>
    <row r="7241" spans="3:6" s="614" customFormat="1">
      <c r="D7241" s="614" t="s">
        <v>11564</v>
      </c>
      <c r="E7241" s="593" t="str">
        <f>IF(AND(calcCh4Prod3Slot2Active=1,NOT(calcCh4Prod3Slot2Promo1Weeks=0)),(IF(xxSim0Tool1=0,MMCh4Prod3Seg1Slot2UnitsSoldRSP+MMCh4Prod3Seg2Slot2UnitsSoldRSP+MMCh4Prod3Seg3Slot2UnitsSoldRSP+MMCh4Prod3Seg4Slot2UnitsSoldRSP,calcCh4Prod3VolForecastProd*decCh4Prod3Slot2Forecast*(1-decCh4Prod3Slot2Promo1ShareFrc)))/(cnstWeeksPYear-calcCh4Prod3Slot2Promo1Weeks),"")</f>
        <v/>
      </c>
      <c r="F7241" s="611" t="s">
        <v>11932</v>
      </c>
    </row>
    <row r="7242" spans="3:6" s="614" customFormat="1">
      <c r="D7242" s="614" t="s">
        <v>11569</v>
      </c>
      <c r="E7242" s="959" t="str">
        <f>IF(AND(calcCh4Prod3Slot2Active=1,NOT(calcCh4Prod3Slot2Promo1Weeks=0)),calcCh4Prod3Slot2CustPrice-finCalcCh4Prod3Slot2COGSPUnit-finCalcCh4Prod3Slot2LogExpPerUnit-paramExciseProd3,"")</f>
        <v/>
      </c>
      <c r="F7242" s="611" t="s">
        <v>11933</v>
      </c>
    </row>
    <row r="7243" spans="3:6" s="614" customFormat="1">
      <c r="D7243" s="614" t="s">
        <v>11580</v>
      </c>
      <c r="E7243" s="593" t="str">
        <f>IF(AND(calcCh4Prod3Slot2Active=1,NOT(calcCh4Prod3Slot2Promo1Weeks=0)),calcCh4Prod3Slot2BaseVolPWeek*calcCh4Prod3Slot2BaseGPaLPUnit,"")</f>
        <v/>
      </c>
      <c r="F7243" s="611" t="s">
        <v>11934</v>
      </c>
    </row>
    <row r="7244" spans="3:6" s="614" customFormat="1">
      <c r="D7244" s="614" t="s">
        <v>11586</v>
      </c>
      <c r="E7244" s="593" t="str">
        <f>IF(AND(calcCh4Prod3Slot2Active=1,NOT(calcCh4Prod3Slot2Promo1Weeks=0)),calcCh4Prod3Slot2CustPrice*calcCh4Prod3Slot2BaseVolPWeek,"")</f>
        <v/>
      </c>
      <c r="F7244" s="611" t="s">
        <v>12050</v>
      </c>
    </row>
    <row r="7245" spans="3:6" s="614" customFormat="1">
      <c r="E7245" s="593"/>
      <c r="F7245" s="611"/>
    </row>
    <row r="7246" spans="3:6" s="614" customFormat="1">
      <c r="D7246" s="633" t="s">
        <v>6111</v>
      </c>
    </row>
    <row r="7247" spans="3:6" s="614" customFormat="1">
      <c r="D7247" s="633" t="s">
        <v>11388</v>
      </c>
    </row>
    <row r="7248" spans="3:6" s="614" customFormat="1">
      <c r="D7248" s="377" t="s">
        <v>11565</v>
      </c>
      <c r="E7248" s="593" t="str">
        <f>IF(AND(calcCh4Prod3Slot2Active=1,NOT(calcCh4Prod3Slot2Promo1Weeks=0)),(IF(xxSim0Tool1=0,MMCh4Prod3Seg1Slot2UnitsSoldPromo1+MMCh4Prod3Seg2Slot2UnitsSoldPromo1+MMCh4Prod3Seg3Slot2UnitsSoldPromo1+MMCh4Prod3Seg4Slot2UnitsSoldPromo1,calcCh4Prod3VolForecastProd*decCh4Prod3Slot2Promo1ShareFrc))/(calcCh4Prod3Slot2Promo1Weeks),"")</f>
        <v/>
      </c>
      <c r="F7248" s="614" t="s">
        <v>11935</v>
      </c>
    </row>
    <row r="7249" spans="4:6" s="614" customFormat="1">
      <c r="D7249" s="377" t="s">
        <v>11388</v>
      </c>
      <c r="E7249" s="958" t="str">
        <f>IF(AND(calcCh4Prod3Slot2Active=1,NOT(calcCh4Prod3Slot2Promo1Weeks=0)),calcCh4Prod3Slot2Promo1VolPWeek/calcCh4Prod3Slot2BaseVolPWeek-1,"")</f>
        <v/>
      </c>
      <c r="F7249" s="614" t="s">
        <v>11936</v>
      </c>
    </row>
    <row r="7250" spans="4:6" s="614" customFormat="1"/>
    <row r="7251" spans="4:6" s="614" customFormat="1">
      <c r="D7251" s="633" t="s">
        <v>4413</v>
      </c>
    </row>
    <row r="7252" spans="4:6" s="614" customFormat="1">
      <c r="D7252" s="377" t="s">
        <v>11577</v>
      </c>
      <c r="E7252" s="959" t="str">
        <f>IF(AND(calcCh4Prod3Slot2Active=1,NOT(calcCh4Prod3Slot2Promo1Weeks=0)),calcCh4Prod3Slot2Promo1CustPrice-finCalcCh4Prod3Slot2COGSPUnit-finCalcCh4Prod3Slot2LogExpPerUnit-paramExciseProd3,"")</f>
        <v/>
      </c>
      <c r="F7252" s="611" t="s">
        <v>11937</v>
      </c>
    </row>
    <row r="7253" spans="4:6" s="614" customFormat="1">
      <c r="D7253" s="377" t="s">
        <v>11582</v>
      </c>
      <c r="E7253" s="593" t="str">
        <f>IF(AND(calcCh4Prod3Slot2Active=1,NOT(calcCh4Prod3Slot2Promo1Weeks=0)),calcCh4Prod3Slot2Promo1GPaLPUnit*calcCh4Prod3Slot2Promo1VolPWeek,"")</f>
        <v/>
      </c>
      <c r="F7253" s="611" t="s">
        <v>11938</v>
      </c>
    </row>
    <row r="7254" spans="4:6" s="614" customFormat="1">
      <c r="D7254" s="377" t="s">
        <v>4413</v>
      </c>
      <c r="E7254" s="958" t="str">
        <f>IF(AND(calcCh4Prod3Slot2Active=1,NOT(calcCh4Prod3Slot2Promo1Weeks=0)),calcCh4Prod3Slot2Promo1GPaLPWeek/calcCh4Prod3Slot2BaseGPaLPWeek-1,"")</f>
        <v/>
      </c>
      <c r="F7254" s="614" t="s">
        <v>11939</v>
      </c>
    </row>
    <row r="7255" spans="4:6" s="614" customFormat="1">
      <c r="E7255" s="593"/>
    </row>
    <row r="7256" spans="4:6" s="614" customFormat="1">
      <c r="D7256" s="633" t="s">
        <v>4414</v>
      </c>
      <c r="E7256" s="958"/>
    </row>
    <row r="7257" spans="4:6" s="614" customFormat="1">
      <c r="D7257" s="377" t="s">
        <v>11584</v>
      </c>
      <c r="E7257" s="593" t="str">
        <f>IF(AND(calcCh4Prod3Slot2Active=1,NOT(calcCh4Prod3Slot2Promo1Weeks=0)),(calcCh4Prod3Slot2Promo1GPaLPWeek-calcCh4Prod3Slot2BaseGPaLPWeek)*decCh4Prod3Slot2Promo1Weeks,"")</f>
        <v/>
      </c>
    </row>
    <row r="7258" spans="4:6" s="614" customFormat="1">
      <c r="D7258" s="377" t="s">
        <v>748</v>
      </c>
      <c r="E7258" s="593" t="str">
        <f>IF(AND(calcCh4Prod3Slot2Active=1,NOT(calcCh4Prod3Slot2Promo1Weeks=0)),calcCh4Prod3Slot2Promo1PlanExp+0,"")</f>
        <v/>
      </c>
    </row>
    <row r="7259" spans="4:6" s="614" customFormat="1">
      <c r="D7259" s="377" t="s">
        <v>4414</v>
      </c>
      <c r="E7259" s="690" t="str">
        <f>IF(AND(calcCh4Prod3Slot2Active=1,NOT(calcCh4Prod3Slot2Promo1Weeks=0)),E7257/E7258,"")</f>
        <v/>
      </c>
      <c r="F7259" s="614" t="s">
        <v>11940</v>
      </c>
    </row>
    <row r="7260" spans="4:6" s="614" customFormat="1"/>
    <row r="7261" spans="4:6" s="614" customFormat="1">
      <c r="D7261" s="633" t="s">
        <v>5195</v>
      </c>
    </row>
    <row r="7262" spans="4:6" s="614" customFormat="1">
      <c r="D7262" s="377" t="s">
        <v>11588</v>
      </c>
      <c r="E7262" s="593" t="str">
        <f>IF(AND(calcCh4Prod3Slot2Active=1,NOT(calcCh4Prod3Slot2Promo1Weeks=0)),calcCh4Prod3Slot2Promo1CustPrice*calcCh4Prod3Slot2Promo1VolPWeek,"")</f>
        <v/>
      </c>
    </row>
    <row r="7263" spans="4:6" s="614" customFormat="1">
      <c r="D7263" s="377" t="s">
        <v>11589</v>
      </c>
      <c r="E7263" s="593" t="str">
        <f>E7258</f>
        <v/>
      </c>
    </row>
    <row r="7264" spans="4:6" s="614" customFormat="1">
      <c r="D7264" s="377" t="s">
        <v>5195</v>
      </c>
      <c r="E7264" s="958" t="str">
        <f>IF(AND(calcCh4Prod3Slot2Active=1,NOT(calcCh4Prod3Slot2Promo1Weeks=0)),((E7262+E7263)-calcCh4Prod3Slot2BaseCustProfPWeek)/calcCh4Prod3Slot2BaseCustProfPWeek,"")</f>
        <v/>
      </c>
      <c r="F7264" s="611" t="s">
        <v>12051</v>
      </c>
    </row>
    <row r="7265" spans="3:6" s="614" customFormat="1"/>
    <row r="7266" spans="3:6" s="614" customFormat="1">
      <c r="C7266" s="633" t="s">
        <v>3860</v>
      </c>
    </row>
    <row r="7267" spans="3:6" s="614" customFormat="1">
      <c r="D7267" s="614" t="s">
        <v>11564</v>
      </c>
      <c r="E7267" s="593" t="str">
        <f>IF(AND(calcCh4Prod3Slot3Active=1,NOT(calcCh4Prod3Slot3Promo1Weeks=0)),(IF(xxSim0Tool1=0,MMCh4Prod3Seg1Slot3UnitsSoldRSP+MMCh4Prod3Seg2Slot3UnitsSoldRSP+MMCh4Prod3Seg3Slot3UnitsSoldRSP+MMCh4Prod3Seg4Slot3UnitsSoldRSP,calcCh4Prod3VolForecastProd*decCh4Prod3Slot3Forecast*(1-decCh4Prod3Slot3Promo1ShareFrc)))/(cnstWeeksPYear-calcCh4Prod3Slot3Promo1Weeks),"")</f>
        <v/>
      </c>
      <c r="F7267" s="611" t="s">
        <v>11941</v>
      </c>
    </row>
    <row r="7268" spans="3:6" s="614" customFormat="1">
      <c r="D7268" s="614" t="s">
        <v>11569</v>
      </c>
      <c r="E7268" s="959" t="str">
        <f>IF(AND(calcCh4Prod3Slot3Active=1,NOT(calcCh4Prod3Slot3Promo1Weeks=0)),calcCh4Prod3Slot3CustPrice-finCalcCh4Prod3Slot3COGSPUnit-finCalcCh4Prod3Slot3LogExpPerUnit-paramExciseProd3,"")</f>
        <v/>
      </c>
      <c r="F7268" s="611" t="s">
        <v>11942</v>
      </c>
    </row>
    <row r="7269" spans="3:6" s="614" customFormat="1">
      <c r="D7269" s="614" t="s">
        <v>11580</v>
      </c>
      <c r="E7269" s="593" t="str">
        <f>IF(AND(calcCh4Prod3Slot3Active=1,NOT(calcCh4Prod3Slot3Promo1Weeks=0)),calcCh4Prod3Slot3BaseVolPWeek*calcCh4Prod3Slot3BaseGPaLPUnit,"")</f>
        <v/>
      </c>
      <c r="F7269" s="611" t="s">
        <v>11943</v>
      </c>
    </row>
    <row r="7270" spans="3:6" s="614" customFormat="1">
      <c r="D7270" s="614" t="s">
        <v>11586</v>
      </c>
      <c r="E7270" s="593" t="str">
        <f>IF(AND(calcCh4Prod3Slot3Active=1,NOT(calcCh4Prod3Slot3Promo1Weeks=0)),calcCh4Prod3Slot3CustPrice*calcCh4Prod3Slot3BaseVolPWeek,"")</f>
        <v/>
      </c>
      <c r="F7270" s="611" t="s">
        <v>12052</v>
      </c>
    </row>
    <row r="7271" spans="3:6" s="614" customFormat="1">
      <c r="E7271" s="593"/>
      <c r="F7271" s="611"/>
    </row>
    <row r="7272" spans="3:6" s="614" customFormat="1">
      <c r="D7272" s="633" t="s">
        <v>6111</v>
      </c>
    </row>
    <row r="7273" spans="3:6" s="614" customFormat="1">
      <c r="D7273" s="633" t="s">
        <v>11388</v>
      </c>
    </row>
    <row r="7274" spans="3:6" s="614" customFormat="1">
      <c r="D7274" s="377" t="s">
        <v>11565</v>
      </c>
      <c r="E7274" s="593" t="str">
        <f>IF(AND(calcCh4Prod3Slot3Active=1,NOT(calcCh4Prod3Slot3Promo1Weeks=0)),(IF(xxSim0Tool1=0,MMCh4Prod3Seg1Slot3UnitsSoldPromo1+MMCh4Prod3Seg2Slot3UnitsSoldPromo1+MMCh4Prod3Seg3Slot3UnitsSoldPromo1+MMCh4Prod3Seg4Slot3UnitsSoldPromo1,calcCh4Prod3VolForecastProd*decCh4Prod3Slot3Promo1ShareFrc))/(calcCh4Prod3Slot3Promo1Weeks),"")</f>
        <v/>
      </c>
      <c r="F7274" s="614" t="s">
        <v>11944</v>
      </c>
    </row>
    <row r="7275" spans="3:6" s="614" customFormat="1">
      <c r="D7275" s="377" t="s">
        <v>11388</v>
      </c>
      <c r="E7275" s="958" t="str">
        <f>IF(AND(calcCh4Prod3Slot3Active=1,NOT(calcCh4Prod3Slot3Promo1Weeks=0)),calcCh4Prod3Slot3Promo1VolPWeek/calcCh4Prod3Slot3BaseVolPWeek-1,"")</f>
        <v/>
      </c>
      <c r="F7275" s="614" t="s">
        <v>11945</v>
      </c>
    </row>
    <row r="7276" spans="3:6" s="614" customFormat="1"/>
    <row r="7277" spans="3:6" s="614" customFormat="1">
      <c r="D7277" s="633" t="s">
        <v>4413</v>
      </c>
    </row>
    <row r="7278" spans="3:6" s="614" customFormat="1">
      <c r="D7278" s="377" t="s">
        <v>11577</v>
      </c>
      <c r="E7278" s="959" t="str">
        <f>IF(AND(calcCh4Prod3Slot3Active=1,NOT(calcCh4Prod3Slot3Promo1Weeks=0)),calcCh4Prod3Slot3Promo1CustPrice-finCalcCh4Prod3Slot3COGSPUnit-finCalcCh4Prod3Slot3LogExpPerUnit-paramExciseProd3,"")</f>
        <v/>
      </c>
      <c r="F7278" s="611" t="s">
        <v>11946</v>
      </c>
    </row>
    <row r="7279" spans="3:6" s="614" customFormat="1">
      <c r="D7279" s="377" t="s">
        <v>11582</v>
      </c>
      <c r="E7279" s="593" t="str">
        <f>IF(AND(calcCh4Prod3Slot3Active=1,NOT(calcCh4Prod3Slot3Promo1Weeks=0)),calcCh4Prod3Slot3Promo1GPaLPUnit*calcCh4Prod3Slot3Promo1VolPWeek,"")</f>
        <v/>
      </c>
      <c r="F7279" s="611" t="s">
        <v>11947</v>
      </c>
    </row>
    <row r="7280" spans="3:6" s="614" customFormat="1">
      <c r="D7280" s="377" t="s">
        <v>4413</v>
      </c>
      <c r="E7280" s="958" t="str">
        <f>IF(AND(calcCh4Prod3Slot3Active=1,NOT(calcCh4Prod3Slot3Promo1Weeks=0)),calcCh4Prod3Slot3Promo1GPaLPWeek/calcCh4Prod3Slot3BaseGPaLPWeek-1,"")</f>
        <v/>
      </c>
      <c r="F7280" s="614" t="s">
        <v>11948</v>
      </c>
    </row>
    <row r="7281" spans="3:6" s="614" customFormat="1">
      <c r="E7281" s="593"/>
    </row>
    <row r="7282" spans="3:6" s="614" customFormat="1">
      <c r="D7282" s="633" t="s">
        <v>4414</v>
      </c>
      <c r="E7282" s="958"/>
    </row>
    <row r="7283" spans="3:6" s="614" customFormat="1">
      <c r="D7283" s="377" t="s">
        <v>11584</v>
      </c>
      <c r="E7283" s="593" t="str">
        <f>IF(AND(calcCh4Prod3Slot3Active=1,NOT(calcCh4Prod3Slot3Promo1Weeks=0)),(calcCh4Prod3Slot3Promo1GPaLPWeek-calcCh4Prod3Slot3BaseGPaLPWeek)*decCh4Prod3Slot3Promo1Weeks,"")</f>
        <v/>
      </c>
    </row>
    <row r="7284" spans="3:6" s="614" customFormat="1">
      <c r="D7284" s="377" t="s">
        <v>748</v>
      </c>
      <c r="E7284" s="593" t="str">
        <f>IF(AND(calcCh4Prod3Slot3Active=1,NOT(calcCh4Prod3Slot3Promo1Weeks=0)),calcCh4Prod3Slot3Promo1PlanExp+0,"")</f>
        <v/>
      </c>
    </row>
    <row r="7285" spans="3:6" s="614" customFormat="1">
      <c r="D7285" s="377" t="s">
        <v>4414</v>
      </c>
      <c r="E7285" s="690" t="str">
        <f>IF(AND(calcCh4Prod3Slot3Active=1,NOT(calcCh4Prod3Slot3Promo1Weeks=0)),E7283/E7284,"")</f>
        <v/>
      </c>
      <c r="F7285" s="614" t="s">
        <v>11949</v>
      </c>
    </row>
    <row r="7286" spans="3:6" s="614" customFormat="1"/>
    <row r="7287" spans="3:6" s="614" customFormat="1">
      <c r="D7287" s="633" t="s">
        <v>5195</v>
      </c>
    </row>
    <row r="7288" spans="3:6" s="614" customFormat="1">
      <c r="D7288" s="377" t="s">
        <v>11588</v>
      </c>
      <c r="E7288" s="593" t="str">
        <f>IF(AND(calcCh4Prod3Slot3Active=1,NOT(calcCh4Prod3Slot3Promo1Weeks=0)),calcCh4Prod3Slot3Promo1CustPrice*calcCh4Prod3Slot3Promo1VolPWeek,"")</f>
        <v/>
      </c>
    </row>
    <row r="7289" spans="3:6" s="614" customFormat="1">
      <c r="D7289" s="377" t="s">
        <v>11589</v>
      </c>
      <c r="E7289" s="593" t="str">
        <f>E7284</f>
        <v/>
      </c>
    </row>
    <row r="7290" spans="3:6" s="614" customFormat="1">
      <c r="D7290" s="377" t="s">
        <v>5195</v>
      </c>
      <c r="E7290" s="958" t="str">
        <f>IF(AND(calcCh4Prod3Slot3Active=1,NOT(calcCh4Prod3Slot3Promo1Weeks=0)),((E7288+E7289)-calcCh4Prod3Slot3BaseCustProfPWeek)/calcCh4Prod3Slot3BaseCustProfPWeek,"")</f>
        <v/>
      </c>
      <c r="F7290" s="611" t="s">
        <v>12053</v>
      </c>
    </row>
    <row r="7291" spans="3:6" s="614" customFormat="1"/>
    <row r="7292" spans="3:6" s="614" customFormat="1">
      <c r="C7292" s="633" t="s">
        <v>13964</v>
      </c>
    </row>
    <row r="7293" spans="3:6" s="614" customFormat="1">
      <c r="C7293" s="633" t="s">
        <v>3859</v>
      </c>
    </row>
    <row r="7294" spans="3:6" s="614" customFormat="1">
      <c r="D7294" s="614" t="s">
        <v>11564</v>
      </c>
      <c r="E7294" s="593">
        <f>IF(AND(calcCh4Prod4Slot1Active=1,NOT(calcCh4Prod4Slot1Promo1Weeks=0)),(IF(xxSim0Tool1=0,MMCh4Prod4Seg1Slot1UnitsSoldRSP+MMCh4Prod4Seg2Slot1UnitsSoldRSP+MMCh4Prod4Seg3Slot1UnitsSoldRSP+MMCh4Prod4Seg4Slot1UnitsSoldRSP,calcCh4Prod4VolForecastProd*decCh4Prod4Slot1Forecast*(1-decCh4Prod4Slot1Promo1ShareFrc)))/(cnstWeeksPYear-calcCh4Prod4Slot1Promo1Weeks),"")</f>
        <v>1090813.5</v>
      </c>
      <c r="F7294" s="611" t="s">
        <v>11950</v>
      </c>
    </row>
    <row r="7295" spans="3:6" s="614" customFormat="1">
      <c r="D7295" s="614" t="s">
        <v>11569</v>
      </c>
      <c r="E7295" s="959">
        <f>IF(AND(calcCh4Prod4Slot1Active=1,NOT(calcCh4Prod4Slot1Promo1Weeks=0)),calcCh4Prod4Slot1CustPrice-finCalcCh4Prod4Slot1COGSPUnit-finCalcCh4Prod4Slot1LogExpPerUnit-paramExciseProd4,"")</f>
        <v>3.1157272265281626</v>
      </c>
      <c r="F7295" s="611" t="s">
        <v>11951</v>
      </c>
    </row>
    <row r="7296" spans="3:6" s="614" customFormat="1">
      <c r="D7296" s="614" t="s">
        <v>11580</v>
      </c>
      <c r="E7296" s="593">
        <f>IF(AND(calcCh4Prod4Slot1Active=1,NOT(calcCh4Prod4Slot1Promo1Weeks=0)),calcCh4Prod4Slot1BaseVolPWeek*calcCh4Prod4Slot1BaseGPaLPUnit,"")</f>
        <v>3398677.3210144779</v>
      </c>
      <c r="F7296" s="611" t="s">
        <v>11952</v>
      </c>
    </row>
    <row r="7297" spans="4:6" s="614" customFormat="1">
      <c r="D7297" s="614" t="s">
        <v>11586</v>
      </c>
      <c r="E7297" s="593">
        <f>IF(AND(calcCh4Prod4Slot1Active=1,NOT(calcCh4Prod4Slot1Promo1Weeks=0)),calcCh4Prod4Slot1CustPrice*calcCh4Prod4Slot1BaseVolPWeek,"")</f>
        <v>9108292.7249999996</v>
      </c>
      <c r="F7297" s="611" t="s">
        <v>12054</v>
      </c>
    </row>
    <row r="7298" spans="4:6" s="614" customFormat="1">
      <c r="E7298" s="593"/>
      <c r="F7298" s="611"/>
    </row>
    <row r="7299" spans="4:6" s="614" customFormat="1">
      <c r="D7299" s="633" t="s">
        <v>6111</v>
      </c>
    </row>
    <row r="7300" spans="4:6" s="614" customFormat="1">
      <c r="D7300" s="633" t="s">
        <v>11388</v>
      </c>
    </row>
    <row r="7301" spans="4:6" s="614" customFormat="1">
      <c r="D7301" s="377" t="s">
        <v>11565</v>
      </c>
      <c r="E7301" s="593">
        <f>IF(AND(calcCh4Prod4Slot1Active=1,NOT(calcCh4Prod4Slot1Promo1Weeks=0)),(IF(xxSim0Tool1=0,MMCh4Prod4Seg1Slot1UnitsSoldPromo1+MMCh4Prod4Seg2Slot1UnitsSoldPromo1+MMCh4Prod4Seg3Slot1UnitsSoldPromo1+MMCh4Prod4Seg4Slot1UnitsSoldPromo1,calcCh4Prod4VolForecastProd*decCh4Prod4Slot1Promo1ShareFrc))/(calcCh4Prod4Slot1Promo1Weeks),"")</f>
        <v>3030037.5</v>
      </c>
      <c r="F7301" s="614" t="s">
        <v>11953</v>
      </c>
    </row>
    <row r="7302" spans="4:6" s="614" customFormat="1">
      <c r="D7302" s="377" t="s">
        <v>11388</v>
      </c>
      <c r="E7302" s="958">
        <f>IF(AND(calcCh4Prod4Slot1Active=1,NOT(calcCh4Prod4Slot1Promo1Weeks=0)),calcCh4Prod4Slot1Promo1VolPWeek/calcCh4Prod4Slot1BaseVolPWeek-1,"")</f>
        <v>1.7777777777777777</v>
      </c>
      <c r="F7302" s="614" t="s">
        <v>11954</v>
      </c>
    </row>
    <row r="7303" spans="4:6" s="614" customFormat="1"/>
    <row r="7304" spans="4:6" s="614" customFormat="1">
      <c r="D7304" s="633" t="s">
        <v>4413</v>
      </c>
    </row>
    <row r="7305" spans="4:6" s="614" customFormat="1">
      <c r="D7305" s="377" t="s">
        <v>11577</v>
      </c>
      <c r="E7305" s="959">
        <f>IF(AND(calcCh4Prod4Slot1Active=1,NOT(calcCh4Prod4Slot1Promo1Weeks=0)),calcCh4Prod4Slot1Promo1CustPrice-finCalcCh4Prod4Slot1COGSPUnit-finCalcCh4Prod4Slot1LogExpPerUnit-paramExciseProd4,"")</f>
        <v>1.4457272265281627</v>
      </c>
      <c r="F7305" s="611" t="s">
        <v>11955</v>
      </c>
    </row>
    <row r="7306" spans="4:6" s="614" customFormat="1">
      <c r="D7306" s="377" t="s">
        <v>11582</v>
      </c>
      <c r="E7306" s="593">
        <f>IF(AND(calcCh4Prod4Slot1Active=1,NOT(calcCh4Prod4Slot1Promo1Weeks=0)),calcCh4Prod4Slot1Promo1GPaLPUnit*calcCh4Prod4Slot1Promo1VolPWeek,"")</f>
        <v>4380607.7111513279</v>
      </c>
      <c r="F7306" s="611" t="s">
        <v>11956</v>
      </c>
    </row>
    <row r="7307" spans="4:6" s="614" customFormat="1">
      <c r="D7307" s="377" t="s">
        <v>4413</v>
      </c>
      <c r="E7307" s="958">
        <f>IF(AND(calcCh4Prod4Slot1Active=1,NOT(calcCh4Prod4Slot1Promo1Weeks=0)),calcCh4Prod4Slot1Promo1GPaLPWeek/calcCh4Prod4Slot1BaseGPaLPWeek-1,"")</f>
        <v>0.28891545074474778</v>
      </c>
      <c r="F7307" s="614" t="s">
        <v>11957</v>
      </c>
    </row>
    <row r="7308" spans="4:6" s="614" customFormat="1">
      <c r="E7308" s="593"/>
    </row>
    <row r="7309" spans="4:6" s="614" customFormat="1">
      <c r="D7309" s="633" t="s">
        <v>4414</v>
      </c>
      <c r="E7309" s="958"/>
    </row>
    <row r="7310" spans="4:6" s="614" customFormat="1">
      <c r="D7310" s="377" t="s">
        <v>11584</v>
      </c>
      <c r="E7310" s="593">
        <f>IF(AND(calcCh4Prod4Slot1Active=1,NOT(calcCh4Prod4Slot1Promo1Weeks=0)),(calcCh4Prod4Slot1Promo1GPaLPWeek-calcCh4Prod4Slot1BaseGPaLPWeek)*decCh4Prod4Slot1Promo1Weeks,"")</f>
        <v>1963860.7802737001</v>
      </c>
    </row>
    <row r="7311" spans="4:6" s="614" customFormat="1">
      <c r="D7311" s="377" t="s">
        <v>748</v>
      </c>
      <c r="E7311" s="593">
        <f>IF(AND(calcCh4Prod4Slot1Active=1,NOT(calcCh4Prod4Slot1Promo1Weeks=0)),calcCh4Prod4Slot1Promo1PlanExp+0,"")</f>
        <v>400000</v>
      </c>
    </row>
    <row r="7312" spans="4:6" s="614" customFormat="1">
      <c r="D7312" s="377" t="s">
        <v>4414</v>
      </c>
      <c r="E7312" s="690">
        <f>IF(AND(calcCh4Prod4Slot1Active=1,NOT(calcCh4Prod4Slot1Promo1Weeks=0)),E7310/E7311,"")</f>
        <v>4.9096519506842506</v>
      </c>
      <c r="F7312" s="614" t="s">
        <v>11958</v>
      </c>
    </row>
    <row r="7313" spans="3:6" s="614" customFormat="1"/>
    <row r="7314" spans="3:6" s="614" customFormat="1">
      <c r="D7314" s="633" t="s">
        <v>5195</v>
      </c>
    </row>
    <row r="7315" spans="3:6" s="614" customFormat="1">
      <c r="D7315" s="377" t="s">
        <v>11588</v>
      </c>
      <c r="E7315" s="593">
        <f>IF(AND(calcCh4Prod4Slot1Active=1,NOT(calcCh4Prod4Slot1Promo1Weeks=0)),calcCh4Prod4Slot1Promo1CustPrice*calcCh4Prod4Slot1Promo1VolPWeek,"")</f>
        <v>20240650.5</v>
      </c>
    </row>
    <row r="7316" spans="3:6" s="614" customFormat="1">
      <c r="D7316" s="377" t="s">
        <v>11589</v>
      </c>
      <c r="E7316" s="593">
        <f>E7311</f>
        <v>400000</v>
      </c>
    </row>
    <row r="7317" spans="3:6" s="614" customFormat="1">
      <c r="D7317" s="377" t="s">
        <v>5195</v>
      </c>
      <c r="E7317" s="958">
        <f>IF(AND(calcCh4Prod4Slot1Active=1,NOT(calcCh4Prod4Slot1Promo1Weeks=0)),((E7315+E7316)-calcCh4Prod4Slot1BaseCustProfPWeek)/calcCh4Prod4Slot1BaseCustProfPWeek,"")</f>
        <v>1.2661382460125095</v>
      </c>
      <c r="F7317" s="611" t="s">
        <v>12055</v>
      </c>
    </row>
    <row r="7318" spans="3:6" s="614" customFormat="1"/>
    <row r="7319" spans="3:6" s="614" customFormat="1">
      <c r="C7319" s="633" t="s">
        <v>3858</v>
      </c>
    </row>
    <row r="7320" spans="3:6" s="614" customFormat="1">
      <c r="D7320" s="614" t="s">
        <v>11564</v>
      </c>
      <c r="E7320" s="593" t="str">
        <f>IF(AND(calcCh4Prod4Slot2Active=1,NOT(calcCh4Prod4Slot2Promo1Weeks=0)),(IF(xxSim0Tool1=0,MMCh4Prod4Seg1Slot2UnitsSoldRSP+MMCh4Prod4Seg2Slot2UnitsSoldRSP+MMCh4Prod4Seg3Slot2UnitsSoldRSP+MMCh4Prod4Seg4Slot2UnitsSoldRSP,calcCh4Prod4VolForecastProd*decCh4Prod4Slot2Forecast*(1-decCh4Prod4Slot2Promo1ShareFrc)))/(cnstWeeksPYear-calcCh4Prod4Slot2Promo1Weeks),"")</f>
        <v/>
      </c>
      <c r="F7320" s="611" t="s">
        <v>11959</v>
      </c>
    </row>
    <row r="7321" spans="3:6" s="614" customFormat="1">
      <c r="D7321" s="614" t="s">
        <v>11569</v>
      </c>
      <c r="E7321" s="959" t="str">
        <f>IF(AND(calcCh4Prod4Slot2Active=1,NOT(calcCh4Prod4Slot2Promo1Weeks=0)),calcCh4Prod4Slot2CustPrice-finCalcCh4Prod4Slot2COGSPUnit-finCalcCh4Prod4Slot2LogExpPerUnit-paramExciseProd4,"")</f>
        <v/>
      </c>
      <c r="F7321" s="611" t="s">
        <v>11960</v>
      </c>
    </row>
    <row r="7322" spans="3:6" s="614" customFormat="1">
      <c r="D7322" s="614" t="s">
        <v>11580</v>
      </c>
      <c r="E7322" s="593" t="str">
        <f>IF(AND(calcCh4Prod4Slot2Active=1,NOT(calcCh4Prod4Slot2Promo1Weeks=0)),calcCh4Prod4Slot2BaseVolPWeek*calcCh4Prod4Slot2BaseGPaLPUnit,"")</f>
        <v/>
      </c>
      <c r="F7322" s="611" t="s">
        <v>11961</v>
      </c>
    </row>
    <row r="7323" spans="3:6" s="614" customFormat="1">
      <c r="D7323" s="614" t="s">
        <v>11586</v>
      </c>
      <c r="E7323" s="593" t="str">
        <f>IF(AND(calcCh4Prod4Slot2Active=1,NOT(calcCh4Prod4Slot2Promo1Weeks=0)),calcCh4Prod4Slot2CustPrice*calcCh4Prod4Slot2BaseVolPWeek,"")</f>
        <v/>
      </c>
      <c r="F7323" s="611" t="s">
        <v>12056</v>
      </c>
    </row>
    <row r="7324" spans="3:6" s="614" customFormat="1">
      <c r="E7324" s="593"/>
      <c r="F7324" s="611"/>
    </row>
    <row r="7325" spans="3:6" s="614" customFormat="1">
      <c r="D7325" s="633" t="s">
        <v>6111</v>
      </c>
    </row>
    <row r="7326" spans="3:6" s="614" customFormat="1">
      <c r="D7326" s="633" t="s">
        <v>11388</v>
      </c>
    </row>
    <row r="7327" spans="3:6" s="614" customFormat="1">
      <c r="D7327" s="377" t="s">
        <v>11565</v>
      </c>
      <c r="E7327" s="593" t="str">
        <f>IF(AND(calcCh4Prod4Slot2Active=1,NOT(calcCh4Prod4Slot2Promo1Weeks=0)),(IF(xxSim0Tool1=0,MMCh4Prod4Seg1Slot2UnitsSoldPromo1+MMCh4Prod4Seg2Slot2UnitsSoldPromo1+MMCh4Prod4Seg3Slot2UnitsSoldPromo1+MMCh4Prod4Seg4Slot2UnitsSoldPromo1,calcCh4Prod4VolForecastProd*decCh4Prod4Slot2Promo1ShareFrc))/(calcCh4Prod4Slot2Promo1Weeks),"")</f>
        <v/>
      </c>
      <c r="F7327" s="614" t="s">
        <v>11962</v>
      </c>
    </row>
    <row r="7328" spans="3:6" s="614" customFormat="1">
      <c r="D7328" s="377" t="s">
        <v>11388</v>
      </c>
      <c r="E7328" s="958" t="str">
        <f>IF(AND(calcCh4Prod4Slot2Active=1,NOT(calcCh4Prod4Slot2Promo1Weeks=0)),calcCh4Prod4Slot2Promo1VolPWeek/calcCh4Prod4Slot2BaseVolPWeek-1,"")</f>
        <v/>
      </c>
      <c r="F7328" s="614" t="s">
        <v>11963</v>
      </c>
    </row>
    <row r="7329" spans="4:6" s="614" customFormat="1"/>
    <row r="7330" spans="4:6" s="614" customFormat="1">
      <c r="D7330" s="633" t="s">
        <v>4413</v>
      </c>
    </row>
    <row r="7331" spans="4:6" s="614" customFormat="1">
      <c r="D7331" s="377" t="s">
        <v>11577</v>
      </c>
      <c r="E7331" s="959" t="str">
        <f>IF(AND(calcCh4Prod4Slot2Active=1,NOT(calcCh4Prod4Slot2Promo1Weeks=0)),calcCh4Prod4Slot2Promo1CustPrice-finCalcCh4Prod4Slot2COGSPUnit-finCalcCh4Prod4Slot2LogExpPerUnit-paramExciseProd4,"")</f>
        <v/>
      </c>
      <c r="F7331" s="611" t="s">
        <v>11964</v>
      </c>
    </row>
    <row r="7332" spans="4:6" s="614" customFormat="1">
      <c r="D7332" s="377" t="s">
        <v>11582</v>
      </c>
      <c r="E7332" s="593" t="str">
        <f>IF(AND(calcCh4Prod4Slot2Active=1,NOT(calcCh4Prod4Slot2Promo1Weeks=0)),calcCh4Prod4Slot2Promo1GPaLPUnit*calcCh4Prod4Slot2Promo1VolPWeek,"")</f>
        <v/>
      </c>
      <c r="F7332" s="611" t="s">
        <v>11965</v>
      </c>
    </row>
    <row r="7333" spans="4:6" s="614" customFormat="1">
      <c r="D7333" s="377" t="s">
        <v>4413</v>
      </c>
      <c r="E7333" s="958" t="str">
        <f>IF(AND(calcCh4Prod4Slot2Active=1,NOT(calcCh4Prod4Slot2Promo1Weeks=0)),calcCh4Prod4Slot2Promo1GPaLPWeek/calcCh4Prod4Slot2BaseGPaLPWeek-1,"")</f>
        <v/>
      </c>
      <c r="F7333" s="614" t="s">
        <v>11966</v>
      </c>
    </row>
    <row r="7334" spans="4:6" s="614" customFormat="1">
      <c r="E7334" s="593"/>
    </row>
    <row r="7335" spans="4:6" s="614" customFormat="1">
      <c r="D7335" s="633" t="s">
        <v>4414</v>
      </c>
      <c r="E7335" s="958"/>
    </row>
    <row r="7336" spans="4:6" s="614" customFormat="1">
      <c r="D7336" s="377" t="s">
        <v>11584</v>
      </c>
      <c r="E7336" s="593" t="str">
        <f>IF(AND(calcCh4Prod4Slot2Active=1,NOT(calcCh4Prod4Slot2Promo1Weeks=0)),(calcCh4Prod4Slot2Promo1GPaLPWeek-calcCh4Prod4Slot2BaseGPaLPWeek)*decCh4Prod4Slot2Promo1Weeks,"")</f>
        <v/>
      </c>
    </row>
    <row r="7337" spans="4:6" s="614" customFormat="1">
      <c r="D7337" s="377" t="s">
        <v>748</v>
      </c>
      <c r="E7337" s="593" t="str">
        <f>IF(AND(calcCh4Prod4Slot2Active=1,NOT(calcCh4Prod4Slot2Promo1Weeks=0)),calcCh4Prod4Slot2Promo1PlanExp+0,"")</f>
        <v/>
      </c>
    </row>
    <row r="7338" spans="4:6" s="614" customFormat="1">
      <c r="D7338" s="377" t="s">
        <v>4414</v>
      </c>
      <c r="E7338" s="690" t="str">
        <f>IF(AND(calcCh4Prod4Slot2Active=1,NOT(calcCh4Prod4Slot2Promo1Weeks=0)),E7336/E7337,"")</f>
        <v/>
      </c>
      <c r="F7338" s="614" t="s">
        <v>11967</v>
      </c>
    </row>
    <row r="7339" spans="4:6" s="614" customFormat="1"/>
    <row r="7340" spans="4:6" s="614" customFormat="1">
      <c r="D7340" s="633" t="s">
        <v>5195</v>
      </c>
    </row>
    <row r="7341" spans="4:6" s="614" customFormat="1">
      <c r="D7341" s="377" t="s">
        <v>11588</v>
      </c>
      <c r="E7341" s="593" t="str">
        <f>IF(AND(calcCh4Prod4Slot2Active=1,NOT(calcCh4Prod4Slot2Promo1Weeks=0)),calcCh4Prod4Slot2Promo1CustPrice*calcCh4Prod4Slot2Promo1VolPWeek,"")</f>
        <v/>
      </c>
    </row>
    <row r="7342" spans="4:6" s="614" customFormat="1">
      <c r="D7342" s="377" t="s">
        <v>11589</v>
      </c>
      <c r="E7342" s="593" t="str">
        <f>E7337</f>
        <v/>
      </c>
    </row>
    <row r="7343" spans="4:6" s="614" customFormat="1">
      <c r="D7343" s="377" t="s">
        <v>5195</v>
      </c>
      <c r="E7343" s="958" t="str">
        <f>IF(AND(calcCh4Prod4Slot2Active=1,NOT(calcCh4Prod4Slot2Promo1Weeks=0)),((E7341+E7342)-calcCh4Prod4Slot2BaseCustProfPWeek)/calcCh4Prod4Slot2BaseCustProfPWeek,"")</f>
        <v/>
      </c>
      <c r="F7343" s="611" t="s">
        <v>12057</v>
      </c>
    </row>
    <row r="7344" spans="4:6" s="614" customFormat="1"/>
    <row r="7345" spans="3:6" s="614" customFormat="1">
      <c r="C7345" s="633" t="s">
        <v>3860</v>
      </c>
    </row>
    <row r="7346" spans="3:6" s="614" customFormat="1">
      <c r="D7346" s="614" t="s">
        <v>11564</v>
      </c>
      <c r="E7346" s="593" t="str">
        <f>IF(AND(calcCh4Prod4Slot3Active=1,NOT(calcCh4Prod4Slot3Promo1Weeks=0)),(IF(xxSim0Tool1=0,MMCh4Prod4Seg1Slot3UnitsSoldRSP+MMCh4Prod4Seg2Slot3UnitsSoldRSP+MMCh4Prod4Seg3Slot3UnitsSoldRSP+MMCh4Prod4Seg4Slot3UnitsSoldRSP,calcCh4Prod4VolForecastProd*decCh4Prod4Slot3Forecast*(1-decCh4Prod4Slot3Promo1ShareFrc)))/(cnstWeeksPYear-calcCh4Prod4Slot3Promo1Weeks),"")</f>
        <v/>
      </c>
      <c r="F7346" s="611" t="s">
        <v>11968</v>
      </c>
    </row>
    <row r="7347" spans="3:6" s="614" customFormat="1">
      <c r="D7347" s="614" t="s">
        <v>11569</v>
      </c>
      <c r="E7347" s="959" t="str">
        <f>IF(AND(calcCh4Prod4Slot3Active=1,NOT(calcCh4Prod4Slot3Promo1Weeks=0)),calcCh4Prod4Slot3CustPrice-finCalcCh4Prod4Slot3COGSPUnit-finCalcCh4Prod4Slot3LogExpPerUnit-paramExciseProd4,"")</f>
        <v/>
      </c>
      <c r="F7347" s="611" t="s">
        <v>11969</v>
      </c>
    </row>
    <row r="7348" spans="3:6" s="614" customFormat="1">
      <c r="D7348" s="614" t="s">
        <v>11580</v>
      </c>
      <c r="E7348" s="593" t="str">
        <f>IF(AND(calcCh4Prod4Slot3Active=1,NOT(calcCh4Prod4Slot3Promo1Weeks=0)),calcCh4Prod4Slot3BaseVolPWeek*calcCh4Prod4Slot3BaseGPaLPUnit,"")</f>
        <v/>
      </c>
      <c r="F7348" s="611" t="s">
        <v>11970</v>
      </c>
    </row>
    <row r="7349" spans="3:6" s="614" customFormat="1">
      <c r="D7349" s="614" t="s">
        <v>11586</v>
      </c>
      <c r="E7349" s="593" t="str">
        <f>IF(AND(calcCh4Prod4Slot3Active=1,NOT(calcCh4Prod4Slot3Promo1Weeks=0)),calcCh4Prod4Slot3CustPrice*calcCh4Prod4Slot3BaseVolPWeek,"")</f>
        <v/>
      </c>
      <c r="F7349" s="611" t="s">
        <v>12058</v>
      </c>
    </row>
    <row r="7350" spans="3:6" s="614" customFormat="1">
      <c r="E7350" s="593"/>
      <c r="F7350" s="611"/>
    </row>
    <row r="7351" spans="3:6" s="614" customFormat="1">
      <c r="D7351" s="633" t="s">
        <v>6111</v>
      </c>
    </row>
    <row r="7352" spans="3:6" s="614" customFormat="1">
      <c r="D7352" s="633" t="s">
        <v>11388</v>
      </c>
    </row>
    <row r="7353" spans="3:6" s="614" customFormat="1">
      <c r="D7353" s="377" t="s">
        <v>11565</v>
      </c>
      <c r="E7353" s="593" t="str">
        <f>IF(AND(calcCh4Prod4Slot3Active=1,NOT(calcCh4Prod4Slot3Promo1Weeks=0)),(IF(xxSim0Tool1=0,MMCh4Prod4Seg1Slot3UnitsSoldPromo1+MMCh4Prod4Seg2Slot3UnitsSoldPromo1+MMCh4Prod4Seg3Slot3UnitsSoldPromo1+MMCh4Prod4Seg4Slot3UnitsSoldPromo1,calcCh4Prod4VolForecastProd*decCh4Prod4Slot3Promo1ShareFrc))/(calcCh4Prod4Slot3Promo1Weeks),"")</f>
        <v/>
      </c>
      <c r="F7353" s="614" t="s">
        <v>11971</v>
      </c>
    </row>
    <row r="7354" spans="3:6" s="614" customFormat="1">
      <c r="D7354" s="377" t="s">
        <v>11388</v>
      </c>
      <c r="E7354" s="958" t="str">
        <f>IF(AND(calcCh4Prod4Slot3Active=1,NOT(calcCh4Prod4Slot3Promo1Weeks=0)),calcCh4Prod4Slot3Promo1VolPWeek/calcCh4Prod4Slot3BaseVolPWeek-1,"")</f>
        <v/>
      </c>
      <c r="F7354" s="614" t="s">
        <v>11972</v>
      </c>
    </row>
    <row r="7355" spans="3:6" s="614" customFormat="1"/>
    <row r="7356" spans="3:6" s="614" customFormat="1">
      <c r="D7356" s="633" t="s">
        <v>4413</v>
      </c>
    </row>
    <row r="7357" spans="3:6" s="614" customFormat="1">
      <c r="D7357" s="377" t="s">
        <v>11577</v>
      </c>
      <c r="E7357" s="959" t="str">
        <f>IF(AND(calcCh4Prod4Slot3Active=1,NOT(calcCh4Prod4Slot3Promo1Weeks=0)),calcCh4Prod4Slot3Promo1CustPrice-finCalcCh4Prod4Slot3COGSPUnit-finCalcCh4Prod4Slot3LogExpPerUnit-paramExciseProd4,"")</f>
        <v/>
      </c>
      <c r="F7357" s="611" t="s">
        <v>11973</v>
      </c>
    </row>
    <row r="7358" spans="3:6" s="614" customFormat="1">
      <c r="D7358" s="377" t="s">
        <v>11582</v>
      </c>
      <c r="E7358" s="593" t="str">
        <f>IF(AND(calcCh4Prod4Slot3Active=1,NOT(calcCh4Prod4Slot3Promo1Weeks=0)),calcCh4Prod4Slot3Promo1GPaLPUnit*calcCh4Prod4Slot3Promo1VolPWeek,"")</f>
        <v/>
      </c>
      <c r="F7358" s="611" t="s">
        <v>11974</v>
      </c>
    </row>
    <row r="7359" spans="3:6" s="614" customFormat="1">
      <c r="D7359" s="377" t="s">
        <v>4413</v>
      </c>
      <c r="E7359" s="958" t="str">
        <f>IF(AND(calcCh4Prod4Slot3Active=1,NOT(calcCh4Prod4Slot3Promo1Weeks=0)),calcCh4Prod4Slot3Promo1GPaLPWeek/calcCh4Prod4Slot3BaseGPaLPWeek-1,"")</f>
        <v/>
      </c>
      <c r="F7359" s="614" t="s">
        <v>11975</v>
      </c>
    </row>
    <row r="7360" spans="3:6" s="614" customFormat="1">
      <c r="E7360" s="593"/>
    </row>
    <row r="7361" spans="4:6" s="614" customFormat="1">
      <c r="D7361" s="633" t="s">
        <v>4414</v>
      </c>
      <c r="E7361" s="958"/>
    </row>
    <row r="7362" spans="4:6" s="614" customFormat="1">
      <c r="D7362" s="377" t="s">
        <v>11584</v>
      </c>
      <c r="E7362" s="593" t="str">
        <f>IF(AND(calcCh4Prod4Slot3Active=1,NOT(calcCh4Prod4Slot3Promo1Weeks=0)),(calcCh4Prod4Slot3Promo1GPaLPWeek-calcCh4Prod4Slot3BaseGPaLPWeek)*decCh4Prod4Slot3Promo1Weeks,"")</f>
        <v/>
      </c>
    </row>
    <row r="7363" spans="4:6" s="614" customFormat="1">
      <c r="D7363" s="377" t="s">
        <v>748</v>
      </c>
      <c r="E7363" s="593" t="str">
        <f>IF(AND(calcCh4Prod4Slot3Active=1,NOT(calcCh4Prod4Slot3Promo1Weeks=0)),calcCh4Prod4Slot3Promo1PlanExp+0,"")</f>
        <v/>
      </c>
    </row>
    <row r="7364" spans="4:6" s="614" customFormat="1">
      <c r="D7364" s="377" t="s">
        <v>4414</v>
      </c>
      <c r="E7364" s="690" t="str">
        <f>IF(AND(calcCh4Prod4Slot3Active=1,NOT(calcCh4Prod4Slot3Promo1Weeks=0)),E7362/E7363,"")</f>
        <v/>
      </c>
      <c r="F7364" s="614" t="s">
        <v>11976</v>
      </c>
    </row>
    <row r="7365" spans="4:6" s="614" customFormat="1"/>
    <row r="7366" spans="4:6" s="614" customFormat="1">
      <c r="D7366" s="633" t="s">
        <v>5195</v>
      </c>
    </row>
    <row r="7367" spans="4:6" s="614" customFormat="1">
      <c r="D7367" s="377" t="s">
        <v>11588</v>
      </c>
      <c r="E7367" s="593" t="str">
        <f>IF(AND(calcCh4Prod4Slot3Active=1,NOT(calcCh4Prod4Slot3Promo1Weeks=0)),calcCh4Prod4Slot3Promo1CustPrice*calcCh4Prod4Slot3Promo1VolPWeek,"")</f>
        <v/>
      </c>
    </row>
    <row r="7368" spans="4:6" s="614" customFormat="1">
      <c r="D7368" s="377" t="s">
        <v>11589</v>
      </c>
      <c r="E7368" s="593" t="str">
        <f>E7363</f>
        <v/>
      </c>
    </row>
    <row r="7369" spans="4:6" s="614" customFormat="1">
      <c r="D7369" s="377" t="s">
        <v>5195</v>
      </c>
      <c r="E7369" s="958" t="str">
        <f>IF(AND(calcCh4Prod4Slot3Active=1,NOT(calcCh4Prod4Slot3Promo1Weeks=0)),((E7367+E7368)-calcCh4Prod4Slot3BaseCustProfPWeek)/calcCh4Prod4Slot3BaseCustProfPWeek,"")</f>
        <v/>
      </c>
      <c r="F7369" s="611" t="s">
        <v>12059</v>
      </c>
    </row>
    <row r="7370" spans="4:6" s="614" customFormat="1"/>
    <row r="7371" spans="4:6" s="614" customFormat="1"/>
    <row r="7372" spans="4:6" s="614" customFormat="1"/>
    <row r="7373" spans="4:6" s="614" customFormat="1"/>
    <row r="7374" spans="4:6" s="614" customFormat="1"/>
    <row r="7375" spans="4:6" s="614" customFormat="1"/>
    <row r="7376" spans="4:6" s="614" customFormat="1"/>
    <row r="7377" spans="1:6" s="614" customFormat="1"/>
    <row r="7378" spans="1:6" s="614" customFormat="1"/>
    <row r="7379" spans="1:6">
      <c r="E7379" s="258"/>
    </row>
    <row r="7380" spans="1:6" s="616" customFormat="1">
      <c r="A7380" s="616" t="s">
        <v>13965</v>
      </c>
    </row>
    <row r="7381" spans="1:6" s="614" customFormat="1"/>
    <row r="7382" spans="1:6" s="614" customFormat="1">
      <c r="C7382" s="633" t="s">
        <v>12868</v>
      </c>
    </row>
    <row r="7383" spans="1:6" s="614" customFormat="1">
      <c r="D7383" s="614" t="s">
        <v>8857</v>
      </c>
      <c r="E7383" s="89">
        <f>obalCh1Prod1Slot1Active+obalCh1Prod1Slot2Active+obalCh1Prod1Slot3Active</f>
        <v>1</v>
      </c>
      <c r="F7383" s="614" t="s">
        <v>8859</v>
      </c>
    </row>
    <row r="7384" spans="1:6" s="614" customFormat="1">
      <c r="D7384" s="614" t="s">
        <v>8858</v>
      </c>
      <c r="E7384" s="89">
        <f>calcCh1Prod1SlotsEnd-calcCh1Prod1SlotsStart</f>
        <v>0</v>
      </c>
      <c r="F7384" s="614" t="s">
        <v>8860</v>
      </c>
    </row>
    <row r="7385" spans="1:6" s="614" customFormat="1">
      <c r="D7385" s="614" t="s">
        <v>8862</v>
      </c>
      <c r="E7385" s="89">
        <f>calcCh1Prod1Slot1Active+calcCh1Prod1Slot2Active+calcCh1Prod1Slot3Active</f>
        <v>1</v>
      </c>
      <c r="F7385" s="614" t="s">
        <v>8861</v>
      </c>
    </row>
    <row r="7386" spans="1:6" s="614" customFormat="1" ht="1.5" customHeight="1">
      <c r="C7386" s="632"/>
      <c r="D7386" s="632"/>
      <c r="E7386" s="265"/>
    </row>
    <row r="7387" spans="1:6" s="614" customFormat="1">
      <c r="E7387" s="641"/>
    </row>
    <row r="7388" spans="1:6" s="614" customFormat="1">
      <c r="D7388" s="614" t="s">
        <v>13966</v>
      </c>
      <c r="E7388" s="89">
        <f>VLOOKUP(calcCh1Prod1SlotsEnd+1,dataCh1Prod1NewSlotsExp,2,FALSE)</f>
        <v>5</v>
      </c>
      <c r="F7388" s="614" t="s">
        <v>8865</v>
      </c>
    </row>
    <row r="7389" spans="1:6" s="614" customFormat="1">
      <c r="D7389" s="614" t="s">
        <v>13967</v>
      </c>
      <c r="E7389" s="593">
        <f>VLOOKUP(calcCh1Prod1SlotsEnd+1,dataCh1Prod1NewSlotsExp,3,FALSE)-paramNewSlotExp</f>
        <v>5000000</v>
      </c>
      <c r="F7389" s="614" t="s">
        <v>8866</v>
      </c>
    </row>
    <row r="7390" spans="1:6" s="614" customFormat="1"/>
    <row r="7391" spans="1:6" s="614" customFormat="1">
      <c r="D7391" s="614" t="s">
        <v>13968</v>
      </c>
      <c r="E7391" s="89">
        <f>IF(decCh1Prod1Slot1Active=obalCh1Prod1Slot1Active,0,VLOOKUP(1,dataCh1Prod1NewSlotsExp,2,FALSE))+IF(decCh1Prod1Slot2Active=obalCh1Prod1Slot2Active,0,VLOOKUP(2,dataCh1Prod1NewSlotsExp,2,FALSE))+IF(decCh1Prod1Slot3Active=obalCh1Prod1Slot3Active,0,VLOOKUP(3,dataCh1Prod1NewSlotsExp,2,FALSE))</f>
        <v>0</v>
      </c>
      <c r="F7391" s="614" t="s">
        <v>8867</v>
      </c>
    </row>
    <row r="7392" spans="1:6" s="614" customFormat="1">
      <c r="D7392" s="614" t="s">
        <v>13969</v>
      </c>
      <c r="E7392" s="593">
        <f>IF(decCh1Prod1Slot1Active=obalCh1Prod1Slot1Active,0,VLOOKUP(1,dataCh1Prod1NewSlotsExp,3,FALSE))+IF(decCh1Prod1Slot2Active=obalCh1Prod1Slot2Active,0,VLOOKUP(2,dataCh1Prod1NewSlotsExp,3,FALSE))+IF(decCh1Prod1Slot3Active=obalCh1Prod1Slot3Active,0,VLOOKUP(3,dataCh1Prod1NewSlotsExp,3,FALSE))</f>
        <v>0</v>
      </c>
      <c r="F7392" s="614" t="s">
        <v>8869</v>
      </c>
    </row>
    <row r="7393" spans="3:6" s="614" customFormat="1"/>
    <row r="7394" spans="3:6" s="614" customFormat="1">
      <c r="C7394" s="633" t="s">
        <v>238</v>
      </c>
    </row>
    <row r="7395" spans="3:6" s="614" customFormat="1">
      <c r="D7395" s="614" t="s">
        <v>8857</v>
      </c>
      <c r="E7395" s="89">
        <f>obalCh1Prod2Slot1Active+obalCh1Prod2Slot2Active+obalCh1Prod2Slot3Active</f>
        <v>2</v>
      </c>
      <c r="F7395" s="614" t="s">
        <v>8884</v>
      </c>
    </row>
    <row r="7396" spans="3:6" s="614" customFormat="1">
      <c r="D7396" s="614" t="s">
        <v>8858</v>
      </c>
      <c r="E7396" s="89">
        <f>calcCh1Prod2SlotsEnd-calcCh1Prod2SlotsStart</f>
        <v>0</v>
      </c>
      <c r="F7396" s="614" t="s">
        <v>8885</v>
      </c>
    </row>
    <row r="7397" spans="3:6" s="614" customFormat="1">
      <c r="D7397" s="614" t="s">
        <v>8862</v>
      </c>
      <c r="E7397" s="89">
        <f>calcCh1Prod2Slot1Active+calcCh1Prod2Slot2Active+calcCh1Prod2Slot3Active</f>
        <v>2</v>
      </c>
      <c r="F7397" s="614" t="s">
        <v>8886</v>
      </c>
    </row>
    <row r="7398" spans="3:6" s="614" customFormat="1" ht="1.5" customHeight="1">
      <c r="C7398" s="632"/>
      <c r="D7398" s="632"/>
      <c r="E7398" s="265"/>
    </row>
    <row r="7399" spans="3:6" s="614" customFormat="1">
      <c r="E7399" s="641"/>
    </row>
    <row r="7400" spans="3:6" s="614" customFormat="1">
      <c r="D7400" s="614" t="s">
        <v>13966</v>
      </c>
      <c r="E7400" s="89">
        <f>VLOOKUP(calcCh1Prod2SlotsEnd+1,dataCh1Prod2NewSlotsExp,2,FALSE)</f>
        <v>5</v>
      </c>
      <c r="F7400" s="614" t="s">
        <v>8887</v>
      </c>
    </row>
    <row r="7401" spans="3:6" s="614" customFormat="1">
      <c r="D7401" s="614" t="s">
        <v>13967</v>
      </c>
      <c r="E7401" s="593">
        <f>VLOOKUP(calcCh1Prod2SlotsEnd+1,dataCh1Prod2NewSlotsExp,3,FALSE)-paramNewSlotExp</f>
        <v>5000000</v>
      </c>
      <c r="F7401" s="614" t="s">
        <v>8888</v>
      </c>
    </row>
    <row r="7402" spans="3:6" s="614" customFormat="1"/>
    <row r="7403" spans="3:6" s="614" customFormat="1">
      <c r="D7403" s="614" t="s">
        <v>13968</v>
      </c>
      <c r="E7403" s="89">
        <f>IF(decCh1Prod2Slot1Active=obalCh1Prod2Slot1Active,0,VLOOKUP(1,dataCh1Prod2NewSlotsExp,2,FALSE))+IF(decCh1Prod2Slot2Active=obalCh1Prod2Slot2Active,0,VLOOKUP(2,dataCh1Prod2NewSlotsExp,2,FALSE))+IF(decCh1Prod2Slot3Active=obalCh1Prod2Slot3Active,0,VLOOKUP(3,dataCh1Prod2NewSlotsExp,2,FALSE))</f>
        <v>0</v>
      </c>
      <c r="F7403" s="614" t="s">
        <v>8889</v>
      </c>
    </row>
    <row r="7404" spans="3:6" s="614" customFormat="1">
      <c r="D7404" s="614" t="s">
        <v>13969</v>
      </c>
      <c r="E7404" s="593">
        <f>IF(decCh1Prod2Slot1Active=obalCh1Prod2Slot1Active,0,VLOOKUP(1,dataCh1Prod2NewSlotsExp,3,FALSE))+IF(decCh1Prod2Slot2Active=obalCh1Prod2Slot2Active,0,VLOOKUP(2,dataCh1Prod2NewSlotsExp,3,FALSE))+IF(decCh1Prod2Slot3Active=obalCh1Prod2Slot3Active,0,VLOOKUP(3,dataCh1Prod2NewSlotsExp,3,FALSE))</f>
        <v>0</v>
      </c>
      <c r="F7404" s="614" t="s">
        <v>8890</v>
      </c>
    </row>
    <row r="7405" spans="3:6" s="614" customFormat="1"/>
    <row r="7406" spans="3:6" s="614" customFormat="1">
      <c r="C7406" s="633" t="s">
        <v>239</v>
      </c>
    </row>
    <row r="7407" spans="3:6" s="614" customFormat="1">
      <c r="D7407" s="614" t="s">
        <v>8857</v>
      </c>
      <c r="E7407" s="89">
        <f>obalCh1Prod3Slot1Active+obalCh1Prod3Slot2Active+obalCh1Prod3Slot3Active</f>
        <v>2</v>
      </c>
      <c r="F7407" s="614" t="s">
        <v>8877</v>
      </c>
    </row>
    <row r="7408" spans="3:6" s="614" customFormat="1">
      <c r="D7408" s="614" t="s">
        <v>8858</v>
      </c>
      <c r="E7408" s="89">
        <f>calcCh1Prod3SlotsEnd-calcCh1Prod3SlotsStart</f>
        <v>0</v>
      </c>
      <c r="F7408" s="614" t="s">
        <v>8878</v>
      </c>
    </row>
    <row r="7409" spans="3:6" s="614" customFormat="1">
      <c r="D7409" s="614" t="s">
        <v>8862</v>
      </c>
      <c r="E7409" s="89">
        <f>calcCh1Prod3Slot1Active+calcCh1Prod3Slot2Active+calcCh1Prod3Slot3Active</f>
        <v>2</v>
      </c>
      <c r="F7409" s="614" t="s">
        <v>8879</v>
      </c>
    </row>
    <row r="7410" spans="3:6" s="614" customFormat="1" ht="1.5" customHeight="1">
      <c r="C7410" s="632"/>
      <c r="D7410" s="632"/>
      <c r="E7410" s="265"/>
    </row>
    <row r="7411" spans="3:6" s="614" customFormat="1">
      <c r="E7411" s="641"/>
    </row>
    <row r="7412" spans="3:6" s="614" customFormat="1">
      <c r="D7412" s="614" t="s">
        <v>13966</v>
      </c>
      <c r="E7412" s="89">
        <f>VLOOKUP(calcCh1Prod3SlotsEnd+1,dataCh1Prod3NewSlotsExp,2,FALSE)</f>
        <v>5</v>
      </c>
      <c r="F7412" s="614" t="s">
        <v>8880</v>
      </c>
    </row>
    <row r="7413" spans="3:6" s="614" customFormat="1">
      <c r="D7413" s="614" t="s">
        <v>13967</v>
      </c>
      <c r="E7413" s="593">
        <f>VLOOKUP(calcCh1Prod3SlotsEnd+1,dataCh1Prod3NewSlotsExp,3,FALSE)-paramNewSlotExp</f>
        <v>5000000</v>
      </c>
      <c r="F7413" s="614" t="s">
        <v>8881</v>
      </c>
    </row>
    <row r="7414" spans="3:6" s="614" customFormat="1"/>
    <row r="7415" spans="3:6" s="614" customFormat="1">
      <c r="D7415" s="614" t="s">
        <v>13968</v>
      </c>
      <c r="E7415" s="89">
        <f>IF(decCh1Prod3Slot1Active=obalCh1Prod3Slot1Active,0,VLOOKUP(1,dataCh1Prod3NewSlotsExp,2,FALSE))+IF(decCh1Prod3Slot2Active=obalCh1Prod3Slot2Active,0,VLOOKUP(2,dataCh1Prod3NewSlotsExp,2,FALSE))+IF(decCh1Prod3Slot3Active=obalCh1Prod3Slot3Active,0,VLOOKUP(3,dataCh1Prod3NewSlotsExp,2,FALSE))</f>
        <v>0</v>
      </c>
      <c r="F7415" s="614" t="s">
        <v>8882</v>
      </c>
    </row>
    <row r="7416" spans="3:6" s="614" customFormat="1">
      <c r="D7416" s="614" t="s">
        <v>13969</v>
      </c>
      <c r="E7416" s="593">
        <f>IF(decCh1Prod3Slot1Active=obalCh1Prod3Slot1Active,0,VLOOKUP(1,dataCh1Prod3NewSlotsExp,3,FALSE))+IF(decCh1Prod3Slot2Active=obalCh1Prod3Slot2Active,0,VLOOKUP(2,dataCh1Prod3NewSlotsExp,3,FALSE))+IF(decCh1Prod3Slot3Active=obalCh1Prod3Slot3Active,0,VLOOKUP(3,dataCh1Prod3NewSlotsExp,3,FALSE))</f>
        <v>0</v>
      </c>
      <c r="F7416" s="614" t="s">
        <v>8883</v>
      </c>
    </row>
    <row r="7417" spans="3:6" s="614" customFormat="1"/>
    <row r="7418" spans="3:6" s="614" customFormat="1">
      <c r="C7418" s="633" t="s">
        <v>240</v>
      </c>
    </row>
    <row r="7419" spans="3:6" s="614" customFormat="1">
      <c r="D7419" s="614" t="s">
        <v>8857</v>
      </c>
      <c r="E7419" s="89">
        <f>obalCh1Prod4Slot1Active+obalCh1Prod4Slot2Active+obalCh1Prod4Slot3Active</f>
        <v>0</v>
      </c>
      <c r="F7419" s="614" t="s">
        <v>8870</v>
      </c>
    </row>
    <row r="7420" spans="3:6" s="614" customFormat="1">
      <c r="D7420" s="614" t="s">
        <v>8858</v>
      </c>
      <c r="E7420" s="89">
        <f>calcCh1Prod4SlotsEnd-calcCh1Prod4SlotsStart</f>
        <v>0</v>
      </c>
      <c r="F7420" s="614" t="s">
        <v>8871</v>
      </c>
    </row>
    <row r="7421" spans="3:6" s="614" customFormat="1">
      <c r="D7421" s="614" t="s">
        <v>8862</v>
      </c>
      <c r="E7421" s="89">
        <f>calcCh1Prod4Slot1Active+calcCh1Prod4Slot2Active+calcCh1Prod4Slot3Active</f>
        <v>0</v>
      </c>
      <c r="F7421" s="614" t="s">
        <v>8872</v>
      </c>
    </row>
    <row r="7422" spans="3:6" s="614" customFormat="1" ht="1.5" customHeight="1">
      <c r="C7422" s="632"/>
      <c r="D7422" s="632"/>
      <c r="E7422" s="265"/>
    </row>
    <row r="7423" spans="3:6" s="614" customFormat="1">
      <c r="E7423" s="641"/>
    </row>
    <row r="7424" spans="3:6" s="614" customFormat="1">
      <c r="D7424" s="614" t="s">
        <v>13966</v>
      </c>
      <c r="E7424" s="89">
        <f>VLOOKUP(calcCh1Prod4SlotsEnd+1,dataCh1Prod4NewSlotsExp,2,FALSE)</f>
        <v>6</v>
      </c>
      <c r="F7424" s="614" t="s">
        <v>8873</v>
      </c>
    </row>
    <row r="7425" spans="1:6" s="614" customFormat="1">
      <c r="D7425" s="614" t="s">
        <v>13967</v>
      </c>
      <c r="E7425" s="593">
        <f>VLOOKUP(calcCh1Prod4SlotsEnd+1,dataCh1Prod4NewSlotsExp,3,FALSE)-paramNewSlotExp</f>
        <v>15000000</v>
      </c>
      <c r="F7425" s="614" t="s">
        <v>8874</v>
      </c>
    </row>
    <row r="7426" spans="1:6" s="614" customFormat="1"/>
    <row r="7427" spans="1:6" s="614" customFormat="1">
      <c r="D7427" s="614" t="s">
        <v>13968</v>
      </c>
      <c r="E7427" s="89">
        <f>IF(decCh1Prod4Slot1Active=obalCh1Prod4Slot1Active,0,VLOOKUP(1,dataCh1Prod4NewSlotsExp,2,FALSE))+IF(decCh1Prod4Slot2Active=obalCh1Prod4Slot2Active,0,VLOOKUP(2,dataCh1Prod4NewSlotsExp,2,FALSE))+IF(decCh1Prod4Slot3Active=obalCh1Prod4Slot3Active,0,VLOOKUP(3,dataCh1Prod4NewSlotsExp,2,FALSE))</f>
        <v>0</v>
      </c>
      <c r="F7427" s="614" t="s">
        <v>8875</v>
      </c>
    </row>
    <row r="7428" spans="1:6" s="614" customFormat="1">
      <c r="D7428" s="614" t="s">
        <v>13969</v>
      </c>
      <c r="E7428" s="593">
        <f>IF(decCh1Prod4Slot1Active=obalCh1Prod4Slot1Active,0,VLOOKUP(1,dataCh1Prod4NewSlotsExp,3,FALSE))+IF(decCh1Prod4Slot2Active=obalCh1Prod4Slot2Active,0,VLOOKUP(2,dataCh1Prod4NewSlotsExp,3,FALSE))+IF(decCh1Prod4Slot3Active=obalCh1Prod4Slot3Active,0,VLOOKUP(3,dataCh1Prod4NewSlotsExp,3,FALSE))</f>
        <v>0</v>
      </c>
      <c r="F7428" s="614" t="s">
        <v>8876</v>
      </c>
    </row>
    <row r="7429" spans="1:6" s="614" customFormat="1"/>
    <row r="7430" spans="1:6" s="614" customFormat="1">
      <c r="C7430" s="633" t="s">
        <v>8868</v>
      </c>
    </row>
    <row r="7431" spans="1:6" s="614" customFormat="1"/>
    <row r="7432" spans="1:6" s="614" customFormat="1">
      <c r="D7432" s="614" t="s">
        <v>13816</v>
      </c>
      <c r="E7432" s="614">
        <f>calcCh1Prod1SlotsTotEmp1Req+calcCh1Prod2SlotsTotEmp1Req+calcCh1Prod3SlotsTotEmp1Req+calcCh1Prod4SlotsTotEmp1Req</f>
        <v>0</v>
      </c>
      <c r="F7432" s="614" t="s">
        <v>8993</v>
      </c>
    </row>
    <row r="7433" spans="1:6" s="614" customFormat="1">
      <c r="D7433" s="614" t="s">
        <v>1719</v>
      </c>
      <c r="E7433" s="593">
        <f>calcCh1Prod1SlotsTotExp+calcCh1Prod2SlotsTotExp+calcCh1Prod3SlotsTotExp+calcCh1Prod4SlotsTotExp</f>
        <v>0</v>
      </c>
      <c r="F7433" s="614" t="s">
        <v>8994</v>
      </c>
    </row>
    <row r="7434" spans="1:6" s="614" customFormat="1">
      <c r="E7434" s="873"/>
    </row>
    <row r="7435" spans="1:6" s="616" customFormat="1">
      <c r="A7435" s="616" t="s">
        <v>13970</v>
      </c>
    </row>
    <row r="7436" spans="1:6" s="614" customFormat="1"/>
    <row r="7437" spans="1:6" s="614" customFormat="1">
      <c r="C7437" s="633" t="s">
        <v>12868</v>
      </c>
    </row>
    <row r="7438" spans="1:6" s="614" customFormat="1">
      <c r="D7438" s="614" t="s">
        <v>8857</v>
      </c>
      <c r="E7438" s="89">
        <f>obalCh2Prod1Slot1Active+obalCh2Prod1Slot2Active+obalCh2Prod1Slot3Active</f>
        <v>1</v>
      </c>
      <c r="F7438" s="614" t="s">
        <v>8906</v>
      </c>
    </row>
    <row r="7439" spans="1:6" s="614" customFormat="1">
      <c r="D7439" s="614" t="s">
        <v>8858</v>
      </c>
      <c r="E7439" s="89">
        <f>calcCh2Prod1SlotsEnd-calcCh2Prod1SlotsStart</f>
        <v>0</v>
      </c>
      <c r="F7439" s="614" t="s">
        <v>8907</v>
      </c>
    </row>
    <row r="7440" spans="1:6" s="614" customFormat="1">
      <c r="D7440" s="614" t="s">
        <v>8862</v>
      </c>
      <c r="E7440" s="89">
        <f>calcCh2Prod1Slot1Active+calcCh2Prod1Slot2Active+calcCh2Prod1Slot3Active</f>
        <v>1</v>
      </c>
      <c r="F7440" s="614" t="s">
        <v>8908</v>
      </c>
    </row>
    <row r="7441" spans="3:6" s="614" customFormat="1" ht="1.5" customHeight="1">
      <c r="C7441" s="632"/>
      <c r="D7441" s="632"/>
      <c r="E7441" s="265"/>
    </row>
    <row r="7442" spans="3:6" s="614" customFormat="1">
      <c r="E7442" s="641"/>
    </row>
    <row r="7443" spans="3:6" s="614" customFormat="1">
      <c r="D7443" s="614" t="s">
        <v>13966</v>
      </c>
      <c r="E7443" s="89">
        <f>VLOOKUP(calcCh2Prod1SlotsEnd+1,dataCh2Prod1NewSlotsExp,2,FALSE)</f>
        <v>6</v>
      </c>
      <c r="F7443" s="614" t="s">
        <v>8909</v>
      </c>
    </row>
    <row r="7444" spans="3:6" s="614" customFormat="1">
      <c r="D7444" s="614" t="s">
        <v>13967</v>
      </c>
      <c r="E7444" s="593">
        <f>VLOOKUP(calcCh2Prod1SlotsEnd+1,dataCh2Prod1NewSlotsExp,3,FALSE)-paramNewSlotExp</f>
        <v>9000000</v>
      </c>
      <c r="F7444" s="614" t="s">
        <v>8910</v>
      </c>
    </row>
    <row r="7445" spans="3:6" s="614" customFormat="1"/>
    <row r="7446" spans="3:6" s="614" customFormat="1">
      <c r="D7446" s="614" t="s">
        <v>13968</v>
      </c>
      <c r="E7446" s="89">
        <f>IF(decCh2Prod1Slot1Active=obalCh2Prod1Slot1Active,0,VLOOKUP(1,dataCh2Prod1NewSlotsExp,2,FALSE))+IF(decCh2Prod1Slot2Active=obalCh2Prod1Slot2Active,0,VLOOKUP(2,dataCh2Prod1NewSlotsExp,2,FALSE))+IF(decCh2Prod1Slot3Active=obalCh2Prod1Slot3Active,0,VLOOKUP(3,dataCh2Prod1NewSlotsExp,2,FALSE))</f>
        <v>0</v>
      </c>
      <c r="F7446" s="614" t="s">
        <v>8911</v>
      </c>
    </row>
    <row r="7447" spans="3:6" s="614" customFormat="1">
      <c r="D7447" s="614" t="s">
        <v>13969</v>
      </c>
      <c r="E7447" s="593">
        <f>IF(decCh2Prod1Slot1Active=obalCh2Prod1Slot1Active,0,VLOOKUP(1,dataCh2Prod1NewSlotsExp,3,FALSE))+IF(decCh2Prod1Slot2Active=obalCh2Prod1Slot2Active,0,VLOOKUP(2,dataCh2Prod1NewSlotsExp,3,FALSE))+IF(decCh2Prod1Slot3Active=obalCh2Prod1Slot3Active,0,VLOOKUP(3,dataCh2Prod1NewSlotsExp,3,FALSE))</f>
        <v>0</v>
      </c>
      <c r="F7447" s="614" t="s">
        <v>8912</v>
      </c>
    </row>
    <row r="7448" spans="3:6" s="614" customFormat="1"/>
    <row r="7449" spans="3:6" s="614" customFormat="1">
      <c r="C7449" s="633" t="s">
        <v>238</v>
      </c>
    </row>
    <row r="7450" spans="3:6" s="614" customFormat="1">
      <c r="D7450" s="614" t="s">
        <v>8857</v>
      </c>
      <c r="E7450" s="89">
        <f>obalCh2Prod2Slot1Active+obalCh2Prod2Slot2Active+obalCh2Prod2Slot3Active</f>
        <v>1</v>
      </c>
      <c r="F7450" s="614" t="s">
        <v>8913</v>
      </c>
    </row>
    <row r="7451" spans="3:6" s="614" customFormat="1">
      <c r="D7451" s="614" t="s">
        <v>8858</v>
      </c>
      <c r="E7451" s="89">
        <f>calcCh2Prod2SlotsEnd-calcCh2Prod2SlotsStart</f>
        <v>0</v>
      </c>
      <c r="F7451" s="614" t="s">
        <v>8914</v>
      </c>
    </row>
    <row r="7452" spans="3:6" s="614" customFormat="1">
      <c r="D7452" s="614" t="s">
        <v>8862</v>
      </c>
      <c r="E7452" s="89">
        <f>calcCh2Prod2Slot1Active+calcCh2Prod2Slot2Active+calcCh2Prod2Slot3Active</f>
        <v>1</v>
      </c>
      <c r="F7452" s="614" t="s">
        <v>8915</v>
      </c>
    </row>
    <row r="7453" spans="3:6" s="614" customFormat="1" ht="1.5" customHeight="1">
      <c r="C7453" s="632"/>
      <c r="D7453" s="632"/>
      <c r="E7453" s="265"/>
    </row>
    <row r="7454" spans="3:6" s="614" customFormat="1">
      <c r="E7454" s="641"/>
    </row>
    <row r="7455" spans="3:6" s="614" customFormat="1">
      <c r="D7455" s="614" t="s">
        <v>13966</v>
      </c>
      <c r="E7455" s="89">
        <f>VLOOKUP(calcCh2Prod2SlotsEnd+1,dataCh2Prod2NewSlotsExp,2,FALSE)</f>
        <v>6</v>
      </c>
      <c r="F7455" s="614" t="s">
        <v>8916</v>
      </c>
    </row>
    <row r="7456" spans="3:6" s="614" customFormat="1">
      <c r="D7456" s="614" t="s">
        <v>13967</v>
      </c>
      <c r="E7456" s="593">
        <f>VLOOKUP(calcCh2Prod2SlotsEnd+1,dataCh2Prod2NewSlotsExp,3,FALSE)-paramNewSlotExp</f>
        <v>9000000</v>
      </c>
      <c r="F7456" s="614" t="s">
        <v>8917</v>
      </c>
    </row>
    <row r="7457" spans="3:6" s="614" customFormat="1"/>
    <row r="7458" spans="3:6" s="614" customFormat="1">
      <c r="D7458" s="614" t="s">
        <v>13968</v>
      </c>
      <c r="E7458" s="89">
        <f>IF(decCh2Prod2Slot1Active=obalCh2Prod2Slot1Active,0,VLOOKUP(1,dataCh2Prod2NewSlotsExp,2,FALSE))+IF(decCh2Prod2Slot2Active=obalCh2Prod2Slot2Active,0,VLOOKUP(2,dataCh2Prod2NewSlotsExp,2,FALSE))+IF(decCh2Prod2Slot3Active=obalCh2Prod2Slot3Active,0,VLOOKUP(3,dataCh2Prod2NewSlotsExp,2,FALSE))</f>
        <v>0</v>
      </c>
      <c r="F7458" s="614" t="s">
        <v>8918</v>
      </c>
    </row>
    <row r="7459" spans="3:6" s="614" customFormat="1">
      <c r="D7459" s="614" t="s">
        <v>13969</v>
      </c>
      <c r="E7459" s="593">
        <f>IF(decCh2Prod2Slot1Active=obalCh2Prod2Slot1Active,0,VLOOKUP(1,dataCh2Prod2NewSlotsExp,3,FALSE))+IF(decCh2Prod2Slot2Active=obalCh2Prod2Slot2Active,0,VLOOKUP(2,dataCh2Prod2NewSlotsExp,3,FALSE))+IF(decCh2Prod2Slot3Active=obalCh2Prod2Slot3Active,0,VLOOKUP(3,dataCh2Prod2NewSlotsExp,3,FALSE))</f>
        <v>0</v>
      </c>
      <c r="F7459" s="614" t="s">
        <v>8919</v>
      </c>
    </row>
    <row r="7460" spans="3:6" s="614" customFormat="1"/>
    <row r="7461" spans="3:6" s="614" customFormat="1">
      <c r="C7461" s="633" t="s">
        <v>239</v>
      </c>
    </row>
    <row r="7462" spans="3:6" s="614" customFormat="1">
      <c r="D7462" s="614" t="s">
        <v>8857</v>
      </c>
      <c r="E7462" s="89">
        <f>obalCh2Prod3Slot1Active+obalCh2Prod3Slot2Active+obalCh2Prod3Slot3Active</f>
        <v>1</v>
      </c>
      <c r="F7462" s="614" t="s">
        <v>8920</v>
      </c>
    </row>
    <row r="7463" spans="3:6" s="614" customFormat="1">
      <c r="D7463" s="614" t="s">
        <v>8858</v>
      </c>
      <c r="E7463" s="89">
        <f>calcCh2Prod3SlotsEnd-calcCh2Prod3SlotsStart</f>
        <v>0</v>
      </c>
      <c r="F7463" s="614" t="s">
        <v>8921</v>
      </c>
    </row>
    <row r="7464" spans="3:6" s="614" customFormat="1">
      <c r="D7464" s="614" t="s">
        <v>8862</v>
      </c>
      <c r="E7464" s="89">
        <f>calcCh2Prod3Slot1Active+calcCh2Prod3Slot2Active+calcCh2Prod3Slot3Active</f>
        <v>1</v>
      </c>
      <c r="F7464" s="614" t="s">
        <v>8922</v>
      </c>
    </row>
    <row r="7465" spans="3:6" s="614" customFormat="1" ht="1.5" customHeight="1">
      <c r="C7465" s="632"/>
      <c r="D7465" s="632"/>
      <c r="E7465" s="265"/>
    </row>
    <row r="7466" spans="3:6" s="614" customFormat="1">
      <c r="E7466" s="641"/>
    </row>
    <row r="7467" spans="3:6" s="614" customFormat="1">
      <c r="D7467" s="614" t="s">
        <v>13966</v>
      </c>
      <c r="E7467" s="89">
        <f>VLOOKUP(calcCh2Prod3SlotsEnd+1,dataCh2Prod3NewSlotsExp,2,FALSE)</f>
        <v>6</v>
      </c>
      <c r="F7467" s="614" t="s">
        <v>8923</v>
      </c>
    </row>
    <row r="7468" spans="3:6" s="614" customFormat="1">
      <c r="D7468" s="614" t="s">
        <v>13967</v>
      </c>
      <c r="E7468" s="873">
        <f>VLOOKUP(calcCh2Prod3SlotsEnd+1,dataCh2Prod3NewSlotsExp,3,FALSE)-paramNewSlotExp</f>
        <v>9000000</v>
      </c>
      <c r="F7468" s="614" t="s">
        <v>8924</v>
      </c>
    </row>
    <row r="7469" spans="3:6" s="614" customFormat="1">
      <c r="E7469" s="593"/>
    </row>
    <row r="7470" spans="3:6" s="614" customFormat="1">
      <c r="D7470" s="614" t="s">
        <v>13968</v>
      </c>
      <c r="E7470" s="89">
        <f>IF(decCh2Prod3Slot1Active=obalCh2Prod3Slot1Active,0,VLOOKUP(1,dataCh2Prod3NewSlotsExp,2,FALSE))+IF(decCh2Prod3Slot2Active=obalCh2Prod3Slot2Active,0,VLOOKUP(2,dataCh2Prod3NewSlotsExp,2,FALSE))+IF(decCh2Prod3Slot3Active=obalCh2Prod3Slot3Active,0,VLOOKUP(3,dataCh2Prod3NewSlotsExp,2,FALSE))</f>
        <v>0</v>
      </c>
      <c r="F7470" s="614" t="s">
        <v>8925</v>
      </c>
    </row>
    <row r="7471" spans="3:6" s="614" customFormat="1">
      <c r="D7471" s="614" t="s">
        <v>13969</v>
      </c>
      <c r="E7471" s="593">
        <f>IF(decCh2Prod3Slot1Active=obalCh2Prod3Slot1Active,0,VLOOKUP(1,dataCh2Prod3NewSlotsExp,3,FALSE))+IF(decCh2Prod3Slot2Active=obalCh2Prod3Slot2Active,0,VLOOKUP(2,dataCh2Prod3NewSlotsExp,3,FALSE))+IF(decCh2Prod3Slot3Active=obalCh2Prod3Slot3Active,0,VLOOKUP(3,dataCh2Prod3NewSlotsExp,3,FALSE))</f>
        <v>0</v>
      </c>
      <c r="F7471" s="614" t="s">
        <v>8926</v>
      </c>
    </row>
    <row r="7472" spans="3:6" s="614" customFormat="1"/>
    <row r="7473" spans="3:6" s="614" customFormat="1">
      <c r="C7473" s="633" t="s">
        <v>240</v>
      </c>
    </row>
    <row r="7474" spans="3:6" s="614" customFormat="1">
      <c r="D7474" s="614" t="s">
        <v>8857</v>
      </c>
      <c r="E7474" s="89">
        <f>obalCh2Prod4Slot1Active+obalCh2Prod4Slot2Active+obalCh2Prod4Slot3Active</f>
        <v>0</v>
      </c>
      <c r="F7474" s="614" t="s">
        <v>8927</v>
      </c>
    </row>
    <row r="7475" spans="3:6" s="614" customFormat="1">
      <c r="D7475" s="614" t="s">
        <v>8858</v>
      </c>
      <c r="E7475" s="89">
        <f>calcCh2Prod4SlotsEnd-calcCh2Prod4SlotsStart</f>
        <v>0</v>
      </c>
      <c r="F7475" s="614" t="s">
        <v>8928</v>
      </c>
    </row>
    <row r="7476" spans="3:6" s="614" customFormat="1">
      <c r="D7476" s="614" t="s">
        <v>8862</v>
      </c>
      <c r="E7476" s="89">
        <f>calcCh2Prod4Slot1Active+calcCh2Prod4Slot2Active+calcCh2Prod4Slot3Active</f>
        <v>0</v>
      </c>
      <c r="F7476" s="614" t="s">
        <v>8929</v>
      </c>
    </row>
    <row r="7477" spans="3:6" s="614" customFormat="1" ht="1.5" customHeight="1">
      <c r="C7477" s="632"/>
      <c r="D7477" s="632"/>
      <c r="E7477" s="265"/>
    </row>
    <row r="7478" spans="3:6" s="614" customFormat="1">
      <c r="E7478" s="641"/>
    </row>
    <row r="7479" spans="3:6" s="614" customFormat="1">
      <c r="D7479" s="614" t="s">
        <v>13966</v>
      </c>
      <c r="E7479" s="89">
        <f>VLOOKUP(calcCh2Prod4SlotsEnd+1,dataCh2Prod4NewSlotsExp,2,FALSE)</f>
        <v>8</v>
      </c>
      <c r="F7479" s="614" t="s">
        <v>8930</v>
      </c>
    </row>
    <row r="7480" spans="3:6" s="614" customFormat="1">
      <c r="D7480" s="614" t="s">
        <v>13967</v>
      </c>
      <c r="E7480" s="873">
        <f>VLOOKUP(calcCh2Prod4SlotsEnd+1,dataCh2Prod4NewSlotsExp,3,FALSE)-paramNewSlotExp</f>
        <v>15000000</v>
      </c>
      <c r="F7480" s="614" t="s">
        <v>8931</v>
      </c>
    </row>
    <row r="7481" spans="3:6" s="614" customFormat="1"/>
    <row r="7482" spans="3:6" s="614" customFormat="1">
      <c r="D7482" s="614" t="s">
        <v>13968</v>
      </c>
      <c r="E7482" s="89">
        <f>IF(decCh2Prod4Slot1Active=obalCh2Prod4Slot1Active,0,VLOOKUP(1,dataCh2Prod4NewSlotsExp,2,FALSE))+IF(decCh2Prod4Slot2Active=obalCh2Prod4Slot2Active,0,VLOOKUP(2,dataCh2Prod4NewSlotsExp,2,FALSE))+IF(decCh2Prod4Slot3Active=obalCh2Prod4Slot3Active,0,VLOOKUP(3,dataCh2Prod4NewSlotsExp,2,FALSE))</f>
        <v>0</v>
      </c>
      <c r="F7482" s="614" t="s">
        <v>8932</v>
      </c>
    </row>
    <row r="7483" spans="3:6" s="614" customFormat="1">
      <c r="D7483" s="614" t="s">
        <v>13969</v>
      </c>
      <c r="E7483" s="873">
        <f>IF(decCh2Prod4Slot1Active=obalCh2Prod4Slot1Active,0,VLOOKUP(1,dataCh2Prod4NewSlotsExp,3,FALSE))+IF(decCh2Prod4Slot2Active=obalCh2Prod4Slot2Active,0,VLOOKUP(2,dataCh2Prod4NewSlotsExp,3,FALSE))+IF(decCh2Prod4Slot3Active=obalCh2Prod4Slot3Active,0,VLOOKUP(3,dataCh2Prod4NewSlotsExp,3,FALSE))</f>
        <v>0</v>
      </c>
      <c r="F7483" s="614" t="s">
        <v>8933</v>
      </c>
    </row>
    <row r="7484" spans="3:6" s="614" customFormat="1"/>
    <row r="7485" spans="3:6" s="614" customFormat="1">
      <c r="C7485" s="633" t="s">
        <v>8868</v>
      </c>
    </row>
    <row r="7486" spans="3:6" s="614" customFormat="1"/>
    <row r="7487" spans="3:6" s="614" customFormat="1">
      <c r="D7487" s="614" t="s">
        <v>13816</v>
      </c>
      <c r="E7487" s="614">
        <f>calcCh2Prod1SlotsTotEmp1Req+calcCh2Prod2SlotsTotEmp1Req+calcCh2Prod3SlotsTotEmp1Req+calcCh2Prod4SlotsTotEmp1Req</f>
        <v>0</v>
      </c>
      <c r="F7487" s="614" t="s">
        <v>8995</v>
      </c>
    </row>
    <row r="7488" spans="3:6" s="614" customFormat="1">
      <c r="D7488" s="614" t="s">
        <v>1719</v>
      </c>
      <c r="E7488" s="873">
        <f>calcCh2Prod1SlotsTotExp+calcCh2Prod2SlotsTotExp+calcCh2Prod3SlotsTotExp+calcCh2Prod4SlotsTotExp</f>
        <v>0</v>
      </c>
      <c r="F7488" s="614" t="s">
        <v>8996</v>
      </c>
    </row>
    <row r="7489" spans="1:6" s="614" customFormat="1">
      <c r="E7489" s="873"/>
    </row>
    <row r="7490" spans="1:6" s="616" customFormat="1">
      <c r="A7490" s="616" t="s">
        <v>13971</v>
      </c>
    </row>
    <row r="7491" spans="1:6" s="614" customFormat="1"/>
    <row r="7492" spans="1:6" s="614" customFormat="1">
      <c r="C7492" s="633" t="s">
        <v>12868</v>
      </c>
    </row>
    <row r="7493" spans="1:6" s="614" customFormat="1">
      <c r="D7493" s="614" t="s">
        <v>8857</v>
      </c>
      <c r="E7493" s="89">
        <f>obalCh3Prod1Slot1Active+obalCh3Prod1Slot2Active+obalCh3Prod1Slot3Active</f>
        <v>1</v>
      </c>
      <c r="F7493" s="614" t="s">
        <v>8934</v>
      </c>
    </row>
    <row r="7494" spans="1:6" s="614" customFormat="1">
      <c r="D7494" s="614" t="s">
        <v>8858</v>
      </c>
      <c r="E7494" s="89">
        <f>calcCh3Prod1SlotsEnd-calcCh3Prod1SlotsStart</f>
        <v>0</v>
      </c>
      <c r="F7494" s="614" t="s">
        <v>8935</v>
      </c>
    </row>
    <row r="7495" spans="1:6" s="614" customFormat="1">
      <c r="D7495" s="614" t="s">
        <v>8862</v>
      </c>
      <c r="E7495" s="89">
        <f>calcCh3Prod1Slot1Active+calcCh3Prod1Slot2Active+calcCh3Prod1Slot3Active</f>
        <v>1</v>
      </c>
      <c r="F7495" s="614" t="s">
        <v>8936</v>
      </c>
    </row>
    <row r="7496" spans="1:6" s="614" customFormat="1" ht="1.5" customHeight="1">
      <c r="C7496" s="632"/>
      <c r="D7496" s="632"/>
      <c r="E7496" s="265"/>
    </row>
    <row r="7497" spans="1:6" s="614" customFormat="1">
      <c r="E7497" s="641"/>
    </row>
    <row r="7498" spans="1:6" s="614" customFormat="1">
      <c r="D7498" s="614" t="s">
        <v>13966</v>
      </c>
      <c r="E7498" s="89">
        <f>VLOOKUP(calcCh3Prod1SlotsEnd+1,dataCh3Prod1NewSlotsExp,2,FALSE)</f>
        <v>5</v>
      </c>
      <c r="F7498" s="614" t="s">
        <v>8937</v>
      </c>
    </row>
    <row r="7499" spans="1:6" s="614" customFormat="1">
      <c r="D7499" s="614" t="s">
        <v>13967</v>
      </c>
      <c r="E7499" s="593">
        <f>VLOOKUP(calcCh3Prod1SlotsEnd+1,dataCh3Prod1NewSlotsExp,3,FALSE)-paramNewSlotExp</f>
        <v>5000000</v>
      </c>
      <c r="F7499" s="614" t="s">
        <v>8938</v>
      </c>
    </row>
    <row r="7500" spans="1:6" s="614" customFormat="1"/>
    <row r="7501" spans="1:6" s="614" customFormat="1">
      <c r="D7501" s="614" t="s">
        <v>13968</v>
      </c>
      <c r="E7501" s="89">
        <f>IF(decCh3Prod1Slot1Active=obalCh3Prod1Slot1Active,0,VLOOKUP(1,dataCh3Prod1NewSlotsExp,2,FALSE))+IF(decCh3Prod1Slot2Active=obalCh3Prod1Slot2Active,0,VLOOKUP(2,dataCh3Prod1NewSlotsExp,2,FALSE))+IF(decCh3Prod1Slot3Active=obalCh3Prod1Slot3Active,0,VLOOKUP(3,dataCh3Prod1NewSlotsExp,2,FALSE))</f>
        <v>0</v>
      </c>
      <c r="F7501" s="614" t="s">
        <v>8939</v>
      </c>
    </row>
    <row r="7502" spans="1:6" s="614" customFormat="1">
      <c r="D7502" s="614" t="s">
        <v>13969</v>
      </c>
      <c r="E7502" s="873">
        <f>IF(decCh3Prod1Slot1Active=obalCh3Prod1Slot1Active,0,VLOOKUP(1,dataCh3Prod1NewSlotsExp,3,FALSE))+IF(decCh3Prod1Slot2Active=obalCh3Prod1Slot2Active,0,VLOOKUP(2,dataCh3Prod1NewSlotsExp,3,FALSE))+IF(decCh3Prod1Slot3Active=obalCh3Prod1Slot3Active,0,VLOOKUP(3,dataCh3Prod1NewSlotsExp,3,FALSE))</f>
        <v>0</v>
      </c>
      <c r="F7502" s="614" t="s">
        <v>8940</v>
      </c>
    </row>
    <row r="7503" spans="1:6" s="614" customFormat="1"/>
    <row r="7504" spans="1:6" s="614" customFormat="1">
      <c r="C7504" s="633" t="s">
        <v>238</v>
      </c>
    </row>
    <row r="7505" spans="3:6" s="614" customFormat="1">
      <c r="D7505" s="614" t="s">
        <v>8857</v>
      </c>
      <c r="E7505" s="89">
        <f>obalCh3Prod2Slot1Active+obalCh3Prod2Slot2Active+obalCh3Prod2Slot3Active</f>
        <v>2</v>
      </c>
      <c r="F7505" s="614" t="s">
        <v>8941</v>
      </c>
    </row>
    <row r="7506" spans="3:6" s="614" customFormat="1">
      <c r="D7506" s="614" t="s">
        <v>8858</v>
      </c>
      <c r="E7506" s="89">
        <f>calcCh3Prod2SlotsEnd-calcCh3Prod2SlotsStart</f>
        <v>0</v>
      </c>
      <c r="F7506" s="614" t="s">
        <v>8942</v>
      </c>
    </row>
    <row r="7507" spans="3:6" s="614" customFormat="1">
      <c r="D7507" s="614" t="s">
        <v>8862</v>
      </c>
      <c r="E7507" s="89">
        <f>calcCh3Prod2Slot1Active+calcCh3Prod2Slot2Active+calcCh3Prod2Slot3Active</f>
        <v>2</v>
      </c>
      <c r="F7507" s="614" t="s">
        <v>8943</v>
      </c>
    </row>
    <row r="7508" spans="3:6" s="614" customFormat="1" ht="1.5" customHeight="1">
      <c r="C7508" s="632"/>
      <c r="D7508" s="632"/>
      <c r="E7508" s="265"/>
    </row>
    <row r="7509" spans="3:6" s="614" customFormat="1">
      <c r="E7509" s="641"/>
    </row>
    <row r="7510" spans="3:6" s="614" customFormat="1">
      <c r="D7510" s="614" t="s">
        <v>13966</v>
      </c>
      <c r="E7510" s="89">
        <f>VLOOKUP(calcCh3Prod2SlotsEnd+1,dataCh3Prod2NewSlotsExp,2,FALSE)</f>
        <v>4</v>
      </c>
      <c r="F7510" s="614" t="s">
        <v>8944</v>
      </c>
    </row>
    <row r="7511" spans="3:6" s="614" customFormat="1">
      <c r="D7511" s="614" t="s">
        <v>13967</v>
      </c>
      <c r="E7511" s="873">
        <f>VLOOKUP(calcCh3Prod2SlotsEnd+1,dataCh3Prod2NewSlotsExp,3,FALSE)-paramNewSlotExp</f>
        <v>4000000</v>
      </c>
      <c r="F7511" s="614" t="s">
        <v>8945</v>
      </c>
    </row>
    <row r="7512" spans="3:6" s="614" customFormat="1"/>
    <row r="7513" spans="3:6" s="614" customFormat="1">
      <c r="D7513" s="614" t="s">
        <v>13968</v>
      </c>
      <c r="E7513" s="89">
        <f>IF(decCh3Prod2Slot1Active=obalCh3Prod2Slot1Active,0,VLOOKUP(1,dataCh3Prod2NewSlotsExp,2,FALSE))+IF(decCh3Prod2Slot2Active=obalCh3Prod2Slot2Active,0,VLOOKUP(2,dataCh3Prod2NewSlotsExp,2,FALSE))+IF(decCh3Prod2Slot3Active=obalCh3Prod2Slot3Active,0,VLOOKUP(3,dataCh3Prod2NewSlotsExp,2,FALSE))</f>
        <v>0</v>
      </c>
      <c r="F7513" s="614" t="s">
        <v>8946</v>
      </c>
    </row>
    <row r="7514" spans="3:6" s="614" customFormat="1">
      <c r="D7514" s="614" t="s">
        <v>13969</v>
      </c>
      <c r="E7514" s="873">
        <f>IF(decCh3Prod2Slot1Active=obalCh3Prod2Slot1Active,0,VLOOKUP(1,dataCh3Prod2NewSlotsExp,3,FALSE))+IF(decCh3Prod2Slot2Active=obalCh3Prod2Slot2Active,0,VLOOKUP(2,dataCh3Prod2NewSlotsExp,3,FALSE))+IF(decCh3Prod2Slot3Active=obalCh3Prod2Slot3Active,0,VLOOKUP(3,dataCh3Prod2NewSlotsExp,3,FALSE))</f>
        <v>0</v>
      </c>
      <c r="F7514" s="614" t="s">
        <v>8947</v>
      </c>
    </row>
    <row r="7515" spans="3:6" s="614" customFormat="1"/>
    <row r="7516" spans="3:6" s="614" customFormat="1">
      <c r="C7516" s="633" t="s">
        <v>239</v>
      </c>
    </row>
    <row r="7517" spans="3:6" s="614" customFormat="1">
      <c r="D7517" s="614" t="s">
        <v>8857</v>
      </c>
      <c r="E7517" s="89">
        <f>obalCh3Prod3Slot1Active+obalCh3Prod3Slot2Active+obalCh3Prod3Slot3Active</f>
        <v>1</v>
      </c>
      <c r="F7517" s="614" t="s">
        <v>8948</v>
      </c>
    </row>
    <row r="7518" spans="3:6" s="614" customFormat="1">
      <c r="D7518" s="614" t="s">
        <v>8858</v>
      </c>
      <c r="E7518" s="89">
        <f>calcCh3Prod3SlotsEnd-calcCh3Prod3SlotsStart</f>
        <v>0</v>
      </c>
      <c r="F7518" s="614" t="s">
        <v>8949</v>
      </c>
    </row>
    <row r="7519" spans="3:6" s="614" customFormat="1">
      <c r="D7519" s="614" t="s">
        <v>8862</v>
      </c>
      <c r="E7519" s="89">
        <f>calcCh3Prod3Slot1Active+calcCh3Prod3Slot2Active+calcCh3Prod3Slot3Active</f>
        <v>1</v>
      </c>
      <c r="F7519" s="614" t="s">
        <v>8950</v>
      </c>
    </row>
    <row r="7520" spans="3:6" s="614" customFormat="1" ht="1.5" customHeight="1">
      <c r="C7520" s="632"/>
      <c r="D7520" s="632"/>
      <c r="E7520" s="265"/>
    </row>
    <row r="7521" spans="3:6" s="614" customFormat="1">
      <c r="E7521" s="641"/>
    </row>
    <row r="7522" spans="3:6" s="614" customFormat="1">
      <c r="D7522" s="614" t="s">
        <v>13966</v>
      </c>
      <c r="E7522" s="89">
        <f>VLOOKUP(calcCh3Prod3SlotsEnd+1,dataCh3Prod3NewSlotsExp,2,FALSE)</f>
        <v>5</v>
      </c>
      <c r="F7522" s="614" t="s">
        <v>8951</v>
      </c>
    </row>
    <row r="7523" spans="3:6" s="614" customFormat="1">
      <c r="D7523" s="614" t="s">
        <v>13967</v>
      </c>
      <c r="E7523" s="873">
        <f>VLOOKUP(calcCh3Prod3SlotsEnd+1,dataCh3Prod3NewSlotsExp,3,FALSE)-paramNewSlotExp</f>
        <v>5000000</v>
      </c>
      <c r="F7523" s="614" t="s">
        <v>8952</v>
      </c>
    </row>
    <row r="7524" spans="3:6" s="614" customFormat="1"/>
    <row r="7525" spans="3:6" s="614" customFormat="1">
      <c r="D7525" s="614" t="s">
        <v>13968</v>
      </c>
      <c r="E7525" s="89">
        <f>IF(decCh3Prod3Slot1Active=obalCh3Prod3Slot1Active,0,VLOOKUP(1,dataCh3Prod3NewSlotsExp,2,FALSE))+IF(decCh3Prod3Slot2Active=obalCh3Prod3Slot2Active,0,VLOOKUP(2,dataCh3Prod3NewSlotsExp,2,FALSE))+IF(decCh3Prod3Slot3Active=obalCh3Prod3Slot3Active,0,VLOOKUP(3,dataCh3Prod3NewSlotsExp,2,FALSE))</f>
        <v>0</v>
      </c>
      <c r="F7525" s="614" t="s">
        <v>8953</v>
      </c>
    </row>
    <row r="7526" spans="3:6" s="614" customFormat="1">
      <c r="D7526" s="614" t="s">
        <v>13969</v>
      </c>
      <c r="E7526" s="873">
        <f>IF(decCh3Prod3Slot1Active=obalCh3Prod3Slot1Active,0,VLOOKUP(1,dataCh3Prod3NewSlotsExp,3,FALSE))+IF(decCh3Prod3Slot2Active=obalCh3Prod3Slot2Active,0,VLOOKUP(2,dataCh3Prod3NewSlotsExp,3,FALSE))+IF(decCh3Prod3Slot3Active=obalCh3Prod3Slot3Active,0,VLOOKUP(3,dataCh3Prod3NewSlotsExp,3,FALSE))</f>
        <v>0</v>
      </c>
      <c r="F7526" s="614" t="s">
        <v>8954</v>
      </c>
    </row>
    <row r="7527" spans="3:6" s="614" customFormat="1"/>
    <row r="7528" spans="3:6" s="614" customFormat="1">
      <c r="C7528" s="633" t="s">
        <v>240</v>
      </c>
    </row>
    <row r="7529" spans="3:6" s="614" customFormat="1">
      <c r="D7529" s="614" t="s">
        <v>8857</v>
      </c>
      <c r="E7529" s="89">
        <f>obalCh3Prod4Slot1Active+obalCh3Prod4Slot2Active+obalCh3Prod4Slot3Active</f>
        <v>0</v>
      </c>
      <c r="F7529" s="614" t="s">
        <v>8955</v>
      </c>
    </row>
    <row r="7530" spans="3:6" s="614" customFormat="1">
      <c r="D7530" s="614" t="s">
        <v>8858</v>
      </c>
      <c r="E7530" s="89">
        <f>calcCh3Prod4SlotsEnd-calcCh3Prod4SlotsStart</f>
        <v>0</v>
      </c>
      <c r="F7530" s="614" t="s">
        <v>8956</v>
      </c>
    </row>
    <row r="7531" spans="3:6" s="614" customFormat="1">
      <c r="D7531" s="614" t="s">
        <v>8862</v>
      </c>
      <c r="E7531" s="89">
        <f>calcCh3Prod4Slot1Active+calcCh3Prod4Slot2Active+calcCh3Prod4Slot3Active</f>
        <v>0</v>
      </c>
      <c r="F7531" s="614" t="s">
        <v>8957</v>
      </c>
    </row>
    <row r="7532" spans="3:6" s="614" customFormat="1" ht="1.5" customHeight="1">
      <c r="C7532" s="632"/>
      <c r="D7532" s="632"/>
      <c r="E7532" s="265"/>
    </row>
    <row r="7533" spans="3:6" s="614" customFormat="1">
      <c r="E7533" s="641"/>
    </row>
    <row r="7534" spans="3:6" s="614" customFormat="1">
      <c r="D7534" s="614" t="s">
        <v>13966</v>
      </c>
      <c r="E7534" s="89">
        <f>VLOOKUP(calcCh3Prod4SlotsEnd+1,dataCh3Prod4NewSlotsExp,2,FALSE)</f>
        <v>6</v>
      </c>
      <c r="F7534" s="614" t="s">
        <v>8958</v>
      </c>
    </row>
    <row r="7535" spans="3:6" s="614" customFormat="1">
      <c r="D7535" s="614" t="s">
        <v>13967</v>
      </c>
      <c r="E7535" s="873">
        <f>VLOOKUP(calcCh3Prod4SlotsEnd+1,dataCh3Prod4NewSlotsExp,3,FALSE)-paramNewSlotExp</f>
        <v>15000000</v>
      </c>
      <c r="F7535" s="614" t="s">
        <v>8959</v>
      </c>
    </row>
    <row r="7536" spans="3:6" s="614" customFormat="1"/>
    <row r="7537" spans="1:6" s="614" customFormat="1">
      <c r="D7537" s="614" t="s">
        <v>13968</v>
      </c>
      <c r="E7537" s="89">
        <f>IF(decCh3Prod4Slot1Active=obalCh3Prod4Slot1Active,0,VLOOKUP(1,dataCh3Prod4NewSlotsExp,2,FALSE))+IF(decCh3Prod4Slot2Active=obalCh3Prod4Slot2Active,0,VLOOKUP(2,dataCh3Prod4NewSlotsExp,2,FALSE))+IF(decCh3Prod4Slot3Active=obalCh3Prod4Slot3Active,0,VLOOKUP(3,dataCh3Prod4NewSlotsExp,2,FALSE))</f>
        <v>0</v>
      </c>
      <c r="F7537" s="614" t="s">
        <v>8960</v>
      </c>
    </row>
    <row r="7538" spans="1:6" s="614" customFormat="1">
      <c r="D7538" s="614" t="s">
        <v>13969</v>
      </c>
      <c r="E7538" s="873">
        <f>IF(decCh3Prod4Slot1Active=obalCh3Prod4Slot1Active,0,VLOOKUP(1,dataCh3Prod4NewSlotsExp,3,FALSE))+IF(decCh3Prod4Slot2Active=obalCh3Prod4Slot2Active,0,VLOOKUP(2,dataCh3Prod4NewSlotsExp,3,FALSE))+IF(decCh3Prod4Slot3Active=obalCh3Prod4Slot3Active,0,VLOOKUP(3,dataCh3Prod4NewSlotsExp,3,FALSE))</f>
        <v>0</v>
      </c>
      <c r="F7538" s="614" t="s">
        <v>8961</v>
      </c>
    </row>
    <row r="7539" spans="1:6" s="614" customFormat="1"/>
    <row r="7540" spans="1:6" s="614" customFormat="1">
      <c r="C7540" s="633" t="s">
        <v>8868</v>
      </c>
    </row>
    <row r="7541" spans="1:6" s="614" customFormat="1"/>
    <row r="7542" spans="1:6" s="614" customFormat="1">
      <c r="D7542" s="614" t="s">
        <v>13816</v>
      </c>
      <c r="E7542" s="614">
        <f>calcCh3Prod1SlotsTotEmp1Req+calcCh3Prod2SlotsTotEmp1Req+calcCh3Prod3SlotsTotEmp1Req+calcCh3Prod4SlotsTotEmp1Req</f>
        <v>0</v>
      </c>
      <c r="F7542" s="614" t="s">
        <v>8997</v>
      </c>
    </row>
    <row r="7543" spans="1:6" s="614" customFormat="1">
      <c r="D7543" s="614" t="s">
        <v>1719</v>
      </c>
      <c r="E7543" s="873">
        <f>calcCh3Prod1SlotsTotExp+calcCh3Prod2SlotsTotExp+calcCh3Prod3SlotsTotExp+calcCh3Prod4SlotsTotExp</f>
        <v>0</v>
      </c>
      <c r="F7543" s="614" t="s">
        <v>8998</v>
      </c>
    </row>
    <row r="7544" spans="1:6" s="614" customFormat="1">
      <c r="E7544" s="873"/>
    </row>
    <row r="7545" spans="1:6" s="616" customFormat="1">
      <c r="A7545" s="616" t="s">
        <v>13972</v>
      </c>
    </row>
    <row r="7546" spans="1:6" s="614" customFormat="1"/>
    <row r="7547" spans="1:6" s="614" customFormat="1">
      <c r="C7547" s="633" t="s">
        <v>12868</v>
      </c>
    </row>
    <row r="7548" spans="1:6" s="614" customFormat="1">
      <c r="D7548" s="614" t="s">
        <v>8857</v>
      </c>
      <c r="E7548" s="89">
        <f>obalCh4Prod1Slot1Active+obalCh4Prod1Slot2Active+obalCh4Prod1Slot3Active</f>
        <v>1</v>
      </c>
      <c r="F7548" s="614" t="s">
        <v>8962</v>
      </c>
    </row>
    <row r="7549" spans="1:6" s="614" customFormat="1">
      <c r="D7549" s="614" t="s">
        <v>8858</v>
      </c>
      <c r="E7549" s="89">
        <f>calcCh4Prod1SlotsEnd-calcCh4Prod1SlotsStart</f>
        <v>0</v>
      </c>
      <c r="F7549" s="614" t="s">
        <v>8963</v>
      </c>
    </row>
    <row r="7550" spans="1:6" s="614" customFormat="1">
      <c r="D7550" s="614" t="s">
        <v>8862</v>
      </c>
      <c r="E7550" s="89">
        <f>calcCh4Prod1Slot1Active+calcCh4Prod1Slot2Active+calcCh4Prod1Slot3Active</f>
        <v>1</v>
      </c>
      <c r="F7550" s="614" t="s">
        <v>8964</v>
      </c>
    </row>
    <row r="7551" spans="1:6" s="614" customFormat="1" ht="1.5" customHeight="1">
      <c r="C7551" s="632"/>
      <c r="D7551" s="632"/>
      <c r="E7551" s="265"/>
    </row>
    <row r="7552" spans="1:6" s="614" customFormat="1">
      <c r="E7552" s="641"/>
    </row>
    <row r="7553" spans="3:6" s="614" customFormat="1">
      <c r="D7553" s="614" t="s">
        <v>13966</v>
      </c>
      <c r="E7553" s="89">
        <f>VLOOKUP(calcCh4Prod1SlotsEnd+1,dataCh4Prod1NewSlotsExp,2,FALSE)</f>
        <v>5</v>
      </c>
      <c r="F7553" s="614" t="s">
        <v>8965</v>
      </c>
    </row>
    <row r="7554" spans="3:6" s="614" customFormat="1">
      <c r="D7554" s="614" t="s">
        <v>13967</v>
      </c>
      <c r="E7554" s="593">
        <f>VLOOKUP(calcCh4Prod1SlotsEnd+1,dataCh4Prod1NewSlotsExp,3,FALSE)-paramNewSlotExp</f>
        <v>5000000</v>
      </c>
      <c r="F7554" s="614" t="s">
        <v>8966</v>
      </c>
    </row>
    <row r="7555" spans="3:6" s="614" customFormat="1"/>
    <row r="7556" spans="3:6" s="614" customFormat="1">
      <c r="D7556" s="614" t="s">
        <v>13968</v>
      </c>
      <c r="E7556" s="89">
        <f>IF(decCh4Prod1Slot1Active=obalCh4Prod1Slot1Active,0,VLOOKUP(1,dataCh4Prod1NewSlotsExp,2,FALSE))+IF(decCh4Prod1Slot2Active=obalCh4Prod1Slot2Active,0,VLOOKUP(2,dataCh4Prod1NewSlotsExp,2,FALSE))+IF(decCh4Prod1Slot3Active=obalCh4Prod1Slot3Active,0,VLOOKUP(3,dataCh4Prod1NewSlotsExp,2,FALSE))</f>
        <v>0</v>
      </c>
      <c r="F7556" s="614" t="s">
        <v>8967</v>
      </c>
    </row>
    <row r="7557" spans="3:6" s="614" customFormat="1">
      <c r="D7557" s="614" t="s">
        <v>13969</v>
      </c>
      <c r="E7557" s="873">
        <f>IF(decCh4Prod1Slot1Active=obalCh4Prod1Slot1Active,0,VLOOKUP(1,dataCh4Prod1NewSlotsExp,3,FALSE))+IF(decCh4Prod1Slot2Active=obalCh4Prod1Slot2Active,0,VLOOKUP(2,dataCh4Prod1NewSlotsExp,3,FALSE))+IF(decCh4Prod1Slot3Active=obalCh4Prod1Slot3Active,0,VLOOKUP(3,dataCh4Prod1NewSlotsExp,3,FALSE))</f>
        <v>0</v>
      </c>
      <c r="F7557" s="614" t="s">
        <v>8968</v>
      </c>
    </row>
    <row r="7558" spans="3:6" s="614" customFormat="1"/>
    <row r="7559" spans="3:6" s="614" customFormat="1">
      <c r="C7559" s="633" t="s">
        <v>238</v>
      </c>
    </row>
    <row r="7560" spans="3:6" s="614" customFormat="1">
      <c r="D7560" s="614" t="s">
        <v>8857</v>
      </c>
      <c r="E7560" s="89">
        <f>obalCh4Prod2Slot1Active+obalCh4Prod2Slot2Active+obalCh4Prod2Slot3Active</f>
        <v>1</v>
      </c>
      <c r="F7560" s="614" t="s">
        <v>8969</v>
      </c>
    </row>
    <row r="7561" spans="3:6" s="614" customFormat="1">
      <c r="D7561" s="614" t="s">
        <v>8858</v>
      </c>
      <c r="E7561" s="89">
        <f>calcCh4Prod2SlotsEnd-calcCh4Prod2SlotsStart</f>
        <v>0</v>
      </c>
      <c r="F7561" s="614" t="s">
        <v>8970</v>
      </c>
    </row>
    <row r="7562" spans="3:6" s="614" customFormat="1">
      <c r="D7562" s="614" t="s">
        <v>8862</v>
      </c>
      <c r="E7562" s="89">
        <f>calcCh4Prod2Slot1Active+calcCh4Prod2Slot2Active+calcCh4Prod2Slot3Active</f>
        <v>1</v>
      </c>
      <c r="F7562" s="614" t="s">
        <v>8971</v>
      </c>
    </row>
    <row r="7563" spans="3:6" s="614" customFormat="1" ht="1.5" customHeight="1">
      <c r="C7563" s="632"/>
      <c r="D7563" s="632"/>
      <c r="E7563" s="265"/>
    </row>
    <row r="7564" spans="3:6" s="614" customFormat="1">
      <c r="E7564" s="641"/>
    </row>
    <row r="7565" spans="3:6" s="614" customFormat="1">
      <c r="D7565" s="614" t="s">
        <v>13966</v>
      </c>
      <c r="E7565" s="89">
        <f>VLOOKUP(calcCh4Prod2SlotsEnd+1,dataCh4Prod2NewSlotsExp,2,FALSE)</f>
        <v>5</v>
      </c>
      <c r="F7565" s="614" t="s">
        <v>8972</v>
      </c>
    </row>
    <row r="7566" spans="3:6" s="614" customFormat="1">
      <c r="D7566" s="614" t="s">
        <v>13967</v>
      </c>
      <c r="E7566" s="873">
        <f>VLOOKUP(calcCh4Prod2SlotsEnd+1,dataCh4Prod2NewSlotsExp,3,FALSE)-paramNewSlotExp</f>
        <v>5000000</v>
      </c>
      <c r="F7566" s="614" t="s">
        <v>8973</v>
      </c>
    </row>
    <row r="7567" spans="3:6" s="614" customFormat="1"/>
    <row r="7568" spans="3:6" s="614" customFormat="1">
      <c r="D7568" s="614" t="s">
        <v>13968</v>
      </c>
      <c r="E7568" s="89">
        <f>IF(decCh4Prod2Slot1Active=obalCh4Prod2Slot1Active,0,VLOOKUP(1,dataCh4Prod2NewSlotsExp,2,FALSE))+IF(decCh4Prod2Slot2Active=obalCh4Prod2Slot2Active,0,VLOOKUP(2,dataCh4Prod2NewSlotsExp,2,FALSE))+IF(decCh4Prod2Slot3Active=obalCh4Prod2Slot3Active,0,VLOOKUP(3,dataCh4Prod2NewSlotsExp,2,FALSE))</f>
        <v>0</v>
      </c>
      <c r="F7568" s="614" t="s">
        <v>8974</v>
      </c>
    </row>
    <row r="7569" spans="3:6" s="614" customFormat="1">
      <c r="D7569" s="614" t="s">
        <v>13969</v>
      </c>
      <c r="E7569" s="873">
        <f>IF(decCh4Prod2Slot1Active=obalCh4Prod2Slot1Active,0,VLOOKUP(1,dataCh4Prod2NewSlotsExp,3,FALSE))+IF(decCh4Prod2Slot2Active=obalCh4Prod2Slot2Active,0,VLOOKUP(2,dataCh4Prod2NewSlotsExp,3,FALSE))+IF(decCh4Prod2Slot3Active=obalCh4Prod2Slot3Active,0,VLOOKUP(3,dataCh4Prod2NewSlotsExp,3,FALSE))</f>
        <v>0</v>
      </c>
      <c r="F7569" s="614" t="s">
        <v>8975</v>
      </c>
    </row>
    <row r="7570" spans="3:6" s="614" customFormat="1"/>
    <row r="7571" spans="3:6" s="614" customFormat="1">
      <c r="C7571" s="633" t="s">
        <v>239</v>
      </c>
    </row>
    <row r="7572" spans="3:6" s="614" customFormat="1">
      <c r="D7572" s="614" t="s">
        <v>8857</v>
      </c>
      <c r="E7572" s="89">
        <f>obalCh4Prod3Slot1Active+obalCh4Prod3Slot2Active+obalCh4Prod3Slot3Active</f>
        <v>1</v>
      </c>
      <c r="F7572" s="614" t="s">
        <v>8976</v>
      </c>
    </row>
    <row r="7573" spans="3:6" s="614" customFormat="1">
      <c r="D7573" s="614" t="s">
        <v>8858</v>
      </c>
      <c r="E7573" s="89">
        <f>calcCh4Prod3SlotsEnd-calcCh4Prod3SlotsStart</f>
        <v>0</v>
      </c>
      <c r="F7573" s="614" t="s">
        <v>8977</v>
      </c>
    </row>
    <row r="7574" spans="3:6" s="614" customFormat="1">
      <c r="D7574" s="614" t="s">
        <v>8862</v>
      </c>
      <c r="E7574" s="89">
        <f>calcCh4Prod3Slot1Active+calcCh4Prod3Slot2Active+calcCh4Prod3Slot3Active</f>
        <v>1</v>
      </c>
      <c r="F7574" s="614" t="s">
        <v>8978</v>
      </c>
    </row>
    <row r="7575" spans="3:6" s="614" customFormat="1" ht="1.5" customHeight="1">
      <c r="C7575" s="632"/>
      <c r="D7575" s="632"/>
      <c r="E7575" s="265"/>
    </row>
    <row r="7576" spans="3:6" s="614" customFormat="1">
      <c r="E7576" s="641"/>
    </row>
    <row r="7577" spans="3:6" s="614" customFormat="1">
      <c r="D7577" s="614" t="s">
        <v>13966</v>
      </c>
      <c r="E7577" s="89">
        <f>VLOOKUP(calcCh4Prod3SlotsEnd+1,dataCh4Prod3NewSlotsExp,2,FALSE)</f>
        <v>5</v>
      </c>
      <c r="F7577" s="614" t="s">
        <v>8979</v>
      </c>
    </row>
    <row r="7578" spans="3:6" s="614" customFormat="1">
      <c r="D7578" s="614" t="s">
        <v>13967</v>
      </c>
      <c r="E7578" s="873">
        <f>VLOOKUP(calcCh4Prod3SlotsEnd+1,dataCh4Prod3NewSlotsExp,3,FALSE)-paramNewSlotExp</f>
        <v>5000000</v>
      </c>
      <c r="F7578" s="614" t="s">
        <v>8980</v>
      </c>
    </row>
    <row r="7579" spans="3:6" s="614" customFormat="1"/>
    <row r="7580" spans="3:6" s="614" customFormat="1">
      <c r="D7580" s="614" t="s">
        <v>13968</v>
      </c>
      <c r="E7580" s="89">
        <f>IF(decCh4Prod3Slot1Active=obalCh4Prod3Slot1Active,0,VLOOKUP(1,dataCh4Prod3NewSlotsExp,2,FALSE))+IF(decCh4Prod3Slot2Active=obalCh4Prod3Slot2Active,0,VLOOKUP(2,dataCh4Prod3NewSlotsExp,2,FALSE))+IF(decCh4Prod3Slot3Active=obalCh4Prod3Slot3Active,0,VLOOKUP(3,dataCh4Prod3NewSlotsExp,2,FALSE))</f>
        <v>0</v>
      </c>
      <c r="F7580" s="614" t="s">
        <v>8981</v>
      </c>
    </row>
    <row r="7581" spans="3:6" s="614" customFormat="1">
      <c r="D7581" s="614" t="s">
        <v>13969</v>
      </c>
      <c r="E7581" s="873">
        <f>IF(decCh4Prod3Slot1Active=obalCh4Prod3Slot1Active,0,VLOOKUP(1,dataCh4Prod3NewSlotsExp,3,FALSE))+IF(decCh4Prod3Slot2Active=obalCh4Prod3Slot2Active,0,VLOOKUP(2,dataCh4Prod3NewSlotsExp,3,FALSE))+IF(decCh4Prod3Slot3Active=obalCh4Prod3Slot3Active,0,VLOOKUP(3,dataCh4Prod3NewSlotsExp,3,FALSE))</f>
        <v>0</v>
      </c>
      <c r="F7581" s="614" t="s">
        <v>8982</v>
      </c>
    </row>
    <row r="7582" spans="3:6" s="614" customFormat="1"/>
    <row r="7583" spans="3:6" s="614" customFormat="1">
      <c r="C7583" s="633" t="s">
        <v>240</v>
      </c>
    </row>
    <row r="7584" spans="3:6" s="614" customFormat="1">
      <c r="D7584" s="614" t="s">
        <v>8857</v>
      </c>
      <c r="E7584" s="89">
        <f>obalCh4Prod4Slot1Active+obalCh4Prod4Slot2Active+obalCh4Prod4Slot3Active</f>
        <v>1</v>
      </c>
      <c r="F7584" s="614" t="s">
        <v>8983</v>
      </c>
    </row>
    <row r="7585" spans="1:6" s="614" customFormat="1">
      <c r="D7585" s="614" t="s">
        <v>8858</v>
      </c>
      <c r="E7585" s="89">
        <f>calcCh4Prod4SlotsEnd-calcCh4Prod4SlotsStart</f>
        <v>0</v>
      </c>
      <c r="F7585" s="614" t="s">
        <v>8984</v>
      </c>
    </row>
    <row r="7586" spans="1:6" s="614" customFormat="1">
      <c r="D7586" s="614" t="s">
        <v>8862</v>
      </c>
      <c r="E7586" s="89">
        <f>calcCh4Prod4Slot1Active+calcCh4Prod4Slot2Active+calcCh4Prod4Slot3Active</f>
        <v>1</v>
      </c>
      <c r="F7586" s="614" t="s">
        <v>8985</v>
      </c>
    </row>
    <row r="7587" spans="1:6" s="614" customFormat="1" ht="1.5" customHeight="1">
      <c r="C7587" s="632"/>
      <c r="D7587" s="632"/>
      <c r="E7587" s="265"/>
    </row>
    <row r="7588" spans="1:6" s="614" customFormat="1">
      <c r="E7588" s="641"/>
    </row>
    <row r="7589" spans="1:6" s="614" customFormat="1">
      <c r="D7589" s="614" t="s">
        <v>13966</v>
      </c>
      <c r="E7589" s="89">
        <f>VLOOKUP(calcCh4Prod4SlotsEnd+1,dataCh4Prod4NewSlotsExp,2,FALSE)</f>
        <v>5</v>
      </c>
      <c r="F7589" s="614" t="s">
        <v>8986</v>
      </c>
    </row>
    <row r="7590" spans="1:6" s="614" customFormat="1">
      <c r="D7590" s="614" t="s">
        <v>13967</v>
      </c>
      <c r="E7590" s="873">
        <f>VLOOKUP(calcCh4Prod4SlotsEnd+1,dataCh4Prod4NewSlotsExp,3,FALSE)-paramNewSlotExp</f>
        <v>10000000</v>
      </c>
      <c r="F7590" s="614" t="s">
        <v>8987</v>
      </c>
    </row>
    <row r="7591" spans="1:6" s="614" customFormat="1"/>
    <row r="7592" spans="1:6" s="614" customFormat="1">
      <c r="D7592" s="614" t="s">
        <v>13968</v>
      </c>
      <c r="E7592" s="89">
        <f>IF(decCh4Prod4Slot1Active=obalCh4Prod4Slot1Active,0,VLOOKUP(1,dataCh4Prod4NewSlotsExp,2,FALSE))+IF(decCh4Prod4Slot2Active=obalCh4Prod4Slot2Active,0,VLOOKUP(2,dataCh4Prod4NewSlotsExp,2,FALSE))+IF(decCh4Prod4Slot3Active=obalCh4Prod4Slot3Active,0,VLOOKUP(3,dataCh4Prod4NewSlotsExp,2,FALSE))</f>
        <v>0</v>
      </c>
      <c r="F7592" s="614" t="s">
        <v>8988</v>
      </c>
    </row>
    <row r="7593" spans="1:6" s="614" customFormat="1">
      <c r="D7593" s="614" t="s">
        <v>13969</v>
      </c>
      <c r="E7593" s="873">
        <f>IF(decCh4Prod4Slot1Active=obalCh4Prod4Slot1Active,0,VLOOKUP(1,dataCh4Prod4NewSlotsExp,3,FALSE))+IF(decCh4Prod4Slot2Active=obalCh4Prod4Slot2Active,0,VLOOKUP(2,dataCh4Prod4NewSlotsExp,3,FALSE))+IF(decCh4Prod4Slot3Active=obalCh4Prod4Slot3Active,0,VLOOKUP(3,dataCh4Prod4NewSlotsExp,3,FALSE))</f>
        <v>0</v>
      </c>
      <c r="F7593" s="614" t="s">
        <v>8989</v>
      </c>
    </row>
    <row r="7594" spans="1:6" s="614" customFormat="1"/>
    <row r="7595" spans="1:6" s="614" customFormat="1">
      <c r="C7595" s="633" t="s">
        <v>8868</v>
      </c>
    </row>
    <row r="7596" spans="1:6" s="614" customFormat="1"/>
    <row r="7597" spans="1:6" s="614" customFormat="1">
      <c r="D7597" s="614" t="s">
        <v>13816</v>
      </c>
      <c r="E7597" s="614">
        <f>calcCh4Prod1SlotsTotEmp1Req+calcCh4Prod2SlotsTotEmp1Req+calcCh4Prod3SlotsTotEmp1Req+calcCh4Prod4SlotsTotEmp1Req</f>
        <v>0</v>
      </c>
      <c r="F7597" s="614" t="s">
        <v>8999</v>
      </c>
    </row>
    <row r="7598" spans="1:6" s="614" customFormat="1">
      <c r="D7598" s="614" t="s">
        <v>1719</v>
      </c>
      <c r="E7598" s="873">
        <f>calcCh4Prod1SlotsTotExp+calcCh4Prod2SlotsTotExp+calcCh4Prod3SlotsTotExp+calcCh4Prod4SlotsTotExp</f>
        <v>0</v>
      </c>
      <c r="F7598" s="614" t="s">
        <v>9000</v>
      </c>
    </row>
    <row r="7599" spans="1:6" s="614" customFormat="1">
      <c r="E7599" s="873"/>
    </row>
    <row r="7600" spans="1:6" s="616" customFormat="1">
      <c r="A7600" s="616" t="s">
        <v>9010</v>
      </c>
    </row>
    <row r="7601" spans="3:6" s="614" customFormat="1"/>
    <row r="7602" spans="3:6" s="614" customFormat="1">
      <c r="C7602" s="633" t="s">
        <v>244</v>
      </c>
    </row>
    <row r="7603" spans="3:6" s="614" customFormat="1">
      <c r="D7603" s="614" t="s">
        <v>10246</v>
      </c>
      <c r="E7603" s="614">
        <f>IF(xxRound=1,decCh1R1Report1+decCh1R1Report2,IF(xxRound=2,decCh1R2Report3+decCh1R2Report4,IF(xxRound=3,decCh1R3Report5+decCh1R3Report6,0)))</f>
        <v>0</v>
      </c>
      <c r="F7603" s="614" t="s">
        <v>9013</v>
      </c>
    </row>
    <row r="7604" spans="3:6" s="614" customFormat="1" ht="1.5" customHeight="1">
      <c r="C7604" s="632"/>
      <c r="D7604" s="632"/>
      <c r="E7604" s="265"/>
    </row>
    <row r="7605" spans="3:6" s="614" customFormat="1">
      <c r="D7605" s="614" t="s">
        <v>13973</v>
      </c>
      <c r="E7605" s="89">
        <f>paramCh1ReportsEmp1Req*calcCh1AnalyticsNumberBought</f>
        <v>0</v>
      </c>
      <c r="F7605" s="614" t="s">
        <v>9011</v>
      </c>
    </row>
    <row r="7606" spans="3:6" s="614" customFormat="1">
      <c r="D7606" s="614" t="s">
        <v>13974</v>
      </c>
      <c r="E7606" s="89">
        <f>paramCh1ReportsExp*calcCh1AnalyticsNumberBought</f>
        <v>0</v>
      </c>
      <c r="F7606" s="614" t="s">
        <v>9012</v>
      </c>
    </row>
    <row r="7607" spans="3:6" s="614" customFormat="1"/>
    <row r="7608" spans="3:6" s="614" customFormat="1">
      <c r="C7608" s="633" t="s">
        <v>245</v>
      </c>
    </row>
    <row r="7609" spans="3:6" s="614" customFormat="1">
      <c r="D7609" s="614" t="s">
        <v>10246</v>
      </c>
      <c r="E7609" s="614">
        <f>IF(xxRound=1,decCh2R1Report1+decCh2R1Report2,IF(xxRound=2,decCh2R2Report3+decCh2R2Report4,IF(xxRound=3,decCh2R3Report5+decCh2R3Report6,0)))</f>
        <v>0</v>
      </c>
      <c r="F7609" s="614" t="s">
        <v>9044</v>
      </c>
    </row>
    <row r="7610" spans="3:6" s="614" customFormat="1" ht="1.5" customHeight="1">
      <c r="C7610" s="632"/>
      <c r="D7610" s="632"/>
      <c r="E7610" s="265"/>
    </row>
    <row r="7611" spans="3:6" s="614" customFormat="1">
      <c r="D7611" s="614" t="s">
        <v>13973</v>
      </c>
      <c r="E7611" s="89">
        <f>paramCh2ReportsEmp1Req*calcCh2AnalyticsNumberBought</f>
        <v>0</v>
      </c>
      <c r="F7611" s="614" t="s">
        <v>9045</v>
      </c>
    </row>
    <row r="7612" spans="3:6" s="614" customFormat="1">
      <c r="D7612" s="614" t="s">
        <v>13974</v>
      </c>
      <c r="E7612" s="89">
        <f>paramCh2ReportsExp*calcCh2AnalyticsNumberBought</f>
        <v>0</v>
      </c>
      <c r="F7612" s="614" t="s">
        <v>9046</v>
      </c>
    </row>
    <row r="7613" spans="3:6" s="614" customFormat="1"/>
    <row r="7614" spans="3:6" s="614" customFormat="1">
      <c r="C7614" s="633" t="s">
        <v>5199</v>
      </c>
    </row>
    <row r="7615" spans="3:6" s="614" customFormat="1">
      <c r="D7615" s="614" t="s">
        <v>10246</v>
      </c>
      <c r="E7615" s="614">
        <f>IF(xxRound=1,decCh3R1Report1+decCh3R1Report2,IF(xxRound=2,decCh3R2Report3+decCh3R2Report4,IF(xxRound=3,decCh3R3Report5+decCh3R3Report6,0)))</f>
        <v>0</v>
      </c>
      <c r="F7615" s="614" t="s">
        <v>9041</v>
      </c>
    </row>
    <row r="7616" spans="3:6" s="614" customFormat="1" ht="1.5" customHeight="1">
      <c r="C7616" s="632"/>
      <c r="D7616" s="632"/>
      <c r="E7616" s="265"/>
    </row>
    <row r="7617" spans="1:6" s="614" customFormat="1">
      <c r="D7617" s="614" t="s">
        <v>13973</v>
      </c>
      <c r="E7617" s="89">
        <f>paramCh3ReportsEmp1Req*calcCh3AnalyticsNumberBought</f>
        <v>0</v>
      </c>
      <c r="F7617" s="614" t="s">
        <v>9042</v>
      </c>
    </row>
    <row r="7618" spans="1:6" s="614" customFormat="1">
      <c r="D7618" s="614" t="s">
        <v>13974</v>
      </c>
      <c r="E7618" s="89">
        <f>paramCh3ReportsExp*calcCh3AnalyticsNumberBought</f>
        <v>0</v>
      </c>
      <c r="F7618" s="614" t="s">
        <v>9043</v>
      </c>
    </row>
    <row r="7619" spans="1:6" s="614" customFormat="1"/>
    <row r="7620" spans="1:6" s="614" customFormat="1">
      <c r="C7620" s="633" t="s">
        <v>246</v>
      </c>
    </row>
    <row r="7621" spans="1:6" s="614" customFormat="1">
      <c r="D7621" s="614" t="s">
        <v>10246</v>
      </c>
      <c r="E7621" s="614">
        <f>IF(xxRound=1,decCh4R1Report1+decCh4R1Report2,IF(xxRound=2,decCh4R2Report3+decCh4R2Report4,IF(xxRound=3,decCh4R3Report5+decCh4R3Report6,0)))</f>
        <v>0</v>
      </c>
      <c r="F7621" s="614" t="s">
        <v>9038</v>
      </c>
    </row>
    <row r="7622" spans="1:6" s="614" customFormat="1" ht="1.5" customHeight="1">
      <c r="C7622" s="632"/>
      <c r="D7622" s="632"/>
      <c r="E7622" s="265"/>
    </row>
    <row r="7623" spans="1:6" s="614" customFormat="1">
      <c r="D7623" s="614" t="s">
        <v>13973</v>
      </c>
      <c r="E7623" s="89">
        <f>paramCh4ReportsEmp1Req*calcCh4AnalyticsNumberBought</f>
        <v>0</v>
      </c>
      <c r="F7623" s="614" t="s">
        <v>9039</v>
      </c>
    </row>
    <row r="7624" spans="1:6" s="614" customFormat="1">
      <c r="D7624" s="614" t="s">
        <v>13974</v>
      </c>
      <c r="E7624" s="89">
        <f>paramCh4ReportsExp*calcCh4AnalyticsNumberBought</f>
        <v>0</v>
      </c>
      <c r="F7624" s="614" t="s">
        <v>9040</v>
      </c>
    </row>
    <row r="7625" spans="1:6" s="614" customFormat="1">
      <c r="E7625" s="89"/>
    </row>
    <row r="7626" spans="1:6" s="616" customFormat="1">
      <c r="A7626" s="616" t="s">
        <v>9010</v>
      </c>
    </row>
    <row r="7627" spans="1:6" s="614" customFormat="1">
      <c r="E7627" s="89"/>
    </row>
    <row r="7628" spans="1:6" s="614" customFormat="1">
      <c r="D7628" s="614" t="s">
        <v>11348</v>
      </c>
      <c r="E7628" s="89"/>
    </row>
    <row r="7629" spans="1:6" s="614" customFormat="1">
      <c r="D7629" s="614" t="s">
        <v>11349</v>
      </c>
      <c r="E7629" s="89">
        <f>IF(obalReport1=0,decReport1,2)</f>
        <v>0</v>
      </c>
    </row>
    <row r="7630" spans="1:6" s="614" customFormat="1">
      <c r="D7630" s="614" t="s">
        <v>11363</v>
      </c>
      <c r="E7630" s="89">
        <f>IF(obalReport1=0,decReport2,2)</f>
        <v>0</v>
      </c>
    </row>
    <row r="7631" spans="1:6" s="614" customFormat="1">
      <c r="D7631" s="614" t="s">
        <v>11364</v>
      </c>
      <c r="E7631" s="89">
        <f>IF(obalReport1=0,decReport3,2)</f>
        <v>0</v>
      </c>
    </row>
    <row r="7632" spans="1:6" s="614" customFormat="1">
      <c r="D7632" s="614" t="s">
        <v>11365</v>
      </c>
      <c r="E7632" s="89">
        <f>IF(obalReport1=0,decReport4,2)</f>
        <v>0</v>
      </c>
    </row>
    <row r="7633" spans="1:6" s="614" customFormat="1">
      <c r="D7633" s="614" t="s">
        <v>11366</v>
      </c>
      <c r="E7633" s="89">
        <f>IF(obalReport1=0,decReport5,2)</f>
        <v>0</v>
      </c>
    </row>
    <row r="7634" spans="1:6" s="614" customFormat="1">
      <c r="D7634" s="614" t="s">
        <v>11367</v>
      </c>
      <c r="E7634" s="89">
        <f>IF(obalReport1=0,decReport6,2)</f>
        <v>0</v>
      </c>
    </row>
    <row r="7635" spans="1:6" s="614" customFormat="1">
      <c r="E7635" s="89"/>
    </row>
    <row r="7636" spans="1:6" s="614" customFormat="1">
      <c r="D7636" s="614" t="s">
        <v>11368</v>
      </c>
      <c r="E7636" s="89">
        <f>paramRepEmp1*SUMIF(E7629:E7634,1,E7629:E7634)</f>
        <v>0</v>
      </c>
      <c r="F7636" s="614" t="s">
        <v>10247</v>
      </c>
    </row>
    <row r="7637" spans="1:6" s="614" customFormat="1">
      <c r="D7637" s="614" t="s">
        <v>11369</v>
      </c>
      <c r="E7637" s="873">
        <f>paramRepExp*SUMIF(E7630:E7635,1,E7630:E7635)</f>
        <v>0</v>
      </c>
      <c r="F7637" s="614" t="s">
        <v>10248</v>
      </c>
    </row>
    <row r="7638" spans="1:6" s="614" customFormat="1">
      <c r="E7638" s="89"/>
    </row>
    <row r="7639" spans="1:6" s="614" customFormat="1">
      <c r="E7639" s="89"/>
    </row>
    <row r="7640" spans="1:6" s="614" customFormat="1">
      <c r="E7640" s="89"/>
    </row>
    <row r="7641" spans="1:6" s="614" customFormat="1">
      <c r="E7641" s="641"/>
    </row>
    <row r="7642" spans="1:6" s="81" customFormat="1">
      <c r="A7642" s="81" t="s">
        <v>749</v>
      </c>
    </row>
    <row r="7644" spans="1:6">
      <c r="A7644" s="293"/>
      <c r="C7644" s="294" t="s">
        <v>13975</v>
      </c>
      <c r="D7644" s="293"/>
      <c r="E7644" s="293"/>
      <c r="F7644" s="293"/>
    </row>
    <row r="7645" spans="1:6">
      <c r="A7645" s="293"/>
      <c r="D7645" s="293" t="s">
        <v>743</v>
      </c>
      <c r="E7645" s="296">
        <f>calcPackInnovationEmp1ReqTot</f>
        <v>0</v>
      </c>
      <c r="F7645" s="296"/>
    </row>
    <row r="7646" spans="1:6" s="614" customFormat="1">
      <c r="A7646" s="293"/>
      <c r="D7646" s="293" t="s">
        <v>13976</v>
      </c>
      <c r="E7646" s="649">
        <f>calcCh1AnalyticsEmp1Req</f>
        <v>0</v>
      </c>
      <c r="F7646" s="649"/>
    </row>
    <row r="7647" spans="1:6" s="614" customFormat="1">
      <c r="A7647" s="293"/>
      <c r="D7647" s="293" t="s">
        <v>13977</v>
      </c>
      <c r="E7647" s="649">
        <f>calcCh2AnalyticsEmp1Req</f>
        <v>0</v>
      </c>
      <c r="F7647" s="649"/>
    </row>
    <row r="7648" spans="1:6" s="614" customFormat="1">
      <c r="A7648" s="293"/>
      <c r="D7648" s="293" t="s">
        <v>13978</v>
      </c>
      <c r="E7648" s="649">
        <f>calcCh3AnalyticsEmp1Req</f>
        <v>0</v>
      </c>
      <c r="F7648" s="649"/>
    </row>
    <row r="7649" spans="1:6" s="614" customFormat="1">
      <c r="A7649" s="293"/>
      <c r="D7649" s="293" t="s">
        <v>13979</v>
      </c>
      <c r="E7649" s="649">
        <f>calcCh4AnalyticsEmp1Req</f>
        <v>0</v>
      </c>
      <c r="F7649" s="649"/>
    </row>
    <row r="7650" spans="1:6" s="614" customFormat="1">
      <c r="A7650" s="293"/>
      <c r="D7650" s="293" t="s">
        <v>13980</v>
      </c>
      <c r="E7650" s="649">
        <f>calcCh1SlotsTotEmp1Req</f>
        <v>0</v>
      </c>
      <c r="F7650" s="649"/>
    </row>
    <row r="7651" spans="1:6" s="614" customFormat="1">
      <c r="A7651" s="293"/>
      <c r="D7651" s="293" t="s">
        <v>13981</v>
      </c>
      <c r="E7651" s="649">
        <f>calcCh2SlotsTotEmp1Req</f>
        <v>0</v>
      </c>
      <c r="F7651" s="649"/>
    </row>
    <row r="7652" spans="1:6" s="614" customFormat="1">
      <c r="A7652" s="293"/>
      <c r="D7652" s="293" t="s">
        <v>13982</v>
      </c>
      <c r="E7652" s="649">
        <f>calcCh3SlotsTotEmp1Req</f>
        <v>0</v>
      </c>
      <c r="F7652" s="649"/>
    </row>
    <row r="7653" spans="1:6" s="614" customFormat="1">
      <c r="A7653" s="293"/>
      <c r="D7653" s="293" t="s">
        <v>13983</v>
      </c>
      <c r="E7653" s="649">
        <f>calcCh4SlotsTotEmp1Req</f>
        <v>0</v>
      </c>
      <c r="F7653" s="649"/>
    </row>
    <row r="7654" spans="1:6">
      <c r="A7654" s="293"/>
      <c r="D7654" s="293" t="s">
        <v>13984</v>
      </c>
      <c r="E7654" s="296">
        <f>calcCh1MarkPlanEmp1Req</f>
        <v>0</v>
      </c>
      <c r="F7654" s="296"/>
    </row>
    <row r="7655" spans="1:6">
      <c r="A7655" s="293"/>
      <c r="D7655" s="293" t="s">
        <v>13985</v>
      </c>
      <c r="E7655" s="296">
        <f>calcCh2MarkPlanEmp1Req</f>
        <v>0</v>
      </c>
      <c r="F7655" s="296"/>
    </row>
    <row r="7656" spans="1:6">
      <c r="A7656" s="293"/>
      <c r="D7656" s="293" t="s">
        <v>13986</v>
      </c>
      <c r="E7656" s="296">
        <f>calcCh3MarkPlanEmp1Req</f>
        <v>0</v>
      </c>
      <c r="F7656" s="296"/>
    </row>
    <row r="7657" spans="1:6">
      <c r="A7657" s="293"/>
      <c r="D7657" s="293" t="s">
        <v>13987</v>
      </c>
      <c r="E7657" s="296">
        <f>calcCh4MarkPlanEmp1Req</f>
        <v>0</v>
      </c>
      <c r="F7657" s="296"/>
    </row>
    <row r="7658" spans="1:6">
      <c r="A7658" s="293"/>
      <c r="D7658" s="293" t="s">
        <v>13988</v>
      </c>
      <c r="E7658" s="296">
        <f>calcCh1Promo1PlanEmp1ReqTot+calcCh1Promo2PlanEmp1ReqTot</f>
        <v>8</v>
      </c>
      <c r="F7658" s="296"/>
    </row>
    <row r="7659" spans="1:6">
      <c r="A7659" s="293"/>
      <c r="D7659" s="293" t="s">
        <v>13989</v>
      </c>
      <c r="E7659" s="296">
        <f>calcCh3Promo1PlanEmp1ReqTot</f>
        <v>4</v>
      </c>
      <c r="F7659" s="296"/>
    </row>
    <row r="7660" spans="1:6">
      <c r="A7660" s="293"/>
      <c r="D7660" s="293" t="s">
        <v>13990</v>
      </c>
      <c r="E7660" s="296">
        <f>calcCh4Promo1PlanEmp1ReqTot</f>
        <v>6</v>
      </c>
      <c r="F7660" s="296"/>
    </row>
    <row r="7661" spans="1:6">
      <c r="A7661" s="293"/>
      <c r="D7661" s="293" t="s">
        <v>67</v>
      </c>
      <c r="E7661" s="296">
        <f>paramSIEmp1</f>
        <v>0</v>
      </c>
      <c r="F7661" s="296"/>
    </row>
    <row r="7662" spans="1:6" s="614" customFormat="1">
      <c r="A7662" s="293"/>
      <c r="D7662" s="293" t="s">
        <v>3299</v>
      </c>
      <c r="E7662" s="649">
        <f>calcReportEmp1Req</f>
        <v>0</v>
      </c>
      <c r="F7662" s="649"/>
    </row>
    <row r="7663" spans="1:6">
      <c r="A7663" s="293"/>
      <c r="D7663" s="293" t="s">
        <v>13991</v>
      </c>
      <c r="E7663" s="296">
        <f>calcCh1ValDrivEmp1ReqTot+calcCh1ValDrivCondEmp1Req</f>
        <v>5</v>
      </c>
      <c r="F7663" s="296"/>
    </row>
    <row r="7664" spans="1:6">
      <c r="A7664" s="293"/>
      <c r="D7664" s="293" t="s">
        <v>13992</v>
      </c>
      <c r="E7664" s="296">
        <f>calcCh2ValDrivEmp1ReqTot+calcCh2ValDrivCondEmp1Req</f>
        <v>5</v>
      </c>
      <c r="F7664" s="296"/>
    </row>
    <row r="7665" spans="1:6">
      <c r="A7665" s="293"/>
      <c r="D7665" s="293" t="s">
        <v>13993</v>
      </c>
      <c r="E7665" s="296">
        <f>calcCh3ValDrivEmp1ReqTot+calcCh3ValDrivCondEmp1Req</f>
        <v>5</v>
      </c>
      <c r="F7665" s="296"/>
    </row>
    <row r="7666" spans="1:6">
      <c r="A7666" s="293"/>
      <c r="D7666" s="293" t="s">
        <v>13994</v>
      </c>
      <c r="E7666" s="296">
        <f>calcCh4ValDrivEmp1ReqTot+calcCh4ValDrivCondEmp1Req</f>
        <v>5</v>
      </c>
      <c r="F7666" s="296"/>
    </row>
    <row r="7667" spans="1:6" ht="2.25" customHeight="1">
      <c r="A7667" s="297"/>
      <c r="C7667" s="298"/>
      <c r="D7667" s="298"/>
      <c r="E7667" s="299"/>
      <c r="F7667" s="297"/>
    </row>
    <row r="7668" spans="1:6">
      <c r="A7668" s="294"/>
      <c r="C7668" s="294" t="s">
        <v>527</v>
      </c>
      <c r="D7668" s="294"/>
      <c r="E7668" s="300">
        <f>SUM(E7645:E7666)</f>
        <v>38</v>
      </c>
      <c r="F7668" s="293" t="s">
        <v>765</v>
      </c>
    </row>
    <row r="7669" spans="1:6">
      <c r="A7669" s="293"/>
      <c r="C7669" s="293"/>
      <c r="D7669" s="293"/>
      <c r="E7669" s="293"/>
      <c r="F7669" s="293"/>
    </row>
    <row r="7670" spans="1:6">
      <c r="A7670" s="293"/>
      <c r="C7670" s="294" t="s">
        <v>13995</v>
      </c>
      <c r="D7670" s="294"/>
    </row>
    <row r="7671" spans="1:6">
      <c r="A7671" s="293"/>
      <c r="C7671" s="294"/>
      <c r="D7671" s="294"/>
      <c r="E7671" s="301"/>
      <c r="F7671" s="293"/>
    </row>
    <row r="7672" spans="1:6">
      <c r="A7672" s="293"/>
      <c r="C7672" s="294" t="s">
        <v>13996</v>
      </c>
      <c r="D7672" s="294"/>
      <c r="E7672" s="302">
        <f>obalEmp1</f>
        <v>100</v>
      </c>
      <c r="F7672" s="293" t="s">
        <v>778</v>
      </c>
    </row>
    <row r="7673" spans="1:6">
      <c r="A7673" s="293"/>
      <c r="D7673" s="293" t="s">
        <v>13997</v>
      </c>
      <c r="E7673" s="303">
        <f>ROUND(calcEmp1Open*paramemp1RecRate,0)</f>
        <v>0</v>
      </c>
      <c r="F7673" s="293" t="s">
        <v>779</v>
      </c>
    </row>
    <row r="7674" spans="1:6">
      <c r="A7674" s="293"/>
      <c r="D7674" s="293" t="s">
        <v>13998</v>
      </c>
      <c r="E7674" s="309">
        <v>0</v>
      </c>
      <c r="F7674" s="293"/>
    </row>
    <row r="7675" spans="1:6">
      <c r="A7675" s="295"/>
      <c r="D7675" s="293" t="s">
        <v>13999</v>
      </c>
      <c r="E7675" s="303">
        <f>ROUNDUP(obalEmp1*paramemp1AttRate,0)</f>
        <v>0</v>
      </c>
      <c r="F7675" s="293" t="s">
        <v>766</v>
      </c>
    </row>
    <row r="7676" spans="1:6">
      <c r="A7676" s="295"/>
      <c r="C7676" s="294" t="s">
        <v>14000</v>
      </c>
      <c r="D7676" s="294"/>
      <c r="E7676" s="304">
        <f>MAX(obalEmp1+E7673-E7674-E7675,0)</f>
        <v>100</v>
      </c>
      <c r="F7676" s="293" t="s">
        <v>767</v>
      </c>
    </row>
    <row r="7677" spans="1:6">
      <c r="A7677" s="295"/>
      <c r="D7677" s="293" t="s">
        <v>14001</v>
      </c>
      <c r="E7677" s="305">
        <f>MIN(E7668/E7676,100%)</f>
        <v>0.38</v>
      </c>
      <c r="F7677" s="293" t="s">
        <v>768</v>
      </c>
    </row>
    <row r="7678" spans="1:6">
      <c r="A7678" s="295"/>
      <c r="D7678" s="293" t="s">
        <v>14002</v>
      </c>
      <c r="E7678" s="308">
        <f>CalcEmp1End-CalcEmp1Req</f>
        <v>62</v>
      </c>
      <c r="F7678" s="293" t="s">
        <v>772</v>
      </c>
    </row>
    <row r="7679" spans="1:6">
      <c r="A7679" s="295"/>
    </row>
    <row r="7680" spans="1:6">
      <c r="A7680" s="295"/>
      <c r="C7680" s="294" t="s">
        <v>14003</v>
      </c>
      <c r="D7680" s="294"/>
    </row>
    <row r="7681" spans="1:6">
      <c r="A7681" s="295"/>
      <c r="C7681" s="294"/>
      <c r="D7681" s="293" t="s">
        <v>14004</v>
      </c>
      <c r="E7681" s="307">
        <f>paramemp1Exp*CalcEmp1End</f>
        <v>18000000</v>
      </c>
      <c r="F7681" s="293" t="s">
        <v>769</v>
      </c>
    </row>
    <row r="7682" spans="1:6">
      <c r="A7682" s="295"/>
      <c r="D7682" s="293" t="s">
        <v>14005</v>
      </c>
      <c r="E7682" s="306">
        <f>ABS(paramemp1RecDismCost*paramemp1Exp*calcEmp1Rec)</f>
        <v>0</v>
      </c>
      <c r="F7682" s="293" t="s">
        <v>770</v>
      </c>
    </row>
    <row r="7683" spans="1:6">
      <c r="A7683" s="295"/>
      <c r="D7683" s="293" t="s">
        <v>14006</v>
      </c>
      <c r="E7683" s="306">
        <f>paramemp1AdminCostPct*CalcEmp1Exp</f>
        <v>3600000</v>
      </c>
      <c r="F7683" s="293" t="s">
        <v>771</v>
      </c>
    </row>
    <row r="7685" spans="1:6" s="81" customFormat="1">
      <c r="A7685" s="81" t="s">
        <v>3746</v>
      </c>
    </row>
    <row r="7686" spans="1:6">
      <c r="A7686" s="293"/>
      <c r="B7686" s="293"/>
      <c r="C7686" s="293"/>
      <c r="D7686" s="293"/>
      <c r="E7686" s="293"/>
      <c r="F7686" s="293"/>
    </row>
    <row r="7687" spans="1:6">
      <c r="A7687" s="293"/>
      <c r="B7687" s="293"/>
      <c r="C7687" s="294" t="s">
        <v>244</v>
      </c>
      <c r="D7687" s="293"/>
      <c r="E7687" s="293"/>
      <c r="F7687" s="293"/>
    </row>
    <row r="7688" spans="1:6">
      <c r="A7688" s="293"/>
      <c r="B7688" s="293"/>
      <c r="C7688" s="293"/>
      <c r="D7688" s="293" t="s">
        <v>3747</v>
      </c>
      <c r="E7688" s="484" t="str">
        <f>decCh1VT</f>
        <v>Greenborg Slot 1</v>
      </c>
      <c r="F7688" s="293" t="s">
        <v>3753</v>
      </c>
    </row>
    <row r="7689" spans="1:6">
      <c r="A7689" s="293"/>
      <c r="B7689" s="293"/>
      <c r="C7689" s="293"/>
      <c r="D7689" s="293" t="s">
        <v>48</v>
      </c>
      <c r="E7689" s="484">
        <f>MATCH(calcCh1Vt,VTCh1_Name,0)</f>
        <v>11</v>
      </c>
      <c r="F7689" s="293" t="s">
        <v>3752</v>
      </c>
    </row>
    <row r="7690" spans="1:6">
      <c r="A7690" s="293"/>
      <c r="B7690" s="293"/>
      <c r="C7690" s="293"/>
      <c r="D7690" s="293"/>
      <c r="E7690" s="293"/>
      <c r="F7690" s="293"/>
    </row>
    <row r="7691" spans="1:6">
      <c r="A7691" s="293"/>
      <c r="B7691" s="293"/>
      <c r="C7691" s="294" t="s">
        <v>245</v>
      </c>
      <c r="D7691" s="293"/>
      <c r="E7691" s="293"/>
      <c r="F7691" s="293"/>
    </row>
    <row r="7692" spans="1:6">
      <c r="A7692" s="293"/>
      <c r="B7692" s="293"/>
      <c r="C7692" s="293"/>
      <c r="D7692" s="293" t="s">
        <v>3747</v>
      </c>
      <c r="E7692" s="484" t="str">
        <f>decCh2VT</f>
        <v>Greenborg</v>
      </c>
      <c r="F7692" s="293" t="s">
        <v>3758</v>
      </c>
    </row>
    <row r="7693" spans="1:6">
      <c r="A7693" s="293"/>
      <c r="B7693" s="293"/>
      <c r="C7693" s="293"/>
      <c r="D7693" s="293" t="s">
        <v>48</v>
      </c>
      <c r="E7693" s="484">
        <f>MATCH(calcCh2Vt,VTCh2_Name,0)</f>
        <v>10</v>
      </c>
      <c r="F7693" s="293" t="s">
        <v>3759</v>
      </c>
    </row>
    <row r="7694" spans="1:6">
      <c r="A7694" s="293"/>
      <c r="B7694" s="293"/>
      <c r="C7694" s="293"/>
      <c r="D7694" s="293"/>
      <c r="E7694" s="293"/>
      <c r="F7694" s="293"/>
    </row>
    <row r="7695" spans="1:6">
      <c r="A7695" s="293"/>
      <c r="B7695" s="293"/>
      <c r="C7695" s="294" t="s">
        <v>5199</v>
      </c>
      <c r="D7695" s="293"/>
      <c r="E7695" s="293"/>
      <c r="F7695" s="293"/>
    </row>
    <row r="7696" spans="1:6">
      <c r="A7696" s="293"/>
      <c r="B7696" s="293"/>
      <c r="C7696" s="293"/>
      <c r="D7696" s="293" t="s">
        <v>3747</v>
      </c>
      <c r="E7696" s="484" t="str">
        <f>decCh3VT</f>
        <v>Harken Slot 1</v>
      </c>
      <c r="F7696" s="293" t="s">
        <v>3756</v>
      </c>
    </row>
    <row r="7697" spans="1:6">
      <c r="A7697" s="293"/>
      <c r="B7697" s="293"/>
      <c r="C7697" s="293"/>
      <c r="D7697" s="293" t="s">
        <v>48</v>
      </c>
      <c r="E7697" s="484">
        <f>MATCH(calcCh3Vt,VTCh3_Name,0)</f>
        <v>3</v>
      </c>
      <c r="F7697" s="293" t="s">
        <v>3757</v>
      </c>
    </row>
    <row r="7698" spans="1:6">
      <c r="A7698" s="293"/>
      <c r="B7698" s="293"/>
      <c r="C7698" s="293"/>
      <c r="D7698" s="293"/>
      <c r="E7698" s="293"/>
      <c r="F7698" s="293"/>
    </row>
    <row r="7699" spans="1:6">
      <c r="A7699" s="293"/>
      <c r="B7699" s="293"/>
      <c r="C7699" s="294" t="s">
        <v>246</v>
      </c>
      <c r="D7699" s="293"/>
      <c r="E7699" s="293"/>
      <c r="F7699" s="293"/>
    </row>
    <row r="7700" spans="1:6">
      <c r="A7700" s="293"/>
      <c r="B7700" s="293"/>
      <c r="C7700" s="293"/>
      <c r="D7700" s="293" t="s">
        <v>3747</v>
      </c>
      <c r="E7700" s="484" t="str">
        <f>decCh4VT</f>
        <v>Harken Slot 1</v>
      </c>
      <c r="F7700" s="293" t="s">
        <v>3754</v>
      </c>
    </row>
    <row r="7701" spans="1:6">
      <c r="A7701" s="293"/>
      <c r="B7701" s="293"/>
      <c r="C7701" s="293"/>
      <c r="D7701" s="293" t="s">
        <v>48</v>
      </c>
      <c r="E7701" s="484">
        <f>MATCH(calcCh4Vt,VTCh4_Name,0)</f>
        <v>3</v>
      </c>
      <c r="F7701" s="293" t="s">
        <v>3755</v>
      </c>
    </row>
    <row r="7702" spans="1:6">
      <c r="A7702" s="293"/>
      <c r="B7702" s="293"/>
      <c r="C7702" s="293"/>
      <c r="D7702" s="293"/>
      <c r="E7702" s="293"/>
      <c r="F7702" s="293"/>
    </row>
    <row r="7703" spans="1:6">
      <c r="A7703" s="293"/>
      <c r="B7703" s="293"/>
      <c r="C7703" s="293"/>
      <c r="D7703" s="293"/>
      <c r="E7703" s="293"/>
      <c r="F7703" s="293"/>
    </row>
    <row r="7704" spans="1:6">
      <c r="A7704" s="293"/>
      <c r="B7704" s="293"/>
      <c r="C7704" s="293"/>
      <c r="D7704" s="293"/>
      <c r="E7704" s="293"/>
      <c r="F7704" s="293"/>
    </row>
    <row r="7706" spans="1:6" s="81" customFormat="1">
      <c r="A7706" s="81" t="s">
        <v>67</v>
      </c>
    </row>
    <row r="7707" spans="1:6">
      <c r="C7707" s="23" t="s">
        <v>68</v>
      </c>
    </row>
    <row r="7708" spans="1:6">
      <c r="D7708" s="23" t="s">
        <v>79</v>
      </c>
      <c r="E7708" s="23" t="str">
        <f>decSI1</f>
        <v>Select Project</v>
      </c>
    </row>
    <row r="7709" spans="1:6">
      <c r="D7709" s="23" t="s">
        <v>80</v>
      </c>
      <c r="E7709" s="6">
        <f>IF(E7708=0,1,MATCH(E7708,SI_DisplayedName,0))</f>
        <v>1</v>
      </c>
    </row>
    <row r="7710" spans="1:6">
      <c r="D7710" s="23" t="s">
        <v>81</v>
      </c>
      <c r="E7710" s="6">
        <f>INDEX(SI_Code,E7709)</f>
        <v>0</v>
      </c>
      <c r="F7710" s="23" t="s">
        <v>105</v>
      </c>
    </row>
    <row r="7712" spans="1:6">
      <c r="C7712" s="23" t="s">
        <v>69</v>
      </c>
    </row>
    <row r="7713" spans="3:6">
      <c r="D7713" s="23" t="s">
        <v>79</v>
      </c>
      <c r="E7713" s="23" t="str">
        <f>decSI2</f>
        <v>Select Project</v>
      </c>
    </row>
    <row r="7714" spans="3:6">
      <c r="D7714" s="23" t="s">
        <v>80</v>
      </c>
      <c r="E7714" s="6">
        <f>IF(E7713=0,1,MATCH(E7713,SI_DisplayedName,0))</f>
        <v>1</v>
      </c>
    </row>
    <row r="7715" spans="3:6">
      <c r="D7715" s="23" t="s">
        <v>81</v>
      </c>
      <c r="E7715" s="6">
        <f>INDEX(SI_Code,E7714)</f>
        <v>0</v>
      </c>
      <c r="F7715" s="23" t="s">
        <v>106</v>
      </c>
    </row>
    <row r="7717" spans="3:6">
      <c r="C7717" s="23" t="s">
        <v>89</v>
      </c>
    </row>
    <row r="7718" spans="3:6">
      <c r="D7718" s="23" t="s">
        <v>79</v>
      </c>
      <c r="E7718" s="23" t="str">
        <f>decSI3</f>
        <v>Select Project</v>
      </c>
    </row>
    <row r="7719" spans="3:6">
      <c r="D7719" s="23" t="s">
        <v>80</v>
      </c>
      <c r="E7719" s="6">
        <f>IF(E7718=0,1,MATCH(E7718,SI_DisplayedName,0))</f>
        <v>1</v>
      </c>
    </row>
    <row r="7720" spans="3:6">
      <c r="D7720" s="23" t="s">
        <v>81</v>
      </c>
      <c r="E7720" s="6">
        <f>INDEX(SI_Code,E7719)</f>
        <v>0</v>
      </c>
      <c r="F7720" s="23" t="s">
        <v>107</v>
      </c>
    </row>
    <row r="7722" spans="3:6">
      <c r="C7722" s="23" t="s">
        <v>90</v>
      </c>
    </row>
    <row r="7723" spans="3:6">
      <c r="D7723" s="23" t="s">
        <v>79</v>
      </c>
      <c r="E7723" s="23" t="str">
        <f>decSI4</f>
        <v>Select Project</v>
      </c>
    </row>
    <row r="7724" spans="3:6">
      <c r="D7724" s="23" t="s">
        <v>80</v>
      </c>
      <c r="E7724" s="6">
        <f>IF(E7723=0,1,MATCH(E7723,SI_DisplayedName,0))</f>
        <v>1</v>
      </c>
    </row>
    <row r="7725" spans="3:6">
      <c r="D7725" s="23" t="s">
        <v>81</v>
      </c>
      <c r="E7725" s="6">
        <f>INDEX(SI_Code,E7724)</f>
        <v>0</v>
      </c>
      <c r="F7725" s="23" t="s">
        <v>108</v>
      </c>
    </row>
    <row r="7727" spans="3:6">
      <c r="C7727" s="23" t="s">
        <v>91</v>
      </c>
    </row>
    <row r="7728" spans="3:6">
      <c r="D7728" s="23" t="s">
        <v>79</v>
      </c>
      <c r="E7728" s="23" t="str">
        <f>decSI5</f>
        <v>Select Project</v>
      </c>
    </row>
    <row r="7729" spans="1:6">
      <c r="D7729" s="23" t="s">
        <v>80</v>
      </c>
      <c r="E7729" s="6">
        <f>IF(E7728=0,1,MATCH(E7728,SI_DisplayedName,0))</f>
        <v>1</v>
      </c>
    </row>
    <row r="7730" spans="1:6">
      <c r="D7730" s="23" t="s">
        <v>81</v>
      </c>
      <c r="E7730" s="6">
        <f>INDEX(SI_Code,E7729)</f>
        <v>0</v>
      </c>
      <c r="F7730" s="23" t="s">
        <v>109</v>
      </c>
    </row>
    <row r="7732" spans="1:6" s="81" customFormat="1">
      <c r="A7732" s="81" t="s">
        <v>203</v>
      </c>
    </row>
    <row r="7733" spans="1:6">
      <c r="E7733" s="6"/>
    </row>
    <row r="7734" spans="1:6">
      <c r="B7734" s="614" t="s">
        <v>206</v>
      </c>
      <c r="C7734" s="614"/>
      <c r="D7734" s="610"/>
      <c r="E7734" s="614"/>
    </row>
    <row r="7735" spans="1:6">
      <c r="B7735" s="614" t="s">
        <v>207</v>
      </c>
      <c r="C7735" s="614"/>
      <c r="D7735" s="610"/>
      <c r="E7735" s="614"/>
    </row>
    <row r="7736" spans="1:6">
      <c r="B7736" s="11" t="s">
        <v>204</v>
      </c>
      <c r="C7736" s="11" t="s">
        <v>205</v>
      </c>
      <c r="D7736" s="85"/>
      <c r="E7736" s="85"/>
    </row>
    <row r="7737" spans="1:6">
      <c r="B7737" s="610">
        <v>1</v>
      </c>
      <c r="C7737" s="610">
        <v>1</v>
      </c>
      <c r="D7737" s="617"/>
      <c r="E7737" s="25">
        <f>cbalSI1CodeR1</f>
        <v>0</v>
      </c>
      <c r="F7737" s="28"/>
    </row>
    <row r="7738" spans="1:6">
      <c r="B7738" s="610">
        <v>1</v>
      </c>
      <c r="C7738" s="610">
        <v>1</v>
      </c>
      <c r="D7738" s="617"/>
      <c r="E7738" s="25">
        <f>cbalSI2CodeR1</f>
        <v>0</v>
      </c>
      <c r="F7738" s="28"/>
    </row>
    <row r="7739" spans="1:6">
      <c r="B7739" s="610">
        <v>1</v>
      </c>
      <c r="C7739" s="610">
        <v>1</v>
      </c>
      <c r="D7739" s="617"/>
      <c r="E7739" s="25">
        <f>cbalSI3CodeR1</f>
        <v>0</v>
      </c>
      <c r="F7739" s="28"/>
    </row>
    <row r="7740" spans="1:6">
      <c r="B7740" s="610">
        <v>1</v>
      </c>
      <c r="C7740" s="610">
        <v>1</v>
      </c>
      <c r="D7740" s="617"/>
      <c r="E7740" s="25">
        <f>cbalSI4CodeR1</f>
        <v>0</v>
      </c>
      <c r="F7740" s="28"/>
    </row>
    <row r="7741" spans="1:6">
      <c r="B7741" s="26">
        <v>1</v>
      </c>
      <c r="C7741" s="26">
        <v>1</v>
      </c>
      <c r="D7741" s="87"/>
      <c r="E7741" s="26">
        <f>cbalSI5CodeR1</f>
        <v>0</v>
      </c>
      <c r="F7741" s="28"/>
    </row>
    <row r="7742" spans="1:6">
      <c r="B7742" s="610">
        <v>2</v>
      </c>
      <c r="C7742" s="610">
        <v>0</v>
      </c>
      <c r="D7742" s="617"/>
      <c r="E7742" s="25">
        <f>cbalSI1CodeR2</f>
        <v>0</v>
      </c>
      <c r="F7742" s="28"/>
    </row>
    <row r="7743" spans="1:6">
      <c r="B7743" s="6">
        <v>2</v>
      </c>
      <c r="C7743" s="6">
        <v>0</v>
      </c>
      <c r="D7743" s="86"/>
      <c r="E7743" s="25">
        <f>cbalSI2CodeR2</f>
        <v>0</v>
      </c>
      <c r="F7743" s="28"/>
    </row>
    <row r="7744" spans="1:6">
      <c r="B7744" s="6">
        <v>2</v>
      </c>
      <c r="C7744" s="6">
        <v>0</v>
      </c>
      <c r="D7744" s="86"/>
      <c r="E7744" s="25">
        <f>cbalSI3CodeR2</f>
        <v>0</v>
      </c>
      <c r="F7744" s="28"/>
    </row>
    <row r="7745" spans="2:6">
      <c r="B7745" s="6">
        <v>2</v>
      </c>
      <c r="C7745" s="6">
        <v>0</v>
      </c>
      <c r="D7745" s="86"/>
      <c r="E7745" s="25">
        <f>cbalSI4CodeR2</f>
        <v>0</v>
      </c>
      <c r="F7745" s="28"/>
    </row>
    <row r="7746" spans="2:6">
      <c r="B7746" s="26">
        <v>2</v>
      </c>
      <c r="C7746" s="26">
        <v>0</v>
      </c>
      <c r="D7746" s="87"/>
      <c r="E7746" s="26">
        <f>cbalSI5CodeR2</f>
        <v>0</v>
      </c>
      <c r="F7746" s="28"/>
    </row>
    <row r="7747" spans="2:6">
      <c r="B7747" s="6">
        <v>3</v>
      </c>
      <c r="C7747" s="6">
        <v>0</v>
      </c>
      <c r="D7747" s="86"/>
      <c r="E7747" s="25">
        <f>cbalSI1CodeR3</f>
        <v>0</v>
      </c>
      <c r="F7747" s="28"/>
    </row>
    <row r="7748" spans="2:6">
      <c r="B7748" s="6">
        <v>3</v>
      </c>
      <c r="C7748" s="6">
        <v>0</v>
      </c>
      <c r="D7748" s="86"/>
      <c r="E7748" s="25">
        <f>cbalSI2CodeR3</f>
        <v>0</v>
      </c>
      <c r="F7748" s="28"/>
    </row>
    <row r="7749" spans="2:6">
      <c r="B7749" s="6">
        <v>3</v>
      </c>
      <c r="C7749" s="6">
        <v>0</v>
      </c>
      <c r="D7749" s="86"/>
      <c r="E7749" s="25">
        <f>cbalSI3CodeR3</f>
        <v>0</v>
      </c>
      <c r="F7749" s="28"/>
    </row>
    <row r="7750" spans="2:6">
      <c r="B7750" s="6">
        <v>3</v>
      </c>
      <c r="C7750" s="6">
        <v>0</v>
      </c>
      <c r="D7750" s="86"/>
      <c r="E7750" s="25">
        <f>cbalSI4CodeR3</f>
        <v>0</v>
      </c>
      <c r="F7750" s="28"/>
    </row>
    <row r="7751" spans="2:6">
      <c r="B7751" s="6">
        <v>3</v>
      </c>
      <c r="C7751" s="6">
        <v>0</v>
      </c>
      <c r="D7751" s="86"/>
      <c r="E7751" s="25">
        <f>cbalSI5CodeR3</f>
        <v>0</v>
      </c>
      <c r="F7751" s="28"/>
    </row>
    <row r="7752" spans="2:6">
      <c r="E7752" s="6"/>
    </row>
    <row r="7753" spans="2:6">
      <c r="B7753" s="88" t="s">
        <v>208</v>
      </c>
    </row>
    <row r="7754" spans="2:6">
      <c r="C7754" s="89" t="s">
        <v>80</v>
      </c>
      <c r="D7754" s="6" t="s">
        <v>81</v>
      </c>
    </row>
    <row r="7755" spans="2:6">
      <c r="C7755" s="149">
        <v>2</v>
      </c>
      <c r="D7755" s="82">
        <v>1</v>
      </c>
      <c r="E7755" s="24" t="b">
        <f>COUNTIF(E$7737:E$7751,$D7755)&gt;0</f>
        <v>0</v>
      </c>
    </row>
    <row r="7756" spans="2:6">
      <c r="C7756" s="149">
        <v>3</v>
      </c>
      <c r="D7756" s="83">
        <v>2</v>
      </c>
      <c r="E7756" s="25" t="b">
        <f t="shared" ref="E7756:E7794" si="0">COUNTIF(E$7737:E$7751,$D7756)&gt;0</f>
        <v>0</v>
      </c>
    </row>
    <row r="7757" spans="2:6">
      <c r="C7757" s="149">
        <v>4</v>
      </c>
      <c r="D7757" s="83">
        <v>3</v>
      </c>
      <c r="E7757" s="25" t="b">
        <f t="shared" si="0"/>
        <v>0</v>
      </c>
    </row>
    <row r="7758" spans="2:6">
      <c r="C7758" s="149">
        <v>5</v>
      </c>
      <c r="D7758" s="83">
        <v>4</v>
      </c>
      <c r="E7758" s="25" t="b">
        <f>COUNTIF(E$7737:E$7751,$D7758)&gt;0</f>
        <v>0</v>
      </c>
    </row>
    <row r="7759" spans="2:6">
      <c r="C7759" s="149">
        <v>6</v>
      </c>
      <c r="D7759" s="83">
        <v>5</v>
      </c>
      <c r="E7759" s="25" t="b">
        <f t="shared" si="0"/>
        <v>0</v>
      </c>
    </row>
    <row r="7760" spans="2:6">
      <c r="C7760" s="149">
        <v>7</v>
      </c>
      <c r="D7760" s="83">
        <v>6</v>
      </c>
      <c r="E7760" s="25" t="b">
        <f t="shared" si="0"/>
        <v>0</v>
      </c>
    </row>
    <row r="7761" spans="3:5">
      <c r="C7761" s="149">
        <v>8</v>
      </c>
      <c r="D7761" s="83">
        <v>7</v>
      </c>
      <c r="E7761" s="25" t="b">
        <f t="shared" si="0"/>
        <v>0</v>
      </c>
    </row>
    <row r="7762" spans="3:5">
      <c r="C7762" s="149">
        <v>9</v>
      </c>
      <c r="D7762" s="83">
        <v>8</v>
      </c>
      <c r="E7762" s="25" t="b">
        <f t="shared" si="0"/>
        <v>0</v>
      </c>
    </row>
    <row r="7763" spans="3:5">
      <c r="C7763" s="149">
        <v>10</v>
      </c>
      <c r="D7763" s="83">
        <v>9</v>
      </c>
      <c r="E7763" s="25" t="b">
        <f t="shared" si="0"/>
        <v>0</v>
      </c>
    </row>
    <row r="7764" spans="3:5">
      <c r="C7764" s="149">
        <v>11</v>
      </c>
      <c r="D7764" s="83">
        <v>10</v>
      </c>
      <c r="E7764" s="25" t="b">
        <f t="shared" si="0"/>
        <v>0</v>
      </c>
    </row>
    <row r="7765" spans="3:5">
      <c r="C7765" s="149">
        <v>12</v>
      </c>
      <c r="D7765" s="83">
        <v>11</v>
      </c>
      <c r="E7765" s="25" t="b">
        <f t="shared" si="0"/>
        <v>0</v>
      </c>
    </row>
    <row r="7766" spans="3:5">
      <c r="C7766" s="149">
        <v>13</v>
      </c>
      <c r="D7766" s="83">
        <v>12</v>
      </c>
      <c r="E7766" s="25" t="b">
        <f t="shared" si="0"/>
        <v>0</v>
      </c>
    </row>
    <row r="7767" spans="3:5">
      <c r="C7767" s="149">
        <v>14</v>
      </c>
      <c r="D7767" s="83">
        <v>13</v>
      </c>
      <c r="E7767" s="25" t="b">
        <f t="shared" si="0"/>
        <v>0</v>
      </c>
    </row>
    <row r="7768" spans="3:5">
      <c r="C7768" s="149">
        <v>15</v>
      </c>
      <c r="D7768" s="83">
        <v>14</v>
      </c>
      <c r="E7768" s="25" t="b">
        <f t="shared" si="0"/>
        <v>0</v>
      </c>
    </row>
    <row r="7769" spans="3:5">
      <c r="C7769" s="149">
        <v>16</v>
      </c>
      <c r="D7769" s="83">
        <v>15</v>
      </c>
      <c r="E7769" s="25" t="b">
        <f t="shared" si="0"/>
        <v>0</v>
      </c>
    </row>
    <row r="7770" spans="3:5">
      <c r="C7770" s="149">
        <v>17</v>
      </c>
      <c r="D7770" s="83">
        <v>16</v>
      </c>
      <c r="E7770" s="25" t="b">
        <f t="shared" si="0"/>
        <v>0</v>
      </c>
    </row>
    <row r="7771" spans="3:5">
      <c r="C7771" s="149">
        <v>18</v>
      </c>
      <c r="D7771" s="83">
        <v>17</v>
      </c>
      <c r="E7771" s="25" t="b">
        <f t="shared" si="0"/>
        <v>0</v>
      </c>
    </row>
    <row r="7772" spans="3:5">
      <c r="C7772" s="149">
        <v>19</v>
      </c>
      <c r="D7772" s="83">
        <v>18</v>
      </c>
      <c r="E7772" s="25" t="b">
        <f t="shared" si="0"/>
        <v>0</v>
      </c>
    </row>
    <row r="7773" spans="3:5">
      <c r="C7773" s="149">
        <v>20</v>
      </c>
      <c r="D7773" s="83">
        <v>19</v>
      </c>
      <c r="E7773" s="25" t="b">
        <f t="shared" si="0"/>
        <v>0</v>
      </c>
    </row>
    <row r="7774" spans="3:5">
      <c r="C7774" s="149">
        <v>21</v>
      </c>
      <c r="D7774" s="83">
        <v>20</v>
      </c>
      <c r="E7774" s="25" t="b">
        <f t="shared" si="0"/>
        <v>0</v>
      </c>
    </row>
    <row r="7775" spans="3:5">
      <c r="C7775" s="149">
        <v>22</v>
      </c>
      <c r="D7775" s="83">
        <v>21</v>
      </c>
      <c r="E7775" s="25" t="b">
        <f t="shared" si="0"/>
        <v>0</v>
      </c>
    </row>
    <row r="7776" spans="3:5">
      <c r="C7776" s="149">
        <v>23</v>
      </c>
      <c r="D7776" s="83">
        <v>22</v>
      </c>
      <c r="E7776" s="25" t="b">
        <f t="shared" si="0"/>
        <v>0</v>
      </c>
    </row>
    <row r="7777" spans="3:5">
      <c r="C7777" s="149">
        <v>24</v>
      </c>
      <c r="D7777" s="83">
        <v>23</v>
      </c>
      <c r="E7777" s="25" t="b">
        <f t="shared" si="0"/>
        <v>0</v>
      </c>
    </row>
    <row r="7778" spans="3:5">
      <c r="C7778" s="149">
        <v>25</v>
      </c>
      <c r="D7778" s="83">
        <v>24</v>
      </c>
      <c r="E7778" s="25" t="b">
        <f t="shared" si="0"/>
        <v>0</v>
      </c>
    </row>
    <row r="7779" spans="3:5">
      <c r="C7779" s="149">
        <v>26</v>
      </c>
      <c r="D7779" s="83">
        <v>25</v>
      </c>
      <c r="E7779" s="25" t="b">
        <f t="shared" si="0"/>
        <v>0</v>
      </c>
    </row>
    <row r="7780" spans="3:5">
      <c r="C7780" s="149">
        <v>27</v>
      </c>
      <c r="D7780" s="83">
        <v>26</v>
      </c>
      <c r="E7780" s="25" t="b">
        <f t="shared" si="0"/>
        <v>0</v>
      </c>
    </row>
    <row r="7781" spans="3:5">
      <c r="C7781" s="149">
        <v>28</v>
      </c>
      <c r="D7781" s="83">
        <v>27</v>
      </c>
      <c r="E7781" s="25" t="b">
        <f t="shared" si="0"/>
        <v>0</v>
      </c>
    </row>
    <row r="7782" spans="3:5">
      <c r="C7782" s="149">
        <v>29</v>
      </c>
      <c r="D7782" s="83">
        <v>28</v>
      </c>
      <c r="E7782" s="25" t="b">
        <f t="shared" si="0"/>
        <v>0</v>
      </c>
    </row>
    <row r="7783" spans="3:5">
      <c r="C7783" s="149">
        <v>30</v>
      </c>
      <c r="D7783" s="83">
        <v>29</v>
      </c>
      <c r="E7783" s="25" t="b">
        <f t="shared" si="0"/>
        <v>0</v>
      </c>
    </row>
    <row r="7784" spans="3:5">
      <c r="C7784" s="149">
        <v>31</v>
      </c>
      <c r="D7784" s="83">
        <v>30</v>
      </c>
      <c r="E7784" s="25" t="b">
        <f t="shared" si="0"/>
        <v>0</v>
      </c>
    </row>
    <row r="7785" spans="3:5">
      <c r="C7785" s="149">
        <v>32</v>
      </c>
      <c r="D7785" s="83">
        <v>31</v>
      </c>
      <c r="E7785" s="25" t="b">
        <f t="shared" si="0"/>
        <v>0</v>
      </c>
    </row>
    <row r="7786" spans="3:5">
      <c r="C7786" s="149">
        <v>33</v>
      </c>
      <c r="D7786" s="83">
        <v>32</v>
      </c>
      <c r="E7786" s="25" t="b">
        <f t="shared" si="0"/>
        <v>0</v>
      </c>
    </row>
    <row r="7787" spans="3:5">
      <c r="C7787" s="149">
        <v>34</v>
      </c>
      <c r="D7787" s="83">
        <v>33</v>
      </c>
      <c r="E7787" s="25" t="b">
        <f t="shared" si="0"/>
        <v>0</v>
      </c>
    </row>
    <row r="7788" spans="3:5">
      <c r="C7788" s="149">
        <v>35</v>
      </c>
      <c r="D7788" s="83">
        <v>34</v>
      </c>
      <c r="E7788" s="25" t="b">
        <f t="shared" si="0"/>
        <v>0</v>
      </c>
    </row>
    <row r="7789" spans="3:5">
      <c r="C7789" s="149">
        <v>36</v>
      </c>
      <c r="D7789" s="83">
        <v>35</v>
      </c>
      <c r="E7789" s="25" t="b">
        <f t="shared" si="0"/>
        <v>0</v>
      </c>
    </row>
    <row r="7790" spans="3:5">
      <c r="C7790" s="149">
        <v>37</v>
      </c>
      <c r="D7790" s="83">
        <v>36</v>
      </c>
      <c r="E7790" s="25" t="b">
        <f t="shared" si="0"/>
        <v>0</v>
      </c>
    </row>
    <row r="7791" spans="3:5">
      <c r="C7791" s="149">
        <v>38</v>
      </c>
      <c r="D7791" s="83">
        <v>37</v>
      </c>
      <c r="E7791" s="25" t="b">
        <f t="shared" si="0"/>
        <v>0</v>
      </c>
    </row>
    <row r="7792" spans="3:5">
      <c r="C7792" s="149">
        <v>39</v>
      </c>
      <c r="D7792" s="83">
        <v>38</v>
      </c>
      <c r="E7792" s="25" t="b">
        <f t="shared" si="0"/>
        <v>0</v>
      </c>
    </row>
    <row r="7793" spans="2:5">
      <c r="C7793" s="149">
        <v>40</v>
      </c>
      <c r="D7793" s="83">
        <v>39</v>
      </c>
      <c r="E7793" s="25" t="b">
        <f t="shared" si="0"/>
        <v>0</v>
      </c>
    </row>
    <row r="7794" spans="2:5">
      <c r="C7794" s="149">
        <v>41</v>
      </c>
      <c r="D7794" s="84">
        <v>40</v>
      </c>
      <c r="E7794" s="26" t="b">
        <f t="shared" si="0"/>
        <v>0</v>
      </c>
    </row>
    <row r="7795" spans="2:5">
      <c r="D7795" s="6"/>
    </row>
    <row r="7796" spans="2:5">
      <c r="B7796" s="88" t="s">
        <v>209</v>
      </c>
    </row>
    <row r="7797" spans="2:5">
      <c r="C7797" s="89" t="s">
        <v>80</v>
      </c>
      <c r="D7797" s="6" t="s">
        <v>81</v>
      </c>
    </row>
    <row r="7798" spans="2:5">
      <c r="C7798" s="149">
        <v>2</v>
      </c>
      <c r="D7798" s="82">
        <v>1</v>
      </c>
      <c r="E7798" s="24">
        <f>IF(ISNA(MATCH($D7798,E$7737:E$7751,0)),0,INDEX($C$7737:$C$7751,MATCH($D7798,E$7737:E$7751,0)))</f>
        <v>0</v>
      </c>
    </row>
    <row r="7799" spans="2:5">
      <c r="C7799" s="149">
        <v>3</v>
      </c>
      <c r="D7799" s="83">
        <v>2</v>
      </c>
      <c r="E7799" s="25">
        <f t="shared" ref="E7799:E7837" si="1">IF(ISNA(MATCH($D7799,E$7737:E$7751,0)),0,INDEX($C$7737:$C$7751,MATCH($D7799,E$7737:E$7751,0)))</f>
        <v>0</v>
      </c>
    </row>
    <row r="7800" spans="2:5">
      <c r="C7800" s="149">
        <v>4</v>
      </c>
      <c r="D7800" s="83">
        <v>3</v>
      </c>
      <c r="E7800" s="25">
        <f t="shared" si="1"/>
        <v>0</v>
      </c>
    </row>
    <row r="7801" spans="2:5">
      <c r="C7801" s="149">
        <v>5</v>
      </c>
      <c r="D7801" s="83">
        <v>4</v>
      </c>
      <c r="E7801" s="25">
        <f t="shared" si="1"/>
        <v>0</v>
      </c>
    </row>
    <row r="7802" spans="2:5">
      <c r="C7802" s="149">
        <v>6</v>
      </c>
      <c r="D7802" s="83">
        <v>5</v>
      </c>
      <c r="E7802" s="25">
        <f t="shared" si="1"/>
        <v>0</v>
      </c>
    </row>
    <row r="7803" spans="2:5">
      <c r="C7803" s="149">
        <v>7</v>
      </c>
      <c r="D7803" s="83">
        <v>6</v>
      </c>
      <c r="E7803" s="25">
        <f t="shared" si="1"/>
        <v>0</v>
      </c>
    </row>
    <row r="7804" spans="2:5">
      <c r="C7804" s="149">
        <v>8</v>
      </c>
      <c r="D7804" s="83">
        <v>7</v>
      </c>
      <c r="E7804" s="25">
        <f t="shared" si="1"/>
        <v>0</v>
      </c>
    </row>
    <row r="7805" spans="2:5">
      <c r="C7805" s="149">
        <v>9</v>
      </c>
      <c r="D7805" s="83">
        <v>8</v>
      </c>
      <c r="E7805" s="25">
        <f t="shared" si="1"/>
        <v>0</v>
      </c>
    </row>
    <row r="7806" spans="2:5">
      <c r="C7806" s="149">
        <v>10</v>
      </c>
      <c r="D7806" s="83">
        <v>9</v>
      </c>
      <c r="E7806" s="25">
        <f t="shared" si="1"/>
        <v>0</v>
      </c>
    </row>
    <row r="7807" spans="2:5">
      <c r="C7807" s="149">
        <v>11</v>
      </c>
      <c r="D7807" s="83">
        <v>10</v>
      </c>
      <c r="E7807" s="25">
        <f t="shared" si="1"/>
        <v>0</v>
      </c>
    </row>
    <row r="7808" spans="2:5">
      <c r="C7808" s="149">
        <v>12</v>
      </c>
      <c r="D7808" s="83">
        <v>11</v>
      </c>
      <c r="E7808" s="25">
        <f t="shared" si="1"/>
        <v>0</v>
      </c>
    </row>
    <row r="7809" spans="3:5">
      <c r="C7809" s="149">
        <v>13</v>
      </c>
      <c r="D7809" s="83">
        <v>12</v>
      </c>
      <c r="E7809" s="25">
        <f t="shared" si="1"/>
        <v>0</v>
      </c>
    </row>
    <row r="7810" spans="3:5">
      <c r="C7810" s="149">
        <v>14</v>
      </c>
      <c r="D7810" s="83">
        <v>13</v>
      </c>
      <c r="E7810" s="25">
        <f t="shared" si="1"/>
        <v>0</v>
      </c>
    </row>
    <row r="7811" spans="3:5">
      <c r="C7811" s="149">
        <v>15</v>
      </c>
      <c r="D7811" s="83">
        <v>14</v>
      </c>
      <c r="E7811" s="25">
        <f t="shared" si="1"/>
        <v>0</v>
      </c>
    </row>
    <row r="7812" spans="3:5">
      <c r="C7812" s="149">
        <v>16</v>
      </c>
      <c r="D7812" s="83">
        <v>15</v>
      </c>
      <c r="E7812" s="25">
        <f t="shared" si="1"/>
        <v>0</v>
      </c>
    </row>
    <row r="7813" spans="3:5">
      <c r="C7813" s="149">
        <v>17</v>
      </c>
      <c r="D7813" s="83">
        <v>16</v>
      </c>
      <c r="E7813" s="25">
        <f t="shared" si="1"/>
        <v>0</v>
      </c>
    </row>
    <row r="7814" spans="3:5">
      <c r="C7814" s="149">
        <v>18</v>
      </c>
      <c r="D7814" s="83">
        <v>17</v>
      </c>
      <c r="E7814" s="25">
        <f t="shared" si="1"/>
        <v>0</v>
      </c>
    </row>
    <row r="7815" spans="3:5">
      <c r="C7815" s="149">
        <v>19</v>
      </c>
      <c r="D7815" s="83">
        <v>18</v>
      </c>
      <c r="E7815" s="25">
        <f t="shared" si="1"/>
        <v>0</v>
      </c>
    </row>
    <row r="7816" spans="3:5">
      <c r="C7816" s="149">
        <v>20</v>
      </c>
      <c r="D7816" s="83">
        <v>19</v>
      </c>
      <c r="E7816" s="25">
        <f t="shared" si="1"/>
        <v>0</v>
      </c>
    </row>
    <row r="7817" spans="3:5">
      <c r="C7817" s="149">
        <v>21</v>
      </c>
      <c r="D7817" s="83">
        <v>20</v>
      </c>
      <c r="E7817" s="25">
        <f t="shared" si="1"/>
        <v>0</v>
      </c>
    </row>
    <row r="7818" spans="3:5">
      <c r="C7818" s="149">
        <v>22</v>
      </c>
      <c r="D7818" s="83">
        <v>21</v>
      </c>
      <c r="E7818" s="25">
        <f t="shared" si="1"/>
        <v>0</v>
      </c>
    </row>
    <row r="7819" spans="3:5">
      <c r="C7819" s="149">
        <v>23</v>
      </c>
      <c r="D7819" s="83">
        <v>22</v>
      </c>
      <c r="E7819" s="25">
        <f t="shared" si="1"/>
        <v>0</v>
      </c>
    </row>
    <row r="7820" spans="3:5">
      <c r="C7820" s="149">
        <v>24</v>
      </c>
      <c r="D7820" s="83">
        <v>23</v>
      </c>
      <c r="E7820" s="25">
        <f t="shared" si="1"/>
        <v>0</v>
      </c>
    </row>
    <row r="7821" spans="3:5">
      <c r="C7821" s="149">
        <v>25</v>
      </c>
      <c r="D7821" s="83">
        <v>24</v>
      </c>
      <c r="E7821" s="25">
        <f t="shared" si="1"/>
        <v>0</v>
      </c>
    </row>
    <row r="7822" spans="3:5">
      <c r="C7822" s="149">
        <v>26</v>
      </c>
      <c r="D7822" s="83">
        <v>25</v>
      </c>
      <c r="E7822" s="25">
        <f t="shared" si="1"/>
        <v>0</v>
      </c>
    </row>
    <row r="7823" spans="3:5">
      <c r="C7823" s="149">
        <v>27</v>
      </c>
      <c r="D7823" s="83">
        <v>26</v>
      </c>
      <c r="E7823" s="25">
        <f t="shared" si="1"/>
        <v>0</v>
      </c>
    </row>
    <row r="7824" spans="3:5">
      <c r="C7824" s="149">
        <v>28</v>
      </c>
      <c r="D7824" s="83">
        <v>27</v>
      </c>
      <c r="E7824" s="25">
        <f t="shared" si="1"/>
        <v>0</v>
      </c>
    </row>
    <row r="7825" spans="3:5">
      <c r="C7825" s="149">
        <v>29</v>
      </c>
      <c r="D7825" s="83">
        <v>28</v>
      </c>
      <c r="E7825" s="25">
        <f t="shared" si="1"/>
        <v>0</v>
      </c>
    </row>
    <row r="7826" spans="3:5">
      <c r="C7826" s="149">
        <v>30</v>
      </c>
      <c r="D7826" s="83">
        <v>29</v>
      </c>
      <c r="E7826" s="25">
        <f t="shared" si="1"/>
        <v>0</v>
      </c>
    </row>
    <row r="7827" spans="3:5">
      <c r="C7827" s="149">
        <v>31</v>
      </c>
      <c r="D7827" s="83">
        <v>30</v>
      </c>
      <c r="E7827" s="25">
        <f t="shared" si="1"/>
        <v>0</v>
      </c>
    </row>
    <row r="7828" spans="3:5">
      <c r="C7828" s="149">
        <v>32</v>
      </c>
      <c r="D7828" s="83">
        <v>31</v>
      </c>
      <c r="E7828" s="25">
        <f t="shared" si="1"/>
        <v>0</v>
      </c>
    </row>
    <row r="7829" spans="3:5">
      <c r="C7829" s="149">
        <v>33</v>
      </c>
      <c r="D7829" s="83">
        <v>32</v>
      </c>
      <c r="E7829" s="25">
        <f t="shared" si="1"/>
        <v>0</v>
      </c>
    </row>
    <row r="7830" spans="3:5">
      <c r="C7830" s="149">
        <v>34</v>
      </c>
      <c r="D7830" s="83">
        <v>33</v>
      </c>
      <c r="E7830" s="25">
        <f t="shared" si="1"/>
        <v>0</v>
      </c>
    </row>
    <row r="7831" spans="3:5">
      <c r="C7831" s="149">
        <v>35</v>
      </c>
      <c r="D7831" s="83">
        <v>34</v>
      </c>
      <c r="E7831" s="25">
        <f t="shared" si="1"/>
        <v>0</v>
      </c>
    </row>
    <row r="7832" spans="3:5">
      <c r="C7832" s="149">
        <v>36</v>
      </c>
      <c r="D7832" s="83">
        <v>35</v>
      </c>
      <c r="E7832" s="25">
        <f t="shared" si="1"/>
        <v>0</v>
      </c>
    </row>
    <row r="7833" spans="3:5">
      <c r="C7833" s="149">
        <v>37</v>
      </c>
      <c r="D7833" s="83">
        <v>36</v>
      </c>
      <c r="E7833" s="25">
        <f t="shared" si="1"/>
        <v>0</v>
      </c>
    </row>
    <row r="7834" spans="3:5">
      <c r="C7834" s="149">
        <v>38</v>
      </c>
      <c r="D7834" s="83">
        <v>37</v>
      </c>
      <c r="E7834" s="25">
        <f t="shared" si="1"/>
        <v>0</v>
      </c>
    </row>
    <row r="7835" spans="3:5">
      <c r="C7835" s="149">
        <v>39</v>
      </c>
      <c r="D7835" s="83">
        <v>38</v>
      </c>
      <c r="E7835" s="25">
        <f t="shared" si="1"/>
        <v>0</v>
      </c>
    </row>
    <row r="7836" spans="3:5">
      <c r="C7836" s="149">
        <v>40</v>
      </c>
      <c r="D7836" s="83">
        <v>39</v>
      </c>
      <c r="E7836" s="25">
        <f t="shared" si="1"/>
        <v>0</v>
      </c>
    </row>
    <row r="7837" spans="3:5">
      <c r="C7837" s="149">
        <v>41</v>
      </c>
      <c r="D7837" s="84">
        <v>40</v>
      </c>
      <c r="E7837" s="26">
        <f t="shared" si="1"/>
        <v>0</v>
      </c>
    </row>
    <row r="7839" spans="3:5" s="614" customFormat="1"/>
    <row r="7840" spans="3:5" s="614" customFormat="1"/>
    <row r="7841" spans="1:6" s="614" customFormat="1"/>
    <row r="7844" spans="1:6" s="647" customFormat="1">
      <c r="A7844" s="616" t="s">
        <v>1821</v>
      </c>
    </row>
    <row r="7846" spans="1:6" s="614" customFormat="1">
      <c r="A7846" s="633" t="s">
        <v>10306</v>
      </c>
    </row>
    <row r="7847" spans="1:6" s="614" customFormat="1">
      <c r="A7847" s="633"/>
    </row>
    <row r="7848" spans="1:6" s="614" customFormat="1">
      <c r="A7848" s="633"/>
      <c r="D7848" s="614" t="s">
        <v>14007</v>
      </c>
      <c r="E7848" s="653">
        <f>finCalcCh1Prod1Slot1VolSold+finCalcCh1Prod1Slot2VolSold+finCalcCh1Prod1Slot3VolSold+finCalcCh1Prod2Slot1VolSold+finCalcCh1Prod2Slot2VolSold+finCalcCh1Prod2Slot3VolSold+finCalcCh1Prod3Slot1VolSold+finCalcCh1Prod3Slot2VolSold+finCalcCh1Prod3Slot3VolSold+finCalcCh1Prod4Slot1VolSold+finCalcCh1Prod4Slot2VolSold+finCalcCh1Prod4Slot3VolSold</f>
        <v>362489024.24000001</v>
      </c>
      <c r="F7848" s="614" t="s">
        <v>10308</v>
      </c>
    </row>
    <row r="7849" spans="1:6">
      <c r="B7849" s="633" t="s">
        <v>244</v>
      </c>
    </row>
    <row r="7850" spans="1:6">
      <c r="C7850" s="23" t="s">
        <v>12868</v>
      </c>
    </row>
    <row r="7851" spans="1:6">
      <c r="D7851" s="23" t="s">
        <v>379</v>
      </c>
      <c r="E7851" s="690">
        <f>finCalcCh1Prod1Slot1VolSold/calcCh1TotalVolSold</f>
        <v>0.16000005617163179</v>
      </c>
      <c r="F7851" s="23" t="s">
        <v>13277</v>
      </c>
    </row>
    <row r="7852" spans="1:6">
      <c r="D7852" s="614" t="s">
        <v>394</v>
      </c>
      <c r="E7852" s="690">
        <f>finCalcCh1Prod1Slot2VolSold/calcCh1TotalVolSold</f>
        <v>0</v>
      </c>
      <c r="F7852" s="614" t="s">
        <v>13278</v>
      </c>
    </row>
    <row r="7853" spans="1:6">
      <c r="D7853" s="614" t="s">
        <v>395</v>
      </c>
      <c r="E7853" s="690">
        <f>finCalcCh1Prod1Slot3VolSold/calcCh1TotalVolSold</f>
        <v>0</v>
      </c>
      <c r="F7853" s="614" t="s">
        <v>13279</v>
      </c>
    </row>
    <row r="7854" spans="1:6">
      <c r="C7854" s="23" t="s">
        <v>238</v>
      </c>
      <c r="E7854" s="614"/>
    </row>
    <row r="7855" spans="1:6">
      <c r="D7855" s="614" t="s">
        <v>379</v>
      </c>
      <c r="E7855" s="690">
        <f>finCalcCh1Prod2Slot1VolSold/calcCh1TotalVolSold</f>
        <v>0.22679998483365937</v>
      </c>
      <c r="F7855" s="614" t="s">
        <v>13280</v>
      </c>
    </row>
    <row r="7856" spans="1:6">
      <c r="D7856" s="614" t="s">
        <v>394</v>
      </c>
      <c r="E7856" s="690">
        <f>finCalcCh1Prod2Slot2VolSold/calcCh1TotalVolSold</f>
        <v>0.27719998146336156</v>
      </c>
      <c r="F7856" s="614" t="s">
        <v>13281</v>
      </c>
    </row>
    <row r="7857" spans="2:6">
      <c r="D7857" s="614" t="s">
        <v>395</v>
      </c>
      <c r="E7857" s="690">
        <f>finCalcCh1Prod2Slot3VolSold/calcCh1TotalVolSold</f>
        <v>0</v>
      </c>
      <c r="F7857" s="614" t="s">
        <v>13282</v>
      </c>
    </row>
    <row r="7858" spans="2:6">
      <c r="C7858" s="614" t="s">
        <v>239</v>
      </c>
      <c r="D7858" s="614"/>
      <c r="E7858" s="614"/>
    </row>
    <row r="7859" spans="2:6">
      <c r="C7859" s="614"/>
      <c r="D7859" s="614" t="s">
        <v>379</v>
      </c>
      <c r="E7859" s="690">
        <f>finCalcCh1Prod3Slot1VolSold/calcCh1TotalVolSold</f>
        <v>0.13439999101253891</v>
      </c>
      <c r="F7859" s="614" t="s">
        <v>13286</v>
      </c>
    </row>
    <row r="7860" spans="2:6">
      <c r="C7860" s="614"/>
      <c r="D7860" s="614" t="s">
        <v>394</v>
      </c>
      <c r="E7860" s="690">
        <f>finCalcCh1Prod3Slot2VolSold/calcCh1TotalVolSold</f>
        <v>0.20159998651880834</v>
      </c>
      <c r="F7860" s="614" t="s">
        <v>13287</v>
      </c>
    </row>
    <row r="7861" spans="2:6">
      <c r="C7861" s="614"/>
      <c r="D7861" s="614" t="s">
        <v>395</v>
      </c>
      <c r="E7861" s="690">
        <f>finCalcCh1Prod3Slot3VolSold/calcCh1TotalVolSold</f>
        <v>0</v>
      </c>
      <c r="F7861" s="614" t="s">
        <v>13288</v>
      </c>
    </row>
    <row r="7862" spans="2:6">
      <c r="C7862" s="23" t="s">
        <v>240</v>
      </c>
      <c r="E7862" s="614"/>
    </row>
    <row r="7863" spans="2:6">
      <c r="D7863" s="614" t="s">
        <v>379</v>
      </c>
      <c r="E7863" s="690">
        <f>finCalcCh1Prod4Slot1VolSold/calcCh1TotalVolSold</f>
        <v>0</v>
      </c>
      <c r="F7863" s="614" t="s">
        <v>13283</v>
      </c>
    </row>
    <row r="7864" spans="2:6">
      <c r="D7864" s="614" t="s">
        <v>394</v>
      </c>
      <c r="E7864" s="690">
        <f>finCalcCh1Prod4Slot2VolSold/calcCh1TotalVolSold</f>
        <v>0</v>
      </c>
      <c r="F7864" s="614" t="s">
        <v>13284</v>
      </c>
    </row>
    <row r="7865" spans="2:6">
      <c r="D7865" s="614" t="s">
        <v>395</v>
      </c>
      <c r="E7865" s="690">
        <f>finCalcCh1Prod4Slot3VolSold/calcCh1TotalVolSold</f>
        <v>0</v>
      </c>
      <c r="F7865" s="614" t="s">
        <v>13285</v>
      </c>
    </row>
    <row r="7866" spans="2:6" s="614" customFormat="1">
      <c r="C7866" s="633" t="s">
        <v>10307</v>
      </c>
      <c r="D7866" s="633"/>
      <c r="E7866" s="924">
        <f>SUM(E7851:E7865)</f>
        <v>1</v>
      </c>
    </row>
    <row r="7867" spans="2:6" s="614" customFormat="1">
      <c r="E7867" s="690"/>
    </row>
    <row r="7868" spans="2:6" s="614" customFormat="1">
      <c r="D7868" s="614" t="s">
        <v>14008</v>
      </c>
      <c r="E7868" s="653">
        <f>finCalcCh2Prod1Slot1VolSold+finCalcCh2Prod1Slot2VolSold+finCalcCh2Prod1Slot3VolSold+finCalcCh2Prod2Slot1VolSold+finCalcCh2Prod2Slot2VolSold+finCalcCh2Prod2Slot3VolSold+finCalcCh2Prod3Slot1VolSold+finCalcCh2Prod3Slot2VolSold+finCalcCh2Prod3Slot3VolSold+finCalcCh2Prod4Slot1VolSold+finCalcCh2Prod4Slot2VolSold+finCalcCh2Prod4Slot3VolSold</f>
        <v>263209499.99999994</v>
      </c>
      <c r="F7868" s="614" t="s">
        <v>10309</v>
      </c>
    </row>
    <row r="7869" spans="2:6">
      <c r="B7869" s="633" t="s">
        <v>245</v>
      </c>
      <c r="C7869" s="614"/>
      <c r="D7869" s="614"/>
      <c r="E7869" s="276"/>
    </row>
    <row r="7870" spans="2:6">
      <c r="B7870" s="614"/>
      <c r="C7870" s="614" t="s">
        <v>12868</v>
      </c>
      <c r="D7870" s="614"/>
      <c r="F7870" s="614"/>
    </row>
    <row r="7871" spans="2:6">
      <c r="B7871" s="614"/>
      <c r="C7871" s="614"/>
      <c r="D7871" s="614" t="s">
        <v>379</v>
      </c>
      <c r="E7871" s="690">
        <f>finCalcCh2Prod1Slot1VolSold/calcCh2TotalVolSold</f>
        <v>8.0000000000000016E-2</v>
      </c>
      <c r="F7871" s="614" t="s">
        <v>13289</v>
      </c>
    </row>
    <row r="7872" spans="2:6">
      <c r="B7872" s="614"/>
      <c r="C7872" s="614"/>
      <c r="D7872" s="614" t="s">
        <v>394</v>
      </c>
      <c r="E7872" s="690">
        <f>finCalcCh2Prod1Slot2VolSold/calcCh2TotalVolSold</f>
        <v>0</v>
      </c>
      <c r="F7872" s="614" t="s">
        <v>13290</v>
      </c>
    </row>
    <row r="7873" spans="2:6">
      <c r="B7873" s="614"/>
      <c r="C7873" s="614"/>
      <c r="D7873" s="614" t="s">
        <v>395</v>
      </c>
      <c r="E7873" s="690">
        <f>finCalcCh2Prod1Slot3VolSold/calcCh2TotalVolSold</f>
        <v>0</v>
      </c>
      <c r="F7873" s="614" t="s">
        <v>13291</v>
      </c>
    </row>
    <row r="7874" spans="2:6">
      <c r="B7874" s="614"/>
      <c r="C7874" s="614" t="s">
        <v>238</v>
      </c>
      <c r="D7874" s="614"/>
      <c r="E7874" s="614"/>
      <c r="F7874" s="614"/>
    </row>
    <row r="7875" spans="2:6">
      <c r="B7875" s="614"/>
      <c r="C7875" s="614"/>
      <c r="D7875" s="614" t="s">
        <v>379</v>
      </c>
      <c r="E7875" s="690">
        <f>finCalcCh2Prod2Slot1VolSold/calcCh2TotalVolSold</f>
        <v>0.55200000000000005</v>
      </c>
      <c r="F7875" s="614" t="s">
        <v>13292</v>
      </c>
    </row>
    <row r="7876" spans="2:6">
      <c r="B7876" s="614"/>
      <c r="C7876" s="614"/>
      <c r="D7876" s="614" t="s">
        <v>394</v>
      </c>
      <c r="E7876" s="690">
        <f>finCalcCh2Prod2Slot2VolSold/calcCh2TotalVolSold</f>
        <v>0</v>
      </c>
      <c r="F7876" s="614" t="s">
        <v>13293</v>
      </c>
    </row>
    <row r="7877" spans="2:6">
      <c r="B7877" s="614"/>
      <c r="C7877" s="614"/>
      <c r="D7877" s="614" t="s">
        <v>395</v>
      </c>
      <c r="E7877" s="690">
        <f>finCalcCh2Prod2Slot3VolSold/calcCh2TotalVolSold</f>
        <v>0</v>
      </c>
      <c r="F7877" s="614" t="s">
        <v>13294</v>
      </c>
    </row>
    <row r="7878" spans="2:6">
      <c r="B7878" s="614"/>
      <c r="C7878" s="614" t="s">
        <v>239</v>
      </c>
      <c r="D7878" s="614"/>
      <c r="E7878" s="614"/>
      <c r="F7878" s="614"/>
    </row>
    <row r="7879" spans="2:6">
      <c r="B7879" s="614"/>
      <c r="C7879" s="614"/>
      <c r="D7879" s="614" t="s">
        <v>379</v>
      </c>
      <c r="E7879" s="690">
        <f>finCalcCh2Prod3Slot1VolSold/calcCh2TotalVolSold</f>
        <v>0.36800000000000005</v>
      </c>
      <c r="F7879" s="614" t="s">
        <v>13295</v>
      </c>
    </row>
    <row r="7880" spans="2:6">
      <c r="B7880" s="614"/>
      <c r="C7880" s="614"/>
      <c r="D7880" s="614" t="s">
        <v>394</v>
      </c>
      <c r="E7880" s="690">
        <f>finCalcCh2Prod3Slot2VolSold/calcCh2TotalVolSold</f>
        <v>0</v>
      </c>
      <c r="F7880" s="614" t="s">
        <v>13296</v>
      </c>
    </row>
    <row r="7881" spans="2:6">
      <c r="B7881" s="614"/>
      <c r="C7881" s="614"/>
      <c r="D7881" s="614" t="s">
        <v>395</v>
      </c>
      <c r="E7881" s="690">
        <f>finCalcCh2Prod3Slot3VolSold/calcCh2TotalVolSold</f>
        <v>0</v>
      </c>
      <c r="F7881" s="614" t="s">
        <v>13297</v>
      </c>
    </row>
    <row r="7882" spans="2:6">
      <c r="B7882" s="614"/>
      <c r="C7882" s="614" t="s">
        <v>240</v>
      </c>
      <c r="D7882" s="614"/>
      <c r="E7882" s="614"/>
      <c r="F7882" s="614"/>
    </row>
    <row r="7883" spans="2:6">
      <c r="B7883" s="614"/>
      <c r="C7883" s="614"/>
      <c r="D7883" s="614" t="s">
        <v>379</v>
      </c>
      <c r="E7883" s="690">
        <f>finCalcCh2Prod4Slot1VolSold/calcCh2TotalVolSold</f>
        <v>0</v>
      </c>
      <c r="F7883" s="614" t="s">
        <v>13298</v>
      </c>
    </row>
    <row r="7884" spans="2:6">
      <c r="B7884" s="614"/>
      <c r="C7884" s="614"/>
      <c r="D7884" s="614" t="s">
        <v>394</v>
      </c>
      <c r="E7884" s="690">
        <f>finCalcCh2Prod4Slot2VolSold/calcCh2TotalVolSold</f>
        <v>0</v>
      </c>
      <c r="F7884" s="614" t="s">
        <v>13299</v>
      </c>
    </row>
    <row r="7885" spans="2:6">
      <c r="B7885" s="614"/>
      <c r="C7885" s="614"/>
      <c r="D7885" s="614" t="s">
        <v>395</v>
      </c>
      <c r="E7885" s="690">
        <f>finCalcCh2Prod4Slot3VolSold/calcCh2TotalVolSold</f>
        <v>0</v>
      </c>
      <c r="F7885" s="614" t="s">
        <v>13300</v>
      </c>
    </row>
    <row r="7886" spans="2:6" s="614" customFormat="1">
      <c r="C7886" s="633" t="s">
        <v>10307</v>
      </c>
      <c r="D7886" s="633"/>
      <c r="E7886" s="924">
        <f>SUM(E7871:E7885)</f>
        <v>1.0000000000000002</v>
      </c>
    </row>
    <row r="7887" spans="2:6" s="614" customFormat="1">
      <c r="E7887" s="690"/>
    </row>
    <row r="7888" spans="2:6" s="614" customFormat="1">
      <c r="D7888" s="614" t="s">
        <v>14009</v>
      </c>
      <c r="E7888" s="653">
        <f>finCalcCh3Prod1Slot1VolSold+finCalcCh3Prod1Slot2VolSold+finCalcCh3Prod1Slot3VolSold+finCalcCh3Prod2Slot1VolSold+finCalcCh3Prod2Slot2VolSold+finCalcCh3Prod2Slot3VolSold+finCalcCh3Prod3Slot1VolSold+finCalcCh3Prod3Slot2VolSold+finCalcCh3Prod3Slot3VolSold+finCalcCh3Prod4Slot1VolSold+finCalcCh3Prod4Slot2VolSold+finCalcCh3Prod4Slot3VolSold</f>
        <v>183378500</v>
      </c>
      <c r="F7888" s="614" t="s">
        <v>10310</v>
      </c>
    </row>
    <row r="7889" spans="2:6">
      <c r="B7889" s="633" t="s">
        <v>5199</v>
      </c>
      <c r="C7889" s="614"/>
      <c r="D7889" s="614"/>
    </row>
    <row r="7890" spans="2:6">
      <c r="B7890" s="614"/>
      <c r="C7890" s="614" t="s">
        <v>12868</v>
      </c>
      <c r="D7890" s="614"/>
      <c r="F7890" s="614"/>
    </row>
    <row r="7891" spans="2:6">
      <c r="B7891" s="614"/>
      <c r="C7891" s="614"/>
      <c r="D7891" s="614" t="s">
        <v>379</v>
      </c>
      <c r="E7891" s="690">
        <f>finCalcCh3Prod1Slot1VolSold/calcCh3TotalVolSold</f>
        <v>0.21</v>
      </c>
      <c r="F7891" s="614" t="s">
        <v>13301</v>
      </c>
    </row>
    <row r="7892" spans="2:6">
      <c r="B7892" s="614"/>
      <c r="C7892" s="614"/>
      <c r="D7892" s="614" t="s">
        <v>394</v>
      </c>
      <c r="E7892" s="690">
        <f>finCalcCh3Prod1Slot2VolSold/calcCh3TotalVolSold</f>
        <v>0</v>
      </c>
      <c r="F7892" s="614" t="s">
        <v>13302</v>
      </c>
    </row>
    <row r="7893" spans="2:6">
      <c r="B7893" s="614"/>
      <c r="C7893" s="614"/>
      <c r="D7893" s="614" t="s">
        <v>395</v>
      </c>
      <c r="E7893" s="690">
        <f>finCalcCh3Prod1Slot3VolSold/calcCh3TotalVolSold</f>
        <v>0</v>
      </c>
      <c r="F7893" s="614" t="s">
        <v>13303</v>
      </c>
    </row>
    <row r="7894" spans="2:6">
      <c r="B7894" s="614"/>
      <c r="C7894" s="614" t="s">
        <v>238</v>
      </c>
      <c r="D7894" s="614"/>
      <c r="E7894" s="614"/>
      <c r="F7894" s="614"/>
    </row>
    <row r="7895" spans="2:6">
      <c r="B7895" s="614"/>
      <c r="C7895" s="614"/>
      <c r="D7895" s="614" t="s">
        <v>379</v>
      </c>
      <c r="E7895" s="690">
        <f>finCalcCh3Prod2Slot1VolSold/calcCh3TotalVolSold</f>
        <v>0.158</v>
      </c>
      <c r="F7895" s="614" t="s">
        <v>13304</v>
      </c>
    </row>
    <row r="7896" spans="2:6">
      <c r="B7896" s="614"/>
      <c r="C7896" s="614"/>
      <c r="D7896" s="614" t="s">
        <v>394</v>
      </c>
      <c r="E7896" s="690">
        <f>finCalcCh3Prod2Slot2VolSold/calcCh3TotalVolSold</f>
        <v>0.23699999999999999</v>
      </c>
      <c r="F7896" s="614" t="s">
        <v>13305</v>
      </c>
    </row>
    <row r="7897" spans="2:6">
      <c r="B7897" s="614"/>
      <c r="C7897" s="614"/>
      <c r="D7897" s="614" t="s">
        <v>395</v>
      </c>
      <c r="E7897" s="690">
        <f>finCalcCh3Prod2Slot3VolSold/calcCh3TotalVolSold</f>
        <v>0</v>
      </c>
      <c r="F7897" s="614" t="s">
        <v>13306</v>
      </c>
    </row>
    <row r="7898" spans="2:6">
      <c r="B7898" s="614"/>
      <c r="C7898" s="614" t="s">
        <v>239</v>
      </c>
      <c r="D7898" s="614"/>
      <c r="E7898" s="614"/>
      <c r="F7898" s="614"/>
    </row>
    <row r="7899" spans="2:6">
      <c r="B7899" s="614"/>
      <c r="C7899" s="614"/>
      <c r="D7899" s="614" t="s">
        <v>379</v>
      </c>
      <c r="E7899" s="690">
        <f>finCalcCh3Prod3Slot1VolSold/calcCh3TotalVolSold</f>
        <v>0.39500000000000002</v>
      </c>
      <c r="F7899" s="614" t="s">
        <v>13307</v>
      </c>
    </row>
    <row r="7900" spans="2:6">
      <c r="B7900" s="614"/>
      <c r="C7900" s="614"/>
      <c r="D7900" s="614" t="s">
        <v>394</v>
      </c>
      <c r="E7900" s="690">
        <f>finCalcCh3Prod3Slot2VolSold/calcCh3TotalVolSold</f>
        <v>0</v>
      </c>
      <c r="F7900" s="614" t="s">
        <v>13308</v>
      </c>
    </row>
    <row r="7901" spans="2:6">
      <c r="B7901" s="614"/>
      <c r="C7901" s="614"/>
      <c r="D7901" s="614" t="s">
        <v>395</v>
      </c>
      <c r="E7901" s="690">
        <f>finCalcCh3Prod3Slot3VolSold/calcCh3TotalVolSold</f>
        <v>0</v>
      </c>
      <c r="F7901" s="614" t="s">
        <v>13309</v>
      </c>
    </row>
    <row r="7902" spans="2:6">
      <c r="B7902" s="614"/>
      <c r="C7902" s="614" t="s">
        <v>240</v>
      </c>
      <c r="D7902" s="614"/>
      <c r="E7902" s="614"/>
      <c r="F7902" s="614"/>
    </row>
    <row r="7903" spans="2:6">
      <c r="B7903" s="614"/>
      <c r="C7903" s="614"/>
      <c r="D7903" s="614" t="s">
        <v>379</v>
      </c>
      <c r="E7903" s="690">
        <f>finCalcCh3Prod4Slot1VolSold/calcCh3TotalVolSold</f>
        <v>0</v>
      </c>
      <c r="F7903" s="614" t="s">
        <v>13310</v>
      </c>
    </row>
    <row r="7904" spans="2:6">
      <c r="B7904" s="614"/>
      <c r="C7904" s="614"/>
      <c r="D7904" s="614" t="s">
        <v>394</v>
      </c>
      <c r="E7904" s="690">
        <f>finCalcCh3Prod4Slot2VolSold/calcCh3TotalVolSold</f>
        <v>0</v>
      </c>
      <c r="F7904" s="614" t="s">
        <v>13311</v>
      </c>
    </row>
    <row r="7905" spans="2:6">
      <c r="B7905" s="614"/>
      <c r="C7905" s="614"/>
      <c r="D7905" s="614" t="s">
        <v>395</v>
      </c>
      <c r="E7905" s="690">
        <f>finCalcCh3Prod4Slot3VolSold/calcCh3TotalVolSold</f>
        <v>0</v>
      </c>
      <c r="F7905" s="614" t="s">
        <v>13312</v>
      </c>
    </row>
    <row r="7906" spans="2:6" s="614" customFormat="1">
      <c r="C7906" s="633" t="s">
        <v>10307</v>
      </c>
      <c r="D7906" s="633"/>
      <c r="E7906" s="924">
        <f>SUM(E7891:E7905)</f>
        <v>1</v>
      </c>
    </row>
    <row r="7907" spans="2:6" s="614" customFormat="1">
      <c r="E7907" s="690"/>
    </row>
    <row r="7908" spans="2:6" s="614" customFormat="1">
      <c r="D7908" s="614" t="s">
        <v>14010</v>
      </c>
      <c r="E7908" s="653">
        <f>finCalcCh4Prod1Slot1VolSold+finCalcCh4Prod1Slot2VolSold+finCalcCh4Prod1Slot3VolSold+finCalcCh4Prod2Slot1VolSold+finCalcCh4Prod2Slot2VolSold+finCalcCh4Prod2Slot3VolSold+finCalcCh4Prod3Slot1VolSold+finCalcCh4Prod3Slot2VolSold+finCalcCh4Prod3Slot3VolSold+finCalcCh4Prod4Slot1VolSold+finCalcCh4Prod4Slot2VolSold+finCalcCh4Prod4Slot3VolSold</f>
        <v>170176800</v>
      </c>
      <c r="F7908" s="614" t="s">
        <v>10311</v>
      </c>
    </row>
    <row r="7909" spans="2:6">
      <c r="B7909" s="633" t="s">
        <v>246</v>
      </c>
      <c r="C7909" s="614"/>
      <c r="D7909" s="614"/>
    </row>
    <row r="7910" spans="2:6">
      <c r="B7910" s="614"/>
      <c r="C7910" s="614" t="s">
        <v>12868</v>
      </c>
      <c r="D7910" s="614"/>
      <c r="F7910" s="614"/>
    </row>
    <row r="7911" spans="2:6">
      <c r="B7911" s="614"/>
      <c r="C7911" s="614"/>
      <c r="D7911" s="614" t="s">
        <v>379</v>
      </c>
      <c r="E7911" s="690">
        <f>finCalcCh4Prod1Slot1VolSold/calcCh4TotalVolSold</f>
        <v>0.29796511627906974</v>
      </c>
      <c r="F7911" s="614" t="s">
        <v>13313</v>
      </c>
    </row>
    <row r="7912" spans="2:6">
      <c r="B7912" s="614"/>
      <c r="C7912" s="614"/>
      <c r="D7912" s="614" t="s">
        <v>394</v>
      </c>
      <c r="E7912" s="690">
        <f>finCalcCh4Prod1Slot2VolSold/calcCh4TotalVolSold</f>
        <v>0</v>
      </c>
      <c r="F7912" s="614" t="s">
        <v>13314</v>
      </c>
    </row>
    <row r="7913" spans="2:6">
      <c r="B7913" s="614"/>
      <c r="C7913" s="614"/>
      <c r="D7913" s="614" t="s">
        <v>395</v>
      </c>
      <c r="E7913" s="690">
        <f>finCalcCh4Prod1Slot3VolSold/calcCh4TotalVolSold</f>
        <v>0</v>
      </c>
      <c r="F7913" s="614" t="s">
        <v>13315</v>
      </c>
    </row>
    <row r="7914" spans="2:6">
      <c r="B7914" s="614"/>
      <c r="C7914" s="614" t="s">
        <v>238</v>
      </c>
      <c r="D7914" s="614"/>
      <c r="E7914" s="614"/>
      <c r="F7914" s="614"/>
    </row>
    <row r="7915" spans="2:6">
      <c r="B7915" s="614"/>
      <c r="C7915" s="614"/>
      <c r="D7915" s="614" t="s">
        <v>379</v>
      </c>
      <c r="E7915" s="690">
        <f>finCalcCh4Prod2Slot1VolSold/calcCh4TotalVolSold</f>
        <v>0.20755813953488372</v>
      </c>
      <c r="F7915" s="614" t="s">
        <v>13316</v>
      </c>
    </row>
    <row r="7916" spans="2:6">
      <c r="B7916" s="614"/>
      <c r="C7916" s="614"/>
      <c r="D7916" s="614" t="s">
        <v>394</v>
      </c>
      <c r="E7916" s="690">
        <f>finCalcCh4Prod2Slot2VolSold/calcCh4TotalVolSold</f>
        <v>0</v>
      </c>
      <c r="F7916" s="614" t="s">
        <v>13317</v>
      </c>
    </row>
    <row r="7917" spans="2:6">
      <c r="B7917" s="614"/>
      <c r="C7917" s="614"/>
      <c r="D7917" s="614" t="s">
        <v>395</v>
      </c>
      <c r="E7917" s="690">
        <f>finCalcCh4Prod2Slot3VolSold/calcCh4TotalVolSold</f>
        <v>0</v>
      </c>
      <c r="F7917" s="614" t="s">
        <v>13318</v>
      </c>
    </row>
    <row r="7918" spans="2:6">
      <c r="B7918" s="614"/>
      <c r="C7918" s="614" t="s">
        <v>239</v>
      </c>
      <c r="D7918" s="614"/>
      <c r="E7918" s="614"/>
      <c r="F7918" s="614"/>
    </row>
    <row r="7919" spans="2:6">
      <c r="B7919" s="614"/>
      <c r="C7919" s="614"/>
      <c r="D7919" s="614" t="s">
        <v>379</v>
      </c>
      <c r="E7919" s="690">
        <f>finCalcCh4Prod3Slot1VolSold/calcCh4TotalVolSold</f>
        <v>0.13837209302325582</v>
      </c>
      <c r="F7919" s="614" t="s">
        <v>13319</v>
      </c>
    </row>
    <row r="7920" spans="2:6">
      <c r="B7920" s="614"/>
      <c r="C7920" s="614"/>
      <c r="D7920" s="614" t="s">
        <v>394</v>
      </c>
      <c r="E7920" s="690">
        <f>finCalcCh4Prod3Slot2VolSold/calcCh4TotalVolSold</f>
        <v>0</v>
      </c>
      <c r="F7920" s="614" t="s">
        <v>13320</v>
      </c>
    </row>
    <row r="7921" spans="1:6">
      <c r="B7921" s="614"/>
      <c r="C7921" s="614"/>
      <c r="D7921" s="614" t="s">
        <v>395</v>
      </c>
      <c r="E7921" s="690">
        <f>finCalcCh4Prod3Slot3VolSold/calcCh4TotalVolSold</f>
        <v>0</v>
      </c>
      <c r="F7921" s="614" t="s">
        <v>13321</v>
      </c>
    </row>
    <row r="7922" spans="1:6">
      <c r="B7922" s="614"/>
      <c r="C7922" s="614" t="s">
        <v>240</v>
      </c>
      <c r="D7922" s="614"/>
      <c r="E7922" s="614"/>
      <c r="F7922" s="614"/>
    </row>
    <row r="7923" spans="1:6">
      <c r="B7923" s="614"/>
      <c r="C7923" s="614"/>
      <c r="D7923" s="614" t="s">
        <v>379</v>
      </c>
      <c r="E7923" s="690">
        <f>finCalcCh4Prod4Slot1VolSold/calcCh4TotalVolSold</f>
        <v>0.35610465116279072</v>
      </c>
      <c r="F7923" s="614" t="s">
        <v>13322</v>
      </c>
    </row>
    <row r="7924" spans="1:6">
      <c r="B7924" s="614"/>
      <c r="C7924" s="614"/>
      <c r="D7924" s="614" t="s">
        <v>394</v>
      </c>
      <c r="E7924" s="690">
        <f>finCalcCh4Prod4Slot2VolSold/calcCh4TotalVolSold</f>
        <v>0</v>
      </c>
      <c r="F7924" s="614" t="s">
        <v>13323</v>
      </c>
    </row>
    <row r="7925" spans="1:6">
      <c r="B7925" s="614"/>
      <c r="C7925" s="614"/>
      <c r="D7925" s="614" t="s">
        <v>395</v>
      </c>
      <c r="E7925" s="690">
        <f>finCalcCh4Prod4Slot3VolSold/calcCh4TotalVolSold</f>
        <v>0</v>
      </c>
      <c r="F7925" s="614" t="s">
        <v>13324</v>
      </c>
    </row>
    <row r="7926" spans="1:6">
      <c r="C7926" s="633" t="s">
        <v>10307</v>
      </c>
      <c r="D7926" s="633"/>
      <c r="E7926" s="924">
        <f>SUM(E7911:E7925)</f>
        <v>1</v>
      </c>
    </row>
    <row r="7928" spans="1:6">
      <c r="A7928" s="633" t="s">
        <v>10316</v>
      </c>
    </row>
    <row r="7929" spans="1:6">
      <c r="B7929" s="633" t="s">
        <v>244</v>
      </c>
      <c r="C7929" s="614"/>
      <c r="D7929" s="614"/>
    </row>
    <row r="7930" spans="1:6">
      <c r="B7930" s="614"/>
      <c r="C7930" s="614" t="s">
        <v>238</v>
      </c>
      <c r="D7930" s="614"/>
    </row>
    <row r="7931" spans="1:6">
      <c r="B7931" s="614"/>
      <c r="C7931" s="614"/>
      <c r="D7931" s="614" t="s">
        <v>379</v>
      </c>
      <c r="E7931" s="926">
        <f>calcCh1Prod1Slot1ChVolShare*calcCh1Prod1Slot1CustPrice</f>
        <v>1.2320004325215648</v>
      </c>
    </row>
    <row r="7932" spans="1:6">
      <c r="B7932" s="614"/>
      <c r="C7932" s="614"/>
      <c r="D7932" s="614" t="s">
        <v>394</v>
      </c>
      <c r="E7932" s="926">
        <f>calcCh1Prod1Slot2ChVolShare*calcCh1Prod1Slot2CustPrice</f>
        <v>0</v>
      </c>
    </row>
    <row r="7933" spans="1:6">
      <c r="B7933" s="614"/>
      <c r="C7933" s="614"/>
      <c r="D7933" s="614" t="s">
        <v>395</v>
      </c>
      <c r="E7933" s="926">
        <f>calcCh1Prod1Slot3ChVolShare*calcCh1Prod1Slot3CustPrice</f>
        <v>0</v>
      </c>
    </row>
    <row r="7934" spans="1:6">
      <c r="B7934" s="614"/>
      <c r="C7934" s="614" t="s">
        <v>239</v>
      </c>
      <c r="D7934" s="614"/>
      <c r="E7934" s="926"/>
    </row>
    <row r="7935" spans="1:6">
      <c r="B7935" s="614"/>
      <c r="C7935" s="614"/>
      <c r="D7935" s="614" t="s">
        <v>379</v>
      </c>
      <c r="E7935" s="926">
        <f>calcCh1Prod2Slot1ChVolShare*calcCh1Prod2Slot1CustPrice</f>
        <v>1.7917198801859091</v>
      </c>
    </row>
    <row r="7936" spans="1:6">
      <c r="B7936" s="614"/>
      <c r="C7936" s="614"/>
      <c r="D7936" s="614" t="s">
        <v>394</v>
      </c>
      <c r="E7936" s="926">
        <f>calcCh1Prod2Slot2ChVolShare*calcCh1Prod2Slot2CustPrice</f>
        <v>2.0928598600483799</v>
      </c>
    </row>
    <row r="7937" spans="2:6">
      <c r="B7937" s="614"/>
      <c r="C7937" s="614"/>
      <c r="D7937" s="614" t="s">
        <v>395</v>
      </c>
      <c r="E7937" s="926">
        <f>calcCh1Prod2Slot3ChVolShare*calcCh1Prod2Slot3CustPrice</f>
        <v>0</v>
      </c>
    </row>
    <row r="7938" spans="2:6">
      <c r="B7938" s="614"/>
      <c r="C7938" s="614" t="s">
        <v>12868</v>
      </c>
      <c r="D7938" s="614"/>
      <c r="E7938" s="926"/>
    </row>
    <row r="7939" spans="2:6">
      <c r="B7939" s="614"/>
      <c r="C7939" s="614"/>
      <c r="D7939" s="614" t="s">
        <v>379</v>
      </c>
      <c r="E7939" s="926">
        <f>calcCh1Prod3Slot1ChVolShare*calcCh1Prod3Slot1CustPrice</f>
        <v>1.0214399316952956</v>
      </c>
    </row>
    <row r="7940" spans="2:6">
      <c r="B7940" s="614"/>
      <c r="C7940" s="614"/>
      <c r="D7940" s="614" t="s">
        <v>394</v>
      </c>
      <c r="E7940" s="926">
        <f>calcCh1Prod3Slot2ChVolShare*calcCh1Prod3Slot2CustPrice</f>
        <v>1.548287896464448</v>
      </c>
    </row>
    <row r="7941" spans="2:6">
      <c r="B7941" s="614"/>
      <c r="C7941" s="614"/>
      <c r="D7941" s="614" t="s">
        <v>395</v>
      </c>
      <c r="E7941" s="926">
        <f>calcCh1Prod3Slot3ChVolShare*calcCh1Prod3Slot3CustPrice</f>
        <v>0</v>
      </c>
    </row>
    <row r="7942" spans="2:6">
      <c r="B7942" s="614"/>
      <c r="C7942" s="614" t="s">
        <v>240</v>
      </c>
      <c r="D7942" s="614"/>
      <c r="E7942" s="926"/>
    </row>
    <row r="7943" spans="2:6">
      <c r="B7943" s="614"/>
      <c r="C7943" s="614"/>
      <c r="D7943" s="614" t="s">
        <v>379</v>
      </c>
      <c r="E7943" s="926">
        <f>calcCh1Prod4Slot1ChVolShare*calcCh1Prod4Slot1CustPrice</f>
        <v>0</v>
      </c>
    </row>
    <row r="7944" spans="2:6">
      <c r="B7944" s="614"/>
      <c r="C7944" s="614"/>
      <c r="D7944" s="614" t="s">
        <v>394</v>
      </c>
      <c r="E7944" s="926">
        <f>calcCh1Prod4Slot2ChVolShare*calcCh1Prod4Slot2CustPrice</f>
        <v>0</v>
      </c>
    </row>
    <row r="7945" spans="2:6">
      <c r="B7945" s="614"/>
      <c r="C7945" s="614"/>
      <c r="D7945" s="614" t="s">
        <v>395</v>
      </c>
      <c r="E7945" s="926">
        <f>calcCh1Prod4Slot3ChVolShare*calcCh1Prod4Slot3CustPrice</f>
        <v>0</v>
      </c>
    </row>
    <row r="7946" spans="2:6">
      <c r="B7946" s="614"/>
      <c r="C7946" s="633" t="s">
        <v>14011</v>
      </c>
      <c r="E7946" s="927">
        <f>SUM(E7931:E7945)</f>
        <v>7.6863080009155968</v>
      </c>
      <c r="F7946" s="23" t="s">
        <v>10312</v>
      </c>
    </row>
    <row r="7947" spans="2:6">
      <c r="B7947" s="614"/>
      <c r="C7947" s="614"/>
      <c r="D7947" s="614"/>
    </row>
    <row r="7948" spans="2:6">
      <c r="B7948" s="633" t="s">
        <v>245</v>
      </c>
      <c r="C7948" s="614"/>
      <c r="D7948" s="614"/>
    </row>
    <row r="7949" spans="2:6">
      <c r="B7949" s="614"/>
      <c r="C7949" s="614" t="s">
        <v>238</v>
      </c>
      <c r="D7949" s="614"/>
    </row>
    <row r="7950" spans="2:6">
      <c r="B7950" s="614"/>
      <c r="C7950" s="614"/>
      <c r="D7950" s="614" t="s">
        <v>379</v>
      </c>
      <c r="E7950" s="926">
        <f>calcCh2Prod1Slot1ChVolShare*calcCh2Prod1Slot1CustPrice</f>
        <v>0.63200000000000012</v>
      </c>
    </row>
    <row r="7951" spans="2:6">
      <c r="B7951" s="614"/>
      <c r="C7951" s="614"/>
      <c r="D7951" s="614" t="s">
        <v>394</v>
      </c>
      <c r="E7951" s="926">
        <f>calcCh2Prod1Slot2ChVolShare*calcCh2Prod1Slot2CustPrice</f>
        <v>0</v>
      </c>
    </row>
    <row r="7952" spans="2:6">
      <c r="B7952" s="614"/>
      <c r="C7952" s="614"/>
      <c r="D7952" s="614" t="s">
        <v>395</v>
      </c>
      <c r="E7952" s="926">
        <f>calcCh2Prod1Slot3ChVolShare*calcCh2Prod1Slot3CustPrice</f>
        <v>0</v>
      </c>
    </row>
    <row r="7953" spans="2:6">
      <c r="B7953" s="614"/>
      <c r="C7953" s="614" t="s">
        <v>239</v>
      </c>
      <c r="D7953" s="614"/>
      <c r="E7953" s="926"/>
    </row>
    <row r="7954" spans="2:6">
      <c r="B7954" s="614"/>
      <c r="C7954" s="614"/>
      <c r="D7954" s="614" t="s">
        <v>379</v>
      </c>
      <c r="E7954" s="926">
        <f>calcCh2Prod2Slot1ChVolShare*calcCh2Prod2Slot1CustPrice</f>
        <v>4.0296000000000003</v>
      </c>
    </row>
    <row r="7955" spans="2:6">
      <c r="B7955" s="614"/>
      <c r="C7955" s="614"/>
      <c r="D7955" s="614" t="s">
        <v>394</v>
      </c>
      <c r="E7955" s="926">
        <f>calcCh2Prod2Slot2ChVolShare*calcCh2Prod2Slot2CustPrice</f>
        <v>0</v>
      </c>
    </row>
    <row r="7956" spans="2:6">
      <c r="B7956" s="614"/>
      <c r="C7956" s="614"/>
      <c r="D7956" s="614" t="s">
        <v>395</v>
      </c>
      <c r="E7956" s="926">
        <f>calcCh2Prod2Slot3ChVolShare*calcCh2Prod2Slot3CustPrice</f>
        <v>0</v>
      </c>
    </row>
    <row r="7957" spans="2:6">
      <c r="B7957" s="614"/>
      <c r="C7957" s="614" t="s">
        <v>12868</v>
      </c>
      <c r="D7957" s="614"/>
      <c r="E7957" s="926"/>
    </row>
    <row r="7958" spans="2:6">
      <c r="B7958" s="614"/>
      <c r="C7958" s="614"/>
      <c r="D7958" s="614" t="s">
        <v>379</v>
      </c>
      <c r="E7958" s="926">
        <f>calcCh2Prod3Slot1ChVolShare*calcCh2Prod3Slot1CustPrice</f>
        <v>2.5760000000000005</v>
      </c>
    </row>
    <row r="7959" spans="2:6">
      <c r="B7959" s="614"/>
      <c r="C7959" s="614"/>
      <c r="D7959" s="614" t="s">
        <v>394</v>
      </c>
      <c r="E7959" s="926">
        <f>calcCh2Prod3Slot2ChVolShare*calcCh2Prod3Slot2CustPrice</f>
        <v>0</v>
      </c>
    </row>
    <row r="7960" spans="2:6">
      <c r="B7960" s="614"/>
      <c r="C7960" s="614"/>
      <c r="D7960" s="614" t="s">
        <v>395</v>
      </c>
      <c r="E7960" s="926">
        <f>calcCh2Prod3Slot3ChVolShare*calcCh2Prod3Slot3CustPrice</f>
        <v>0</v>
      </c>
    </row>
    <row r="7961" spans="2:6">
      <c r="B7961" s="614"/>
      <c r="C7961" s="614" t="s">
        <v>240</v>
      </c>
      <c r="D7961" s="614"/>
      <c r="E7961" s="926"/>
    </row>
    <row r="7962" spans="2:6">
      <c r="B7962" s="614"/>
      <c r="C7962" s="614"/>
      <c r="D7962" s="614" t="s">
        <v>379</v>
      </c>
      <c r="E7962" s="926">
        <f>calcCh2Prod4Slot1ChVolShare*calcCh2Prod4Slot1CustPrice</f>
        <v>0</v>
      </c>
    </row>
    <row r="7963" spans="2:6">
      <c r="B7963" s="614"/>
      <c r="C7963" s="614"/>
      <c r="D7963" s="614" t="s">
        <v>394</v>
      </c>
      <c r="E7963" s="926">
        <f>calcCh2Prod4Slot2ChVolShare*calcCh2Prod4Slot2CustPrice</f>
        <v>0</v>
      </c>
    </row>
    <row r="7964" spans="2:6">
      <c r="B7964" s="614"/>
      <c r="C7964" s="614"/>
      <c r="D7964" s="614" t="s">
        <v>395</v>
      </c>
      <c r="E7964" s="926">
        <f>calcCh2Prod4Slot3ChVolShare*calcCh2Prod4Slot3CustPrice</f>
        <v>0</v>
      </c>
    </row>
    <row r="7965" spans="2:6">
      <c r="B7965" s="614"/>
      <c r="C7965" s="633" t="s">
        <v>14012</v>
      </c>
      <c r="D7965" s="614"/>
      <c r="E7965" s="927">
        <f>SUM(E7950:E7964)</f>
        <v>7.2376000000000005</v>
      </c>
      <c r="F7965" s="614" t="s">
        <v>10313</v>
      </c>
    </row>
    <row r="7966" spans="2:6">
      <c r="B7966" s="614"/>
      <c r="C7966" s="614"/>
      <c r="D7966" s="614"/>
    </row>
    <row r="7967" spans="2:6">
      <c r="B7967" s="633" t="s">
        <v>5199</v>
      </c>
      <c r="C7967" s="614"/>
      <c r="D7967" s="614"/>
    </row>
    <row r="7968" spans="2:6">
      <c r="B7968" s="614"/>
      <c r="C7968" s="614" t="s">
        <v>238</v>
      </c>
      <c r="D7968" s="614"/>
    </row>
    <row r="7969" spans="2:6">
      <c r="B7969" s="614"/>
      <c r="C7969" s="614"/>
      <c r="D7969" s="614" t="s">
        <v>379</v>
      </c>
      <c r="E7969" s="926">
        <f>calcCh3Prod1Slot1ChVolShare*calcCh3Prod1Slot1CustPrice</f>
        <v>1.4804999999999999</v>
      </c>
    </row>
    <row r="7970" spans="2:6">
      <c r="B7970" s="614"/>
      <c r="C7970" s="614"/>
      <c r="D7970" s="614" t="s">
        <v>394</v>
      </c>
      <c r="E7970" s="926">
        <f>calcCh3Prod1Slot2ChVolShare*calcCh3Prod1Slot2CustPrice</f>
        <v>0</v>
      </c>
    </row>
    <row r="7971" spans="2:6">
      <c r="B7971" s="614"/>
      <c r="C7971" s="614"/>
      <c r="D7971" s="614" t="s">
        <v>395</v>
      </c>
      <c r="E7971" s="926">
        <f>calcCh3Prod1Slot3ChVolShare*calcCh3Prod1Slot3CustPrice</f>
        <v>0</v>
      </c>
    </row>
    <row r="7972" spans="2:6">
      <c r="B7972" s="614"/>
      <c r="C7972" s="614" t="s">
        <v>239</v>
      </c>
      <c r="D7972" s="614"/>
      <c r="E7972" s="926"/>
    </row>
    <row r="7973" spans="2:6">
      <c r="B7973" s="614"/>
      <c r="C7973" s="614"/>
      <c r="D7973" s="614" t="s">
        <v>379</v>
      </c>
      <c r="E7973" s="926">
        <f>calcCh3Prod2Slot1ChVolShare*calcCh3Prod2Slot1CustPrice</f>
        <v>1.2482</v>
      </c>
    </row>
    <row r="7974" spans="2:6">
      <c r="B7974" s="614"/>
      <c r="C7974" s="614"/>
      <c r="D7974" s="614" t="s">
        <v>394</v>
      </c>
      <c r="E7974" s="926">
        <f>calcCh3Prod2Slot2ChVolShare*calcCh3Prod2Slot2CustPrice</f>
        <v>1.8959999999999999</v>
      </c>
    </row>
    <row r="7975" spans="2:6">
      <c r="B7975" s="614"/>
      <c r="C7975" s="614"/>
      <c r="D7975" s="614" t="s">
        <v>395</v>
      </c>
      <c r="E7975" s="926">
        <f>calcCh3Prod2Slot3ChVolShare*calcCh3Prod2Slot3CustPrice</f>
        <v>0</v>
      </c>
    </row>
    <row r="7976" spans="2:6">
      <c r="B7976" s="614"/>
      <c r="C7976" s="614" t="s">
        <v>12868</v>
      </c>
      <c r="D7976" s="614"/>
      <c r="E7976" s="926"/>
    </row>
    <row r="7977" spans="2:6">
      <c r="B7977" s="614"/>
      <c r="C7977" s="614"/>
      <c r="D7977" s="614" t="s">
        <v>379</v>
      </c>
      <c r="E7977" s="926">
        <f>calcCh3Prod3Slot1ChVolShare*calcCh3Prod3Slot1CustPrice</f>
        <v>3.0019999999999998</v>
      </c>
    </row>
    <row r="7978" spans="2:6">
      <c r="B7978" s="614"/>
      <c r="C7978" s="614"/>
      <c r="D7978" s="614" t="s">
        <v>394</v>
      </c>
      <c r="E7978" s="926">
        <f>calcCh3Prod3Slot2ChVolShare*calcCh3Prod3Slot2CustPrice</f>
        <v>0</v>
      </c>
    </row>
    <row r="7979" spans="2:6">
      <c r="B7979" s="614"/>
      <c r="C7979" s="614"/>
      <c r="D7979" s="614" t="s">
        <v>395</v>
      </c>
      <c r="E7979" s="926">
        <f>calcCh3Prod3Slot3ChVolShare*calcCh3Prod3Slot3CustPrice</f>
        <v>0</v>
      </c>
    </row>
    <row r="7980" spans="2:6">
      <c r="B7980" s="614"/>
      <c r="C7980" s="614" t="s">
        <v>240</v>
      </c>
      <c r="D7980" s="614"/>
      <c r="E7980" s="926"/>
    </row>
    <row r="7981" spans="2:6">
      <c r="B7981" s="614"/>
      <c r="C7981" s="614"/>
      <c r="D7981" s="614" t="s">
        <v>379</v>
      </c>
      <c r="E7981" s="926">
        <f>calcCh3Prod4Slot1ChVolShare*calcCh3Prod4Slot1CustPrice</f>
        <v>0</v>
      </c>
    </row>
    <row r="7982" spans="2:6">
      <c r="B7982" s="614"/>
      <c r="C7982" s="614"/>
      <c r="D7982" s="614" t="s">
        <v>394</v>
      </c>
      <c r="E7982" s="926">
        <f>calcCh3Prod4Slot2ChVolShare*calcCh3Prod4Slot2CustPrice</f>
        <v>0</v>
      </c>
    </row>
    <row r="7983" spans="2:6">
      <c r="B7983" s="614"/>
      <c r="C7983" s="614"/>
      <c r="D7983" s="614" t="s">
        <v>395</v>
      </c>
      <c r="E7983" s="926">
        <f>calcCh3Prod4Slot3ChVolShare*calcCh3Prod4Slot3CustPrice</f>
        <v>0</v>
      </c>
    </row>
    <row r="7984" spans="2:6">
      <c r="B7984" s="614"/>
      <c r="C7984" s="633" t="s">
        <v>14013</v>
      </c>
      <c r="D7984" s="614"/>
      <c r="E7984" s="927">
        <f>SUM(E7969:E7983)</f>
        <v>7.6266999999999996</v>
      </c>
      <c r="F7984" s="614" t="s">
        <v>10314</v>
      </c>
    </row>
    <row r="7985" spans="2:5">
      <c r="B7985" s="614"/>
      <c r="C7985" s="614"/>
      <c r="D7985" s="614"/>
    </row>
    <row r="7986" spans="2:5">
      <c r="B7986" s="633" t="s">
        <v>246</v>
      </c>
      <c r="C7986" s="614"/>
      <c r="D7986" s="614"/>
    </row>
    <row r="7987" spans="2:5">
      <c r="B7987" s="614"/>
      <c r="C7987" s="614" t="s">
        <v>238</v>
      </c>
      <c r="D7987" s="614"/>
    </row>
    <row r="7988" spans="2:5">
      <c r="B7988" s="614"/>
      <c r="C7988" s="614"/>
      <c r="D7988" s="614" t="s">
        <v>379</v>
      </c>
      <c r="E7988" s="926">
        <f>calcCh4Prod1Slot1ChVolShare*calcCh4Prod1Slot1CustPrice</f>
        <v>2.1453488372093021</v>
      </c>
    </row>
    <row r="7989" spans="2:5">
      <c r="B7989" s="614"/>
      <c r="C7989" s="614"/>
      <c r="D7989" s="614" t="s">
        <v>394</v>
      </c>
      <c r="E7989" s="926">
        <f>calcCh4Prod1Slot2ChVolShare*calcCh4Prod1Slot2CustPrice</f>
        <v>0</v>
      </c>
    </row>
    <row r="7990" spans="2:5">
      <c r="B7990" s="614"/>
      <c r="C7990" s="614"/>
      <c r="D7990" s="614" t="s">
        <v>395</v>
      </c>
      <c r="E7990" s="926">
        <f>calcCh4Prod1Slot3ChVolShare*calcCh4Prod1Slot3CustPrice</f>
        <v>0</v>
      </c>
    </row>
    <row r="7991" spans="2:5">
      <c r="B7991" s="614"/>
      <c r="C7991" s="614" t="s">
        <v>239</v>
      </c>
      <c r="D7991" s="614"/>
      <c r="E7991" s="926"/>
    </row>
    <row r="7992" spans="2:5">
      <c r="B7992" s="614"/>
      <c r="C7992" s="614"/>
      <c r="D7992" s="614" t="s">
        <v>379</v>
      </c>
      <c r="E7992" s="926">
        <f>calcCh4Prod2Slot1ChVolShare*calcCh4Prod2Slot1CustPrice</f>
        <v>1.4944186046511629</v>
      </c>
    </row>
    <row r="7993" spans="2:5">
      <c r="B7993" s="614"/>
      <c r="C7993" s="614"/>
      <c r="D7993" s="614" t="s">
        <v>394</v>
      </c>
      <c r="E7993" s="926">
        <f>calcCh4Prod2Slot2ChVolShare*calcCh4Prod2Slot2CustPrice</f>
        <v>0</v>
      </c>
    </row>
    <row r="7994" spans="2:5">
      <c r="B7994" s="614"/>
      <c r="C7994" s="614"/>
      <c r="D7994" s="614" t="s">
        <v>395</v>
      </c>
      <c r="E7994" s="926">
        <f>calcCh4Prod2Slot3ChVolShare*calcCh4Prod2Slot3CustPrice</f>
        <v>0</v>
      </c>
    </row>
    <row r="7995" spans="2:5">
      <c r="B7995" s="614"/>
      <c r="C7995" s="614" t="s">
        <v>12868</v>
      </c>
      <c r="D7995" s="614"/>
      <c r="E7995" s="926"/>
    </row>
    <row r="7996" spans="2:5">
      <c r="B7996" s="614"/>
      <c r="C7996" s="614"/>
      <c r="D7996" s="614" t="s">
        <v>379</v>
      </c>
      <c r="E7996" s="926">
        <f>calcCh4Prod3Slot1ChVolShare*calcCh4Prod3Slot1CustPrice</f>
        <v>0.99627906976744185</v>
      </c>
    </row>
    <row r="7997" spans="2:5">
      <c r="B7997" s="614"/>
      <c r="C7997" s="614"/>
      <c r="D7997" s="614" t="s">
        <v>394</v>
      </c>
      <c r="E7997" s="926">
        <f>calcCh4Prod3Slot2ChVolShare*calcCh4Prod3Slot2CustPrice</f>
        <v>0</v>
      </c>
    </row>
    <row r="7998" spans="2:5">
      <c r="B7998" s="614"/>
      <c r="C7998" s="614"/>
      <c r="D7998" s="614" t="s">
        <v>395</v>
      </c>
      <c r="E7998" s="926">
        <f>calcCh4Prod3Slot3ChVolShare*calcCh4Prod3Slot3CustPrice</f>
        <v>0</v>
      </c>
    </row>
    <row r="7999" spans="2:5">
      <c r="B7999" s="614"/>
      <c r="C7999" s="614" t="s">
        <v>240</v>
      </c>
      <c r="D7999" s="614"/>
      <c r="E7999" s="926"/>
    </row>
    <row r="8000" spans="2:5">
      <c r="B8000" s="614"/>
      <c r="C8000" s="614"/>
      <c r="D8000" s="614" t="s">
        <v>379</v>
      </c>
      <c r="E8000" s="926">
        <f>calcCh4Prod4Slot1ChVolShare*calcCh4Prod4Slot1CustPrice</f>
        <v>2.9734738372093026</v>
      </c>
    </row>
    <row r="8001" spans="1:6">
      <c r="B8001" s="614"/>
      <c r="C8001" s="614"/>
      <c r="D8001" s="614" t="s">
        <v>394</v>
      </c>
      <c r="E8001" s="926">
        <f>calcCh4Prod4Slot2ChVolShare*calcCh4Prod4Slot2CustPrice</f>
        <v>0</v>
      </c>
    </row>
    <row r="8002" spans="1:6">
      <c r="B8002" s="614"/>
      <c r="C8002" s="614"/>
      <c r="D8002" s="614" t="s">
        <v>395</v>
      </c>
      <c r="E8002" s="926">
        <f>calcCh4Prod4Slot3ChVolShare*calcCh4Prod4Slot3CustPrice</f>
        <v>0</v>
      </c>
    </row>
    <row r="8003" spans="1:6">
      <c r="B8003" s="614"/>
      <c r="C8003" s="633" t="s">
        <v>14014</v>
      </c>
      <c r="D8003" s="614"/>
      <c r="E8003" s="927">
        <f>SUM(E7988:E8002)</f>
        <v>7.6095203488372096</v>
      </c>
      <c r="F8003" s="614" t="s">
        <v>10315</v>
      </c>
    </row>
    <row r="8005" spans="1:6" s="647" customFormat="1">
      <c r="A8005" s="616" t="s">
        <v>10317</v>
      </c>
    </row>
    <row r="8007" spans="1:6">
      <c r="B8007" s="633" t="s">
        <v>244</v>
      </c>
      <c r="C8007" s="614"/>
      <c r="D8007" s="614"/>
    </row>
    <row r="8008" spans="1:6">
      <c r="B8008" s="614"/>
      <c r="C8008" s="614" t="s">
        <v>12868</v>
      </c>
      <c r="D8008" s="614"/>
    </row>
    <row r="8009" spans="1:6">
      <c r="B8009" s="614"/>
      <c r="C8009" s="614"/>
      <c r="D8009" s="614" t="s">
        <v>379</v>
      </c>
      <c r="E8009" s="690">
        <f>IF(decCh1Prod1Slot1Active=1,(calcCh1Prod1Slot1CustPrice-calcCh1WeightedAvgPrice)/calcCh1WeightedAvgPrice,"")</f>
        <v>1.7813492619307384E-3</v>
      </c>
      <c r="F8009" s="23" t="s">
        <v>10327</v>
      </c>
    </row>
    <row r="8010" spans="1:6">
      <c r="B8010" s="614"/>
      <c r="C8010" s="614"/>
      <c r="D8010" s="614" t="s">
        <v>394</v>
      </c>
      <c r="E8010" s="690" t="str">
        <f>IF(decCh1Prod1Slot2Active=1,(calcCh1Prod1Slot2CustPrice-calcCh1WeightedAvgPrice)/calcCh1WeightedAvgPrice,"")</f>
        <v/>
      </c>
      <c r="F8010" s="614" t="s">
        <v>10328</v>
      </c>
    </row>
    <row r="8011" spans="1:6">
      <c r="B8011" s="614"/>
      <c r="C8011" s="614"/>
      <c r="D8011" s="614" t="s">
        <v>395</v>
      </c>
      <c r="E8011" s="690" t="str">
        <f>IF(decCh1Prod1Slot3Active=1,(calcCh1Prod1Slot3CustPrice-calcCh1WeightedAvgPrice)/calcCh1WeightedAvgPrice,"")</f>
        <v/>
      </c>
      <c r="F8011" s="614" t="s">
        <v>10329</v>
      </c>
    </row>
    <row r="8012" spans="1:6">
      <c r="B8012" s="614"/>
      <c r="C8012" s="614" t="s">
        <v>238</v>
      </c>
      <c r="D8012" s="614"/>
    </row>
    <row r="8013" spans="1:6">
      <c r="B8013" s="614"/>
      <c r="C8013" s="614"/>
      <c r="D8013" s="614" t="s">
        <v>379</v>
      </c>
      <c r="E8013" s="690">
        <f>IF(decCh1Prod2Slot1Active=1,(calcCh1Prod2Slot1CustPrice-calcCh1WeightedAvgPrice)/calcCh1WeightedAvgPrice,"")</f>
        <v>2.7801644047954936E-2</v>
      </c>
      <c r="F8013" s="614" t="s">
        <v>10318</v>
      </c>
    </row>
    <row r="8014" spans="1:6">
      <c r="B8014" s="614"/>
      <c r="C8014" s="614"/>
      <c r="D8014" s="614" t="s">
        <v>394</v>
      </c>
      <c r="E8014" s="690">
        <f>IF(decCh1Prod2Slot2Active=1,(calcCh1Prod2Slot2CustPrice-calcCh1WeightedAvgPrice)/calcCh1WeightedAvgPrice,"")</f>
        <v>-1.7733871827587438E-2</v>
      </c>
      <c r="F8014" s="614" t="s">
        <v>10319</v>
      </c>
    </row>
    <row r="8015" spans="1:6">
      <c r="B8015" s="614"/>
      <c r="C8015" s="614"/>
      <c r="D8015" s="614" t="s">
        <v>395</v>
      </c>
      <c r="E8015" s="690" t="str">
        <f>IF(decCh1Prod2Slot3Active=1,(calcCh1Prod2Slot3CustPrice-calcCh1WeightedAvgPrice)/calcCh1WeightedAvgPrice,"")</f>
        <v/>
      </c>
      <c r="F8015" s="614" t="s">
        <v>10320</v>
      </c>
    </row>
    <row r="8016" spans="1:6">
      <c r="B8016" s="614"/>
      <c r="C8016" s="614" t="s">
        <v>239</v>
      </c>
      <c r="D8016" s="614"/>
      <c r="F8016" s="614"/>
    </row>
    <row r="8017" spans="2:6">
      <c r="B8017" s="614"/>
      <c r="C8017" s="614"/>
      <c r="D8017" s="614" t="s">
        <v>379</v>
      </c>
      <c r="E8017" s="690">
        <f>IF(decCh1Prod3Slot1Active=1,(calcCh1Prod3Slot1CustPrice-calcCh1WeightedAvgPrice)/calcCh1WeightedAvgPrice,"")</f>
        <v>-1.1228798131081418E-2</v>
      </c>
      <c r="F8017" s="614" t="s">
        <v>10321</v>
      </c>
    </row>
    <row r="8018" spans="2:6">
      <c r="B8018" s="614"/>
      <c r="C8018" s="614"/>
      <c r="D8018" s="614" t="s">
        <v>394</v>
      </c>
      <c r="E8018" s="690">
        <f>IF(decCh1Prod3Slot2Active=1,(calcCh1Prod3Slot2CustPrice-calcCh1WeightedAvgPrice)/calcCh1WeightedAvgPrice,"")</f>
        <v>-8.206802166717391E-4</v>
      </c>
      <c r="F8018" s="614" t="s">
        <v>10322</v>
      </c>
    </row>
    <row r="8019" spans="2:6">
      <c r="B8019" s="614"/>
      <c r="C8019" s="614"/>
      <c r="D8019" s="614" t="s">
        <v>395</v>
      </c>
      <c r="E8019" s="690" t="str">
        <f>IF(decCh1Prod3Slot3Active=1,(calcCh1Prod3Slot3CustPrice-calcCh1WeightedAvgPrice)/calcCh1WeightedAvgPrice,"")</f>
        <v/>
      </c>
      <c r="F8019" s="614" t="s">
        <v>10323</v>
      </c>
    </row>
    <row r="8020" spans="2:6">
      <c r="B8020" s="614"/>
      <c r="C8020" s="614" t="s">
        <v>240</v>
      </c>
      <c r="D8020" s="614"/>
    </row>
    <row r="8021" spans="2:6">
      <c r="B8021" s="614"/>
      <c r="C8021" s="614"/>
      <c r="D8021" s="614" t="s">
        <v>379</v>
      </c>
      <c r="E8021" s="690" t="str">
        <f>IF(decCh1Prod4Slot1Active=1,(calcCh1Prod4Slot1CustPrice-calcCh1WeightedAvgPrice)/calcCh1WeightedAvgPrice,"")</f>
        <v/>
      </c>
      <c r="F8021" s="614" t="s">
        <v>10324</v>
      </c>
    </row>
    <row r="8022" spans="2:6">
      <c r="B8022" s="614"/>
      <c r="C8022" s="614"/>
      <c r="D8022" s="614" t="s">
        <v>394</v>
      </c>
      <c r="E8022" s="690" t="str">
        <f>IF(decCh1Prod4Slot2Active=1,(calcCh1Prod4Slot2CustPrice-calcCh1WeightedAvgPrice)/calcCh1WeightedAvgPrice,"")</f>
        <v/>
      </c>
      <c r="F8022" s="614" t="s">
        <v>10325</v>
      </c>
    </row>
    <row r="8023" spans="2:6">
      <c r="B8023" s="614"/>
      <c r="C8023" s="614"/>
      <c r="D8023" s="614" t="s">
        <v>395</v>
      </c>
      <c r="E8023" s="690" t="str">
        <f>IF(decCh1Prod4Slot3Active=1,(calcCh1Prod4Slot3CustPrice-calcCh1WeightedAvgPrice)/calcCh1WeightedAvgPrice,"")</f>
        <v/>
      </c>
      <c r="F8023" s="614" t="s">
        <v>10326</v>
      </c>
    </row>
    <row r="8024" spans="2:6">
      <c r="B8024" s="633" t="s">
        <v>245</v>
      </c>
      <c r="C8024" s="614"/>
      <c r="D8024" s="614"/>
    </row>
    <row r="8025" spans="2:6">
      <c r="B8025" s="614"/>
      <c r="C8025" s="614" t="s">
        <v>238</v>
      </c>
      <c r="D8025" s="614"/>
    </row>
    <row r="8026" spans="2:6">
      <c r="B8026" s="614"/>
      <c r="C8026" s="614"/>
      <c r="D8026" s="614" t="s">
        <v>379</v>
      </c>
      <c r="E8026" s="690">
        <f>IF(decCh2Prod1Slot1Active=1,(calcCh2Prod1Slot1CustPrice-calcCh2WeightedAvgPrice)/calcCh2WeightedAvgPrice,"")</f>
        <v>9.1522051508787422E-2</v>
      </c>
      <c r="F8026" s="614" t="s">
        <v>10330</v>
      </c>
    </row>
    <row r="8027" spans="2:6">
      <c r="B8027" s="614"/>
      <c r="C8027" s="614"/>
      <c r="D8027" s="614" t="s">
        <v>394</v>
      </c>
      <c r="E8027" s="690" t="str">
        <f>IF(decCh2Prod1Slot2Active=1,(calcCh2Prod1Slot2CustPrice-calcCh2WeightedAvgPrice)/calcCh2WeightedAvgPrice,"")</f>
        <v/>
      </c>
      <c r="F8027" s="614" t="s">
        <v>10331</v>
      </c>
    </row>
    <row r="8028" spans="2:6">
      <c r="B8028" s="614"/>
      <c r="C8028" s="614"/>
      <c r="D8028" s="614" t="s">
        <v>395</v>
      </c>
      <c r="E8028" s="690" t="str">
        <f>IF(decCh2Prod1Slot3Active=1,(calcCh2Prod1Slot3CustPrice-calcCh2WeightedAvgPrice)/calcCh2WeightedAvgPrice,"")</f>
        <v/>
      </c>
      <c r="F8028" s="614" t="s">
        <v>10332</v>
      </c>
    </row>
    <row r="8029" spans="2:6">
      <c r="B8029" s="614"/>
      <c r="C8029" s="614" t="s">
        <v>239</v>
      </c>
      <c r="D8029" s="614"/>
      <c r="E8029" s="614"/>
      <c r="F8029" s="614"/>
    </row>
    <row r="8030" spans="2:6">
      <c r="B8030" s="614"/>
      <c r="C8030" s="614"/>
      <c r="D8030" s="614" t="s">
        <v>379</v>
      </c>
      <c r="E8030" s="690">
        <f>IF(decCh2Prod2Slot1Active=1,(calcCh2Prod2Slot1CustPrice-calcCh2WeightedAvgPrice)/calcCh2WeightedAvgPrice,"")</f>
        <v>8.6216425334364067E-3</v>
      </c>
      <c r="F8030" s="614" t="s">
        <v>10333</v>
      </c>
    </row>
    <row r="8031" spans="2:6">
      <c r="B8031" s="614"/>
      <c r="C8031" s="614"/>
      <c r="D8031" s="614" t="s">
        <v>394</v>
      </c>
      <c r="E8031" s="690" t="str">
        <f>IF(decCh2Prod2Slot2Active=1,(calcCh2Prod2Slot2CustPrice-calcCh2WeightedAvgPrice)/calcCh2WeightedAvgPrice,"")</f>
        <v/>
      </c>
      <c r="F8031" s="614" t="s">
        <v>10334</v>
      </c>
    </row>
    <row r="8032" spans="2:6">
      <c r="B8032" s="614"/>
      <c r="C8032" s="614"/>
      <c r="D8032" s="614" t="s">
        <v>395</v>
      </c>
      <c r="E8032" s="690" t="str">
        <f>IF(decCh2Prod2Slot3Active=1,(calcCh2Prod2Slot3CustPrice-calcCh2WeightedAvgPrice)/calcCh2WeightedAvgPrice,"")</f>
        <v/>
      </c>
      <c r="F8032" s="614" t="s">
        <v>10335</v>
      </c>
    </row>
    <row r="8033" spans="2:6">
      <c r="B8033" s="614"/>
      <c r="C8033" s="614" t="s">
        <v>12868</v>
      </c>
      <c r="D8033" s="614"/>
      <c r="E8033" s="614"/>
      <c r="F8033" s="614"/>
    </row>
    <row r="8034" spans="2:6">
      <c r="B8034" s="614"/>
      <c r="C8034" s="614"/>
      <c r="D8034" s="614" t="s">
        <v>379</v>
      </c>
      <c r="E8034" s="690">
        <f>IF(decCh2Prod3Slot1Active=1,(calcCh2Prod3Slot1CustPrice-calcCh2WeightedAvgPrice)/calcCh2WeightedAvgPrice,"")</f>
        <v>-3.2828561954239041E-2</v>
      </c>
      <c r="F8034" s="614" t="s">
        <v>10336</v>
      </c>
    </row>
    <row r="8035" spans="2:6">
      <c r="B8035" s="614"/>
      <c r="C8035" s="614"/>
      <c r="D8035" s="614" t="s">
        <v>394</v>
      </c>
      <c r="E8035" s="690" t="str">
        <f>IF(decCh2Prod3Slot2Active=1,(calcCh2Prod3Slot2CustPrice-calcCh2WeightedAvgPrice)/calcCh2WeightedAvgPrice,"")</f>
        <v/>
      </c>
      <c r="F8035" s="614" t="s">
        <v>10337</v>
      </c>
    </row>
    <row r="8036" spans="2:6">
      <c r="B8036" s="614"/>
      <c r="C8036" s="614"/>
      <c r="D8036" s="614" t="s">
        <v>395</v>
      </c>
      <c r="E8036" s="690" t="str">
        <f>IF(decCh2Prod3Slot3Active=1,(calcCh2Prod3Slot3CustPrice-calcCh2WeightedAvgPrice)/calcCh2WeightedAvgPrice,"")</f>
        <v/>
      </c>
      <c r="F8036" s="614" t="s">
        <v>10338</v>
      </c>
    </row>
    <row r="8037" spans="2:6">
      <c r="B8037" s="614"/>
      <c r="C8037" s="614" t="s">
        <v>240</v>
      </c>
      <c r="D8037" s="614"/>
      <c r="E8037" s="614"/>
      <c r="F8037" s="614"/>
    </row>
    <row r="8038" spans="2:6">
      <c r="B8038" s="614"/>
      <c r="C8038" s="614"/>
      <c r="D8038" s="614" t="s">
        <v>379</v>
      </c>
      <c r="E8038" s="690" t="str">
        <f>IF(decCh2Prod4Slot1Active=1,(calcCh2Prod4Slot1CustPrice-calcCh2WeightedAvgPrice)/calcCh2WeightedAvgPrice,"")</f>
        <v/>
      </c>
      <c r="F8038" s="614" t="s">
        <v>10339</v>
      </c>
    </row>
    <row r="8039" spans="2:6">
      <c r="B8039" s="614"/>
      <c r="C8039" s="614"/>
      <c r="D8039" s="614" t="s">
        <v>394</v>
      </c>
      <c r="E8039" s="690" t="str">
        <f>IF(decCh2Prod4Slot2Active=1,(calcCh2Prod4Slot2CustPrice-calcCh2WeightedAvgPrice)/calcCh2WeightedAvgPrice,"")</f>
        <v/>
      </c>
      <c r="F8039" s="614" t="s">
        <v>10340</v>
      </c>
    </row>
    <row r="8040" spans="2:6">
      <c r="B8040" s="614"/>
      <c r="C8040" s="614"/>
      <c r="D8040" s="614" t="s">
        <v>395</v>
      </c>
      <c r="E8040" s="690" t="str">
        <f>IF(decCh2Prod4Slot3Active=1,(calcCh2Prod4Slot3CustPrice-calcCh2WeightedAvgPrice)/calcCh2WeightedAvgPrice,"")</f>
        <v/>
      </c>
      <c r="F8040" s="614" t="s">
        <v>10341</v>
      </c>
    </row>
    <row r="8041" spans="2:6">
      <c r="B8041" s="633" t="s">
        <v>5199</v>
      </c>
      <c r="C8041" s="614"/>
      <c r="D8041" s="614"/>
    </row>
    <row r="8042" spans="2:6">
      <c r="B8042" s="614"/>
      <c r="C8042" s="614" t="s">
        <v>238</v>
      </c>
      <c r="D8042" s="614"/>
    </row>
    <row r="8043" spans="2:6">
      <c r="B8043" s="614"/>
      <c r="C8043" s="614"/>
      <c r="D8043" s="614" t="s">
        <v>379</v>
      </c>
      <c r="E8043" s="690">
        <f>IF(decCh3Prod1Slot1Active=1,(calcCh3Prod1Slot1CustPrice-calcCh3WeightedAvgPrice)/calcCh3WeightedAvgPrice,"")</f>
        <v>-7.5615928252061815E-2</v>
      </c>
      <c r="F8043" s="614" t="s">
        <v>10342</v>
      </c>
    </row>
    <row r="8044" spans="2:6">
      <c r="B8044" s="614"/>
      <c r="C8044" s="614"/>
      <c r="D8044" s="614" t="s">
        <v>394</v>
      </c>
      <c r="E8044" s="690" t="str">
        <f>IF(decCh3Prod1Slot2Active=1,(calcCh3Prod1Slot2CustPrice-calcCh3WeightedAvgPrice)/calcCh3WeightedAvgPrice,"")</f>
        <v/>
      </c>
      <c r="F8044" s="614" t="s">
        <v>10343</v>
      </c>
    </row>
    <row r="8045" spans="2:6">
      <c r="B8045" s="614"/>
      <c r="C8045" s="614"/>
      <c r="D8045" s="614" t="s">
        <v>395</v>
      </c>
      <c r="E8045" s="690" t="str">
        <f>IF(decCh3Prod1Slot3Active=1,(calcCh3Prod1Slot3CustPrice-calcCh3WeightedAvgPrice)/calcCh3WeightedAvgPrice,"")</f>
        <v/>
      </c>
      <c r="F8045" s="614" t="s">
        <v>10344</v>
      </c>
    </row>
    <row r="8046" spans="2:6">
      <c r="B8046" s="614"/>
      <c r="C8046" s="614" t="s">
        <v>239</v>
      </c>
      <c r="D8046" s="614"/>
      <c r="E8046" s="614"/>
      <c r="F8046" s="614"/>
    </row>
    <row r="8047" spans="2:6">
      <c r="B8047" s="614"/>
      <c r="C8047" s="614"/>
      <c r="D8047" s="614" t="s">
        <v>379</v>
      </c>
      <c r="E8047" s="690">
        <f>IF(decCh3Prod2Slot1Active=1,(calcCh3Prod2Slot1CustPrice-calcCh3WeightedAvgPrice)/calcCh3WeightedAvgPrice,"")</f>
        <v>3.5834633589888261E-2</v>
      </c>
      <c r="F8047" s="614" t="s">
        <v>10345</v>
      </c>
    </row>
    <row r="8048" spans="2:6">
      <c r="B8048" s="614"/>
      <c r="C8048" s="614"/>
      <c r="D8048" s="614" t="s">
        <v>394</v>
      </c>
      <c r="E8048" s="690">
        <f>IF(decCh3Prod2Slot2Active=1,(calcCh3Prod2Slot2CustPrice-calcCh3WeightedAvgPrice)/calcCh3WeightedAvgPrice,"")</f>
        <v>4.8946464394823502E-2</v>
      </c>
      <c r="F8048" s="614" t="s">
        <v>10346</v>
      </c>
    </row>
    <row r="8049" spans="2:6">
      <c r="B8049" s="614"/>
      <c r="C8049" s="614"/>
      <c r="D8049" s="614" t="s">
        <v>395</v>
      </c>
      <c r="E8049" s="690" t="str">
        <f>IF(decCh3Prod2Slot3Active=1,(calcCh3Prod2Slot3CustPrice-calcCh3WeightedAvgPrice)/calcCh3WeightedAvgPrice,"")</f>
        <v/>
      </c>
      <c r="F8049" s="614" t="s">
        <v>10347</v>
      </c>
    </row>
    <row r="8050" spans="2:6">
      <c r="B8050" s="614"/>
      <c r="C8050" s="614" t="s">
        <v>12868</v>
      </c>
      <c r="D8050" s="614"/>
      <c r="E8050" s="614"/>
      <c r="F8050" s="614"/>
    </row>
    <row r="8051" spans="2:6">
      <c r="B8051" s="614"/>
      <c r="C8051" s="614"/>
      <c r="D8051" s="614" t="s">
        <v>379</v>
      </c>
      <c r="E8051" s="690">
        <f>IF(decCh3Prod3Slot1Active=1,(calcCh3Prod3Slot1CustPrice-calcCh3WeightedAvgPrice)/calcCh3WeightedAvgPrice,"")</f>
        <v>-3.5008588249177165E-3</v>
      </c>
      <c r="F8051" s="614" t="s">
        <v>10348</v>
      </c>
    </row>
    <row r="8052" spans="2:6">
      <c r="B8052" s="614"/>
      <c r="C8052" s="614"/>
      <c r="D8052" s="614" t="s">
        <v>394</v>
      </c>
      <c r="E8052" s="690" t="str">
        <f>IF(decCh3Prod3Slot2Active=1,(calcCh3Prod3Slot2CustPrice-calcCh3WeightedAvgPrice)/calcCh3WeightedAvgPrice,"")</f>
        <v/>
      </c>
      <c r="F8052" s="614" t="s">
        <v>10349</v>
      </c>
    </row>
    <row r="8053" spans="2:6">
      <c r="B8053" s="614"/>
      <c r="C8053" s="614"/>
      <c r="D8053" s="614" t="s">
        <v>395</v>
      </c>
      <c r="E8053" s="690" t="str">
        <f>IF(decCh3Prod3Slot3Active=1,(calcCh3Prod3Slot3CustPrice-calcCh3WeightedAvgPrice)/calcCh3WeightedAvgPrice,"")</f>
        <v/>
      </c>
      <c r="F8053" s="614" t="s">
        <v>10350</v>
      </c>
    </row>
    <row r="8054" spans="2:6">
      <c r="B8054" s="614"/>
      <c r="C8054" s="614" t="s">
        <v>240</v>
      </c>
      <c r="D8054" s="614"/>
      <c r="E8054" s="614"/>
      <c r="F8054" s="614"/>
    </row>
    <row r="8055" spans="2:6">
      <c r="B8055" s="614"/>
      <c r="C8055" s="614"/>
      <c r="D8055" s="614" t="s">
        <v>379</v>
      </c>
      <c r="E8055" s="690" t="str">
        <f>IF(decCh3Prod4Slot1Active=1,(calcCh3Prod4Slot1CustPrice-calcCh3WeightedAvgPrice)/calcCh3WeightedAvgPrice,"")</f>
        <v/>
      </c>
      <c r="F8055" s="614" t="s">
        <v>10351</v>
      </c>
    </row>
    <row r="8056" spans="2:6">
      <c r="B8056" s="614"/>
      <c r="C8056" s="614"/>
      <c r="D8056" s="614" t="s">
        <v>394</v>
      </c>
      <c r="E8056" s="690" t="str">
        <f>IF(decCh3Prod4Slot2Active=1,(calcCh3Prod4Slot2CustPrice-calcCh3WeightedAvgPrice)/calcCh3WeightedAvgPrice,"")</f>
        <v/>
      </c>
      <c r="F8056" s="614" t="s">
        <v>10352</v>
      </c>
    </row>
    <row r="8057" spans="2:6">
      <c r="B8057" s="614"/>
      <c r="C8057" s="614"/>
      <c r="D8057" s="614" t="s">
        <v>395</v>
      </c>
      <c r="E8057" s="690" t="str">
        <f>IF(decCh3Prod4Slot3Active=1,(calcCh3Prod4Slot3CustPrice-calcCh3WeightedAvgPrice)/calcCh3WeightedAvgPrice,"")</f>
        <v/>
      </c>
      <c r="F8057" s="614" t="s">
        <v>10353</v>
      </c>
    </row>
    <row r="8058" spans="2:6">
      <c r="B8058" s="633" t="s">
        <v>246</v>
      </c>
      <c r="C8058" s="614"/>
      <c r="D8058" s="614"/>
    </row>
    <row r="8059" spans="2:6">
      <c r="B8059" s="614"/>
      <c r="C8059" s="614" t="s">
        <v>238</v>
      </c>
      <c r="D8059" s="614"/>
    </row>
    <row r="8060" spans="2:6">
      <c r="B8060" s="614"/>
      <c r="C8060" s="614"/>
      <c r="D8060" s="614" t="s">
        <v>379</v>
      </c>
      <c r="E8060" s="690">
        <f>IF(decCh4Prod1Slot1Active=1,(calcCh4Prod1Slot1CustPrice-calcCh4WeightedAvgPrice)/calcCh4WeightedAvgPrice,"")</f>
        <v>-5.381684128090769E-2</v>
      </c>
      <c r="F8060" s="614" t="s">
        <v>10354</v>
      </c>
    </row>
    <row r="8061" spans="2:6">
      <c r="B8061" s="614"/>
      <c r="C8061" s="614"/>
      <c r="D8061" s="614" t="s">
        <v>394</v>
      </c>
      <c r="E8061" s="690" t="str">
        <f>IF(decCh4Prod1Slot2Active=1,(calcCh4Prod1Slot2CustPrice-calcCh4WeightedAvgPrice)/calcCh4WeightedAvgPrice,"")</f>
        <v/>
      </c>
      <c r="F8061" s="614" t="s">
        <v>10355</v>
      </c>
    </row>
    <row r="8062" spans="2:6">
      <c r="B8062" s="614"/>
      <c r="C8062" s="614"/>
      <c r="D8062" s="614" t="s">
        <v>395</v>
      </c>
      <c r="E8062" s="690" t="str">
        <f>IF(decCh4Prod1Slot3Active=1,(calcCh4Prod1Slot3CustPrice-calcCh4WeightedAvgPrice)/calcCh4WeightedAvgPrice,"")</f>
        <v/>
      </c>
      <c r="F8062" s="614" t="s">
        <v>10356</v>
      </c>
    </row>
    <row r="8063" spans="2:6">
      <c r="B8063" s="614"/>
      <c r="C8063" s="614" t="s">
        <v>239</v>
      </c>
      <c r="D8063" s="614"/>
      <c r="E8063" s="614"/>
      <c r="F8063" s="614"/>
    </row>
    <row r="8064" spans="2:6">
      <c r="B8064" s="614"/>
      <c r="C8064" s="614"/>
      <c r="D8064" s="614" t="s">
        <v>379</v>
      </c>
      <c r="E8064" s="690">
        <f>IF(decCh4Prod2Slot1Active=1,(calcCh4Prod2Slot1CustPrice-calcCh4WeightedAvgPrice)/calcCh4WeightedAvgPrice,"")</f>
        <v>-5.381684128090769E-2</v>
      </c>
      <c r="F8064" s="614" t="s">
        <v>10357</v>
      </c>
    </row>
    <row r="8065" spans="1:6">
      <c r="B8065" s="614"/>
      <c r="C8065" s="614"/>
      <c r="D8065" s="614" t="s">
        <v>394</v>
      </c>
      <c r="E8065" s="690" t="str">
        <f>IF(decCh4Prod2Slot2Active=1,(calcCh4Prod2Slot2CustPrice-calcCh4WeightedAvgPrice)/calcCh4WeightedAvgPrice,"")</f>
        <v/>
      </c>
      <c r="F8065" s="614" t="s">
        <v>10358</v>
      </c>
    </row>
    <row r="8066" spans="1:6">
      <c r="B8066" s="614"/>
      <c r="C8066" s="614"/>
      <c r="D8066" s="614" t="s">
        <v>395</v>
      </c>
      <c r="E8066" s="690" t="str">
        <f>IF(decCh4Prod2Slot3Active=1,(calcCh4Prod2Slot3CustPrice-calcCh4WeightedAvgPrice)/calcCh4WeightedAvgPrice,"")</f>
        <v/>
      </c>
      <c r="F8066" s="614" t="s">
        <v>10359</v>
      </c>
    </row>
    <row r="8067" spans="1:6">
      <c r="B8067" s="614"/>
      <c r="C8067" s="614" t="s">
        <v>12868</v>
      </c>
      <c r="D8067" s="614"/>
      <c r="E8067" s="614"/>
      <c r="F8067" s="614"/>
    </row>
    <row r="8068" spans="1:6">
      <c r="B8068" s="614"/>
      <c r="C8068" s="614"/>
      <c r="D8068" s="614" t="s">
        <v>379</v>
      </c>
      <c r="E8068" s="690">
        <f>IF(decCh4Prod3Slot1Active=1,(calcCh4Prod3Slot1CustPrice-calcCh4WeightedAvgPrice)/calcCh4WeightedAvgPrice,"")</f>
        <v>-5.381684128090769E-2</v>
      </c>
      <c r="F8068" s="614" t="s">
        <v>10360</v>
      </c>
    </row>
    <row r="8069" spans="1:6">
      <c r="B8069" s="614"/>
      <c r="C8069" s="614"/>
      <c r="D8069" s="614" t="s">
        <v>394</v>
      </c>
      <c r="E8069" s="690" t="str">
        <f>IF(decCh4Prod3Slot2Active=1,(calcCh4Prod3Slot2CustPrice-calcCh4WeightedAvgPrice)/calcCh4WeightedAvgPrice,"")</f>
        <v/>
      </c>
      <c r="F8069" s="614" t="s">
        <v>10361</v>
      </c>
    </row>
    <row r="8070" spans="1:6">
      <c r="B8070" s="614"/>
      <c r="C8070" s="614"/>
      <c r="D8070" s="614" t="s">
        <v>395</v>
      </c>
      <c r="E8070" s="690" t="str">
        <f>IF(decCh4Prod3Slot3Active=1,(calcCh4Prod3Slot3CustPrice-calcCh4WeightedAvgPrice)/calcCh4WeightedAvgPrice,"")</f>
        <v/>
      </c>
      <c r="F8070" s="614" t="s">
        <v>10362</v>
      </c>
    </row>
    <row r="8071" spans="1:6">
      <c r="B8071" s="614"/>
      <c r="C8071" s="614" t="s">
        <v>240</v>
      </c>
      <c r="D8071" s="614"/>
      <c r="E8071" s="614"/>
      <c r="F8071" s="614"/>
    </row>
    <row r="8072" spans="1:6">
      <c r="B8072" s="614"/>
      <c r="C8072" s="614"/>
      <c r="D8072" s="614" t="s">
        <v>379</v>
      </c>
      <c r="E8072" s="690">
        <f>IF(decCh4Prod4Slot1Active=1,(calcCh4Prod4Slot1CustPrice-calcCh4WeightedAvgPrice)/calcCh4WeightedAvgPrice,"")</f>
        <v>9.7309635458947261E-2</v>
      </c>
      <c r="F8072" s="614" t="s">
        <v>10363</v>
      </c>
    </row>
    <row r="8073" spans="1:6">
      <c r="B8073" s="614"/>
      <c r="C8073" s="614"/>
      <c r="D8073" s="614" t="s">
        <v>394</v>
      </c>
      <c r="E8073" s="690" t="str">
        <f>IF(decCh4Prod4Slot2Active=1,(calcCh4Prod4Slot2CustPrice-calcCh4WeightedAvgPrice)/calcCh4WeightedAvgPrice,"")</f>
        <v/>
      </c>
      <c r="F8073" s="614" t="s">
        <v>10364</v>
      </c>
    </row>
    <row r="8074" spans="1:6">
      <c r="B8074" s="614"/>
      <c r="C8074" s="614"/>
      <c r="D8074" s="614" t="s">
        <v>395</v>
      </c>
      <c r="E8074" s="690" t="str">
        <f>IF(decCh4Prod4Slot3Active=1,(calcCh4Prod4Slot3CustPrice-calcCh4WeightedAvgPrice)/calcCh4WeightedAvgPrice,"")</f>
        <v/>
      </c>
      <c r="F8074" s="614" t="s">
        <v>10365</v>
      </c>
    </row>
    <row r="8076" spans="1:6" s="647" customFormat="1">
      <c r="A8076" s="616" t="s">
        <v>12845</v>
      </c>
    </row>
    <row r="8078" spans="1:6">
      <c r="B8078" s="633" t="s">
        <v>244</v>
      </c>
    </row>
    <row r="8079" spans="1:6">
      <c r="C8079" s="633" t="s">
        <v>12868</v>
      </c>
    </row>
    <row r="8080" spans="1:6">
      <c r="D8080" s="23" t="s">
        <v>12846</v>
      </c>
      <c r="E8080" s="690">
        <f>cbalCh1Prod1Slot1Promo1ROI</f>
        <v>-0.38695392849490395</v>
      </c>
    </row>
    <row r="8081" spans="3:6">
      <c r="D8081" s="614" t="s">
        <v>12847</v>
      </c>
      <c r="E8081" s="690">
        <f>cbalCh1Prod1Slot1Promo2ROI</f>
        <v>28.641177323625108</v>
      </c>
    </row>
    <row r="8082" spans="3:6">
      <c r="D8082" s="614" t="s">
        <v>12848</v>
      </c>
      <c r="E8082" s="690" t="str">
        <f>cbalCh1Prod1Slot2Promo1ROI</f>
        <v/>
      </c>
    </row>
    <row r="8083" spans="3:6">
      <c r="D8083" s="614" t="s">
        <v>12849</v>
      </c>
      <c r="E8083" s="690" t="str">
        <f>cbalCh1Prod1Slot2Promo2ROI</f>
        <v/>
      </c>
    </row>
    <row r="8084" spans="3:6">
      <c r="D8084" s="614" t="s">
        <v>12850</v>
      </c>
      <c r="E8084" s="690" t="str">
        <f>cbalCh1Prod1Slot3Promo1ROI</f>
        <v/>
      </c>
    </row>
    <row r="8085" spans="3:6">
      <c r="D8085" s="614" t="s">
        <v>12851</v>
      </c>
      <c r="E8085" s="690" t="str">
        <f>cbalCh1Prod1Slot3Promo2ROI</f>
        <v/>
      </c>
    </row>
    <row r="8086" spans="3:6">
      <c r="E8086" s="690"/>
    </row>
    <row r="8087" spans="3:6">
      <c r="D8087" s="23" t="s">
        <v>12856</v>
      </c>
      <c r="E8087" s="690">
        <f>MIN(E8080:E8085)</f>
        <v>-0.38695392849490395</v>
      </c>
      <c r="F8087" s="614" t="s">
        <v>12853</v>
      </c>
    </row>
    <row r="8088" spans="3:6">
      <c r="D8088" s="23" t="s">
        <v>12857</v>
      </c>
      <c r="E8088" s="690">
        <f>IF(MAX(E8080:E8085)=E8087,"",MAX(E8080:E8085))</f>
        <v>28.641177323625108</v>
      </c>
      <c r="F8088" s="23" t="s">
        <v>12852</v>
      </c>
    </row>
    <row r="8089" spans="3:6">
      <c r="E8089" s="614"/>
    </row>
    <row r="8090" spans="3:6">
      <c r="D8090" s="614" t="s">
        <v>12858</v>
      </c>
      <c r="E8090" s="614">
        <f>MATCH(E8087,E8080:E8085,0)</f>
        <v>1</v>
      </c>
      <c r="F8090" s="614" t="s">
        <v>12854</v>
      </c>
    </row>
    <row r="8091" spans="3:6">
      <c r="D8091" s="614" t="s">
        <v>12859</v>
      </c>
      <c r="E8091" s="614">
        <f>MATCH(E8088,E8080:E8085,0)</f>
        <v>2</v>
      </c>
      <c r="F8091" s="614" t="s">
        <v>12855</v>
      </c>
    </row>
    <row r="8093" spans="3:6">
      <c r="C8093" s="633" t="s">
        <v>238</v>
      </c>
      <c r="D8093" s="614"/>
      <c r="E8093" s="614"/>
      <c r="F8093" s="614"/>
    </row>
    <row r="8094" spans="3:6">
      <c r="C8094" s="614"/>
      <c r="D8094" s="614" t="s">
        <v>12846</v>
      </c>
      <c r="E8094" s="690">
        <f>cbalCh1Prod2Slot1Promo1ROI</f>
        <v>-0.96384079093142883</v>
      </c>
      <c r="F8094" s="614"/>
    </row>
    <row r="8095" spans="3:6">
      <c r="C8095" s="614"/>
      <c r="D8095" s="614" t="s">
        <v>12847</v>
      </c>
      <c r="E8095" s="690" t="str">
        <f>cbalCh1Prod2Slot1Promo2ROI</f>
        <v/>
      </c>
      <c r="F8095" s="614"/>
    </row>
    <row r="8096" spans="3:6">
      <c r="C8096" s="614"/>
      <c r="D8096" s="614" t="s">
        <v>12848</v>
      </c>
      <c r="E8096" s="690">
        <f>cbalCh1Prod2Slot2Promo1ROI</f>
        <v>97.517410631878121</v>
      </c>
      <c r="F8096" s="614"/>
    </row>
    <row r="8097" spans="3:6">
      <c r="C8097" s="614"/>
      <c r="D8097" s="614" t="s">
        <v>12849</v>
      </c>
      <c r="E8097" s="690">
        <f>cbalCh1Prod2Slot2Promo2ROI</f>
        <v>13.097131921945596</v>
      </c>
      <c r="F8097" s="614"/>
    </row>
    <row r="8098" spans="3:6">
      <c r="C8098" s="614"/>
      <c r="D8098" s="614" t="s">
        <v>12850</v>
      </c>
      <c r="E8098" s="690" t="str">
        <f>cbalCh1Prod2Slot3Promo1ROI</f>
        <v/>
      </c>
      <c r="F8098" s="614"/>
    </row>
    <row r="8099" spans="3:6">
      <c r="C8099" s="614"/>
      <c r="D8099" s="614" t="s">
        <v>12851</v>
      </c>
      <c r="E8099" s="690" t="str">
        <f>cbalCh1Prod2Slot3Promo2ROI</f>
        <v/>
      </c>
      <c r="F8099" s="614"/>
    </row>
    <row r="8100" spans="3:6">
      <c r="C8100" s="614"/>
      <c r="D8100" s="614"/>
      <c r="E8100" s="690"/>
      <c r="F8100" s="614"/>
    </row>
    <row r="8101" spans="3:6">
      <c r="C8101" s="614"/>
      <c r="D8101" s="614" t="s">
        <v>12856</v>
      </c>
      <c r="E8101" s="690">
        <f>MIN(E8094:E8099)</f>
        <v>-0.96384079093142883</v>
      </c>
      <c r="F8101" s="614" t="s">
        <v>12864</v>
      </c>
    </row>
    <row r="8102" spans="3:6">
      <c r="C8102" s="614"/>
      <c r="D8102" s="614" t="s">
        <v>12857</v>
      </c>
      <c r="E8102" s="690">
        <f>IF(MAX(E8094:E8099)=E8101,"",MAX(E8094:E8099))</f>
        <v>97.517410631878121</v>
      </c>
      <c r="F8102" s="614" t="s">
        <v>12865</v>
      </c>
    </row>
    <row r="8103" spans="3:6">
      <c r="C8103" s="614"/>
      <c r="D8103" s="614"/>
      <c r="E8103" s="614"/>
      <c r="F8103" s="614"/>
    </row>
    <row r="8104" spans="3:6">
      <c r="C8104" s="614"/>
      <c r="D8104" s="614" t="s">
        <v>12858</v>
      </c>
      <c r="E8104" s="614">
        <f>MATCH(E8101,E8094:E8099,0)</f>
        <v>1</v>
      </c>
      <c r="F8104" s="614" t="s">
        <v>12866</v>
      </c>
    </row>
    <row r="8105" spans="3:6">
      <c r="C8105" s="614"/>
      <c r="D8105" s="614" t="s">
        <v>12859</v>
      </c>
      <c r="E8105" s="614">
        <f>MATCH(E8102,E8094:E8099,0)</f>
        <v>3</v>
      </c>
      <c r="F8105" s="614" t="s">
        <v>12867</v>
      </c>
    </row>
    <row r="8107" spans="3:6">
      <c r="C8107" s="633" t="s">
        <v>239</v>
      </c>
      <c r="D8107" s="614"/>
      <c r="E8107" s="614"/>
      <c r="F8107" s="614"/>
    </row>
    <row r="8108" spans="3:6">
      <c r="C8108" s="614"/>
      <c r="D8108" s="614" t="s">
        <v>12846</v>
      </c>
      <c r="E8108" s="690">
        <f>cbalCh1Prod3Slot1Promo1ROI</f>
        <v>-9.3892850851292078</v>
      </c>
      <c r="F8108" s="614"/>
    </row>
    <row r="8109" spans="3:6">
      <c r="C8109" s="614"/>
      <c r="D8109" s="614" t="s">
        <v>12847</v>
      </c>
      <c r="E8109" s="690" t="str">
        <f>cbalCh1Prod3Slot1Promo2ROI</f>
        <v/>
      </c>
      <c r="F8109" s="614"/>
    </row>
    <row r="8110" spans="3:6">
      <c r="C8110" s="614"/>
      <c r="D8110" s="614" t="s">
        <v>12848</v>
      </c>
      <c r="E8110" s="690">
        <f>cbalCh1Prod3Slot2Promo1ROI</f>
        <v>86.333108514603225</v>
      </c>
      <c r="F8110" s="614"/>
    </row>
    <row r="8111" spans="3:6">
      <c r="C8111" s="614"/>
      <c r="D8111" s="614" t="s">
        <v>12849</v>
      </c>
      <c r="E8111" s="690" t="str">
        <f>cbalCh1Prod3Slot2Promo2ROI</f>
        <v/>
      </c>
      <c r="F8111" s="614"/>
    </row>
    <row r="8112" spans="3:6">
      <c r="C8112" s="614"/>
      <c r="D8112" s="614" t="s">
        <v>12850</v>
      </c>
      <c r="E8112" s="690" t="str">
        <f>cbalCh1Prod3Slot3Promo1ROI</f>
        <v/>
      </c>
      <c r="F8112" s="614"/>
    </row>
    <row r="8113" spans="3:6">
      <c r="C8113" s="614"/>
      <c r="D8113" s="614" t="s">
        <v>12851</v>
      </c>
      <c r="E8113" s="690" t="str">
        <f>cbalCh1Prod3Slot3Promo2ROI</f>
        <v/>
      </c>
      <c r="F8113" s="614"/>
    </row>
    <row r="8114" spans="3:6">
      <c r="C8114" s="614"/>
      <c r="D8114" s="614"/>
      <c r="E8114" s="690"/>
      <c r="F8114" s="614"/>
    </row>
    <row r="8115" spans="3:6">
      <c r="C8115" s="614"/>
      <c r="D8115" s="614" t="s">
        <v>12856</v>
      </c>
      <c r="E8115" s="690">
        <f>MIN(E8108:E8113)</f>
        <v>-9.3892850851292078</v>
      </c>
      <c r="F8115" s="614" t="s">
        <v>12860</v>
      </c>
    </row>
    <row r="8116" spans="3:6">
      <c r="C8116" s="614"/>
      <c r="D8116" s="614" t="s">
        <v>12857</v>
      </c>
      <c r="E8116" s="690">
        <f>IF(MAX(E8108:E8113)=E8115,"",MAX(E8108:E8113))</f>
        <v>86.333108514603225</v>
      </c>
      <c r="F8116" s="614" t="s">
        <v>12861</v>
      </c>
    </row>
    <row r="8117" spans="3:6">
      <c r="C8117" s="614"/>
      <c r="D8117" s="614"/>
      <c r="E8117" s="614"/>
      <c r="F8117" s="614"/>
    </row>
    <row r="8118" spans="3:6">
      <c r="C8118" s="614"/>
      <c r="D8118" s="614" t="s">
        <v>12858</v>
      </c>
      <c r="E8118" s="614">
        <f>MATCH(E8115,E8108:E8113,0)</f>
        <v>1</v>
      </c>
      <c r="F8118" s="614" t="s">
        <v>12862</v>
      </c>
    </row>
    <row r="8119" spans="3:6">
      <c r="C8119" s="614"/>
      <c r="D8119" s="614" t="s">
        <v>12859</v>
      </c>
      <c r="E8119" s="614">
        <f>MATCH(E8116,E8108:E8113,0)</f>
        <v>3</v>
      </c>
      <c r="F8119" s="614" t="s">
        <v>12863</v>
      </c>
    </row>
    <row r="8121" spans="3:6">
      <c r="C8121" s="633" t="s">
        <v>5199</v>
      </c>
    </row>
    <row r="8122" spans="3:6" s="614" customFormat="1">
      <c r="C8122" s="633" t="s">
        <v>12868</v>
      </c>
    </row>
    <row r="8123" spans="3:6" s="614" customFormat="1">
      <c r="D8123" s="614" t="s">
        <v>12846</v>
      </c>
      <c r="E8123" s="690">
        <f>cbalCh3Prod1Slot1Promo1ROI</f>
        <v>10.931381221158984</v>
      </c>
    </row>
    <row r="8124" spans="3:6" s="614" customFormat="1">
      <c r="D8124" s="614" t="s">
        <v>12848</v>
      </c>
      <c r="E8124" s="690" t="str">
        <f>cbalCh3Prod1Slot2Promo1ROI</f>
        <v/>
      </c>
    </row>
    <row r="8125" spans="3:6" s="614" customFormat="1">
      <c r="D8125" s="614" t="s">
        <v>12850</v>
      </c>
      <c r="E8125" s="690" t="str">
        <f>cbalCh3Prod1Slot3Promo1ROI</f>
        <v/>
      </c>
    </row>
    <row r="8126" spans="3:6" s="614" customFormat="1">
      <c r="E8126" s="690"/>
    </row>
    <row r="8127" spans="3:6" s="614" customFormat="1">
      <c r="D8127" s="614" t="s">
        <v>12856</v>
      </c>
      <c r="E8127" s="690">
        <f>MIN(E8123:E8125)</f>
        <v>10.931381221158984</v>
      </c>
      <c r="F8127" s="614" t="s">
        <v>13222</v>
      </c>
    </row>
    <row r="8128" spans="3:6" s="614" customFormat="1">
      <c r="D8128" s="614" t="s">
        <v>12857</v>
      </c>
      <c r="E8128" s="690" t="str">
        <f>IF(MAX(E8123:E8125)=E8127,"",MAX(E8123:E8125))</f>
        <v/>
      </c>
      <c r="F8128" s="614" t="s">
        <v>13223</v>
      </c>
    </row>
    <row r="8129" spans="2:6" s="614" customFormat="1"/>
    <row r="8130" spans="2:6" s="614" customFormat="1">
      <c r="D8130" s="614" t="s">
        <v>12858</v>
      </c>
      <c r="E8130" s="614">
        <f>MATCH(E8127,E8123:E8125,0)</f>
        <v>1</v>
      </c>
      <c r="F8130" s="614" t="s">
        <v>13224</v>
      </c>
    </row>
    <row r="8131" spans="2:6" s="614" customFormat="1">
      <c r="D8131" s="614" t="s">
        <v>12859</v>
      </c>
      <c r="E8131" s="614">
        <f>MATCH(E8128,E8123:E8125,0)</f>
        <v>2</v>
      </c>
      <c r="F8131" s="614" t="s">
        <v>13225</v>
      </c>
    </row>
    <row r="8134" spans="2:6">
      <c r="B8134" s="633" t="s">
        <v>13374</v>
      </c>
    </row>
    <row r="8136" spans="2:6" ht="15" thickBot="1">
      <c r="D8136" s="633" t="s">
        <v>244</v>
      </c>
    </row>
    <row r="8137" spans="2:6">
      <c r="D8137" s="23" t="s">
        <v>14015</v>
      </c>
      <c r="E8137" s="987">
        <f>cbalCh1Prod1Slot1Promo1ROI</f>
        <v>-0.38695392849490395</v>
      </c>
    </row>
    <row r="8138" spans="2:6">
      <c r="E8138" s="988">
        <f>cbalCh1Prod1Slot1Promo2ROI</f>
        <v>28.641177323625108</v>
      </c>
    </row>
    <row r="8139" spans="2:6">
      <c r="D8139" s="614" t="s">
        <v>14016</v>
      </c>
      <c r="E8139" s="988" t="str">
        <f>cbalCh1Prod1Slot2Promo1ROI</f>
        <v/>
      </c>
    </row>
    <row r="8140" spans="2:6">
      <c r="E8140" s="988" t="str">
        <f>cbalCh1Prod1Slot2Promo2ROI</f>
        <v/>
      </c>
    </row>
    <row r="8141" spans="2:6">
      <c r="D8141" s="614" t="s">
        <v>14017</v>
      </c>
      <c r="E8141" s="988" t="str">
        <f>cbalCh1Prod1Slot3Promo1ROI</f>
        <v/>
      </c>
    </row>
    <row r="8142" spans="2:6" ht="15" thickBot="1">
      <c r="E8142" s="989" t="str">
        <f>cbalCh1Prod1Slot3Promo2ROI</f>
        <v/>
      </c>
    </row>
    <row r="8143" spans="2:6">
      <c r="D8143" s="633" t="s">
        <v>515</v>
      </c>
      <c r="E8143" s="370">
        <f>IFERROR(AVERAGE(E8137:E8142),0)</f>
        <v>14.127111697565102</v>
      </c>
      <c r="F8143" s="633" t="s">
        <v>13375</v>
      </c>
    </row>
    <row r="8144" spans="2:6" ht="15" thickBot="1"/>
    <row r="8145" spans="4:6" s="614" customFormat="1">
      <c r="D8145" s="614" t="s">
        <v>14018</v>
      </c>
      <c r="E8145" s="987">
        <f>cbalCh1Prod2Slot1Promo1ROI</f>
        <v>-0.96384079093142883</v>
      </c>
    </row>
    <row r="8146" spans="4:6" s="614" customFormat="1">
      <c r="E8146" s="988" t="str">
        <f>cbalCh1Prod2Slot1Promo2ROI</f>
        <v/>
      </c>
    </row>
    <row r="8147" spans="4:6" s="614" customFormat="1">
      <c r="D8147" s="614" t="s">
        <v>14019</v>
      </c>
      <c r="E8147" s="988">
        <f>cbalCh1Prod2Slot2Promo1ROI</f>
        <v>97.517410631878121</v>
      </c>
    </row>
    <row r="8148" spans="4:6" s="614" customFormat="1">
      <c r="E8148" s="988">
        <f>cbalCh1Prod2Slot2Promo2ROI</f>
        <v>13.097131921945596</v>
      </c>
    </row>
    <row r="8149" spans="4:6" s="614" customFormat="1">
      <c r="D8149" s="614" t="s">
        <v>14020</v>
      </c>
      <c r="E8149" s="988" t="str">
        <f>cbalCh1Prod2Slot3Promo1ROI</f>
        <v/>
      </c>
    </row>
    <row r="8150" spans="4:6" s="614" customFormat="1" ht="15" thickBot="1">
      <c r="E8150" s="989" t="str">
        <f>cbalCh1Prod2Slot3Promo2ROI</f>
        <v/>
      </c>
    </row>
    <row r="8151" spans="4:6" s="614" customFormat="1">
      <c r="D8151" s="633" t="s">
        <v>515</v>
      </c>
      <c r="E8151" s="370">
        <f>IFERROR(AVERAGE(E8145:E8150),0)</f>
        <v>36.550233920964097</v>
      </c>
      <c r="F8151" s="633" t="s">
        <v>13378</v>
      </c>
    </row>
    <row r="8152" spans="4:6" ht="15" thickBot="1"/>
    <row r="8153" spans="4:6" s="614" customFormat="1">
      <c r="D8153" s="614" t="s">
        <v>14021</v>
      </c>
      <c r="E8153" s="987">
        <f>cbalCh1Prod3Slot1Promo1ROI</f>
        <v>-9.3892850851292078</v>
      </c>
    </row>
    <row r="8154" spans="4:6" s="614" customFormat="1">
      <c r="E8154" s="988" t="str">
        <f>cbalCh1Prod3Slot1Promo2ROI</f>
        <v/>
      </c>
    </row>
    <row r="8155" spans="4:6" s="614" customFormat="1">
      <c r="D8155" s="614" t="s">
        <v>14022</v>
      </c>
      <c r="E8155" s="988">
        <f>cbalCh1Prod3Slot2Promo1ROI</f>
        <v>86.333108514603225</v>
      </c>
    </row>
    <row r="8156" spans="4:6" s="614" customFormat="1">
      <c r="E8156" s="988" t="str">
        <f>cbalCh1Prod3Slot2Promo2ROI</f>
        <v/>
      </c>
    </row>
    <row r="8157" spans="4:6" s="614" customFormat="1">
      <c r="D8157" s="614" t="s">
        <v>14023</v>
      </c>
      <c r="E8157" s="988" t="str">
        <f>cbalCh1Prod3Slot3Promo1ROI</f>
        <v/>
      </c>
    </row>
    <row r="8158" spans="4:6" s="614" customFormat="1" ht="15" thickBot="1">
      <c r="E8158" s="989" t="str">
        <f>cbalCh1Prod3Slot3Promo2ROI</f>
        <v/>
      </c>
    </row>
    <row r="8159" spans="4:6" s="614" customFormat="1">
      <c r="D8159" s="633" t="s">
        <v>515</v>
      </c>
      <c r="E8159" s="370">
        <f>IFERROR(AVERAGE(E8153:E8158),0)</f>
        <v>38.471911714737011</v>
      </c>
      <c r="F8159" s="633" t="s">
        <v>13377</v>
      </c>
    </row>
    <row r="8160" spans="4:6" ht="15" thickBot="1"/>
    <row r="8161" spans="4:6" s="614" customFormat="1">
      <c r="D8161" s="614" t="s">
        <v>14024</v>
      </c>
      <c r="E8161" s="987" t="str">
        <f>cbalCh1Prod4Slot1Promo1ROI</f>
        <v/>
      </c>
    </row>
    <row r="8162" spans="4:6" s="614" customFormat="1">
      <c r="E8162" s="988" t="str">
        <f>cbalCh1Prod4Slot1Promo2ROI</f>
        <v/>
      </c>
    </row>
    <row r="8163" spans="4:6" s="614" customFormat="1">
      <c r="D8163" s="614" t="s">
        <v>14025</v>
      </c>
      <c r="E8163" s="988" t="str">
        <f>cbalCh1Prod4Slot2Promo1ROI</f>
        <v/>
      </c>
    </row>
    <row r="8164" spans="4:6" s="614" customFormat="1">
      <c r="E8164" s="988" t="str">
        <f>cbalCh1Prod4Slot2Promo2ROI</f>
        <v/>
      </c>
    </row>
    <row r="8165" spans="4:6" s="614" customFormat="1">
      <c r="D8165" s="614" t="s">
        <v>14026</v>
      </c>
      <c r="E8165" s="988" t="str">
        <f>cbalCh1Prod4Slot3Promo1ROI</f>
        <v/>
      </c>
    </row>
    <row r="8166" spans="4:6" s="614" customFormat="1" ht="15" thickBot="1">
      <c r="E8166" s="989" t="str">
        <f>cbalCh1Prod4Slot3Promo2ROI</f>
        <v/>
      </c>
    </row>
    <row r="8167" spans="4:6" s="614" customFormat="1">
      <c r="D8167" s="633" t="s">
        <v>515</v>
      </c>
      <c r="E8167" s="370">
        <f>IFERROR(AVERAGE(E8161:E8166),0)</f>
        <v>0</v>
      </c>
      <c r="F8167" s="633" t="s">
        <v>13376</v>
      </c>
    </row>
    <row r="8168" spans="4:6">
      <c r="D8168" s="633"/>
      <c r="E8168" s="633"/>
      <c r="F8168" s="633"/>
    </row>
    <row r="8169" spans="4:6">
      <c r="D8169" s="633" t="s">
        <v>14027</v>
      </c>
      <c r="E8169" s="986">
        <f>SUM(E8137:E8142,E8145:E8150,E8153:E8158,E8161:E8166)/COUNT(E8137:E8142,E8145:E8150,E8153:E8158,E8161:E8166)</f>
        <v>30.692678369642355</v>
      </c>
      <c r="F8169" s="633" t="s">
        <v>13379</v>
      </c>
    </row>
    <row r="8171" spans="4:6" s="614" customFormat="1" ht="15" thickBot="1">
      <c r="D8171" s="633" t="s">
        <v>5199</v>
      </c>
    </row>
    <row r="8172" spans="4:6" s="614" customFormat="1">
      <c r="D8172" s="614" t="s">
        <v>14015</v>
      </c>
      <c r="E8172" s="987">
        <f>cbalCh3Prod1Slot1Promo1ROI</f>
        <v>10.931381221158984</v>
      </c>
    </row>
    <row r="8173" spans="4:6" s="614" customFormat="1">
      <c r="D8173" s="614" t="s">
        <v>14016</v>
      </c>
      <c r="E8173" s="988" t="str">
        <f>cbalCh3Prod1Slot2Promo1ROI</f>
        <v/>
      </c>
    </row>
    <row r="8174" spans="4:6" s="614" customFormat="1" ht="15" thickBot="1">
      <c r="D8174" s="614" t="s">
        <v>14017</v>
      </c>
      <c r="E8174" s="989" t="str">
        <f>cbalCh3Prod1Slot3Promo1ROI</f>
        <v/>
      </c>
    </row>
    <row r="8175" spans="4:6" s="614" customFormat="1">
      <c r="D8175" s="633" t="s">
        <v>515</v>
      </c>
      <c r="E8175" s="370">
        <f>IFERROR(AVERAGE(E8172:E8174),0)</f>
        <v>10.931381221158984</v>
      </c>
      <c r="F8175" s="633" t="s">
        <v>13380</v>
      </c>
    </row>
    <row r="8176" spans="4:6" s="614" customFormat="1" ht="15" thickBot="1"/>
    <row r="8177" spans="4:6" s="614" customFormat="1">
      <c r="D8177" s="614" t="s">
        <v>14018</v>
      </c>
      <c r="E8177" s="987">
        <f>cbalCh3Prod2Slot1Promo1ROI</f>
        <v>10.188103053630233</v>
      </c>
    </row>
    <row r="8178" spans="4:6" s="614" customFormat="1">
      <c r="D8178" s="614" t="s">
        <v>14019</v>
      </c>
      <c r="E8178" s="988">
        <f>cbalCh3Prod2Slot2Promo1ROI</f>
        <v>45.866428435453592</v>
      </c>
    </row>
    <row r="8179" spans="4:6" s="614" customFormat="1" ht="15" thickBot="1">
      <c r="D8179" s="614" t="s">
        <v>14020</v>
      </c>
      <c r="E8179" s="989" t="str">
        <f>cbalCh3Prod2Slot3Promo1ROI</f>
        <v/>
      </c>
    </row>
    <row r="8180" spans="4:6" s="614" customFormat="1">
      <c r="D8180" s="633" t="s">
        <v>515</v>
      </c>
      <c r="E8180" s="370">
        <f>IFERROR(AVERAGE(E8177:E8179),0)</f>
        <v>28.027265744541914</v>
      </c>
      <c r="F8180" s="633" t="s">
        <v>13381</v>
      </c>
    </row>
    <row r="8181" spans="4:6" s="614" customFormat="1" ht="15" thickBot="1"/>
    <row r="8182" spans="4:6" s="614" customFormat="1">
      <c r="D8182" s="614" t="s">
        <v>14021</v>
      </c>
      <c r="E8182" s="987">
        <f>cbalCh3Prod3Slot1Promo1ROI</f>
        <v>-13.632337305826271</v>
      </c>
    </row>
    <row r="8183" spans="4:6" s="614" customFormat="1">
      <c r="D8183" s="614" t="s">
        <v>14022</v>
      </c>
      <c r="E8183" s="988" t="str">
        <f>cbalCh3Prod3Slot2Promo1ROI</f>
        <v/>
      </c>
    </row>
    <row r="8184" spans="4:6" s="614" customFormat="1" ht="15" thickBot="1">
      <c r="D8184" s="614" t="s">
        <v>14023</v>
      </c>
      <c r="E8184" s="989" t="str">
        <f>cbalCh3Prod3Slot3Promo1ROI</f>
        <v/>
      </c>
    </row>
    <row r="8185" spans="4:6" s="614" customFormat="1">
      <c r="D8185" s="633" t="s">
        <v>515</v>
      </c>
      <c r="E8185" s="370">
        <f>IFERROR(AVERAGE(E8182:E8184),0)</f>
        <v>-13.632337305826271</v>
      </c>
      <c r="F8185" s="633" t="s">
        <v>13382</v>
      </c>
    </row>
    <row r="8186" spans="4:6" s="614" customFormat="1" ht="15" thickBot="1"/>
    <row r="8187" spans="4:6" s="614" customFormat="1">
      <c r="D8187" s="614" t="s">
        <v>14024</v>
      </c>
      <c r="E8187" s="987" t="str">
        <f>cbalCh3Prod4Slot1Promo1ROI</f>
        <v/>
      </c>
    </row>
    <row r="8188" spans="4:6" s="614" customFormat="1">
      <c r="D8188" s="614" t="s">
        <v>14025</v>
      </c>
      <c r="E8188" s="988" t="str">
        <f>cbalCh3Prod4Slot2Promo1ROI</f>
        <v/>
      </c>
    </row>
    <row r="8189" spans="4:6" s="614" customFormat="1" ht="15" thickBot="1">
      <c r="D8189" s="614" t="s">
        <v>14026</v>
      </c>
      <c r="E8189" s="989" t="str">
        <f>cbalCh3Prod4Slot3Promo1ROI</f>
        <v/>
      </c>
    </row>
    <row r="8190" spans="4:6" s="614" customFormat="1">
      <c r="D8190" s="633" t="s">
        <v>515</v>
      </c>
      <c r="E8190" s="370">
        <f>IFERROR(AVERAGE(E8187:E8189),0)</f>
        <v>0</v>
      </c>
      <c r="F8190" s="633" t="s">
        <v>13383</v>
      </c>
    </row>
    <row r="8191" spans="4:6" s="614" customFormat="1">
      <c r="D8191" s="633"/>
      <c r="E8191" s="633"/>
      <c r="F8191" s="633"/>
    </row>
    <row r="8192" spans="4:6" s="614" customFormat="1">
      <c r="D8192" s="633" t="s">
        <v>14028</v>
      </c>
      <c r="E8192" s="986">
        <f>SUM(E8172:E8174,E8177:E8179,E8182:E8184,E8187:E8189)/COUNT(E8172:E8174,E8177:E8179,E8182:E8184,E8187:E8189)</f>
        <v>13.338393851104136</v>
      </c>
      <c r="F8192" s="633" t="s">
        <v>13384</v>
      </c>
    </row>
    <row r="8195" spans="4:6">
      <c r="D8195" s="614"/>
      <c r="E8195" s="614"/>
      <c r="F8195" s="614"/>
    </row>
    <row r="8196" spans="4:6" ht="15" thickBot="1">
      <c r="D8196" s="633" t="s">
        <v>246</v>
      </c>
      <c r="E8196" s="614"/>
      <c r="F8196" s="614"/>
    </row>
    <row r="8197" spans="4:6">
      <c r="D8197" s="614" t="s">
        <v>14015</v>
      </c>
      <c r="E8197" s="987">
        <f>cbalCh4Prod1Slot1Promo1ROI</f>
        <v>7.5347352527865814</v>
      </c>
      <c r="F8197" s="614"/>
    </row>
    <row r="8198" spans="4:6">
      <c r="D8198" s="614" t="s">
        <v>14016</v>
      </c>
      <c r="E8198" s="988" t="str">
        <f>cbalCh4Prod1Slot2Promo1ROI</f>
        <v/>
      </c>
      <c r="F8198" s="614"/>
    </row>
    <row r="8199" spans="4:6" ht="15" thickBot="1">
      <c r="D8199" s="614" t="s">
        <v>14017</v>
      </c>
      <c r="E8199" s="989" t="str">
        <f>cbalCh4Prod1Slot3Promo1ROI</f>
        <v/>
      </c>
      <c r="F8199" s="614"/>
    </row>
    <row r="8200" spans="4:6">
      <c r="D8200" s="633" t="s">
        <v>515</v>
      </c>
      <c r="E8200" s="370">
        <f>IFERROR(AVERAGE(E8197:E8199),0)</f>
        <v>7.5347352527865814</v>
      </c>
      <c r="F8200" s="633" t="s">
        <v>13385</v>
      </c>
    </row>
    <row r="8201" spans="4:6" ht="15" thickBot="1">
      <c r="D8201" s="614"/>
      <c r="E8201" s="614"/>
      <c r="F8201" s="614"/>
    </row>
    <row r="8202" spans="4:6">
      <c r="D8202" s="614" t="s">
        <v>14018</v>
      </c>
      <c r="E8202" s="987">
        <f>cbalCh4Prod2Slot1Promo1ROI</f>
        <v>-0.3864987543889048</v>
      </c>
      <c r="F8202" s="614"/>
    </row>
    <row r="8203" spans="4:6">
      <c r="D8203" s="614" t="s">
        <v>14019</v>
      </c>
      <c r="E8203" s="988" t="str">
        <f>cbalCh4Prod2Slot2Promo1ROI</f>
        <v/>
      </c>
      <c r="F8203" s="614"/>
    </row>
    <row r="8204" spans="4:6" ht="15" thickBot="1">
      <c r="D8204" s="614" t="s">
        <v>14020</v>
      </c>
      <c r="E8204" s="989" t="str">
        <f>cbalCh4Prod2Slot3Promo1ROI</f>
        <v/>
      </c>
      <c r="F8204" s="614"/>
    </row>
    <row r="8205" spans="4:6">
      <c r="D8205" s="633" t="s">
        <v>515</v>
      </c>
      <c r="E8205" s="370">
        <f>IFERROR(AVERAGE(E8202:E8204),0)</f>
        <v>-0.3864987543889048</v>
      </c>
      <c r="F8205" s="633" t="s">
        <v>13386</v>
      </c>
    </row>
    <row r="8206" spans="4:6" ht="15" thickBot="1">
      <c r="D8206" s="614"/>
      <c r="E8206" s="614"/>
      <c r="F8206" s="614"/>
    </row>
    <row r="8207" spans="4:6">
      <c r="D8207" s="614" t="s">
        <v>14021</v>
      </c>
      <c r="E8207" s="987" t="str">
        <f>cbalCh4Prod3Slot1Promo1ROI</f>
        <v/>
      </c>
      <c r="F8207" s="614"/>
    </row>
    <row r="8208" spans="4:6">
      <c r="D8208" s="614" t="s">
        <v>14022</v>
      </c>
      <c r="E8208" s="988" t="str">
        <f>cbalCh4Prod3Slot2Promo1ROI</f>
        <v/>
      </c>
      <c r="F8208" s="614"/>
    </row>
    <row r="8209" spans="4:6" ht="15" thickBot="1">
      <c r="D8209" s="614" t="s">
        <v>14023</v>
      </c>
      <c r="E8209" s="989" t="str">
        <f>cbalCh4Prod3Slot3Promo1ROI</f>
        <v/>
      </c>
      <c r="F8209" s="614"/>
    </row>
    <row r="8210" spans="4:6">
      <c r="D8210" s="633" t="s">
        <v>515</v>
      </c>
      <c r="E8210" s="370">
        <f>IFERROR(AVERAGE(E8207:E8209),0)</f>
        <v>0</v>
      </c>
      <c r="F8210" s="633" t="s">
        <v>13387</v>
      </c>
    </row>
    <row r="8211" spans="4:6" ht="15" thickBot="1">
      <c r="D8211" s="614"/>
      <c r="E8211" s="614"/>
      <c r="F8211" s="614"/>
    </row>
    <row r="8212" spans="4:6">
      <c r="D8212" s="614" t="s">
        <v>14024</v>
      </c>
      <c r="E8212" s="987">
        <f>cbalCh4Prod4Slot1Promo1ROI</f>
        <v>4.9096519506842506</v>
      </c>
      <c r="F8212" s="614"/>
    </row>
    <row r="8213" spans="4:6">
      <c r="D8213" s="614" t="s">
        <v>14025</v>
      </c>
      <c r="E8213" s="988" t="str">
        <f>cbalCh4Prod4Slot2Promo1ROI</f>
        <v/>
      </c>
      <c r="F8213" s="614"/>
    </row>
    <row r="8214" spans="4:6" ht="15" thickBot="1">
      <c r="D8214" s="614" t="s">
        <v>14026</v>
      </c>
      <c r="E8214" s="989" t="str">
        <f>cbalCh4Prod4Slot3Promo1ROI</f>
        <v/>
      </c>
      <c r="F8214" s="614"/>
    </row>
    <row r="8215" spans="4:6">
      <c r="D8215" s="633" t="s">
        <v>515</v>
      </c>
      <c r="E8215" s="370">
        <f>IFERROR(AVERAGE(E8212:E8214),0)</f>
        <v>4.9096519506842506</v>
      </c>
      <c r="F8215" s="633" t="s">
        <v>13388</v>
      </c>
    </row>
    <row r="8216" spans="4:6">
      <c r="D8216" s="633"/>
      <c r="E8216" s="633"/>
      <c r="F8216" s="633"/>
    </row>
    <row r="8217" spans="4:6">
      <c r="D8217" s="633" t="s">
        <v>14029</v>
      </c>
      <c r="E8217" s="986">
        <f>SUM(E8197:E8199,E8202:E8204,E8207:E8209,E8212:E8214)/COUNT(E8197:E8199,E8202:E8204,E8207:E8209,E8212:E8214)</f>
        <v>4.0192961496939761</v>
      </c>
      <c r="F8217" s="633" t="s">
        <v>13389</v>
      </c>
    </row>
    <row r="8218" spans="4:6">
      <c r="D8218" s="614"/>
      <c r="E8218" s="614"/>
      <c r="F8218" s="614"/>
    </row>
    <row r="8219" spans="4:6">
      <c r="D8219" s="633" t="s">
        <v>13390</v>
      </c>
      <c r="E8219" s="986">
        <f>SUM(E8137:E8142,E8145:E8150,E8153:E8158,E8161:E8166,E8172:E8174,E8177:E8179,E8182:E8184,E8187:E8189,E8197:E8199,E8202:E8204,E8207:E8209,E8212:E8214)/COUNT(E8137:E8142,E8145:E8150,E8153:E8158,E8161:E8166,E8172:E8174,E8177:E8179,E8182:E8184,E8187:E8189,E8197:E8199,E8202:E8204,E8207:E8209,E8212:E8214)</f>
        <v>20.018586602928202</v>
      </c>
      <c r="F8219" s="633" t="s">
        <v>13391</v>
      </c>
    </row>
  </sheetData>
  <conditionalFormatting sqref="E7755:E7794">
    <cfRule type="cellIs" dxfId="0" priority="11" operator="equal">
      <formula>TRUE</formula>
    </cfRule>
  </conditionalFormatting>
  <pageMargins left="0.7" right="0.7" top="0.75" bottom="0.75" header="0.3" footer="0.3"/>
  <pageSetup paperSize="9" orientation="portrait" r:id="rId1"/>
  <ignoredErrors>
    <ignoredError sqref="E3763 E3761 E3765 E3778" formula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1"/>
  </sheetPr>
  <dimension ref="A1:F2319"/>
  <sheetViews>
    <sheetView topLeftCell="A2276" zoomScale="85" zoomScaleNormal="85" workbookViewId="0">
      <selection activeCell="F2294" sqref="F2294"/>
    </sheetView>
  </sheetViews>
  <sheetFormatPr defaultColWidth="13.09765625" defaultRowHeight="12.75" customHeight="1"/>
  <cols>
    <col min="1" max="2" width="2" style="209" customWidth="1"/>
    <col min="3" max="3" width="2.296875" style="209" customWidth="1"/>
    <col min="4" max="4" width="34.09765625" style="209" customWidth="1"/>
    <col min="5" max="5" width="17.5" style="209" customWidth="1"/>
    <col min="6" max="6" width="36" style="209" customWidth="1"/>
    <col min="7" max="16384" width="13.09765625" style="209"/>
  </cols>
  <sheetData>
    <row r="1" spans="1:6" s="322" customFormat="1" ht="14.25">
      <c r="A1" s="218" t="s">
        <v>509</v>
      </c>
      <c r="B1" s="218"/>
      <c r="C1" s="218"/>
      <c r="D1" s="218"/>
      <c r="E1" s="219"/>
      <c r="F1" s="218"/>
    </row>
    <row r="2" spans="1:6" s="398" customFormat="1" ht="14.25">
      <c r="A2" s="209"/>
      <c r="B2" s="209"/>
      <c r="C2" s="209"/>
      <c r="D2" s="209"/>
      <c r="E2" s="210"/>
      <c r="F2" s="209"/>
    </row>
    <row r="3" spans="1:6" s="322" customFormat="1" ht="24" customHeight="1">
      <c r="A3" s="407"/>
      <c r="B3" s="456" t="s">
        <v>244</v>
      </c>
      <c r="C3" s="455"/>
      <c r="D3" s="455"/>
      <c r="E3" s="864"/>
      <c r="F3" s="407"/>
    </row>
    <row r="4" spans="1:6" s="322" customFormat="1" ht="13.15" customHeight="1">
      <c r="A4" s="407"/>
      <c r="B4" s="405"/>
      <c r="C4" s="447" t="s">
        <v>12868</v>
      </c>
      <c r="D4" s="447"/>
      <c r="E4" s="863"/>
      <c r="F4" s="408"/>
    </row>
    <row r="5" spans="1:6" s="322" customFormat="1" ht="13.15" customHeight="1">
      <c r="A5" s="407"/>
      <c r="B5" s="405"/>
      <c r="C5" s="447"/>
      <c r="D5" s="447" t="s">
        <v>3859</v>
      </c>
      <c r="E5" s="863"/>
      <c r="F5" s="408"/>
    </row>
    <row r="6" spans="1:6" s="322" customFormat="1" ht="13.15" customHeight="1">
      <c r="A6" s="407"/>
      <c r="B6" s="405"/>
      <c r="C6" s="323"/>
      <c r="D6" s="323"/>
      <c r="E6" s="324"/>
    </row>
    <row r="7" spans="1:6" ht="14.25">
      <c r="A7" s="406"/>
      <c r="B7" s="419"/>
      <c r="C7" s="217" t="s">
        <v>295</v>
      </c>
    </row>
    <row r="8" spans="1:6" ht="14.25">
      <c r="A8" s="406"/>
      <c r="B8" s="419"/>
      <c r="D8" s="276" t="s">
        <v>577</v>
      </c>
      <c r="E8" s="491">
        <f>IF(calcCh1Prod1Slot1Active=1,IF(xxSim0Tool1=1,calcCh1Prod1Slot1VolForecastSlot,MMCh1Prod1Seg1Slot1UnitsSold+MMCh1Prod1Seg2Slot1UnitsSold+MMCh1Prod1Seg3Slot1UnitsSold+MMCh1Prod1Seg4Slot1UnitsSold),0)</f>
        <v>57998264.240000002</v>
      </c>
      <c r="F8" s="276" t="s">
        <v>955</v>
      </c>
    </row>
    <row r="9" spans="1:6" ht="14.25">
      <c r="A9" s="406"/>
      <c r="B9" s="419"/>
      <c r="D9" s="276" t="s">
        <v>1762</v>
      </c>
      <c r="E9" s="399">
        <f>IF(VLOOKUP(decCh1Prod1Slot1Pack,dataPackSize,2,FALSE)=0,0,finCalcCh1Prod1Slot1VolSold/VLOOKUP(decCh1Prod1Slot1Pack,dataPackSize,2,FALSE))</f>
        <v>7323013.1616161624</v>
      </c>
      <c r="F9" s="276" t="s">
        <v>1820</v>
      </c>
    </row>
    <row r="10" spans="1:6" ht="14.25">
      <c r="A10" s="406"/>
      <c r="B10" s="419"/>
      <c r="D10" s="276" t="s">
        <v>966</v>
      </c>
      <c r="E10" s="337">
        <f>IF(calcCh1Prod1Slot1VolForecastSlot=0,100%,finCalcCh1Prod1Slot1VolSold/calcCh1Prod1Slot1VolForecastSlot)</f>
        <v>1</v>
      </c>
      <c r="F10" s="276" t="s">
        <v>967</v>
      </c>
    </row>
    <row r="11" spans="1:6" ht="14.25">
      <c r="A11" s="406"/>
      <c r="B11" s="419"/>
      <c r="E11" s="489"/>
    </row>
    <row r="12" spans="1:6" ht="14.25">
      <c r="A12" s="406"/>
      <c r="B12" s="419"/>
      <c r="C12" s="217" t="s">
        <v>3789</v>
      </c>
      <c r="E12" s="489"/>
    </row>
    <row r="13" spans="1:6" ht="14.25">
      <c r="A13" s="406"/>
      <c r="B13" s="419"/>
      <c r="C13" s="217" t="s">
        <v>400</v>
      </c>
    </row>
    <row r="14" spans="1:6" ht="14.25">
      <c r="A14" s="406"/>
      <c r="B14" s="419"/>
      <c r="D14" s="255" t="s">
        <v>526</v>
      </c>
      <c r="E14" s="492">
        <f>VLOOKUP(decCh1Prod1Slot1Pack,dataPackMaterialExp,2,FALSE)</f>
        <v>1.5209964000000005</v>
      </c>
      <c r="F14" s="276" t="s">
        <v>3790</v>
      </c>
    </row>
    <row r="15" spans="1:6" ht="14.25">
      <c r="A15" s="406"/>
      <c r="B15" s="419"/>
      <c r="D15" s="328" t="s">
        <v>960</v>
      </c>
      <c r="E15" s="502">
        <f>VLOOKUP(finCalcCh1Prod1Slot1ForcastAcc,dataForecastImpactMatCost,2,TRUE)*E14</f>
        <v>0</v>
      </c>
      <c r="F15" s="276" t="s">
        <v>3802</v>
      </c>
    </row>
    <row r="16" spans="1:6" ht="14.25">
      <c r="A16" s="406"/>
      <c r="B16" s="419"/>
      <c r="D16" s="328" t="s">
        <v>14030</v>
      </c>
      <c r="E16" s="493">
        <f>paramProd1MatExpSI*finCalcCh1Prod1Slot1MatExpPerUnitBase</f>
        <v>0</v>
      </c>
      <c r="F16" s="276" t="s">
        <v>3801</v>
      </c>
    </row>
    <row r="17" spans="1:6" ht="14.25">
      <c r="A17" s="406"/>
      <c r="B17" s="419"/>
      <c r="D17" s="209" t="s">
        <v>518</v>
      </c>
      <c r="E17" s="327">
        <f>SUM(E14:E16)</f>
        <v>1.5209964000000005</v>
      </c>
      <c r="F17" s="276" t="s">
        <v>3791</v>
      </c>
    </row>
    <row r="18" spans="1:6" ht="14.25">
      <c r="A18" s="406"/>
      <c r="B18" s="419"/>
      <c r="D18" s="209" t="s">
        <v>401</v>
      </c>
      <c r="E18" s="220">
        <f>finCalcCh1Prod1Slot1MatExpPUnitTot*finCalcCh1Prod1Slot1VolSold</f>
        <v>88215151.115288764</v>
      </c>
      <c r="F18" s="276" t="s">
        <v>12874</v>
      </c>
    </row>
    <row r="19" spans="1:6" ht="14.25">
      <c r="A19" s="406"/>
      <c r="B19" s="419"/>
      <c r="C19" s="208"/>
      <c r="F19" s="276"/>
    </row>
    <row r="20" spans="1:6" ht="14.25">
      <c r="A20" s="406"/>
      <c r="B20" s="419"/>
      <c r="C20" s="217" t="s">
        <v>399</v>
      </c>
      <c r="E20" s="224"/>
    </row>
    <row r="21" spans="1:6" ht="14.25">
      <c r="A21" s="406"/>
      <c r="B21" s="419"/>
      <c r="D21" s="328" t="s">
        <v>969</v>
      </c>
      <c r="E21" s="510">
        <f>VLOOKUP(decCh1Prod1Slot1Pack,dataPackLabourHrs,2,FALSE)</f>
        <v>4.4735188235294127E-2</v>
      </c>
      <c r="F21" s="276" t="s">
        <v>3794</v>
      </c>
    </row>
    <row r="22" spans="1:6" ht="14.25">
      <c r="A22" s="406"/>
      <c r="B22" s="419"/>
      <c r="D22" s="328" t="s">
        <v>960</v>
      </c>
      <c r="E22" s="510">
        <f>VLOOKUP(finCalcCh1Prod1Slot1ForcastAcc,dataForecastImpactLabCost,2,TRUE)*finCalcCh1Prod1Slot1LabourHrsReqPVolBase</f>
        <v>0</v>
      </c>
      <c r="F22" s="276" t="s">
        <v>3796</v>
      </c>
    </row>
    <row r="23" spans="1:6" ht="14.25">
      <c r="A23" s="406"/>
      <c r="B23" s="419"/>
      <c r="D23" s="328" t="s">
        <v>14030</v>
      </c>
      <c r="E23" s="510">
        <f>paramProd1LabourExpSI*finCalcCh1Prod1Slot1LabourHrsReqPVolBase</f>
        <v>0</v>
      </c>
      <c r="F23" s="276" t="s">
        <v>3797</v>
      </c>
    </row>
    <row r="24" spans="1:6" ht="14.25">
      <c r="A24" s="406"/>
      <c r="B24" s="419"/>
      <c r="D24" s="209" t="s">
        <v>3795</v>
      </c>
      <c r="E24" s="511">
        <f>SUM(E21:E23)</f>
        <v>4.4735188235294127E-2</v>
      </c>
      <c r="F24" s="276" t="s">
        <v>3798</v>
      </c>
    </row>
    <row r="25" spans="1:6" ht="14.25">
      <c r="A25" s="406"/>
      <c r="B25" s="419"/>
      <c r="D25" s="328"/>
      <c r="E25" s="499"/>
      <c r="F25" s="276"/>
    </row>
    <row r="26" spans="1:6" ht="14.25">
      <c r="A26" s="406"/>
      <c r="B26" s="419"/>
      <c r="D26" s="209" t="s">
        <v>974</v>
      </c>
      <c r="E26" s="494">
        <f>paramLabourCostPerHr</f>
        <v>5</v>
      </c>
      <c r="F26" s="276" t="s">
        <v>3792</v>
      </c>
    </row>
    <row r="27" spans="1:6" ht="14.25">
      <c r="A27" s="406"/>
      <c r="B27" s="419"/>
      <c r="D27" s="209" t="s">
        <v>3793</v>
      </c>
      <c r="E27" s="500">
        <f>finCalcCh1Prod1Slot1VolSold*finCalcCh1Prod1Slot1LabourHrsReqPVolTot</f>
        <v>2594563.2680967283</v>
      </c>
    </row>
    <row r="28" spans="1:6" ht="14.25">
      <c r="A28" s="406"/>
      <c r="B28" s="419"/>
      <c r="D28" s="276" t="s">
        <v>973</v>
      </c>
      <c r="E28" s="220">
        <f>E27*finCalcCh1Prod1Slot1LabourCostPerHour</f>
        <v>12972816.340483641</v>
      </c>
      <c r="F28" s="276" t="s">
        <v>12875</v>
      </c>
    </row>
    <row r="29" spans="1:6" ht="14.25">
      <c r="A29" s="406"/>
      <c r="B29" s="419"/>
      <c r="E29" s="223"/>
    </row>
    <row r="30" spans="1:6" ht="14.25">
      <c r="A30" s="406"/>
      <c r="B30" s="419"/>
      <c r="C30" s="217" t="s">
        <v>513</v>
      </c>
      <c r="E30" s="223"/>
    </row>
    <row r="31" spans="1:6" ht="14.25">
      <c r="A31" s="406"/>
      <c r="B31" s="419"/>
      <c r="C31" s="326"/>
      <c r="D31" s="276" t="s">
        <v>570</v>
      </c>
      <c r="E31" s="979">
        <f>CalcCh1Prod1Slot1ManufacturingCostPUnit</f>
        <v>0.33112800000000003</v>
      </c>
      <c r="F31" s="276"/>
    </row>
    <row r="32" spans="1:6" ht="14.25">
      <c r="A32" s="406"/>
      <c r="B32" s="419"/>
      <c r="C32" s="326"/>
      <c r="D32" s="209" t="s">
        <v>514</v>
      </c>
      <c r="E32" s="490">
        <f>E31*finCalcCh1Prod1Slot1VolSold</f>
        <v>19204849.241262723</v>
      </c>
      <c r="F32" s="276" t="s">
        <v>12876</v>
      </c>
    </row>
    <row r="33" spans="1:6" ht="14.25">
      <c r="A33" s="406"/>
      <c r="B33" s="419"/>
      <c r="C33" s="208"/>
    </row>
    <row r="34" spans="1:6" ht="14.25">
      <c r="A34" s="406"/>
      <c r="B34" s="419"/>
      <c r="C34" s="498" t="s">
        <v>398</v>
      </c>
    </row>
    <row r="35" spans="1:6" ht="14.25">
      <c r="A35" s="406"/>
      <c r="B35" s="419"/>
      <c r="C35" s="208" t="s">
        <v>398</v>
      </c>
      <c r="E35" s="223"/>
    </row>
    <row r="36" spans="1:6" ht="14.25">
      <c r="A36" s="406"/>
      <c r="B36" s="419"/>
      <c r="D36" s="209" t="s">
        <v>450</v>
      </c>
      <c r="E36" s="220">
        <f>CalcCh1Prod1Slot1Depreciation</f>
        <v>8547321.038429644</v>
      </c>
      <c r="F36" s="276" t="s">
        <v>956</v>
      </c>
    </row>
    <row r="37" spans="1:6" ht="14.25">
      <c r="A37" s="406"/>
      <c r="B37" s="419"/>
    </row>
    <row r="38" spans="1:6" ht="14.25">
      <c r="A38" s="406"/>
      <c r="B38" s="419"/>
      <c r="C38" s="217" t="s">
        <v>13066</v>
      </c>
    </row>
    <row r="39" spans="1:6" ht="14.25">
      <c r="A39" s="406"/>
      <c r="B39" s="419"/>
      <c r="D39" s="209" t="s">
        <v>400</v>
      </c>
      <c r="E39" s="495">
        <f>finCalcCh1Prod1Slot1MatExpPUnitTot</f>
        <v>1.5209964000000005</v>
      </c>
    </row>
    <row r="40" spans="1:6" ht="14.25">
      <c r="A40" s="406"/>
      <c r="B40" s="419"/>
      <c r="D40" s="209" t="s">
        <v>399</v>
      </c>
      <c r="E40" s="495">
        <f>finCalcCh1Prod1Slot1LabourCostPerHour*finCalcCh1Prod1Slot1LabourHrsReqPVolTot</f>
        <v>0.22367594117647063</v>
      </c>
    </row>
    <row r="41" spans="1:6" ht="14.25">
      <c r="A41" s="406"/>
      <c r="B41" s="419"/>
      <c r="D41" s="209" t="s">
        <v>513</v>
      </c>
      <c r="E41" s="495">
        <f>E31</f>
        <v>0.33112800000000003</v>
      </c>
    </row>
    <row r="42" spans="1:6" ht="14.25">
      <c r="A42" s="406"/>
      <c r="B42" s="419"/>
      <c r="D42" s="209" t="s">
        <v>398</v>
      </c>
      <c r="E42" s="496">
        <f>CalcCh1Prod1Slot1DepreciationPUnit</f>
        <v>0.14737201449788842</v>
      </c>
    </row>
    <row r="43" spans="1:6" ht="14.25">
      <c r="A43" s="406"/>
      <c r="B43" s="419"/>
      <c r="C43" s="208" t="s">
        <v>397</v>
      </c>
      <c r="E43" s="457">
        <f>SUM(E39:E42)</f>
        <v>2.2231723556743597</v>
      </c>
      <c r="F43" s="276" t="s">
        <v>957</v>
      </c>
    </row>
    <row r="44" spans="1:6" ht="14.25">
      <c r="A44" s="406"/>
      <c r="B44" s="419"/>
    </row>
    <row r="45" spans="1:6" ht="14.25">
      <c r="A45" s="406"/>
      <c r="B45" s="419"/>
      <c r="C45" s="217" t="s">
        <v>519</v>
      </c>
    </row>
    <row r="46" spans="1:6" ht="14.25">
      <c r="A46" s="406"/>
      <c r="B46" s="419"/>
      <c r="D46" s="328" t="s">
        <v>1286</v>
      </c>
      <c r="E46" s="492">
        <f>VLOOKUP(decCh1Prod1Slot1Pack,dataPackLogisticsCost,2,FALSE)</f>
        <v>0.25844210526315792</v>
      </c>
      <c r="F46" s="276" t="s">
        <v>2919</v>
      </c>
    </row>
    <row r="47" spans="1:6" ht="14.25">
      <c r="A47" s="406"/>
      <c r="B47" s="419"/>
      <c r="D47" s="328" t="s">
        <v>960</v>
      </c>
      <c r="E47" s="501">
        <f>VLOOKUP(finCalcCh1Prod1Slot1ForcastAcc,dataForecastImpactLogisticsCost,2,TRUE)*finCalcCh1Prod1Slot1LogExpPerUnit</f>
        <v>0</v>
      </c>
      <c r="F47" s="276" t="s">
        <v>3800</v>
      </c>
    </row>
    <row r="48" spans="1:6" ht="14.25">
      <c r="A48" s="406"/>
      <c r="B48" s="419"/>
      <c r="D48" s="328" t="s">
        <v>14030</v>
      </c>
      <c r="E48" s="497">
        <f>finCalcCh1Prod1Slot1LogExpPerUnit*paramProd1LogExpSI</f>
        <v>0</v>
      </c>
      <c r="F48" s="276" t="s">
        <v>3799</v>
      </c>
    </row>
    <row r="49" spans="1:6" ht="14.25">
      <c r="A49" s="406"/>
      <c r="B49" s="419"/>
      <c r="D49" s="276" t="s">
        <v>1692</v>
      </c>
      <c r="E49" s="327">
        <f>SUM(E46:E48)</f>
        <v>0.25844210526315792</v>
      </c>
      <c r="F49" s="276" t="s">
        <v>12877</v>
      </c>
    </row>
    <row r="50" spans="1:6" ht="14.25">
      <c r="A50" s="406"/>
      <c r="B50" s="419"/>
      <c r="D50" s="276" t="s">
        <v>1284</v>
      </c>
      <c r="E50" s="490">
        <f>finCalcCh1Prod1Slot1LogExpAdjPUnit*finCalcCh1Prod1Slot1VolSold</f>
        <v>14989193.511794528</v>
      </c>
      <c r="F50" s="276" t="s">
        <v>1285</v>
      </c>
    </row>
    <row r="51" spans="1:6" ht="14.25">
      <c r="A51" s="406"/>
      <c r="B51" s="419"/>
      <c r="D51" s="276"/>
      <c r="E51" s="276"/>
      <c r="F51" s="276"/>
    </row>
    <row r="52" spans="1:6" s="322" customFormat="1" ht="13.15" customHeight="1">
      <c r="A52" s="407"/>
      <c r="B52" s="405"/>
      <c r="C52" s="447"/>
      <c r="D52" s="447" t="s">
        <v>3858</v>
      </c>
      <c r="E52" s="863"/>
      <c r="F52" s="408"/>
    </row>
    <row r="53" spans="1:6" s="322" customFormat="1" ht="13.15" customHeight="1">
      <c r="A53" s="407"/>
      <c r="B53" s="405"/>
      <c r="C53" s="323"/>
      <c r="D53" s="323"/>
      <c r="E53" s="324"/>
    </row>
    <row r="54" spans="1:6" ht="14.25">
      <c r="A54" s="406"/>
      <c r="B54" s="419"/>
      <c r="C54" s="217" t="s">
        <v>295</v>
      </c>
    </row>
    <row r="55" spans="1:6" ht="14.25">
      <c r="A55" s="406"/>
      <c r="B55" s="419"/>
      <c r="D55" s="276" t="s">
        <v>577</v>
      </c>
      <c r="E55" s="491">
        <f>IF(calcCh1Prod1Slot2Active=1,IF(xxSim0Tool1=1,calcCh1Prod1Slot2VolForecastSlot,MMCh1Prod1Seg1Slot2UnitsSold+MMCh1Prod1Seg2Slot2UnitsSold+MMCh1Prod1Seg3Slot2UnitsSold+MMCh1Prod1Seg4Slot2UnitsSold),0)</f>
        <v>0</v>
      </c>
      <c r="F55" s="276" t="s">
        <v>1825</v>
      </c>
    </row>
    <row r="56" spans="1:6" ht="14.25">
      <c r="A56" s="406"/>
      <c r="B56" s="419"/>
      <c r="D56" s="276" t="s">
        <v>1762</v>
      </c>
      <c r="E56" s="399">
        <f>IF(VLOOKUP(decCh1Prod1Slot2Pack,dataPackSize,2,FALSE)=0,0,finCalcCh1Prod1Slot2VolSold/VLOOKUP(decCh1Prod1Slot2Pack,dataPackSize,2,FALSE))</f>
        <v>0</v>
      </c>
      <c r="F56" s="276" t="s">
        <v>1826</v>
      </c>
    </row>
    <row r="57" spans="1:6" ht="14.25">
      <c r="A57" s="406"/>
      <c r="B57" s="419"/>
      <c r="D57" s="276" t="s">
        <v>966</v>
      </c>
      <c r="E57" s="654">
        <f>IF(calcCh1Prod1Slot2VolForecastSlot=0,100%,finCalcCh1Prod1Slot2VolSold/calcCh1Prod1Slot2VolForecastSlot)</f>
        <v>1</v>
      </c>
      <c r="F57" s="276" t="s">
        <v>1827</v>
      </c>
    </row>
    <row r="58" spans="1:6" ht="14.25">
      <c r="A58" s="406"/>
      <c r="B58" s="419"/>
      <c r="E58" s="489"/>
    </row>
    <row r="59" spans="1:6" ht="14.25">
      <c r="A59" s="406"/>
      <c r="B59" s="419"/>
      <c r="C59" s="217" t="s">
        <v>3789</v>
      </c>
      <c r="E59" s="489"/>
    </row>
    <row r="60" spans="1:6" ht="14.25">
      <c r="A60" s="406"/>
      <c r="B60" s="419"/>
      <c r="C60" s="217" t="s">
        <v>400</v>
      </c>
    </row>
    <row r="61" spans="1:6" ht="14.25">
      <c r="A61" s="406"/>
      <c r="B61" s="419"/>
      <c r="D61" s="255" t="s">
        <v>526</v>
      </c>
      <c r="E61" s="492">
        <f>VLOOKUP(decCh1Prod1Slot2Pack,dataPackMaterialExp,2,FALSE)</f>
        <v>0</v>
      </c>
      <c r="F61" s="276" t="s">
        <v>3803</v>
      </c>
    </row>
    <row r="62" spans="1:6" ht="14.25">
      <c r="A62" s="406"/>
      <c r="B62" s="419"/>
      <c r="D62" s="328" t="s">
        <v>960</v>
      </c>
      <c r="E62" s="502">
        <f>VLOOKUP(finCalcCh1Prod1Slot2ForcastAcc,dataForecastImpactMatCost,2,TRUE)*E61</f>
        <v>0</v>
      </c>
      <c r="F62" s="276" t="s">
        <v>3804</v>
      </c>
    </row>
    <row r="63" spans="1:6" ht="14.25">
      <c r="A63" s="406"/>
      <c r="B63" s="419"/>
      <c r="D63" s="328" t="s">
        <v>14030</v>
      </c>
      <c r="E63" s="493">
        <f>paramProd1MatExpSI*finCalcCh1Prod1Slot2MatExpPerUnitBase</f>
        <v>0</v>
      </c>
      <c r="F63" s="276" t="s">
        <v>3805</v>
      </c>
    </row>
    <row r="64" spans="1:6" ht="14.25">
      <c r="A64" s="406"/>
      <c r="B64" s="419"/>
      <c r="D64" s="209" t="s">
        <v>518</v>
      </c>
      <c r="E64" s="327">
        <f>SUM(E61:E63)</f>
        <v>0</v>
      </c>
      <c r="F64" s="276" t="s">
        <v>3806</v>
      </c>
    </row>
    <row r="65" spans="1:6" ht="14.25">
      <c r="A65" s="406"/>
      <c r="B65" s="419"/>
      <c r="D65" s="209" t="s">
        <v>401</v>
      </c>
      <c r="E65" s="220">
        <f>finCalcCh1Prod1Slot2MatExpPUnitTot*finCalcCh1Prod1Slot2VolSold</f>
        <v>0</v>
      </c>
      <c r="F65" s="276" t="s">
        <v>12882</v>
      </c>
    </row>
    <row r="66" spans="1:6" ht="14.25">
      <c r="A66" s="406"/>
      <c r="B66" s="419"/>
      <c r="C66" s="208"/>
      <c r="F66" s="276"/>
    </row>
    <row r="67" spans="1:6" ht="14.25">
      <c r="A67" s="406"/>
      <c r="B67" s="419"/>
      <c r="C67" s="217" t="s">
        <v>399</v>
      </c>
      <c r="E67" s="224"/>
    </row>
    <row r="68" spans="1:6" ht="14.25">
      <c r="A68" s="406"/>
      <c r="B68" s="419"/>
      <c r="D68" s="328" t="s">
        <v>969</v>
      </c>
      <c r="E68" s="510">
        <f>VLOOKUP(decCh1Prod1Slot2Pack,dataPackLabourHrs,2,FALSE)</f>
        <v>0</v>
      </c>
      <c r="F68" s="276" t="s">
        <v>3807</v>
      </c>
    </row>
    <row r="69" spans="1:6" ht="14.25">
      <c r="A69" s="406"/>
      <c r="B69" s="419"/>
      <c r="D69" s="328" t="s">
        <v>960</v>
      </c>
      <c r="E69" s="510">
        <f>VLOOKUP(finCalcCh1Prod1Slot2ForcastAcc,dataForecastImpactLabCost,2,TRUE)*finCalcCh1Prod1Slot2LabourHrsReqPVolBase</f>
        <v>0</v>
      </c>
      <c r="F69" s="276" t="s">
        <v>3808</v>
      </c>
    </row>
    <row r="70" spans="1:6" ht="14.25">
      <c r="A70" s="406"/>
      <c r="B70" s="419"/>
      <c r="D70" s="328" t="s">
        <v>14030</v>
      </c>
      <c r="E70" s="510">
        <f>paramProd1LabourExpSI*finCalcCh1Prod1Slot2LabourHrsReqPVolBase</f>
        <v>0</v>
      </c>
      <c r="F70" s="276" t="s">
        <v>3809</v>
      </c>
    </row>
    <row r="71" spans="1:6" ht="14.25">
      <c r="A71" s="406"/>
      <c r="B71" s="419"/>
      <c r="D71" s="209" t="s">
        <v>3795</v>
      </c>
      <c r="E71" s="511">
        <f>SUM(E68:E70)</f>
        <v>0</v>
      </c>
      <c r="F71" s="276" t="s">
        <v>3810</v>
      </c>
    </row>
    <row r="72" spans="1:6" ht="14.25">
      <c r="A72" s="406"/>
      <c r="B72" s="419"/>
      <c r="D72" s="328"/>
      <c r="E72" s="499"/>
      <c r="F72" s="276"/>
    </row>
    <row r="73" spans="1:6" ht="14.25">
      <c r="A73" s="406"/>
      <c r="B73" s="419"/>
      <c r="D73" s="209" t="s">
        <v>974</v>
      </c>
      <c r="E73" s="494">
        <f>paramLabourCostPerHr</f>
        <v>5</v>
      </c>
      <c r="F73" s="276" t="s">
        <v>3811</v>
      </c>
    </row>
    <row r="74" spans="1:6" ht="14.25">
      <c r="A74" s="406"/>
      <c r="B74" s="419"/>
      <c r="D74" s="209" t="s">
        <v>3793</v>
      </c>
      <c r="E74" s="500">
        <f>finCalcCh1Prod1Slot2VolSold*finCalcCh1Prod1Slot2LabourHrsReqPVolTot</f>
        <v>0</v>
      </c>
    </row>
    <row r="75" spans="1:6" ht="14.25">
      <c r="A75" s="406"/>
      <c r="B75" s="419"/>
      <c r="D75" s="276" t="s">
        <v>973</v>
      </c>
      <c r="E75" s="220">
        <f>E74*finCalcCh1Prod1Slot2LabourCostPerHour</f>
        <v>0</v>
      </c>
      <c r="F75" s="276" t="s">
        <v>12883</v>
      </c>
    </row>
    <row r="76" spans="1:6" ht="14.25">
      <c r="A76" s="406"/>
      <c r="B76" s="419"/>
      <c r="E76" s="223"/>
    </row>
    <row r="77" spans="1:6" ht="14.25">
      <c r="A77" s="406"/>
      <c r="B77" s="419"/>
      <c r="C77" s="217" t="s">
        <v>513</v>
      </c>
      <c r="E77" s="223"/>
    </row>
    <row r="78" spans="1:6" ht="14.25">
      <c r="A78" s="406"/>
      <c r="B78" s="419"/>
      <c r="C78" s="326"/>
      <c r="D78" s="276" t="s">
        <v>570</v>
      </c>
      <c r="E78" s="491">
        <f>CalcCh1Prod1Slot2ManufacturingCostPUnit</f>
        <v>0</v>
      </c>
      <c r="F78" s="276"/>
    </row>
    <row r="79" spans="1:6" ht="14.25">
      <c r="A79" s="406"/>
      <c r="B79" s="419"/>
      <c r="C79" s="326"/>
      <c r="D79" s="209" t="s">
        <v>514</v>
      </c>
      <c r="E79" s="490">
        <f>E78*finCalcCh1Prod1Slot2VolSold</f>
        <v>0</v>
      </c>
      <c r="F79" s="276" t="s">
        <v>12884</v>
      </c>
    </row>
    <row r="80" spans="1:6" ht="14.25">
      <c r="A80" s="406"/>
      <c r="B80" s="419"/>
      <c r="C80" s="208"/>
    </row>
    <row r="81" spans="1:6" ht="14.25">
      <c r="A81" s="406"/>
      <c r="B81" s="419"/>
      <c r="C81" s="498" t="s">
        <v>398</v>
      </c>
    </row>
    <row r="82" spans="1:6" ht="14.25">
      <c r="A82" s="406"/>
      <c r="B82" s="419"/>
      <c r="C82" s="208" t="s">
        <v>398</v>
      </c>
      <c r="E82" s="223"/>
    </row>
    <row r="83" spans="1:6" ht="14.25">
      <c r="A83" s="406"/>
      <c r="B83" s="419"/>
      <c r="D83" s="209" t="s">
        <v>450</v>
      </c>
      <c r="E83" s="220">
        <f>CalcCh1Prod1Slot2Depreciation</f>
        <v>0</v>
      </c>
      <c r="F83" s="276" t="s">
        <v>1828</v>
      </c>
    </row>
    <row r="84" spans="1:6" ht="14.25">
      <c r="A84" s="406"/>
      <c r="B84" s="419"/>
    </row>
    <row r="85" spans="1:6" ht="14.25">
      <c r="A85" s="406"/>
      <c r="B85" s="419"/>
      <c r="C85" s="217" t="s">
        <v>13066</v>
      </c>
    </row>
    <row r="86" spans="1:6" ht="14.25">
      <c r="A86" s="406"/>
      <c r="B86" s="419"/>
      <c r="D86" s="209" t="s">
        <v>400</v>
      </c>
      <c r="E86" s="495">
        <f>finCalcCh1Prod1Slot2MatExpPUnitTot</f>
        <v>0</v>
      </c>
    </row>
    <row r="87" spans="1:6" ht="14.25">
      <c r="A87" s="406"/>
      <c r="B87" s="419"/>
      <c r="D87" s="209" t="s">
        <v>399</v>
      </c>
      <c r="E87" s="495">
        <f>finCalcCh1Prod1Slot2LabourCostPerHour*finCalcCh1Prod1Slot2LabourHrsReqPVolTot</f>
        <v>0</v>
      </c>
    </row>
    <row r="88" spans="1:6" ht="14.25">
      <c r="A88" s="406"/>
      <c r="B88" s="419"/>
      <c r="D88" s="209" t="s">
        <v>513</v>
      </c>
      <c r="E88" s="495">
        <f>E78</f>
        <v>0</v>
      </c>
    </row>
    <row r="89" spans="1:6" ht="14.25">
      <c r="A89" s="406"/>
      <c r="B89" s="419"/>
      <c r="D89" s="209" t="s">
        <v>398</v>
      </c>
      <c r="E89" s="496">
        <f>CalcCh1Prod1Slot2DepreciationPUnit</f>
        <v>0</v>
      </c>
    </row>
    <row r="90" spans="1:6" ht="14.25">
      <c r="A90" s="406"/>
      <c r="B90" s="419"/>
      <c r="C90" s="208" t="s">
        <v>397</v>
      </c>
      <c r="E90" s="490">
        <f>SUM(E86:E89)</f>
        <v>0</v>
      </c>
      <c r="F90" s="276" t="s">
        <v>1829</v>
      </c>
    </row>
    <row r="91" spans="1:6" ht="14.25">
      <c r="A91" s="406"/>
      <c r="B91" s="419"/>
    </row>
    <row r="92" spans="1:6" ht="14.25">
      <c r="A92" s="406"/>
      <c r="B92" s="419"/>
      <c r="C92" s="217" t="s">
        <v>519</v>
      </c>
    </row>
    <row r="93" spans="1:6" ht="14.25">
      <c r="A93" s="406"/>
      <c r="B93" s="419"/>
      <c r="D93" s="328" t="s">
        <v>1286</v>
      </c>
      <c r="E93" s="492">
        <f>VLOOKUP(decCh1Prod1Slot2Pack,dataPackLogisticsCost,2,FALSE)</f>
        <v>0</v>
      </c>
      <c r="F93" s="276" t="s">
        <v>2921</v>
      </c>
    </row>
    <row r="94" spans="1:6" ht="14.25">
      <c r="A94" s="406"/>
      <c r="B94" s="419"/>
      <c r="D94" s="328" t="s">
        <v>960</v>
      </c>
      <c r="E94" s="501">
        <f>VLOOKUP(finCalcCh1Prod1Slot2ForcastAcc,dataForecastImpactLogisticsCost,2,TRUE)*finCalcCh1Prod1Slot2LogExpPerUnit</f>
        <v>0</v>
      </c>
      <c r="F94" s="276" t="s">
        <v>3812</v>
      </c>
    </row>
    <row r="95" spans="1:6" ht="14.25">
      <c r="A95" s="406"/>
      <c r="B95" s="419"/>
      <c r="D95" s="328" t="s">
        <v>14030</v>
      </c>
      <c r="E95" s="497">
        <f>finCalcCh1Prod1Slot2LogExpPerUnit*paramProd1LogExpSI</f>
        <v>0</v>
      </c>
      <c r="F95" s="276" t="s">
        <v>3813</v>
      </c>
    </row>
    <row r="96" spans="1:6" ht="14.25">
      <c r="A96" s="406"/>
      <c r="B96" s="419"/>
      <c r="D96" s="276" t="s">
        <v>1692</v>
      </c>
      <c r="E96" s="327">
        <f>SUM(E93:E95)</f>
        <v>0</v>
      </c>
      <c r="F96" s="276" t="s">
        <v>12885</v>
      </c>
    </row>
    <row r="97" spans="1:6" ht="14.25">
      <c r="A97" s="406"/>
      <c r="B97" s="419"/>
      <c r="D97" s="276" t="s">
        <v>1284</v>
      </c>
      <c r="E97" s="490">
        <f>finCalcCh1Prod1Slot2LogExpAdjPUnit*finCalcCh1Prod1Slot2VolSold</f>
        <v>0</v>
      </c>
      <c r="F97" s="276" t="s">
        <v>1830</v>
      </c>
    </row>
    <row r="98" spans="1:6" ht="14.25">
      <c r="A98" s="406"/>
      <c r="B98" s="419"/>
      <c r="D98" s="276"/>
      <c r="E98" s="276"/>
      <c r="F98" s="276"/>
    </row>
    <row r="99" spans="1:6" s="322" customFormat="1" ht="13.15" customHeight="1">
      <c r="A99" s="407"/>
      <c r="B99" s="405"/>
      <c r="C99" s="447"/>
      <c r="D99" s="447" t="s">
        <v>3860</v>
      </c>
      <c r="E99" s="863"/>
      <c r="F99" s="408"/>
    </row>
    <row r="100" spans="1:6" s="322" customFormat="1" ht="13.15" customHeight="1">
      <c r="A100" s="407"/>
      <c r="B100" s="405"/>
      <c r="C100" s="323"/>
      <c r="D100" s="323"/>
      <c r="E100" s="324"/>
    </row>
    <row r="101" spans="1:6" ht="14.25">
      <c r="A101" s="406"/>
      <c r="B101" s="419"/>
      <c r="C101" s="217" t="s">
        <v>295</v>
      </c>
    </row>
    <row r="102" spans="1:6" ht="14.25">
      <c r="A102" s="406"/>
      <c r="B102" s="419"/>
      <c r="D102" s="276" t="s">
        <v>577</v>
      </c>
      <c r="E102" s="491">
        <f>IF(calcCh1Prod1Slot3Active=1,IF(xxSim0Tool1=1,calcCh1Prod1Slot3VolForecastSlot,MMCh1Prod1Seg1Slot3UnitsSold+MMCh1Prod1Seg2Slot3UnitsSold+MMCh1Prod1Seg3Slot3UnitsSold+MMCh1Prod1Seg4Slot3UnitsSold),0)</f>
        <v>0</v>
      </c>
      <c r="F102" s="276" t="s">
        <v>1831</v>
      </c>
    </row>
    <row r="103" spans="1:6" ht="14.25">
      <c r="A103" s="406"/>
      <c r="B103" s="419"/>
      <c r="D103" s="276" t="s">
        <v>1762</v>
      </c>
      <c r="E103" s="399">
        <f>IF(VLOOKUP(decCh1Prod1Slot3Pack,dataPackSize,2,FALSE)=0,0,finCalcCh1Prod1Slot3VolSold/VLOOKUP(decCh1Prod1Slot3Pack,dataPackSize,2,FALSE))</f>
        <v>0</v>
      </c>
      <c r="F103" s="276" t="s">
        <v>1832</v>
      </c>
    </row>
    <row r="104" spans="1:6" ht="14.25">
      <c r="A104" s="406"/>
      <c r="B104" s="419"/>
      <c r="D104" s="276" t="s">
        <v>966</v>
      </c>
      <c r="E104" s="654">
        <f>IF(calcCh1Prod1Slot3VolForecastSlot=0,100%,finCalcCh1Prod1Slot3VolSold/calcCh1Prod1Slot3VolForecastSlot)</f>
        <v>1</v>
      </c>
      <c r="F104" s="276" t="s">
        <v>1833</v>
      </c>
    </row>
    <row r="105" spans="1:6" ht="14.25">
      <c r="A105" s="406"/>
      <c r="B105" s="419"/>
      <c r="E105" s="489"/>
    </row>
    <row r="106" spans="1:6" ht="14.25">
      <c r="A106" s="406"/>
      <c r="B106" s="419"/>
      <c r="C106" s="217" t="s">
        <v>3789</v>
      </c>
      <c r="E106" s="489"/>
    </row>
    <row r="107" spans="1:6" ht="14.25">
      <c r="A107" s="406"/>
      <c r="B107" s="419"/>
      <c r="C107" s="217" t="s">
        <v>400</v>
      </c>
    </row>
    <row r="108" spans="1:6" ht="14.25">
      <c r="A108" s="406"/>
      <c r="B108" s="419"/>
      <c r="D108" s="255" t="s">
        <v>526</v>
      </c>
      <c r="E108" s="492">
        <f>VLOOKUP(decCh1Prod1Slot3Pack,dataPackMaterialExp,2,FALSE)</f>
        <v>0</v>
      </c>
      <c r="F108" s="276" t="s">
        <v>3814</v>
      </c>
    </row>
    <row r="109" spans="1:6" ht="14.25">
      <c r="A109" s="406"/>
      <c r="B109" s="419"/>
      <c r="D109" s="328" t="s">
        <v>960</v>
      </c>
      <c r="E109" s="502">
        <f>VLOOKUP(finCalcCh1Prod1Slot3ForcastAcc,dataForecastImpactMatCost,2,TRUE)*E108</f>
        <v>0</v>
      </c>
      <c r="F109" s="276" t="s">
        <v>3815</v>
      </c>
    </row>
    <row r="110" spans="1:6" ht="14.25">
      <c r="A110" s="406"/>
      <c r="B110" s="419"/>
      <c r="D110" s="328" t="s">
        <v>14030</v>
      </c>
      <c r="E110" s="493">
        <f>paramProd1MatExpSI*finCalcCh1Prod1Slot3MatExpPerUnitBase</f>
        <v>0</v>
      </c>
      <c r="F110" s="276" t="s">
        <v>3816</v>
      </c>
    </row>
    <row r="111" spans="1:6" ht="14.25">
      <c r="A111" s="406"/>
      <c r="B111" s="419"/>
      <c r="D111" s="209" t="s">
        <v>518</v>
      </c>
      <c r="E111" s="327">
        <f>SUM(E108:E110)</f>
        <v>0</v>
      </c>
      <c r="F111" s="276" t="s">
        <v>3817</v>
      </c>
    </row>
    <row r="112" spans="1:6" ht="14.25">
      <c r="A112" s="406"/>
      <c r="B112" s="419"/>
      <c r="D112" s="209" t="s">
        <v>401</v>
      </c>
      <c r="E112" s="220">
        <f>finCalcCh1Prod1Slot3MatExpPUnitTot*finCalcCh1Prod1Slot3VolSold</f>
        <v>0</v>
      </c>
      <c r="F112" s="276" t="s">
        <v>12878</v>
      </c>
    </row>
    <row r="113" spans="1:6" ht="14.25">
      <c r="A113" s="406"/>
      <c r="B113" s="419"/>
      <c r="C113" s="208"/>
      <c r="F113" s="276"/>
    </row>
    <row r="114" spans="1:6" ht="14.25">
      <c r="A114" s="406"/>
      <c r="B114" s="419"/>
      <c r="C114" s="217" t="s">
        <v>399</v>
      </c>
      <c r="E114" s="224"/>
    </row>
    <row r="115" spans="1:6" ht="14.25">
      <c r="A115" s="406"/>
      <c r="B115" s="419"/>
      <c r="D115" s="328" t="s">
        <v>969</v>
      </c>
      <c r="E115" s="510">
        <f>VLOOKUP(decCh1Prod1Slot3Pack,dataPackLabourHrs,2,FALSE)</f>
        <v>0</v>
      </c>
      <c r="F115" s="276" t="s">
        <v>3818</v>
      </c>
    </row>
    <row r="116" spans="1:6" ht="14.25">
      <c r="A116" s="406"/>
      <c r="B116" s="419"/>
      <c r="D116" s="328" t="s">
        <v>960</v>
      </c>
      <c r="E116" s="510">
        <f>VLOOKUP(finCalcCh1Prod1Slot3ForcastAcc,dataForecastImpactLabCost,2,TRUE)*finCalcCh1Prod1Slot3LabourHrsReqPVolBase</f>
        <v>0</v>
      </c>
      <c r="F116" s="276" t="s">
        <v>3819</v>
      </c>
    </row>
    <row r="117" spans="1:6" ht="14.25">
      <c r="A117" s="406"/>
      <c r="B117" s="419"/>
      <c r="D117" s="328" t="s">
        <v>14030</v>
      </c>
      <c r="E117" s="510">
        <f>paramProd1LabourExpSI*finCalcCh1Prod1Slot3LabourHrsReqPVolBase</f>
        <v>0</v>
      </c>
      <c r="F117" s="276" t="s">
        <v>3820</v>
      </c>
    </row>
    <row r="118" spans="1:6" ht="14.25">
      <c r="A118" s="406"/>
      <c r="B118" s="419"/>
      <c r="D118" s="209" t="s">
        <v>3795</v>
      </c>
      <c r="E118" s="511">
        <f>SUM(E115:E117)</f>
        <v>0</v>
      </c>
      <c r="F118" s="276" t="s">
        <v>3821</v>
      </c>
    </row>
    <row r="119" spans="1:6" ht="14.25">
      <c r="A119" s="406"/>
      <c r="B119" s="419"/>
      <c r="D119" s="328"/>
      <c r="E119" s="499"/>
      <c r="F119" s="276"/>
    </row>
    <row r="120" spans="1:6" ht="14.25">
      <c r="A120" s="406"/>
      <c r="B120" s="419"/>
      <c r="D120" s="209" t="s">
        <v>974</v>
      </c>
      <c r="E120" s="494">
        <f>paramLabourCostPerHr</f>
        <v>5</v>
      </c>
      <c r="F120" s="276" t="s">
        <v>3822</v>
      </c>
    </row>
    <row r="121" spans="1:6" ht="14.25">
      <c r="A121" s="406"/>
      <c r="B121" s="419"/>
      <c r="D121" s="209" t="s">
        <v>3793</v>
      </c>
      <c r="E121" s="500">
        <f>finCalcCh1Prod1Slot3VolSold*finCalcCh1Prod1Slot3LabourHrsReqPVolTot</f>
        <v>0</v>
      </c>
    </row>
    <row r="122" spans="1:6" ht="14.25">
      <c r="A122" s="406"/>
      <c r="B122" s="419"/>
      <c r="D122" s="276" t="s">
        <v>973</v>
      </c>
      <c r="E122" s="220">
        <f>E121*finCalcCh1Prod1Slot3LabourCostPerHour</f>
        <v>0</v>
      </c>
      <c r="F122" s="276" t="s">
        <v>12879</v>
      </c>
    </row>
    <row r="123" spans="1:6" ht="14.25">
      <c r="A123" s="406"/>
      <c r="B123" s="419"/>
      <c r="E123" s="223"/>
    </row>
    <row r="124" spans="1:6" ht="14.25">
      <c r="A124" s="406"/>
      <c r="B124" s="419"/>
      <c r="C124" s="217" t="s">
        <v>513</v>
      </c>
      <c r="E124" s="223"/>
    </row>
    <row r="125" spans="1:6" ht="14.25">
      <c r="A125" s="406"/>
      <c r="B125" s="419"/>
      <c r="C125" s="326"/>
      <c r="D125" s="276" t="s">
        <v>570</v>
      </c>
      <c r="E125" s="491">
        <f>CalcCh1Prod1Slot3ManufacturingCostPUnit</f>
        <v>0</v>
      </c>
      <c r="F125" s="276"/>
    </row>
    <row r="126" spans="1:6" ht="14.25">
      <c r="A126" s="406"/>
      <c r="B126" s="419"/>
      <c r="C126" s="326"/>
      <c r="D126" s="209" t="s">
        <v>514</v>
      </c>
      <c r="E126" s="490">
        <f>E125*finCalcCh1Prod1Slot3VolSold</f>
        <v>0</v>
      </c>
      <c r="F126" s="276" t="s">
        <v>12880</v>
      </c>
    </row>
    <row r="127" spans="1:6" ht="14.25">
      <c r="A127" s="406"/>
      <c r="B127" s="419"/>
      <c r="C127" s="208"/>
    </row>
    <row r="128" spans="1:6" ht="14.25">
      <c r="A128" s="406"/>
      <c r="B128" s="419"/>
      <c r="C128" s="498" t="s">
        <v>398</v>
      </c>
    </row>
    <row r="129" spans="1:6" ht="14.25">
      <c r="A129" s="406"/>
      <c r="B129" s="419"/>
      <c r="C129" s="208" t="s">
        <v>398</v>
      </c>
      <c r="E129" s="223"/>
    </row>
    <row r="130" spans="1:6" ht="14.25">
      <c r="A130" s="406"/>
      <c r="B130" s="419"/>
      <c r="D130" s="209" t="s">
        <v>450</v>
      </c>
      <c r="E130" s="220">
        <f>CalcCh1Prod1Slot3Depreciation</f>
        <v>0</v>
      </c>
      <c r="F130" s="276" t="s">
        <v>1834</v>
      </c>
    </row>
    <row r="131" spans="1:6" ht="14.25">
      <c r="A131" s="406"/>
      <c r="B131" s="419"/>
    </row>
    <row r="132" spans="1:6" ht="14.25">
      <c r="A132" s="406"/>
      <c r="B132" s="419"/>
      <c r="C132" s="217" t="s">
        <v>13066</v>
      </c>
    </row>
    <row r="133" spans="1:6" ht="14.25">
      <c r="A133" s="406"/>
      <c r="B133" s="419"/>
      <c r="D133" s="209" t="s">
        <v>400</v>
      </c>
      <c r="E133" s="495">
        <f>finCalcCh1Prod1Slot3MatExpPUnitTot</f>
        <v>0</v>
      </c>
    </row>
    <row r="134" spans="1:6" ht="14.25">
      <c r="A134" s="406"/>
      <c r="B134" s="419"/>
      <c r="D134" s="209" t="s">
        <v>399</v>
      </c>
      <c r="E134" s="495">
        <f>finCalcCh1Prod1Slot3LabourCostPerHour*finCalcCh1Prod1Slot3LabourHrsReqPVolTot</f>
        <v>0</v>
      </c>
    </row>
    <row r="135" spans="1:6" ht="14.25">
      <c r="A135" s="406"/>
      <c r="B135" s="419"/>
      <c r="D135" s="209" t="s">
        <v>513</v>
      </c>
      <c r="E135" s="495">
        <f>E125</f>
        <v>0</v>
      </c>
    </row>
    <row r="136" spans="1:6" ht="14.25">
      <c r="A136" s="406"/>
      <c r="B136" s="419"/>
      <c r="D136" s="209" t="s">
        <v>398</v>
      </c>
      <c r="E136" s="496">
        <f>CalcCh1Prod1Slot3DepreciationPUnit</f>
        <v>0</v>
      </c>
    </row>
    <row r="137" spans="1:6" ht="14.25">
      <c r="A137" s="406"/>
      <c r="B137" s="419"/>
      <c r="C137" s="208" t="s">
        <v>397</v>
      </c>
      <c r="E137" s="490">
        <f>SUM(E133:E136)</f>
        <v>0</v>
      </c>
      <c r="F137" s="276" t="s">
        <v>1835</v>
      </c>
    </row>
    <row r="138" spans="1:6" ht="14.25">
      <c r="A138" s="406"/>
      <c r="B138" s="419"/>
    </row>
    <row r="139" spans="1:6" ht="14.25">
      <c r="A139" s="406"/>
      <c r="B139" s="419"/>
      <c r="C139" s="217" t="s">
        <v>519</v>
      </c>
    </row>
    <row r="140" spans="1:6" ht="14.25">
      <c r="A140" s="406"/>
      <c r="B140" s="419"/>
      <c r="D140" s="328" t="s">
        <v>1286</v>
      </c>
      <c r="E140" s="492">
        <f>VLOOKUP(decCh1Prod1Slot3Pack,dataPackLogisticsCost,2,FALSE)</f>
        <v>0</v>
      </c>
      <c r="F140" s="276" t="s">
        <v>2922</v>
      </c>
    </row>
    <row r="141" spans="1:6" ht="14.25">
      <c r="A141" s="406"/>
      <c r="B141" s="419"/>
      <c r="D141" s="328" t="s">
        <v>960</v>
      </c>
      <c r="E141" s="501">
        <f>VLOOKUP(finCalcCh1Prod1Slot3ForcastAcc,dataForecastImpactLogisticsCost,2,TRUE)*finCalcCh1Prod1Slot3LogExpPerUnit</f>
        <v>0</v>
      </c>
      <c r="F141" s="276" t="s">
        <v>3823</v>
      </c>
    </row>
    <row r="142" spans="1:6" ht="14.25">
      <c r="A142" s="406"/>
      <c r="B142" s="419"/>
      <c r="D142" s="328" t="s">
        <v>14030</v>
      </c>
      <c r="E142" s="497">
        <f>finCalcCh1Prod1Slot3LogExpPerUnit*paramProd1LogExpSI</f>
        <v>0</v>
      </c>
      <c r="F142" s="276" t="s">
        <v>3824</v>
      </c>
    </row>
    <row r="143" spans="1:6" ht="14.25">
      <c r="A143" s="406"/>
      <c r="B143" s="419"/>
      <c r="D143" s="276" t="s">
        <v>1692</v>
      </c>
      <c r="E143" s="327">
        <f>SUM(E140:E142)</f>
        <v>0</v>
      </c>
      <c r="F143" s="276" t="s">
        <v>12881</v>
      </c>
    </row>
    <row r="144" spans="1:6" ht="14.25">
      <c r="A144" s="406"/>
      <c r="B144" s="419"/>
      <c r="D144" s="276" t="s">
        <v>1284</v>
      </c>
      <c r="E144" s="490">
        <f>finCalcCh1Prod1Slot3LogExpAdjPUnit*finCalcCh1Prod1Slot3VolSold</f>
        <v>0</v>
      </c>
      <c r="F144" s="276" t="s">
        <v>1836</v>
      </c>
    </row>
    <row r="145" spans="1:6" ht="14.25">
      <c r="A145" s="406"/>
      <c r="B145" s="419"/>
      <c r="D145" s="276"/>
      <c r="E145" s="276"/>
      <c r="F145" s="276"/>
    </row>
    <row r="146" spans="1:6" s="322" customFormat="1" ht="13.15" customHeight="1">
      <c r="A146" s="407"/>
      <c r="B146" s="405"/>
      <c r="C146" s="447" t="s">
        <v>238</v>
      </c>
      <c r="D146" s="447"/>
      <c r="E146" s="863"/>
      <c r="F146" s="408"/>
    </row>
    <row r="147" spans="1:6" s="322" customFormat="1" ht="13.15" customHeight="1">
      <c r="A147" s="407"/>
      <c r="B147" s="405"/>
      <c r="C147" s="447"/>
      <c r="D147" s="447" t="s">
        <v>3859</v>
      </c>
      <c r="E147" s="863"/>
      <c r="F147" s="408"/>
    </row>
    <row r="148" spans="1:6" s="322" customFormat="1" ht="13.15" customHeight="1">
      <c r="A148" s="407"/>
      <c r="B148" s="405"/>
      <c r="C148" s="323"/>
      <c r="D148" s="323"/>
      <c r="E148" s="324"/>
    </row>
    <row r="149" spans="1:6" ht="14.25">
      <c r="A149" s="406"/>
      <c r="B149" s="419"/>
      <c r="C149" s="217" t="s">
        <v>295</v>
      </c>
    </row>
    <row r="150" spans="1:6" ht="14.25">
      <c r="A150" s="406"/>
      <c r="B150" s="419"/>
      <c r="D150" s="276" t="s">
        <v>577</v>
      </c>
      <c r="E150" s="491">
        <f>IF(calcCh1Prod2Slot1Active=1,IF(xxSim0Tool1=1,calcCh1Prod2Slot1VolForecastSlot,MMCh1Prod2Seg1Slot1UnitsSold+MMCh1Prod2Seg2Slot1UnitsSold+MMCh1Prod2Seg3Slot1UnitsSold+MMCh1Prod2Seg4Slot1UnitsSold),0)</f>
        <v>82212505.199999988</v>
      </c>
      <c r="F150" s="276" t="s">
        <v>1837</v>
      </c>
    </row>
    <row r="151" spans="1:6" ht="14.25">
      <c r="A151" s="406"/>
      <c r="B151" s="419"/>
      <c r="D151" s="276" t="s">
        <v>1762</v>
      </c>
      <c r="E151" s="399">
        <f>IF(VLOOKUP(decCh1Prod2Slot1Pack,dataPackSize,2,FALSE)=0,0,finCalcCh1Prod2Slot1VolSold/VLOOKUP(decCh1Prod2Slot1Pack,dataPackSize,2,FALSE))</f>
        <v>249128803.6363636</v>
      </c>
      <c r="F151" s="276" t="s">
        <v>1838</v>
      </c>
    </row>
    <row r="152" spans="1:6" ht="14.25">
      <c r="A152" s="406"/>
      <c r="B152" s="419"/>
      <c r="D152" s="276" t="s">
        <v>966</v>
      </c>
      <c r="E152" s="654">
        <f>IF(calcCh1Prod2Slot1VolForecastSlot=0,100%,finCalcCh1Prod2Slot1VolSold/calcCh1Prod2Slot1VolForecastSlot)</f>
        <v>1</v>
      </c>
      <c r="F152" s="276" t="s">
        <v>1839</v>
      </c>
    </row>
    <row r="153" spans="1:6" ht="14.25">
      <c r="A153" s="406"/>
      <c r="B153" s="419"/>
      <c r="E153" s="489"/>
    </row>
    <row r="154" spans="1:6" ht="14.25">
      <c r="A154" s="406"/>
      <c r="B154" s="419"/>
      <c r="C154" s="217" t="s">
        <v>3789</v>
      </c>
      <c r="E154" s="489"/>
    </row>
    <row r="155" spans="1:6" ht="14.25">
      <c r="A155" s="406"/>
      <c r="B155" s="419"/>
      <c r="C155" s="217" t="s">
        <v>400</v>
      </c>
    </row>
    <row r="156" spans="1:6" ht="14.25">
      <c r="A156" s="406"/>
      <c r="B156" s="419"/>
      <c r="D156" s="255" t="s">
        <v>526</v>
      </c>
      <c r="E156" s="492">
        <f>VLOOKUP(decCh1Prod2Slot1Pack,dataPackMaterialExp,2,FALSE)</f>
        <v>1.6191252000000003</v>
      </c>
      <c r="F156" s="276" t="s">
        <v>3825</v>
      </c>
    </row>
    <row r="157" spans="1:6" ht="14.25">
      <c r="A157" s="406"/>
      <c r="B157" s="419"/>
      <c r="D157" s="328" t="s">
        <v>960</v>
      </c>
      <c r="E157" s="502">
        <f>VLOOKUP(finCalcCh1Prod2Slot1ForcastAcc,dataForecastImpactMatCost,2,TRUE)*E156</f>
        <v>0</v>
      </c>
      <c r="F157" s="276" t="s">
        <v>3826</v>
      </c>
    </row>
    <row r="158" spans="1:6" ht="14.25">
      <c r="A158" s="406"/>
      <c r="B158" s="419"/>
      <c r="D158" s="328" t="s">
        <v>14030</v>
      </c>
      <c r="E158" s="493">
        <f>paramProd2MatExpSI*finCalcCh1Prod2Slot1MatExpPerUnitBase</f>
        <v>0</v>
      </c>
      <c r="F158" s="276" t="s">
        <v>3827</v>
      </c>
    </row>
    <row r="159" spans="1:6" ht="14.25">
      <c r="A159" s="406"/>
      <c r="B159" s="419"/>
      <c r="D159" s="209" t="s">
        <v>518</v>
      </c>
      <c r="E159" s="327">
        <f>SUM(E156:E158)</f>
        <v>1.6191252000000003</v>
      </c>
      <c r="F159" s="276" t="s">
        <v>3828</v>
      </c>
    </row>
    <row r="160" spans="1:6" ht="14.25">
      <c r="A160" s="406"/>
      <c r="B160" s="419"/>
      <c r="D160" s="209" t="s">
        <v>401</v>
      </c>
      <c r="E160" s="220">
        <f>finCalcCh1Prod2Slot1MatExpPUnitTot*finCalcCh1Prod2Slot1VolSold</f>
        <v>133112338.92445104</v>
      </c>
      <c r="F160" s="276" t="s">
        <v>12886</v>
      </c>
    </row>
    <row r="161" spans="1:6" ht="14.25">
      <c r="A161" s="406"/>
      <c r="B161" s="419"/>
      <c r="C161" s="208"/>
      <c r="F161" s="276"/>
    </row>
    <row r="162" spans="1:6" ht="14.25">
      <c r="A162" s="406"/>
      <c r="B162" s="419"/>
      <c r="C162" s="217" t="s">
        <v>399</v>
      </c>
      <c r="E162" s="224"/>
    </row>
    <row r="163" spans="1:6" ht="14.25">
      <c r="A163" s="406"/>
      <c r="B163" s="419"/>
      <c r="D163" s="328" t="s">
        <v>969</v>
      </c>
      <c r="E163" s="510">
        <f>VLOOKUP(decCh1Prod2Slot1Pack,dataPackLabourHrs,2,FALSE)</f>
        <v>4.7621329411764717E-2</v>
      </c>
      <c r="F163" s="276" t="s">
        <v>3829</v>
      </c>
    </row>
    <row r="164" spans="1:6" ht="14.25">
      <c r="A164" s="406"/>
      <c r="B164" s="419"/>
      <c r="D164" s="328" t="s">
        <v>960</v>
      </c>
      <c r="E164" s="510">
        <f>VLOOKUP(finCalcCh1Prod2Slot1ForcastAcc,dataForecastImpactLabCost,2,TRUE)*finCalcCh1Prod2Slot1LabourHrsReqPVolBase</f>
        <v>0</v>
      </c>
      <c r="F164" s="276" t="s">
        <v>3830</v>
      </c>
    </row>
    <row r="165" spans="1:6" ht="14.25">
      <c r="A165" s="406"/>
      <c r="B165" s="419"/>
      <c r="D165" s="328" t="s">
        <v>14030</v>
      </c>
      <c r="E165" s="510">
        <f>paramProd2LabourExpSI*finCalcCh1Prod2Slot1LabourHrsReqPVolBase</f>
        <v>0</v>
      </c>
      <c r="F165" s="276" t="s">
        <v>3831</v>
      </c>
    </row>
    <row r="166" spans="1:6" ht="14.25">
      <c r="A166" s="406"/>
      <c r="B166" s="419"/>
      <c r="D166" s="209" t="s">
        <v>3795</v>
      </c>
      <c r="E166" s="511">
        <f>SUM(E163:E165)</f>
        <v>4.7621329411764717E-2</v>
      </c>
      <c r="F166" s="276" t="s">
        <v>3832</v>
      </c>
    </row>
    <row r="167" spans="1:6" ht="14.25">
      <c r="A167" s="406"/>
      <c r="B167" s="419"/>
      <c r="D167" s="328"/>
      <c r="E167" s="499"/>
      <c r="F167" s="276"/>
    </row>
    <row r="168" spans="1:6" ht="14.25">
      <c r="A168" s="406"/>
      <c r="B168" s="419"/>
      <c r="D168" s="209" t="s">
        <v>974</v>
      </c>
      <c r="E168" s="494">
        <f>paramLabourCostPerHr</f>
        <v>5</v>
      </c>
      <c r="F168" s="276" t="s">
        <v>3833</v>
      </c>
    </row>
    <row r="169" spans="1:6" ht="14.25">
      <c r="A169" s="406"/>
      <c r="B169" s="419"/>
      <c r="D169" s="209" t="s">
        <v>3793</v>
      </c>
      <c r="E169" s="500">
        <f>finCalcCh1Prod2Slot1VolSold*finCalcCh1Prod2Slot1LabourHrsReqPVolTot</f>
        <v>3915068.7918956191</v>
      </c>
    </row>
    <row r="170" spans="1:6" ht="14.25">
      <c r="A170" s="406"/>
      <c r="B170" s="419"/>
      <c r="D170" s="276" t="s">
        <v>973</v>
      </c>
      <c r="E170" s="220">
        <f>E169*finCalcCh1Prod2Slot1LabourCostPerHour</f>
        <v>19575343.959478095</v>
      </c>
      <c r="F170" s="276" t="s">
        <v>12887</v>
      </c>
    </row>
    <row r="171" spans="1:6" ht="14.25">
      <c r="A171" s="406"/>
      <c r="B171" s="419"/>
      <c r="E171" s="223"/>
    </row>
    <row r="172" spans="1:6" ht="14.25">
      <c r="A172" s="406"/>
      <c r="B172" s="419"/>
      <c r="C172" s="217" t="s">
        <v>513</v>
      </c>
      <c r="E172" s="223"/>
    </row>
    <row r="173" spans="1:6" ht="14.25">
      <c r="A173" s="406"/>
      <c r="B173" s="419"/>
      <c r="C173" s="326"/>
      <c r="D173" s="276" t="s">
        <v>570</v>
      </c>
      <c r="E173" s="491">
        <f>CalcCh1Prod2Slot1ManufacturingCostPUnit</f>
        <v>0.195048</v>
      </c>
      <c r="F173" s="276"/>
    </row>
    <row r="174" spans="1:6" ht="14.25">
      <c r="A174" s="406"/>
      <c r="B174" s="419"/>
      <c r="C174" s="326"/>
      <c r="D174" s="209" t="s">
        <v>514</v>
      </c>
      <c r="E174" s="490">
        <f>E173*finCalcCh1Prod2Slot1VolSold</f>
        <v>16035384.714249598</v>
      </c>
      <c r="F174" s="276" t="s">
        <v>12888</v>
      </c>
    </row>
    <row r="175" spans="1:6" ht="14.25">
      <c r="A175" s="406"/>
      <c r="B175" s="419"/>
      <c r="C175" s="208"/>
    </row>
    <row r="176" spans="1:6" ht="14.25">
      <c r="A176" s="406"/>
      <c r="B176" s="419"/>
      <c r="C176" s="498" t="s">
        <v>398</v>
      </c>
    </row>
    <row r="177" spans="1:6" ht="14.25">
      <c r="A177" s="406"/>
      <c r="B177" s="419"/>
      <c r="C177" s="208" t="s">
        <v>398</v>
      </c>
      <c r="E177" s="223"/>
    </row>
    <row r="178" spans="1:6" ht="14.25">
      <c r="A178" s="406"/>
      <c r="B178" s="419"/>
      <c r="D178" s="209" t="s">
        <v>450</v>
      </c>
      <c r="E178" s="220">
        <f>CalcCh1Prod2Slot1Depreciation</f>
        <v>7136717.3678686479</v>
      </c>
      <c r="F178" s="276" t="s">
        <v>1840</v>
      </c>
    </row>
    <row r="179" spans="1:6" ht="14.25">
      <c r="A179" s="406"/>
      <c r="B179" s="419"/>
    </row>
    <row r="180" spans="1:6" ht="14.25">
      <c r="A180" s="406"/>
      <c r="B180" s="419"/>
      <c r="C180" s="217" t="s">
        <v>13066</v>
      </c>
    </row>
    <row r="181" spans="1:6" ht="14.25">
      <c r="A181" s="406"/>
      <c r="B181" s="419"/>
      <c r="D181" s="209" t="s">
        <v>400</v>
      </c>
      <c r="E181" s="495">
        <f>finCalcCh1Prod2Slot1MatExpPUnitTot</f>
        <v>1.6191252000000003</v>
      </c>
    </row>
    <row r="182" spans="1:6" ht="14.25">
      <c r="A182" s="406"/>
      <c r="B182" s="419"/>
      <c r="D182" s="209" t="s">
        <v>399</v>
      </c>
      <c r="E182" s="495">
        <f>finCalcCh1Prod2Slot1LabourCostPerHour*finCalcCh1Prod2Slot1LabourHrsReqPVolTot</f>
        <v>0.23810664705882359</v>
      </c>
    </row>
    <row r="183" spans="1:6" ht="14.25">
      <c r="A183" s="406"/>
      <c r="B183" s="419"/>
      <c r="D183" s="209" t="s">
        <v>513</v>
      </c>
      <c r="E183" s="495">
        <f>E173</f>
        <v>0.195048</v>
      </c>
    </row>
    <row r="184" spans="1:6" ht="14.25">
      <c r="A184" s="406"/>
      <c r="B184" s="419"/>
      <c r="D184" s="209" t="s">
        <v>398</v>
      </c>
      <c r="E184" s="496">
        <f>CalcCh1Prod2Slot1DepreciationPUnit</f>
        <v>8.6808172923413709E-2</v>
      </c>
    </row>
    <row r="185" spans="1:6" ht="14.25">
      <c r="A185" s="406"/>
      <c r="B185" s="419"/>
      <c r="C185" s="208" t="s">
        <v>397</v>
      </c>
      <c r="E185" s="490">
        <f>SUM(E181:E184)</f>
        <v>2.1390880199822377</v>
      </c>
      <c r="F185" s="276" t="s">
        <v>1841</v>
      </c>
    </row>
    <row r="186" spans="1:6" ht="14.25">
      <c r="A186" s="406"/>
      <c r="B186" s="419"/>
    </row>
    <row r="187" spans="1:6" ht="14.25">
      <c r="A187" s="406"/>
      <c r="B187" s="419"/>
      <c r="C187" s="217" t="s">
        <v>519</v>
      </c>
    </row>
    <row r="188" spans="1:6" ht="14.25">
      <c r="A188" s="406"/>
      <c r="B188" s="419"/>
      <c r="D188" s="328" t="s">
        <v>1286</v>
      </c>
      <c r="E188" s="492">
        <f>VLOOKUP(decCh1Prod2Slot1Pack,dataPackLogisticsCost,2,FALSE)</f>
        <v>0.27511578947368426</v>
      </c>
      <c r="F188" s="276" t="s">
        <v>2920</v>
      </c>
    </row>
    <row r="189" spans="1:6" ht="14.25">
      <c r="A189" s="406"/>
      <c r="B189" s="419"/>
      <c r="D189" s="328" t="s">
        <v>960</v>
      </c>
      <c r="E189" s="501">
        <f>VLOOKUP(finCalcCh1Prod2Slot1ForcastAcc,dataForecastImpactLogisticsCost,2,TRUE)*finCalcCh1Prod2Slot1LogExpPerUnit</f>
        <v>0</v>
      </c>
      <c r="F189" s="276" t="s">
        <v>3834</v>
      </c>
    </row>
    <row r="190" spans="1:6" ht="14.25">
      <c r="A190" s="406"/>
      <c r="B190" s="419"/>
      <c r="D190" s="328" t="s">
        <v>14030</v>
      </c>
      <c r="E190" s="497">
        <f>finCalcCh1Prod2Slot1LogExpPerUnit*paramProd2LogExpSI</f>
        <v>0</v>
      </c>
      <c r="F190" s="276" t="s">
        <v>3835</v>
      </c>
    </row>
    <row r="191" spans="1:6" ht="14.25">
      <c r="A191" s="406"/>
      <c r="B191" s="419"/>
      <c r="D191" s="276" t="s">
        <v>1692</v>
      </c>
      <c r="E191" s="327">
        <f>SUM(E188:E190)</f>
        <v>0.27511578947368426</v>
      </c>
      <c r="F191" s="276" t="s">
        <v>12889</v>
      </c>
    </row>
    <row r="192" spans="1:6" ht="14.25">
      <c r="A192" s="406"/>
      <c r="B192" s="419"/>
      <c r="D192" s="276" t="s">
        <v>1284</v>
      </c>
      <c r="E192" s="490">
        <f>finCalcCh1Prod2Slot1LogExpAdjPUnit*finCalcCh1Prod2Slot1VolSold</f>
        <v>22617958.272707369</v>
      </c>
      <c r="F192" s="276" t="s">
        <v>1842</v>
      </c>
    </row>
    <row r="193" spans="1:6" ht="14.25">
      <c r="A193" s="406"/>
      <c r="B193" s="419"/>
      <c r="D193" s="276"/>
      <c r="E193" s="276"/>
      <c r="F193" s="276"/>
    </row>
    <row r="194" spans="1:6" s="322" customFormat="1" ht="13.15" customHeight="1">
      <c r="A194" s="407"/>
      <c r="B194" s="405"/>
      <c r="C194" s="447"/>
      <c r="D194" s="447" t="s">
        <v>3858</v>
      </c>
      <c r="E194" s="863"/>
      <c r="F194" s="408"/>
    </row>
    <row r="195" spans="1:6" s="322" customFormat="1" ht="13.15" customHeight="1">
      <c r="A195" s="407"/>
      <c r="B195" s="405"/>
      <c r="C195" s="323"/>
      <c r="D195" s="323"/>
      <c r="E195" s="324"/>
    </row>
    <row r="196" spans="1:6" ht="14.25">
      <c r="A196" s="406"/>
      <c r="B196" s="419"/>
      <c r="C196" s="217" t="s">
        <v>295</v>
      </c>
    </row>
    <row r="197" spans="1:6" ht="14.25">
      <c r="A197" s="406"/>
      <c r="B197" s="419"/>
      <c r="D197" s="276" t="s">
        <v>577</v>
      </c>
      <c r="E197" s="491">
        <f>IF(calcCh1Prod2Slot2Active=1,IF(xxSim0Tool1=1,calcCh1Prod2Slot2VolForecastSlot,MMCh1Prod2Seg1Slot2UnitsSold+MMCh1Prod2Seg2Slot2UnitsSold+MMCh1Prod2Seg3Slot2UnitsSold+MMCh1Prod2Seg4Slot2UnitsSold),0)</f>
        <v>100481950.80000001</v>
      </c>
      <c r="F197" s="276" t="s">
        <v>1843</v>
      </c>
    </row>
    <row r="198" spans="1:6" ht="14.25">
      <c r="A198" s="406"/>
      <c r="B198" s="419"/>
      <c r="D198" s="276" t="s">
        <v>1762</v>
      </c>
      <c r="E198" s="399">
        <f>IF(VLOOKUP(decCh1Prod2Slot2Pack,dataPackSize,2,FALSE)=0,0,finCalcCh1Prod2Slot2VolSold/VLOOKUP(decCh1Prod2Slot2Pack,dataPackSize,2,FALSE))</f>
        <v>50748460.000000007</v>
      </c>
      <c r="F198" s="276" t="s">
        <v>1844</v>
      </c>
    </row>
    <row r="199" spans="1:6" ht="14.25">
      <c r="A199" s="406"/>
      <c r="B199" s="419"/>
      <c r="D199" s="276" t="s">
        <v>966</v>
      </c>
      <c r="E199" s="654">
        <f>IF(calcCh1Prod2Slot2VolForecastSlot=0,100%,finCalcCh1Prod2Slot2VolSold/calcCh1Prod2Slot2VolForecastSlot)</f>
        <v>1</v>
      </c>
      <c r="F199" s="276" t="s">
        <v>1845</v>
      </c>
    </row>
    <row r="200" spans="1:6" ht="14.25">
      <c r="A200" s="406"/>
      <c r="B200" s="419"/>
      <c r="E200" s="489"/>
    </row>
    <row r="201" spans="1:6" ht="14.25">
      <c r="A201" s="406"/>
      <c r="B201" s="419"/>
      <c r="C201" s="217" t="s">
        <v>3789</v>
      </c>
      <c r="E201" s="489"/>
    </row>
    <row r="202" spans="1:6" ht="14.25">
      <c r="A202" s="406"/>
      <c r="B202" s="419"/>
      <c r="C202" s="217" t="s">
        <v>400</v>
      </c>
    </row>
    <row r="203" spans="1:6" ht="14.25">
      <c r="A203" s="406"/>
      <c r="B203" s="419"/>
      <c r="D203" s="255" t="s">
        <v>526</v>
      </c>
      <c r="E203" s="492">
        <f>VLOOKUP(decCh1Prod2Slot2Pack,dataPackMaterialExp,2,FALSE)</f>
        <v>1.5209964000000005</v>
      </c>
      <c r="F203" s="276" t="s">
        <v>3836</v>
      </c>
    </row>
    <row r="204" spans="1:6" ht="14.25">
      <c r="A204" s="406"/>
      <c r="B204" s="419"/>
      <c r="D204" s="328" t="s">
        <v>960</v>
      </c>
      <c r="E204" s="502">
        <f>VLOOKUP(finCalcCh1Prod2Slot2ForcastAcc,dataForecastImpactMatCost,2,TRUE)*E203</f>
        <v>0</v>
      </c>
      <c r="F204" s="276" t="s">
        <v>3837</v>
      </c>
    </row>
    <row r="205" spans="1:6" ht="14.25">
      <c r="A205" s="406"/>
      <c r="B205" s="419"/>
      <c r="D205" s="328" t="s">
        <v>14030</v>
      </c>
      <c r="E205" s="493">
        <f>paramProd2MatExpSI*finCalcCh1Prod2Slot2MatExpPerUnitBase</f>
        <v>0</v>
      </c>
      <c r="F205" s="276" t="s">
        <v>3838</v>
      </c>
    </row>
    <row r="206" spans="1:6" ht="14.25">
      <c r="A206" s="406"/>
      <c r="B206" s="419"/>
      <c r="D206" s="209" t="s">
        <v>518</v>
      </c>
      <c r="E206" s="327">
        <f>SUM(E203:E205)</f>
        <v>1.5209964000000005</v>
      </c>
      <c r="F206" s="276" t="s">
        <v>3839</v>
      </c>
    </row>
    <row r="207" spans="1:6" ht="14.25">
      <c r="A207" s="406"/>
      <c r="B207" s="419"/>
      <c r="D207" s="209" t="s">
        <v>401</v>
      </c>
      <c r="E207" s="220">
        <f>finCalcCh1Prod2Slot2MatExpPUnitTot*finCalcCh1Prod2Slot2VolSold</f>
        <v>152832685.43177718</v>
      </c>
      <c r="F207" s="276" t="s">
        <v>12890</v>
      </c>
    </row>
    <row r="208" spans="1:6" ht="14.25">
      <c r="A208" s="406"/>
      <c r="B208" s="419"/>
      <c r="C208" s="208"/>
      <c r="F208" s="276"/>
    </row>
    <row r="209" spans="1:6" ht="14.25">
      <c r="A209" s="406"/>
      <c r="B209" s="419"/>
      <c r="C209" s="217" t="s">
        <v>399</v>
      </c>
      <c r="E209" s="224"/>
    </row>
    <row r="210" spans="1:6" ht="14.25">
      <c r="A210" s="406"/>
      <c r="B210" s="419"/>
      <c r="D210" s="328" t="s">
        <v>969</v>
      </c>
      <c r="E210" s="510">
        <f>VLOOKUP(decCh1Prod2Slot2Pack,dataPackLabourHrs,2,FALSE)</f>
        <v>4.4735188235294127E-2</v>
      </c>
      <c r="F210" s="276" t="s">
        <v>3840</v>
      </c>
    </row>
    <row r="211" spans="1:6" ht="14.25">
      <c r="A211" s="406"/>
      <c r="B211" s="419"/>
      <c r="D211" s="328" t="s">
        <v>960</v>
      </c>
      <c r="E211" s="510">
        <f>VLOOKUP(finCalcCh1Prod2Slot2ForcastAcc,dataForecastImpactLabCost,2,TRUE)*finCalcCh1Prod2Slot2LabourHrsReqPVolBase</f>
        <v>0</v>
      </c>
      <c r="F211" s="276" t="s">
        <v>3841</v>
      </c>
    </row>
    <row r="212" spans="1:6" ht="14.25">
      <c r="A212" s="406"/>
      <c r="B212" s="419"/>
      <c r="D212" s="328" t="s">
        <v>14030</v>
      </c>
      <c r="E212" s="510">
        <f>paramProd2LabourExpSI*finCalcCh1Prod2Slot2LabourHrsReqPVolBase</f>
        <v>0</v>
      </c>
      <c r="F212" s="276" t="s">
        <v>3842</v>
      </c>
    </row>
    <row r="213" spans="1:6" ht="14.25">
      <c r="A213" s="406"/>
      <c r="B213" s="419"/>
      <c r="D213" s="209" t="s">
        <v>3795</v>
      </c>
      <c r="E213" s="511">
        <f>SUM(E210:E212)</f>
        <v>4.4735188235294127E-2</v>
      </c>
      <c r="F213" s="276" t="s">
        <v>3843</v>
      </c>
    </row>
    <row r="214" spans="1:6" ht="14.25">
      <c r="A214" s="406"/>
      <c r="B214" s="419"/>
      <c r="D214" s="328"/>
      <c r="E214" s="499"/>
      <c r="F214" s="276"/>
    </row>
    <row r="215" spans="1:6" ht="14.25">
      <c r="A215" s="406"/>
      <c r="B215" s="419"/>
      <c r="D215" s="209" t="s">
        <v>974</v>
      </c>
      <c r="E215" s="494">
        <f>paramLabourCostPerHr</f>
        <v>5</v>
      </c>
      <c r="F215" s="276" t="s">
        <v>3844</v>
      </c>
    </row>
    <row r="216" spans="1:6" ht="14.25">
      <c r="A216" s="406"/>
      <c r="B216" s="419"/>
      <c r="D216" s="209" t="s">
        <v>3793</v>
      </c>
      <c r="E216" s="500">
        <f>finCalcCh1Prod2Slot2VolSold*finCalcCh1Prod2Slot2LabourHrsReqPVolTot</f>
        <v>4495078.9832875635</v>
      </c>
    </row>
    <row r="217" spans="1:6" ht="14.25">
      <c r="A217" s="406"/>
      <c r="B217" s="419"/>
      <c r="D217" s="276" t="s">
        <v>973</v>
      </c>
      <c r="E217" s="220">
        <f>E216*finCalcCh1Prod2Slot2LabourCostPerHour</f>
        <v>22475394.91643782</v>
      </c>
      <c r="F217" s="276" t="s">
        <v>12891</v>
      </c>
    </row>
    <row r="218" spans="1:6" ht="14.25">
      <c r="A218" s="406"/>
      <c r="B218" s="419"/>
      <c r="E218" s="223"/>
    </row>
    <row r="219" spans="1:6" ht="14.25">
      <c r="A219" s="406"/>
      <c r="B219" s="419"/>
      <c r="C219" s="217" t="s">
        <v>513</v>
      </c>
      <c r="E219" s="223"/>
    </row>
    <row r="220" spans="1:6" ht="14.25">
      <c r="A220" s="406"/>
      <c r="B220" s="419"/>
      <c r="C220" s="326"/>
      <c r="D220" s="276" t="s">
        <v>570</v>
      </c>
      <c r="E220" s="491">
        <f>CalcCh1Prod2Slot2ManufacturingCostPUnit</f>
        <v>0.29484000000000005</v>
      </c>
      <c r="F220" s="276"/>
    </row>
    <row r="221" spans="1:6" ht="14.25">
      <c r="A221" s="406"/>
      <c r="B221" s="419"/>
      <c r="C221" s="326"/>
      <c r="D221" s="209" t="s">
        <v>514</v>
      </c>
      <c r="E221" s="490">
        <f>E220*finCalcCh1Prod2Slot2VolSold</f>
        <v>29626098.373872008</v>
      </c>
      <c r="F221" s="276" t="s">
        <v>12892</v>
      </c>
    </row>
    <row r="222" spans="1:6" ht="14.25">
      <c r="A222" s="406"/>
      <c r="B222" s="419"/>
      <c r="C222" s="208"/>
    </row>
    <row r="223" spans="1:6" ht="14.25">
      <c r="A223" s="406"/>
      <c r="B223" s="419"/>
      <c r="C223" s="498" t="s">
        <v>398</v>
      </c>
    </row>
    <row r="224" spans="1:6" ht="14.25">
      <c r="A224" s="406"/>
      <c r="B224" s="419"/>
      <c r="C224" s="208" t="s">
        <v>398</v>
      </c>
      <c r="E224" s="223"/>
    </row>
    <row r="225" spans="1:6" ht="14.25">
      <c r="A225" s="406"/>
      <c r="B225" s="419"/>
      <c r="D225" s="209" t="s">
        <v>450</v>
      </c>
      <c r="E225" s="220">
        <f>CalcCh1Prod2Slot2Depreciation</f>
        <v>13185408.05691495</v>
      </c>
      <c r="F225" s="276" t="s">
        <v>1846</v>
      </c>
    </row>
    <row r="226" spans="1:6" ht="14.25">
      <c r="A226" s="406"/>
      <c r="B226" s="419"/>
    </row>
    <row r="227" spans="1:6" ht="14.25">
      <c r="A227" s="406"/>
      <c r="B227" s="419"/>
      <c r="C227" s="217" t="s">
        <v>13066</v>
      </c>
    </row>
    <row r="228" spans="1:6" ht="14.25">
      <c r="A228" s="406"/>
      <c r="B228" s="419"/>
      <c r="D228" s="209" t="s">
        <v>400</v>
      </c>
      <c r="E228" s="495">
        <f>finCalcCh1Prod2Slot2MatExpPUnitTot</f>
        <v>1.5209964000000005</v>
      </c>
    </row>
    <row r="229" spans="1:6" ht="14.25">
      <c r="A229" s="406"/>
      <c r="B229" s="419"/>
      <c r="D229" s="209" t="s">
        <v>399</v>
      </c>
      <c r="E229" s="495">
        <f>finCalcCh1Prod2Slot2LabourCostPerHour*finCalcCh1Prod2Slot2LabourHrsReqPVolTot</f>
        <v>0.22367594117647063</v>
      </c>
    </row>
    <row r="230" spans="1:6" ht="14.25">
      <c r="A230" s="406"/>
      <c r="B230" s="419"/>
      <c r="D230" s="209" t="s">
        <v>513</v>
      </c>
      <c r="E230" s="495">
        <f>E220</f>
        <v>0.29484000000000005</v>
      </c>
    </row>
    <row r="231" spans="1:6" ht="14.25">
      <c r="A231" s="406"/>
      <c r="B231" s="419"/>
      <c r="D231" s="209" t="s">
        <v>398</v>
      </c>
      <c r="E231" s="496">
        <f>CalcCh1Prod2Slot2DepreciationPUnit</f>
        <v>0.13122165674469516</v>
      </c>
    </row>
    <row r="232" spans="1:6" ht="14.25">
      <c r="A232" s="406"/>
      <c r="B232" s="419"/>
      <c r="C232" s="208" t="s">
        <v>397</v>
      </c>
      <c r="E232" s="490">
        <f>SUM(E228:E231)</f>
        <v>2.1707339979211664</v>
      </c>
      <c r="F232" s="276" t="s">
        <v>1847</v>
      </c>
    </row>
    <row r="233" spans="1:6" ht="14.25">
      <c r="A233" s="406"/>
      <c r="B233" s="419"/>
    </row>
    <row r="234" spans="1:6" ht="14.25">
      <c r="A234" s="406"/>
      <c r="B234" s="419"/>
      <c r="C234" s="217" t="s">
        <v>519</v>
      </c>
    </row>
    <row r="235" spans="1:6" ht="14.25">
      <c r="A235" s="406"/>
      <c r="B235" s="419"/>
      <c r="D235" s="328" t="s">
        <v>1286</v>
      </c>
      <c r="E235" s="492">
        <f>VLOOKUP(decCh1Prod2Slot2Pack,dataPackLogisticsCost,2,FALSE)</f>
        <v>0.25844210526315792</v>
      </c>
      <c r="F235" s="276" t="s">
        <v>2923</v>
      </c>
    </row>
    <row r="236" spans="1:6" ht="14.25">
      <c r="A236" s="406"/>
      <c r="B236" s="419"/>
      <c r="D236" s="328" t="s">
        <v>960</v>
      </c>
      <c r="E236" s="501">
        <f>VLOOKUP(finCalcCh1Prod2Slot2ForcastAcc,dataForecastImpactLogisticsCost,2,TRUE)*finCalcCh1Prod2Slot2LogExpPerUnit</f>
        <v>0</v>
      </c>
      <c r="F236" s="276" t="s">
        <v>3845</v>
      </c>
    </row>
    <row r="237" spans="1:6" ht="14.25">
      <c r="A237" s="406"/>
      <c r="B237" s="419"/>
      <c r="D237" s="328" t="s">
        <v>14030</v>
      </c>
      <c r="E237" s="497">
        <f>finCalcCh1Prod2Slot2LogExpPerUnit*paramProd2LogExpSI</f>
        <v>0</v>
      </c>
      <c r="F237" s="276" t="s">
        <v>3846</v>
      </c>
    </row>
    <row r="238" spans="1:6" ht="14.25">
      <c r="A238" s="406"/>
      <c r="B238" s="419"/>
      <c r="D238" s="276" t="s">
        <v>1692</v>
      </c>
      <c r="E238" s="327">
        <f>SUM(E235:E237)</f>
        <v>0.25844210526315792</v>
      </c>
      <c r="F238" s="276" t="s">
        <v>12893</v>
      </c>
    </row>
    <row r="239" spans="1:6" ht="14.25">
      <c r="A239" s="406"/>
      <c r="B239" s="419"/>
      <c r="D239" s="276" t="s">
        <v>1284</v>
      </c>
      <c r="E239" s="490">
        <f>finCalcCh1Prod2Slot2LogExpAdjPUnit*finCalcCh1Prod2Slot2VolSold</f>
        <v>25968766.90570106</v>
      </c>
      <c r="F239" s="276" t="s">
        <v>1848</v>
      </c>
    </row>
    <row r="240" spans="1:6" ht="14.25">
      <c r="A240" s="406"/>
      <c r="B240" s="419"/>
      <c r="D240" s="276"/>
      <c r="E240" s="276"/>
      <c r="F240" s="276"/>
    </row>
    <row r="241" spans="1:6" s="322" customFormat="1" ht="13.15" customHeight="1">
      <c r="A241" s="407"/>
      <c r="B241" s="405"/>
      <c r="C241" s="447"/>
      <c r="D241" s="447" t="s">
        <v>3860</v>
      </c>
      <c r="E241" s="863"/>
      <c r="F241" s="408"/>
    </row>
    <row r="242" spans="1:6" s="322" customFormat="1" ht="13.15" customHeight="1">
      <c r="A242" s="407"/>
      <c r="B242" s="405"/>
      <c r="C242" s="323"/>
      <c r="D242" s="323"/>
      <c r="E242" s="324"/>
    </row>
    <row r="243" spans="1:6" ht="14.25">
      <c r="A243" s="406"/>
      <c r="B243" s="419"/>
      <c r="C243" s="217" t="s">
        <v>295</v>
      </c>
    </row>
    <row r="244" spans="1:6" ht="14.25">
      <c r="A244" s="406"/>
      <c r="B244" s="419"/>
      <c r="D244" s="276" t="s">
        <v>577</v>
      </c>
      <c r="E244" s="491">
        <f>IF(calcCh1Prod2Slot3Active=1,IF(xxSim0Tool1=1,calcCh1Prod2Slot3VolForecastSlot,MMCh1Prod2Seg1Slot3UnitsSold+MMCh1Prod2Seg2Slot3UnitsSold+MMCh1Prod2Seg3Slot3UnitsSold+MMCh1Prod2Seg4Slot3UnitsSold),0)</f>
        <v>0</v>
      </c>
      <c r="F244" s="276" t="s">
        <v>1849</v>
      </c>
    </row>
    <row r="245" spans="1:6" ht="14.25">
      <c r="A245" s="406"/>
      <c r="B245" s="419"/>
      <c r="D245" s="276" t="s">
        <v>1762</v>
      </c>
      <c r="E245" s="399">
        <f>IF(VLOOKUP(decCh1Prod2Slot3Pack,dataPackSize,2,FALSE)=0,0,finCalcCh1Prod2Slot3VolSold/VLOOKUP(decCh1Prod2Slot3Pack,dataPackSize,2,FALSE))</f>
        <v>0</v>
      </c>
      <c r="F245" s="276" t="s">
        <v>1850</v>
      </c>
    </row>
    <row r="246" spans="1:6" ht="14.25">
      <c r="A246" s="406"/>
      <c r="B246" s="419"/>
      <c r="D246" s="276" t="s">
        <v>966</v>
      </c>
      <c r="E246" s="654">
        <f>IF(calcCh1Prod2Slot3VolForecastSlot=0,100%,finCalcCh1Prod2Slot3VolSold/calcCh1Prod2Slot3VolForecastSlot)</f>
        <v>1</v>
      </c>
      <c r="F246" s="276" t="s">
        <v>1851</v>
      </c>
    </row>
    <row r="247" spans="1:6" ht="14.25">
      <c r="A247" s="406"/>
      <c r="B247" s="419"/>
      <c r="E247" s="489"/>
    </row>
    <row r="248" spans="1:6" ht="14.25">
      <c r="A248" s="406"/>
      <c r="B248" s="419"/>
      <c r="C248" s="217" t="s">
        <v>3789</v>
      </c>
      <c r="E248" s="489"/>
    </row>
    <row r="249" spans="1:6" ht="14.25">
      <c r="A249" s="406"/>
      <c r="B249" s="419"/>
      <c r="C249" s="217" t="s">
        <v>400</v>
      </c>
    </row>
    <row r="250" spans="1:6" ht="14.25">
      <c r="A250" s="406"/>
      <c r="B250" s="419"/>
      <c r="D250" s="255" t="s">
        <v>526</v>
      </c>
      <c r="E250" s="492">
        <f>VLOOKUP(decCh1Prod2Slot3Pack,dataPackMaterialExp,2,FALSE)</f>
        <v>0</v>
      </c>
      <c r="F250" s="276" t="s">
        <v>3847</v>
      </c>
    </row>
    <row r="251" spans="1:6" ht="14.25">
      <c r="A251" s="406"/>
      <c r="B251" s="419"/>
      <c r="D251" s="328" t="s">
        <v>960</v>
      </c>
      <c r="E251" s="502">
        <f>VLOOKUP(finCalcCh1Prod2Slot3ForcastAcc,dataForecastImpactMatCost,2,TRUE)*E250</f>
        <v>0</v>
      </c>
      <c r="F251" s="276" t="s">
        <v>3848</v>
      </c>
    </row>
    <row r="252" spans="1:6" ht="14.25">
      <c r="A252" s="406"/>
      <c r="B252" s="419"/>
      <c r="D252" s="328" t="s">
        <v>14030</v>
      </c>
      <c r="E252" s="493">
        <f>paramProd2MatExpSI*finCalcCh1Prod2Slot3MatExpPerUnitBase</f>
        <v>0</v>
      </c>
      <c r="F252" s="276" t="s">
        <v>3849</v>
      </c>
    </row>
    <row r="253" spans="1:6" ht="14.25">
      <c r="A253" s="406"/>
      <c r="B253" s="419"/>
      <c r="D253" s="209" t="s">
        <v>518</v>
      </c>
      <c r="E253" s="327">
        <f>SUM(E250:E252)</f>
        <v>0</v>
      </c>
      <c r="F253" s="276" t="s">
        <v>3850</v>
      </c>
    </row>
    <row r="254" spans="1:6" ht="14.25">
      <c r="A254" s="406"/>
      <c r="B254" s="419"/>
      <c r="D254" s="209" t="s">
        <v>401</v>
      </c>
      <c r="E254" s="220">
        <f>finCalcCh1Prod2Slot3MatExpPUnitTot*finCalcCh1Prod2Slot3VolSold</f>
        <v>0</v>
      </c>
      <c r="F254" s="276" t="s">
        <v>12894</v>
      </c>
    </row>
    <row r="255" spans="1:6" ht="14.25">
      <c r="A255" s="406"/>
      <c r="B255" s="419"/>
      <c r="C255" s="208"/>
      <c r="F255" s="276"/>
    </row>
    <row r="256" spans="1:6" ht="14.25">
      <c r="A256" s="406"/>
      <c r="B256" s="419"/>
      <c r="C256" s="217" t="s">
        <v>399</v>
      </c>
      <c r="E256" s="224"/>
    </row>
    <row r="257" spans="1:6" ht="14.25">
      <c r="A257" s="406"/>
      <c r="B257" s="419"/>
      <c r="D257" s="328" t="s">
        <v>969</v>
      </c>
      <c r="E257" s="510">
        <f>VLOOKUP(decCh1Prod2Slot3Pack,dataPackLabourHrs,2,FALSE)</f>
        <v>0</v>
      </c>
      <c r="F257" s="276" t="s">
        <v>3851</v>
      </c>
    </row>
    <row r="258" spans="1:6" ht="14.25">
      <c r="A258" s="406"/>
      <c r="B258" s="419"/>
      <c r="D258" s="328" t="s">
        <v>960</v>
      </c>
      <c r="E258" s="510">
        <f>VLOOKUP(finCalcCh1Prod2Slot3ForcastAcc,dataForecastImpactLabCost,2,TRUE)*finCalcCh1Prod2Slot3LabourHrsReqPVolBase</f>
        <v>0</v>
      </c>
      <c r="F258" s="276" t="s">
        <v>3852</v>
      </c>
    </row>
    <row r="259" spans="1:6" ht="14.25">
      <c r="A259" s="406"/>
      <c r="B259" s="419"/>
      <c r="D259" s="328" t="s">
        <v>14030</v>
      </c>
      <c r="E259" s="510">
        <f>paramProd2LabourExpSI*finCalcCh1Prod2Slot3LabourHrsReqPVolBase</f>
        <v>0</v>
      </c>
      <c r="F259" s="276" t="s">
        <v>3853</v>
      </c>
    </row>
    <row r="260" spans="1:6" ht="14.25">
      <c r="A260" s="406"/>
      <c r="B260" s="419"/>
      <c r="D260" s="209" t="s">
        <v>3795</v>
      </c>
      <c r="E260" s="511">
        <f>SUM(E257:E259)</f>
        <v>0</v>
      </c>
      <c r="F260" s="276" t="s">
        <v>3854</v>
      </c>
    </row>
    <row r="261" spans="1:6" ht="14.25">
      <c r="A261" s="406"/>
      <c r="B261" s="419"/>
      <c r="D261" s="328"/>
      <c r="E261" s="499"/>
      <c r="F261" s="276"/>
    </row>
    <row r="262" spans="1:6" ht="14.25">
      <c r="A262" s="406"/>
      <c r="B262" s="419"/>
      <c r="D262" s="209" t="s">
        <v>974</v>
      </c>
      <c r="E262" s="494">
        <f>paramLabourCostPerHr</f>
        <v>5</v>
      </c>
      <c r="F262" s="276" t="s">
        <v>3855</v>
      </c>
    </row>
    <row r="263" spans="1:6" ht="14.25">
      <c r="A263" s="406"/>
      <c r="B263" s="419"/>
      <c r="D263" s="209" t="s">
        <v>3793</v>
      </c>
      <c r="E263" s="500">
        <f>finCalcCh1Prod2Slot3VolSold*finCalcCh1Prod2Slot3LabourHrsReqPVolTot</f>
        <v>0</v>
      </c>
    </row>
    <row r="264" spans="1:6" ht="14.25">
      <c r="A264" s="406"/>
      <c r="B264" s="419"/>
      <c r="D264" s="276" t="s">
        <v>973</v>
      </c>
      <c r="E264" s="220">
        <f>E263*finCalcCh1Prod2Slot3LabourCostPerHour</f>
        <v>0</v>
      </c>
      <c r="F264" s="276" t="s">
        <v>12895</v>
      </c>
    </row>
    <row r="265" spans="1:6" ht="14.25">
      <c r="A265" s="406"/>
      <c r="B265" s="419"/>
      <c r="E265" s="223"/>
    </row>
    <row r="266" spans="1:6" ht="14.25">
      <c r="A266" s="406"/>
      <c r="B266" s="419"/>
      <c r="C266" s="217" t="s">
        <v>513</v>
      </c>
      <c r="E266" s="223"/>
    </row>
    <row r="267" spans="1:6" ht="14.25">
      <c r="A267" s="406"/>
      <c r="B267" s="419"/>
      <c r="C267" s="326"/>
      <c r="D267" s="276" t="s">
        <v>570</v>
      </c>
      <c r="E267" s="491">
        <f>CalcCh1Prod2Slot3ManufacturingCostPUnit</f>
        <v>0</v>
      </c>
      <c r="F267" s="276"/>
    </row>
    <row r="268" spans="1:6" ht="14.25">
      <c r="A268" s="406"/>
      <c r="B268" s="419"/>
      <c r="C268" s="326"/>
      <c r="D268" s="209" t="s">
        <v>514</v>
      </c>
      <c r="E268" s="490">
        <f>E267*finCalcCh1Prod2Slot3VolSold</f>
        <v>0</v>
      </c>
      <c r="F268" s="276" t="s">
        <v>12896</v>
      </c>
    </row>
    <row r="269" spans="1:6" ht="14.25">
      <c r="A269" s="406"/>
      <c r="B269" s="419"/>
      <c r="C269" s="208"/>
    </row>
    <row r="270" spans="1:6" ht="14.25">
      <c r="A270" s="406"/>
      <c r="B270" s="419"/>
      <c r="C270" s="498" t="s">
        <v>398</v>
      </c>
    </row>
    <row r="271" spans="1:6" ht="14.25">
      <c r="A271" s="406"/>
      <c r="B271" s="419"/>
      <c r="C271" s="208" t="s">
        <v>398</v>
      </c>
      <c r="E271" s="223"/>
    </row>
    <row r="272" spans="1:6" ht="14.25">
      <c r="A272" s="406"/>
      <c r="B272" s="419"/>
      <c r="D272" s="209" t="s">
        <v>450</v>
      </c>
      <c r="E272" s="220">
        <f>CalcCh1Prod2Slot3Depreciation</f>
        <v>0</v>
      </c>
      <c r="F272" s="276" t="s">
        <v>1852</v>
      </c>
    </row>
    <row r="273" spans="1:6" ht="14.25">
      <c r="A273" s="406"/>
      <c r="B273" s="419"/>
    </row>
    <row r="274" spans="1:6" ht="14.25">
      <c r="A274" s="406"/>
      <c r="B274" s="419"/>
      <c r="C274" s="217" t="s">
        <v>13066</v>
      </c>
    </row>
    <row r="275" spans="1:6" ht="14.25">
      <c r="A275" s="406"/>
      <c r="B275" s="419"/>
      <c r="D275" s="209" t="s">
        <v>400</v>
      </c>
      <c r="E275" s="495">
        <f>finCalcCh1Prod2Slot3MatExpPUnitTot</f>
        <v>0</v>
      </c>
    </row>
    <row r="276" spans="1:6" ht="14.25">
      <c r="A276" s="406"/>
      <c r="B276" s="419"/>
      <c r="D276" s="209" t="s">
        <v>399</v>
      </c>
      <c r="E276" s="495">
        <f>finCalcCh1Prod2Slot3LabourCostPerHour*finCalcCh1Prod2Slot3LabourHrsReqPVolTot</f>
        <v>0</v>
      </c>
    </row>
    <row r="277" spans="1:6" ht="14.25">
      <c r="A277" s="406"/>
      <c r="B277" s="419"/>
      <c r="D277" s="209" t="s">
        <v>513</v>
      </c>
      <c r="E277" s="495">
        <f>E267</f>
        <v>0</v>
      </c>
    </row>
    <row r="278" spans="1:6" ht="14.25">
      <c r="A278" s="406"/>
      <c r="B278" s="419"/>
      <c r="D278" s="209" t="s">
        <v>398</v>
      </c>
      <c r="E278" s="496">
        <f>CalcCh1Prod2Slot3DepreciationPUnit</f>
        <v>0</v>
      </c>
    </row>
    <row r="279" spans="1:6" ht="14.25">
      <c r="A279" s="406"/>
      <c r="B279" s="419"/>
      <c r="C279" s="208" t="s">
        <v>397</v>
      </c>
      <c r="E279" s="490">
        <f>SUM(E275:E278)</f>
        <v>0</v>
      </c>
      <c r="F279" s="276" t="s">
        <v>1853</v>
      </c>
    </row>
    <row r="280" spans="1:6" ht="14.25">
      <c r="A280" s="406"/>
      <c r="B280" s="419"/>
    </row>
    <row r="281" spans="1:6" ht="14.25">
      <c r="A281" s="406"/>
      <c r="B281" s="419"/>
      <c r="C281" s="217" t="s">
        <v>519</v>
      </c>
    </row>
    <row r="282" spans="1:6" ht="14.25">
      <c r="A282" s="406"/>
      <c r="B282" s="419"/>
      <c r="D282" s="328" t="s">
        <v>1286</v>
      </c>
      <c r="E282" s="492">
        <f>VLOOKUP(decCh1Prod2Slot3Pack,dataPackLogisticsCost,2,FALSE)</f>
        <v>0</v>
      </c>
      <c r="F282" s="276" t="s">
        <v>2924</v>
      </c>
    </row>
    <row r="283" spans="1:6" ht="14.25">
      <c r="A283" s="406"/>
      <c r="B283" s="419"/>
      <c r="D283" s="328" t="s">
        <v>960</v>
      </c>
      <c r="E283" s="501">
        <f>VLOOKUP(finCalcCh1Prod2Slot3ForcastAcc,dataForecastImpactLogisticsCost,2,TRUE)*finCalcCh1Prod2Slot3LogExpPerUnit</f>
        <v>0</v>
      </c>
      <c r="F283" s="276" t="s">
        <v>3856</v>
      </c>
    </row>
    <row r="284" spans="1:6" ht="14.25">
      <c r="A284" s="406"/>
      <c r="B284" s="419"/>
      <c r="D284" s="328" t="s">
        <v>14030</v>
      </c>
      <c r="E284" s="497">
        <f>finCalcCh1Prod2Slot3LogExpPerUnit*paramProd2LogExpSI</f>
        <v>0</v>
      </c>
      <c r="F284" s="276" t="s">
        <v>3857</v>
      </c>
    </row>
    <row r="285" spans="1:6" ht="14.25">
      <c r="A285" s="406"/>
      <c r="B285" s="419"/>
      <c r="D285" s="276" t="s">
        <v>1692</v>
      </c>
      <c r="E285" s="327">
        <f>SUM(E282:E284)</f>
        <v>0</v>
      </c>
      <c r="F285" s="276" t="s">
        <v>12897</v>
      </c>
    </row>
    <row r="286" spans="1:6" ht="14.25">
      <c r="A286" s="406"/>
      <c r="B286" s="419"/>
      <c r="D286" s="276" t="s">
        <v>1284</v>
      </c>
      <c r="E286" s="490">
        <f>finCalcCh1Prod2Slot3LogExpAdjPUnit*finCalcCh1Prod2Slot3VolSold</f>
        <v>0</v>
      </c>
      <c r="F286" s="276" t="s">
        <v>1854</v>
      </c>
    </row>
    <row r="287" spans="1:6" ht="14.25">
      <c r="A287" s="406"/>
      <c r="B287" s="419"/>
      <c r="D287" s="276"/>
      <c r="E287" s="276"/>
      <c r="F287" s="276"/>
    </row>
    <row r="288" spans="1:6" s="322" customFormat="1" ht="13.15" customHeight="1">
      <c r="A288" s="407"/>
      <c r="B288" s="405"/>
      <c r="C288" s="447" t="s">
        <v>239</v>
      </c>
      <c r="D288" s="447"/>
      <c r="E288" s="863"/>
      <c r="F288" s="408"/>
    </row>
    <row r="289" spans="1:6" s="322" customFormat="1" ht="13.15" customHeight="1">
      <c r="A289" s="407"/>
      <c r="B289" s="405"/>
      <c r="C289" s="447"/>
      <c r="D289" s="447" t="s">
        <v>3859</v>
      </c>
      <c r="E289" s="863"/>
      <c r="F289" s="408"/>
    </row>
    <row r="290" spans="1:6" s="322" customFormat="1" ht="13.15" customHeight="1">
      <c r="A290" s="407"/>
      <c r="B290" s="405"/>
      <c r="C290" s="323"/>
      <c r="D290" s="323"/>
      <c r="E290" s="324"/>
    </row>
    <row r="291" spans="1:6" ht="14.25">
      <c r="A291" s="406"/>
      <c r="B291" s="419"/>
      <c r="C291" s="217" t="s">
        <v>295</v>
      </c>
    </row>
    <row r="292" spans="1:6" ht="14.25">
      <c r="A292" s="406"/>
      <c r="B292" s="419"/>
      <c r="D292" s="276" t="s">
        <v>577</v>
      </c>
      <c r="E292" s="491">
        <f>IF(calcCh1Prod3Slot1Active=1,IF(xxSim0Tool1=1,calcCh1Prod3Slot1VolForecastSlot,MMCh1Prod3Seg1Slot1UnitsSold+MMCh1Prod3Seg2Slot1UnitsSold+MMCh1Prod3Seg3Slot1UnitsSold+MMCh1Prod3Seg4Slot1UnitsSold),0)</f>
        <v>48718521.600000001</v>
      </c>
      <c r="F292" s="276" t="s">
        <v>1855</v>
      </c>
    </row>
    <row r="293" spans="1:6" ht="14.25">
      <c r="A293" s="406"/>
      <c r="B293" s="419"/>
      <c r="D293" s="276" t="s">
        <v>1762</v>
      </c>
      <c r="E293" s="399">
        <f>IF(VLOOKUP(decCh1Prod3Slot1Pack,dataPackSize,2,FALSE)=0,0,finCalcCh1Prod3Slot1VolSold/VLOOKUP(decCh1Prod3Slot1Pack,dataPackSize,2,FALSE))</f>
        <v>194874086.40000001</v>
      </c>
      <c r="F293" s="276" t="s">
        <v>1856</v>
      </c>
    </row>
    <row r="294" spans="1:6" ht="14.25">
      <c r="A294" s="406"/>
      <c r="B294" s="419"/>
      <c r="D294" s="276" t="s">
        <v>966</v>
      </c>
      <c r="E294" s="654">
        <f>IF(calcCh1Prod3Slot1VolForecastSlot=0,100%,finCalcCh1Prod3Slot1VolSold/calcCh1Prod3Slot1VolForecastSlot)</f>
        <v>1</v>
      </c>
      <c r="F294" s="276" t="s">
        <v>1857</v>
      </c>
    </row>
    <row r="295" spans="1:6" ht="14.25">
      <c r="A295" s="406"/>
      <c r="B295" s="419"/>
      <c r="E295" s="489"/>
    </row>
    <row r="296" spans="1:6" ht="14.25">
      <c r="A296" s="406"/>
      <c r="B296" s="419"/>
      <c r="C296" s="217" t="s">
        <v>3789</v>
      </c>
      <c r="E296" s="489"/>
    </row>
    <row r="297" spans="1:6" ht="14.25">
      <c r="A297" s="406"/>
      <c r="B297" s="419"/>
      <c r="C297" s="217" t="s">
        <v>400</v>
      </c>
    </row>
    <row r="298" spans="1:6" ht="14.25">
      <c r="A298" s="406"/>
      <c r="B298" s="419"/>
      <c r="D298" s="255" t="s">
        <v>526</v>
      </c>
      <c r="E298" s="492">
        <f>VLOOKUP(decCh1Prod3Slot1Pack,dataPackMaterialExp,2,FALSE)</f>
        <v>1.7172539999999998</v>
      </c>
      <c r="F298" s="276" t="s">
        <v>3861</v>
      </c>
    </row>
    <row r="299" spans="1:6" ht="14.25">
      <c r="A299" s="406"/>
      <c r="B299" s="419"/>
      <c r="D299" s="328" t="s">
        <v>960</v>
      </c>
      <c r="E299" s="502">
        <f>VLOOKUP(finCalcCh1Prod3Slot1ForcastAcc,dataForecastImpactMatCost,2,TRUE)*E298</f>
        <v>0</v>
      </c>
      <c r="F299" s="276" t="s">
        <v>3862</v>
      </c>
    </row>
    <row r="300" spans="1:6" ht="14.25">
      <c r="A300" s="406"/>
      <c r="B300" s="419"/>
      <c r="D300" s="328" t="s">
        <v>14030</v>
      </c>
      <c r="E300" s="493">
        <f>paramProd3MatExpSI*finCalcCh1Prod3Slot1MatExpPerUnitBase</f>
        <v>0</v>
      </c>
      <c r="F300" s="276" t="s">
        <v>3863</v>
      </c>
    </row>
    <row r="301" spans="1:6" ht="14.25">
      <c r="A301" s="406"/>
      <c r="B301" s="419"/>
      <c r="D301" s="209" t="s">
        <v>518</v>
      </c>
      <c r="E301" s="327">
        <f>SUM(E298:E300)</f>
        <v>1.7172539999999998</v>
      </c>
      <c r="F301" s="276" t="s">
        <v>3864</v>
      </c>
    </row>
    <row r="302" spans="1:6" ht="14.25">
      <c r="A302" s="406"/>
      <c r="B302" s="419"/>
      <c r="D302" s="209" t="s">
        <v>401</v>
      </c>
      <c r="E302" s="220">
        <f>finCalcCh1Prod3Slot1MatExpPUnitTot*finCalcCh1Prod3Slot1VolSold</f>
        <v>83662076.091686398</v>
      </c>
      <c r="F302" s="276" t="s">
        <v>12898</v>
      </c>
    </row>
    <row r="303" spans="1:6" ht="14.25">
      <c r="A303" s="406"/>
      <c r="B303" s="419"/>
      <c r="C303" s="208"/>
      <c r="F303" s="276"/>
    </row>
    <row r="304" spans="1:6" ht="14.25">
      <c r="A304" s="406"/>
      <c r="B304" s="419"/>
      <c r="C304" s="217" t="s">
        <v>399</v>
      </c>
      <c r="E304" s="224"/>
    </row>
    <row r="305" spans="1:6" ht="14.25">
      <c r="A305" s="406"/>
      <c r="B305" s="419"/>
      <c r="D305" s="328" t="s">
        <v>969</v>
      </c>
      <c r="E305" s="510">
        <f>VLOOKUP(decCh1Prod3Slot1Pack,dataPackLabourHrs,2,FALSE)</f>
        <v>5.0507470588235293E-2</v>
      </c>
      <c r="F305" s="276" t="s">
        <v>3865</v>
      </c>
    </row>
    <row r="306" spans="1:6" ht="14.25">
      <c r="A306" s="406"/>
      <c r="B306" s="419"/>
      <c r="D306" s="328" t="s">
        <v>960</v>
      </c>
      <c r="E306" s="510">
        <f>VLOOKUP(finCalcCh1Prod3Slot1ForcastAcc,dataForecastImpactLabCost,2,TRUE)*finCalcCh1Prod3Slot1LabourHrsReqPVolBase</f>
        <v>0</v>
      </c>
      <c r="F306" s="276" t="s">
        <v>3866</v>
      </c>
    </row>
    <row r="307" spans="1:6" ht="14.25">
      <c r="A307" s="406"/>
      <c r="B307" s="419"/>
      <c r="D307" s="328" t="s">
        <v>14030</v>
      </c>
      <c r="E307" s="510">
        <f>paramProd3LabourExpSI*finCalcCh1Prod3Slot1LabourHrsReqPVolBase</f>
        <v>0</v>
      </c>
      <c r="F307" s="276" t="s">
        <v>3867</v>
      </c>
    </row>
    <row r="308" spans="1:6" ht="14.25">
      <c r="A308" s="406"/>
      <c r="B308" s="419"/>
      <c r="D308" s="209" t="s">
        <v>3795</v>
      </c>
      <c r="E308" s="511">
        <f>SUM(E305:E307)</f>
        <v>5.0507470588235293E-2</v>
      </c>
      <c r="F308" s="276" t="s">
        <v>3868</v>
      </c>
    </row>
    <row r="309" spans="1:6" ht="14.25">
      <c r="A309" s="406"/>
      <c r="B309" s="419"/>
      <c r="D309" s="328"/>
      <c r="E309" s="499"/>
      <c r="F309" s="276"/>
    </row>
    <row r="310" spans="1:6" ht="14.25">
      <c r="A310" s="406"/>
      <c r="B310" s="419"/>
      <c r="D310" s="209" t="s">
        <v>974</v>
      </c>
      <c r="E310" s="494">
        <f>paramLabourCostPerHr</f>
        <v>5</v>
      </c>
      <c r="F310" s="276" t="s">
        <v>3869</v>
      </c>
    </row>
    <row r="311" spans="1:6" ht="14.25">
      <c r="A311" s="406"/>
      <c r="B311" s="419"/>
      <c r="D311" s="209" t="s">
        <v>3793</v>
      </c>
      <c r="E311" s="500">
        <f>finCalcCh1Prod3Slot1VolSold*finCalcCh1Prod3Slot1LabourHrsReqPVolTot</f>
        <v>2460649.2968143057</v>
      </c>
    </row>
    <row r="312" spans="1:6" ht="14.25">
      <c r="A312" s="406"/>
      <c r="B312" s="419"/>
      <c r="D312" s="276" t="s">
        <v>973</v>
      </c>
      <c r="E312" s="220">
        <f>E311*finCalcCh1Prod3Slot1LabourCostPerHour</f>
        <v>12303246.484071529</v>
      </c>
      <c r="F312" s="276" t="s">
        <v>12899</v>
      </c>
    </row>
    <row r="313" spans="1:6" ht="14.25">
      <c r="A313" s="406"/>
      <c r="B313" s="419"/>
      <c r="E313" s="223"/>
    </row>
    <row r="314" spans="1:6" ht="14.25">
      <c r="A314" s="406"/>
      <c r="B314" s="419"/>
      <c r="C314" s="217" t="s">
        <v>513</v>
      </c>
      <c r="E314" s="223"/>
    </row>
    <row r="315" spans="1:6" ht="14.25">
      <c r="A315" s="406"/>
      <c r="B315" s="419"/>
      <c r="C315" s="326"/>
      <c r="D315" s="276" t="s">
        <v>570</v>
      </c>
      <c r="E315" s="491">
        <f>CalcCh1Prod3Slot1ManufacturingCostPUnit</f>
        <v>0.18597600000000006</v>
      </c>
      <c r="F315" s="276"/>
    </row>
    <row r="316" spans="1:6" ht="14.25">
      <c r="A316" s="406"/>
      <c r="B316" s="419"/>
      <c r="C316" s="326"/>
      <c r="D316" s="209" t="s">
        <v>514</v>
      </c>
      <c r="E316" s="490">
        <f>E315*finCalcCh1Prod3Slot1VolSold</f>
        <v>9060475.7730816025</v>
      </c>
      <c r="F316" s="276" t="s">
        <v>12900</v>
      </c>
    </row>
    <row r="317" spans="1:6" ht="14.25">
      <c r="A317" s="406"/>
      <c r="B317" s="419"/>
      <c r="C317" s="208"/>
    </row>
    <row r="318" spans="1:6" ht="14.25">
      <c r="A318" s="406"/>
      <c r="B318" s="419"/>
      <c r="C318" s="498" t="s">
        <v>398</v>
      </c>
    </row>
    <row r="319" spans="1:6" ht="14.25">
      <c r="A319" s="406"/>
      <c r="B319" s="419"/>
      <c r="C319" s="208" t="s">
        <v>398</v>
      </c>
      <c r="E319" s="223"/>
    </row>
    <row r="320" spans="1:6" ht="14.25">
      <c r="A320" s="406"/>
      <c r="B320" s="419"/>
      <c r="D320" s="209" t="s">
        <v>450</v>
      </c>
      <c r="E320" s="220">
        <f>CalcCh1Prod3Slot1Depreciation</f>
        <v>4032460.4593641991</v>
      </c>
      <c r="F320" s="276" t="s">
        <v>1858</v>
      </c>
    </row>
    <row r="321" spans="1:6" ht="14.25">
      <c r="A321" s="406"/>
      <c r="B321" s="419"/>
    </row>
    <row r="322" spans="1:6" ht="14.25">
      <c r="A322" s="406"/>
      <c r="B322" s="419"/>
      <c r="C322" s="217" t="s">
        <v>13066</v>
      </c>
    </row>
    <row r="323" spans="1:6" ht="14.25">
      <c r="A323" s="406"/>
      <c r="B323" s="419"/>
      <c r="D323" s="209" t="s">
        <v>400</v>
      </c>
      <c r="E323" s="495">
        <f>finCalcCh1Prod3Slot1MatExpPUnitTot</f>
        <v>1.7172539999999998</v>
      </c>
    </row>
    <row r="324" spans="1:6" ht="14.25">
      <c r="A324" s="406"/>
      <c r="B324" s="419"/>
      <c r="D324" s="209" t="s">
        <v>399</v>
      </c>
      <c r="E324" s="495">
        <f>finCalcCh1Prod3Slot1LabourCostPerHour*finCalcCh1Prod3Slot1LabourHrsReqPVolTot</f>
        <v>0.25253735294117646</v>
      </c>
    </row>
    <row r="325" spans="1:6" ht="14.25">
      <c r="A325" s="406"/>
      <c r="B325" s="419"/>
      <c r="D325" s="209" t="s">
        <v>513</v>
      </c>
      <c r="E325" s="495">
        <f>E315</f>
        <v>0.18597600000000006</v>
      </c>
    </row>
    <row r="326" spans="1:6" ht="14.25">
      <c r="A326" s="406"/>
      <c r="B326" s="419"/>
      <c r="D326" s="209" t="s">
        <v>398</v>
      </c>
      <c r="E326" s="496">
        <f>CalcCh1Prod3Slot1DepreciationPUnit</f>
        <v>8.2770583485115429E-2</v>
      </c>
    </row>
    <row r="327" spans="1:6" ht="14.25">
      <c r="A327" s="406"/>
      <c r="B327" s="419"/>
      <c r="C327" s="208" t="s">
        <v>397</v>
      </c>
      <c r="E327" s="490">
        <f>SUM(E323:E326)</f>
        <v>2.2385379364262916</v>
      </c>
      <c r="F327" s="276" t="s">
        <v>1859</v>
      </c>
    </row>
    <row r="328" spans="1:6" ht="14.25">
      <c r="A328" s="406"/>
      <c r="B328" s="419"/>
    </row>
    <row r="329" spans="1:6" ht="14.25">
      <c r="A329" s="406"/>
      <c r="B329" s="419"/>
      <c r="C329" s="217" t="s">
        <v>519</v>
      </c>
    </row>
    <row r="330" spans="1:6" ht="14.25">
      <c r="A330" s="406"/>
      <c r="B330" s="419"/>
      <c r="D330" s="328" t="s">
        <v>1286</v>
      </c>
      <c r="E330" s="492">
        <f>VLOOKUP(decCh1Prod3Slot1Pack,dataPackLogisticsCost,2,FALSE)</f>
        <v>0.29178947368421054</v>
      </c>
      <c r="F330" s="276" t="s">
        <v>2925</v>
      </c>
    </row>
    <row r="331" spans="1:6" ht="14.25">
      <c r="A331" s="406"/>
      <c r="B331" s="419"/>
      <c r="D331" s="328" t="s">
        <v>960</v>
      </c>
      <c r="E331" s="501">
        <f>VLOOKUP(finCalcCh1Prod3Slot1ForcastAcc,dataForecastImpactLogisticsCost,2,TRUE)*finCalcCh1Prod3Slot1LogExpPerUnit</f>
        <v>0</v>
      </c>
      <c r="F331" s="276" t="s">
        <v>3870</v>
      </c>
    </row>
    <row r="332" spans="1:6" ht="14.25">
      <c r="A332" s="406"/>
      <c r="B332" s="419"/>
      <c r="D332" s="328" t="s">
        <v>14030</v>
      </c>
      <c r="E332" s="497">
        <f>finCalcCh1Prod3Slot1LogExpPerUnit*paramProd3LogExpSI</f>
        <v>0</v>
      </c>
      <c r="F332" s="276" t="s">
        <v>3871</v>
      </c>
    </row>
    <row r="333" spans="1:6" ht="14.25">
      <c r="A333" s="406"/>
      <c r="B333" s="419"/>
      <c r="D333" s="276" t="s">
        <v>1692</v>
      </c>
      <c r="E333" s="327">
        <f>SUM(E330:E332)</f>
        <v>0.29178947368421054</v>
      </c>
      <c r="F333" s="276" t="s">
        <v>12901</v>
      </c>
    </row>
    <row r="334" spans="1:6" ht="14.25">
      <c r="A334" s="406"/>
      <c r="B334" s="419"/>
      <c r="D334" s="276" t="s">
        <v>1284</v>
      </c>
      <c r="E334" s="490">
        <f>finCalcCh1Prod3Slot1LogExpAdjPUnit*finCalcCh1Prod3Slot1VolSold</f>
        <v>14215551.776336843</v>
      </c>
      <c r="F334" s="276" t="s">
        <v>1860</v>
      </c>
    </row>
    <row r="335" spans="1:6" ht="14.25">
      <c r="A335" s="406"/>
      <c r="B335" s="419"/>
      <c r="D335" s="276"/>
      <c r="E335" s="276"/>
      <c r="F335" s="276"/>
    </row>
    <row r="336" spans="1:6" s="322" customFormat="1" ht="13.15" customHeight="1">
      <c r="A336" s="407"/>
      <c r="B336" s="405"/>
      <c r="C336" s="447"/>
      <c r="D336" s="447" t="s">
        <v>3858</v>
      </c>
      <c r="E336" s="863"/>
      <c r="F336" s="408"/>
    </row>
    <row r="337" spans="1:6" s="322" customFormat="1" ht="13.15" customHeight="1">
      <c r="A337" s="407"/>
      <c r="B337" s="405"/>
      <c r="C337" s="323"/>
      <c r="D337" s="323"/>
      <c r="E337" s="324"/>
    </row>
    <row r="338" spans="1:6" ht="14.25">
      <c r="A338" s="406"/>
      <c r="B338" s="419"/>
      <c r="C338" s="217" t="s">
        <v>295</v>
      </c>
    </row>
    <row r="339" spans="1:6" ht="14.25">
      <c r="A339" s="406"/>
      <c r="B339" s="419"/>
      <c r="D339" s="276" t="s">
        <v>577</v>
      </c>
      <c r="E339" s="491">
        <f>IF(calcCh1Prod3Slot2Active=1,IF(xxSim0Tool1=1,calcCh1Prod3Slot2VolForecastSlot,MMCh1Prod3Seg1Slot2UnitsSold+MMCh1Prod3Seg2Slot2UnitsSold+MMCh1Prod3Seg3Slot2UnitsSold+MMCh1Prod3Seg4Slot2UnitsSold),0)</f>
        <v>73077782.399999991</v>
      </c>
      <c r="F339" s="276" t="s">
        <v>1861</v>
      </c>
    </row>
    <row r="340" spans="1:6" ht="14.25">
      <c r="A340" s="406"/>
      <c r="B340" s="419"/>
      <c r="D340" s="276" t="s">
        <v>1762</v>
      </c>
      <c r="E340" s="399">
        <f>IF(VLOOKUP(decCh1Prod3Slot2Pack,dataPackSize,2,FALSE)=0,0,finCalcCh1Prod3Slot2VolSold/VLOOKUP(decCh1Prod3Slot2Pack,dataPackSize,2,FALSE))</f>
        <v>36907970.909090906</v>
      </c>
      <c r="F340" s="276" t="s">
        <v>1862</v>
      </c>
    </row>
    <row r="341" spans="1:6" ht="14.25">
      <c r="A341" s="406"/>
      <c r="B341" s="419"/>
      <c r="D341" s="276" t="s">
        <v>966</v>
      </c>
      <c r="E341" s="654">
        <f>IF(calcCh1Prod3Slot2VolForecastSlot=0,100%,finCalcCh1Prod3Slot2VolSold/calcCh1Prod3Slot2VolForecastSlot)</f>
        <v>1</v>
      </c>
      <c r="F341" s="276" t="s">
        <v>1863</v>
      </c>
    </row>
    <row r="342" spans="1:6" ht="14.25">
      <c r="A342" s="406"/>
      <c r="B342" s="419"/>
      <c r="E342" s="489"/>
    </row>
    <row r="343" spans="1:6" ht="14.25">
      <c r="A343" s="406"/>
      <c r="B343" s="419"/>
      <c r="C343" s="217" t="s">
        <v>3789</v>
      </c>
      <c r="E343" s="489"/>
    </row>
    <row r="344" spans="1:6" ht="14.25">
      <c r="A344" s="406"/>
      <c r="B344" s="419"/>
      <c r="C344" s="217" t="s">
        <v>400</v>
      </c>
    </row>
    <row r="345" spans="1:6" ht="14.25">
      <c r="A345" s="406"/>
      <c r="B345" s="419"/>
      <c r="D345" s="255" t="s">
        <v>526</v>
      </c>
      <c r="E345" s="492">
        <f>VLOOKUP(decCh1Prod3Slot2Pack,dataPackMaterialExp,2,FALSE)</f>
        <v>1.5209964000000005</v>
      </c>
      <c r="F345" s="276" t="s">
        <v>3872</v>
      </c>
    </row>
    <row r="346" spans="1:6" ht="14.25">
      <c r="A346" s="406"/>
      <c r="B346" s="419"/>
      <c r="D346" s="328" t="s">
        <v>960</v>
      </c>
      <c r="E346" s="502">
        <f>VLOOKUP(finCalcCh1Prod3Slot2ForcastAcc,dataForecastImpactMatCost,2,TRUE)*E345</f>
        <v>0</v>
      </c>
      <c r="F346" s="276" t="s">
        <v>3873</v>
      </c>
    </row>
    <row r="347" spans="1:6" ht="14.25">
      <c r="A347" s="406"/>
      <c r="B347" s="419"/>
      <c r="D347" s="328" t="s">
        <v>14030</v>
      </c>
      <c r="E347" s="493">
        <f>paramProd3MatExpSI*finCalcCh1Prod3Slot2MatExpPerUnitBase</f>
        <v>0</v>
      </c>
      <c r="F347" s="276" t="s">
        <v>3874</v>
      </c>
    </row>
    <row r="348" spans="1:6" ht="14.25">
      <c r="A348" s="406"/>
      <c r="B348" s="419"/>
      <c r="D348" s="209" t="s">
        <v>518</v>
      </c>
      <c r="E348" s="327">
        <f>SUM(E345:E347)</f>
        <v>1.5209964000000005</v>
      </c>
      <c r="F348" s="276" t="s">
        <v>3875</v>
      </c>
    </row>
    <row r="349" spans="1:6" ht="14.25">
      <c r="A349" s="406"/>
      <c r="B349" s="419"/>
      <c r="D349" s="209" t="s">
        <v>401</v>
      </c>
      <c r="E349" s="220">
        <f>finCalcCh1Prod3Slot2MatExpPUnitTot*finCalcCh1Prod3Slot2VolSold</f>
        <v>111151043.95038338</v>
      </c>
      <c r="F349" s="276" t="s">
        <v>12902</v>
      </c>
    </row>
    <row r="350" spans="1:6" ht="14.25">
      <c r="A350" s="406"/>
      <c r="B350" s="419"/>
      <c r="C350" s="208"/>
      <c r="F350" s="276"/>
    </row>
    <row r="351" spans="1:6" ht="14.25">
      <c r="A351" s="406"/>
      <c r="B351" s="419"/>
      <c r="C351" s="217" t="s">
        <v>399</v>
      </c>
      <c r="E351" s="224"/>
    </row>
    <row r="352" spans="1:6" ht="14.25">
      <c r="A352" s="406"/>
      <c r="B352" s="419"/>
      <c r="D352" s="328" t="s">
        <v>969</v>
      </c>
      <c r="E352" s="510">
        <f>VLOOKUP(decCh1Prod3Slot2Pack,dataPackLabourHrs,2,FALSE)</f>
        <v>4.4735188235294127E-2</v>
      </c>
      <c r="F352" s="276" t="s">
        <v>3876</v>
      </c>
    </row>
    <row r="353" spans="1:6" ht="14.25">
      <c r="A353" s="406"/>
      <c r="B353" s="419"/>
      <c r="D353" s="328" t="s">
        <v>960</v>
      </c>
      <c r="E353" s="510">
        <f>VLOOKUP(finCalcCh1Prod3Slot2ForcastAcc,dataForecastImpactLabCost,2,TRUE)*finCalcCh1Prod3Slot2LabourHrsReqPVolBase</f>
        <v>0</v>
      </c>
      <c r="F353" s="276" t="s">
        <v>3877</v>
      </c>
    </row>
    <row r="354" spans="1:6" ht="14.25">
      <c r="A354" s="406"/>
      <c r="B354" s="419"/>
      <c r="D354" s="328" t="s">
        <v>14030</v>
      </c>
      <c r="E354" s="510">
        <f>paramProd3LabourExpSI*finCalcCh1Prod3Slot2LabourHrsReqPVolBase</f>
        <v>0</v>
      </c>
      <c r="F354" s="276" t="s">
        <v>3878</v>
      </c>
    </row>
    <row r="355" spans="1:6" ht="14.25">
      <c r="A355" s="406"/>
      <c r="B355" s="419"/>
      <c r="D355" s="209" t="s">
        <v>3795</v>
      </c>
      <c r="E355" s="511">
        <f>SUM(E352:E354)</f>
        <v>4.4735188235294127E-2</v>
      </c>
      <c r="F355" s="276" t="s">
        <v>3879</v>
      </c>
    </row>
    <row r="356" spans="1:6" ht="14.25">
      <c r="A356" s="406"/>
      <c r="B356" s="419"/>
      <c r="D356" s="328"/>
      <c r="E356" s="499"/>
      <c r="F356" s="276"/>
    </row>
    <row r="357" spans="1:6" ht="14.25">
      <c r="A357" s="406"/>
      <c r="B357" s="419"/>
      <c r="D357" s="209" t="s">
        <v>974</v>
      </c>
      <c r="E357" s="494">
        <f>paramLabourCostPerHr</f>
        <v>5</v>
      </c>
      <c r="F357" s="276" t="s">
        <v>3880</v>
      </c>
    </row>
    <row r="358" spans="1:6" ht="14.25">
      <c r="A358" s="406"/>
      <c r="B358" s="419"/>
      <c r="D358" s="209" t="s">
        <v>3793</v>
      </c>
      <c r="E358" s="500">
        <f>finCalcCh1Prod3Slot2VolSold*finCalcCh1Prod3Slot2LabourHrsReqPVolTot</f>
        <v>3269148.3514818638</v>
      </c>
    </row>
    <row r="359" spans="1:6" ht="14.25">
      <c r="A359" s="406"/>
      <c r="B359" s="419"/>
      <c r="D359" s="276" t="s">
        <v>973</v>
      </c>
      <c r="E359" s="220">
        <f>E358*finCalcCh1Prod3Slot2LabourCostPerHour</f>
        <v>16345741.757409319</v>
      </c>
      <c r="F359" s="276" t="s">
        <v>12903</v>
      </c>
    </row>
    <row r="360" spans="1:6" ht="14.25">
      <c r="A360" s="406"/>
      <c r="B360" s="419"/>
      <c r="E360" s="223"/>
    </row>
    <row r="361" spans="1:6" ht="14.25">
      <c r="A361" s="406"/>
      <c r="B361" s="419"/>
      <c r="C361" s="217" t="s">
        <v>513</v>
      </c>
      <c r="E361" s="223"/>
    </row>
    <row r="362" spans="1:6" ht="14.25">
      <c r="A362" s="406"/>
      <c r="B362" s="419"/>
      <c r="C362" s="326"/>
      <c r="D362" s="276" t="s">
        <v>570</v>
      </c>
      <c r="E362" s="975">
        <f>CalcCh1Prod3Slot2ManufacturingCostPUnit</f>
        <v>0.29484000000000005</v>
      </c>
      <c r="F362" s="276"/>
    </row>
    <row r="363" spans="1:6" ht="14.25">
      <c r="A363" s="406"/>
      <c r="B363" s="419"/>
      <c r="C363" s="326"/>
      <c r="D363" s="209" t="s">
        <v>514</v>
      </c>
      <c r="E363" s="490">
        <f>E362*finCalcCh1Prod3Slot2VolSold</f>
        <v>21546253.362816002</v>
      </c>
      <c r="F363" s="276" t="s">
        <v>12904</v>
      </c>
    </row>
    <row r="364" spans="1:6" ht="14.25">
      <c r="A364" s="406"/>
      <c r="B364" s="419"/>
      <c r="C364" s="208"/>
    </row>
    <row r="365" spans="1:6" ht="14.25">
      <c r="A365" s="406"/>
      <c r="B365" s="419"/>
      <c r="C365" s="498" t="s">
        <v>398</v>
      </c>
    </row>
    <row r="366" spans="1:6" ht="14.25">
      <c r="A366" s="406"/>
      <c r="B366" s="419"/>
      <c r="C366" s="208" t="s">
        <v>398</v>
      </c>
      <c r="E366" s="223"/>
    </row>
    <row r="367" spans="1:6" ht="14.25">
      <c r="A367" s="406"/>
      <c r="B367" s="419"/>
      <c r="D367" s="209" t="s">
        <v>450</v>
      </c>
      <c r="E367" s="220">
        <f>CalcCh1Prod3Slot2Depreciation</f>
        <v>9589387.6777563244</v>
      </c>
      <c r="F367" s="276" t="s">
        <v>1864</v>
      </c>
    </row>
    <row r="368" spans="1:6" ht="14.25">
      <c r="A368" s="406"/>
      <c r="B368" s="419"/>
    </row>
    <row r="369" spans="1:6" ht="14.25">
      <c r="A369" s="406"/>
      <c r="B369" s="419"/>
      <c r="C369" s="217" t="s">
        <v>13066</v>
      </c>
    </row>
    <row r="370" spans="1:6" ht="14.25">
      <c r="A370" s="406"/>
      <c r="B370" s="419"/>
      <c r="D370" s="209" t="s">
        <v>400</v>
      </c>
      <c r="E370" s="495">
        <f>finCalcCh1Prod3Slot2MatExpPUnitTot</f>
        <v>1.5209964000000005</v>
      </c>
    </row>
    <row r="371" spans="1:6" ht="14.25">
      <c r="A371" s="406"/>
      <c r="B371" s="419"/>
      <c r="D371" s="209" t="s">
        <v>399</v>
      </c>
      <c r="E371" s="495">
        <f>finCalcCh1Prod3Slot2LabourCostPerHour*finCalcCh1Prod3Slot2LabourHrsReqPVolTot</f>
        <v>0.22367594117647063</v>
      </c>
    </row>
    <row r="372" spans="1:6" ht="14.25">
      <c r="A372" s="406"/>
      <c r="B372" s="419"/>
      <c r="D372" s="209" t="s">
        <v>513</v>
      </c>
      <c r="E372" s="495">
        <f>E362</f>
        <v>0.29484000000000005</v>
      </c>
    </row>
    <row r="373" spans="1:6" ht="14.25">
      <c r="A373" s="406"/>
      <c r="B373" s="419"/>
      <c r="D373" s="209" t="s">
        <v>398</v>
      </c>
      <c r="E373" s="496">
        <f>CalcCh1Prod3Slot2DepreciationPUnit</f>
        <v>0.13122165674469516</v>
      </c>
    </row>
    <row r="374" spans="1:6" ht="14.25">
      <c r="A374" s="406"/>
      <c r="B374" s="419"/>
      <c r="C374" s="208" t="s">
        <v>397</v>
      </c>
      <c r="E374" s="490">
        <f>SUM(E370:E373)</f>
        <v>2.1707339979211664</v>
      </c>
      <c r="F374" s="276" t="s">
        <v>1865</v>
      </c>
    </row>
    <row r="375" spans="1:6" ht="14.25">
      <c r="A375" s="406"/>
      <c r="B375" s="419"/>
    </row>
    <row r="376" spans="1:6" ht="14.25">
      <c r="A376" s="406"/>
      <c r="B376" s="419"/>
      <c r="C376" s="217" t="s">
        <v>519</v>
      </c>
    </row>
    <row r="377" spans="1:6" ht="14.25">
      <c r="A377" s="406"/>
      <c r="B377" s="419"/>
      <c r="D377" s="328" t="s">
        <v>1286</v>
      </c>
      <c r="E377" s="492">
        <f>VLOOKUP(decCh1Prod3Slot2Pack,dataPackLogisticsCost,2,FALSE)</f>
        <v>0.25844210526315792</v>
      </c>
      <c r="F377" s="276" t="s">
        <v>2926</v>
      </c>
    </row>
    <row r="378" spans="1:6" ht="14.25">
      <c r="A378" s="406"/>
      <c r="B378" s="419"/>
      <c r="D378" s="328" t="s">
        <v>960</v>
      </c>
      <c r="E378" s="501">
        <f>VLOOKUP(finCalcCh1Prod3Slot2ForcastAcc,dataForecastImpactLogisticsCost,2,TRUE)*finCalcCh1Prod3Slot2LogExpPerUnit</f>
        <v>0</v>
      </c>
      <c r="F378" s="276" t="s">
        <v>3881</v>
      </c>
    </row>
    <row r="379" spans="1:6" ht="14.25">
      <c r="A379" s="406"/>
      <c r="B379" s="419"/>
      <c r="D379" s="328" t="s">
        <v>14030</v>
      </c>
      <c r="E379" s="497">
        <f>finCalcCh1Prod3Slot2LogExpPerUnit*paramProd3LogExpSI</f>
        <v>0</v>
      </c>
      <c r="F379" s="276" t="s">
        <v>3882</v>
      </c>
    </row>
    <row r="380" spans="1:6" ht="14.25">
      <c r="A380" s="406"/>
      <c r="B380" s="419"/>
      <c r="D380" s="276" t="s">
        <v>1692</v>
      </c>
      <c r="E380" s="327">
        <f>SUM(E377:E379)</f>
        <v>0.25844210526315792</v>
      </c>
      <c r="F380" s="276" t="s">
        <v>12905</v>
      </c>
    </row>
    <row r="381" spans="1:6" ht="14.25">
      <c r="A381" s="406"/>
      <c r="B381" s="419"/>
      <c r="D381" s="276" t="s">
        <v>1284</v>
      </c>
      <c r="E381" s="490">
        <f>finCalcCh1Prod3Slot2LogExpAdjPUnit*finCalcCh1Prod3Slot2VolSold</f>
        <v>18886375.931418948</v>
      </c>
      <c r="F381" s="276" t="s">
        <v>1866</v>
      </c>
    </row>
    <row r="382" spans="1:6" ht="14.25">
      <c r="A382" s="406"/>
      <c r="B382" s="419"/>
      <c r="D382" s="276"/>
      <c r="E382" s="276"/>
      <c r="F382" s="276"/>
    </row>
    <row r="383" spans="1:6" s="322" customFormat="1" ht="13.15" customHeight="1">
      <c r="A383" s="407"/>
      <c r="B383" s="405"/>
      <c r="C383" s="447"/>
      <c r="D383" s="447" t="s">
        <v>3860</v>
      </c>
      <c r="E383" s="863"/>
      <c r="F383" s="408"/>
    </row>
    <row r="384" spans="1:6" s="322" customFormat="1" ht="13.15" customHeight="1">
      <c r="A384" s="407"/>
      <c r="B384" s="405"/>
      <c r="C384" s="323"/>
      <c r="D384" s="323"/>
      <c r="E384" s="324"/>
    </row>
    <row r="385" spans="1:6" ht="14.25">
      <c r="A385" s="406"/>
      <c r="B385" s="419"/>
      <c r="C385" s="217" t="s">
        <v>295</v>
      </c>
    </row>
    <row r="386" spans="1:6" ht="14.25">
      <c r="A386" s="406"/>
      <c r="B386" s="419"/>
      <c r="D386" s="276" t="s">
        <v>577</v>
      </c>
      <c r="E386" s="491">
        <f>IF(calcCh1Prod3Slot3Active=1,IF(xxSim0Tool1=1,calcCh1Prod3Slot3VolForecastSlot,MMCh1Prod3Seg1Slot3UnitsSold+MMCh1Prod3Seg2Slot3UnitsSold+MMCh1Prod3Seg3Slot3UnitsSold+MMCh1Prod3Seg4Slot3UnitsSold),0)</f>
        <v>0</v>
      </c>
      <c r="F386" s="276" t="s">
        <v>1867</v>
      </c>
    </row>
    <row r="387" spans="1:6" ht="14.25">
      <c r="A387" s="406"/>
      <c r="B387" s="419"/>
      <c r="D387" s="276" t="s">
        <v>1762</v>
      </c>
      <c r="E387" s="399">
        <f>IF(VLOOKUP(decCh1Prod3Slot3Pack,dataPackSize,2,FALSE)=0,0,finCalcCh1Prod3Slot3VolSold/VLOOKUP(decCh1Prod3Slot3Pack,dataPackSize,2,FALSE))</f>
        <v>0</v>
      </c>
      <c r="F387" s="276" t="s">
        <v>1868</v>
      </c>
    </row>
    <row r="388" spans="1:6" ht="14.25">
      <c r="A388" s="406"/>
      <c r="B388" s="419"/>
      <c r="D388" s="276" t="s">
        <v>966</v>
      </c>
      <c r="E388" s="654">
        <f>IF(calcCh1Prod3Slot3VolForecastSlot=0,100%,finCalcCh1Prod3Slot3VolSold/calcCh1Prod3Slot3VolForecastSlot)</f>
        <v>1</v>
      </c>
      <c r="F388" s="276" t="s">
        <v>1869</v>
      </c>
    </row>
    <row r="389" spans="1:6" ht="14.25">
      <c r="A389" s="406"/>
      <c r="B389" s="419"/>
      <c r="E389" s="489"/>
    </row>
    <row r="390" spans="1:6" ht="14.25">
      <c r="A390" s="406"/>
      <c r="B390" s="419"/>
      <c r="C390" s="217" t="s">
        <v>3789</v>
      </c>
      <c r="E390" s="489"/>
    </row>
    <row r="391" spans="1:6" ht="14.25">
      <c r="A391" s="406"/>
      <c r="B391" s="419"/>
      <c r="C391" s="217" t="s">
        <v>400</v>
      </c>
    </row>
    <row r="392" spans="1:6" ht="14.25">
      <c r="A392" s="406"/>
      <c r="B392" s="419"/>
      <c r="D392" s="255" t="s">
        <v>526</v>
      </c>
      <c r="E392" s="492">
        <f>VLOOKUP(decCh1Prod3Slot3Pack,dataPackMaterialExp,2,FALSE)</f>
        <v>0</v>
      </c>
      <c r="F392" s="276" t="s">
        <v>3883</v>
      </c>
    </row>
    <row r="393" spans="1:6" ht="14.25">
      <c r="A393" s="406"/>
      <c r="B393" s="419"/>
      <c r="D393" s="328" t="s">
        <v>960</v>
      </c>
      <c r="E393" s="502">
        <f>VLOOKUP(finCalcCh1Prod3Slot3ForcastAcc,dataForecastImpactMatCost,2,TRUE)*E392</f>
        <v>0</v>
      </c>
      <c r="F393" s="276" t="s">
        <v>3884</v>
      </c>
    </row>
    <row r="394" spans="1:6" ht="14.25">
      <c r="A394" s="406"/>
      <c r="B394" s="419"/>
      <c r="D394" s="328" t="s">
        <v>14030</v>
      </c>
      <c r="E394" s="493">
        <f>paramProd3MatExpSI*finCalcCh1Prod3Slot3MatExpPerUnitBase</f>
        <v>0</v>
      </c>
      <c r="F394" s="276" t="s">
        <v>3885</v>
      </c>
    </row>
    <row r="395" spans="1:6" ht="14.25">
      <c r="A395" s="406"/>
      <c r="B395" s="419"/>
      <c r="D395" s="209" t="s">
        <v>518</v>
      </c>
      <c r="E395" s="327">
        <f>SUM(E392:E394)</f>
        <v>0</v>
      </c>
      <c r="F395" s="276" t="s">
        <v>3886</v>
      </c>
    </row>
    <row r="396" spans="1:6" ht="14.25">
      <c r="A396" s="406"/>
      <c r="B396" s="419"/>
      <c r="D396" s="209" t="s">
        <v>401</v>
      </c>
      <c r="E396" s="220">
        <f>finCalcCh1Prod3Slot3MatExpPUnitTot*finCalcCh1Prod3Slot3VolSold</f>
        <v>0</v>
      </c>
      <c r="F396" s="276" t="s">
        <v>12906</v>
      </c>
    </row>
    <row r="397" spans="1:6" ht="14.25">
      <c r="A397" s="406"/>
      <c r="B397" s="419"/>
      <c r="C397" s="208"/>
      <c r="F397" s="276"/>
    </row>
    <row r="398" spans="1:6" ht="14.25">
      <c r="A398" s="406"/>
      <c r="B398" s="419"/>
      <c r="C398" s="217" t="s">
        <v>399</v>
      </c>
      <c r="E398" s="224"/>
    </row>
    <row r="399" spans="1:6" ht="14.25">
      <c r="A399" s="406"/>
      <c r="B399" s="419"/>
      <c r="D399" s="328" t="s">
        <v>969</v>
      </c>
      <c r="E399" s="510">
        <f>VLOOKUP(decCh1Prod3Slot3Pack,dataPackLabourHrs,2,FALSE)</f>
        <v>0</v>
      </c>
      <c r="F399" s="276" t="s">
        <v>3887</v>
      </c>
    </row>
    <row r="400" spans="1:6" ht="14.25">
      <c r="A400" s="406"/>
      <c r="B400" s="419"/>
      <c r="D400" s="328" t="s">
        <v>960</v>
      </c>
      <c r="E400" s="510">
        <f>VLOOKUP(finCalcCh1Prod3Slot3ForcastAcc,dataForecastImpactLabCost,2,TRUE)*finCalcCh1Prod3Slot3LabourHrsReqPVolBase</f>
        <v>0</v>
      </c>
      <c r="F400" s="276" t="s">
        <v>3888</v>
      </c>
    </row>
    <row r="401" spans="1:6" ht="14.25">
      <c r="A401" s="406"/>
      <c r="B401" s="419"/>
      <c r="D401" s="328" t="s">
        <v>14030</v>
      </c>
      <c r="E401" s="510">
        <f>paramProd3LabourExpSI*finCalcCh1Prod3Slot3LabourHrsReqPVolBase</f>
        <v>0</v>
      </c>
      <c r="F401" s="276" t="s">
        <v>3889</v>
      </c>
    </row>
    <row r="402" spans="1:6" ht="14.25">
      <c r="A402" s="406"/>
      <c r="B402" s="419"/>
      <c r="D402" s="209" t="s">
        <v>3795</v>
      </c>
      <c r="E402" s="511">
        <f>SUM(E399:E401)</f>
        <v>0</v>
      </c>
      <c r="F402" s="276" t="s">
        <v>3890</v>
      </c>
    </row>
    <row r="403" spans="1:6" ht="14.25">
      <c r="A403" s="406"/>
      <c r="B403" s="419"/>
      <c r="D403" s="328"/>
      <c r="E403" s="499"/>
      <c r="F403" s="276"/>
    </row>
    <row r="404" spans="1:6" ht="14.25">
      <c r="A404" s="406"/>
      <c r="B404" s="419"/>
      <c r="D404" s="209" t="s">
        <v>974</v>
      </c>
      <c r="E404" s="494">
        <f>paramLabourCostPerHr</f>
        <v>5</v>
      </c>
      <c r="F404" s="276" t="s">
        <v>3891</v>
      </c>
    </row>
    <row r="405" spans="1:6" ht="14.25">
      <c r="A405" s="406"/>
      <c r="B405" s="419"/>
      <c r="D405" s="209" t="s">
        <v>3793</v>
      </c>
      <c r="E405" s="500">
        <f>finCalcCh1Prod3Slot3VolSold*finCalcCh1Prod3Slot3LabourHrsReqPVolTot</f>
        <v>0</v>
      </c>
    </row>
    <row r="406" spans="1:6" ht="14.25">
      <c r="A406" s="406"/>
      <c r="B406" s="419"/>
      <c r="D406" s="276" t="s">
        <v>973</v>
      </c>
      <c r="E406" s="220">
        <f>E405*finCalcCh1Prod3Slot3LabourCostPerHour</f>
        <v>0</v>
      </c>
      <c r="F406" s="276" t="s">
        <v>12907</v>
      </c>
    </row>
    <row r="407" spans="1:6" ht="14.25">
      <c r="A407" s="406"/>
      <c r="B407" s="419"/>
      <c r="E407" s="223"/>
    </row>
    <row r="408" spans="1:6" ht="14.25">
      <c r="A408" s="406"/>
      <c r="B408" s="419"/>
      <c r="C408" s="217" t="s">
        <v>513</v>
      </c>
      <c r="E408" s="223"/>
    </row>
    <row r="409" spans="1:6" ht="14.25">
      <c r="A409" s="406"/>
      <c r="B409" s="419"/>
      <c r="C409" s="326"/>
      <c r="D409" s="276" t="s">
        <v>570</v>
      </c>
      <c r="E409" s="491">
        <f>CalcCh1Prod3Slot3ManufacturingCostPUnit</f>
        <v>0</v>
      </c>
      <c r="F409" s="276"/>
    </row>
    <row r="410" spans="1:6" ht="14.25">
      <c r="A410" s="406"/>
      <c r="B410" s="419"/>
      <c r="C410" s="326"/>
      <c r="D410" s="209" t="s">
        <v>514</v>
      </c>
      <c r="E410" s="490">
        <f>E409*finCalcCh1Prod3Slot3VolSold</f>
        <v>0</v>
      </c>
      <c r="F410" s="276" t="s">
        <v>12908</v>
      </c>
    </row>
    <row r="411" spans="1:6" ht="14.25">
      <c r="A411" s="406"/>
      <c r="B411" s="419"/>
      <c r="C411" s="208"/>
    </row>
    <row r="412" spans="1:6" ht="14.25">
      <c r="A412" s="406"/>
      <c r="B412" s="419"/>
      <c r="C412" s="498" t="s">
        <v>398</v>
      </c>
    </row>
    <row r="413" spans="1:6" ht="14.25">
      <c r="A413" s="406"/>
      <c r="B413" s="419"/>
      <c r="C413" s="208" t="s">
        <v>398</v>
      </c>
      <c r="E413" s="223"/>
    </row>
    <row r="414" spans="1:6" ht="14.25">
      <c r="A414" s="406"/>
      <c r="B414" s="419"/>
      <c r="D414" s="209" t="s">
        <v>450</v>
      </c>
      <c r="E414" s="220">
        <f>CalcCh1Prod3Slot3Depreciation</f>
        <v>0</v>
      </c>
      <c r="F414" s="276" t="s">
        <v>1870</v>
      </c>
    </row>
    <row r="415" spans="1:6" ht="14.25">
      <c r="A415" s="406"/>
      <c r="B415" s="419"/>
    </row>
    <row r="416" spans="1:6" ht="14.25">
      <c r="A416" s="406"/>
      <c r="B416" s="419"/>
      <c r="C416" s="217" t="s">
        <v>13066</v>
      </c>
    </row>
    <row r="417" spans="1:6" ht="14.25">
      <c r="A417" s="406"/>
      <c r="B417" s="419"/>
      <c r="D417" s="209" t="s">
        <v>400</v>
      </c>
      <c r="E417" s="495">
        <f>finCalcCh1Prod3Slot3MatExpPUnitTot</f>
        <v>0</v>
      </c>
    </row>
    <row r="418" spans="1:6" ht="14.25">
      <c r="A418" s="406"/>
      <c r="B418" s="419"/>
      <c r="D418" s="209" t="s">
        <v>399</v>
      </c>
      <c r="E418" s="495">
        <f>finCalcCh1Prod3Slot3LabourCostPerHour*finCalcCh1Prod3Slot3LabourHrsReqPVolTot</f>
        <v>0</v>
      </c>
    </row>
    <row r="419" spans="1:6" ht="14.25">
      <c r="A419" s="406"/>
      <c r="B419" s="419"/>
      <c r="D419" s="209" t="s">
        <v>513</v>
      </c>
      <c r="E419" s="495">
        <f>E409</f>
        <v>0</v>
      </c>
    </row>
    <row r="420" spans="1:6" ht="14.25">
      <c r="A420" s="406"/>
      <c r="B420" s="419"/>
      <c r="D420" s="209" t="s">
        <v>398</v>
      </c>
      <c r="E420" s="496">
        <f>CalcCh1Prod3Slot3DepreciationPUnit</f>
        <v>0</v>
      </c>
    </row>
    <row r="421" spans="1:6" ht="14.25">
      <c r="A421" s="406"/>
      <c r="B421" s="419"/>
      <c r="C421" s="208" t="s">
        <v>397</v>
      </c>
      <c r="E421" s="490">
        <f>SUM(E417:E420)</f>
        <v>0</v>
      </c>
      <c r="F421" s="276" t="s">
        <v>1871</v>
      </c>
    </row>
    <row r="422" spans="1:6" ht="14.25">
      <c r="A422" s="406"/>
      <c r="B422" s="419"/>
    </row>
    <row r="423" spans="1:6" ht="14.25">
      <c r="A423" s="406"/>
      <c r="B423" s="419"/>
      <c r="C423" s="217" t="s">
        <v>519</v>
      </c>
    </row>
    <row r="424" spans="1:6" ht="14.25">
      <c r="A424" s="406"/>
      <c r="B424" s="419"/>
      <c r="D424" s="328" t="s">
        <v>1286</v>
      </c>
      <c r="E424" s="492">
        <f>VLOOKUP(decCh1Prod3Slot3Pack,dataPackLogisticsCost,2,FALSE)</f>
        <v>0</v>
      </c>
      <c r="F424" s="276" t="s">
        <v>2927</v>
      </c>
    </row>
    <row r="425" spans="1:6" ht="14.25">
      <c r="A425" s="406"/>
      <c r="B425" s="419"/>
      <c r="D425" s="328" t="s">
        <v>960</v>
      </c>
      <c r="E425" s="501">
        <f>VLOOKUP(finCalcCh1Prod3Slot3ForcastAcc,dataForecastImpactLogisticsCost,2,TRUE)*finCalcCh1Prod3Slot3LogExpPerUnit</f>
        <v>0</v>
      </c>
      <c r="F425" s="276" t="s">
        <v>3892</v>
      </c>
    </row>
    <row r="426" spans="1:6" ht="14.25">
      <c r="A426" s="406"/>
      <c r="B426" s="419"/>
      <c r="D426" s="328" t="s">
        <v>14030</v>
      </c>
      <c r="E426" s="497">
        <f>finCalcCh1Prod3Slot3LogExpPerUnit*paramProd3LogExpSI</f>
        <v>0</v>
      </c>
      <c r="F426" s="276" t="s">
        <v>3893</v>
      </c>
    </row>
    <row r="427" spans="1:6" ht="14.25">
      <c r="A427" s="406"/>
      <c r="B427" s="419"/>
      <c r="D427" s="276" t="s">
        <v>1692</v>
      </c>
      <c r="E427" s="327">
        <f>SUM(E424:E426)</f>
        <v>0</v>
      </c>
      <c r="F427" s="276" t="s">
        <v>12909</v>
      </c>
    </row>
    <row r="428" spans="1:6" ht="14.25">
      <c r="A428" s="406"/>
      <c r="B428" s="419"/>
      <c r="D428" s="276" t="s">
        <v>1284</v>
      </c>
      <c r="E428" s="490">
        <f>finCalcCh1Prod3Slot3LogExpAdjPUnit*finCalcCh1Prod3Slot3VolSold</f>
        <v>0</v>
      </c>
      <c r="F428" s="276" t="s">
        <v>1872</v>
      </c>
    </row>
    <row r="429" spans="1:6" ht="14.25">
      <c r="A429" s="406"/>
      <c r="B429" s="419"/>
      <c r="D429" s="276"/>
      <c r="E429" s="276"/>
      <c r="F429" s="276"/>
    </row>
    <row r="430" spans="1:6" s="322" customFormat="1" ht="13.15" customHeight="1">
      <c r="A430" s="407"/>
      <c r="B430" s="405"/>
      <c r="C430" s="447" t="s">
        <v>240</v>
      </c>
      <c r="D430" s="447"/>
      <c r="E430" s="863"/>
      <c r="F430" s="408"/>
    </row>
    <row r="431" spans="1:6" s="322" customFormat="1" ht="13.15" customHeight="1">
      <c r="A431" s="407"/>
      <c r="B431" s="405"/>
      <c r="C431" s="447"/>
      <c r="D431" s="447" t="s">
        <v>3859</v>
      </c>
      <c r="E431" s="863"/>
      <c r="F431" s="408"/>
    </row>
    <row r="432" spans="1:6" s="322" customFormat="1" ht="13.15" customHeight="1">
      <c r="A432" s="407"/>
      <c r="B432" s="405"/>
      <c r="C432" s="323"/>
      <c r="D432" s="323"/>
      <c r="E432" s="324"/>
    </row>
    <row r="433" spans="1:6" ht="14.25">
      <c r="A433" s="406"/>
      <c r="B433" s="419"/>
      <c r="C433" s="217" t="s">
        <v>295</v>
      </c>
    </row>
    <row r="434" spans="1:6" ht="14.25">
      <c r="A434" s="406"/>
      <c r="B434" s="419"/>
      <c r="D434" s="276" t="s">
        <v>577</v>
      </c>
      <c r="E434" s="491">
        <f>IF(calcCh1Prod4Slot1Active=1,IF(xxSim0Tool1=1,calcCh1Prod4Slot1VolForecastSlot,MMCh1Prod4Seg1Slot1UnitsSold+MMCh1Prod4Seg2Slot1UnitsSold+MMCh1Prod4Seg3Slot1UnitsSold+MMCh1Prod4Seg4Slot1UnitsSold),0)</f>
        <v>0</v>
      </c>
      <c r="F434" s="276" t="s">
        <v>1879</v>
      </c>
    </row>
    <row r="435" spans="1:6" ht="14.25">
      <c r="A435" s="406"/>
      <c r="B435" s="419"/>
      <c r="D435" s="276" t="s">
        <v>1762</v>
      </c>
      <c r="E435" s="399">
        <f>IF(VLOOKUP(decCh1Prod4Slot1Pack,dataPackSize,2,FALSE)=0,0,finCalcCh1Prod4Slot1VolSold/VLOOKUP(decCh1Prod4Slot1Pack,dataPackSize,2,FALSE))</f>
        <v>0</v>
      </c>
      <c r="F435" s="276" t="s">
        <v>1880</v>
      </c>
    </row>
    <row r="436" spans="1:6" ht="14.25">
      <c r="A436" s="406"/>
      <c r="B436" s="419"/>
      <c r="D436" s="276" t="s">
        <v>966</v>
      </c>
      <c r="E436" s="654">
        <f>IF(calcCh1Prod4Slot1VolForecastSlot=0,100%,finCalcCh1Prod4Slot1VolSold/calcCh1Prod4Slot1VolForecastSlot)</f>
        <v>1</v>
      </c>
      <c r="F436" s="276" t="s">
        <v>1881</v>
      </c>
    </row>
    <row r="437" spans="1:6" ht="14.25">
      <c r="A437" s="406"/>
      <c r="B437" s="419"/>
      <c r="E437" s="489"/>
    </row>
    <row r="438" spans="1:6" ht="14.25">
      <c r="A438" s="406"/>
      <c r="B438" s="419"/>
      <c r="C438" s="217" t="s">
        <v>3789</v>
      </c>
      <c r="E438" s="489"/>
    </row>
    <row r="439" spans="1:6" ht="14.25">
      <c r="A439" s="406"/>
      <c r="B439" s="419"/>
      <c r="C439" s="217" t="s">
        <v>400</v>
      </c>
    </row>
    <row r="440" spans="1:6" ht="14.25">
      <c r="A440" s="406"/>
      <c r="B440" s="419"/>
      <c r="D440" s="255" t="s">
        <v>526</v>
      </c>
      <c r="E440" s="492">
        <f>VLOOKUP(decCh1Prod4Slot1Pack,dataPackMaterialExp,2,FALSE)</f>
        <v>0</v>
      </c>
      <c r="F440" s="276" t="s">
        <v>3894</v>
      </c>
    </row>
    <row r="441" spans="1:6" ht="14.25">
      <c r="A441" s="406"/>
      <c r="B441" s="419"/>
      <c r="D441" s="328" t="s">
        <v>960</v>
      </c>
      <c r="E441" s="502">
        <f>VLOOKUP(finCalcCh1Prod4Slot1ForcastAcc,dataForecastImpactMatCost,2,TRUE)*E440</f>
        <v>0</v>
      </c>
      <c r="F441" s="276" t="s">
        <v>3895</v>
      </c>
    </row>
    <row r="442" spans="1:6" ht="14.25">
      <c r="A442" s="406"/>
      <c r="B442" s="419"/>
      <c r="D442" s="328" t="s">
        <v>14030</v>
      </c>
      <c r="E442" s="493">
        <f>paramProd4MatExpSI*finCalcCh1Prod4Slot1MatExpPerUnitBase</f>
        <v>0</v>
      </c>
      <c r="F442" s="276" t="s">
        <v>3896</v>
      </c>
    </row>
    <row r="443" spans="1:6" ht="14.25">
      <c r="A443" s="406"/>
      <c r="B443" s="419"/>
      <c r="D443" s="209" t="s">
        <v>518</v>
      </c>
      <c r="E443" s="327">
        <f>SUM(E440:E442)</f>
        <v>0</v>
      </c>
      <c r="F443" s="276" t="s">
        <v>3897</v>
      </c>
    </row>
    <row r="444" spans="1:6" ht="14.25">
      <c r="A444" s="406"/>
      <c r="B444" s="419"/>
      <c r="D444" s="209" t="s">
        <v>401</v>
      </c>
      <c r="E444" s="220">
        <f>finCalcCh1Prod4Slot1MatExpPUnitTot*finCalcCh1Prod4Slot1VolSold</f>
        <v>0</v>
      </c>
      <c r="F444" s="276" t="s">
        <v>12910</v>
      </c>
    </row>
    <row r="445" spans="1:6" ht="14.25">
      <c r="A445" s="406"/>
      <c r="B445" s="419"/>
      <c r="C445" s="208"/>
      <c r="F445" s="276"/>
    </row>
    <row r="446" spans="1:6" ht="14.25">
      <c r="A446" s="406"/>
      <c r="B446" s="419"/>
      <c r="C446" s="217" t="s">
        <v>399</v>
      </c>
      <c r="E446" s="224"/>
    </row>
    <row r="447" spans="1:6" ht="14.25">
      <c r="A447" s="406"/>
      <c r="B447" s="419"/>
      <c r="D447" s="328" t="s">
        <v>969</v>
      </c>
      <c r="E447" s="510">
        <f>VLOOKUP(decCh1Prod4Slot1Pack,dataPackLabourHrs,2,FALSE)</f>
        <v>0</v>
      </c>
      <c r="F447" s="276" t="s">
        <v>3898</v>
      </c>
    </row>
    <row r="448" spans="1:6" ht="14.25">
      <c r="A448" s="406"/>
      <c r="B448" s="419"/>
      <c r="D448" s="328" t="s">
        <v>960</v>
      </c>
      <c r="E448" s="510">
        <f>VLOOKUP(finCalcCh1Prod4Slot1ForcastAcc,dataForecastImpactLabCost,2,TRUE)*finCalcCh1Prod4Slot1LabourHrsReqPVolBase</f>
        <v>0</v>
      </c>
      <c r="F448" s="276" t="s">
        <v>3899</v>
      </c>
    </row>
    <row r="449" spans="1:6" ht="14.25">
      <c r="A449" s="406"/>
      <c r="B449" s="419"/>
      <c r="D449" s="328" t="s">
        <v>14030</v>
      </c>
      <c r="E449" s="510">
        <f>paramProd4LabourExpSI*finCalcCh1Prod4Slot1LabourHrsReqPVolBase</f>
        <v>0</v>
      </c>
      <c r="F449" s="276" t="s">
        <v>3900</v>
      </c>
    </row>
    <row r="450" spans="1:6" ht="14.25">
      <c r="A450" s="406"/>
      <c r="B450" s="419"/>
      <c r="D450" s="209" t="s">
        <v>3795</v>
      </c>
      <c r="E450" s="511">
        <f>SUM(E447:E449)</f>
        <v>0</v>
      </c>
      <c r="F450" s="276" t="s">
        <v>3901</v>
      </c>
    </row>
    <row r="451" spans="1:6" ht="14.25">
      <c r="A451" s="406"/>
      <c r="B451" s="419"/>
      <c r="D451" s="328"/>
      <c r="E451" s="499"/>
      <c r="F451" s="276"/>
    </row>
    <row r="452" spans="1:6" ht="14.25">
      <c r="A452" s="406"/>
      <c r="B452" s="419"/>
      <c r="D452" s="209" t="s">
        <v>974</v>
      </c>
      <c r="E452" s="494">
        <f>paramLabourCostPerHr</f>
        <v>5</v>
      </c>
      <c r="F452" s="276" t="s">
        <v>3902</v>
      </c>
    </row>
    <row r="453" spans="1:6" ht="14.25">
      <c r="A453" s="406"/>
      <c r="B453" s="419"/>
      <c r="D453" s="209" t="s">
        <v>3793</v>
      </c>
      <c r="E453" s="500">
        <f>finCalcCh1Prod4Slot1VolSold*finCalcCh1Prod4Slot1LabourHrsReqPVolTot</f>
        <v>0</v>
      </c>
    </row>
    <row r="454" spans="1:6" ht="14.25">
      <c r="A454" s="406"/>
      <c r="B454" s="419"/>
      <c r="D454" s="276" t="s">
        <v>973</v>
      </c>
      <c r="E454" s="220">
        <f>E453*finCalcCh1Prod4Slot1LabourCostPerHour</f>
        <v>0</v>
      </c>
      <c r="F454" s="276" t="s">
        <v>12911</v>
      </c>
    </row>
    <row r="455" spans="1:6" ht="14.25">
      <c r="A455" s="406"/>
      <c r="B455" s="419"/>
      <c r="E455" s="223"/>
    </row>
    <row r="456" spans="1:6" ht="14.25">
      <c r="A456" s="406"/>
      <c r="B456" s="419"/>
      <c r="C456" s="217" t="s">
        <v>513</v>
      </c>
      <c r="E456" s="223"/>
    </row>
    <row r="457" spans="1:6" ht="14.25">
      <c r="A457" s="406"/>
      <c r="B457" s="419"/>
      <c r="C457" s="326"/>
      <c r="D457" s="276" t="s">
        <v>570</v>
      </c>
      <c r="E457" s="491">
        <f>CalcCh1Prod4Slot1ManufacturingCostPUnit</f>
        <v>0</v>
      </c>
      <c r="F457" s="276"/>
    </row>
    <row r="458" spans="1:6" ht="14.25">
      <c r="A458" s="406"/>
      <c r="B458" s="419"/>
      <c r="C458" s="326"/>
      <c r="D458" s="209" t="s">
        <v>514</v>
      </c>
      <c r="E458" s="490">
        <f>E457*finCalcCh1Prod4Slot1VolSold</f>
        <v>0</v>
      </c>
      <c r="F458" s="276" t="s">
        <v>12912</v>
      </c>
    </row>
    <row r="459" spans="1:6" ht="14.25">
      <c r="A459" s="406"/>
      <c r="B459" s="419"/>
      <c r="C459" s="208"/>
    </row>
    <row r="460" spans="1:6" ht="14.25">
      <c r="A460" s="406"/>
      <c r="B460" s="419"/>
      <c r="C460" s="498" t="s">
        <v>398</v>
      </c>
    </row>
    <row r="461" spans="1:6" ht="14.25">
      <c r="A461" s="406"/>
      <c r="B461" s="419"/>
      <c r="C461" s="208" t="s">
        <v>398</v>
      </c>
      <c r="E461" s="223"/>
    </row>
    <row r="462" spans="1:6" ht="14.25">
      <c r="A462" s="406"/>
      <c r="B462" s="419"/>
      <c r="D462" s="209" t="s">
        <v>450</v>
      </c>
      <c r="E462" s="220">
        <f>CalcCh1Prod4Slot1Depreciation</f>
        <v>0</v>
      </c>
      <c r="F462" s="276" t="s">
        <v>1882</v>
      </c>
    </row>
    <row r="463" spans="1:6" ht="14.25">
      <c r="A463" s="406"/>
      <c r="B463" s="419"/>
    </row>
    <row r="464" spans="1:6" ht="14.25">
      <c r="A464" s="406"/>
      <c r="B464" s="419"/>
      <c r="C464" s="217" t="s">
        <v>13066</v>
      </c>
    </row>
    <row r="465" spans="1:6" ht="14.25">
      <c r="A465" s="406"/>
      <c r="B465" s="419"/>
      <c r="D465" s="209" t="s">
        <v>400</v>
      </c>
      <c r="E465" s="495">
        <f>finCalcCh1Prod4Slot1MatExpPUnitTot</f>
        <v>0</v>
      </c>
    </row>
    <row r="466" spans="1:6" ht="14.25">
      <c r="A466" s="406"/>
      <c r="B466" s="419"/>
      <c r="D466" s="209" t="s">
        <v>399</v>
      </c>
      <c r="E466" s="495">
        <f>finCalcCh1Prod4Slot1LabourCostPerHour*finCalcCh1Prod4Slot1LabourHrsReqPVolTot</f>
        <v>0</v>
      </c>
    </row>
    <row r="467" spans="1:6" ht="14.25">
      <c r="A467" s="406"/>
      <c r="B467" s="419"/>
      <c r="D467" s="209" t="s">
        <v>513</v>
      </c>
      <c r="E467" s="495">
        <f>E457</f>
        <v>0</v>
      </c>
    </row>
    <row r="468" spans="1:6" ht="14.25">
      <c r="A468" s="406"/>
      <c r="B468" s="419"/>
      <c r="D468" s="209" t="s">
        <v>398</v>
      </c>
      <c r="E468" s="496">
        <f>CalcCh1Prod4Slot1DepreciationPUnit</f>
        <v>0</v>
      </c>
    </row>
    <row r="469" spans="1:6" ht="14.25">
      <c r="A469" s="406"/>
      <c r="B469" s="419"/>
      <c r="C469" s="208" t="s">
        <v>397</v>
      </c>
      <c r="E469" s="490">
        <f>SUM(E465:E468)</f>
        <v>0</v>
      </c>
      <c r="F469" s="276" t="s">
        <v>1883</v>
      </c>
    </row>
    <row r="470" spans="1:6" ht="14.25">
      <c r="A470" s="406"/>
      <c r="B470" s="419"/>
    </row>
    <row r="471" spans="1:6" ht="14.25">
      <c r="A471" s="406"/>
      <c r="B471" s="419"/>
      <c r="C471" s="217" t="s">
        <v>519</v>
      </c>
    </row>
    <row r="472" spans="1:6" ht="14.25">
      <c r="A472" s="406"/>
      <c r="B472" s="419"/>
      <c r="D472" s="328" t="s">
        <v>1286</v>
      </c>
      <c r="E472" s="492">
        <f>VLOOKUP(decCh1Prod4Slot1Pack,dataPackLogisticsCost,2,FALSE)</f>
        <v>0</v>
      </c>
      <c r="F472" s="276" t="s">
        <v>2928</v>
      </c>
    </row>
    <row r="473" spans="1:6" ht="14.25">
      <c r="A473" s="406"/>
      <c r="B473" s="419"/>
      <c r="D473" s="328" t="s">
        <v>960</v>
      </c>
      <c r="E473" s="501">
        <f>VLOOKUP(finCalcCh1Prod4Slot1ForcastAcc,dataForecastImpactLogisticsCost,2,TRUE)*finCalcCh1Prod4Slot1LogExpPerUnit</f>
        <v>0</v>
      </c>
      <c r="F473" s="276" t="s">
        <v>3903</v>
      </c>
    </row>
    <row r="474" spans="1:6" ht="14.25">
      <c r="A474" s="406"/>
      <c r="B474" s="419"/>
      <c r="D474" s="328" t="s">
        <v>14030</v>
      </c>
      <c r="E474" s="497">
        <f>finCalcCh1Prod4Slot1LogExpPerUnit*paramProd4LogExpSI</f>
        <v>0</v>
      </c>
      <c r="F474" s="276" t="s">
        <v>3904</v>
      </c>
    </row>
    <row r="475" spans="1:6" ht="14.25">
      <c r="A475" s="406"/>
      <c r="B475" s="419"/>
      <c r="D475" s="276" t="s">
        <v>1692</v>
      </c>
      <c r="E475" s="327">
        <f>SUM(E472:E474)</f>
        <v>0</v>
      </c>
      <c r="F475" s="276" t="s">
        <v>12913</v>
      </c>
    </row>
    <row r="476" spans="1:6" ht="14.25">
      <c r="A476" s="406"/>
      <c r="B476" s="419"/>
      <c r="D476" s="276" t="s">
        <v>1284</v>
      </c>
      <c r="E476" s="490">
        <f>finCalcCh1Prod4Slot1LogExpAdjPUnit*finCalcCh1Prod4Slot1VolSold</f>
        <v>0</v>
      </c>
      <c r="F476" s="276" t="s">
        <v>1884</v>
      </c>
    </row>
    <row r="477" spans="1:6" ht="14.25">
      <c r="A477" s="406"/>
      <c r="B477" s="419"/>
      <c r="D477" s="276"/>
      <c r="E477" s="276"/>
      <c r="F477" s="276"/>
    </row>
    <row r="478" spans="1:6" s="322" customFormat="1" ht="13.15" customHeight="1">
      <c r="A478" s="407"/>
      <c r="B478" s="405"/>
      <c r="C478" s="447"/>
      <c r="D478" s="447" t="s">
        <v>3858</v>
      </c>
      <c r="E478" s="863"/>
      <c r="F478" s="408"/>
    </row>
    <row r="479" spans="1:6" s="322" customFormat="1" ht="13.15" customHeight="1">
      <c r="A479" s="407"/>
      <c r="B479" s="405"/>
      <c r="C479" s="323"/>
      <c r="D479" s="323"/>
      <c r="E479" s="324"/>
    </row>
    <row r="480" spans="1:6" ht="14.25">
      <c r="A480" s="406"/>
      <c r="B480" s="419"/>
      <c r="C480" s="217" t="s">
        <v>295</v>
      </c>
    </row>
    <row r="481" spans="1:6" ht="14.25">
      <c r="A481" s="406"/>
      <c r="B481" s="419"/>
      <c r="D481" s="276" t="s">
        <v>577</v>
      </c>
      <c r="E481" s="491">
        <f>IF(calcCh1Prod4Slot2Active=1,IF(xxSim0Tool1=1,calcCh1Prod4Slot2VolForecastSlot,MMCh1Prod4Seg1Slot2UnitsSold+MMCh1Prod4Seg2Slot2UnitsSold+MMCh1Prod4Seg3Slot2UnitsSold+MMCh1Prod4Seg4Slot2UnitsSold),0)</f>
        <v>0</v>
      </c>
      <c r="F481" s="276" t="s">
        <v>1885</v>
      </c>
    </row>
    <row r="482" spans="1:6" ht="14.25">
      <c r="A482" s="406"/>
      <c r="B482" s="419"/>
      <c r="D482" s="276" t="s">
        <v>1762</v>
      </c>
      <c r="E482" s="399">
        <f>IF(VLOOKUP(decCh1Prod4Slot2Pack,dataPackSize,2,FALSE)=0,0,finCalcCh1Prod4Slot2VolSold/VLOOKUP(decCh1Prod4Slot2Pack,dataPackSize,2,FALSE))</f>
        <v>0</v>
      </c>
      <c r="F482" s="276" t="s">
        <v>1886</v>
      </c>
    </row>
    <row r="483" spans="1:6" ht="14.25">
      <c r="A483" s="406"/>
      <c r="B483" s="419"/>
      <c r="D483" s="276" t="s">
        <v>966</v>
      </c>
      <c r="E483" s="654">
        <f>IF(calcCh1Prod4Slot2VolForecastSlot=0,100%,finCalcCh1Prod4Slot2VolSold/calcCh1Prod4Slot2VolForecastSlot)</f>
        <v>1</v>
      </c>
      <c r="F483" s="276" t="s">
        <v>1887</v>
      </c>
    </row>
    <row r="484" spans="1:6" ht="14.25">
      <c r="A484" s="406"/>
      <c r="B484" s="419"/>
      <c r="E484" s="489"/>
    </row>
    <row r="485" spans="1:6" ht="14.25">
      <c r="A485" s="406"/>
      <c r="B485" s="419"/>
      <c r="C485" s="217" t="s">
        <v>3789</v>
      </c>
      <c r="E485" s="489"/>
    </row>
    <row r="486" spans="1:6" ht="14.25">
      <c r="A486" s="406"/>
      <c r="B486" s="419"/>
      <c r="C486" s="217" t="s">
        <v>400</v>
      </c>
    </row>
    <row r="487" spans="1:6" ht="14.25">
      <c r="A487" s="406"/>
      <c r="B487" s="419"/>
      <c r="D487" s="255" t="s">
        <v>526</v>
      </c>
      <c r="E487" s="492">
        <f>VLOOKUP(decCh1Prod4Slot2Pack,dataPackMaterialExp,2,FALSE)</f>
        <v>0</v>
      </c>
      <c r="F487" s="276" t="s">
        <v>3905</v>
      </c>
    </row>
    <row r="488" spans="1:6" ht="14.25">
      <c r="A488" s="406"/>
      <c r="B488" s="419"/>
      <c r="D488" s="328" t="s">
        <v>960</v>
      </c>
      <c r="E488" s="502">
        <f>VLOOKUP(finCalcCh1Prod4Slot2ForcastAcc,dataForecastImpactMatCost,2,TRUE)*E487</f>
        <v>0</v>
      </c>
      <c r="F488" s="276" t="s">
        <v>3906</v>
      </c>
    </row>
    <row r="489" spans="1:6" ht="14.25">
      <c r="A489" s="406"/>
      <c r="B489" s="419"/>
      <c r="D489" s="328" t="s">
        <v>14030</v>
      </c>
      <c r="E489" s="493">
        <f>paramProd4MatExpSI*finCalcCh1Prod4Slot2MatExpPerUnitBase</f>
        <v>0</v>
      </c>
      <c r="F489" s="276" t="s">
        <v>3907</v>
      </c>
    </row>
    <row r="490" spans="1:6" ht="14.25">
      <c r="A490" s="406"/>
      <c r="B490" s="419"/>
      <c r="D490" s="209" t="s">
        <v>518</v>
      </c>
      <c r="E490" s="327">
        <f>SUM(E487:E489)</f>
        <v>0</v>
      </c>
      <c r="F490" s="276" t="s">
        <v>3908</v>
      </c>
    </row>
    <row r="491" spans="1:6" ht="14.25">
      <c r="A491" s="406"/>
      <c r="B491" s="419"/>
      <c r="D491" s="209" t="s">
        <v>401</v>
      </c>
      <c r="E491" s="220">
        <f>finCalcCh1Prod4Slot2MatExpPUnitTot*finCalcCh1Prod4Slot2VolSold</f>
        <v>0</v>
      </c>
      <c r="F491" s="276" t="s">
        <v>12914</v>
      </c>
    </row>
    <row r="492" spans="1:6" ht="14.25">
      <c r="A492" s="406"/>
      <c r="B492" s="419"/>
      <c r="C492" s="208"/>
      <c r="F492" s="276"/>
    </row>
    <row r="493" spans="1:6" ht="14.25">
      <c r="A493" s="406"/>
      <c r="B493" s="419"/>
      <c r="C493" s="217" t="s">
        <v>399</v>
      </c>
      <c r="E493" s="224"/>
    </row>
    <row r="494" spans="1:6" ht="14.25">
      <c r="A494" s="406"/>
      <c r="B494" s="419"/>
      <c r="D494" s="328" t="s">
        <v>969</v>
      </c>
      <c r="E494" s="510">
        <f>VLOOKUP(decCh1Prod4Slot2Pack,dataPackLabourHrs,2,FALSE)</f>
        <v>0</v>
      </c>
      <c r="F494" s="276" t="s">
        <v>3909</v>
      </c>
    </row>
    <row r="495" spans="1:6" ht="14.25">
      <c r="A495" s="406"/>
      <c r="B495" s="419"/>
      <c r="D495" s="328" t="s">
        <v>960</v>
      </c>
      <c r="E495" s="510">
        <f>VLOOKUP(finCalcCh1Prod4Slot2ForcastAcc,dataForecastImpactLabCost,2,TRUE)*finCalcCh1Prod4Slot2LabourHrsReqPVolBase</f>
        <v>0</v>
      </c>
      <c r="F495" s="276" t="s">
        <v>3910</v>
      </c>
    </row>
    <row r="496" spans="1:6" ht="14.25">
      <c r="A496" s="406"/>
      <c r="B496" s="419"/>
      <c r="D496" s="328" t="s">
        <v>14030</v>
      </c>
      <c r="E496" s="510">
        <f>paramProd4LabourExpSI*finCalcCh1Prod4Slot2LabourHrsReqPVolBase</f>
        <v>0</v>
      </c>
      <c r="F496" s="276" t="s">
        <v>3911</v>
      </c>
    </row>
    <row r="497" spans="1:6" ht="14.25">
      <c r="A497" s="406"/>
      <c r="B497" s="419"/>
      <c r="D497" s="209" t="s">
        <v>3795</v>
      </c>
      <c r="E497" s="511">
        <f>SUM(E494:E496)</f>
        <v>0</v>
      </c>
      <c r="F497" s="276" t="s">
        <v>3912</v>
      </c>
    </row>
    <row r="498" spans="1:6" ht="14.25">
      <c r="A498" s="406"/>
      <c r="B498" s="419"/>
      <c r="D498" s="328"/>
      <c r="E498" s="499"/>
      <c r="F498" s="276"/>
    </row>
    <row r="499" spans="1:6" ht="14.25">
      <c r="A499" s="406"/>
      <c r="B499" s="419"/>
      <c r="D499" s="209" t="s">
        <v>974</v>
      </c>
      <c r="E499" s="494">
        <f>paramLabourCostPerHr</f>
        <v>5</v>
      </c>
      <c r="F499" s="276" t="s">
        <v>3913</v>
      </c>
    </row>
    <row r="500" spans="1:6" ht="14.25">
      <c r="A500" s="406"/>
      <c r="B500" s="419"/>
      <c r="D500" s="209" t="s">
        <v>3793</v>
      </c>
      <c r="E500" s="500">
        <f>finCalcCh1Prod4Slot2VolSold*finCalcCh1Prod4Slot2LabourHrsReqPVolTot</f>
        <v>0</v>
      </c>
    </row>
    <row r="501" spans="1:6" ht="14.25">
      <c r="A501" s="406"/>
      <c r="B501" s="419"/>
      <c r="D501" s="276" t="s">
        <v>973</v>
      </c>
      <c r="E501" s="220">
        <f>E500*finCalcCh1Prod4Slot2LabourCostPerHour</f>
        <v>0</v>
      </c>
      <c r="F501" s="276" t="s">
        <v>12915</v>
      </c>
    </row>
    <row r="502" spans="1:6" ht="14.25">
      <c r="A502" s="406"/>
      <c r="B502" s="419"/>
      <c r="E502" s="223"/>
    </row>
    <row r="503" spans="1:6" ht="14.25">
      <c r="A503" s="406"/>
      <c r="B503" s="419"/>
      <c r="C503" s="217" t="s">
        <v>513</v>
      </c>
      <c r="E503" s="223"/>
    </row>
    <row r="504" spans="1:6" ht="14.25">
      <c r="A504" s="406"/>
      <c r="B504" s="419"/>
      <c r="C504" s="326"/>
      <c r="D504" s="276" t="s">
        <v>570</v>
      </c>
      <c r="E504" s="491">
        <f>CalcCh1Prod4Slot2ManufacturingCostPUnit</f>
        <v>0</v>
      </c>
      <c r="F504" s="276"/>
    </row>
    <row r="505" spans="1:6" ht="14.25">
      <c r="A505" s="406"/>
      <c r="B505" s="419"/>
      <c r="C505" s="326"/>
      <c r="D505" s="209" t="s">
        <v>514</v>
      </c>
      <c r="E505" s="490">
        <f>E504*finCalcCh1Prod4Slot2VolSold</f>
        <v>0</v>
      </c>
      <c r="F505" s="276" t="s">
        <v>12916</v>
      </c>
    </row>
    <row r="506" spans="1:6" ht="14.25">
      <c r="A506" s="406"/>
      <c r="B506" s="419"/>
      <c r="C506" s="208"/>
    </row>
    <row r="507" spans="1:6" ht="14.25">
      <c r="A507" s="406"/>
      <c r="B507" s="419"/>
      <c r="C507" s="498" t="s">
        <v>398</v>
      </c>
    </row>
    <row r="508" spans="1:6" ht="14.25">
      <c r="A508" s="406"/>
      <c r="B508" s="419"/>
      <c r="C508" s="208" t="s">
        <v>398</v>
      </c>
      <c r="E508" s="223"/>
    </row>
    <row r="509" spans="1:6" ht="14.25">
      <c r="A509" s="406"/>
      <c r="B509" s="419"/>
      <c r="D509" s="209" t="s">
        <v>450</v>
      </c>
      <c r="E509" s="220">
        <f>CalcCh1Prod4Slot2Depreciation</f>
        <v>0</v>
      </c>
      <c r="F509" s="276" t="s">
        <v>1888</v>
      </c>
    </row>
    <row r="510" spans="1:6" ht="14.25">
      <c r="A510" s="406"/>
      <c r="B510" s="419"/>
    </row>
    <row r="511" spans="1:6" ht="14.25">
      <c r="A511" s="406"/>
      <c r="B511" s="419"/>
      <c r="C511" s="217" t="s">
        <v>13066</v>
      </c>
    </row>
    <row r="512" spans="1:6" ht="14.25">
      <c r="A512" s="406"/>
      <c r="B512" s="419"/>
      <c r="D512" s="209" t="s">
        <v>400</v>
      </c>
      <c r="E512" s="495">
        <f>finCalcCh1Prod4Slot2MatExpPUnitTot</f>
        <v>0</v>
      </c>
    </row>
    <row r="513" spans="1:6" ht="14.25">
      <c r="A513" s="406"/>
      <c r="B513" s="419"/>
      <c r="D513" s="209" t="s">
        <v>399</v>
      </c>
      <c r="E513" s="495">
        <f>finCalcCh1Prod4Slot2LabourCostPerHour*finCalcCh1Prod4Slot2LabourHrsReqPVolTot</f>
        <v>0</v>
      </c>
    </row>
    <row r="514" spans="1:6" ht="14.25">
      <c r="A514" s="406"/>
      <c r="B514" s="419"/>
      <c r="D514" s="209" t="s">
        <v>513</v>
      </c>
      <c r="E514" s="495">
        <f>E504</f>
        <v>0</v>
      </c>
    </row>
    <row r="515" spans="1:6" ht="14.25">
      <c r="A515" s="406"/>
      <c r="B515" s="419"/>
      <c r="D515" s="209" t="s">
        <v>398</v>
      </c>
      <c r="E515" s="496">
        <f>CalcCh1Prod4Slot2DepreciationPUnit</f>
        <v>0</v>
      </c>
    </row>
    <row r="516" spans="1:6" ht="14.25">
      <c r="A516" s="406"/>
      <c r="B516" s="419"/>
      <c r="C516" s="208" t="s">
        <v>397</v>
      </c>
      <c r="E516" s="490">
        <f>SUM(E512:E515)</f>
        <v>0</v>
      </c>
      <c r="F516" s="276" t="s">
        <v>1889</v>
      </c>
    </row>
    <row r="517" spans="1:6" ht="14.25">
      <c r="A517" s="406"/>
      <c r="B517" s="419"/>
    </row>
    <row r="518" spans="1:6" ht="14.25">
      <c r="A518" s="406"/>
      <c r="B518" s="419"/>
      <c r="C518" s="217" t="s">
        <v>519</v>
      </c>
    </row>
    <row r="519" spans="1:6" ht="14.25">
      <c r="A519" s="406"/>
      <c r="B519" s="419"/>
      <c r="D519" s="328" t="s">
        <v>1286</v>
      </c>
      <c r="E519" s="492">
        <f>VLOOKUP(decCh1Prod4Slot2Pack,dataPackLogisticsCost,2,FALSE)</f>
        <v>0</v>
      </c>
      <c r="F519" s="276" t="s">
        <v>2929</v>
      </c>
    </row>
    <row r="520" spans="1:6" ht="14.25">
      <c r="A520" s="406"/>
      <c r="B520" s="419"/>
      <c r="D520" s="328" t="s">
        <v>960</v>
      </c>
      <c r="E520" s="501">
        <f>VLOOKUP(finCalcCh1Prod4Slot2ForcastAcc,dataForecastImpactLogisticsCost,2,TRUE)*finCalcCh1Prod4Slot2LogExpPerUnit</f>
        <v>0</v>
      </c>
      <c r="F520" s="276" t="s">
        <v>3914</v>
      </c>
    </row>
    <row r="521" spans="1:6" ht="14.25">
      <c r="A521" s="406"/>
      <c r="B521" s="419"/>
      <c r="D521" s="328" t="s">
        <v>14030</v>
      </c>
      <c r="E521" s="497">
        <f>finCalcCh1Prod4Slot2LogExpPerUnit*paramProd4LogExpSI</f>
        <v>0</v>
      </c>
      <c r="F521" s="276" t="s">
        <v>3915</v>
      </c>
    </row>
    <row r="522" spans="1:6" ht="14.25">
      <c r="A522" s="406"/>
      <c r="B522" s="419"/>
      <c r="D522" s="276" t="s">
        <v>1692</v>
      </c>
      <c r="E522" s="327">
        <f>SUM(E519:E521)</f>
        <v>0</v>
      </c>
      <c r="F522" s="276" t="s">
        <v>12917</v>
      </c>
    </row>
    <row r="523" spans="1:6" ht="14.25">
      <c r="A523" s="406"/>
      <c r="B523" s="419"/>
      <c r="D523" s="276" t="s">
        <v>1284</v>
      </c>
      <c r="E523" s="490">
        <f>finCalcCh1Prod4Slot2LogExpAdjPUnit*finCalcCh1Prod4Slot2VolSold</f>
        <v>0</v>
      </c>
      <c r="F523" s="276" t="s">
        <v>1890</v>
      </c>
    </row>
    <row r="524" spans="1:6" ht="14.25">
      <c r="A524" s="406"/>
      <c r="B524" s="419"/>
      <c r="D524" s="276"/>
      <c r="E524" s="276"/>
      <c r="F524" s="276"/>
    </row>
    <row r="525" spans="1:6" s="322" customFormat="1" ht="13.15" customHeight="1">
      <c r="A525" s="407"/>
      <c r="B525" s="405"/>
      <c r="C525" s="447"/>
      <c r="D525" s="447" t="s">
        <v>3860</v>
      </c>
      <c r="E525" s="863"/>
      <c r="F525" s="408"/>
    </row>
    <row r="526" spans="1:6" s="322" customFormat="1" ht="13.15" customHeight="1">
      <c r="A526" s="407"/>
      <c r="B526" s="405"/>
      <c r="C526" s="323"/>
      <c r="D526" s="323"/>
      <c r="E526" s="324"/>
    </row>
    <row r="527" spans="1:6" ht="14.25">
      <c r="A527" s="406"/>
      <c r="B527" s="419"/>
      <c r="C527" s="217" t="s">
        <v>295</v>
      </c>
    </row>
    <row r="528" spans="1:6" ht="14.25">
      <c r="A528" s="406"/>
      <c r="B528" s="419"/>
      <c r="D528" s="276" t="s">
        <v>577</v>
      </c>
      <c r="E528" s="491">
        <f>IF(calcCh1Prod4Slot3Active=1,IF(xxSim0Tool1=1,calcCh1Prod4Slot3VolForecastSlot,MMCh1Prod4Seg1Slot3UnitsSold+MMCh1Prod4Seg2Slot3UnitsSold+MMCh1Prod4Seg3Slot3UnitsSold+MMCh1Prod4Seg4Slot3UnitsSold),0)</f>
        <v>0</v>
      </c>
      <c r="F528" s="276" t="s">
        <v>1873</v>
      </c>
    </row>
    <row r="529" spans="1:6" ht="14.25">
      <c r="A529" s="406"/>
      <c r="B529" s="419"/>
      <c r="D529" s="276" t="s">
        <v>1762</v>
      </c>
      <c r="E529" s="399">
        <f>IF(VLOOKUP(decCh1Prod4Slot3Pack,dataPackSize,2,FALSE)=0,0,finCalcCh1Prod4Slot3VolSold/VLOOKUP(decCh1Prod4Slot3Pack,dataPackSize,2,FALSE))</f>
        <v>0</v>
      </c>
      <c r="F529" s="276" t="s">
        <v>1874</v>
      </c>
    </row>
    <row r="530" spans="1:6" ht="14.25">
      <c r="A530" s="406"/>
      <c r="B530" s="419"/>
      <c r="D530" s="276" t="s">
        <v>966</v>
      </c>
      <c r="E530" s="654">
        <f>IF(calcCh1Prod4Slot3VolForecastSlot=0,100%,finCalcCh1Prod4Slot3VolSold/calcCh1Prod4Slot3VolForecastSlot)</f>
        <v>1</v>
      </c>
      <c r="F530" s="276" t="s">
        <v>1875</v>
      </c>
    </row>
    <row r="531" spans="1:6" ht="14.25">
      <c r="A531" s="406"/>
      <c r="B531" s="419"/>
      <c r="E531" s="489"/>
    </row>
    <row r="532" spans="1:6" ht="14.25">
      <c r="A532" s="406"/>
      <c r="B532" s="419"/>
      <c r="C532" s="217" t="s">
        <v>3789</v>
      </c>
      <c r="E532" s="489"/>
    </row>
    <row r="533" spans="1:6" ht="14.25">
      <c r="A533" s="406"/>
      <c r="B533" s="419"/>
      <c r="C533" s="217" t="s">
        <v>400</v>
      </c>
    </row>
    <row r="534" spans="1:6" ht="14.25">
      <c r="A534" s="406"/>
      <c r="B534" s="419"/>
      <c r="D534" s="255" t="s">
        <v>526</v>
      </c>
      <c r="E534" s="492">
        <f>VLOOKUP(decCh1Prod4Slot3Pack,dataPackMaterialExp,2,FALSE)</f>
        <v>0</v>
      </c>
      <c r="F534" s="276" t="s">
        <v>3916</v>
      </c>
    </row>
    <row r="535" spans="1:6" ht="14.25">
      <c r="A535" s="406"/>
      <c r="B535" s="419"/>
      <c r="D535" s="328" t="s">
        <v>960</v>
      </c>
      <c r="E535" s="502">
        <f>VLOOKUP(finCalcCh1Prod4Slot3ForcastAcc,dataForecastImpactMatCost,2,TRUE)*E534</f>
        <v>0</v>
      </c>
      <c r="F535" s="276" t="s">
        <v>3917</v>
      </c>
    </row>
    <row r="536" spans="1:6" ht="14.25">
      <c r="A536" s="406"/>
      <c r="B536" s="419"/>
      <c r="D536" s="328" t="s">
        <v>14030</v>
      </c>
      <c r="E536" s="493">
        <f>paramProd4MatExpSI*finCalcCh1Prod4Slot3MatExpPerUnitBase</f>
        <v>0</v>
      </c>
      <c r="F536" s="276" t="s">
        <v>3918</v>
      </c>
    </row>
    <row r="537" spans="1:6" ht="14.25">
      <c r="A537" s="406"/>
      <c r="B537" s="419"/>
      <c r="D537" s="209" t="s">
        <v>518</v>
      </c>
      <c r="E537" s="327">
        <f>SUM(E534:E536)</f>
        <v>0</v>
      </c>
      <c r="F537" s="276" t="s">
        <v>3919</v>
      </c>
    </row>
    <row r="538" spans="1:6" ht="14.25">
      <c r="A538" s="406"/>
      <c r="B538" s="419"/>
      <c r="D538" s="209" t="s">
        <v>401</v>
      </c>
      <c r="E538" s="220">
        <f>finCalcCh1Prod4Slot3MatExpPUnitTot*finCalcCh1Prod4Slot3VolSold</f>
        <v>0</v>
      </c>
      <c r="F538" s="276" t="s">
        <v>12918</v>
      </c>
    </row>
    <row r="539" spans="1:6" ht="14.25">
      <c r="A539" s="406"/>
      <c r="B539" s="419"/>
      <c r="C539" s="208"/>
      <c r="F539" s="276"/>
    </row>
    <row r="540" spans="1:6" ht="14.25">
      <c r="A540" s="406"/>
      <c r="B540" s="419"/>
      <c r="C540" s="217" t="s">
        <v>399</v>
      </c>
      <c r="E540" s="224"/>
    </row>
    <row r="541" spans="1:6" ht="14.25">
      <c r="A541" s="406"/>
      <c r="B541" s="419"/>
      <c r="D541" s="328" t="s">
        <v>969</v>
      </c>
      <c r="E541" s="510">
        <f>VLOOKUP(decCh1Prod4Slot3Pack,dataPackLabourHrs,2,FALSE)</f>
        <v>0</v>
      </c>
      <c r="F541" s="276" t="s">
        <v>3920</v>
      </c>
    </row>
    <row r="542" spans="1:6" ht="14.25">
      <c r="A542" s="406"/>
      <c r="B542" s="419"/>
      <c r="D542" s="328" t="s">
        <v>960</v>
      </c>
      <c r="E542" s="510">
        <f>VLOOKUP(finCalcCh1Prod4Slot3ForcastAcc,dataForecastImpactLabCost,2,TRUE)*finCalcCh1Prod4Slot3LabourHrsReqPVolBase</f>
        <v>0</v>
      </c>
      <c r="F542" s="276" t="s">
        <v>3921</v>
      </c>
    </row>
    <row r="543" spans="1:6" ht="14.25">
      <c r="A543" s="406"/>
      <c r="B543" s="419"/>
      <c r="D543" s="328" t="s">
        <v>14030</v>
      </c>
      <c r="E543" s="510">
        <f>paramProd4LabourExpSI*finCalcCh1Prod4Slot3LabourHrsReqPVolBase</f>
        <v>0</v>
      </c>
      <c r="F543" s="276" t="s">
        <v>3922</v>
      </c>
    </row>
    <row r="544" spans="1:6" ht="14.25">
      <c r="A544" s="406"/>
      <c r="B544" s="419"/>
      <c r="D544" s="209" t="s">
        <v>3795</v>
      </c>
      <c r="E544" s="511">
        <f>SUM(E541:E543)</f>
        <v>0</v>
      </c>
      <c r="F544" s="276" t="s">
        <v>3923</v>
      </c>
    </row>
    <row r="545" spans="1:6" ht="14.25">
      <c r="A545" s="406"/>
      <c r="B545" s="419"/>
      <c r="D545" s="328"/>
      <c r="E545" s="499"/>
      <c r="F545" s="276"/>
    </row>
    <row r="546" spans="1:6" ht="14.25">
      <c r="A546" s="406"/>
      <c r="B546" s="419"/>
      <c r="D546" s="209" t="s">
        <v>974</v>
      </c>
      <c r="E546" s="494">
        <f>paramLabourCostPerHr</f>
        <v>5</v>
      </c>
      <c r="F546" s="276" t="s">
        <v>3924</v>
      </c>
    </row>
    <row r="547" spans="1:6" ht="14.25">
      <c r="A547" s="406"/>
      <c r="B547" s="419"/>
      <c r="D547" s="209" t="s">
        <v>3793</v>
      </c>
      <c r="E547" s="500">
        <f>finCalcCh1Prod4Slot3VolSold*finCalcCh1Prod4Slot3LabourHrsReqPVolTot</f>
        <v>0</v>
      </c>
    </row>
    <row r="548" spans="1:6" ht="14.25">
      <c r="A548" s="406"/>
      <c r="B548" s="419"/>
      <c r="D548" s="276" t="s">
        <v>973</v>
      </c>
      <c r="E548" s="220">
        <f>E547*finCalcCh1Prod4Slot3LabourCostPerHour</f>
        <v>0</v>
      </c>
      <c r="F548" s="276" t="s">
        <v>12919</v>
      </c>
    </row>
    <row r="549" spans="1:6" ht="14.25">
      <c r="A549" s="406"/>
      <c r="B549" s="419"/>
      <c r="E549" s="223"/>
    </row>
    <row r="550" spans="1:6" ht="14.25">
      <c r="A550" s="406"/>
      <c r="B550" s="419"/>
      <c r="C550" s="217" t="s">
        <v>513</v>
      </c>
      <c r="E550" s="223"/>
    </row>
    <row r="551" spans="1:6" ht="14.25">
      <c r="A551" s="406"/>
      <c r="B551" s="419"/>
      <c r="C551" s="326"/>
      <c r="D551" s="276" t="s">
        <v>570</v>
      </c>
      <c r="E551" s="491">
        <f>CalcCh1Prod4Slot3ManufacturingCostPUnit</f>
        <v>0</v>
      </c>
      <c r="F551" s="276"/>
    </row>
    <row r="552" spans="1:6" ht="14.25">
      <c r="A552" s="406"/>
      <c r="B552" s="419"/>
      <c r="C552" s="326"/>
      <c r="D552" s="209" t="s">
        <v>514</v>
      </c>
      <c r="E552" s="490">
        <f>E551*finCalcCh1Prod4Slot3VolSold</f>
        <v>0</v>
      </c>
      <c r="F552" s="276" t="s">
        <v>12920</v>
      </c>
    </row>
    <row r="553" spans="1:6" ht="14.25">
      <c r="A553" s="406"/>
      <c r="B553" s="419"/>
      <c r="C553" s="208"/>
    </row>
    <row r="554" spans="1:6" ht="14.25">
      <c r="A554" s="406"/>
      <c r="B554" s="419"/>
      <c r="C554" s="498" t="s">
        <v>398</v>
      </c>
    </row>
    <row r="555" spans="1:6" ht="14.25">
      <c r="A555" s="406"/>
      <c r="B555" s="419"/>
      <c r="C555" s="208" t="s">
        <v>398</v>
      </c>
      <c r="E555" s="223"/>
    </row>
    <row r="556" spans="1:6" ht="14.25">
      <c r="A556" s="406"/>
      <c r="B556" s="419"/>
      <c r="D556" s="209" t="s">
        <v>450</v>
      </c>
      <c r="E556" s="220">
        <f>CalcCh1Prod4Slot3Depreciation</f>
        <v>0</v>
      </c>
      <c r="F556" s="276" t="s">
        <v>1876</v>
      </c>
    </row>
    <row r="557" spans="1:6" ht="14.25">
      <c r="A557" s="406"/>
      <c r="B557" s="419"/>
    </row>
    <row r="558" spans="1:6" ht="14.25">
      <c r="A558" s="406"/>
      <c r="B558" s="419"/>
      <c r="C558" s="217" t="s">
        <v>13066</v>
      </c>
    </row>
    <row r="559" spans="1:6" ht="14.25">
      <c r="A559" s="406"/>
      <c r="B559" s="419"/>
      <c r="D559" s="209" t="s">
        <v>400</v>
      </c>
      <c r="E559" s="495">
        <f>finCalcCh1Prod4Slot3MatExpPUnitTot</f>
        <v>0</v>
      </c>
    </row>
    <row r="560" spans="1:6" ht="14.25">
      <c r="A560" s="406"/>
      <c r="B560" s="419"/>
      <c r="D560" s="209" t="s">
        <v>399</v>
      </c>
      <c r="E560" s="495">
        <f>finCalcCh1Prod4Slot3LabourCostPerHour*finCalcCh1Prod4Slot3LabourHrsReqPVolTot</f>
        <v>0</v>
      </c>
    </row>
    <row r="561" spans="1:6" ht="14.25">
      <c r="A561" s="406"/>
      <c r="B561" s="419"/>
      <c r="D561" s="209" t="s">
        <v>513</v>
      </c>
      <c r="E561" s="495">
        <f>E551</f>
        <v>0</v>
      </c>
    </row>
    <row r="562" spans="1:6" ht="14.25">
      <c r="A562" s="406"/>
      <c r="B562" s="419"/>
      <c r="D562" s="209" t="s">
        <v>398</v>
      </c>
      <c r="E562" s="496">
        <f>CalcCh1Prod4Slot3DepreciationPUnit</f>
        <v>0</v>
      </c>
    </row>
    <row r="563" spans="1:6" ht="14.25">
      <c r="A563" s="406"/>
      <c r="B563" s="419"/>
      <c r="C563" s="208" t="s">
        <v>397</v>
      </c>
      <c r="E563" s="490">
        <f>SUM(E559:E562)</f>
        <v>0</v>
      </c>
      <c r="F563" s="276" t="s">
        <v>1877</v>
      </c>
    </row>
    <row r="564" spans="1:6" ht="14.25">
      <c r="A564" s="406"/>
      <c r="B564" s="419"/>
    </row>
    <row r="565" spans="1:6" ht="14.25">
      <c r="A565" s="406"/>
      <c r="B565" s="419"/>
      <c r="C565" s="217" t="s">
        <v>519</v>
      </c>
    </row>
    <row r="566" spans="1:6" ht="14.25">
      <c r="A566" s="406"/>
      <c r="B566" s="419"/>
      <c r="D566" s="328" t="s">
        <v>1286</v>
      </c>
      <c r="E566" s="492">
        <f>VLOOKUP(decCh1Prod4Slot3Pack,dataPackLogisticsCost,2,FALSE)</f>
        <v>0</v>
      </c>
      <c r="F566" s="276" t="s">
        <v>2930</v>
      </c>
    </row>
    <row r="567" spans="1:6" ht="14.25">
      <c r="A567" s="406"/>
      <c r="B567" s="419"/>
      <c r="D567" s="328" t="s">
        <v>960</v>
      </c>
      <c r="E567" s="501">
        <f>VLOOKUP(finCalcCh1Prod4Slot3ForcastAcc,dataForecastImpactLogisticsCost,2,TRUE)*finCalcCh1Prod4Slot3LogExpPerUnit</f>
        <v>0</v>
      </c>
      <c r="F567" s="276" t="s">
        <v>3925</v>
      </c>
    </row>
    <row r="568" spans="1:6" ht="14.25">
      <c r="A568" s="406"/>
      <c r="B568" s="419"/>
      <c r="D568" s="328" t="s">
        <v>14030</v>
      </c>
      <c r="E568" s="497">
        <f>finCalcCh1Prod4Slot3LogExpPerUnit*paramProd4LogExpSI</f>
        <v>0</v>
      </c>
      <c r="F568" s="276" t="s">
        <v>3926</v>
      </c>
    </row>
    <row r="569" spans="1:6" ht="14.25">
      <c r="A569" s="406"/>
      <c r="B569" s="419"/>
      <c r="D569" s="276" t="s">
        <v>1692</v>
      </c>
      <c r="E569" s="327">
        <f>SUM(E566:E568)</f>
        <v>0</v>
      </c>
      <c r="F569" s="276" t="s">
        <v>12921</v>
      </c>
    </row>
    <row r="570" spans="1:6" ht="14.25">
      <c r="A570" s="406"/>
      <c r="B570" s="419"/>
      <c r="D570" s="276" t="s">
        <v>1284</v>
      </c>
      <c r="E570" s="490">
        <f>finCalcCh1Prod4Slot3LogExpAdjPUnit*finCalcCh1Prod4Slot3VolSold</f>
        <v>0</v>
      </c>
      <c r="F570" s="276" t="s">
        <v>1878</v>
      </c>
    </row>
    <row r="571" spans="1:6" ht="14.25">
      <c r="A571" s="406"/>
      <c r="B571" s="419"/>
      <c r="D571" s="276"/>
      <c r="E571" s="276"/>
      <c r="F571" s="276"/>
    </row>
    <row r="572" spans="1:6" s="322" customFormat="1" ht="24" customHeight="1">
      <c r="A572" s="214"/>
      <c r="B572" s="966" t="s">
        <v>245</v>
      </c>
      <c r="C572" s="221"/>
      <c r="D572" s="221"/>
      <c r="E572" s="967"/>
      <c r="F572" s="214"/>
    </row>
    <row r="573" spans="1:6" s="322" customFormat="1" ht="13.15" customHeight="1">
      <c r="A573" s="214"/>
      <c r="B573" s="221"/>
      <c r="C573" s="968" t="s">
        <v>12868</v>
      </c>
      <c r="D573" s="968"/>
      <c r="E573" s="967"/>
      <c r="F573" s="214"/>
    </row>
    <row r="574" spans="1:6" s="322" customFormat="1" ht="13.15" customHeight="1">
      <c r="A574" s="214"/>
      <c r="B574" s="221"/>
      <c r="C574" s="968"/>
      <c r="D574" s="968" t="s">
        <v>3859</v>
      </c>
      <c r="E574" s="967"/>
      <c r="F574" s="214"/>
    </row>
    <row r="575" spans="1:6" s="322" customFormat="1" ht="13.15" customHeight="1">
      <c r="A575" s="214"/>
      <c r="B575" s="221"/>
      <c r="C575" s="208"/>
      <c r="D575" s="208"/>
      <c r="E575" s="208"/>
      <c r="F575" s="208"/>
    </row>
    <row r="576" spans="1:6" ht="14.25">
      <c r="A576" s="214"/>
      <c r="B576" s="420"/>
      <c r="C576" s="217" t="s">
        <v>295</v>
      </c>
    </row>
    <row r="577" spans="1:6" ht="14.25">
      <c r="A577" s="214"/>
      <c r="B577" s="420"/>
      <c r="D577" s="276" t="s">
        <v>577</v>
      </c>
      <c r="E577" s="491">
        <f>IF(calcCh2Prod1Slot1Active=1,IF(xxSim0Tool1=1,calcCh2Prod1Slot1VolForecastSlot,MMCh2Prod1Seg1Slot1UnitsSold+MMCh2Prod1Seg2Slot1UnitsSold+MMCh2Prod1Seg3Slot1UnitsSold+MMCh2Prod1Seg4Slot1UnitsSold),0)</f>
        <v>21056760</v>
      </c>
      <c r="F577" s="276" t="s">
        <v>1891</v>
      </c>
    </row>
    <row r="578" spans="1:6" ht="14.25">
      <c r="A578" s="214"/>
      <c r="B578" s="420"/>
      <c r="D578" s="276" t="s">
        <v>1762</v>
      </c>
      <c r="E578" s="399">
        <f>IF(VLOOKUP(decCh2Prod1Slot1Pack,dataPackSize,2,FALSE)=0,0,finCalcCh2Prod1Slot1VolSold/VLOOKUP(decCh2Prod1Slot1Pack,dataPackSize,2,FALSE))</f>
        <v>6380836.3636363633</v>
      </c>
      <c r="F578" s="276" t="s">
        <v>1892</v>
      </c>
    </row>
    <row r="579" spans="1:6" ht="14.25">
      <c r="A579" s="214"/>
      <c r="B579" s="420"/>
      <c r="D579" s="276" t="s">
        <v>966</v>
      </c>
      <c r="E579" s="654">
        <f>IF(calcCh2Prod1Slot1VolForecastSlot=0,100%,finCalcCh2Prod1Slot1VolSold/calcCh2Prod1Slot1VolForecastSlot)</f>
        <v>1</v>
      </c>
      <c r="F579" s="276" t="s">
        <v>1893</v>
      </c>
    </row>
    <row r="580" spans="1:6" ht="14.25">
      <c r="A580" s="214"/>
      <c r="B580" s="420"/>
      <c r="E580" s="489"/>
    </row>
    <row r="581" spans="1:6" ht="14.25">
      <c r="A581" s="214"/>
      <c r="B581" s="420"/>
      <c r="C581" s="217" t="s">
        <v>3789</v>
      </c>
      <c r="E581" s="489"/>
    </row>
    <row r="582" spans="1:6" ht="14.25">
      <c r="A582" s="214"/>
      <c r="B582" s="420"/>
      <c r="C582" s="217" t="s">
        <v>400</v>
      </c>
    </row>
    <row r="583" spans="1:6" ht="14.25">
      <c r="A583" s="214"/>
      <c r="B583" s="420"/>
      <c r="D583" s="255" t="s">
        <v>526</v>
      </c>
      <c r="E583" s="492">
        <f>VLOOKUP(decCh2Prod1Slot1Pack,dataPackMaterialExp,2,FALSE)</f>
        <v>1.5209964000000005</v>
      </c>
      <c r="F583" s="276" t="s">
        <v>3927</v>
      </c>
    </row>
    <row r="584" spans="1:6" ht="14.25">
      <c r="A584" s="214"/>
      <c r="B584" s="420"/>
      <c r="D584" s="328" t="s">
        <v>960</v>
      </c>
      <c r="E584" s="502">
        <f>VLOOKUP(finCalcCh2Prod1Slot1ForcastAcc,dataForecastImpactMatCost,2,TRUE)*E583</f>
        <v>0</v>
      </c>
      <c r="F584" s="276" t="s">
        <v>3928</v>
      </c>
    </row>
    <row r="585" spans="1:6" ht="14.25">
      <c r="A585" s="214"/>
      <c r="B585" s="420"/>
      <c r="D585" s="328" t="s">
        <v>14030</v>
      </c>
      <c r="E585" s="493">
        <f>paramProd1MatExpSI*finCalcCh2Prod1Slot1MatExpPerUnitBase</f>
        <v>0</v>
      </c>
      <c r="F585" s="276" t="s">
        <v>3929</v>
      </c>
    </row>
    <row r="586" spans="1:6" ht="14.25">
      <c r="A586" s="214"/>
      <c r="B586" s="420"/>
      <c r="D586" s="209" t="s">
        <v>518</v>
      </c>
      <c r="E586" s="327">
        <f>SUM(E583:E585)</f>
        <v>1.5209964000000005</v>
      </c>
      <c r="F586" s="276" t="s">
        <v>3930</v>
      </c>
    </row>
    <row r="587" spans="1:6" ht="14.25">
      <c r="A587" s="214"/>
      <c r="B587" s="420"/>
      <c r="D587" s="209" t="s">
        <v>401</v>
      </c>
      <c r="E587" s="220">
        <f>finCalcCh2Prod1Slot1MatExpPUnitTot*finCalcCh2Prod1Slot1VolSold</f>
        <v>32027256.155664008</v>
      </c>
      <c r="F587" s="276" t="s">
        <v>12922</v>
      </c>
    </row>
    <row r="588" spans="1:6" ht="14.25">
      <c r="A588" s="214"/>
      <c r="B588" s="420"/>
      <c r="C588" s="208"/>
      <c r="F588" s="276"/>
    </row>
    <row r="589" spans="1:6" ht="14.25">
      <c r="A589" s="214"/>
      <c r="B589" s="420"/>
      <c r="C589" s="217" t="s">
        <v>399</v>
      </c>
      <c r="E589" s="224"/>
    </row>
    <row r="590" spans="1:6" ht="14.25">
      <c r="A590" s="214"/>
      <c r="B590" s="420"/>
      <c r="D590" s="328" t="s">
        <v>969</v>
      </c>
      <c r="E590" s="510">
        <f>VLOOKUP(decCh2Prod1Slot1Pack,dataPackLabourHrs,2,FALSE)</f>
        <v>4.4735188235294127E-2</v>
      </c>
      <c r="F590" s="276" t="s">
        <v>3931</v>
      </c>
    </row>
    <row r="591" spans="1:6" ht="14.25">
      <c r="A591" s="214"/>
      <c r="B591" s="420"/>
      <c r="D591" s="328" t="s">
        <v>960</v>
      </c>
      <c r="E591" s="510">
        <f>VLOOKUP(finCalcCh2Prod1Slot1ForcastAcc,dataForecastImpactLabCost,2,TRUE)*finCalcCh2Prod1Slot1LabourHrsReqPVolBase</f>
        <v>0</v>
      </c>
      <c r="F591" s="276" t="s">
        <v>3932</v>
      </c>
    </row>
    <row r="592" spans="1:6" ht="14.25">
      <c r="A592" s="214"/>
      <c r="B592" s="420"/>
      <c r="D592" s="328" t="s">
        <v>14030</v>
      </c>
      <c r="E592" s="510">
        <f>paramProd1LabourExpSI*finCalcCh2Prod1Slot1LabourHrsReqPVolBase</f>
        <v>0</v>
      </c>
      <c r="F592" s="276" t="s">
        <v>3933</v>
      </c>
    </row>
    <row r="593" spans="1:6" ht="14.25">
      <c r="A593" s="214"/>
      <c r="B593" s="420"/>
      <c r="D593" s="209" t="s">
        <v>3795</v>
      </c>
      <c r="E593" s="511">
        <f>SUM(E590:E592)</f>
        <v>4.4735188235294127E-2</v>
      </c>
      <c r="F593" s="276" t="s">
        <v>3934</v>
      </c>
    </row>
    <row r="594" spans="1:6" ht="14.25">
      <c r="A594" s="214"/>
      <c r="B594" s="420"/>
      <c r="D594" s="328"/>
      <c r="E594" s="499"/>
      <c r="F594" s="276"/>
    </row>
    <row r="595" spans="1:6" ht="14.25">
      <c r="A595" s="214"/>
      <c r="B595" s="420"/>
      <c r="D595" s="209" t="s">
        <v>974</v>
      </c>
      <c r="E595" s="494">
        <f>paramLabourCostPerHr</f>
        <v>5</v>
      </c>
      <c r="F595" s="276" t="s">
        <v>3935</v>
      </c>
    </row>
    <row r="596" spans="1:6" ht="14.25">
      <c r="A596" s="214"/>
      <c r="B596" s="420"/>
      <c r="D596" s="209" t="s">
        <v>3793</v>
      </c>
      <c r="E596" s="500">
        <f>finCalcCh2Prod1Slot1VolSold*finCalcCh2Prod1Slot1LabourHrsReqPVolTot</f>
        <v>941978.12222541193</v>
      </c>
    </row>
    <row r="597" spans="1:6" ht="14.25">
      <c r="A597" s="214"/>
      <c r="B597" s="420"/>
      <c r="D597" s="276" t="s">
        <v>973</v>
      </c>
      <c r="E597" s="220">
        <f>E596*finCalcCh2Prod1Slot1LabourCostPerHour</f>
        <v>4709890.6111270599</v>
      </c>
      <c r="F597" s="276" t="s">
        <v>12923</v>
      </c>
    </row>
    <row r="598" spans="1:6" ht="14.25">
      <c r="A598" s="214"/>
      <c r="B598" s="420"/>
      <c r="E598" s="223"/>
    </row>
    <row r="599" spans="1:6" ht="14.25">
      <c r="A599" s="214"/>
      <c r="B599" s="420"/>
      <c r="C599" s="217" t="s">
        <v>513</v>
      </c>
      <c r="E599" s="223"/>
    </row>
    <row r="600" spans="1:6" ht="14.25">
      <c r="A600" s="214"/>
      <c r="B600" s="420"/>
      <c r="C600" s="326"/>
      <c r="D600" s="276" t="s">
        <v>570</v>
      </c>
      <c r="E600" s="491">
        <f>CalcCh2Prod1Slot1ManufacturingCostPUnit</f>
        <v>0.31298400000000004</v>
      </c>
      <c r="F600" s="276"/>
    </row>
    <row r="601" spans="1:6" ht="14.25">
      <c r="A601" s="214"/>
      <c r="B601" s="420"/>
      <c r="C601" s="326"/>
      <c r="D601" s="209" t="s">
        <v>514</v>
      </c>
      <c r="E601" s="490">
        <f>E600*finCalcCh2Prod1Slot1VolSold</f>
        <v>6590428.9718400007</v>
      </c>
      <c r="F601" s="276" t="s">
        <v>12924</v>
      </c>
    </row>
    <row r="602" spans="1:6" ht="14.25">
      <c r="A602" s="214"/>
      <c r="B602" s="420"/>
      <c r="C602" s="208"/>
    </row>
    <row r="603" spans="1:6" ht="14.25">
      <c r="A603" s="214"/>
      <c r="B603" s="420"/>
      <c r="C603" s="498" t="s">
        <v>398</v>
      </c>
    </row>
    <row r="604" spans="1:6" ht="14.25">
      <c r="A604" s="214"/>
      <c r="B604" s="420"/>
      <c r="C604" s="208" t="s">
        <v>398</v>
      </c>
      <c r="E604" s="223"/>
    </row>
    <row r="605" spans="1:6" ht="14.25">
      <c r="A605" s="214"/>
      <c r="B605" s="420"/>
      <c r="D605" s="209" t="s">
        <v>450</v>
      </c>
      <c r="E605" s="220">
        <f>CalcCh2Prod1Slot1Depreciation</f>
        <v>2933140.0364369922</v>
      </c>
      <c r="F605" s="276" t="s">
        <v>1894</v>
      </c>
    </row>
    <row r="606" spans="1:6" ht="14.25">
      <c r="A606" s="214"/>
      <c r="B606" s="420"/>
    </row>
    <row r="607" spans="1:6" ht="14.25">
      <c r="A607" s="214"/>
      <c r="B607" s="420"/>
      <c r="C607" s="217" t="s">
        <v>13066</v>
      </c>
    </row>
    <row r="608" spans="1:6" ht="14.25">
      <c r="A608" s="214"/>
      <c r="B608" s="420"/>
      <c r="D608" s="209" t="s">
        <v>400</v>
      </c>
      <c r="E608" s="495">
        <f>finCalcCh2Prod1Slot1MatExpPUnitTot</f>
        <v>1.5209964000000005</v>
      </c>
    </row>
    <row r="609" spans="1:6" ht="14.25">
      <c r="A609" s="214"/>
      <c r="B609" s="420"/>
      <c r="D609" s="209" t="s">
        <v>399</v>
      </c>
      <c r="E609" s="495">
        <f>finCalcCh2Prod1Slot1LabourCostPerHour*finCalcCh2Prod1Slot1LabourHrsReqPVolTot</f>
        <v>0.22367594117647063</v>
      </c>
    </row>
    <row r="610" spans="1:6" ht="14.25">
      <c r="A610" s="214"/>
      <c r="B610" s="420"/>
      <c r="D610" s="209" t="s">
        <v>513</v>
      </c>
      <c r="E610" s="495">
        <f>E600</f>
        <v>0.31298400000000004</v>
      </c>
    </row>
    <row r="611" spans="1:6" ht="14.25">
      <c r="A611" s="214"/>
      <c r="B611" s="420"/>
      <c r="D611" s="209" t="s">
        <v>398</v>
      </c>
      <c r="E611" s="496">
        <f>CalcCh2Prod1Slot1DepreciationPUnit</f>
        <v>0.1392968356212918</v>
      </c>
    </row>
    <row r="612" spans="1:6" ht="14.25">
      <c r="A612" s="214"/>
      <c r="B612" s="420"/>
      <c r="C612" s="208" t="s">
        <v>397</v>
      </c>
      <c r="E612" s="490">
        <f>SUM(E608:E611)</f>
        <v>2.1969531767977628</v>
      </c>
      <c r="F612" s="276" t="s">
        <v>1895</v>
      </c>
    </row>
    <row r="613" spans="1:6" ht="14.25">
      <c r="A613" s="214"/>
      <c r="B613" s="420"/>
    </row>
    <row r="614" spans="1:6" ht="14.25">
      <c r="A614" s="214"/>
      <c r="B614" s="420"/>
      <c r="C614" s="217" t="s">
        <v>519</v>
      </c>
    </row>
    <row r="615" spans="1:6" ht="14.25">
      <c r="A615" s="214"/>
      <c r="B615" s="420"/>
      <c r="D615" s="328" t="s">
        <v>1286</v>
      </c>
      <c r="E615" s="492">
        <f>VLOOKUP(decCh2Prod1Slot1Pack,dataPackLogisticsCost,2,FALSE)</f>
        <v>0.25844210526315792</v>
      </c>
      <c r="F615" s="276" t="s">
        <v>2931</v>
      </c>
    </row>
    <row r="616" spans="1:6" ht="14.25">
      <c r="A616" s="214"/>
      <c r="B616" s="420"/>
      <c r="D616" s="328" t="s">
        <v>960</v>
      </c>
      <c r="E616" s="501">
        <f>VLOOKUP(finCalcCh2Prod1Slot1ForcastAcc,dataForecastImpactLogisticsCost,2,TRUE)*finCalcCh2Prod1Slot1LogExpPerUnit</f>
        <v>0</v>
      </c>
      <c r="F616" s="276" t="s">
        <v>3936</v>
      </c>
    </row>
    <row r="617" spans="1:6" ht="14.25">
      <c r="A617" s="214"/>
      <c r="B617" s="420"/>
      <c r="D617" s="328" t="s">
        <v>14030</v>
      </c>
      <c r="E617" s="497">
        <f>finCalcCh2Prod1Slot1LogExpPerUnit*paramProd1LogExpSI</f>
        <v>0</v>
      </c>
      <c r="F617" s="276" t="s">
        <v>3937</v>
      </c>
    </row>
    <row r="618" spans="1:6" ht="14.25">
      <c r="A618" s="214"/>
      <c r="B618" s="420"/>
      <c r="D618" s="276" t="s">
        <v>1692</v>
      </c>
      <c r="E618" s="327">
        <f>SUM(E615:E617)</f>
        <v>0.25844210526315792</v>
      </c>
      <c r="F618" s="276" t="s">
        <v>12925</v>
      </c>
    </row>
    <row r="619" spans="1:6" ht="14.25">
      <c r="A619" s="214"/>
      <c r="B619" s="420"/>
      <c r="D619" s="276" t="s">
        <v>1284</v>
      </c>
      <c r="E619" s="490">
        <f>finCalcCh2Prod1Slot1LogExpAdjPUnit*finCalcCh2Prod1Slot1VolSold</f>
        <v>5441953.3844210533</v>
      </c>
      <c r="F619" s="276" t="s">
        <v>1896</v>
      </c>
    </row>
    <row r="620" spans="1:6" ht="14.25">
      <c r="A620" s="214"/>
      <c r="B620" s="420"/>
      <c r="D620" s="276"/>
      <c r="E620" s="276"/>
      <c r="F620" s="276"/>
    </row>
    <row r="621" spans="1:6" s="322" customFormat="1" ht="13.15" customHeight="1">
      <c r="A621" s="214"/>
      <c r="B621" s="221"/>
      <c r="C621" s="968"/>
      <c r="D621" s="968" t="s">
        <v>3858</v>
      </c>
      <c r="E621" s="967"/>
      <c r="F621" s="214"/>
    </row>
    <row r="622" spans="1:6" s="322" customFormat="1" ht="13.15" customHeight="1">
      <c r="A622" s="214"/>
      <c r="B622" s="221"/>
      <c r="C622" s="323"/>
      <c r="D622" s="323"/>
      <c r="E622" s="324"/>
    </row>
    <row r="623" spans="1:6" ht="14.25">
      <c r="A623" s="214"/>
      <c r="B623" s="420"/>
      <c r="C623" s="217" t="s">
        <v>295</v>
      </c>
    </row>
    <row r="624" spans="1:6" ht="14.25">
      <c r="A624" s="214"/>
      <c r="B624" s="420"/>
      <c r="D624" s="276" t="s">
        <v>577</v>
      </c>
      <c r="E624" s="491">
        <f>IF(calcCh2Prod1Slot2Active=1,IF(xxSim0Tool1=1,calcCh2Prod1Slot2VolForecastSlot,MMCh2Prod1Seg1Slot2UnitsSold+MMCh2Prod1Seg2Slot2UnitsSold+MMCh2Prod1Seg3Slot2UnitsSold+MMCh2Prod1Seg4Slot2UnitsSold),0)</f>
        <v>0</v>
      </c>
      <c r="F624" s="276" t="s">
        <v>1897</v>
      </c>
    </row>
    <row r="625" spans="1:6" ht="14.25">
      <c r="A625" s="214"/>
      <c r="B625" s="420"/>
      <c r="D625" s="276" t="s">
        <v>1762</v>
      </c>
      <c r="E625" s="399">
        <f>IF(VLOOKUP(decCh2Prod1Slot2Pack,dataPackSize,2,FALSE)=0,0,finCalcCh2Prod1Slot2VolSold/VLOOKUP(decCh2Prod1Slot2Pack,dataPackSize,2,FALSE))</f>
        <v>0</v>
      </c>
      <c r="F625" s="276" t="s">
        <v>1898</v>
      </c>
    </row>
    <row r="626" spans="1:6" ht="14.25">
      <c r="A626" s="214"/>
      <c r="B626" s="420"/>
      <c r="D626" s="276" t="s">
        <v>966</v>
      </c>
      <c r="E626" s="654">
        <f>IF(calcCh2Prod1Slot2VolForecastSlot=0,100%,finCalcCh2Prod1Slot2VolSold/calcCh2Prod1Slot2VolForecastSlot)</f>
        <v>1</v>
      </c>
      <c r="F626" s="276" t="s">
        <v>1899</v>
      </c>
    </row>
    <row r="627" spans="1:6" ht="14.25">
      <c r="A627" s="214"/>
      <c r="B627" s="420"/>
      <c r="E627" s="489"/>
    </row>
    <row r="628" spans="1:6" ht="14.25">
      <c r="A628" s="214"/>
      <c r="B628" s="420"/>
      <c r="C628" s="217" t="s">
        <v>3789</v>
      </c>
      <c r="E628" s="489"/>
    </row>
    <row r="629" spans="1:6" ht="14.25">
      <c r="A629" s="214"/>
      <c r="B629" s="420"/>
      <c r="C629" s="217" t="s">
        <v>400</v>
      </c>
    </row>
    <row r="630" spans="1:6" ht="14.25">
      <c r="A630" s="214"/>
      <c r="B630" s="420"/>
      <c r="D630" s="255" t="s">
        <v>526</v>
      </c>
      <c r="E630" s="492">
        <f>VLOOKUP(decCh2Prod1Slot2Pack,dataPackMaterialExp,2,FALSE)</f>
        <v>0</v>
      </c>
      <c r="F630" s="276" t="s">
        <v>3938</v>
      </c>
    </row>
    <row r="631" spans="1:6" ht="14.25">
      <c r="A631" s="214"/>
      <c r="B631" s="420"/>
      <c r="D631" s="328" t="s">
        <v>960</v>
      </c>
      <c r="E631" s="502">
        <f>VLOOKUP(finCalcCh2Prod1Slot2ForcastAcc,dataForecastImpactMatCost,2,TRUE)*E630</f>
        <v>0</v>
      </c>
      <c r="F631" s="276" t="s">
        <v>3939</v>
      </c>
    </row>
    <row r="632" spans="1:6" ht="14.25">
      <c r="A632" s="214"/>
      <c r="B632" s="420"/>
      <c r="D632" s="328" t="s">
        <v>14030</v>
      </c>
      <c r="E632" s="493">
        <f>paramProd1MatExpSI*finCalcCh2Prod1Slot2MatExpPerUnitBase</f>
        <v>0</v>
      </c>
      <c r="F632" s="276" t="s">
        <v>3940</v>
      </c>
    </row>
    <row r="633" spans="1:6" ht="14.25">
      <c r="A633" s="214"/>
      <c r="B633" s="420"/>
      <c r="D633" s="209" t="s">
        <v>518</v>
      </c>
      <c r="E633" s="327">
        <f>SUM(E630:E632)</f>
        <v>0</v>
      </c>
      <c r="F633" s="276" t="s">
        <v>3941</v>
      </c>
    </row>
    <row r="634" spans="1:6" ht="14.25">
      <c r="A634" s="214"/>
      <c r="B634" s="420"/>
      <c r="D634" s="209" t="s">
        <v>401</v>
      </c>
      <c r="E634" s="220">
        <f>finCalcCh2Prod1Slot2MatExpPUnitTot*finCalcCh2Prod1Slot2VolSold</f>
        <v>0</v>
      </c>
      <c r="F634" s="276" t="s">
        <v>12926</v>
      </c>
    </row>
    <row r="635" spans="1:6" ht="14.25">
      <c r="A635" s="214"/>
      <c r="B635" s="420"/>
      <c r="C635" s="208"/>
      <c r="F635" s="276"/>
    </row>
    <row r="636" spans="1:6" ht="14.25">
      <c r="A636" s="214"/>
      <c r="B636" s="420"/>
      <c r="C636" s="217" t="s">
        <v>399</v>
      </c>
      <c r="E636" s="224"/>
    </row>
    <row r="637" spans="1:6" ht="14.25">
      <c r="A637" s="214"/>
      <c r="B637" s="420"/>
      <c r="D637" s="328" t="s">
        <v>969</v>
      </c>
      <c r="E637" s="510">
        <f>VLOOKUP(decCh2Prod1Slot2Pack,dataPackLabourHrs,2,FALSE)</f>
        <v>0</v>
      </c>
      <c r="F637" s="276" t="s">
        <v>3942</v>
      </c>
    </row>
    <row r="638" spans="1:6" ht="14.25">
      <c r="A638" s="214"/>
      <c r="B638" s="420"/>
      <c r="D638" s="328" t="s">
        <v>960</v>
      </c>
      <c r="E638" s="510">
        <f>VLOOKUP(finCalcCh2Prod1Slot2ForcastAcc,dataForecastImpactLabCost,2,TRUE)*finCalcCh2Prod1Slot2LabourHrsReqPVolBase</f>
        <v>0</v>
      </c>
      <c r="F638" s="276" t="s">
        <v>3943</v>
      </c>
    </row>
    <row r="639" spans="1:6" ht="14.25">
      <c r="A639" s="214"/>
      <c r="B639" s="420"/>
      <c r="D639" s="328" t="s">
        <v>14030</v>
      </c>
      <c r="E639" s="510">
        <f>paramProd1LabourExpSI*finCalcCh2Prod1Slot2LabourHrsReqPVolBase</f>
        <v>0</v>
      </c>
      <c r="F639" s="276" t="s">
        <v>3944</v>
      </c>
    </row>
    <row r="640" spans="1:6" ht="14.25">
      <c r="A640" s="214"/>
      <c r="B640" s="420"/>
      <c r="D640" s="209" t="s">
        <v>3795</v>
      </c>
      <c r="E640" s="511">
        <f>SUM(E637:E639)</f>
        <v>0</v>
      </c>
      <c r="F640" s="276" t="s">
        <v>3945</v>
      </c>
    </row>
    <row r="641" spans="1:6" ht="14.25">
      <c r="A641" s="214"/>
      <c r="B641" s="420"/>
      <c r="D641" s="328"/>
      <c r="E641" s="499"/>
      <c r="F641" s="276"/>
    </row>
    <row r="642" spans="1:6" ht="14.25">
      <c r="A642" s="214"/>
      <c r="B642" s="420"/>
      <c r="D642" s="209" t="s">
        <v>974</v>
      </c>
      <c r="E642" s="494">
        <f>paramLabourCostPerHr</f>
        <v>5</v>
      </c>
      <c r="F642" s="276" t="s">
        <v>3946</v>
      </c>
    </row>
    <row r="643" spans="1:6" ht="14.25">
      <c r="A643" s="214"/>
      <c r="B643" s="420"/>
      <c r="D643" s="209" t="s">
        <v>3793</v>
      </c>
      <c r="E643" s="500">
        <f>finCalcCh2Prod1Slot2VolSold*finCalcCh2Prod1Slot2LabourHrsReqPVolTot</f>
        <v>0</v>
      </c>
    </row>
    <row r="644" spans="1:6" ht="14.25">
      <c r="A644" s="214"/>
      <c r="B644" s="420"/>
      <c r="D644" s="276" t="s">
        <v>973</v>
      </c>
      <c r="E644" s="220">
        <f>E643*finCalcCh2Prod1Slot2LabourCostPerHour</f>
        <v>0</v>
      </c>
      <c r="F644" s="276" t="s">
        <v>12927</v>
      </c>
    </row>
    <row r="645" spans="1:6" ht="14.25">
      <c r="A645" s="214"/>
      <c r="B645" s="420"/>
      <c r="E645" s="223"/>
    </row>
    <row r="646" spans="1:6" ht="14.25">
      <c r="A646" s="214"/>
      <c r="B646" s="420"/>
      <c r="C646" s="217" t="s">
        <v>513</v>
      </c>
      <c r="E646" s="223"/>
    </row>
    <row r="647" spans="1:6" ht="14.25">
      <c r="A647" s="214"/>
      <c r="B647" s="420"/>
      <c r="C647" s="326"/>
      <c r="D647" s="276" t="s">
        <v>570</v>
      </c>
      <c r="E647" s="491">
        <f>CalcCh2Prod1Slot2ManufacturingCostPUnit</f>
        <v>0</v>
      </c>
      <c r="F647" s="276"/>
    </row>
    <row r="648" spans="1:6" ht="14.25">
      <c r="A648" s="214"/>
      <c r="B648" s="420"/>
      <c r="C648" s="326"/>
      <c r="D648" s="209" t="s">
        <v>514</v>
      </c>
      <c r="E648" s="490">
        <f>E647*finCalcCh2Prod1Slot2VolSold</f>
        <v>0</v>
      </c>
      <c r="F648" s="276" t="s">
        <v>12928</v>
      </c>
    </row>
    <row r="649" spans="1:6" ht="14.25">
      <c r="A649" s="214"/>
      <c r="B649" s="420"/>
      <c r="C649" s="208"/>
    </row>
    <row r="650" spans="1:6" ht="14.25">
      <c r="A650" s="214"/>
      <c r="B650" s="420"/>
      <c r="C650" s="498" t="s">
        <v>398</v>
      </c>
    </row>
    <row r="651" spans="1:6" ht="14.25">
      <c r="A651" s="214"/>
      <c r="B651" s="420"/>
      <c r="C651" s="208" t="s">
        <v>398</v>
      </c>
      <c r="E651" s="223"/>
    </row>
    <row r="652" spans="1:6" ht="14.25">
      <c r="A652" s="214"/>
      <c r="B652" s="420"/>
      <c r="D652" s="209" t="s">
        <v>450</v>
      </c>
      <c r="E652" s="220">
        <f>CalcCh2Prod1Slot2Depreciation</f>
        <v>0</v>
      </c>
      <c r="F652" s="276" t="s">
        <v>1900</v>
      </c>
    </row>
    <row r="653" spans="1:6" ht="14.25">
      <c r="A653" s="214"/>
      <c r="B653" s="420"/>
    </row>
    <row r="654" spans="1:6" ht="14.25">
      <c r="A654" s="214"/>
      <c r="B654" s="420"/>
      <c r="C654" s="217" t="s">
        <v>13066</v>
      </c>
    </row>
    <row r="655" spans="1:6" ht="14.25">
      <c r="A655" s="214"/>
      <c r="B655" s="420"/>
      <c r="D655" s="209" t="s">
        <v>400</v>
      </c>
      <c r="E655" s="495">
        <f>finCalcCh2Prod1Slot2MatExpPUnitTot</f>
        <v>0</v>
      </c>
    </row>
    <row r="656" spans="1:6" ht="14.25">
      <c r="A656" s="214"/>
      <c r="B656" s="420"/>
      <c r="D656" s="209" t="s">
        <v>399</v>
      </c>
      <c r="E656" s="495">
        <f>finCalcCh2Prod1Slot2LabourCostPerHour*finCalcCh2Prod1Slot2LabourHrsReqPVolTot</f>
        <v>0</v>
      </c>
    </row>
    <row r="657" spans="1:6" ht="14.25">
      <c r="A657" s="214"/>
      <c r="B657" s="420"/>
      <c r="D657" s="209" t="s">
        <v>513</v>
      </c>
      <c r="E657" s="495">
        <f>E647</f>
        <v>0</v>
      </c>
    </row>
    <row r="658" spans="1:6" ht="14.25">
      <c r="A658" s="214"/>
      <c r="B658" s="420"/>
      <c r="D658" s="209" t="s">
        <v>398</v>
      </c>
      <c r="E658" s="496">
        <f>CalcCh2Prod1Slot2DepreciationPUnit</f>
        <v>0</v>
      </c>
    </row>
    <row r="659" spans="1:6" ht="14.25">
      <c r="A659" s="214"/>
      <c r="B659" s="420"/>
      <c r="C659" s="208" t="s">
        <v>397</v>
      </c>
      <c r="E659" s="490">
        <f>SUM(E655:E658)</f>
        <v>0</v>
      </c>
      <c r="F659" s="276" t="s">
        <v>1901</v>
      </c>
    </row>
    <row r="660" spans="1:6" ht="14.25">
      <c r="A660" s="214"/>
      <c r="B660" s="420"/>
    </row>
    <row r="661" spans="1:6" ht="14.25">
      <c r="A661" s="214"/>
      <c r="B661" s="420"/>
      <c r="C661" s="217" t="s">
        <v>519</v>
      </c>
    </row>
    <row r="662" spans="1:6" ht="14.25">
      <c r="A662" s="214"/>
      <c r="B662" s="420"/>
      <c r="D662" s="328" t="s">
        <v>1286</v>
      </c>
      <c r="E662" s="492">
        <f>VLOOKUP(decCh2Prod1Slot2Pack,dataPackLogisticsCost,2,FALSE)</f>
        <v>0</v>
      </c>
      <c r="F662" s="276" t="s">
        <v>2932</v>
      </c>
    </row>
    <row r="663" spans="1:6" ht="14.25">
      <c r="A663" s="214"/>
      <c r="B663" s="420"/>
      <c r="D663" s="328" t="s">
        <v>960</v>
      </c>
      <c r="E663" s="501">
        <f>VLOOKUP(finCalcCh2Prod1Slot2ForcastAcc,dataForecastImpactLogisticsCost,2,TRUE)*finCalcCh2Prod1Slot2LogExpPerUnit</f>
        <v>0</v>
      </c>
      <c r="F663" s="276" t="s">
        <v>3947</v>
      </c>
    </row>
    <row r="664" spans="1:6" ht="14.25">
      <c r="A664" s="214"/>
      <c r="B664" s="420"/>
      <c r="D664" s="328" t="s">
        <v>14030</v>
      </c>
      <c r="E664" s="497">
        <f>finCalcCh2Prod1Slot2LogExpPerUnit*paramProd1LogExpSI</f>
        <v>0</v>
      </c>
      <c r="F664" s="276" t="s">
        <v>3948</v>
      </c>
    </row>
    <row r="665" spans="1:6" ht="14.25">
      <c r="A665" s="214"/>
      <c r="B665" s="420"/>
      <c r="D665" s="276" t="s">
        <v>1692</v>
      </c>
      <c r="E665" s="327">
        <f>SUM(E662:E664)</f>
        <v>0</v>
      </c>
      <c r="F665" s="276" t="s">
        <v>12929</v>
      </c>
    </row>
    <row r="666" spans="1:6" ht="14.25">
      <c r="A666" s="214"/>
      <c r="B666" s="420"/>
      <c r="D666" s="276" t="s">
        <v>1284</v>
      </c>
      <c r="E666" s="490">
        <f>finCalcCh2Prod1Slot2LogExpAdjPUnit*finCalcCh2Prod1Slot2VolSold</f>
        <v>0</v>
      </c>
      <c r="F666" s="276" t="s">
        <v>1902</v>
      </c>
    </row>
    <row r="667" spans="1:6" ht="14.25">
      <c r="A667" s="214"/>
      <c r="B667" s="420"/>
      <c r="D667" s="276"/>
      <c r="E667" s="276"/>
      <c r="F667" s="276"/>
    </row>
    <row r="668" spans="1:6" s="322" customFormat="1" ht="13.15" customHeight="1">
      <c r="A668" s="214"/>
      <c r="B668" s="221"/>
      <c r="C668" s="968"/>
      <c r="D668" s="968" t="s">
        <v>3860</v>
      </c>
      <c r="E668" s="967"/>
      <c r="F668" s="214"/>
    </row>
    <row r="669" spans="1:6" s="322" customFormat="1" ht="13.15" customHeight="1">
      <c r="A669" s="214"/>
      <c r="B669" s="221"/>
      <c r="C669" s="323"/>
      <c r="D669" s="323"/>
      <c r="E669" s="324"/>
    </row>
    <row r="670" spans="1:6" ht="14.25">
      <c r="A670" s="214"/>
      <c r="B670" s="420"/>
      <c r="C670" s="217" t="s">
        <v>295</v>
      </c>
    </row>
    <row r="671" spans="1:6" ht="14.25">
      <c r="A671" s="214"/>
      <c r="B671" s="420"/>
      <c r="D671" s="276" t="s">
        <v>577</v>
      </c>
      <c r="E671" s="491">
        <f>IF(calcCh2Prod1Slot3Active=1,IF(xxSim0Tool1=1,calcCh2Prod1Slot3VolForecastSlot,MMCh2Prod1Seg1Slot3UnitsSold+MMCh2Prod1Seg2Slot3UnitsSold+MMCh2Prod1Seg3Slot3UnitsSold+MMCh2Prod1Seg4Slot3UnitsSold),0)</f>
        <v>0</v>
      </c>
      <c r="F671" s="276" t="s">
        <v>1903</v>
      </c>
    </row>
    <row r="672" spans="1:6" ht="14.25">
      <c r="A672" s="214"/>
      <c r="B672" s="420"/>
      <c r="D672" s="276" t="s">
        <v>1762</v>
      </c>
      <c r="E672" s="399">
        <f>IF(VLOOKUP(decCh2Prod1Slot3Pack,dataPackSize,2,FALSE)=0,0,finCalcCh2Prod1Slot3VolSold/VLOOKUP(decCh2Prod1Slot3Pack,dataPackSize,2,FALSE))</f>
        <v>0</v>
      </c>
      <c r="F672" s="276" t="s">
        <v>1904</v>
      </c>
    </row>
    <row r="673" spans="1:6" ht="14.25">
      <c r="A673" s="214"/>
      <c r="B673" s="420"/>
      <c r="D673" s="276" t="s">
        <v>966</v>
      </c>
      <c r="E673" s="654">
        <f>IF(calcCh2Prod1Slot3VolForecastSlot=0,100%,finCalcCh2Prod1Slot3VolSold/calcCh2Prod1Slot3VolForecastSlot)</f>
        <v>1</v>
      </c>
      <c r="F673" s="276" t="s">
        <v>1905</v>
      </c>
    </row>
    <row r="674" spans="1:6" ht="14.25">
      <c r="A674" s="214"/>
      <c r="B674" s="420"/>
      <c r="E674" s="489"/>
    </row>
    <row r="675" spans="1:6" ht="14.25">
      <c r="A675" s="214"/>
      <c r="B675" s="420"/>
      <c r="C675" s="217" t="s">
        <v>3789</v>
      </c>
      <c r="E675" s="489"/>
    </row>
    <row r="676" spans="1:6" ht="14.25">
      <c r="A676" s="214"/>
      <c r="B676" s="420"/>
      <c r="C676" s="217" t="s">
        <v>400</v>
      </c>
    </row>
    <row r="677" spans="1:6" ht="14.25">
      <c r="A677" s="214"/>
      <c r="B677" s="420"/>
      <c r="D677" s="255" t="s">
        <v>526</v>
      </c>
      <c r="E677" s="492">
        <f>VLOOKUP(decCh2Prod1Slot3Pack,dataPackMaterialExp,2,FALSE)</f>
        <v>0</v>
      </c>
      <c r="F677" s="276" t="s">
        <v>3949</v>
      </c>
    </row>
    <row r="678" spans="1:6" ht="14.25">
      <c r="A678" s="214"/>
      <c r="B678" s="420"/>
      <c r="D678" s="328" t="s">
        <v>960</v>
      </c>
      <c r="E678" s="502">
        <f>VLOOKUP(finCalcCh2Prod1Slot3ForcastAcc,dataForecastImpactMatCost,2,TRUE)*E677</f>
        <v>0</v>
      </c>
      <c r="F678" s="276" t="s">
        <v>3950</v>
      </c>
    </row>
    <row r="679" spans="1:6" ht="14.25">
      <c r="A679" s="214"/>
      <c r="B679" s="420"/>
      <c r="D679" s="328" t="s">
        <v>14030</v>
      </c>
      <c r="E679" s="493">
        <f>paramProd1MatExpSI*finCalcCh2Prod1Slot3MatExpPerUnitBase</f>
        <v>0</v>
      </c>
      <c r="F679" s="276" t="s">
        <v>3951</v>
      </c>
    </row>
    <row r="680" spans="1:6" ht="14.25">
      <c r="A680" s="214"/>
      <c r="B680" s="420"/>
      <c r="D680" s="209" t="s">
        <v>518</v>
      </c>
      <c r="E680" s="327">
        <f>SUM(E677:E679)</f>
        <v>0</v>
      </c>
      <c r="F680" s="276" t="s">
        <v>3952</v>
      </c>
    </row>
    <row r="681" spans="1:6" ht="14.25">
      <c r="A681" s="214"/>
      <c r="B681" s="420"/>
      <c r="D681" s="209" t="s">
        <v>401</v>
      </c>
      <c r="E681" s="220">
        <f>finCalcCh2Prod1Slot3MatExpPUnitTot*finCalcCh2Prod1Slot3VolSold</f>
        <v>0</v>
      </c>
      <c r="F681" s="276" t="s">
        <v>12930</v>
      </c>
    </row>
    <row r="682" spans="1:6" ht="14.25">
      <c r="A682" s="214"/>
      <c r="B682" s="420"/>
      <c r="C682" s="208"/>
      <c r="F682" s="276"/>
    </row>
    <row r="683" spans="1:6" ht="14.25">
      <c r="A683" s="214"/>
      <c r="B683" s="420"/>
      <c r="C683" s="217" t="s">
        <v>399</v>
      </c>
      <c r="E683" s="224"/>
    </row>
    <row r="684" spans="1:6" ht="14.25">
      <c r="A684" s="214"/>
      <c r="B684" s="420"/>
      <c r="D684" s="328" t="s">
        <v>969</v>
      </c>
      <c r="E684" s="510">
        <f>VLOOKUP(decCh2Prod1Slot3Pack,dataPackLabourHrs,2,FALSE)</f>
        <v>0</v>
      </c>
      <c r="F684" s="276" t="s">
        <v>3953</v>
      </c>
    </row>
    <row r="685" spans="1:6" ht="14.25">
      <c r="A685" s="214"/>
      <c r="B685" s="420"/>
      <c r="D685" s="328" t="s">
        <v>960</v>
      </c>
      <c r="E685" s="510">
        <f>VLOOKUP(finCalcCh2Prod1Slot3ForcastAcc,dataForecastImpactLabCost,2,TRUE)*finCalcCh2Prod1Slot3LabourHrsReqPVolBase</f>
        <v>0</v>
      </c>
      <c r="F685" s="276" t="s">
        <v>3954</v>
      </c>
    </row>
    <row r="686" spans="1:6" ht="14.25">
      <c r="A686" s="214"/>
      <c r="B686" s="420"/>
      <c r="D686" s="328" t="s">
        <v>14030</v>
      </c>
      <c r="E686" s="510">
        <f>paramProd1LabourExpSI*finCalcCh2Prod1Slot3LabourHrsReqPVolBase</f>
        <v>0</v>
      </c>
      <c r="F686" s="276" t="s">
        <v>3955</v>
      </c>
    </row>
    <row r="687" spans="1:6" ht="14.25">
      <c r="A687" s="214"/>
      <c r="B687" s="420"/>
      <c r="D687" s="209" t="s">
        <v>3795</v>
      </c>
      <c r="E687" s="511">
        <f>SUM(E684:E686)</f>
        <v>0</v>
      </c>
      <c r="F687" s="276" t="s">
        <v>3956</v>
      </c>
    </row>
    <row r="688" spans="1:6" ht="14.25">
      <c r="A688" s="214"/>
      <c r="B688" s="420"/>
      <c r="D688" s="328"/>
      <c r="E688" s="499"/>
      <c r="F688" s="276"/>
    </row>
    <row r="689" spans="1:6" ht="14.25">
      <c r="A689" s="214"/>
      <c r="B689" s="420"/>
      <c r="D689" s="209" t="s">
        <v>974</v>
      </c>
      <c r="E689" s="494">
        <f>paramLabourCostPerHr</f>
        <v>5</v>
      </c>
      <c r="F689" s="276" t="s">
        <v>3957</v>
      </c>
    </row>
    <row r="690" spans="1:6" ht="14.25">
      <c r="A690" s="214"/>
      <c r="B690" s="420"/>
      <c r="D690" s="209" t="s">
        <v>3793</v>
      </c>
      <c r="E690" s="500">
        <f>finCalcCh2Prod1Slot3VolSold*finCalcCh2Prod1Slot3LabourHrsReqPVolTot</f>
        <v>0</v>
      </c>
    </row>
    <row r="691" spans="1:6" ht="14.25">
      <c r="A691" s="214"/>
      <c r="B691" s="420"/>
      <c r="D691" s="276" t="s">
        <v>973</v>
      </c>
      <c r="E691" s="220">
        <f>E690*finCalcCh2Prod1Slot3LabourCostPerHour</f>
        <v>0</v>
      </c>
      <c r="F691" s="276" t="s">
        <v>12931</v>
      </c>
    </row>
    <row r="692" spans="1:6" ht="14.25">
      <c r="A692" s="214"/>
      <c r="B692" s="420"/>
      <c r="E692" s="223"/>
    </row>
    <row r="693" spans="1:6" ht="14.25">
      <c r="A693" s="214"/>
      <c r="B693" s="420"/>
      <c r="C693" s="217" t="s">
        <v>513</v>
      </c>
      <c r="E693" s="223"/>
    </row>
    <row r="694" spans="1:6" ht="14.25">
      <c r="A694" s="214"/>
      <c r="B694" s="420"/>
      <c r="C694" s="326"/>
      <c r="D694" s="276" t="s">
        <v>570</v>
      </c>
      <c r="E694" s="491">
        <f>CalcCh2Prod1Slot3ManufacturingCostPUnit</f>
        <v>0</v>
      </c>
      <c r="F694" s="276"/>
    </row>
    <row r="695" spans="1:6" ht="14.25">
      <c r="A695" s="214"/>
      <c r="B695" s="420"/>
      <c r="C695" s="326"/>
      <c r="D695" s="209" t="s">
        <v>514</v>
      </c>
      <c r="E695" s="490">
        <f>E694*finCalcCh2Prod1Slot3VolSold</f>
        <v>0</v>
      </c>
      <c r="F695" s="276" t="s">
        <v>12932</v>
      </c>
    </row>
    <row r="696" spans="1:6" ht="14.25">
      <c r="A696" s="214"/>
      <c r="B696" s="420"/>
      <c r="C696" s="208"/>
    </row>
    <row r="697" spans="1:6" ht="14.25">
      <c r="A697" s="214"/>
      <c r="B697" s="420"/>
      <c r="C697" s="498" t="s">
        <v>398</v>
      </c>
    </row>
    <row r="698" spans="1:6" ht="14.25">
      <c r="A698" s="214"/>
      <c r="B698" s="420"/>
      <c r="C698" s="208" t="s">
        <v>398</v>
      </c>
      <c r="E698" s="223"/>
    </row>
    <row r="699" spans="1:6" ht="14.25">
      <c r="A699" s="214"/>
      <c r="B699" s="420"/>
      <c r="D699" s="209" t="s">
        <v>450</v>
      </c>
      <c r="E699" s="220">
        <f>CalcCh2Prod1Slot3Depreciation</f>
        <v>0</v>
      </c>
      <c r="F699" s="276" t="s">
        <v>1906</v>
      </c>
    </row>
    <row r="700" spans="1:6" ht="14.25">
      <c r="A700" s="214"/>
      <c r="B700" s="420"/>
    </row>
    <row r="701" spans="1:6" ht="14.25">
      <c r="A701" s="214"/>
      <c r="B701" s="420"/>
      <c r="C701" s="217" t="s">
        <v>13066</v>
      </c>
    </row>
    <row r="702" spans="1:6" ht="14.25">
      <c r="A702" s="214"/>
      <c r="B702" s="420"/>
      <c r="D702" s="209" t="s">
        <v>400</v>
      </c>
      <c r="E702" s="495">
        <f>finCalcCh2Prod1Slot3MatExpPUnitTot</f>
        <v>0</v>
      </c>
    </row>
    <row r="703" spans="1:6" ht="14.25">
      <c r="A703" s="214"/>
      <c r="B703" s="420"/>
      <c r="D703" s="209" t="s">
        <v>399</v>
      </c>
      <c r="E703" s="495">
        <f>finCalcCh2Prod1Slot3LabourCostPerHour*finCalcCh2Prod1Slot3LabourHrsReqPVolTot</f>
        <v>0</v>
      </c>
    </row>
    <row r="704" spans="1:6" ht="14.25">
      <c r="A704" s="214"/>
      <c r="B704" s="420"/>
      <c r="D704" s="209" t="s">
        <v>513</v>
      </c>
      <c r="E704" s="495">
        <f>E694</f>
        <v>0</v>
      </c>
    </row>
    <row r="705" spans="1:6" ht="14.25">
      <c r="A705" s="214"/>
      <c r="B705" s="420"/>
      <c r="D705" s="209" t="s">
        <v>398</v>
      </c>
      <c r="E705" s="496">
        <f>CalcCh2Prod1Slot3DepreciationPUnit</f>
        <v>0</v>
      </c>
    </row>
    <row r="706" spans="1:6" ht="14.25">
      <c r="A706" s="214"/>
      <c r="B706" s="420"/>
      <c r="C706" s="208" t="s">
        <v>397</v>
      </c>
      <c r="E706" s="490">
        <f>SUM(E702:E705)</f>
        <v>0</v>
      </c>
      <c r="F706" s="276" t="s">
        <v>1907</v>
      </c>
    </row>
    <row r="707" spans="1:6" ht="14.25">
      <c r="A707" s="214"/>
      <c r="B707" s="420"/>
    </row>
    <row r="708" spans="1:6" ht="14.25">
      <c r="A708" s="214"/>
      <c r="B708" s="420"/>
      <c r="C708" s="217" t="s">
        <v>519</v>
      </c>
    </row>
    <row r="709" spans="1:6" ht="14.25">
      <c r="A709" s="214"/>
      <c r="B709" s="420"/>
      <c r="D709" s="328" t="s">
        <v>1286</v>
      </c>
      <c r="E709" s="492">
        <f>VLOOKUP(decCh2Prod1Slot3Pack,dataPackLogisticsCost,2,FALSE)</f>
        <v>0</v>
      </c>
      <c r="F709" s="276" t="s">
        <v>2933</v>
      </c>
    </row>
    <row r="710" spans="1:6" ht="14.25">
      <c r="A710" s="214"/>
      <c r="B710" s="420"/>
      <c r="D710" s="328" t="s">
        <v>960</v>
      </c>
      <c r="E710" s="501">
        <f>VLOOKUP(finCalcCh2Prod1Slot3ForcastAcc,dataForecastImpactLogisticsCost,2,TRUE)*finCalcCh2Prod1Slot3LogExpPerUnit</f>
        <v>0</v>
      </c>
      <c r="F710" s="276" t="s">
        <v>3958</v>
      </c>
    </row>
    <row r="711" spans="1:6" ht="14.25">
      <c r="A711" s="214"/>
      <c r="B711" s="420"/>
      <c r="D711" s="328" t="s">
        <v>14030</v>
      </c>
      <c r="E711" s="497">
        <f>finCalcCh2Prod1Slot3LogExpPerUnit*paramProd1LogExpSI</f>
        <v>0</v>
      </c>
      <c r="F711" s="276" t="s">
        <v>3959</v>
      </c>
    </row>
    <row r="712" spans="1:6" ht="14.25">
      <c r="A712" s="214"/>
      <c r="B712" s="420"/>
      <c r="D712" s="276" t="s">
        <v>1692</v>
      </c>
      <c r="E712" s="327">
        <f>SUM(E709:E711)</f>
        <v>0</v>
      </c>
      <c r="F712" s="276" t="s">
        <v>12933</v>
      </c>
    </row>
    <row r="713" spans="1:6" ht="14.25">
      <c r="A713" s="214"/>
      <c r="B713" s="420"/>
      <c r="D713" s="276" t="s">
        <v>1284</v>
      </c>
      <c r="E713" s="490">
        <f>finCalcCh2Prod1Slot3LogExpAdjPUnit*finCalcCh2Prod1Slot3VolSold</f>
        <v>0</v>
      </c>
      <c r="F713" s="276" t="s">
        <v>1908</v>
      </c>
    </row>
    <row r="714" spans="1:6" ht="14.25">
      <c r="A714" s="214"/>
      <c r="B714" s="420"/>
      <c r="D714" s="276"/>
      <c r="E714" s="276"/>
      <c r="F714" s="276"/>
    </row>
    <row r="715" spans="1:6" s="322" customFormat="1" ht="13.15" customHeight="1">
      <c r="A715" s="214"/>
      <c r="B715" s="221"/>
      <c r="C715" s="968" t="s">
        <v>238</v>
      </c>
      <c r="D715" s="968"/>
      <c r="E715" s="967"/>
      <c r="F715" s="214"/>
    </row>
    <row r="716" spans="1:6" s="322" customFormat="1" ht="13.15" customHeight="1">
      <c r="A716" s="214"/>
      <c r="B716" s="221"/>
      <c r="C716" s="968"/>
      <c r="D716" s="968" t="s">
        <v>3859</v>
      </c>
      <c r="E716" s="967"/>
      <c r="F716" s="214"/>
    </row>
    <row r="717" spans="1:6" s="322" customFormat="1" ht="13.15" customHeight="1">
      <c r="A717" s="214"/>
      <c r="B717" s="221"/>
      <c r="C717" s="323"/>
      <c r="D717" s="323"/>
      <c r="E717" s="324"/>
    </row>
    <row r="718" spans="1:6" ht="14.25">
      <c r="A718" s="214"/>
      <c r="B718" s="420"/>
      <c r="C718" s="217" t="s">
        <v>295</v>
      </c>
    </row>
    <row r="719" spans="1:6" ht="14.25">
      <c r="A719" s="214"/>
      <c r="B719" s="420"/>
      <c r="D719" s="276" t="s">
        <v>577</v>
      </c>
      <c r="E719" s="491">
        <f>IF(calcCh2Prod2Slot1Active=1,IF(xxSim0Tool1=1,calcCh2Prod2Slot1VolForecastSlot,MMCh2Prod2Seg1Slot1UnitsSold+MMCh2Prod2Seg2Slot1UnitsSold+MMCh2Prod2Seg3Slot1UnitsSold+MMCh2Prod2Seg4Slot1UnitsSold),0)</f>
        <v>145291643.99999997</v>
      </c>
      <c r="F719" s="276" t="s">
        <v>1909</v>
      </c>
    </row>
    <row r="720" spans="1:6" ht="14.25">
      <c r="A720" s="214"/>
      <c r="B720" s="420"/>
      <c r="D720" s="276" t="s">
        <v>1762</v>
      </c>
      <c r="E720" s="399">
        <f>IF(VLOOKUP(decCh2Prod2Slot1Pack,dataPackSize,2,FALSE)=0,0,finCalcCh2Prod2Slot1VolSold/VLOOKUP(decCh2Prod2Slot1Pack,dataPackSize,2,FALSE))</f>
        <v>18344904.545454543</v>
      </c>
      <c r="F720" s="276" t="s">
        <v>1910</v>
      </c>
    </row>
    <row r="721" spans="1:6" ht="14.25">
      <c r="A721" s="214"/>
      <c r="B721" s="420"/>
      <c r="D721" s="276" t="s">
        <v>966</v>
      </c>
      <c r="E721" s="654">
        <f>IF(calcCh2Prod2Slot1VolForecastSlot=0,100%,finCalcCh2Prod2Slot1VolSold/calcCh2Prod2Slot1VolForecastSlot)</f>
        <v>1</v>
      </c>
      <c r="F721" s="276" t="s">
        <v>1911</v>
      </c>
    </row>
    <row r="722" spans="1:6" ht="14.25">
      <c r="A722" s="214"/>
      <c r="B722" s="420"/>
      <c r="E722" s="489"/>
    </row>
    <row r="723" spans="1:6" ht="14.25">
      <c r="A723" s="214"/>
      <c r="B723" s="420"/>
      <c r="C723" s="217" t="s">
        <v>3789</v>
      </c>
      <c r="E723" s="489"/>
    </row>
    <row r="724" spans="1:6" ht="14.25">
      <c r="A724" s="214"/>
      <c r="B724" s="420"/>
      <c r="C724" s="217" t="s">
        <v>400</v>
      </c>
    </row>
    <row r="725" spans="1:6" ht="14.25">
      <c r="A725" s="214"/>
      <c r="B725" s="420"/>
      <c r="D725" s="255" t="s">
        <v>526</v>
      </c>
      <c r="E725" s="492">
        <f>VLOOKUP(decCh2Prod2Slot1Pack,dataPackMaterialExp,2,FALSE)</f>
        <v>1.5209964000000005</v>
      </c>
      <c r="F725" s="276" t="s">
        <v>3960</v>
      </c>
    </row>
    <row r="726" spans="1:6" ht="14.25">
      <c r="A726" s="214"/>
      <c r="B726" s="420"/>
      <c r="D726" s="328" t="s">
        <v>960</v>
      </c>
      <c r="E726" s="502">
        <f>VLOOKUP(finCalcCh2Prod2Slot1ForcastAcc,dataForecastImpactMatCost,2,TRUE)*E725</f>
        <v>0</v>
      </c>
      <c r="F726" s="276" t="s">
        <v>3961</v>
      </c>
    </row>
    <row r="727" spans="1:6" ht="14.25">
      <c r="A727" s="214"/>
      <c r="B727" s="420"/>
      <c r="D727" s="328" t="s">
        <v>14030</v>
      </c>
      <c r="E727" s="493">
        <f>paramProd2MatExpSI*finCalcCh2Prod2Slot1MatExpPerUnitBase</f>
        <v>0</v>
      </c>
      <c r="F727" s="276" t="s">
        <v>3962</v>
      </c>
    </row>
    <row r="728" spans="1:6" ht="14.25">
      <c r="A728" s="214"/>
      <c r="B728" s="420"/>
      <c r="D728" s="209" t="s">
        <v>518</v>
      </c>
      <c r="E728" s="327">
        <f>SUM(E725:E727)</f>
        <v>1.5209964000000005</v>
      </c>
      <c r="F728" s="276" t="s">
        <v>3963</v>
      </c>
    </row>
    <row r="729" spans="1:6" ht="14.25">
      <c r="A729" s="214"/>
      <c r="B729" s="420"/>
      <c r="D729" s="209" t="s">
        <v>401</v>
      </c>
      <c r="E729" s="220">
        <f>finCalcCh2Prod2Slot1MatExpPUnitTot*finCalcCh2Prod2Slot1VolSold</f>
        <v>220988067.47408164</v>
      </c>
      <c r="F729" s="276" t="s">
        <v>12934</v>
      </c>
    </row>
    <row r="730" spans="1:6" ht="14.25">
      <c r="A730" s="214"/>
      <c r="B730" s="420"/>
      <c r="C730" s="208"/>
      <c r="F730" s="276"/>
    </row>
    <row r="731" spans="1:6" ht="14.25">
      <c r="A731" s="214"/>
      <c r="B731" s="420"/>
      <c r="C731" s="217" t="s">
        <v>399</v>
      </c>
      <c r="E731" s="224"/>
    </row>
    <row r="732" spans="1:6" ht="14.25">
      <c r="A732" s="214"/>
      <c r="B732" s="420"/>
      <c r="D732" s="328" t="s">
        <v>969</v>
      </c>
      <c r="E732" s="510">
        <f>VLOOKUP(decCh2Prod2Slot1Pack,dataPackLabourHrs,2,FALSE)</f>
        <v>4.4735188235294127E-2</v>
      </c>
      <c r="F732" s="276" t="s">
        <v>3964</v>
      </c>
    </row>
    <row r="733" spans="1:6" ht="14.25">
      <c r="A733" s="214"/>
      <c r="B733" s="420"/>
      <c r="D733" s="328" t="s">
        <v>960</v>
      </c>
      <c r="E733" s="510">
        <f>VLOOKUP(finCalcCh2Prod2Slot1ForcastAcc,dataForecastImpactLabCost,2,TRUE)*finCalcCh2Prod2Slot1LabourHrsReqPVolBase</f>
        <v>0</v>
      </c>
      <c r="F733" s="276" t="s">
        <v>3965</v>
      </c>
    </row>
    <row r="734" spans="1:6" ht="14.25">
      <c r="A734" s="214"/>
      <c r="B734" s="420"/>
      <c r="D734" s="328" t="s">
        <v>14030</v>
      </c>
      <c r="E734" s="510">
        <f>paramProd2LabourExpSI*finCalcCh2Prod2Slot1LabourHrsReqPVolBase</f>
        <v>0</v>
      </c>
      <c r="F734" s="276" t="s">
        <v>3966</v>
      </c>
    </row>
    <row r="735" spans="1:6" ht="14.25">
      <c r="A735" s="214"/>
      <c r="B735" s="420"/>
      <c r="D735" s="209" t="s">
        <v>3795</v>
      </c>
      <c r="E735" s="511">
        <f>SUM(E732:E734)</f>
        <v>4.4735188235294127E-2</v>
      </c>
      <c r="F735" s="276" t="s">
        <v>3967</v>
      </c>
    </row>
    <row r="736" spans="1:6" ht="14.25">
      <c r="A736" s="214"/>
      <c r="B736" s="420"/>
      <c r="D736" s="328"/>
      <c r="E736" s="499"/>
      <c r="F736" s="276"/>
    </row>
    <row r="737" spans="1:6" ht="14.25">
      <c r="A737" s="214"/>
      <c r="B737" s="420"/>
      <c r="D737" s="209" t="s">
        <v>974</v>
      </c>
      <c r="E737" s="494">
        <f>paramLabourCostPerHr</f>
        <v>5</v>
      </c>
      <c r="F737" s="276" t="s">
        <v>3968</v>
      </c>
    </row>
    <row r="738" spans="1:6" ht="14.25">
      <c r="A738" s="214"/>
      <c r="B738" s="420"/>
      <c r="D738" s="209" t="s">
        <v>3793</v>
      </c>
      <c r="E738" s="500">
        <f>finCalcCh2Prod2Slot1VolSold*finCalcCh2Prod2Slot1LabourHrsReqPVolTot</f>
        <v>6499649.0433553411</v>
      </c>
    </row>
    <row r="739" spans="1:6" ht="14.25">
      <c r="A739" s="214"/>
      <c r="B739" s="420"/>
      <c r="D739" s="276" t="s">
        <v>973</v>
      </c>
      <c r="E739" s="220">
        <f>E738*finCalcCh2Prod2Slot1LabourCostPerHour</f>
        <v>32498245.216776706</v>
      </c>
      <c r="F739" s="276" t="s">
        <v>12935</v>
      </c>
    </row>
    <row r="740" spans="1:6" ht="14.25">
      <c r="A740" s="214"/>
      <c r="B740" s="420"/>
      <c r="E740" s="223"/>
    </row>
    <row r="741" spans="1:6" ht="14.25">
      <c r="A741" s="214"/>
      <c r="B741" s="420"/>
      <c r="C741" s="217" t="s">
        <v>513</v>
      </c>
      <c r="E741" s="223"/>
    </row>
    <row r="742" spans="1:6" ht="14.25">
      <c r="A742" s="214"/>
      <c r="B742" s="420"/>
      <c r="C742" s="326"/>
      <c r="D742" s="276" t="s">
        <v>570</v>
      </c>
      <c r="E742" s="491">
        <f>CalcCh2Prod2Slot1ManufacturingCostPUnit</f>
        <v>0.33112800000000003</v>
      </c>
      <c r="F742" s="276"/>
    </row>
    <row r="743" spans="1:6" ht="14.25">
      <c r="A743" s="214"/>
      <c r="B743" s="420"/>
      <c r="C743" s="326"/>
      <c r="D743" s="209" t="s">
        <v>514</v>
      </c>
      <c r="E743" s="490">
        <f>E742*finCalcCh2Prod2Slot1VolSold</f>
        <v>48110131.494431995</v>
      </c>
      <c r="F743" s="276" t="s">
        <v>12936</v>
      </c>
    </row>
    <row r="744" spans="1:6" ht="14.25">
      <c r="A744" s="214"/>
      <c r="B744" s="420"/>
      <c r="C744" s="208"/>
    </row>
    <row r="745" spans="1:6" ht="14.25">
      <c r="A745" s="214"/>
      <c r="B745" s="420"/>
      <c r="C745" s="498" t="s">
        <v>398</v>
      </c>
    </row>
    <row r="746" spans="1:6" ht="14.25">
      <c r="A746" s="214"/>
      <c r="B746" s="420"/>
      <c r="C746" s="208" t="s">
        <v>398</v>
      </c>
      <c r="E746" s="223"/>
    </row>
    <row r="747" spans="1:6" ht="14.25">
      <c r="A747" s="214"/>
      <c r="B747" s="420"/>
      <c r="D747" s="209" t="s">
        <v>450</v>
      </c>
      <c r="E747" s="220">
        <f>CalcCh2Prod2Slot1Depreciation</f>
        <v>21411922.265990037</v>
      </c>
      <c r="F747" s="276" t="s">
        <v>1912</v>
      </c>
    </row>
    <row r="748" spans="1:6" ht="14.25">
      <c r="A748" s="214"/>
      <c r="B748" s="420"/>
    </row>
    <row r="749" spans="1:6" ht="14.25">
      <c r="A749" s="214"/>
      <c r="B749" s="420"/>
      <c r="C749" s="217" t="s">
        <v>13066</v>
      </c>
    </row>
    <row r="750" spans="1:6" ht="14.25">
      <c r="A750" s="214"/>
      <c r="B750" s="420"/>
      <c r="D750" s="209" t="s">
        <v>400</v>
      </c>
      <c r="E750" s="495">
        <f>finCalcCh2Prod2Slot1MatExpPUnitTot</f>
        <v>1.5209964000000005</v>
      </c>
    </row>
    <row r="751" spans="1:6" ht="14.25">
      <c r="A751" s="214"/>
      <c r="B751" s="420"/>
      <c r="D751" s="209" t="s">
        <v>399</v>
      </c>
      <c r="E751" s="495">
        <f>finCalcCh2Prod2Slot1LabourCostPerHour*finCalcCh2Prod2Slot1LabourHrsReqPVolTot</f>
        <v>0.22367594117647063</v>
      </c>
    </row>
    <row r="752" spans="1:6" ht="14.25">
      <c r="A752" s="214"/>
      <c r="B752" s="420"/>
      <c r="D752" s="209" t="s">
        <v>513</v>
      </c>
      <c r="E752" s="495">
        <f>E742</f>
        <v>0.33112800000000003</v>
      </c>
    </row>
    <row r="753" spans="1:6" ht="14.25">
      <c r="A753" s="214"/>
      <c r="B753" s="420"/>
      <c r="D753" s="209" t="s">
        <v>398</v>
      </c>
      <c r="E753" s="496">
        <f>CalcCh2Prod2Slot1DepreciationPUnit</f>
        <v>0.14737201449788842</v>
      </c>
    </row>
    <row r="754" spans="1:6" ht="14.25">
      <c r="A754" s="214"/>
      <c r="B754" s="420"/>
      <c r="C754" s="208" t="s">
        <v>397</v>
      </c>
      <c r="E754" s="490">
        <f>SUM(E750:E753)</f>
        <v>2.2231723556743597</v>
      </c>
      <c r="F754" s="276" t="s">
        <v>1913</v>
      </c>
    </row>
    <row r="755" spans="1:6" ht="14.25">
      <c r="A755" s="214"/>
      <c r="B755" s="420"/>
    </row>
    <row r="756" spans="1:6" ht="14.25">
      <c r="A756" s="214"/>
      <c r="B756" s="420"/>
      <c r="C756" s="217" t="s">
        <v>519</v>
      </c>
    </row>
    <row r="757" spans="1:6" ht="14.25">
      <c r="A757" s="214"/>
      <c r="B757" s="420"/>
      <c r="D757" s="328" t="s">
        <v>1286</v>
      </c>
      <c r="E757" s="492">
        <f>VLOOKUP(decCh2Prod2Slot1Pack,dataPackLogisticsCost,2,FALSE)</f>
        <v>0.25844210526315792</v>
      </c>
      <c r="F757" s="276" t="s">
        <v>2934</v>
      </c>
    </row>
    <row r="758" spans="1:6" ht="14.25">
      <c r="A758" s="214"/>
      <c r="B758" s="420"/>
      <c r="D758" s="328" t="s">
        <v>960</v>
      </c>
      <c r="E758" s="501">
        <f>VLOOKUP(finCalcCh2Prod2Slot1ForcastAcc,dataForecastImpactLogisticsCost,2,TRUE)*finCalcCh2Prod2Slot1LogExpPerUnit</f>
        <v>0</v>
      </c>
      <c r="F758" s="276" t="s">
        <v>3969</v>
      </c>
    </row>
    <row r="759" spans="1:6" ht="14.25">
      <c r="A759" s="214"/>
      <c r="B759" s="420"/>
      <c r="D759" s="328" t="s">
        <v>14030</v>
      </c>
      <c r="E759" s="497">
        <f>finCalcCh2Prod2Slot1LogExpPerUnit*paramProd2LogExpSI</f>
        <v>0</v>
      </c>
      <c r="F759" s="276" t="s">
        <v>3970</v>
      </c>
    </row>
    <row r="760" spans="1:6" ht="14.25">
      <c r="A760" s="214"/>
      <c r="B760" s="420"/>
      <c r="D760" s="276" t="s">
        <v>1692</v>
      </c>
      <c r="E760" s="327">
        <f>SUM(E757:E759)</f>
        <v>0.25844210526315792</v>
      </c>
      <c r="F760" s="276" t="s">
        <v>12937</v>
      </c>
    </row>
    <row r="761" spans="1:6" ht="14.25">
      <c r="A761" s="214"/>
      <c r="B761" s="420"/>
      <c r="D761" s="276" t="s">
        <v>1284</v>
      </c>
      <c r="E761" s="490">
        <f>finCalcCh2Prod2Slot1LogExpAdjPUnit*finCalcCh2Prod2Slot1VolSold</f>
        <v>37549478.352505259</v>
      </c>
      <c r="F761" s="276" t="s">
        <v>1914</v>
      </c>
    </row>
    <row r="762" spans="1:6" ht="14.25">
      <c r="A762" s="214"/>
      <c r="B762" s="420"/>
      <c r="D762" s="276"/>
      <c r="E762" s="276"/>
      <c r="F762" s="276"/>
    </row>
    <row r="763" spans="1:6" s="322" customFormat="1" ht="13.15" customHeight="1">
      <c r="A763" s="214"/>
      <c r="B763" s="221"/>
      <c r="C763" s="968"/>
      <c r="D763" s="968" t="s">
        <v>3858</v>
      </c>
      <c r="E763" s="967"/>
      <c r="F763" s="214"/>
    </row>
    <row r="764" spans="1:6" s="322" customFormat="1" ht="13.15" customHeight="1">
      <c r="A764" s="214"/>
      <c r="B764" s="221"/>
      <c r="C764" s="323"/>
      <c r="D764" s="323"/>
      <c r="E764" s="324"/>
    </row>
    <row r="765" spans="1:6" ht="14.25">
      <c r="A765" s="214"/>
      <c r="B765" s="420"/>
      <c r="C765" s="217" t="s">
        <v>295</v>
      </c>
    </row>
    <row r="766" spans="1:6" ht="14.25">
      <c r="A766" s="214"/>
      <c r="B766" s="420"/>
      <c r="D766" s="276" t="s">
        <v>577</v>
      </c>
      <c r="E766" s="491">
        <f>IF(calcCh2Prod2Slot2Active=1,IF(xxSim0Tool1=1,calcCh2Prod2Slot2VolForecastSlot,MMCh2Prod2Seg1Slot2UnitsSold+MMCh2Prod2Seg2Slot2UnitsSold+MMCh2Prod2Seg3Slot2UnitsSold+MMCh2Prod2Seg4Slot2UnitsSold),0)</f>
        <v>0</v>
      </c>
      <c r="F766" s="276" t="s">
        <v>1915</v>
      </c>
    </row>
    <row r="767" spans="1:6" ht="14.25">
      <c r="A767" s="214"/>
      <c r="B767" s="420"/>
      <c r="D767" s="276" t="s">
        <v>1762</v>
      </c>
      <c r="E767" s="399">
        <f>IF(VLOOKUP(decCh2Prod2Slot2Pack,dataPackSize,2,FALSE)=0,0,finCalcCh2Prod2Slot2VolSold/VLOOKUP(decCh2Prod2Slot2Pack,dataPackSize,2,FALSE))</f>
        <v>0</v>
      </c>
      <c r="F767" s="276" t="s">
        <v>1916</v>
      </c>
    </row>
    <row r="768" spans="1:6" ht="14.25">
      <c r="A768" s="214"/>
      <c r="B768" s="420"/>
      <c r="D768" s="276" t="s">
        <v>966</v>
      </c>
      <c r="E768" s="654">
        <f>IF(calcCh2Prod2Slot2VolForecastSlot=0,100%,finCalcCh2Prod2Slot2VolSold/calcCh2Prod2Slot2VolForecastSlot)</f>
        <v>1</v>
      </c>
      <c r="F768" s="276" t="s">
        <v>1917</v>
      </c>
    </row>
    <row r="769" spans="1:6" ht="14.25">
      <c r="A769" s="214"/>
      <c r="B769" s="420"/>
      <c r="E769" s="489"/>
    </row>
    <row r="770" spans="1:6" ht="14.25">
      <c r="A770" s="214"/>
      <c r="B770" s="420"/>
      <c r="C770" s="217" t="s">
        <v>3789</v>
      </c>
      <c r="E770" s="489"/>
    </row>
    <row r="771" spans="1:6" ht="14.25">
      <c r="A771" s="214"/>
      <c r="B771" s="420"/>
      <c r="C771" s="217" t="s">
        <v>400</v>
      </c>
    </row>
    <row r="772" spans="1:6" ht="14.25">
      <c r="A772" s="214"/>
      <c r="B772" s="420"/>
      <c r="D772" s="255" t="s">
        <v>526</v>
      </c>
      <c r="E772" s="492">
        <f>VLOOKUP(decCh2Prod2Slot2Pack,dataPackMaterialExp,2,FALSE)</f>
        <v>0</v>
      </c>
      <c r="F772" s="276" t="s">
        <v>3971</v>
      </c>
    </row>
    <row r="773" spans="1:6" ht="14.25">
      <c r="A773" s="214"/>
      <c r="B773" s="420"/>
      <c r="D773" s="328" t="s">
        <v>960</v>
      </c>
      <c r="E773" s="502">
        <f>VLOOKUP(finCalcCh2Prod2Slot2ForcastAcc,dataForecastImpactMatCost,2,TRUE)*E772</f>
        <v>0</v>
      </c>
      <c r="F773" s="276" t="s">
        <v>3972</v>
      </c>
    </row>
    <row r="774" spans="1:6" ht="14.25">
      <c r="A774" s="214"/>
      <c r="B774" s="420"/>
      <c r="D774" s="328" t="s">
        <v>14030</v>
      </c>
      <c r="E774" s="493">
        <f>paramProd2MatExpSI*finCalcCh2Prod2Slot2MatExpPerUnitBase</f>
        <v>0</v>
      </c>
      <c r="F774" s="276" t="s">
        <v>3973</v>
      </c>
    </row>
    <row r="775" spans="1:6" ht="14.25">
      <c r="A775" s="214"/>
      <c r="B775" s="420"/>
      <c r="D775" s="209" t="s">
        <v>518</v>
      </c>
      <c r="E775" s="327">
        <f>SUM(E772:E774)</f>
        <v>0</v>
      </c>
      <c r="F775" s="276" t="s">
        <v>3974</v>
      </c>
    </row>
    <row r="776" spans="1:6" ht="14.25">
      <c r="A776" s="214"/>
      <c r="B776" s="420"/>
      <c r="D776" s="209" t="s">
        <v>401</v>
      </c>
      <c r="E776" s="220">
        <f>finCalcCh2Prod2Slot2MatExpPUnitTot*finCalcCh2Prod2Slot2VolSold</f>
        <v>0</v>
      </c>
      <c r="F776" s="276" t="s">
        <v>12938</v>
      </c>
    </row>
    <row r="777" spans="1:6" ht="14.25">
      <c r="A777" s="214"/>
      <c r="B777" s="420"/>
      <c r="C777" s="208"/>
      <c r="F777" s="276"/>
    </row>
    <row r="778" spans="1:6" ht="14.25">
      <c r="A778" s="214"/>
      <c r="B778" s="420"/>
      <c r="C778" s="217" t="s">
        <v>399</v>
      </c>
      <c r="E778" s="224"/>
    </row>
    <row r="779" spans="1:6" ht="14.25">
      <c r="A779" s="214"/>
      <c r="B779" s="420"/>
      <c r="D779" s="328" t="s">
        <v>969</v>
      </c>
      <c r="E779" s="510">
        <f>VLOOKUP(decCh2Prod2Slot2Pack,dataPackLabourHrs,2,FALSE)</f>
        <v>0</v>
      </c>
      <c r="F779" s="276" t="s">
        <v>3975</v>
      </c>
    </row>
    <row r="780" spans="1:6" ht="14.25">
      <c r="A780" s="214"/>
      <c r="B780" s="420"/>
      <c r="D780" s="328" t="s">
        <v>960</v>
      </c>
      <c r="E780" s="510">
        <f>VLOOKUP(finCalcCh2Prod2Slot2ForcastAcc,dataForecastImpactLabCost,2,TRUE)*finCalcCh2Prod2Slot2LabourHrsReqPVolBase</f>
        <v>0</v>
      </c>
      <c r="F780" s="276" t="s">
        <v>3976</v>
      </c>
    </row>
    <row r="781" spans="1:6" ht="14.25">
      <c r="A781" s="214"/>
      <c r="B781" s="420"/>
      <c r="D781" s="328" t="s">
        <v>14030</v>
      </c>
      <c r="E781" s="510">
        <f>paramProd2LabourExpSI*finCalcCh2Prod2Slot2LabourHrsReqPVolBase</f>
        <v>0</v>
      </c>
      <c r="F781" s="276" t="s">
        <v>3977</v>
      </c>
    </row>
    <row r="782" spans="1:6" ht="14.25">
      <c r="A782" s="214"/>
      <c r="B782" s="420"/>
      <c r="D782" s="209" t="s">
        <v>3795</v>
      </c>
      <c r="E782" s="511">
        <f>SUM(E779:E781)</f>
        <v>0</v>
      </c>
      <c r="F782" s="276" t="s">
        <v>3978</v>
      </c>
    </row>
    <row r="783" spans="1:6" ht="14.25">
      <c r="A783" s="214"/>
      <c r="B783" s="420"/>
      <c r="D783" s="328"/>
      <c r="E783" s="499"/>
      <c r="F783" s="276"/>
    </row>
    <row r="784" spans="1:6" ht="14.25">
      <c r="A784" s="214"/>
      <c r="B784" s="420"/>
      <c r="D784" s="209" t="s">
        <v>974</v>
      </c>
      <c r="E784" s="494">
        <f>paramLabourCostPerHr</f>
        <v>5</v>
      </c>
      <c r="F784" s="276" t="s">
        <v>3979</v>
      </c>
    </row>
    <row r="785" spans="1:6" ht="14.25">
      <c r="A785" s="214"/>
      <c r="B785" s="420"/>
      <c r="D785" s="209" t="s">
        <v>3793</v>
      </c>
      <c r="E785" s="500">
        <f>finCalcCh2Prod2Slot2VolSold*finCalcCh2Prod2Slot2LabourHrsReqPVolTot</f>
        <v>0</v>
      </c>
    </row>
    <row r="786" spans="1:6" ht="14.25">
      <c r="A786" s="214"/>
      <c r="B786" s="420"/>
      <c r="D786" s="276" t="s">
        <v>973</v>
      </c>
      <c r="E786" s="220">
        <f>E785*finCalcCh2Prod2Slot2LabourCostPerHour</f>
        <v>0</v>
      </c>
      <c r="F786" s="276" t="s">
        <v>12939</v>
      </c>
    </row>
    <row r="787" spans="1:6" ht="14.25">
      <c r="A787" s="214"/>
      <c r="B787" s="420"/>
      <c r="E787" s="223"/>
    </row>
    <row r="788" spans="1:6" ht="14.25">
      <c r="A788" s="214"/>
      <c r="B788" s="420"/>
      <c r="C788" s="217" t="s">
        <v>513</v>
      </c>
      <c r="E788" s="223"/>
    </row>
    <row r="789" spans="1:6" ht="14.25">
      <c r="A789" s="214"/>
      <c r="B789" s="420"/>
      <c r="C789" s="326"/>
      <c r="D789" s="276" t="s">
        <v>570</v>
      </c>
      <c r="E789" s="491">
        <f>CalcCh2Prod2Slot2ManufacturingCostPUnit</f>
        <v>0</v>
      </c>
      <c r="F789" s="276"/>
    </row>
    <row r="790" spans="1:6" ht="14.25">
      <c r="A790" s="214"/>
      <c r="B790" s="420"/>
      <c r="C790" s="326"/>
      <c r="D790" s="209" t="s">
        <v>514</v>
      </c>
      <c r="E790" s="490">
        <f>E789*finCalcCh2Prod2Slot2VolSold</f>
        <v>0</v>
      </c>
      <c r="F790" s="276" t="s">
        <v>12940</v>
      </c>
    </row>
    <row r="791" spans="1:6" ht="14.25">
      <c r="A791" s="214"/>
      <c r="B791" s="420"/>
      <c r="C791" s="208"/>
    </row>
    <row r="792" spans="1:6" ht="14.25">
      <c r="A792" s="214"/>
      <c r="B792" s="420"/>
      <c r="C792" s="498" t="s">
        <v>398</v>
      </c>
    </row>
    <row r="793" spans="1:6" ht="14.25">
      <c r="A793" s="214"/>
      <c r="B793" s="420"/>
      <c r="C793" s="208" t="s">
        <v>398</v>
      </c>
      <c r="E793" s="223"/>
    </row>
    <row r="794" spans="1:6" ht="14.25">
      <c r="A794" s="214"/>
      <c r="B794" s="420"/>
      <c r="D794" s="209" t="s">
        <v>450</v>
      </c>
      <c r="E794" s="220">
        <f>CalcCh2Prod2Slot2Depreciation</f>
        <v>0</v>
      </c>
      <c r="F794" s="276" t="s">
        <v>1918</v>
      </c>
    </row>
    <row r="795" spans="1:6" ht="14.25">
      <c r="A795" s="214"/>
      <c r="B795" s="420"/>
    </row>
    <row r="796" spans="1:6" ht="14.25">
      <c r="A796" s="214"/>
      <c r="B796" s="420"/>
      <c r="C796" s="217" t="s">
        <v>13066</v>
      </c>
    </row>
    <row r="797" spans="1:6" ht="14.25">
      <c r="A797" s="214"/>
      <c r="B797" s="420"/>
      <c r="D797" s="209" t="s">
        <v>400</v>
      </c>
      <c r="E797" s="495">
        <f>finCalcCh2Prod2Slot2MatExpPUnitTot</f>
        <v>0</v>
      </c>
    </row>
    <row r="798" spans="1:6" ht="14.25">
      <c r="A798" s="214"/>
      <c r="B798" s="420"/>
      <c r="D798" s="209" t="s">
        <v>399</v>
      </c>
      <c r="E798" s="495">
        <f>finCalcCh2Prod2Slot2LabourCostPerHour*finCalcCh2Prod2Slot2LabourHrsReqPVolTot</f>
        <v>0</v>
      </c>
    </row>
    <row r="799" spans="1:6" ht="14.25">
      <c r="A799" s="214"/>
      <c r="B799" s="420"/>
      <c r="D799" s="209" t="s">
        <v>513</v>
      </c>
      <c r="E799" s="495">
        <f>E789</f>
        <v>0</v>
      </c>
    </row>
    <row r="800" spans="1:6" ht="14.25">
      <c r="A800" s="214"/>
      <c r="B800" s="420"/>
      <c r="D800" s="209" t="s">
        <v>398</v>
      </c>
      <c r="E800" s="496">
        <f>CalcCh2Prod2Slot2DepreciationPUnit</f>
        <v>0</v>
      </c>
    </row>
    <row r="801" spans="1:6" ht="14.25">
      <c r="A801" s="214"/>
      <c r="B801" s="420"/>
      <c r="C801" s="208" t="s">
        <v>397</v>
      </c>
      <c r="E801" s="490">
        <f>SUM(E797:E800)</f>
        <v>0</v>
      </c>
      <c r="F801" s="276" t="s">
        <v>1919</v>
      </c>
    </row>
    <row r="802" spans="1:6" ht="14.25">
      <c r="A802" s="214"/>
      <c r="B802" s="420"/>
    </row>
    <row r="803" spans="1:6" ht="14.25">
      <c r="A803" s="214"/>
      <c r="B803" s="420"/>
      <c r="C803" s="217" t="s">
        <v>519</v>
      </c>
    </row>
    <row r="804" spans="1:6" ht="14.25">
      <c r="A804" s="214"/>
      <c r="B804" s="420"/>
      <c r="D804" s="328" t="s">
        <v>1286</v>
      </c>
      <c r="E804" s="492">
        <f>VLOOKUP(decCh2Prod2Slot2Pack,dataPackLogisticsCost,2,FALSE)</f>
        <v>0</v>
      </c>
      <c r="F804" s="276" t="s">
        <v>2935</v>
      </c>
    </row>
    <row r="805" spans="1:6" ht="14.25">
      <c r="A805" s="214"/>
      <c r="B805" s="420"/>
      <c r="D805" s="328" t="s">
        <v>960</v>
      </c>
      <c r="E805" s="501">
        <f>VLOOKUP(finCalcCh2Prod2Slot2ForcastAcc,dataForecastImpactLogisticsCost,2,TRUE)*finCalcCh2Prod2Slot2LogExpPerUnit</f>
        <v>0</v>
      </c>
      <c r="F805" s="276" t="s">
        <v>3980</v>
      </c>
    </row>
    <row r="806" spans="1:6" ht="14.25">
      <c r="A806" s="214"/>
      <c r="B806" s="420"/>
      <c r="D806" s="328" t="s">
        <v>14030</v>
      </c>
      <c r="E806" s="497">
        <f>finCalcCh2Prod2Slot2LogExpPerUnit*paramProd2LogExpSI</f>
        <v>0</v>
      </c>
      <c r="F806" s="276" t="s">
        <v>3981</v>
      </c>
    </row>
    <row r="807" spans="1:6" ht="14.25">
      <c r="A807" s="214"/>
      <c r="B807" s="420"/>
      <c r="D807" s="276" t="s">
        <v>1692</v>
      </c>
      <c r="E807" s="327">
        <f>SUM(E804:E806)</f>
        <v>0</v>
      </c>
      <c r="F807" s="276" t="s">
        <v>12941</v>
      </c>
    </row>
    <row r="808" spans="1:6" ht="14.25">
      <c r="A808" s="214"/>
      <c r="B808" s="420"/>
      <c r="D808" s="276" t="s">
        <v>1284</v>
      </c>
      <c r="E808" s="490">
        <f>finCalcCh2Prod2Slot2LogExpAdjPUnit*finCalcCh2Prod2Slot2VolSold</f>
        <v>0</v>
      </c>
      <c r="F808" s="276" t="s">
        <v>1920</v>
      </c>
    </row>
    <row r="809" spans="1:6" ht="14.25">
      <c r="A809" s="214"/>
      <c r="B809" s="420"/>
      <c r="D809" s="276"/>
      <c r="E809" s="276"/>
      <c r="F809" s="276"/>
    </row>
    <row r="810" spans="1:6" s="322" customFormat="1" ht="13.15" customHeight="1">
      <c r="A810" s="214"/>
      <c r="B810" s="221"/>
      <c r="C810" s="968"/>
      <c r="D810" s="968" t="s">
        <v>3860</v>
      </c>
      <c r="E810" s="967"/>
      <c r="F810" s="214"/>
    </row>
    <row r="811" spans="1:6" s="322" customFormat="1" ht="13.15" customHeight="1">
      <c r="A811" s="214"/>
      <c r="B811" s="221"/>
      <c r="C811" s="323"/>
      <c r="D811" s="323"/>
      <c r="E811" s="324"/>
    </row>
    <row r="812" spans="1:6" ht="14.25">
      <c r="A812" s="214"/>
      <c r="B812" s="420"/>
      <c r="C812" s="217" t="s">
        <v>295</v>
      </c>
    </row>
    <row r="813" spans="1:6" ht="14.25">
      <c r="A813" s="214"/>
      <c r="B813" s="420"/>
      <c r="D813" s="276" t="s">
        <v>577</v>
      </c>
      <c r="E813" s="491">
        <f>IF(calcCh2Prod2Slot3Active=1,IF(xxSim0Tool1=1,calcCh2Prod2Slot3VolForecastSlot,MMCh2Prod2Seg1Slot3UnitsSold+MMCh2Prod2Seg2Slot3UnitsSold+MMCh2Prod2Seg3Slot3UnitsSold+MMCh2Prod2Seg4Slot3UnitsSold),0)</f>
        <v>0</v>
      </c>
      <c r="F813" s="276" t="s">
        <v>1921</v>
      </c>
    </row>
    <row r="814" spans="1:6" ht="14.25">
      <c r="A814" s="214"/>
      <c r="B814" s="420"/>
      <c r="D814" s="276" t="s">
        <v>1762</v>
      </c>
      <c r="E814" s="399">
        <f>IF(VLOOKUP(decCh2Prod2Slot3Pack,dataPackSize,2,FALSE)=0,0,finCalcCh2Prod2Slot3VolSold/VLOOKUP(decCh2Prod2Slot3Pack,dataPackSize,2,FALSE))</f>
        <v>0</v>
      </c>
      <c r="F814" s="276" t="s">
        <v>1922</v>
      </c>
    </row>
    <row r="815" spans="1:6" ht="14.25">
      <c r="A815" s="214"/>
      <c r="B815" s="420"/>
      <c r="D815" s="276" t="s">
        <v>966</v>
      </c>
      <c r="E815" s="654">
        <f>IF(calcCh2Prod2Slot3VolForecastSlot=0,100%,finCalcCh2Prod2Slot3VolSold/calcCh2Prod2Slot3VolForecastSlot)</f>
        <v>1</v>
      </c>
      <c r="F815" s="276" t="s">
        <v>1923</v>
      </c>
    </row>
    <row r="816" spans="1:6" ht="14.25">
      <c r="A816" s="214"/>
      <c r="B816" s="420"/>
      <c r="E816" s="489"/>
    </row>
    <row r="817" spans="1:6" ht="14.25">
      <c r="A817" s="214"/>
      <c r="B817" s="420"/>
      <c r="C817" s="217" t="s">
        <v>3789</v>
      </c>
      <c r="E817" s="489"/>
    </row>
    <row r="818" spans="1:6" ht="14.25">
      <c r="A818" s="214"/>
      <c r="B818" s="420"/>
      <c r="C818" s="217" t="s">
        <v>400</v>
      </c>
    </row>
    <row r="819" spans="1:6" ht="14.25">
      <c r="A819" s="214"/>
      <c r="B819" s="420"/>
      <c r="D819" s="255" t="s">
        <v>526</v>
      </c>
      <c r="E819" s="492">
        <f>VLOOKUP(decCh2Prod2Slot3Pack,dataPackMaterialExp,2,FALSE)</f>
        <v>0</v>
      </c>
      <c r="F819" s="276" t="s">
        <v>3982</v>
      </c>
    </row>
    <row r="820" spans="1:6" ht="14.25">
      <c r="A820" s="214"/>
      <c r="B820" s="420"/>
      <c r="D820" s="328" t="s">
        <v>960</v>
      </c>
      <c r="E820" s="502">
        <f>VLOOKUP(finCalcCh2Prod2Slot3ForcastAcc,dataForecastImpactMatCost,2,TRUE)*E819</f>
        <v>0</v>
      </c>
      <c r="F820" s="276" t="s">
        <v>3983</v>
      </c>
    </row>
    <row r="821" spans="1:6" ht="14.25">
      <c r="A821" s="214"/>
      <c r="B821" s="420"/>
      <c r="D821" s="328" t="s">
        <v>14030</v>
      </c>
      <c r="E821" s="493">
        <f>paramProd2MatExpSI*finCalcCh2Prod2Slot3MatExpPerUnitBase</f>
        <v>0</v>
      </c>
      <c r="F821" s="276" t="s">
        <v>3984</v>
      </c>
    </row>
    <row r="822" spans="1:6" ht="14.25">
      <c r="A822" s="214"/>
      <c r="B822" s="420"/>
      <c r="D822" s="209" t="s">
        <v>518</v>
      </c>
      <c r="E822" s="327">
        <f>SUM(E819:E821)</f>
        <v>0</v>
      </c>
      <c r="F822" s="276" t="s">
        <v>3985</v>
      </c>
    </row>
    <row r="823" spans="1:6" ht="14.25">
      <c r="A823" s="214"/>
      <c r="B823" s="420"/>
      <c r="D823" s="209" t="s">
        <v>401</v>
      </c>
      <c r="E823" s="220">
        <f>finCalcCh2Prod2Slot3MatExpPUnitTot*finCalcCh2Prod2Slot3VolSold</f>
        <v>0</v>
      </c>
      <c r="F823" s="276" t="s">
        <v>12942</v>
      </c>
    </row>
    <row r="824" spans="1:6" ht="14.25">
      <c r="A824" s="214"/>
      <c r="B824" s="420"/>
      <c r="C824" s="208"/>
      <c r="F824" s="276"/>
    </row>
    <row r="825" spans="1:6" ht="14.25">
      <c r="A825" s="214"/>
      <c r="B825" s="420"/>
      <c r="C825" s="217" t="s">
        <v>399</v>
      </c>
      <c r="E825" s="224"/>
    </row>
    <row r="826" spans="1:6" ht="14.25">
      <c r="A826" s="214"/>
      <c r="B826" s="420"/>
      <c r="D826" s="328" t="s">
        <v>969</v>
      </c>
      <c r="E826" s="510">
        <f>VLOOKUP(decCh2Prod2Slot3Pack,dataPackLabourHrs,2,FALSE)</f>
        <v>0</v>
      </c>
      <c r="F826" s="276" t="s">
        <v>3986</v>
      </c>
    </row>
    <row r="827" spans="1:6" ht="14.25">
      <c r="A827" s="214"/>
      <c r="B827" s="420"/>
      <c r="D827" s="328" t="s">
        <v>960</v>
      </c>
      <c r="E827" s="510">
        <f>VLOOKUP(finCalcCh2Prod2Slot3ForcastAcc,dataForecastImpactLabCost,2,TRUE)*finCalcCh2Prod2Slot3LabourHrsReqPVolBase</f>
        <v>0</v>
      </c>
      <c r="F827" s="276" t="s">
        <v>3987</v>
      </c>
    </row>
    <row r="828" spans="1:6" ht="14.25">
      <c r="A828" s="214"/>
      <c r="B828" s="420"/>
      <c r="D828" s="328" t="s">
        <v>14030</v>
      </c>
      <c r="E828" s="510">
        <f>paramProd2LabourExpSI*finCalcCh2Prod2Slot3LabourHrsReqPVolBase</f>
        <v>0</v>
      </c>
      <c r="F828" s="276" t="s">
        <v>3988</v>
      </c>
    </row>
    <row r="829" spans="1:6" ht="14.25">
      <c r="A829" s="214"/>
      <c r="B829" s="420"/>
      <c r="D829" s="209" t="s">
        <v>3795</v>
      </c>
      <c r="E829" s="511">
        <f>SUM(E826:E828)</f>
        <v>0</v>
      </c>
      <c r="F829" s="276" t="s">
        <v>3989</v>
      </c>
    </row>
    <row r="830" spans="1:6" ht="14.25">
      <c r="A830" s="214"/>
      <c r="B830" s="420"/>
      <c r="D830" s="328"/>
      <c r="E830" s="499"/>
      <c r="F830" s="276"/>
    </row>
    <row r="831" spans="1:6" ht="14.25">
      <c r="A831" s="214"/>
      <c r="B831" s="420"/>
      <c r="D831" s="209" t="s">
        <v>974</v>
      </c>
      <c r="E831" s="494">
        <f>paramLabourCostPerHr</f>
        <v>5</v>
      </c>
      <c r="F831" s="276" t="s">
        <v>3990</v>
      </c>
    </row>
    <row r="832" spans="1:6" ht="14.25">
      <c r="A832" s="214"/>
      <c r="B832" s="420"/>
      <c r="D832" s="209" t="s">
        <v>3793</v>
      </c>
      <c r="E832" s="500">
        <f>finCalcCh2Prod2Slot3VolSold*finCalcCh2Prod2Slot3LabourHrsReqPVolTot</f>
        <v>0</v>
      </c>
    </row>
    <row r="833" spans="1:6" ht="14.25">
      <c r="A833" s="214"/>
      <c r="B833" s="420"/>
      <c r="D833" s="276" t="s">
        <v>973</v>
      </c>
      <c r="E833" s="220">
        <f>E832*finCalcCh2Prod2Slot3LabourCostPerHour</f>
        <v>0</v>
      </c>
      <c r="F833" s="276" t="s">
        <v>12943</v>
      </c>
    </row>
    <row r="834" spans="1:6" ht="14.25">
      <c r="A834" s="214"/>
      <c r="B834" s="420"/>
      <c r="E834" s="223"/>
    </row>
    <row r="835" spans="1:6" ht="14.25">
      <c r="A835" s="214"/>
      <c r="B835" s="420"/>
      <c r="C835" s="217" t="s">
        <v>513</v>
      </c>
      <c r="E835" s="223"/>
    </row>
    <row r="836" spans="1:6" ht="14.25">
      <c r="A836" s="214"/>
      <c r="B836" s="420"/>
      <c r="C836" s="326"/>
      <c r="D836" s="276" t="s">
        <v>570</v>
      </c>
      <c r="E836" s="491">
        <f>CalcCh2Prod2Slot3ManufacturingCostPUnit</f>
        <v>0</v>
      </c>
      <c r="F836" s="276"/>
    </row>
    <row r="837" spans="1:6" ht="14.25">
      <c r="A837" s="214"/>
      <c r="B837" s="420"/>
      <c r="C837" s="326"/>
      <c r="D837" s="209" t="s">
        <v>514</v>
      </c>
      <c r="E837" s="490">
        <f>E836*finCalcCh2Prod2Slot3VolSold</f>
        <v>0</v>
      </c>
      <c r="F837" s="276" t="s">
        <v>12944</v>
      </c>
    </row>
    <row r="838" spans="1:6" ht="14.25">
      <c r="A838" s="214"/>
      <c r="B838" s="420"/>
      <c r="C838" s="208"/>
    </row>
    <row r="839" spans="1:6" ht="14.25">
      <c r="A839" s="214"/>
      <c r="B839" s="420"/>
      <c r="C839" s="498" t="s">
        <v>398</v>
      </c>
    </row>
    <row r="840" spans="1:6" ht="14.25">
      <c r="A840" s="214"/>
      <c r="B840" s="420"/>
      <c r="C840" s="208" t="s">
        <v>398</v>
      </c>
      <c r="E840" s="223"/>
    </row>
    <row r="841" spans="1:6" ht="14.25">
      <c r="A841" s="214"/>
      <c r="B841" s="420"/>
      <c r="D841" s="209" t="s">
        <v>450</v>
      </c>
      <c r="E841" s="220">
        <f>CalcCh2Prod2Slot3Depreciation</f>
        <v>0</v>
      </c>
      <c r="F841" s="276" t="s">
        <v>1924</v>
      </c>
    </row>
    <row r="842" spans="1:6" ht="14.25">
      <c r="A842" s="214"/>
      <c r="B842" s="420"/>
    </row>
    <row r="843" spans="1:6" ht="14.25">
      <c r="A843" s="214"/>
      <c r="B843" s="420"/>
      <c r="C843" s="217" t="s">
        <v>13066</v>
      </c>
    </row>
    <row r="844" spans="1:6" ht="14.25">
      <c r="A844" s="214"/>
      <c r="B844" s="420"/>
      <c r="D844" s="209" t="s">
        <v>400</v>
      </c>
      <c r="E844" s="495">
        <f>finCalcCh2Prod2Slot3MatExpPUnitTot</f>
        <v>0</v>
      </c>
    </row>
    <row r="845" spans="1:6" ht="14.25">
      <c r="A845" s="214"/>
      <c r="B845" s="420"/>
      <c r="D845" s="209" t="s">
        <v>399</v>
      </c>
      <c r="E845" s="495">
        <f>finCalcCh2Prod2Slot3LabourCostPerHour*finCalcCh2Prod2Slot3LabourHrsReqPVolTot</f>
        <v>0</v>
      </c>
    </row>
    <row r="846" spans="1:6" ht="14.25">
      <c r="A846" s="214"/>
      <c r="B846" s="420"/>
      <c r="D846" s="209" t="s">
        <v>513</v>
      </c>
      <c r="E846" s="495">
        <f>E836</f>
        <v>0</v>
      </c>
    </row>
    <row r="847" spans="1:6" ht="14.25">
      <c r="A847" s="214"/>
      <c r="B847" s="420"/>
      <c r="D847" s="209" t="s">
        <v>398</v>
      </c>
      <c r="E847" s="496">
        <f>CalcCh2Prod2Slot3DepreciationPUnit</f>
        <v>0</v>
      </c>
    </row>
    <row r="848" spans="1:6" ht="14.25">
      <c r="A848" s="214"/>
      <c r="B848" s="420"/>
      <c r="C848" s="208" t="s">
        <v>397</v>
      </c>
      <c r="E848" s="490">
        <f>SUM(E844:E847)</f>
        <v>0</v>
      </c>
      <c r="F848" s="276" t="s">
        <v>1925</v>
      </c>
    </row>
    <row r="849" spans="1:6" ht="14.25">
      <c r="A849" s="214"/>
      <c r="B849" s="420"/>
    </row>
    <row r="850" spans="1:6" ht="14.25">
      <c r="A850" s="214"/>
      <c r="B850" s="420"/>
      <c r="C850" s="217" t="s">
        <v>519</v>
      </c>
    </row>
    <row r="851" spans="1:6" ht="14.25">
      <c r="A851" s="214"/>
      <c r="B851" s="420"/>
      <c r="D851" s="328" t="s">
        <v>1286</v>
      </c>
      <c r="E851" s="492">
        <f>VLOOKUP(decCh2Prod2Slot3Pack,dataPackLogisticsCost,2,FALSE)</f>
        <v>0</v>
      </c>
      <c r="F851" s="276" t="s">
        <v>2936</v>
      </c>
    </row>
    <row r="852" spans="1:6" ht="14.25">
      <c r="A852" s="214"/>
      <c r="B852" s="420"/>
      <c r="D852" s="328" t="s">
        <v>960</v>
      </c>
      <c r="E852" s="501">
        <f>VLOOKUP(finCalcCh2Prod2Slot3ForcastAcc,dataForecastImpactLogisticsCost,2,TRUE)*finCalcCh2Prod2Slot3LogExpPerUnit</f>
        <v>0</v>
      </c>
      <c r="F852" s="276" t="s">
        <v>3991</v>
      </c>
    </row>
    <row r="853" spans="1:6" ht="14.25">
      <c r="A853" s="214"/>
      <c r="B853" s="420"/>
      <c r="D853" s="328" t="s">
        <v>14030</v>
      </c>
      <c r="E853" s="497">
        <f>finCalcCh2Prod2Slot3LogExpPerUnit*paramProd2LogExpSI</f>
        <v>0</v>
      </c>
      <c r="F853" s="276" t="s">
        <v>3992</v>
      </c>
    </row>
    <row r="854" spans="1:6" ht="14.25">
      <c r="A854" s="214"/>
      <c r="B854" s="420"/>
      <c r="D854" s="276" t="s">
        <v>1692</v>
      </c>
      <c r="E854" s="327">
        <f>SUM(E851:E853)</f>
        <v>0</v>
      </c>
      <c r="F854" s="276" t="s">
        <v>12945</v>
      </c>
    </row>
    <row r="855" spans="1:6" ht="14.25">
      <c r="A855" s="214"/>
      <c r="B855" s="420"/>
      <c r="D855" s="276" t="s">
        <v>1284</v>
      </c>
      <c r="E855" s="490">
        <f>finCalcCh2Prod2Slot3LogExpAdjPUnit*finCalcCh2Prod2Slot3VolSold</f>
        <v>0</v>
      </c>
      <c r="F855" s="276" t="s">
        <v>1926</v>
      </c>
    </row>
    <row r="856" spans="1:6" ht="14.25">
      <c r="A856" s="214"/>
      <c r="B856" s="420"/>
      <c r="D856" s="276"/>
      <c r="E856" s="276"/>
      <c r="F856" s="276"/>
    </row>
    <row r="857" spans="1:6" s="322" customFormat="1" ht="13.15" customHeight="1">
      <c r="A857" s="214"/>
      <c r="B857" s="221"/>
      <c r="C857" s="968" t="s">
        <v>239</v>
      </c>
      <c r="D857" s="968"/>
      <c r="E857" s="967"/>
      <c r="F857" s="214"/>
    </row>
    <row r="858" spans="1:6" s="322" customFormat="1" ht="13.15" customHeight="1">
      <c r="A858" s="214"/>
      <c r="B858" s="221"/>
      <c r="C858" s="968"/>
      <c r="D858" s="968" t="s">
        <v>3859</v>
      </c>
      <c r="E858" s="967"/>
      <c r="F858" s="214"/>
    </row>
    <row r="859" spans="1:6" s="322" customFormat="1" ht="13.15" customHeight="1">
      <c r="A859" s="214"/>
      <c r="B859" s="221"/>
      <c r="C859" s="323"/>
      <c r="D859" s="323"/>
      <c r="E859" s="324"/>
    </row>
    <row r="860" spans="1:6" ht="14.25">
      <c r="A860" s="214"/>
      <c r="B860" s="420"/>
      <c r="C860" s="217" t="s">
        <v>295</v>
      </c>
    </row>
    <row r="861" spans="1:6" ht="14.25">
      <c r="A861" s="214"/>
      <c r="B861" s="420"/>
      <c r="D861" s="276" t="s">
        <v>577</v>
      </c>
      <c r="E861" s="491">
        <f>IF(calcCh2Prod3Slot1Active=1,IF(xxSim0Tool1=1,calcCh2Prod3Slot1VolForecastSlot,MMCh2Prod3Seg1Slot1UnitsSold+MMCh2Prod3Seg2Slot1UnitsSold+MMCh2Prod3Seg3Slot1UnitsSold+MMCh2Prod3Seg4Slot1UnitsSold),0)</f>
        <v>96861095.999999985</v>
      </c>
      <c r="F861" s="276" t="s">
        <v>1927</v>
      </c>
    </row>
    <row r="862" spans="1:6" ht="14.25">
      <c r="A862" s="214"/>
      <c r="B862" s="420"/>
      <c r="D862" s="276" t="s">
        <v>1762</v>
      </c>
      <c r="E862" s="399">
        <f>IF(VLOOKUP(decCh2Prod3Slot1Pack,dataPackSize,2,FALSE)=0,0,finCalcCh2Prod3Slot1VolSold/VLOOKUP(decCh2Prod3Slot1Pack,dataPackSize,2,FALSE))</f>
        <v>387444383.99999994</v>
      </c>
      <c r="F862" s="276" t="s">
        <v>1928</v>
      </c>
    </row>
    <row r="863" spans="1:6" ht="14.25">
      <c r="A863" s="214"/>
      <c r="B863" s="420"/>
      <c r="D863" s="276" t="s">
        <v>966</v>
      </c>
      <c r="E863" s="654">
        <f>IF(calcCh2Prod3Slot1VolForecastSlot=0,100%,finCalcCh2Prod3Slot1VolSold/calcCh2Prod3Slot1VolForecastSlot)</f>
        <v>1</v>
      </c>
      <c r="F863" s="276" t="s">
        <v>1929</v>
      </c>
    </row>
    <row r="864" spans="1:6" ht="14.25">
      <c r="A864" s="214"/>
      <c r="B864" s="420"/>
      <c r="E864" s="489"/>
    </row>
    <row r="865" spans="1:6" ht="14.25">
      <c r="A865" s="214"/>
      <c r="B865" s="420"/>
      <c r="C865" s="217" t="s">
        <v>3789</v>
      </c>
      <c r="E865" s="489"/>
    </row>
    <row r="866" spans="1:6" ht="14.25">
      <c r="A866" s="214"/>
      <c r="B866" s="420"/>
      <c r="C866" s="217" t="s">
        <v>400</v>
      </c>
    </row>
    <row r="867" spans="1:6" ht="14.25">
      <c r="A867" s="214"/>
      <c r="B867" s="420"/>
      <c r="D867" s="255" t="s">
        <v>526</v>
      </c>
      <c r="E867" s="492">
        <f>VLOOKUP(decCh2Prod3Slot1Pack,dataPackMaterialExp,2,FALSE)</f>
        <v>1.7172539999999998</v>
      </c>
      <c r="F867" s="276" t="s">
        <v>3993</v>
      </c>
    </row>
    <row r="868" spans="1:6" ht="14.25">
      <c r="A868" s="214"/>
      <c r="B868" s="420"/>
      <c r="D868" s="328" t="s">
        <v>960</v>
      </c>
      <c r="E868" s="502">
        <f>VLOOKUP(finCalcCh2Prod3Slot1ForcastAcc,dataForecastImpactMatCost,2,TRUE)*E867</f>
        <v>0</v>
      </c>
      <c r="F868" s="276" t="s">
        <v>3994</v>
      </c>
    </row>
    <row r="869" spans="1:6" ht="14.25">
      <c r="A869" s="214"/>
      <c r="B869" s="420"/>
      <c r="D869" s="328" t="s">
        <v>14030</v>
      </c>
      <c r="E869" s="493">
        <f>paramProd3MatExpSI*finCalcCh2Prod3Slot1MatExpPerUnitBase</f>
        <v>0</v>
      </c>
      <c r="F869" s="276" t="s">
        <v>3995</v>
      </c>
    </row>
    <row r="870" spans="1:6" ht="14.25">
      <c r="A870" s="214"/>
      <c r="B870" s="420"/>
      <c r="D870" s="209" t="s">
        <v>518</v>
      </c>
      <c r="E870" s="327">
        <f>SUM(E867:E869)</f>
        <v>1.7172539999999998</v>
      </c>
      <c r="F870" s="276" t="s">
        <v>3996</v>
      </c>
    </row>
    <row r="871" spans="1:6" ht="14.25">
      <c r="A871" s="214"/>
      <c r="B871" s="420"/>
      <c r="D871" s="209" t="s">
        <v>401</v>
      </c>
      <c r="E871" s="220">
        <f>finCalcCh2Prod3Slot1MatExpPUnitTot*finCalcCh2Prod3Slot1VolSold</f>
        <v>166335104.55038396</v>
      </c>
      <c r="F871" s="276" t="s">
        <v>12946</v>
      </c>
    </row>
    <row r="872" spans="1:6" ht="14.25">
      <c r="A872" s="214"/>
      <c r="B872" s="420"/>
      <c r="C872" s="208"/>
      <c r="F872" s="276"/>
    </row>
    <row r="873" spans="1:6" ht="14.25">
      <c r="A873" s="214"/>
      <c r="B873" s="420"/>
      <c r="C873" s="217" t="s">
        <v>399</v>
      </c>
      <c r="E873" s="224"/>
    </row>
    <row r="874" spans="1:6" ht="14.25">
      <c r="A874" s="214"/>
      <c r="B874" s="420"/>
      <c r="D874" s="328" t="s">
        <v>969</v>
      </c>
      <c r="E874" s="510">
        <f>VLOOKUP(decCh2Prod3Slot1Pack,dataPackLabourHrs,2,FALSE)</f>
        <v>5.0507470588235293E-2</v>
      </c>
      <c r="F874" s="276" t="s">
        <v>3997</v>
      </c>
    </row>
    <row r="875" spans="1:6" ht="14.25">
      <c r="A875" s="214"/>
      <c r="B875" s="420"/>
      <c r="D875" s="328" t="s">
        <v>960</v>
      </c>
      <c r="E875" s="510">
        <f>VLOOKUP(finCalcCh2Prod3Slot1ForcastAcc,dataForecastImpactLabCost,2,TRUE)*finCalcCh2Prod3Slot1LabourHrsReqPVolBase</f>
        <v>0</v>
      </c>
      <c r="F875" s="276" t="s">
        <v>3998</v>
      </c>
    </row>
    <row r="876" spans="1:6" ht="14.25">
      <c r="A876" s="214"/>
      <c r="B876" s="420"/>
      <c r="D876" s="328" t="s">
        <v>14030</v>
      </c>
      <c r="E876" s="510">
        <f>paramProd3LabourExpSI*finCalcCh2Prod3Slot1LabourHrsReqPVolBase</f>
        <v>0</v>
      </c>
      <c r="F876" s="276" t="s">
        <v>3999</v>
      </c>
    </row>
    <row r="877" spans="1:6" ht="14.25">
      <c r="A877" s="214"/>
      <c r="B877" s="420"/>
      <c r="D877" s="209" t="s">
        <v>3795</v>
      </c>
      <c r="E877" s="511">
        <f>SUM(E874:E876)</f>
        <v>5.0507470588235293E-2</v>
      </c>
      <c r="F877" s="276" t="s">
        <v>4000</v>
      </c>
    </row>
    <row r="878" spans="1:6" ht="14.25">
      <c r="A878" s="214"/>
      <c r="B878" s="420"/>
      <c r="D878" s="328"/>
      <c r="E878" s="499"/>
      <c r="F878" s="276"/>
    </row>
    <row r="879" spans="1:6" ht="14.25">
      <c r="A879" s="214"/>
      <c r="B879" s="420"/>
      <c r="D879" s="209" t="s">
        <v>974</v>
      </c>
      <c r="E879" s="494">
        <f>paramLabourCostPerHr</f>
        <v>5</v>
      </c>
      <c r="F879" s="276" t="s">
        <v>4001</v>
      </c>
    </row>
    <row r="880" spans="1:6" ht="14.25">
      <c r="A880" s="214"/>
      <c r="B880" s="420"/>
      <c r="D880" s="209" t="s">
        <v>3793</v>
      </c>
      <c r="E880" s="500">
        <f>finCalcCh2Prod3Slot1VolSold*finCalcCh2Prod3Slot1LabourHrsReqPVolTot</f>
        <v>4892208.9573642341</v>
      </c>
    </row>
    <row r="881" spans="1:6" ht="14.25">
      <c r="A881" s="214"/>
      <c r="B881" s="420"/>
      <c r="D881" s="276" t="s">
        <v>973</v>
      </c>
      <c r="E881" s="220">
        <f>E880*finCalcCh2Prod3Slot1LabourCostPerHour</f>
        <v>24461044.786821172</v>
      </c>
      <c r="F881" s="276" t="s">
        <v>12947</v>
      </c>
    </row>
    <row r="882" spans="1:6" ht="14.25">
      <c r="A882" s="214"/>
      <c r="B882" s="420"/>
      <c r="E882" s="223"/>
    </row>
    <row r="883" spans="1:6" ht="14.25">
      <c r="A883" s="214"/>
      <c r="B883" s="420"/>
      <c r="C883" s="217" t="s">
        <v>513</v>
      </c>
      <c r="E883" s="223"/>
    </row>
    <row r="884" spans="1:6" ht="14.25">
      <c r="A884" s="214"/>
      <c r="B884" s="420"/>
      <c r="C884" s="326"/>
      <c r="D884" s="276" t="s">
        <v>570</v>
      </c>
      <c r="E884" s="491">
        <f>CalcCh2Prod3Slot1ManufacturingCostPUnit</f>
        <v>0.18597600000000006</v>
      </c>
      <c r="F884" s="276"/>
    </row>
    <row r="885" spans="1:6" ht="14.25">
      <c r="A885" s="214"/>
      <c r="B885" s="420"/>
      <c r="C885" s="326"/>
      <c r="D885" s="209" t="s">
        <v>514</v>
      </c>
      <c r="E885" s="490">
        <f>E884*finCalcCh2Prod3Slot1VolSold</f>
        <v>18013839.189696003</v>
      </c>
      <c r="F885" s="276" t="s">
        <v>12948</v>
      </c>
    </row>
    <row r="886" spans="1:6" ht="14.25">
      <c r="A886" s="214"/>
      <c r="B886" s="420"/>
      <c r="C886" s="208"/>
    </row>
    <row r="887" spans="1:6" ht="14.25">
      <c r="A887" s="214"/>
      <c r="B887" s="420"/>
      <c r="C887" s="498" t="s">
        <v>398</v>
      </c>
    </row>
    <row r="888" spans="1:6" ht="14.25">
      <c r="A888" s="214"/>
      <c r="B888" s="420"/>
      <c r="C888" s="208" t="s">
        <v>398</v>
      </c>
      <c r="E888" s="223"/>
    </row>
    <row r="889" spans="1:6" ht="14.25">
      <c r="A889" s="214"/>
      <c r="B889" s="420"/>
      <c r="D889" s="209" t="s">
        <v>450</v>
      </c>
      <c r="E889" s="220">
        <f>CalcCh2Prod3Slot1Depreciation</f>
        <v>8017249.4329277789</v>
      </c>
      <c r="F889" s="276" t="s">
        <v>1930</v>
      </c>
    </row>
    <row r="890" spans="1:6" ht="14.25">
      <c r="A890" s="214"/>
      <c r="B890" s="420"/>
    </row>
    <row r="891" spans="1:6" ht="14.25">
      <c r="A891" s="214"/>
      <c r="B891" s="420"/>
      <c r="C891" s="217" t="s">
        <v>13066</v>
      </c>
    </row>
    <row r="892" spans="1:6" ht="14.25">
      <c r="A892" s="214"/>
      <c r="B892" s="420"/>
      <c r="D892" s="209" t="s">
        <v>400</v>
      </c>
      <c r="E892" s="495">
        <f>finCalcCh2Prod3Slot1MatExpPUnitTot</f>
        <v>1.7172539999999998</v>
      </c>
    </row>
    <row r="893" spans="1:6" ht="14.25">
      <c r="A893" s="214"/>
      <c r="B893" s="420"/>
      <c r="D893" s="209" t="s">
        <v>399</v>
      </c>
      <c r="E893" s="495">
        <f>finCalcCh2Prod3Slot1LabourCostPerHour*finCalcCh2Prod3Slot1LabourHrsReqPVolTot</f>
        <v>0.25253735294117646</v>
      </c>
    </row>
    <row r="894" spans="1:6" ht="14.25">
      <c r="A894" s="214"/>
      <c r="B894" s="420"/>
      <c r="D894" s="209" t="s">
        <v>513</v>
      </c>
      <c r="E894" s="495">
        <f>E884</f>
        <v>0.18597600000000006</v>
      </c>
    </row>
    <row r="895" spans="1:6" ht="14.25">
      <c r="A895" s="214"/>
      <c r="B895" s="420"/>
      <c r="D895" s="209" t="s">
        <v>398</v>
      </c>
      <c r="E895" s="496">
        <f>CalcCh2Prod3Slot1DepreciationPUnit</f>
        <v>8.2770583485115429E-2</v>
      </c>
    </row>
    <row r="896" spans="1:6" ht="14.25">
      <c r="A896" s="214"/>
      <c r="B896" s="420"/>
      <c r="C896" s="208" t="s">
        <v>397</v>
      </c>
      <c r="E896" s="490">
        <f>SUM(E892:E895)</f>
        <v>2.2385379364262916</v>
      </c>
      <c r="F896" s="276" t="s">
        <v>1931</v>
      </c>
    </row>
    <row r="897" spans="1:6" ht="14.25">
      <c r="A897" s="214"/>
      <c r="B897" s="420"/>
    </row>
    <row r="898" spans="1:6" ht="14.25">
      <c r="A898" s="214"/>
      <c r="B898" s="420"/>
      <c r="C898" s="217" t="s">
        <v>519</v>
      </c>
    </row>
    <row r="899" spans="1:6" ht="14.25">
      <c r="A899" s="214"/>
      <c r="B899" s="420"/>
      <c r="D899" s="328" t="s">
        <v>1286</v>
      </c>
      <c r="E899" s="492">
        <f>VLOOKUP(decCh2Prod3Slot1Pack,dataPackLogisticsCost,2,FALSE)</f>
        <v>0.29178947368421054</v>
      </c>
      <c r="F899" s="276" t="s">
        <v>2937</v>
      </c>
    </row>
    <row r="900" spans="1:6" ht="14.25">
      <c r="A900" s="214"/>
      <c r="B900" s="420"/>
      <c r="D900" s="328" t="s">
        <v>960</v>
      </c>
      <c r="E900" s="501">
        <f>VLOOKUP(finCalcCh2Prod3Slot1ForcastAcc,dataForecastImpactLogisticsCost,2,TRUE)*finCalcCh2Prod3Slot1LogExpPerUnit</f>
        <v>0</v>
      </c>
      <c r="F900" s="276" t="s">
        <v>4002</v>
      </c>
    </row>
    <row r="901" spans="1:6" ht="14.25">
      <c r="A901" s="214"/>
      <c r="B901" s="420"/>
      <c r="D901" s="328" t="s">
        <v>14030</v>
      </c>
      <c r="E901" s="497">
        <f>finCalcCh2Prod3Slot1LogExpPerUnit*paramProd3LogExpSI</f>
        <v>0</v>
      </c>
      <c r="F901" s="276" t="s">
        <v>4003</v>
      </c>
    </row>
    <row r="902" spans="1:6" ht="14.25">
      <c r="A902" s="214"/>
      <c r="B902" s="420"/>
      <c r="D902" s="276" t="s">
        <v>1692</v>
      </c>
      <c r="E902" s="327">
        <f>SUM(E899:E901)</f>
        <v>0.29178947368421054</v>
      </c>
      <c r="F902" s="276" t="s">
        <v>12949</v>
      </c>
    </row>
    <row r="903" spans="1:6" ht="14.25">
      <c r="A903" s="214"/>
      <c r="B903" s="420"/>
      <c r="D903" s="276" t="s">
        <v>1284</v>
      </c>
      <c r="E903" s="490">
        <f>finCalcCh2Prod3Slot1LogExpAdjPUnit*finCalcCh2Prod3Slot1VolSold</f>
        <v>28263048.222315788</v>
      </c>
      <c r="F903" s="276" t="s">
        <v>1932</v>
      </c>
    </row>
    <row r="904" spans="1:6" ht="14.25">
      <c r="A904" s="214"/>
      <c r="B904" s="420"/>
      <c r="D904" s="276"/>
      <c r="E904" s="276"/>
      <c r="F904" s="276"/>
    </row>
    <row r="905" spans="1:6" s="322" customFormat="1" ht="13.15" customHeight="1">
      <c r="A905" s="214"/>
      <c r="B905" s="221"/>
      <c r="C905" s="968"/>
      <c r="D905" s="968" t="s">
        <v>3858</v>
      </c>
      <c r="E905" s="967"/>
      <c r="F905" s="214"/>
    </row>
    <row r="906" spans="1:6" s="322" customFormat="1" ht="13.15" customHeight="1">
      <c r="A906" s="214"/>
      <c r="B906" s="221"/>
      <c r="C906" s="323"/>
      <c r="D906" s="323"/>
      <c r="E906" s="324"/>
    </row>
    <row r="907" spans="1:6" ht="14.25">
      <c r="A907" s="214"/>
      <c r="B907" s="420"/>
      <c r="C907" s="217" t="s">
        <v>295</v>
      </c>
    </row>
    <row r="908" spans="1:6" ht="14.25">
      <c r="A908" s="214"/>
      <c r="B908" s="420"/>
      <c r="D908" s="276" t="s">
        <v>577</v>
      </c>
      <c r="E908" s="491">
        <f>IF(calcCh2Prod3Slot2Active=1,IF(xxSim0Tool1=1,calcCh2Prod3Slot2VolForecastSlot,MMCh2Prod3Seg1Slot2UnitsSold+MMCh2Prod3Seg2Slot2UnitsSold+MMCh2Prod3Seg3Slot2UnitsSold+MMCh2Prod3Seg4Slot2UnitsSold),0)</f>
        <v>0</v>
      </c>
      <c r="F908" s="276" t="s">
        <v>1933</v>
      </c>
    </row>
    <row r="909" spans="1:6" ht="14.25">
      <c r="A909" s="214"/>
      <c r="B909" s="420"/>
      <c r="D909" s="276" t="s">
        <v>1762</v>
      </c>
      <c r="E909" s="399">
        <f>IF(VLOOKUP(decCh2Prod3Slot2Pack,dataPackSize,2,FALSE)=0,0,finCalcCh2Prod3Slot2VolSold/VLOOKUP(decCh2Prod3Slot2Pack,dataPackSize,2,FALSE))</f>
        <v>0</v>
      </c>
      <c r="F909" s="276" t="s">
        <v>1934</v>
      </c>
    </row>
    <row r="910" spans="1:6" ht="14.25">
      <c r="A910" s="214"/>
      <c r="B910" s="420"/>
      <c r="D910" s="276" t="s">
        <v>966</v>
      </c>
      <c r="E910" s="654">
        <f>IF(calcCh2Prod3Slot2VolForecastSlot=0,100%,finCalcCh2Prod3Slot2VolSold/calcCh2Prod3Slot2VolForecastSlot)</f>
        <v>1</v>
      </c>
      <c r="F910" s="276" t="s">
        <v>1935</v>
      </c>
    </row>
    <row r="911" spans="1:6" ht="14.25">
      <c r="A911" s="214"/>
      <c r="B911" s="420"/>
      <c r="E911" s="489"/>
    </row>
    <row r="912" spans="1:6" ht="14.25">
      <c r="A912" s="214"/>
      <c r="B912" s="420"/>
      <c r="C912" s="217" t="s">
        <v>3789</v>
      </c>
      <c r="E912" s="489"/>
    </row>
    <row r="913" spans="1:6" ht="14.25">
      <c r="A913" s="214"/>
      <c r="B913" s="420"/>
      <c r="C913" s="217" t="s">
        <v>400</v>
      </c>
    </row>
    <row r="914" spans="1:6" ht="14.25">
      <c r="A914" s="214"/>
      <c r="B914" s="420"/>
      <c r="D914" s="255" t="s">
        <v>526</v>
      </c>
      <c r="E914" s="492">
        <f>VLOOKUP(decCh2Prod3Slot2Pack,dataPackMaterialExp,2,FALSE)</f>
        <v>0</v>
      </c>
      <c r="F914" s="276" t="s">
        <v>4004</v>
      </c>
    </row>
    <row r="915" spans="1:6" ht="14.25">
      <c r="A915" s="214"/>
      <c r="B915" s="420"/>
      <c r="D915" s="328" t="s">
        <v>960</v>
      </c>
      <c r="E915" s="502">
        <f>VLOOKUP(finCalcCh2Prod3Slot2ForcastAcc,dataForecastImpactMatCost,2,TRUE)*E914</f>
        <v>0</v>
      </c>
      <c r="F915" s="276" t="s">
        <v>4005</v>
      </c>
    </row>
    <row r="916" spans="1:6" ht="14.25">
      <c r="A916" s="214"/>
      <c r="B916" s="420"/>
      <c r="D916" s="328" t="s">
        <v>14030</v>
      </c>
      <c r="E916" s="493">
        <f>paramProd3MatExpSI*finCalcCh2Prod3Slot2MatExpPerUnitBase</f>
        <v>0</v>
      </c>
      <c r="F916" s="276" t="s">
        <v>4006</v>
      </c>
    </row>
    <row r="917" spans="1:6" ht="14.25">
      <c r="A917" s="214"/>
      <c r="B917" s="420"/>
      <c r="D917" s="209" t="s">
        <v>518</v>
      </c>
      <c r="E917" s="327">
        <f>SUM(E914:E916)</f>
        <v>0</v>
      </c>
      <c r="F917" s="276" t="s">
        <v>4007</v>
      </c>
    </row>
    <row r="918" spans="1:6" ht="14.25">
      <c r="A918" s="214"/>
      <c r="B918" s="420"/>
      <c r="D918" s="209" t="s">
        <v>401</v>
      </c>
      <c r="E918" s="220">
        <f>finCalcCh2Prod3Slot2MatExpPUnitTot*finCalcCh2Prod3Slot2VolSold</f>
        <v>0</v>
      </c>
      <c r="F918" s="276" t="s">
        <v>12950</v>
      </c>
    </row>
    <row r="919" spans="1:6" ht="14.25">
      <c r="A919" s="214"/>
      <c r="B919" s="420"/>
      <c r="C919" s="208"/>
      <c r="F919" s="276"/>
    </row>
    <row r="920" spans="1:6" ht="14.25">
      <c r="A920" s="214"/>
      <c r="B920" s="420"/>
      <c r="C920" s="217" t="s">
        <v>399</v>
      </c>
      <c r="E920" s="224"/>
    </row>
    <row r="921" spans="1:6" ht="14.25">
      <c r="A921" s="214"/>
      <c r="B921" s="420"/>
      <c r="D921" s="328" t="s">
        <v>969</v>
      </c>
      <c r="E921" s="510">
        <f>VLOOKUP(decCh2Prod3Slot2Pack,dataPackLabourHrs,2,FALSE)</f>
        <v>0</v>
      </c>
      <c r="F921" s="276" t="s">
        <v>4008</v>
      </c>
    </row>
    <row r="922" spans="1:6" ht="14.25">
      <c r="A922" s="214"/>
      <c r="B922" s="420"/>
      <c r="D922" s="328" t="s">
        <v>960</v>
      </c>
      <c r="E922" s="510">
        <f>VLOOKUP(finCalcCh2Prod3Slot2ForcastAcc,dataForecastImpactLabCost,2,TRUE)*finCalcCh2Prod3Slot2LabourHrsReqPVolBase</f>
        <v>0</v>
      </c>
      <c r="F922" s="276" t="s">
        <v>4009</v>
      </c>
    </row>
    <row r="923" spans="1:6" ht="14.25">
      <c r="A923" s="214"/>
      <c r="B923" s="420"/>
      <c r="D923" s="328" t="s">
        <v>14030</v>
      </c>
      <c r="E923" s="510">
        <f>paramProd3LabourExpSI*finCalcCh2Prod3Slot2LabourHrsReqPVolBase</f>
        <v>0</v>
      </c>
      <c r="F923" s="276" t="s">
        <v>4010</v>
      </c>
    </row>
    <row r="924" spans="1:6" ht="14.25">
      <c r="A924" s="214"/>
      <c r="B924" s="420"/>
      <c r="D924" s="209" t="s">
        <v>3795</v>
      </c>
      <c r="E924" s="511">
        <f>SUM(E921:E923)</f>
        <v>0</v>
      </c>
      <c r="F924" s="276" t="s">
        <v>4011</v>
      </c>
    </row>
    <row r="925" spans="1:6" ht="14.25">
      <c r="A925" s="214"/>
      <c r="B925" s="420"/>
      <c r="D925" s="328"/>
      <c r="E925" s="499"/>
      <c r="F925" s="276"/>
    </row>
    <row r="926" spans="1:6" ht="14.25">
      <c r="A926" s="214"/>
      <c r="B926" s="420"/>
      <c r="D926" s="209" t="s">
        <v>974</v>
      </c>
      <c r="E926" s="494">
        <f>paramLabourCostPerHr</f>
        <v>5</v>
      </c>
      <c r="F926" s="276" t="s">
        <v>4012</v>
      </c>
    </row>
    <row r="927" spans="1:6" ht="14.25">
      <c r="A927" s="214"/>
      <c r="B927" s="420"/>
      <c r="D927" s="209" t="s">
        <v>3793</v>
      </c>
      <c r="E927" s="500">
        <f>finCalcCh2Prod3Slot2VolSold*finCalcCh2Prod3Slot2LabourHrsReqPVolTot</f>
        <v>0</v>
      </c>
    </row>
    <row r="928" spans="1:6" ht="14.25">
      <c r="A928" s="214"/>
      <c r="B928" s="420"/>
      <c r="D928" s="276" t="s">
        <v>973</v>
      </c>
      <c r="E928" s="220">
        <f>E927*finCalcCh2Prod3Slot2LabourCostPerHour</f>
        <v>0</v>
      </c>
      <c r="F928" s="276" t="s">
        <v>12951</v>
      </c>
    </row>
    <row r="929" spans="1:6" ht="14.25">
      <c r="A929" s="214"/>
      <c r="B929" s="420"/>
      <c r="E929" s="223"/>
    </row>
    <row r="930" spans="1:6" ht="14.25">
      <c r="A930" s="214"/>
      <c r="B930" s="420"/>
      <c r="C930" s="217" t="s">
        <v>513</v>
      </c>
      <c r="E930" s="223"/>
    </row>
    <row r="931" spans="1:6" ht="14.25">
      <c r="A931" s="214"/>
      <c r="B931" s="420"/>
      <c r="C931" s="326"/>
      <c r="D931" s="276" t="s">
        <v>570</v>
      </c>
      <c r="E931" s="491">
        <f>CalcCh2Prod3Slot2ManufacturingCostPUnit</f>
        <v>0</v>
      </c>
      <c r="F931" s="276"/>
    </row>
    <row r="932" spans="1:6" ht="14.25">
      <c r="A932" s="214"/>
      <c r="B932" s="420"/>
      <c r="C932" s="326"/>
      <c r="D932" s="209" t="s">
        <v>514</v>
      </c>
      <c r="E932" s="490">
        <f>E931*finCalcCh2Prod3Slot2VolSold</f>
        <v>0</v>
      </c>
      <c r="F932" s="276" t="s">
        <v>12952</v>
      </c>
    </row>
    <row r="933" spans="1:6" ht="14.25">
      <c r="A933" s="214"/>
      <c r="B933" s="420"/>
      <c r="C933" s="208"/>
    </row>
    <row r="934" spans="1:6" ht="14.25">
      <c r="A934" s="214"/>
      <c r="B934" s="420"/>
      <c r="C934" s="498" t="s">
        <v>398</v>
      </c>
    </row>
    <row r="935" spans="1:6" ht="14.25">
      <c r="A935" s="214"/>
      <c r="B935" s="420"/>
      <c r="C935" s="208" t="s">
        <v>398</v>
      </c>
      <c r="E935" s="223"/>
    </row>
    <row r="936" spans="1:6" ht="14.25">
      <c r="A936" s="214"/>
      <c r="B936" s="420"/>
      <c r="D936" s="209" t="s">
        <v>450</v>
      </c>
      <c r="E936" s="220">
        <f>CalcCh2Prod3Slot2Depreciation</f>
        <v>0</v>
      </c>
      <c r="F936" s="276" t="s">
        <v>1936</v>
      </c>
    </row>
    <row r="937" spans="1:6" ht="14.25">
      <c r="A937" s="214"/>
      <c r="B937" s="420"/>
    </row>
    <row r="938" spans="1:6" ht="14.25">
      <c r="A938" s="214"/>
      <c r="B938" s="420"/>
      <c r="C938" s="217" t="s">
        <v>13066</v>
      </c>
    </row>
    <row r="939" spans="1:6" ht="14.25">
      <c r="A939" s="214"/>
      <c r="B939" s="420"/>
      <c r="D939" s="209" t="s">
        <v>400</v>
      </c>
      <c r="E939" s="495">
        <f>finCalcCh2Prod3Slot2MatExpPUnitTot</f>
        <v>0</v>
      </c>
    </row>
    <row r="940" spans="1:6" ht="14.25">
      <c r="A940" s="214"/>
      <c r="B940" s="420"/>
      <c r="D940" s="209" t="s">
        <v>399</v>
      </c>
      <c r="E940" s="495">
        <f>finCalcCh2Prod3Slot2LabourCostPerHour*finCalcCh2Prod3Slot2LabourHrsReqPVolTot</f>
        <v>0</v>
      </c>
    </row>
    <row r="941" spans="1:6" ht="14.25">
      <c r="A941" s="214"/>
      <c r="B941" s="420"/>
      <c r="D941" s="209" t="s">
        <v>513</v>
      </c>
      <c r="E941" s="495">
        <f>E931</f>
        <v>0</v>
      </c>
    </row>
    <row r="942" spans="1:6" ht="14.25">
      <c r="A942" s="214"/>
      <c r="B942" s="420"/>
      <c r="D942" s="209" t="s">
        <v>398</v>
      </c>
      <c r="E942" s="496">
        <f>CalcCh2Prod3Slot2DepreciationPUnit</f>
        <v>0</v>
      </c>
    </row>
    <row r="943" spans="1:6" ht="14.25">
      <c r="A943" s="214"/>
      <c r="B943" s="420"/>
      <c r="C943" s="208" t="s">
        <v>397</v>
      </c>
      <c r="E943" s="490">
        <f>SUM(E939:E942)</f>
        <v>0</v>
      </c>
      <c r="F943" s="276" t="s">
        <v>1937</v>
      </c>
    </row>
    <row r="944" spans="1:6" ht="14.25">
      <c r="A944" s="214"/>
      <c r="B944" s="420"/>
    </row>
    <row r="945" spans="1:6" ht="14.25">
      <c r="A945" s="214"/>
      <c r="B945" s="420"/>
      <c r="C945" s="217" t="s">
        <v>519</v>
      </c>
    </row>
    <row r="946" spans="1:6" ht="14.25">
      <c r="A946" s="214"/>
      <c r="B946" s="420"/>
      <c r="D946" s="328" t="s">
        <v>1286</v>
      </c>
      <c r="E946" s="492">
        <f>VLOOKUP(decCh2Prod3Slot2Pack,dataPackLogisticsCost,2,FALSE)</f>
        <v>0</v>
      </c>
      <c r="F946" s="276" t="s">
        <v>2938</v>
      </c>
    </row>
    <row r="947" spans="1:6" ht="14.25">
      <c r="A947" s="214"/>
      <c r="B947" s="420"/>
      <c r="D947" s="328" t="s">
        <v>960</v>
      </c>
      <c r="E947" s="501">
        <f>VLOOKUP(finCalcCh2Prod3Slot2ForcastAcc,dataForecastImpactLogisticsCost,2,TRUE)*finCalcCh2Prod3Slot2LogExpPerUnit</f>
        <v>0</v>
      </c>
      <c r="F947" s="276" t="s">
        <v>4013</v>
      </c>
    </row>
    <row r="948" spans="1:6" ht="14.25">
      <c r="A948" s="214"/>
      <c r="B948" s="420"/>
      <c r="D948" s="328" t="s">
        <v>14030</v>
      </c>
      <c r="E948" s="497">
        <f>finCalcCh2Prod3Slot2LogExpPerUnit*paramProd3LogExpSI</f>
        <v>0</v>
      </c>
      <c r="F948" s="276" t="s">
        <v>4014</v>
      </c>
    </row>
    <row r="949" spans="1:6" ht="14.25">
      <c r="A949" s="214"/>
      <c r="B949" s="420"/>
      <c r="D949" s="276" t="s">
        <v>1692</v>
      </c>
      <c r="E949" s="327">
        <f>SUM(E946:E948)</f>
        <v>0</v>
      </c>
      <c r="F949" s="276" t="s">
        <v>12953</v>
      </c>
    </row>
    <row r="950" spans="1:6" ht="14.25">
      <c r="A950" s="214"/>
      <c r="B950" s="420"/>
      <c r="D950" s="276" t="s">
        <v>1284</v>
      </c>
      <c r="E950" s="490">
        <f>finCalcCh2Prod3Slot2LogExpAdjPUnit*finCalcCh2Prod3Slot2VolSold</f>
        <v>0</v>
      </c>
      <c r="F950" s="276" t="s">
        <v>1938</v>
      </c>
    </row>
    <row r="951" spans="1:6" ht="14.25">
      <c r="A951" s="214"/>
      <c r="B951" s="420"/>
      <c r="D951" s="276"/>
      <c r="E951" s="276"/>
      <c r="F951" s="276"/>
    </row>
    <row r="952" spans="1:6" s="322" customFormat="1" ht="13.15" customHeight="1">
      <c r="A952" s="214"/>
      <c r="B952" s="221"/>
      <c r="C952" s="968"/>
      <c r="D952" s="968" t="s">
        <v>3860</v>
      </c>
      <c r="E952" s="967"/>
      <c r="F952" s="214"/>
    </row>
    <row r="953" spans="1:6" s="322" customFormat="1" ht="13.15" customHeight="1">
      <c r="A953" s="214"/>
      <c r="B953" s="221"/>
      <c r="C953" s="323"/>
      <c r="D953" s="323"/>
      <c r="E953" s="324"/>
    </row>
    <row r="954" spans="1:6" ht="14.25">
      <c r="A954" s="214"/>
      <c r="B954" s="420"/>
      <c r="C954" s="217" t="s">
        <v>295</v>
      </c>
    </row>
    <row r="955" spans="1:6" ht="14.25">
      <c r="A955" s="214"/>
      <c r="B955" s="420"/>
      <c r="D955" s="276" t="s">
        <v>577</v>
      </c>
      <c r="E955" s="491">
        <f>IF(calcCh2Prod3Slot3Active=1,IF(xxSim0Tool1=1,calcCh2Prod3Slot3VolForecastSlot,MMCh2Prod3Seg1Slot3UnitsSold+MMCh2Prod3Seg2Slot3UnitsSold+MMCh2Prod3Seg3Slot3UnitsSold+MMCh2Prod3Seg4Slot3UnitsSold),0)</f>
        <v>0</v>
      </c>
      <c r="F955" s="276" t="s">
        <v>1939</v>
      </c>
    </row>
    <row r="956" spans="1:6" ht="14.25">
      <c r="A956" s="214"/>
      <c r="B956" s="420"/>
      <c r="D956" s="276" t="s">
        <v>1762</v>
      </c>
      <c r="E956" s="399">
        <f>IF(VLOOKUP(decCh2Prod3Slot3Pack,dataPackSize,2,FALSE)=0,0,finCalcCh2Prod3Slot3VolSold/VLOOKUP(decCh2Prod3Slot3Pack,dataPackSize,2,FALSE))</f>
        <v>0</v>
      </c>
      <c r="F956" s="276" t="s">
        <v>1940</v>
      </c>
    </row>
    <row r="957" spans="1:6" ht="14.25">
      <c r="A957" s="214"/>
      <c r="B957" s="420"/>
      <c r="D957" s="276" t="s">
        <v>966</v>
      </c>
      <c r="E957" s="654">
        <f>IF(calcCh2Prod3Slot3VolForecastSlot=0,100%,finCalcCh2Prod3Slot3VolSold/calcCh2Prod3Slot3VolForecastSlot)</f>
        <v>1</v>
      </c>
      <c r="F957" s="276" t="s">
        <v>1941</v>
      </c>
    </row>
    <row r="958" spans="1:6" ht="14.25">
      <c r="A958" s="214"/>
      <c r="B958" s="420"/>
      <c r="E958" s="489"/>
    </row>
    <row r="959" spans="1:6" ht="14.25">
      <c r="A959" s="214"/>
      <c r="B959" s="420"/>
      <c r="C959" s="217" t="s">
        <v>3789</v>
      </c>
      <c r="E959" s="489"/>
    </row>
    <row r="960" spans="1:6" ht="14.25">
      <c r="A960" s="214"/>
      <c r="B960" s="420"/>
      <c r="C960" s="217" t="s">
        <v>400</v>
      </c>
    </row>
    <row r="961" spans="1:6" ht="14.25">
      <c r="A961" s="214"/>
      <c r="B961" s="420"/>
      <c r="D961" s="255" t="s">
        <v>526</v>
      </c>
      <c r="E961" s="492">
        <f>VLOOKUP(decCh2Prod3Slot3Pack,dataPackMaterialExp,2,FALSE)</f>
        <v>0</v>
      </c>
      <c r="F961" s="276" t="s">
        <v>4015</v>
      </c>
    </row>
    <row r="962" spans="1:6" ht="14.25">
      <c r="A962" s="214"/>
      <c r="B962" s="420"/>
      <c r="D962" s="328" t="s">
        <v>960</v>
      </c>
      <c r="E962" s="502">
        <f>VLOOKUP(finCalcCh2Prod3Slot3ForcastAcc,dataForecastImpactMatCost,2,TRUE)*E961</f>
        <v>0</v>
      </c>
      <c r="F962" s="276" t="s">
        <v>4016</v>
      </c>
    </row>
    <row r="963" spans="1:6" ht="14.25">
      <c r="A963" s="214"/>
      <c r="B963" s="420"/>
      <c r="D963" s="328" t="s">
        <v>14030</v>
      </c>
      <c r="E963" s="493">
        <f>paramProd3MatExpSI*finCalcCh2Prod3Slot3MatExpPerUnitBase</f>
        <v>0</v>
      </c>
      <c r="F963" s="276" t="s">
        <v>4017</v>
      </c>
    </row>
    <row r="964" spans="1:6" ht="14.25">
      <c r="A964" s="214"/>
      <c r="B964" s="420"/>
      <c r="D964" s="209" t="s">
        <v>518</v>
      </c>
      <c r="E964" s="327">
        <f>SUM(E961:E963)</f>
        <v>0</v>
      </c>
      <c r="F964" s="276" t="s">
        <v>4018</v>
      </c>
    </row>
    <row r="965" spans="1:6" ht="14.25">
      <c r="A965" s="214"/>
      <c r="B965" s="420"/>
      <c r="D965" s="209" t="s">
        <v>401</v>
      </c>
      <c r="E965" s="220">
        <f>finCalcCh2Prod3Slot3MatExpPUnitTot*finCalcCh2Prod3Slot3VolSold</f>
        <v>0</v>
      </c>
      <c r="F965" s="276" t="s">
        <v>12954</v>
      </c>
    </row>
    <row r="966" spans="1:6" ht="14.25">
      <c r="A966" s="214"/>
      <c r="B966" s="420"/>
      <c r="C966" s="208"/>
      <c r="F966" s="276"/>
    </row>
    <row r="967" spans="1:6" ht="14.25">
      <c r="A967" s="214"/>
      <c r="B967" s="420"/>
      <c r="C967" s="217" t="s">
        <v>399</v>
      </c>
      <c r="E967" s="224"/>
    </row>
    <row r="968" spans="1:6" ht="14.25">
      <c r="A968" s="214"/>
      <c r="B968" s="420"/>
      <c r="D968" s="328" t="s">
        <v>969</v>
      </c>
      <c r="E968" s="510">
        <f>VLOOKUP(decCh2Prod3Slot3Pack,dataPackLabourHrs,2,FALSE)</f>
        <v>0</v>
      </c>
      <c r="F968" s="276" t="s">
        <v>4019</v>
      </c>
    </row>
    <row r="969" spans="1:6" ht="14.25">
      <c r="A969" s="214"/>
      <c r="B969" s="420"/>
      <c r="D969" s="328" t="s">
        <v>960</v>
      </c>
      <c r="E969" s="510">
        <f>VLOOKUP(finCalcCh2Prod3Slot3ForcastAcc,dataForecastImpactLabCost,2,TRUE)*finCalcCh2Prod3Slot3LabourHrsReqPVolBase</f>
        <v>0</v>
      </c>
      <c r="F969" s="276" t="s">
        <v>4020</v>
      </c>
    </row>
    <row r="970" spans="1:6" ht="14.25">
      <c r="A970" s="214"/>
      <c r="B970" s="420"/>
      <c r="D970" s="328" t="s">
        <v>14030</v>
      </c>
      <c r="E970" s="510">
        <f>paramProd3LabourExpSI*finCalcCh2Prod3Slot3LabourHrsReqPVolBase</f>
        <v>0</v>
      </c>
      <c r="F970" s="276" t="s">
        <v>4021</v>
      </c>
    </row>
    <row r="971" spans="1:6" ht="14.25">
      <c r="A971" s="214"/>
      <c r="B971" s="420"/>
      <c r="D971" s="209" t="s">
        <v>3795</v>
      </c>
      <c r="E971" s="511">
        <f>SUM(E968:E970)</f>
        <v>0</v>
      </c>
      <c r="F971" s="276" t="s">
        <v>4022</v>
      </c>
    </row>
    <row r="972" spans="1:6" ht="14.25">
      <c r="A972" s="214"/>
      <c r="B972" s="420"/>
      <c r="D972" s="328"/>
      <c r="E972" s="499"/>
      <c r="F972" s="276"/>
    </row>
    <row r="973" spans="1:6" ht="14.25">
      <c r="A973" s="214"/>
      <c r="B973" s="420"/>
      <c r="D973" s="209" t="s">
        <v>974</v>
      </c>
      <c r="E973" s="494">
        <f>paramLabourCostPerHr</f>
        <v>5</v>
      </c>
      <c r="F973" s="276" t="s">
        <v>4023</v>
      </c>
    </row>
    <row r="974" spans="1:6" ht="14.25">
      <c r="A974" s="214"/>
      <c r="B974" s="420"/>
      <c r="D974" s="209" t="s">
        <v>3793</v>
      </c>
      <c r="E974" s="500">
        <f>finCalcCh2Prod3Slot3VolSold*finCalcCh2Prod3Slot3LabourHrsReqPVolTot</f>
        <v>0</v>
      </c>
    </row>
    <row r="975" spans="1:6" ht="14.25">
      <c r="A975" s="214"/>
      <c r="B975" s="420"/>
      <c r="D975" s="276" t="s">
        <v>973</v>
      </c>
      <c r="E975" s="220">
        <f>E974*finCalcCh2Prod3Slot3LabourCostPerHour</f>
        <v>0</v>
      </c>
      <c r="F975" s="276" t="s">
        <v>12955</v>
      </c>
    </row>
    <row r="976" spans="1:6" ht="14.25">
      <c r="A976" s="214"/>
      <c r="B976" s="420"/>
      <c r="E976" s="223"/>
    </row>
    <row r="977" spans="1:6" ht="14.25">
      <c r="A977" s="214"/>
      <c r="B977" s="420"/>
      <c r="C977" s="217" t="s">
        <v>513</v>
      </c>
      <c r="E977" s="223"/>
    </row>
    <row r="978" spans="1:6" ht="14.25">
      <c r="A978" s="214"/>
      <c r="B978" s="420"/>
      <c r="C978" s="326"/>
      <c r="D978" s="276" t="s">
        <v>570</v>
      </c>
      <c r="E978" s="491">
        <f>CalcCh2Prod3Slot3ManufacturingCostPUnit</f>
        <v>0</v>
      </c>
      <c r="F978" s="276"/>
    </row>
    <row r="979" spans="1:6" ht="14.25">
      <c r="A979" s="214"/>
      <c r="B979" s="420"/>
      <c r="C979" s="326"/>
      <c r="D979" s="209" t="s">
        <v>514</v>
      </c>
      <c r="E979" s="490">
        <f>E978*finCalcCh2Prod3Slot3VolSold</f>
        <v>0</v>
      </c>
      <c r="F979" s="276" t="s">
        <v>12956</v>
      </c>
    </row>
    <row r="980" spans="1:6" ht="14.25">
      <c r="A980" s="214"/>
      <c r="B980" s="420"/>
      <c r="C980" s="208"/>
    </row>
    <row r="981" spans="1:6" ht="14.25">
      <c r="A981" s="214"/>
      <c r="B981" s="420"/>
      <c r="C981" s="498" t="s">
        <v>398</v>
      </c>
    </row>
    <row r="982" spans="1:6" ht="14.25">
      <c r="A982" s="214"/>
      <c r="B982" s="420"/>
      <c r="C982" s="208" t="s">
        <v>398</v>
      </c>
      <c r="E982" s="223"/>
    </row>
    <row r="983" spans="1:6" ht="14.25">
      <c r="A983" s="214"/>
      <c r="B983" s="420"/>
      <c r="D983" s="209" t="s">
        <v>450</v>
      </c>
      <c r="E983" s="220">
        <f>CalcCh2Prod3Slot3Depreciation</f>
        <v>0</v>
      </c>
      <c r="F983" s="276" t="s">
        <v>1942</v>
      </c>
    </row>
    <row r="984" spans="1:6" ht="14.25">
      <c r="A984" s="214"/>
      <c r="B984" s="420"/>
    </row>
    <row r="985" spans="1:6" ht="14.25">
      <c r="A985" s="214"/>
      <c r="B985" s="420"/>
      <c r="C985" s="217" t="s">
        <v>13066</v>
      </c>
    </row>
    <row r="986" spans="1:6" ht="14.25">
      <c r="A986" s="214"/>
      <c r="B986" s="420"/>
      <c r="D986" s="209" t="s">
        <v>400</v>
      </c>
      <c r="E986" s="495">
        <f>finCalcCh2Prod3Slot3MatExpPUnitTot</f>
        <v>0</v>
      </c>
    </row>
    <row r="987" spans="1:6" ht="14.25">
      <c r="A987" s="214"/>
      <c r="B987" s="420"/>
      <c r="D987" s="209" t="s">
        <v>399</v>
      </c>
      <c r="E987" s="495">
        <f>finCalcCh2Prod3Slot3LabourCostPerHour*finCalcCh2Prod3Slot3LabourHrsReqPVolTot</f>
        <v>0</v>
      </c>
    </row>
    <row r="988" spans="1:6" ht="14.25">
      <c r="A988" s="214"/>
      <c r="B988" s="420"/>
      <c r="D988" s="209" t="s">
        <v>513</v>
      </c>
      <c r="E988" s="495">
        <f>E978</f>
        <v>0</v>
      </c>
    </row>
    <row r="989" spans="1:6" ht="14.25">
      <c r="A989" s="214"/>
      <c r="B989" s="420"/>
      <c r="D989" s="209" t="s">
        <v>398</v>
      </c>
      <c r="E989" s="496">
        <f>CalcCh2Prod3Slot3DepreciationPUnit</f>
        <v>0</v>
      </c>
    </row>
    <row r="990" spans="1:6" ht="14.25">
      <c r="A990" s="214"/>
      <c r="B990" s="420"/>
      <c r="C990" s="208" t="s">
        <v>397</v>
      </c>
      <c r="E990" s="490">
        <f>SUM(E986:E989)</f>
        <v>0</v>
      </c>
      <c r="F990" s="276" t="s">
        <v>1943</v>
      </c>
    </row>
    <row r="991" spans="1:6" ht="14.25">
      <c r="A991" s="214"/>
      <c r="B991" s="420"/>
    </row>
    <row r="992" spans="1:6" ht="14.25">
      <c r="A992" s="214"/>
      <c r="B992" s="420"/>
      <c r="C992" s="217" t="s">
        <v>519</v>
      </c>
    </row>
    <row r="993" spans="1:6" ht="14.25">
      <c r="A993" s="214"/>
      <c r="B993" s="420"/>
      <c r="D993" s="328" t="s">
        <v>1286</v>
      </c>
      <c r="E993" s="492">
        <f>VLOOKUP(decCh2Prod3Slot3Pack,dataPackLogisticsCost,2,FALSE)</f>
        <v>0</v>
      </c>
      <c r="F993" s="276" t="s">
        <v>2939</v>
      </c>
    </row>
    <row r="994" spans="1:6" ht="14.25">
      <c r="A994" s="214"/>
      <c r="B994" s="420"/>
      <c r="D994" s="328" t="s">
        <v>960</v>
      </c>
      <c r="E994" s="501">
        <f>VLOOKUP(finCalcCh2Prod3Slot3ForcastAcc,dataForecastImpactLogisticsCost,2,TRUE)*finCalcCh2Prod3Slot3LogExpPerUnit</f>
        <v>0</v>
      </c>
      <c r="F994" s="276" t="s">
        <v>4024</v>
      </c>
    </row>
    <row r="995" spans="1:6" ht="14.25">
      <c r="A995" s="214"/>
      <c r="B995" s="420"/>
      <c r="D995" s="328" t="s">
        <v>14030</v>
      </c>
      <c r="E995" s="497">
        <f>finCalcCh2Prod3Slot3LogExpPerUnit*paramProd3LogExpSI</f>
        <v>0</v>
      </c>
      <c r="F995" s="276" t="s">
        <v>4025</v>
      </c>
    </row>
    <row r="996" spans="1:6" ht="14.25">
      <c r="A996" s="214"/>
      <c r="B996" s="420"/>
      <c r="D996" s="276" t="s">
        <v>1692</v>
      </c>
      <c r="E996" s="327">
        <f>SUM(E993:E995)</f>
        <v>0</v>
      </c>
      <c r="F996" s="276" t="s">
        <v>12957</v>
      </c>
    </row>
    <row r="997" spans="1:6" ht="14.25">
      <c r="A997" s="214"/>
      <c r="B997" s="420"/>
      <c r="D997" s="276" t="s">
        <v>1284</v>
      </c>
      <c r="E997" s="490">
        <f>finCalcCh2Prod3Slot3LogExpAdjPUnit*finCalcCh2Prod3Slot3VolSold</f>
        <v>0</v>
      </c>
      <c r="F997" s="276" t="s">
        <v>1944</v>
      </c>
    </row>
    <row r="998" spans="1:6" ht="14.25">
      <c r="A998" s="214"/>
      <c r="B998" s="420"/>
      <c r="D998" s="276"/>
      <c r="E998" s="276"/>
      <c r="F998" s="276"/>
    </row>
    <row r="999" spans="1:6" s="322" customFormat="1" ht="13.15" customHeight="1">
      <c r="A999" s="214"/>
      <c r="B999" s="221"/>
      <c r="C999" s="968" t="s">
        <v>240</v>
      </c>
      <c r="D999" s="968"/>
      <c r="E999" s="967"/>
      <c r="F999" s="214"/>
    </row>
    <row r="1000" spans="1:6" s="322" customFormat="1" ht="13.15" customHeight="1">
      <c r="A1000" s="214"/>
      <c r="B1000" s="221"/>
      <c r="C1000" s="968"/>
      <c r="D1000" s="968" t="s">
        <v>3859</v>
      </c>
      <c r="E1000" s="967"/>
      <c r="F1000" s="214"/>
    </row>
    <row r="1001" spans="1:6" s="322" customFormat="1" ht="13.15" customHeight="1">
      <c r="A1001" s="214"/>
      <c r="B1001" s="221"/>
      <c r="C1001" s="323"/>
      <c r="D1001" s="323"/>
      <c r="E1001" s="324"/>
    </row>
    <row r="1002" spans="1:6" ht="14.25">
      <c r="A1002" s="214"/>
      <c r="B1002" s="420"/>
      <c r="C1002" s="217" t="s">
        <v>295</v>
      </c>
    </row>
    <row r="1003" spans="1:6" ht="14.25">
      <c r="A1003" s="214"/>
      <c r="B1003" s="420"/>
      <c r="D1003" s="276" t="s">
        <v>577</v>
      </c>
      <c r="E1003" s="491">
        <f>IF(calcCh2Prod4Slot1Active=1,IF(xxSim0Tool1=1,calcCh2Prod4Slot1VolForecastSlot,MMCh2Prod4Seg1Slot1UnitsSold+MMCh2Prod4Seg2Slot1UnitsSold+MMCh2Prod4Seg3Slot1UnitsSold+MMCh2Prod4Seg4Slot1UnitsSold),0)</f>
        <v>0</v>
      </c>
      <c r="F1003" s="276" t="s">
        <v>1945</v>
      </c>
    </row>
    <row r="1004" spans="1:6" ht="14.25">
      <c r="A1004" s="214"/>
      <c r="B1004" s="420"/>
      <c r="D1004" s="276" t="s">
        <v>1762</v>
      </c>
      <c r="E1004" s="399">
        <f>IF(VLOOKUP(decCh2Prod4Slot1Pack,dataPackSize,2,FALSE)=0,0,finCalcCh2Prod4Slot1VolSold/VLOOKUP(decCh2Prod4Slot1Pack,dataPackSize,2,FALSE))</f>
        <v>0</v>
      </c>
      <c r="F1004" s="276" t="s">
        <v>1946</v>
      </c>
    </row>
    <row r="1005" spans="1:6" ht="14.25">
      <c r="A1005" s="214"/>
      <c r="B1005" s="420"/>
      <c r="D1005" s="276" t="s">
        <v>966</v>
      </c>
      <c r="E1005" s="654">
        <f>IF(calcCh2Prod4Slot1VolForecastSlot=0,100%,finCalcCh2Prod4Slot1VolSold/calcCh2Prod4Slot1VolForecastSlot)</f>
        <v>1</v>
      </c>
      <c r="F1005" s="276" t="s">
        <v>1947</v>
      </c>
    </row>
    <row r="1006" spans="1:6" ht="14.25">
      <c r="A1006" s="214"/>
      <c r="B1006" s="420"/>
      <c r="E1006" s="489"/>
    </row>
    <row r="1007" spans="1:6" ht="14.25">
      <c r="A1007" s="214"/>
      <c r="B1007" s="420"/>
      <c r="C1007" s="217" t="s">
        <v>3789</v>
      </c>
      <c r="E1007" s="489"/>
    </row>
    <row r="1008" spans="1:6" ht="14.25">
      <c r="A1008" s="214"/>
      <c r="B1008" s="420"/>
      <c r="C1008" s="217" t="s">
        <v>400</v>
      </c>
    </row>
    <row r="1009" spans="1:6" ht="14.25">
      <c r="A1009" s="214"/>
      <c r="B1009" s="420"/>
      <c r="D1009" s="255" t="s">
        <v>526</v>
      </c>
      <c r="E1009" s="492">
        <f>VLOOKUP(decCh2Prod4Slot1Pack,dataPackMaterialExp,2,FALSE)</f>
        <v>0</v>
      </c>
      <c r="F1009" s="276" t="s">
        <v>4026</v>
      </c>
    </row>
    <row r="1010" spans="1:6" ht="14.25">
      <c r="A1010" s="214"/>
      <c r="B1010" s="420"/>
      <c r="D1010" s="328" t="s">
        <v>960</v>
      </c>
      <c r="E1010" s="502">
        <f>VLOOKUP(finCalcCh2Prod4Slot1ForcastAcc,dataForecastImpactMatCost,2,TRUE)*E1009</f>
        <v>0</v>
      </c>
      <c r="F1010" s="276" t="s">
        <v>4027</v>
      </c>
    </row>
    <row r="1011" spans="1:6" ht="14.25">
      <c r="A1011" s="214"/>
      <c r="B1011" s="420"/>
      <c r="D1011" s="328" t="s">
        <v>14030</v>
      </c>
      <c r="E1011" s="493">
        <f>paramProd4MatExpSI*finCalcCh2Prod4Slot1MatExpPerUnitBase</f>
        <v>0</v>
      </c>
      <c r="F1011" s="276" t="s">
        <v>4028</v>
      </c>
    </row>
    <row r="1012" spans="1:6" ht="14.25">
      <c r="A1012" s="214"/>
      <c r="B1012" s="420"/>
      <c r="D1012" s="209" t="s">
        <v>518</v>
      </c>
      <c r="E1012" s="327">
        <f>SUM(E1009:E1011)</f>
        <v>0</v>
      </c>
      <c r="F1012" s="276" t="s">
        <v>4029</v>
      </c>
    </row>
    <row r="1013" spans="1:6" ht="14.25">
      <c r="A1013" s="214"/>
      <c r="B1013" s="420"/>
      <c r="D1013" s="209" t="s">
        <v>401</v>
      </c>
      <c r="E1013" s="220">
        <f>finCalcCh2Prod4Slot1MatExpPUnitTot*finCalcCh2Prod4Slot1VolSold</f>
        <v>0</v>
      </c>
      <c r="F1013" s="276" t="s">
        <v>12958</v>
      </c>
    </row>
    <row r="1014" spans="1:6" ht="14.25">
      <c r="A1014" s="214"/>
      <c r="B1014" s="420"/>
      <c r="C1014" s="208"/>
      <c r="F1014" s="276"/>
    </row>
    <row r="1015" spans="1:6" ht="14.25">
      <c r="A1015" s="214"/>
      <c r="B1015" s="420"/>
      <c r="C1015" s="217" t="s">
        <v>399</v>
      </c>
      <c r="E1015" s="224"/>
    </row>
    <row r="1016" spans="1:6" ht="14.25">
      <c r="A1016" s="214"/>
      <c r="B1016" s="420"/>
      <c r="D1016" s="328" t="s">
        <v>969</v>
      </c>
      <c r="E1016" s="510">
        <f>VLOOKUP(decCh2Prod4Slot1Pack,dataPackLabourHrs,2,FALSE)</f>
        <v>0</v>
      </c>
      <c r="F1016" s="276" t="s">
        <v>4030</v>
      </c>
    </row>
    <row r="1017" spans="1:6" ht="14.25">
      <c r="A1017" s="214"/>
      <c r="B1017" s="420"/>
      <c r="D1017" s="328" t="s">
        <v>960</v>
      </c>
      <c r="E1017" s="510">
        <f>VLOOKUP(finCalcCh2Prod4Slot1ForcastAcc,dataForecastImpactLabCost,2,TRUE)*finCalcCh2Prod4Slot1LabourHrsReqPVolBase</f>
        <v>0</v>
      </c>
      <c r="F1017" s="276" t="s">
        <v>4031</v>
      </c>
    </row>
    <row r="1018" spans="1:6" ht="14.25">
      <c r="A1018" s="214"/>
      <c r="B1018" s="420"/>
      <c r="D1018" s="328" t="s">
        <v>14030</v>
      </c>
      <c r="E1018" s="510">
        <f>paramProd4LabourExpSI*finCalcCh2Prod4Slot1LabourHrsReqPVolBase</f>
        <v>0</v>
      </c>
      <c r="F1018" s="276" t="s">
        <v>4032</v>
      </c>
    </row>
    <row r="1019" spans="1:6" ht="14.25">
      <c r="A1019" s="214"/>
      <c r="B1019" s="420"/>
      <c r="D1019" s="209" t="s">
        <v>3795</v>
      </c>
      <c r="E1019" s="511">
        <f>SUM(E1016:E1018)</f>
        <v>0</v>
      </c>
      <c r="F1019" s="276" t="s">
        <v>4033</v>
      </c>
    </row>
    <row r="1020" spans="1:6" ht="14.25">
      <c r="A1020" s="214"/>
      <c r="B1020" s="420"/>
      <c r="D1020" s="328"/>
      <c r="E1020" s="499"/>
      <c r="F1020" s="276"/>
    </row>
    <row r="1021" spans="1:6" ht="14.25">
      <c r="A1021" s="214"/>
      <c r="B1021" s="420"/>
      <c r="D1021" s="209" t="s">
        <v>974</v>
      </c>
      <c r="E1021" s="494">
        <f>paramLabourCostPerHr</f>
        <v>5</v>
      </c>
      <c r="F1021" s="276" t="s">
        <v>4034</v>
      </c>
    </row>
    <row r="1022" spans="1:6" ht="14.25">
      <c r="A1022" s="214"/>
      <c r="B1022" s="420"/>
      <c r="D1022" s="209" t="s">
        <v>3793</v>
      </c>
      <c r="E1022" s="500">
        <f>finCalcCh2Prod4Slot1VolSold*finCalcCh2Prod4Slot1LabourHrsReqPVolTot</f>
        <v>0</v>
      </c>
    </row>
    <row r="1023" spans="1:6" ht="14.25">
      <c r="A1023" s="214"/>
      <c r="B1023" s="420"/>
      <c r="D1023" s="276" t="s">
        <v>973</v>
      </c>
      <c r="E1023" s="220">
        <f>E1022*finCalcCh2Prod4Slot1LabourCostPerHour</f>
        <v>0</v>
      </c>
      <c r="F1023" s="276" t="s">
        <v>12959</v>
      </c>
    </row>
    <row r="1024" spans="1:6" ht="14.25">
      <c r="A1024" s="214"/>
      <c r="B1024" s="420"/>
      <c r="E1024" s="223"/>
    </row>
    <row r="1025" spans="1:6" ht="14.25">
      <c r="A1025" s="214"/>
      <c r="B1025" s="420"/>
      <c r="C1025" s="217" t="s">
        <v>513</v>
      </c>
      <c r="E1025" s="223"/>
    </row>
    <row r="1026" spans="1:6" ht="14.25">
      <c r="A1026" s="214"/>
      <c r="B1026" s="420"/>
      <c r="C1026" s="326"/>
      <c r="D1026" s="276" t="s">
        <v>570</v>
      </c>
      <c r="E1026" s="491">
        <f>CalcCh2Prod4Slot1ManufacturingCostPUnit</f>
        <v>0</v>
      </c>
      <c r="F1026" s="276"/>
    </row>
    <row r="1027" spans="1:6" ht="14.25">
      <c r="A1027" s="214"/>
      <c r="B1027" s="420"/>
      <c r="C1027" s="326"/>
      <c r="D1027" s="209" t="s">
        <v>514</v>
      </c>
      <c r="E1027" s="490">
        <f>E1026*finCalcCh2Prod4Slot1VolSold</f>
        <v>0</v>
      </c>
      <c r="F1027" s="276" t="s">
        <v>12960</v>
      </c>
    </row>
    <row r="1028" spans="1:6" ht="14.25">
      <c r="A1028" s="214"/>
      <c r="B1028" s="420"/>
      <c r="C1028" s="208"/>
    </row>
    <row r="1029" spans="1:6" ht="14.25">
      <c r="A1029" s="214"/>
      <c r="B1029" s="420"/>
      <c r="C1029" s="498" t="s">
        <v>398</v>
      </c>
    </row>
    <row r="1030" spans="1:6" ht="14.25">
      <c r="A1030" s="214"/>
      <c r="B1030" s="420"/>
      <c r="C1030" s="208" t="s">
        <v>398</v>
      </c>
      <c r="E1030" s="223"/>
    </row>
    <row r="1031" spans="1:6" ht="14.25">
      <c r="A1031" s="214"/>
      <c r="B1031" s="420"/>
      <c r="D1031" s="209" t="s">
        <v>450</v>
      </c>
      <c r="E1031" s="220">
        <f>CalcCh2Prod4Slot1Depreciation</f>
        <v>0</v>
      </c>
      <c r="F1031" s="276" t="s">
        <v>1948</v>
      </c>
    </row>
    <row r="1032" spans="1:6" ht="14.25">
      <c r="A1032" s="214"/>
      <c r="B1032" s="420"/>
    </row>
    <row r="1033" spans="1:6" ht="14.25">
      <c r="A1033" s="214"/>
      <c r="B1033" s="420"/>
      <c r="C1033" s="217" t="s">
        <v>13066</v>
      </c>
    </row>
    <row r="1034" spans="1:6" ht="14.25">
      <c r="A1034" s="214"/>
      <c r="B1034" s="420"/>
      <c r="D1034" s="209" t="s">
        <v>400</v>
      </c>
      <c r="E1034" s="495">
        <f>finCalcCh2Prod4Slot1MatExpPUnitTot</f>
        <v>0</v>
      </c>
    </row>
    <row r="1035" spans="1:6" ht="14.25">
      <c r="A1035" s="214"/>
      <c r="B1035" s="420"/>
      <c r="D1035" s="209" t="s">
        <v>399</v>
      </c>
      <c r="E1035" s="495">
        <f>finCalcCh2Prod4Slot1LabourCostPerHour*finCalcCh2Prod4Slot1LabourHrsReqPVolTot</f>
        <v>0</v>
      </c>
    </row>
    <row r="1036" spans="1:6" ht="14.25">
      <c r="A1036" s="214"/>
      <c r="B1036" s="420"/>
      <c r="D1036" s="209" t="s">
        <v>513</v>
      </c>
      <c r="E1036" s="495">
        <f>E1026</f>
        <v>0</v>
      </c>
    </row>
    <row r="1037" spans="1:6" ht="14.25">
      <c r="A1037" s="214"/>
      <c r="B1037" s="420"/>
      <c r="D1037" s="209" t="s">
        <v>398</v>
      </c>
      <c r="E1037" s="496">
        <f>CalcCh2Prod4Slot1DepreciationPUnit</f>
        <v>0</v>
      </c>
    </row>
    <row r="1038" spans="1:6" ht="14.25">
      <c r="A1038" s="214"/>
      <c r="B1038" s="420"/>
      <c r="C1038" s="208" t="s">
        <v>397</v>
      </c>
      <c r="E1038" s="490">
        <f>SUM(E1034:E1037)</f>
        <v>0</v>
      </c>
      <c r="F1038" s="276" t="s">
        <v>1949</v>
      </c>
    </row>
    <row r="1039" spans="1:6" ht="14.25">
      <c r="A1039" s="214"/>
      <c r="B1039" s="420"/>
    </row>
    <row r="1040" spans="1:6" ht="14.25">
      <c r="A1040" s="214"/>
      <c r="B1040" s="420"/>
      <c r="C1040" s="217" t="s">
        <v>519</v>
      </c>
    </row>
    <row r="1041" spans="1:6" ht="14.25">
      <c r="A1041" s="214"/>
      <c r="B1041" s="420"/>
      <c r="D1041" s="328" t="s">
        <v>1286</v>
      </c>
      <c r="E1041" s="492">
        <f>VLOOKUP(decCh2Prod4Slot1Pack,dataPackLogisticsCost,2,FALSE)</f>
        <v>0</v>
      </c>
      <c r="F1041" s="276" t="s">
        <v>2940</v>
      </c>
    </row>
    <row r="1042" spans="1:6" ht="14.25">
      <c r="A1042" s="214"/>
      <c r="B1042" s="420"/>
      <c r="D1042" s="328" t="s">
        <v>960</v>
      </c>
      <c r="E1042" s="501">
        <f>VLOOKUP(finCalcCh2Prod4Slot1ForcastAcc,dataForecastImpactLogisticsCost,2,TRUE)*finCalcCh2Prod4Slot1LogExpPerUnit</f>
        <v>0</v>
      </c>
      <c r="F1042" s="276" t="s">
        <v>4035</v>
      </c>
    </row>
    <row r="1043" spans="1:6" ht="14.25">
      <c r="A1043" s="214"/>
      <c r="B1043" s="420"/>
      <c r="D1043" s="328" t="s">
        <v>14030</v>
      </c>
      <c r="E1043" s="497">
        <f>finCalcCh2Prod4Slot1LogExpPerUnit*paramProd4LogExpSI</f>
        <v>0</v>
      </c>
      <c r="F1043" s="276" t="s">
        <v>4036</v>
      </c>
    </row>
    <row r="1044" spans="1:6" ht="14.25">
      <c r="A1044" s="214"/>
      <c r="B1044" s="420"/>
      <c r="D1044" s="276" t="s">
        <v>1692</v>
      </c>
      <c r="E1044" s="327">
        <f>SUM(E1041:E1043)</f>
        <v>0</v>
      </c>
      <c r="F1044" s="276" t="s">
        <v>12961</v>
      </c>
    </row>
    <row r="1045" spans="1:6" ht="14.25">
      <c r="A1045" s="214"/>
      <c r="B1045" s="420"/>
      <c r="D1045" s="276" t="s">
        <v>1284</v>
      </c>
      <c r="E1045" s="490">
        <f>finCalcCh2Prod4Slot1LogExpAdjPUnit*finCalcCh2Prod4Slot1VolSold</f>
        <v>0</v>
      </c>
      <c r="F1045" s="276" t="s">
        <v>1950</v>
      </c>
    </row>
    <row r="1046" spans="1:6" ht="14.25">
      <c r="A1046" s="214"/>
      <c r="B1046" s="420"/>
      <c r="D1046" s="276"/>
      <c r="E1046" s="276"/>
      <c r="F1046" s="276"/>
    </row>
    <row r="1047" spans="1:6" s="322" customFormat="1" ht="13.15" customHeight="1">
      <c r="A1047" s="214"/>
      <c r="B1047" s="221"/>
      <c r="C1047" s="968"/>
      <c r="D1047" s="968" t="s">
        <v>3858</v>
      </c>
      <c r="E1047" s="967"/>
      <c r="F1047" s="214"/>
    </row>
    <row r="1048" spans="1:6" s="322" customFormat="1" ht="13.15" customHeight="1">
      <c r="A1048" s="214"/>
      <c r="B1048" s="221"/>
      <c r="C1048" s="323"/>
      <c r="D1048" s="323"/>
      <c r="E1048" s="324"/>
    </row>
    <row r="1049" spans="1:6" ht="14.25">
      <c r="A1049" s="214"/>
      <c r="B1049" s="420"/>
      <c r="C1049" s="217" t="s">
        <v>295</v>
      </c>
    </row>
    <row r="1050" spans="1:6" ht="14.25">
      <c r="A1050" s="214"/>
      <c r="B1050" s="420"/>
      <c r="D1050" s="276" t="s">
        <v>577</v>
      </c>
      <c r="E1050" s="491">
        <f>IF(calcCh2Prod4Slot2Active=1,IF(xxSim0Tool1=1,calcCh2Prod4Slot2VolForecastSlot,MMCh2Prod4Seg1Slot2UnitsSold+MMCh2Prod4Seg2Slot2UnitsSold+MMCh2Prod4Seg3Slot2UnitsSold+MMCh2Prod4Seg4Slot2UnitsSold),0)</f>
        <v>0</v>
      </c>
      <c r="F1050" s="276" t="s">
        <v>1951</v>
      </c>
    </row>
    <row r="1051" spans="1:6" ht="14.25">
      <c r="A1051" s="214"/>
      <c r="B1051" s="420"/>
      <c r="D1051" s="276" t="s">
        <v>1762</v>
      </c>
      <c r="E1051" s="399">
        <f>IF(VLOOKUP(decCh2Prod4Slot2Pack,dataPackSize,2,FALSE)=0,0,finCalcCh2Prod4Slot2VolSold/VLOOKUP(decCh2Prod4Slot2Pack,dataPackSize,2,FALSE))</f>
        <v>0</v>
      </c>
      <c r="F1051" s="276" t="s">
        <v>1952</v>
      </c>
    </row>
    <row r="1052" spans="1:6" ht="14.25">
      <c r="A1052" s="214"/>
      <c r="B1052" s="420"/>
      <c r="D1052" s="276" t="s">
        <v>966</v>
      </c>
      <c r="E1052" s="654">
        <f>IF(calcCh2Prod4Slot2VolForecastSlot=0,100%,finCalcCh2Prod4Slot2VolSold/calcCh2Prod4Slot2VolForecastSlot)</f>
        <v>1</v>
      </c>
      <c r="F1052" s="276" t="s">
        <v>1953</v>
      </c>
    </row>
    <row r="1053" spans="1:6" ht="14.25">
      <c r="A1053" s="214"/>
      <c r="B1053" s="420"/>
      <c r="E1053" s="489"/>
    </row>
    <row r="1054" spans="1:6" ht="14.25">
      <c r="A1054" s="214"/>
      <c r="B1054" s="420"/>
      <c r="C1054" s="217" t="s">
        <v>3789</v>
      </c>
      <c r="E1054" s="489"/>
    </row>
    <row r="1055" spans="1:6" ht="14.25">
      <c r="A1055" s="214"/>
      <c r="B1055" s="420"/>
      <c r="C1055" s="217" t="s">
        <v>400</v>
      </c>
    </row>
    <row r="1056" spans="1:6" ht="14.25">
      <c r="A1056" s="214"/>
      <c r="B1056" s="420"/>
      <c r="D1056" s="255" t="s">
        <v>526</v>
      </c>
      <c r="E1056" s="492">
        <f>VLOOKUP(decCh2Prod4Slot2Pack,dataPackMaterialExp,2,FALSE)</f>
        <v>0</v>
      </c>
      <c r="F1056" s="276" t="s">
        <v>4037</v>
      </c>
    </row>
    <row r="1057" spans="1:6" ht="14.25">
      <c r="A1057" s="214"/>
      <c r="B1057" s="420"/>
      <c r="D1057" s="328" t="s">
        <v>960</v>
      </c>
      <c r="E1057" s="502">
        <f>VLOOKUP(finCalcCh2Prod4Slot2ForcastAcc,dataForecastImpactMatCost,2,TRUE)*E1056</f>
        <v>0</v>
      </c>
      <c r="F1057" s="276" t="s">
        <v>4038</v>
      </c>
    </row>
    <row r="1058" spans="1:6" ht="14.25">
      <c r="A1058" s="214"/>
      <c r="B1058" s="420"/>
      <c r="D1058" s="328" t="s">
        <v>14030</v>
      </c>
      <c r="E1058" s="493">
        <f>paramProd4MatExpSI*finCalcCh2Prod4Slot2MatExpPerUnitBase</f>
        <v>0</v>
      </c>
      <c r="F1058" s="276" t="s">
        <v>4039</v>
      </c>
    </row>
    <row r="1059" spans="1:6" ht="14.25">
      <c r="A1059" s="214"/>
      <c r="B1059" s="420"/>
      <c r="D1059" s="209" t="s">
        <v>518</v>
      </c>
      <c r="E1059" s="327">
        <f>SUM(E1056:E1058)</f>
        <v>0</v>
      </c>
      <c r="F1059" s="276" t="s">
        <v>4040</v>
      </c>
    </row>
    <row r="1060" spans="1:6" ht="14.25">
      <c r="A1060" s="214"/>
      <c r="B1060" s="420"/>
      <c r="D1060" s="209" t="s">
        <v>401</v>
      </c>
      <c r="E1060" s="220">
        <f>finCalcCh2Prod4Slot2MatExpPUnitTot*finCalcCh2Prod4Slot2VolSold</f>
        <v>0</v>
      </c>
      <c r="F1060" s="276" t="s">
        <v>12962</v>
      </c>
    </row>
    <row r="1061" spans="1:6" ht="14.25">
      <c r="A1061" s="214"/>
      <c r="B1061" s="420"/>
      <c r="C1061" s="208"/>
      <c r="F1061" s="276"/>
    </row>
    <row r="1062" spans="1:6" ht="14.25">
      <c r="A1062" s="214"/>
      <c r="B1062" s="420"/>
      <c r="C1062" s="217" t="s">
        <v>399</v>
      </c>
      <c r="E1062" s="224"/>
    </row>
    <row r="1063" spans="1:6" ht="14.25">
      <c r="A1063" s="214"/>
      <c r="B1063" s="420"/>
      <c r="D1063" s="328" t="s">
        <v>969</v>
      </c>
      <c r="E1063" s="510">
        <f>VLOOKUP(decCh2Prod4Slot2Pack,dataPackLabourHrs,2,FALSE)</f>
        <v>0</v>
      </c>
      <c r="F1063" s="276" t="s">
        <v>4041</v>
      </c>
    </row>
    <row r="1064" spans="1:6" ht="14.25">
      <c r="A1064" s="214"/>
      <c r="B1064" s="420"/>
      <c r="D1064" s="328" t="s">
        <v>960</v>
      </c>
      <c r="E1064" s="510">
        <f>VLOOKUP(finCalcCh2Prod4Slot2ForcastAcc,dataForecastImpactLabCost,2,TRUE)*finCalcCh2Prod4Slot2LabourHrsReqPVolBase</f>
        <v>0</v>
      </c>
      <c r="F1064" s="276" t="s">
        <v>4042</v>
      </c>
    </row>
    <row r="1065" spans="1:6" ht="14.25">
      <c r="A1065" s="214"/>
      <c r="B1065" s="420"/>
      <c r="D1065" s="328" t="s">
        <v>14030</v>
      </c>
      <c r="E1065" s="510">
        <f>paramProd4LabourExpSI*finCalcCh2Prod4Slot2LabourHrsReqPVolBase</f>
        <v>0</v>
      </c>
      <c r="F1065" s="276" t="s">
        <v>4043</v>
      </c>
    </row>
    <row r="1066" spans="1:6" ht="14.25">
      <c r="A1066" s="214"/>
      <c r="B1066" s="420"/>
      <c r="D1066" s="209" t="s">
        <v>3795</v>
      </c>
      <c r="E1066" s="511">
        <f>SUM(E1063:E1065)</f>
        <v>0</v>
      </c>
      <c r="F1066" s="276" t="s">
        <v>4044</v>
      </c>
    </row>
    <row r="1067" spans="1:6" ht="14.25">
      <c r="A1067" s="214"/>
      <c r="B1067" s="420"/>
      <c r="D1067" s="328"/>
      <c r="E1067" s="499"/>
      <c r="F1067" s="276"/>
    </row>
    <row r="1068" spans="1:6" ht="14.25">
      <c r="A1068" s="214"/>
      <c r="B1068" s="420"/>
      <c r="D1068" s="209" t="s">
        <v>974</v>
      </c>
      <c r="E1068" s="494">
        <f>paramLabourCostPerHr</f>
        <v>5</v>
      </c>
      <c r="F1068" s="276" t="s">
        <v>4045</v>
      </c>
    </row>
    <row r="1069" spans="1:6" ht="14.25">
      <c r="A1069" s="214"/>
      <c r="B1069" s="420"/>
      <c r="D1069" s="209" t="s">
        <v>3793</v>
      </c>
      <c r="E1069" s="500">
        <f>finCalcCh2Prod4Slot2VolSold*finCalcCh2Prod4Slot2LabourHrsReqPVolTot</f>
        <v>0</v>
      </c>
    </row>
    <row r="1070" spans="1:6" ht="14.25">
      <c r="A1070" s="214"/>
      <c r="B1070" s="420"/>
      <c r="D1070" s="276" t="s">
        <v>973</v>
      </c>
      <c r="E1070" s="220">
        <f>E1069*finCalcCh2Prod4Slot2LabourCostPerHour</f>
        <v>0</v>
      </c>
      <c r="F1070" s="276" t="s">
        <v>12963</v>
      </c>
    </row>
    <row r="1071" spans="1:6" ht="14.25">
      <c r="A1071" s="214"/>
      <c r="B1071" s="420"/>
      <c r="E1071" s="223"/>
    </row>
    <row r="1072" spans="1:6" ht="14.25">
      <c r="A1072" s="214"/>
      <c r="B1072" s="420"/>
      <c r="C1072" s="217" t="s">
        <v>513</v>
      </c>
      <c r="E1072" s="223"/>
    </row>
    <row r="1073" spans="1:6" ht="14.25">
      <c r="A1073" s="214"/>
      <c r="B1073" s="420"/>
      <c r="C1073" s="326"/>
      <c r="D1073" s="276" t="s">
        <v>570</v>
      </c>
      <c r="E1073" s="491">
        <f>CalcCh2Prod4Slot2ManufacturingCostPUnit</f>
        <v>0</v>
      </c>
      <c r="F1073" s="276"/>
    </row>
    <row r="1074" spans="1:6" ht="14.25">
      <c r="A1074" s="214"/>
      <c r="B1074" s="420"/>
      <c r="C1074" s="326"/>
      <c r="D1074" s="209" t="s">
        <v>514</v>
      </c>
      <c r="E1074" s="490">
        <f>E1073*finCalcCh2Prod4Slot2VolSold</f>
        <v>0</v>
      </c>
      <c r="F1074" s="276" t="s">
        <v>12964</v>
      </c>
    </row>
    <row r="1075" spans="1:6" ht="14.25">
      <c r="A1075" s="214"/>
      <c r="B1075" s="420"/>
      <c r="C1075" s="208"/>
    </row>
    <row r="1076" spans="1:6" ht="14.25">
      <c r="A1076" s="214"/>
      <c r="B1076" s="420"/>
      <c r="C1076" s="498" t="s">
        <v>398</v>
      </c>
    </row>
    <row r="1077" spans="1:6" ht="14.25">
      <c r="A1077" s="214"/>
      <c r="B1077" s="420"/>
      <c r="C1077" s="208" t="s">
        <v>398</v>
      </c>
      <c r="E1077" s="223"/>
    </row>
    <row r="1078" spans="1:6" ht="14.25">
      <c r="A1078" s="214"/>
      <c r="B1078" s="420"/>
      <c r="D1078" s="209" t="s">
        <v>450</v>
      </c>
      <c r="E1078" s="220">
        <f>CalcCh2Prod4Slot2Depreciation</f>
        <v>0</v>
      </c>
      <c r="F1078" s="276" t="s">
        <v>1954</v>
      </c>
    </row>
    <row r="1079" spans="1:6" ht="14.25">
      <c r="A1079" s="214"/>
      <c r="B1079" s="420"/>
    </row>
    <row r="1080" spans="1:6" ht="14.25">
      <c r="A1080" s="214"/>
      <c r="B1080" s="420"/>
      <c r="C1080" s="217" t="s">
        <v>13066</v>
      </c>
    </row>
    <row r="1081" spans="1:6" ht="14.25">
      <c r="A1081" s="214"/>
      <c r="B1081" s="420"/>
      <c r="D1081" s="209" t="s">
        <v>400</v>
      </c>
      <c r="E1081" s="495">
        <f>finCalcCh2Prod4Slot2MatExpPUnitTot</f>
        <v>0</v>
      </c>
    </row>
    <row r="1082" spans="1:6" ht="14.25">
      <c r="A1082" s="214"/>
      <c r="B1082" s="420"/>
      <c r="D1082" s="209" t="s">
        <v>399</v>
      </c>
      <c r="E1082" s="495">
        <f>finCalcCh2Prod4Slot2LabourCostPerHour*finCalcCh2Prod4Slot2LabourHrsReqPVolTot</f>
        <v>0</v>
      </c>
    </row>
    <row r="1083" spans="1:6" ht="14.25">
      <c r="A1083" s="214"/>
      <c r="B1083" s="420"/>
      <c r="D1083" s="209" t="s">
        <v>513</v>
      </c>
      <c r="E1083" s="495">
        <f>E1073</f>
        <v>0</v>
      </c>
    </row>
    <row r="1084" spans="1:6" ht="14.25">
      <c r="A1084" s="214"/>
      <c r="B1084" s="420"/>
      <c r="D1084" s="209" t="s">
        <v>398</v>
      </c>
      <c r="E1084" s="496">
        <f>CalcCh2Prod4Slot2DepreciationPUnit</f>
        <v>0</v>
      </c>
    </row>
    <row r="1085" spans="1:6" ht="14.25">
      <c r="A1085" s="214"/>
      <c r="B1085" s="420"/>
      <c r="C1085" s="208" t="s">
        <v>397</v>
      </c>
      <c r="E1085" s="490">
        <f>SUM(E1081:E1084)</f>
        <v>0</v>
      </c>
      <c r="F1085" s="276" t="s">
        <v>1955</v>
      </c>
    </row>
    <row r="1086" spans="1:6" ht="14.25">
      <c r="A1086" s="214"/>
      <c r="B1086" s="420"/>
    </row>
    <row r="1087" spans="1:6" ht="14.25">
      <c r="A1087" s="214"/>
      <c r="B1087" s="420"/>
      <c r="C1087" s="217" t="s">
        <v>519</v>
      </c>
    </row>
    <row r="1088" spans="1:6" ht="14.25">
      <c r="A1088" s="214"/>
      <c r="B1088" s="420"/>
      <c r="D1088" s="328" t="s">
        <v>1286</v>
      </c>
      <c r="E1088" s="492">
        <f>VLOOKUP(decCh2Prod4Slot2Pack,dataPackLogisticsCost,2,FALSE)</f>
        <v>0</v>
      </c>
      <c r="F1088" s="276" t="s">
        <v>2941</v>
      </c>
    </row>
    <row r="1089" spans="1:6" ht="14.25">
      <c r="A1089" s="214"/>
      <c r="B1089" s="420"/>
      <c r="D1089" s="328" t="s">
        <v>960</v>
      </c>
      <c r="E1089" s="501">
        <f>VLOOKUP(finCalcCh2Prod4Slot2ForcastAcc,dataForecastImpactLogisticsCost,2,TRUE)*finCalcCh2Prod4Slot2LogExpPerUnit</f>
        <v>0</v>
      </c>
      <c r="F1089" s="276" t="s">
        <v>4046</v>
      </c>
    </row>
    <row r="1090" spans="1:6" ht="14.25">
      <c r="A1090" s="214"/>
      <c r="B1090" s="420"/>
      <c r="D1090" s="328" t="s">
        <v>14030</v>
      </c>
      <c r="E1090" s="497">
        <f>finCalcCh2Prod4Slot2LogExpPerUnit*paramProd4LogExpSI</f>
        <v>0</v>
      </c>
      <c r="F1090" s="276" t="s">
        <v>4047</v>
      </c>
    </row>
    <row r="1091" spans="1:6" ht="14.25">
      <c r="A1091" s="214"/>
      <c r="B1091" s="420"/>
      <c r="D1091" s="276" t="s">
        <v>1692</v>
      </c>
      <c r="E1091" s="327">
        <f>SUM(E1088:E1090)</f>
        <v>0</v>
      </c>
      <c r="F1091" s="276" t="s">
        <v>12965</v>
      </c>
    </row>
    <row r="1092" spans="1:6" ht="14.25">
      <c r="A1092" s="214"/>
      <c r="B1092" s="420"/>
      <c r="D1092" s="276" t="s">
        <v>1284</v>
      </c>
      <c r="E1092" s="490">
        <f>finCalcCh2Prod4Slot2LogExpAdjPUnit*finCalcCh2Prod4Slot2VolSold</f>
        <v>0</v>
      </c>
      <c r="F1092" s="276" t="s">
        <v>1956</v>
      </c>
    </row>
    <row r="1093" spans="1:6" ht="14.25">
      <c r="A1093" s="214"/>
      <c r="B1093" s="420"/>
      <c r="D1093" s="276"/>
      <c r="E1093" s="276"/>
      <c r="F1093" s="276"/>
    </row>
    <row r="1094" spans="1:6" s="322" customFormat="1" ht="13.15" customHeight="1">
      <c r="A1094" s="214"/>
      <c r="B1094" s="221"/>
      <c r="C1094" s="968"/>
      <c r="D1094" s="968" t="s">
        <v>3860</v>
      </c>
      <c r="E1094" s="967"/>
      <c r="F1094" s="214"/>
    </row>
    <row r="1095" spans="1:6" s="322" customFormat="1" ht="13.15" customHeight="1">
      <c r="A1095" s="214"/>
      <c r="B1095" s="221"/>
      <c r="C1095" s="323"/>
      <c r="D1095" s="323"/>
      <c r="E1095" s="324"/>
    </row>
    <row r="1096" spans="1:6" ht="14.25">
      <c r="A1096" s="214"/>
      <c r="B1096" s="420"/>
      <c r="C1096" s="217" t="s">
        <v>295</v>
      </c>
    </row>
    <row r="1097" spans="1:6" ht="14.25">
      <c r="A1097" s="214"/>
      <c r="B1097" s="420"/>
      <c r="D1097" s="276" t="s">
        <v>577</v>
      </c>
      <c r="E1097" s="491">
        <f>IF(calcCh2Prod4Slot3Active=1,IF(xxSim0Tool1=1,calcCh2Prod4Slot3VolForecastSlot,MMCh2Prod4Seg1Slot3UnitsSold+MMCh2Prod4Seg2Slot3UnitsSold+MMCh2Prod4Seg3Slot3UnitsSold+MMCh2Prod4Seg4Slot3UnitsSold),0)</f>
        <v>0</v>
      </c>
      <c r="F1097" s="276" t="s">
        <v>1957</v>
      </c>
    </row>
    <row r="1098" spans="1:6" ht="14.25">
      <c r="A1098" s="214"/>
      <c r="B1098" s="420"/>
      <c r="D1098" s="276" t="s">
        <v>1762</v>
      </c>
      <c r="E1098" s="399">
        <f>IF(VLOOKUP(decCh2Prod4Slot3Pack,dataPackSize,2,FALSE)=0,0,finCalcCh2Prod4Slot3VolSold/VLOOKUP(decCh2Prod4Slot3Pack,dataPackSize,2,FALSE))</f>
        <v>0</v>
      </c>
      <c r="F1098" s="276" t="s">
        <v>1958</v>
      </c>
    </row>
    <row r="1099" spans="1:6" ht="14.25">
      <c r="A1099" s="214"/>
      <c r="B1099" s="420"/>
      <c r="D1099" s="276" t="s">
        <v>966</v>
      </c>
      <c r="E1099" s="654">
        <f>IF(calcCh2Prod4Slot3VolForecastSlot=0,100%,finCalcCh2Prod4Slot3VolSold/calcCh2Prod4Slot3VolForecastSlot)</f>
        <v>1</v>
      </c>
      <c r="F1099" s="276" t="s">
        <v>1959</v>
      </c>
    </row>
    <row r="1100" spans="1:6" ht="14.25">
      <c r="A1100" s="214"/>
      <c r="B1100" s="420"/>
      <c r="E1100" s="489"/>
    </row>
    <row r="1101" spans="1:6" ht="14.25">
      <c r="A1101" s="214"/>
      <c r="B1101" s="420"/>
      <c r="C1101" s="217" t="s">
        <v>3789</v>
      </c>
      <c r="E1101" s="489"/>
    </row>
    <row r="1102" spans="1:6" ht="14.25">
      <c r="A1102" s="214"/>
      <c r="B1102" s="420"/>
      <c r="C1102" s="217" t="s">
        <v>400</v>
      </c>
    </row>
    <row r="1103" spans="1:6" ht="14.25">
      <c r="A1103" s="214"/>
      <c r="B1103" s="420"/>
      <c r="D1103" s="255" t="s">
        <v>526</v>
      </c>
      <c r="E1103" s="492">
        <f>VLOOKUP(decCh2Prod4Slot3Pack,dataPackMaterialExp,2,FALSE)</f>
        <v>0</v>
      </c>
      <c r="F1103" s="276" t="s">
        <v>4048</v>
      </c>
    </row>
    <row r="1104" spans="1:6" ht="14.25">
      <c r="A1104" s="214"/>
      <c r="B1104" s="420"/>
      <c r="D1104" s="328" t="s">
        <v>960</v>
      </c>
      <c r="E1104" s="502">
        <f>VLOOKUP(finCalcCh2Prod4Slot3ForcastAcc,dataForecastImpactMatCost,2,TRUE)*E1103</f>
        <v>0</v>
      </c>
      <c r="F1104" s="276" t="s">
        <v>4049</v>
      </c>
    </row>
    <row r="1105" spans="1:6" ht="14.25">
      <c r="A1105" s="214"/>
      <c r="B1105" s="420"/>
      <c r="D1105" s="328" t="s">
        <v>14030</v>
      </c>
      <c r="E1105" s="493">
        <f>paramProd4MatExpSI*finCalcCh2Prod4Slot3MatExpPerUnitBase</f>
        <v>0</v>
      </c>
      <c r="F1105" s="276" t="s">
        <v>4050</v>
      </c>
    </row>
    <row r="1106" spans="1:6" ht="14.25">
      <c r="A1106" s="214"/>
      <c r="B1106" s="420"/>
      <c r="D1106" s="209" t="s">
        <v>518</v>
      </c>
      <c r="E1106" s="327">
        <f>SUM(E1103:E1105)</f>
        <v>0</v>
      </c>
      <c r="F1106" s="276" t="s">
        <v>4051</v>
      </c>
    </row>
    <row r="1107" spans="1:6" ht="14.25">
      <c r="A1107" s="214"/>
      <c r="B1107" s="420"/>
      <c r="D1107" s="209" t="s">
        <v>401</v>
      </c>
      <c r="E1107" s="220">
        <f>finCalcCh2Prod4Slot3MatExpPUnitTot*finCalcCh2Prod4Slot3VolSold</f>
        <v>0</v>
      </c>
      <c r="F1107" s="276" t="s">
        <v>12966</v>
      </c>
    </row>
    <row r="1108" spans="1:6" ht="14.25">
      <c r="A1108" s="214"/>
      <c r="B1108" s="420"/>
      <c r="C1108" s="208"/>
      <c r="F1108" s="276"/>
    </row>
    <row r="1109" spans="1:6" ht="14.25">
      <c r="A1109" s="214"/>
      <c r="B1109" s="420"/>
      <c r="C1109" s="217" t="s">
        <v>399</v>
      </c>
      <c r="E1109" s="224"/>
    </row>
    <row r="1110" spans="1:6" ht="14.25">
      <c r="A1110" s="214"/>
      <c r="B1110" s="420"/>
      <c r="D1110" s="328" t="s">
        <v>969</v>
      </c>
      <c r="E1110" s="510">
        <f>VLOOKUP(decCh2Prod4Slot3Pack,dataPackLabourHrs,2,FALSE)</f>
        <v>0</v>
      </c>
      <c r="F1110" s="276" t="s">
        <v>4052</v>
      </c>
    </row>
    <row r="1111" spans="1:6" ht="14.25">
      <c r="A1111" s="214"/>
      <c r="B1111" s="420"/>
      <c r="D1111" s="328" t="s">
        <v>960</v>
      </c>
      <c r="E1111" s="510">
        <f>VLOOKUP(finCalcCh2Prod4Slot3ForcastAcc,dataForecastImpactLabCost,2,TRUE)*finCalcCh2Prod4Slot3LabourHrsReqPVolBase</f>
        <v>0</v>
      </c>
      <c r="F1111" s="276" t="s">
        <v>4053</v>
      </c>
    </row>
    <row r="1112" spans="1:6" ht="14.25">
      <c r="A1112" s="214"/>
      <c r="B1112" s="420"/>
      <c r="D1112" s="328" t="s">
        <v>14030</v>
      </c>
      <c r="E1112" s="510">
        <f>paramProd4LabourExpSI*finCalcCh2Prod4Slot3LabourHrsReqPVolBase</f>
        <v>0</v>
      </c>
      <c r="F1112" s="276" t="s">
        <v>4054</v>
      </c>
    </row>
    <row r="1113" spans="1:6" ht="14.25">
      <c r="A1113" s="214"/>
      <c r="B1113" s="420"/>
      <c r="D1113" s="209" t="s">
        <v>3795</v>
      </c>
      <c r="E1113" s="511">
        <f>SUM(E1110:E1112)</f>
        <v>0</v>
      </c>
      <c r="F1113" s="276" t="s">
        <v>4055</v>
      </c>
    </row>
    <row r="1114" spans="1:6" ht="14.25">
      <c r="A1114" s="214"/>
      <c r="B1114" s="420"/>
      <c r="D1114" s="328"/>
      <c r="E1114" s="499"/>
      <c r="F1114" s="276"/>
    </row>
    <row r="1115" spans="1:6" ht="14.25">
      <c r="A1115" s="214"/>
      <c r="B1115" s="420"/>
      <c r="D1115" s="209" t="s">
        <v>974</v>
      </c>
      <c r="E1115" s="494">
        <f>paramLabourCostPerHr</f>
        <v>5</v>
      </c>
      <c r="F1115" s="276" t="s">
        <v>4056</v>
      </c>
    </row>
    <row r="1116" spans="1:6" ht="14.25">
      <c r="A1116" s="214"/>
      <c r="B1116" s="420"/>
      <c r="D1116" s="209" t="s">
        <v>3793</v>
      </c>
      <c r="E1116" s="500">
        <f>finCalcCh2Prod4Slot3VolSold*finCalcCh2Prod4Slot3LabourHrsReqPVolTot</f>
        <v>0</v>
      </c>
    </row>
    <row r="1117" spans="1:6" ht="14.25">
      <c r="A1117" s="214"/>
      <c r="B1117" s="420"/>
      <c r="D1117" s="276" t="s">
        <v>973</v>
      </c>
      <c r="E1117" s="220">
        <f>E1116*finCalcCh2Prod4Slot3LabourCostPerHour</f>
        <v>0</v>
      </c>
      <c r="F1117" s="276" t="s">
        <v>12967</v>
      </c>
    </row>
    <row r="1118" spans="1:6" ht="14.25">
      <c r="A1118" s="214"/>
      <c r="B1118" s="420"/>
      <c r="E1118" s="223"/>
    </row>
    <row r="1119" spans="1:6" ht="14.25">
      <c r="A1119" s="214"/>
      <c r="B1119" s="420"/>
      <c r="C1119" s="217" t="s">
        <v>513</v>
      </c>
      <c r="E1119" s="223"/>
    </row>
    <row r="1120" spans="1:6" ht="14.25">
      <c r="A1120" s="214"/>
      <c r="B1120" s="420"/>
      <c r="C1120" s="326"/>
      <c r="D1120" s="276" t="s">
        <v>570</v>
      </c>
      <c r="E1120" s="491">
        <f>CalcCh2Prod4Slot3ManufacturingCostPUnit</f>
        <v>0</v>
      </c>
      <c r="F1120" s="276"/>
    </row>
    <row r="1121" spans="1:6" ht="14.25">
      <c r="A1121" s="214"/>
      <c r="B1121" s="420"/>
      <c r="C1121" s="326"/>
      <c r="D1121" s="209" t="s">
        <v>514</v>
      </c>
      <c r="E1121" s="490">
        <f>E1120*finCalcCh2Prod4Slot3VolSold</f>
        <v>0</v>
      </c>
      <c r="F1121" s="276" t="s">
        <v>12968</v>
      </c>
    </row>
    <row r="1122" spans="1:6" ht="14.25">
      <c r="A1122" s="214"/>
      <c r="B1122" s="420"/>
      <c r="C1122" s="208"/>
    </row>
    <row r="1123" spans="1:6" ht="14.25">
      <c r="A1123" s="214"/>
      <c r="B1123" s="420"/>
      <c r="C1123" s="498" t="s">
        <v>398</v>
      </c>
    </row>
    <row r="1124" spans="1:6" ht="14.25">
      <c r="A1124" s="214"/>
      <c r="B1124" s="420"/>
      <c r="C1124" s="208" t="s">
        <v>398</v>
      </c>
      <c r="E1124" s="223"/>
    </row>
    <row r="1125" spans="1:6" ht="14.25">
      <c r="A1125" s="214"/>
      <c r="B1125" s="420"/>
      <c r="D1125" s="209" t="s">
        <v>450</v>
      </c>
      <c r="E1125" s="220">
        <f>CalcCh2Prod4Slot3Depreciation</f>
        <v>0</v>
      </c>
      <c r="F1125" s="276" t="s">
        <v>1960</v>
      </c>
    </row>
    <row r="1126" spans="1:6" ht="14.25">
      <c r="A1126" s="214"/>
      <c r="B1126" s="420"/>
    </row>
    <row r="1127" spans="1:6" ht="14.25">
      <c r="A1127" s="214"/>
      <c r="B1127" s="420"/>
      <c r="C1127" s="217" t="s">
        <v>13066</v>
      </c>
    </row>
    <row r="1128" spans="1:6" ht="14.25">
      <c r="A1128" s="214"/>
      <c r="B1128" s="420"/>
      <c r="D1128" s="209" t="s">
        <v>400</v>
      </c>
      <c r="E1128" s="495">
        <f>finCalcCh2Prod4Slot3MatExpPUnitTot</f>
        <v>0</v>
      </c>
    </row>
    <row r="1129" spans="1:6" ht="14.25">
      <c r="A1129" s="214"/>
      <c r="B1129" s="420"/>
      <c r="D1129" s="209" t="s">
        <v>399</v>
      </c>
      <c r="E1129" s="495">
        <f>finCalcCh2Prod4Slot3LabourCostPerHour*finCalcCh2Prod4Slot3LabourHrsReqPVolTot</f>
        <v>0</v>
      </c>
    </row>
    <row r="1130" spans="1:6" ht="14.25">
      <c r="A1130" s="214"/>
      <c r="B1130" s="420"/>
      <c r="D1130" s="209" t="s">
        <v>513</v>
      </c>
      <c r="E1130" s="495">
        <f>E1120</f>
        <v>0</v>
      </c>
    </row>
    <row r="1131" spans="1:6" ht="14.25">
      <c r="A1131" s="214"/>
      <c r="B1131" s="420"/>
      <c r="D1131" s="209" t="s">
        <v>398</v>
      </c>
      <c r="E1131" s="496">
        <f>CalcCh2Prod4Slot3DepreciationPUnit</f>
        <v>0</v>
      </c>
    </row>
    <row r="1132" spans="1:6" ht="14.25">
      <c r="A1132" s="214"/>
      <c r="B1132" s="420"/>
      <c r="C1132" s="208" t="s">
        <v>397</v>
      </c>
      <c r="E1132" s="490">
        <f>SUM(E1128:E1131)</f>
        <v>0</v>
      </c>
      <c r="F1132" s="276" t="s">
        <v>1961</v>
      </c>
    </row>
    <row r="1133" spans="1:6" ht="14.25">
      <c r="A1133" s="214"/>
      <c r="B1133" s="420"/>
    </row>
    <row r="1134" spans="1:6" ht="14.25">
      <c r="A1134" s="214"/>
      <c r="B1134" s="420"/>
      <c r="C1134" s="217" t="s">
        <v>519</v>
      </c>
    </row>
    <row r="1135" spans="1:6" ht="14.25">
      <c r="A1135" s="214"/>
      <c r="B1135" s="420"/>
      <c r="D1135" s="328" t="s">
        <v>1286</v>
      </c>
      <c r="E1135" s="492">
        <f>VLOOKUP(decCh2Prod4Slot3Pack,dataPackLogisticsCost,2,FALSE)</f>
        <v>0</v>
      </c>
      <c r="F1135" s="276" t="s">
        <v>2942</v>
      </c>
    </row>
    <row r="1136" spans="1:6" ht="14.25">
      <c r="A1136" s="214"/>
      <c r="B1136" s="420"/>
      <c r="D1136" s="328" t="s">
        <v>960</v>
      </c>
      <c r="E1136" s="501">
        <f>VLOOKUP(finCalcCh2Prod4Slot3ForcastAcc,dataForecastImpactLogisticsCost,2,TRUE)*finCalcCh2Prod4Slot3LogExpPerUnit</f>
        <v>0</v>
      </c>
      <c r="F1136" s="276" t="s">
        <v>4057</v>
      </c>
    </row>
    <row r="1137" spans="1:6" ht="14.25">
      <c r="A1137" s="214"/>
      <c r="B1137" s="420"/>
      <c r="D1137" s="328" t="s">
        <v>14030</v>
      </c>
      <c r="E1137" s="497">
        <f>finCalcCh2Prod4Slot3LogExpPerUnit*paramProd4LogExpSI</f>
        <v>0</v>
      </c>
      <c r="F1137" s="276" t="s">
        <v>4058</v>
      </c>
    </row>
    <row r="1138" spans="1:6" ht="14.25">
      <c r="A1138" s="214"/>
      <c r="B1138" s="420"/>
      <c r="D1138" s="276" t="s">
        <v>1692</v>
      </c>
      <c r="E1138" s="327">
        <f>SUM(E1135:E1137)</f>
        <v>0</v>
      </c>
      <c r="F1138" s="276" t="s">
        <v>12969</v>
      </c>
    </row>
    <row r="1139" spans="1:6" ht="14.25">
      <c r="A1139" s="214"/>
      <c r="B1139" s="420"/>
      <c r="D1139" s="276" t="s">
        <v>1284</v>
      </c>
      <c r="E1139" s="490">
        <f>finCalcCh2Prod4Slot3LogExpAdjPUnit*finCalcCh2Prod4Slot3VolSold</f>
        <v>0</v>
      </c>
      <c r="F1139" s="276" t="s">
        <v>1962</v>
      </c>
    </row>
    <row r="1140" spans="1:6" ht="14.25">
      <c r="A1140" s="214"/>
      <c r="B1140" s="420"/>
      <c r="D1140" s="276"/>
      <c r="E1140" s="276"/>
      <c r="F1140" s="276"/>
    </row>
    <row r="1141" spans="1:6" s="322" customFormat="1" ht="24" customHeight="1">
      <c r="A1141" s="411"/>
      <c r="B1141" s="969" t="s">
        <v>5199</v>
      </c>
      <c r="C1141" s="412"/>
      <c r="D1141" s="412"/>
      <c r="E1141" s="970"/>
      <c r="F1141" s="411"/>
    </row>
    <row r="1142" spans="1:6" s="322" customFormat="1" ht="13.15" customHeight="1">
      <c r="A1142" s="411"/>
      <c r="B1142" s="412"/>
      <c r="C1142" s="854" t="s">
        <v>12868</v>
      </c>
      <c r="D1142" s="854"/>
      <c r="E1142" s="970"/>
      <c r="F1142" s="411"/>
    </row>
    <row r="1143" spans="1:6" s="322" customFormat="1" ht="13.15" customHeight="1">
      <c r="A1143" s="411"/>
      <c r="B1143" s="412"/>
      <c r="C1143" s="854"/>
      <c r="D1143" s="854" t="s">
        <v>3859</v>
      </c>
      <c r="E1143" s="970"/>
      <c r="F1143" s="411"/>
    </row>
    <row r="1144" spans="1:6" s="322" customFormat="1" ht="13.15" customHeight="1">
      <c r="A1144" s="411"/>
      <c r="B1144" s="412"/>
      <c r="C1144" s="208"/>
      <c r="D1144" s="208"/>
      <c r="E1144" s="208"/>
      <c r="F1144" s="208"/>
    </row>
    <row r="1145" spans="1:6" ht="14.25">
      <c r="A1145" s="411"/>
      <c r="B1145" s="216"/>
      <c r="C1145" s="217" t="s">
        <v>295</v>
      </c>
    </row>
    <row r="1146" spans="1:6" ht="14.25">
      <c r="A1146" s="411"/>
      <c r="B1146" s="216"/>
      <c r="D1146" s="276" t="s">
        <v>577</v>
      </c>
      <c r="E1146" s="491">
        <f>IF(calcCh3Prod1Slot1Active=1,IF(xxSim0Tool1=1,calcCh3Prod1Slot1VolForecastSlot,MMCh3Prod1Seg1Slot1UnitsSold+MMCh3Prod1Seg2Slot1UnitsSold+MMCh3Prod1Seg3Slot1UnitsSold+MMCh3Prod1Seg4Slot1UnitsSold),0)</f>
        <v>38509485</v>
      </c>
      <c r="F1146" s="276" t="s">
        <v>1963</v>
      </c>
    </row>
    <row r="1147" spans="1:6" ht="14.25">
      <c r="A1147" s="411"/>
      <c r="B1147" s="216"/>
      <c r="D1147" s="276" t="s">
        <v>1762</v>
      </c>
      <c r="E1147" s="399">
        <f>IF(VLOOKUP(decCh3Prod1Slot1Pack,dataPackSize,2,FALSE)=0,0,finCalcCh3Prod1Slot1VolSold/VLOOKUP(decCh3Prod1Slot1Pack,dataPackSize,2,FALSE))</f>
        <v>4862308.7121212119</v>
      </c>
      <c r="F1147" s="276" t="s">
        <v>1964</v>
      </c>
    </row>
    <row r="1148" spans="1:6" ht="14.25">
      <c r="A1148" s="411"/>
      <c r="B1148" s="216"/>
      <c r="D1148" s="276" t="s">
        <v>966</v>
      </c>
      <c r="E1148" s="654">
        <f>IF(calcCh3Prod1Slot1VolForecastSlot=0,100%,finCalcCh3Prod1Slot1VolSold/calcCh3Prod1Slot1VolForecastSlot)</f>
        <v>1</v>
      </c>
      <c r="F1148" s="276" t="s">
        <v>1965</v>
      </c>
    </row>
    <row r="1149" spans="1:6" ht="14.25">
      <c r="A1149" s="411"/>
      <c r="B1149" s="216"/>
      <c r="E1149" s="489"/>
    </row>
    <row r="1150" spans="1:6" ht="14.25">
      <c r="A1150" s="411"/>
      <c r="B1150" s="216"/>
      <c r="C1150" s="217" t="s">
        <v>3789</v>
      </c>
      <c r="E1150" s="489"/>
    </row>
    <row r="1151" spans="1:6" ht="14.25">
      <c r="A1151" s="411"/>
      <c r="B1151" s="216"/>
      <c r="C1151" s="217" t="s">
        <v>400</v>
      </c>
    </row>
    <row r="1152" spans="1:6" ht="14.25">
      <c r="A1152" s="411"/>
      <c r="B1152" s="216"/>
      <c r="D1152" s="255" t="s">
        <v>526</v>
      </c>
      <c r="E1152" s="492">
        <f>VLOOKUP(decCh3Prod1Slot1Pack,dataPackMaterialExp,2,FALSE)</f>
        <v>1.5209964000000005</v>
      </c>
      <c r="F1152" s="276" t="s">
        <v>4059</v>
      </c>
    </row>
    <row r="1153" spans="1:6" ht="14.25">
      <c r="A1153" s="411"/>
      <c r="B1153" s="216"/>
      <c r="D1153" s="328" t="s">
        <v>960</v>
      </c>
      <c r="E1153" s="502">
        <f>VLOOKUP(finCalcCh3Prod1Slot1ForcastAcc,dataForecastImpactMatCost,2,TRUE)*E1152</f>
        <v>0</v>
      </c>
      <c r="F1153" s="276" t="s">
        <v>4060</v>
      </c>
    </row>
    <row r="1154" spans="1:6" ht="14.25">
      <c r="A1154" s="411"/>
      <c r="B1154" s="216"/>
      <c r="D1154" s="328" t="s">
        <v>14030</v>
      </c>
      <c r="E1154" s="493">
        <f>paramProd1MatExpSI*finCalcCh3Prod1Slot1MatExpPerUnitBase</f>
        <v>0</v>
      </c>
      <c r="F1154" s="276" t="s">
        <v>4061</v>
      </c>
    </row>
    <row r="1155" spans="1:6" ht="14.25">
      <c r="A1155" s="411"/>
      <c r="B1155" s="216"/>
      <c r="D1155" s="209" t="s">
        <v>518</v>
      </c>
      <c r="E1155" s="327">
        <f>SUM(E1152:E1154)</f>
        <v>1.5209964000000005</v>
      </c>
      <c r="F1155" s="276" t="s">
        <v>4062</v>
      </c>
    </row>
    <row r="1156" spans="1:6" ht="14.25">
      <c r="A1156" s="411"/>
      <c r="B1156" s="216"/>
      <c r="D1156" s="209" t="s">
        <v>401</v>
      </c>
      <c r="E1156" s="220">
        <f>finCalcCh3Prod1Slot1MatExpPUnitTot*finCalcCh3Prod1Slot1VolSold</f>
        <v>58572788.05085402</v>
      </c>
      <c r="F1156" s="276" t="s">
        <v>12970</v>
      </c>
    </row>
    <row r="1157" spans="1:6" ht="14.25">
      <c r="A1157" s="411"/>
      <c r="B1157" s="216"/>
      <c r="C1157" s="208"/>
      <c r="F1157" s="276"/>
    </row>
    <row r="1158" spans="1:6" ht="14.25">
      <c r="A1158" s="411"/>
      <c r="B1158" s="216"/>
      <c r="C1158" s="217" t="s">
        <v>399</v>
      </c>
      <c r="E1158" s="224"/>
    </row>
    <row r="1159" spans="1:6" ht="14.25">
      <c r="A1159" s="411"/>
      <c r="B1159" s="216"/>
      <c r="D1159" s="328" t="s">
        <v>969</v>
      </c>
      <c r="E1159" s="510">
        <f>VLOOKUP(decCh3Prod1Slot1Pack,dataPackLabourHrs,2,FALSE)</f>
        <v>4.4735188235294127E-2</v>
      </c>
      <c r="F1159" s="276" t="s">
        <v>4063</v>
      </c>
    </row>
    <row r="1160" spans="1:6" ht="14.25">
      <c r="A1160" s="411"/>
      <c r="B1160" s="216"/>
      <c r="D1160" s="328" t="s">
        <v>960</v>
      </c>
      <c r="E1160" s="510">
        <f>VLOOKUP(finCalcCh3Prod1Slot1ForcastAcc,dataForecastImpactLabCost,2,TRUE)*finCalcCh3Prod1Slot1LabourHrsReqPVolBase</f>
        <v>0</v>
      </c>
      <c r="F1160" s="276" t="s">
        <v>4064</v>
      </c>
    </row>
    <row r="1161" spans="1:6" ht="14.25">
      <c r="A1161" s="411"/>
      <c r="B1161" s="216"/>
      <c r="D1161" s="328" t="s">
        <v>14030</v>
      </c>
      <c r="E1161" s="510">
        <f>paramProd1LabourExpSI*finCalcCh3Prod1Slot1LabourHrsReqPVolBase</f>
        <v>0</v>
      </c>
      <c r="F1161" s="276" t="s">
        <v>4065</v>
      </c>
    </row>
    <row r="1162" spans="1:6" ht="14.25">
      <c r="A1162" s="411"/>
      <c r="B1162" s="216"/>
      <c r="D1162" s="209" t="s">
        <v>3795</v>
      </c>
      <c r="E1162" s="511">
        <f>SUM(E1159:E1161)</f>
        <v>4.4735188235294127E-2</v>
      </c>
      <c r="F1162" s="276" t="s">
        <v>4066</v>
      </c>
    </row>
    <row r="1163" spans="1:6" ht="14.25">
      <c r="A1163" s="411"/>
      <c r="B1163" s="216"/>
      <c r="D1163" s="328"/>
      <c r="E1163" s="499"/>
      <c r="F1163" s="276"/>
    </row>
    <row r="1164" spans="1:6" ht="14.25">
      <c r="A1164" s="411"/>
      <c r="B1164" s="216"/>
      <c r="D1164" s="209" t="s">
        <v>974</v>
      </c>
      <c r="E1164" s="494">
        <f>paramLabourCostPerHr</f>
        <v>5</v>
      </c>
      <c r="F1164" s="276" t="s">
        <v>4067</v>
      </c>
    </row>
    <row r="1165" spans="1:6" ht="14.25">
      <c r="A1165" s="411"/>
      <c r="B1165" s="216"/>
      <c r="D1165" s="209" t="s">
        <v>3793</v>
      </c>
      <c r="E1165" s="500">
        <f>finCalcCh3Prod1Slot1VolSold*finCalcCh3Prod1Slot1LabourHrsReqPVolTot</f>
        <v>1722729.0603192355</v>
      </c>
    </row>
    <row r="1166" spans="1:6" ht="14.25">
      <c r="A1166" s="411"/>
      <c r="B1166" s="216"/>
      <c r="D1166" s="276" t="s">
        <v>973</v>
      </c>
      <c r="E1166" s="220">
        <f>E1165*finCalcCh3Prod1Slot1LabourCostPerHour</f>
        <v>8613645.3015961777</v>
      </c>
      <c r="F1166" s="276" t="s">
        <v>12971</v>
      </c>
    </row>
    <row r="1167" spans="1:6" ht="14.25">
      <c r="A1167" s="411"/>
      <c r="B1167" s="216"/>
      <c r="E1167" s="223"/>
    </row>
    <row r="1168" spans="1:6" ht="14.25">
      <c r="A1168" s="411"/>
      <c r="B1168" s="216"/>
      <c r="C1168" s="217" t="s">
        <v>513</v>
      </c>
      <c r="E1168" s="223"/>
    </row>
    <row r="1169" spans="1:6" ht="14.25">
      <c r="A1169" s="411"/>
      <c r="B1169" s="216"/>
      <c r="C1169" s="326"/>
      <c r="D1169" s="276" t="s">
        <v>570</v>
      </c>
      <c r="E1169" s="491">
        <f>CalcCh3Prod1Slot1ManufacturingCostPUnit</f>
        <v>0.33112800000000003</v>
      </c>
      <c r="F1169" s="276"/>
    </row>
    <row r="1170" spans="1:6" ht="14.25">
      <c r="A1170" s="411"/>
      <c r="B1170" s="216"/>
      <c r="C1170" s="326"/>
      <c r="D1170" s="209" t="s">
        <v>514</v>
      </c>
      <c r="E1170" s="490">
        <f>E1169*finCalcCh3Prod1Slot1VolSold</f>
        <v>12751568.74908</v>
      </c>
      <c r="F1170" s="276" t="s">
        <v>12972</v>
      </c>
    </row>
    <row r="1171" spans="1:6" ht="14.25">
      <c r="A1171" s="411"/>
      <c r="B1171" s="216"/>
      <c r="C1171" s="208"/>
    </row>
    <row r="1172" spans="1:6" ht="14.25">
      <c r="A1172" s="411"/>
      <c r="B1172" s="216"/>
      <c r="C1172" s="498" t="s">
        <v>398</v>
      </c>
    </row>
    <row r="1173" spans="1:6" ht="14.25">
      <c r="A1173" s="411"/>
      <c r="B1173" s="216"/>
      <c r="C1173" s="208" t="s">
        <v>398</v>
      </c>
      <c r="E1173" s="223"/>
    </row>
    <row r="1174" spans="1:6" ht="14.25">
      <c r="A1174" s="411"/>
      <c r="B1174" s="216"/>
      <c r="D1174" s="209" t="s">
        <v>450</v>
      </c>
      <c r="E1174" s="220">
        <f>CalcCh3Prod1Slot1Depreciation</f>
        <v>5675220.3817262165</v>
      </c>
      <c r="F1174" s="276" t="s">
        <v>1966</v>
      </c>
    </row>
    <row r="1175" spans="1:6" ht="14.25">
      <c r="A1175" s="411"/>
      <c r="B1175" s="216"/>
    </row>
    <row r="1176" spans="1:6" ht="14.25">
      <c r="A1176" s="411"/>
      <c r="B1176" s="216"/>
      <c r="C1176" s="217" t="s">
        <v>13066</v>
      </c>
    </row>
    <row r="1177" spans="1:6" ht="14.25">
      <c r="A1177" s="411"/>
      <c r="B1177" s="216"/>
      <c r="D1177" s="209" t="s">
        <v>400</v>
      </c>
      <c r="E1177" s="495">
        <f>finCalcCh3Prod1Slot1MatExpPUnitTot</f>
        <v>1.5209964000000005</v>
      </c>
    </row>
    <row r="1178" spans="1:6" ht="14.25">
      <c r="A1178" s="411"/>
      <c r="B1178" s="216"/>
      <c r="D1178" s="209" t="s">
        <v>399</v>
      </c>
      <c r="E1178" s="495">
        <f>finCalcCh3Prod1Slot1LabourCostPerHour*finCalcCh3Prod1Slot1LabourHrsReqPVolTot</f>
        <v>0.22367594117647063</v>
      </c>
    </row>
    <row r="1179" spans="1:6" ht="14.25">
      <c r="A1179" s="411"/>
      <c r="B1179" s="216"/>
      <c r="D1179" s="209" t="s">
        <v>513</v>
      </c>
      <c r="E1179" s="495">
        <f>E1169</f>
        <v>0.33112800000000003</v>
      </c>
    </row>
    <row r="1180" spans="1:6" ht="14.25">
      <c r="A1180" s="411"/>
      <c r="B1180" s="216"/>
      <c r="D1180" s="209" t="s">
        <v>398</v>
      </c>
      <c r="E1180" s="496">
        <f>CalcCh3Prod1Slot1DepreciationPUnit</f>
        <v>0.14737201449788842</v>
      </c>
    </row>
    <row r="1181" spans="1:6" ht="14.25">
      <c r="A1181" s="411"/>
      <c r="B1181" s="216"/>
      <c r="C1181" s="208" t="s">
        <v>397</v>
      </c>
      <c r="E1181" s="490">
        <f>SUM(E1177:E1180)</f>
        <v>2.2231723556743597</v>
      </c>
      <c r="F1181" s="276" t="s">
        <v>1967</v>
      </c>
    </row>
    <row r="1182" spans="1:6" ht="14.25">
      <c r="A1182" s="411"/>
      <c r="B1182" s="216"/>
    </row>
    <row r="1183" spans="1:6" ht="14.25">
      <c r="A1183" s="411"/>
      <c r="B1183" s="216"/>
      <c r="C1183" s="217" t="s">
        <v>519</v>
      </c>
    </row>
    <row r="1184" spans="1:6" ht="14.25">
      <c r="A1184" s="411"/>
      <c r="B1184" s="216"/>
      <c r="D1184" s="328" t="s">
        <v>1286</v>
      </c>
      <c r="E1184" s="492">
        <f>VLOOKUP(decCh3Prod1Slot1Pack,dataPackLogisticsCost,2,FALSE)</f>
        <v>0.25844210526315792</v>
      </c>
      <c r="F1184" s="276" t="s">
        <v>2943</v>
      </c>
    </row>
    <row r="1185" spans="1:6" ht="14.25">
      <c r="A1185" s="411"/>
      <c r="B1185" s="216"/>
      <c r="D1185" s="328" t="s">
        <v>960</v>
      </c>
      <c r="E1185" s="501">
        <f>VLOOKUP(finCalcCh3Prod1Slot1ForcastAcc,dataForecastImpactLogisticsCost,2,TRUE)*finCalcCh3Prod1Slot1LogExpPerUnit</f>
        <v>0</v>
      </c>
      <c r="F1185" s="276" t="s">
        <v>4068</v>
      </c>
    </row>
    <row r="1186" spans="1:6" ht="14.25">
      <c r="A1186" s="411"/>
      <c r="B1186" s="216"/>
      <c r="D1186" s="328" t="s">
        <v>14030</v>
      </c>
      <c r="E1186" s="497">
        <f>finCalcCh3Prod1Slot1LogExpPerUnit*paramProd1LogExpSI</f>
        <v>0</v>
      </c>
      <c r="F1186" s="276" t="s">
        <v>4069</v>
      </c>
    </row>
    <row r="1187" spans="1:6" ht="14.25">
      <c r="A1187" s="411"/>
      <c r="B1187" s="216"/>
      <c r="D1187" s="276" t="s">
        <v>1692</v>
      </c>
      <c r="E1187" s="327">
        <f>SUM(E1184:E1186)</f>
        <v>0.25844210526315792</v>
      </c>
      <c r="F1187" s="276" t="s">
        <v>12973</v>
      </c>
    </row>
    <row r="1188" spans="1:6" ht="14.25">
      <c r="A1188" s="411"/>
      <c r="B1188" s="216"/>
      <c r="D1188" s="276" t="s">
        <v>1284</v>
      </c>
      <c r="E1188" s="490">
        <f>finCalcCh3Prod1Slot1LogExpAdjPUnit*finCalcCh3Prod1Slot1VolSold</f>
        <v>9952472.3760000002</v>
      </c>
      <c r="F1188" s="276" t="s">
        <v>1968</v>
      </c>
    </row>
    <row r="1189" spans="1:6" ht="14.25">
      <c r="A1189" s="411"/>
      <c r="B1189" s="216"/>
      <c r="D1189" s="276"/>
      <c r="E1189" s="276"/>
      <c r="F1189" s="276"/>
    </row>
    <row r="1190" spans="1:6" s="322" customFormat="1" ht="12.75" customHeight="1">
      <c r="A1190" s="411"/>
      <c r="B1190" s="412"/>
      <c r="C1190" s="854"/>
      <c r="D1190" s="854" t="s">
        <v>3858</v>
      </c>
      <c r="E1190" s="970"/>
      <c r="F1190" s="411"/>
    </row>
    <row r="1191" spans="1:6" s="322" customFormat="1" ht="13.15" customHeight="1">
      <c r="A1191" s="411"/>
      <c r="B1191" s="412"/>
      <c r="C1191" s="323"/>
      <c r="D1191" s="323"/>
      <c r="E1191" s="324"/>
    </row>
    <row r="1192" spans="1:6" ht="14.25">
      <c r="A1192" s="411"/>
      <c r="B1192" s="216"/>
      <c r="C1192" s="217" t="s">
        <v>295</v>
      </c>
    </row>
    <row r="1193" spans="1:6" ht="14.25">
      <c r="A1193" s="411"/>
      <c r="B1193" s="216"/>
      <c r="D1193" s="276" t="s">
        <v>577</v>
      </c>
      <c r="E1193" s="491">
        <f>IF(calcCh3Prod1Slot2Active=1,IF(xxSim0Tool1=1,calcCh3Prod1Slot2VolForecastSlot,MMCh3Prod1Seg1Slot2UnitsSold+MMCh3Prod1Seg2Slot2UnitsSold+MMCh3Prod1Seg3Slot2UnitsSold+MMCh3Prod1Seg4Slot2UnitsSold),0)</f>
        <v>0</v>
      </c>
      <c r="F1193" s="276" t="s">
        <v>1969</v>
      </c>
    </row>
    <row r="1194" spans="1:6" ht="14.25">
      <c r="A1194" s="411"/>
      <c r="B1194" s="216"/>
      <c r="D1194" s="276" t="s">
        <v>1762</v>
      </c>
      <c r="E1194" s="399">
        <f>IF(VLOOKUP(decCh3Prod1Slot2Pack,dataPackSize,2,FALSE)=0,0,finCalcCh3Prod1Slot2VolSold/VLOOKUP(decCh3Prod1Slot2Pack,dataPackSize,2,FALSE))</f>
        <v>0</v>
      </c>
      <c r="F1194" s="276" t="s">
        <v>1970</v>
      </c>
    </row>
    <row r="1195" spans="1:6" ht="14.25">
      <c r="A1195" s="411"/>
      <c r="B1195" s="216"/>
      <c r="D1195" s="276" t="s">
        <v>966</v>
      </c>
      <c r="E1195" s="654">
        <f>IF(calcCh3Prod1Slot2VolForecastSlot=0,100%,finCalcCh3Prod1Slot2VolSold/calcCh3Prod1Slot2VolForecastSlot)</f>
        <v>1</v>
      </c>
      <c r="F1195" s="276" t="s">
        <v>1971</v>
      </c>
    </row>
    <row r="1196" spans="1:6" ht="14.25">
      <c r="A1196" s="411"/>
      <c r="B1196" s="216"/>
      <c r="E1196" s="489"/>
    </row>
    <row r="1197" spans="1:6" ht="14.25">
      <c r="A1197" s="411"/>
      <c r="B1197" s="216"/>
      <c r="C1197" s="217" t="s">
        <v>3789</v>
      </c>
      <c r="E1197" s="489"/>
    </row>
    <row r="1198" spans="1:6" ht="14.25">
      <c r="A1198" s="411"/>
      <c r="B1198" s="216"/>
      <c r="C1198" s="217" t="s">
        <v>400</v>
      </c>
    </row>
    <row r="1199" spans="1:6" ht="14.25">
      <c r="A1199" s="411"/>
      <c r="B1199" s="216"/>
      <c r="D1199" s="255" t="s">
        <v>526</v>
      </c>
      <c r="E1199" s="492">
        <f>VLOOKUP(decCh3Prod1Slot2Pack,dataPackMaterialExp,2,FALSE)</f>
        <v>0</v>
      </c>
      <c r="F1199" s="276" t="s">
        <v>4070</v>
      </c>
    </row>
    <row r="1200" spans="1:6" ht="14.25">
      <c r="A1200" s="411"/>
      <c r="B1200" s="216"/>
      <c r="D1200" s="328" t="s">
        <v>960</v>
      </c>
      <c r="E1200" s="502">
        <f>VLOOKUP(finCalcCh3Prod1Slot2ForcastAcc,dataForecastImpactMatCost,2,TRUE)*E1199</f>
        <v>0</v>
      </c>
      <c r="F1200" s="276" t="s">
        <v>4071</v>
      </c>
    </row>
    <row r="1201" spans="1:6" ht="14.25">
      <c r="A1201" s="411"/>
      <c r="B1201" s="216"/>
      <c r="D1201" s="328" t="s">
        <v>14030</v>
      </c>
      <c r="E1201" s="493">
        <f>paramProd1MatExpSI*finCalcCh3Prod1Slot2MatExpPerUnitBase</f>
        <v>0</v>
      </c>
      <c r="F1201" s="276" t="s">
        <v>4072</v>
      </c>
    </row>
    <row r="1202" spans="1:6" ht="14.25">
      <c r="A1202" s="411"/>
      <c r="B1202" s="216"/>
      <c r="D1202" s="209" t="s">
        <v>518</v>
      </c>
      <c r="E1202" s="327">
        <f>SUM(E1199:E1201)</f>
        <v>0</v>
      </c>
      <c r="F1202" s="276" t="s">
        <v>4073</v>
      </c>
    </row>
    <row r="1203" spans="1:6" ht="14.25">
      <c r="A1203" s="411"/>
      <c r="B1203" s="216"/>
      <c r="D1203" s="209" t="s">
        <v>401</v>
      </c>
      <c r="E1203" s="220">
        <f>finCalcCh3Prod1Slot2MatExpPUnitTot*finCalcCh3Prod1Slot2VolSold</f>
        <v>0</v>
      </c>
      <c r="F1203" s="276" t="s">
        <v>12974</v>
      </c>
    </row>
    <row r="1204" spans="1:6" ht="14.25">
      <c r="A1204" s="411"/>
      <c r="B1204" s="216"/>
      <c r="C1204" s="208"/>
      <c r="F1204" s="276"/>
    </row>
    <row r="1205" spans="1:6" ht="14.25">
      <c r="A1205" s="411"/>
      <c r="B1205" s="216"/>
      <c r="C1205" s="217" t="s">
        <v>399</v>
      </c>
      <c r="E1205" s="224"/>
    </row>
    <row r="1206" spans="1:6" ht="14.25">
      <c r="A1206" s="411"/>
      <c r="B1206" s="216"/>
      <c r="D1206" s="328" t="s">
        <v>969</v>
      </c>
      <c r="E1206" s="510">
        <f>VLOOKUP(decCh3Prod1Slot2Pack,dataPackLabourHrs,2,FALSE)</f>
        <v>0</v>
      </c>
      <c r="F1206" s="276" t="s">
        <v>4074</v>
      </c>
    </row>
    <row r="1207" spans="1:6" ht="14.25">
      <c r="A1207" s="411"/>
      <c r="B1207" s="216"/>
      <c r="D1207" s="328" t="s">
        <v>960</v>
      </c>
      <c r="E1207" s="510">
        <f>VLOOKUP(finCalcCh3Prod1Slot2ForcastAcc,dataForecastImpactLabCost,2,TRUE)*finCalcCh3Prod1Slot2LabourHrsReqPVolBase</f>
        <v>0</v>
      </c>
      <c r="F1207" s="276" t="s">
        <v>4075</v>
      </c>
    </row>
    <row r="1208" spans="1:6" ht="14.25">
      <c r="A1208" s="411"/>
      <c r="B1208" s="216"/>
      <c r="D1208" s="328" t="s">
        <v>14030</v>
      </c>
      <c r="E1208" s="510">
        <f>paramProd1LabourExpSI*finCalcCh3Prod1Slot2LabourHrsReqPVolBase</f>
        <v>0</v>
      </c>
      <c r="F1208" s="276" t="s">
        <v>4076</v>
      </c>
    </row>
    <row r="1209" spans="1:6" ht="14.25">
      <c r="A1209" s="411"/>
      <c r="B1209" s="216"/>
      <c r="D1209" s="209" t="s">
        <v>3795</v>
      </c>
      <c r="E1209" s="511">
        <f>SUM(E1206:E1208)</f>
        <v>0</v>
      </c>
      <c r="F1209" s="276" t="s">
        <v>4077</v>
      </c>
    </row>
    <row r="1210" spans="1:6" ht="14.25">
      <c r="A1210" s="411"/>
      <c r="B1210" s="216"/>
      <c r="D1210" s="328"/>
      <c r="E1210" s="499"/>
      <c r="F1210" s="276"/>
    </row>
    <row r="1211" spans="1:6" ht="14.25">
      <c r="A1211" s="411"/>
      <c r="B1211" s="216"/>
      <c r="D1211" s="209" t="s">
        <v>974</v>
      </c>
      <c r="E1211" s="494">
        <f>paramLabourCostPerHr</f>
        <v>5</v>
      </c>
      <c r="F1211" s="276" t="s">
        <v>4078</v>
      </c>
    </row>
    <row r="1212" spans="1:6" ht="14.25">
      <c r="A1212" s="411"/>
      <c r="B1212" s="216"/>
      <c r="D1212" s="209" t="s">
        <v>3793</v>
      </c>
      <c r="E1212" s="500">
        <f>finCalcCh3Prod1Slot2VolSold*finCalcCh3Prod1Slot2LabourHrsReqPVolTot</f>
        <v>0</v>
      </c>
    </row>
    <row r="1213" spans="1:6" ht="14.25">
      <c r="A1213" s="411"/>
      <c r="B1213" s="216"/>
      <c r="D1213" s="276" t="s">
        <v>973</v>
      </c>
      <c r="E1213" s="220">
        <f>E1212*finCalcCh3Prod1Slot2LabourCostPerHour</f>
        <v>0</v>
      </c>
      <c r="F1213" s="276" t="s">
        <v>12975</v>
      </c>
    </row>
    <row r="1214" spans="1:6" ht="14.25">
      <c r="A1214" s="411"/>
      <c r="B1214" s="216"/>
      <c r="E1214" s="223"/>
    </row>
    <row r="1215" spans="1:6" ht="14.25">
      <c r="A1215" s="411"/>
      <c r="B1215" s="216"/>
      <c r="C1215" s="217" t="s">
        <v>513</v>
      </c>
      <c r="E1215" s="223"/>
    </row>
    <row r="1216" spans="1:6" ht="14.25">
      <c r="A1216" s="411"/>
      <c r="B1216" s="216"/>
      <c r="C1216" s="326"/>
      <c r="D1216" s="276" t="s">
        <v>570</v>
      </c>
      <c r="E1216" s="491">
        <f>CalcCh3Prod1Slot2ManufacturingCostPUnit</f>
        <v>0</v>
      </c>
      <c r="F1216" s="276"/>
    </row>
    <row r="1217" spans="1:6" ht="14.25">
      <c r="A1217" s="411"/>
      <c r="B1217" s="216"/>
      <c r="C1217" s="326"/>
      <c r="D1217" s="209" t="s">
        <v>514</v>
      </c>
      <c r="E1217" s="490">
        <f>E1216*finCalcCh3Prod1Slot2VolSold</f>
        <v>0</v>
      </c>
      <c r="F1217" s="276" t="s">
        <v>12976</v>
      </c>
    </row>
    <row r="1218" spans="1:6" ht="14.25">
      <c r="A1218" s="411"/>
      <c r="B1218" s="216"/>
      <c r="C1218" s="208"/>
    </row>
    <row r="1219" spans="1:6" ht="14.25">
      <c r="A1219" s="411"/>
      <c r="B1219" s="216"/>
      <c r="C1219" s="498" t="s">
        <v>398</v>
      </c>
    </row>
    <row r="1220" spans="1:6" ht="14.25">
      <c r="A1220" s="411"/>
      <c r="B1220" s="216"/>
      <c r="C1220" s="208" t="s">
        <v>398</v>
      </c>
      <c r="E1220" s="223"/>
    </row>
    <row r="1221" spans="1:6" ht="14.25">
      <c r="A1221" s="411"/>
      <c r="B1221" s="216"/>
      <c r="D1221" s="209" t="s">
        <v>450</v>
      </c>
      <c r="E1221" s="220">
        <f>CalcCh3Prod1Slot2Depreciation</f>
        <v>0</v>
      </c>
      <c r="F1221" s="276" t="s">
        <v>1972</v>
      </c>
    </row>
    <row r="1222" spans="1:6" ht="14.25">
      <c r="A1222" s="411"/>
      <c r="B1222" s="216"/>
    </row>
    <row r="1223" spans="1:6" ht="14.25">
      <c r="A1223" s="411"/>
      <c r="B1223" s="216"/>
      <c r="C1223" s="217" t="s">
        <v>13066</v>
      </c>
    </row>
    <row r="1224" spans="1:6" ht="14.25">
      <c r="A1224" s="411"/>
      <c r="B1224" s="216"/>
      <c r="D1224" s="209" t="s">
        <v>400</v>
      </c>
      <c r="E1224" s="495">
        <f>finCalcCh3Prod1Slot2MatExpPUnitTot</f>
        <v>0</v>
      </c>
    </row>
    <row r="1225" spans="1:6" ht="14.25">
      <c r="A1225" s="411"/>
      <c r="B1225" s="216"/>
      <c r="D1225" s="209" t="s">
        <v>399</v>
      </c>
      <c r="E1225" s="495">
        <f>finCalcCh3Prod1Slot2LabourCostPerHour*finCalcCh3Prod1Slot2LabourHrsReqPVolTot</f>
        <v>0</v>
      </c>
    </row>
    <row r="1226" spans="1:6" ht="14.25">
      <c r="A1226" s="411"/>
      <c r="B1226" s="216"/>
      <c r="D1226" s="209" t="s">
        <v>513</v>
      </c>
      <c r="E1226" s="495">
        <f>E1216</f>
        <v>0</v>
      </c>
    </row>
    <row r="1227" spans="1:6" ht="14.25">
      <c r="A1227" s="411"/>
      <c r="B1227" s="216"/>
      <c r="D1227" s="209" t="s">
        <v>398</v>
      </c>
      <c r="E1227" s="496">
        <f>CalcCh3Prod1Slot2DepreciationPUnit</f>
        <v>0</v>
      </c>
    </row>
    <row r="1228" spans="1:6" ht="14.25">
      <c r="A1228" s="411"/>
      <c r="B1228" s="216"/>
      <c r="C1228" s="208" t="s">
        <v>397</v>
      </c>
      <c r="E1228" s="490">
        <f>SUM(E1224:E1227)</f>
        <v>0</v>
      </c>
      <c r="F1228" s="276" t="s">
        <v>1973</v>
      </c>
    </row>
    <row r="1229" spans="1:6" ht="14.25">
      <c r="A1229" s="411"/>
      <c r="B1229" s="216"/>
    </row>
    <row r="1230" spans="1:6" ht="14.25">
      <c r="A1230" s="411"/>
      <c r="B1230" s="216"/>
      <c r="C1230" s="217" t="s">
        <v>519</v>
      </c>
    </row>
    <row r="1231" spans="1:6" ht="14.25">
      <c r="A1231" s="411"/>
      <c r="B1231" s="216"/>
      <c r="D1231" s="328" t="s">
        <v>1286</v>
      </c>
      <c r="E1231" s="492">
        <f>VLOOKUP(decCh3Prod1Slot2Pack,dataPackLogisticsCost,2,FALSE)</f>
        <v>0</v>
      </c>
      <c r="F1231" s="276" t="s">
        <v>2944</v>
      </c>
    </row>
    <row r="1232" spans="1:6" ht="14.25">
      <c r="A1232" s="411"/>
      <c r="B1232" s="216"/>
      <c r="D1232" s="328" t="s">
        <v>960</v>
      </c>
      <c r="E1232" s="501">
        <f>VLOOKUP(finCalcCh3Prod1Slot2ForcastAcc,dataForecastImpactLogisticsCost,2,TRUE)*finCalcCh3Prod1Slot2LogExpPerUnit</f>
        <v>0</v>
      </c>
      <c r="F1232" s="276" t="s">
        <v>4079</v>
      </c>
    </row>
    <row r="1233" spans="1:6" ht="14.25">
      <c r="A1233" s="411"/>
      <c r="B1233" s="216"/>
      <c r="D1233" s="328" t="s">
        <v>14030</v>
      </c>
      <c r="E1233" s="497">
        <f>finCalcCh3Prod1Slot2LogExpPerUnit*paramProd1LogExpSI</f>
        <v>0</v>
      </c>
      <c r="F1233" s="276" t="s">
        <v>4080</v>
      </c>
    </row>
    <row r="1234" spans="1:6" ht="14.25">
      <c r="A1234" s="411"/>
      <c r="B1234" s="216"/>
      <c r="D1234" s="276" t="s">
        <v>1692</v>
      </c>
      <c r="E1234" s="327">
        <f>SUM(E1231:E1233)</f>
        <v>0</v>
      </c>
      <c r="F1234" s="276" t="s">
        <v>12977</v>
      </c>
    </row>
    <row r="1235" spans="1:6" ht="14.25">
      <c r="A1235" s="411"/>
      <c r="B1235" s="216"/>
      <c r="D1235" s="276" t="s">
        <v>1284</v>
      </c>
      <c r="E1235" s="490">
        <f>finCalcCh3Prod1Slot2LogExpAdjPUnit*finCalcCh3Prod1Slot2VolSold</f>
        <v>0</v>
      </c>
      <c r="F1235" s="276" t="s">
        <v>1974</v>
      </c>
    </row>
    <row r="1236" spans="1:6" ht="14.25">
      <c r="A1236" s="411"/>
      <c r="B1236" s="216"/>
      <c r="D1236" s="276"/>
      <c r="E1236" s="276"/>
      <c r="F1236" s="276"/>
    </row>
    <row r="1237" spans="1:6" s="322" customFormat="1" ht="12.75" customHeight="1">
      <c r="A1237" s="411"/>
      <c r="B1237" s="412"/>
      <c r="C1237" s="854"/>
      <c r="D1237" s="854" t="s">
        <v>3860</v>
      </c>
      <c r="E1237" s="970"/>
      <c r="F1237" s="411"/>
    </row>
    <row r="1238" spans="1:6" s="322" customFormat="1" ht="13.15" customHeight="1">
      <c r="A1238" s="411"/>
      <c r="B1238" s="412"/>
      <c r="C1238" s="323"/>
      <c r="D1238" s="323"/>
      <c r="E1238" s="324"/>
    </row>
    <row r="1239" spans="1:6" ht="14.25">
      <c r="A1239" s="411"/>
      <c r="B1239" s="216"/>
      <c r="C1239" s="217" t="s">
        <v>295</v>
      </c>
    </row>
    <row r="1240" spans="1:6" ht="14.25">
      <c r="A1240" s="411"/>
      <c r="B1240" s="216"/>
      <c r="D1240" s="276" t="s">
        <v>577</v>
      </c>
      <c r="E1240" s="491">
        <f>IF(calcCh3Prod1Slot3Active=1,IF(xxSim0Tool1=1,calcCh3Prod1Slot3VolForecastSlot,MMCh3Prod1Seg1Slot3UnitsSold+MMCh3Prod1Seg2Slot3UnitsSold+MMCh3Prod1Seg3Slot3UnitsSold+MMCh3Prod1Seg4Slot3UnitsSold),0)</f>
        <v>0</v>
      </c>
      <c r="F1240" s="276" t="s">
        <v>1975</v>
      </c>
    </row>
    <row r="1241" spans="1:6" ht="14.25">
      <c r="A1241" s="411"/>
      <c r="B1241" s="216"/>
      <c r="D1241" s="276" t="s">
        <v>1762</v>
      </c>
      <c r="E1241" s="399">
        <f>IF(VLOOKUP(decCh3Prod1Slot3Pack,dataPackSize,2,FALSE)=0,0,finCalcCh3Prod1Slot3VolSold/VLOOKUP(decCh3Prod1Slot3Pack,dataPackSize,2,FALSE))</f>
        <v>0</v>
      </c>
      <c r="F1241" s="276" t="s">
        <v>1976</v>
      </c>
    </row>
    <row r="1242" spans="1:6" ht="14.25">
      <c r="A1242" s="411"/>
      <c r="B1242" s="216"/>
      <c r="D1242" s="276" t="s">
        <v>966</v>
      </c>
      <c r="E1242" s="654">
        <f>IF(calcCh3Prod1Slot3VolForecastSlot=0,100%,finCalcCh3Prod1Slot3VolSold/calcCh3Prod1Slot3VolForecastSlot)</f>
        <v>1</v>
      </c>
      <c r="F1242" s="276" t="s">
        <v>1977</v>
      </c>
    </row>
    <row r="1243" spans="1:6" ht="14.25">
      <c r="A1243" s="411"/>
      <c r="B1243" s="216"/>
      <c r="E1243" s="489"/>
    </row>
    <row r="1244" spans="1:6" ht="14.25">
      <c r="A1244" s="411"/>
      <c r="B1244" s="216"/>
      <c r="C1244" s="217" t="s">
        <v>3789</v>
      </c>
      <c r="E1244" s="489"/>
    </row>
    <row r="1245" spans="1:6" ht="14.25">
      <c r="A1245" s="411"/>
      <c r="B1245" s="216"/>
      <c r="C1245" s="217" t="s">
        <v>400</v>
      </c>
    </row>
    <row r="1246" spans="1:6" ht="14.25">
      <c r="A1246" s="411"/>
      <c r="B1246" s="216"/>
      <c r="D1246" s="255" t="s">
        <v>526</v>
      </c>
      <c r="E1246" s="492">
        <f>VLOOKUP(decCh3Prod1Slot3Pack,dataPackMaterialExp,2,FALSE)</f>
        <v>0</v>
      </c>
      <c r="F1246" s="276" t="s">
        <v>4081</v>
      </c>
    </row>
    <row r="1247" spans="1:6" ht="14.25">
      <c r="A1247" s="411"/>
      <c r="B1247" s="216"/>
      <c r="D1247" s="328" t="s">
        <v>960</v>
      </c>
      <c r="E1247" s="502">
        <f>VLOOKUP(finCalcCh3Prod1Slot3ForcastAcc,dataForecastImpactMatCost,2,TRUE)*E1246</f>
        <v>0</v>
      </c>
      <c r="F1247" s="276" t="s">
        <v>4082</v>
      </c>
    </row>
    <row r="1248" spans="1:6" ht="14.25">
      <c r="A1248" s="411"/>
      <c r="B1248" s="216"/>
      <c r="D1248" s="328" t="s">
        <v>14030</v>
      </c>
      <c r="E1248" s="493">
        <f>paramProd1MatExpSI*finCalcCh3Prod1Slot3MatExpPerUnitBase</f>
        <v>0</v>
      </c>
      <c r="F1248" s="276" t="s">
        <v>4083</v>
      </c>
    </row>
    <row r="1249" spans="1:6" ht="14.25">
      <c r="A1249" s="411"/>
      <c r="B1249" s="216"/>
      <c r="D1249" s="209" t="s">
        <v>518</v>
      </c>
      <c r="E1249" s="327">
        <f>SUM(E1246:E1248)</f>
        <v>0</v>
      </c>
      <c r="F1249" s="276" t="s">
        <v>4084</v>
      </c>
    </row>
    <row r="1250" spans="1:6" ht="14.25">
      <c r="A1250" s="411"/>
      <c r="B1250" s="216"/>
      <c r="D1250" s="209" t="s">
        <v>401</v>
      </c>
      <c r="E1250" s="220">
        <f>finCalcCh3Prod1Slot3MatExpPUnitTot*finCalcCh3Prod1Slot3VolSold</f>
        <v>0</v>
      </c>
      <c r="F1250" s="276" t="s">
        <v>12978</v>
      </c>
    </row>
    <row r="1251" spans="1:6" ht="14.25">
      <c r="A1251" s="411"/>
      <c r="B1251" s="216"/>
      <c r="C1251" s="208"/>
      <c r="F1251" s="276"/>
    </row>
    <row r="1252" spans="1:6" ht="14.25">
      <c r="A1252" s="411"/>
      <c r="B1252" s="216"/>
      <c r="C1252" s="217" t="s">
        <v>399</v>
      </c>
      <c r="E1252" s="224"/>
    </row>
    <row r="1253" spans="1:6" ht="14.25">
      <c r="A1253" s="411"/>
      <c r="B1253" s="216"/>
      <c r="D1253" s="328" t="s">
        <v>969</v>
      </c>
      <c r="E1253" s="510">
        <f>VLOOKUP(decCh3Prod1Slot3Pack,dataPackLabourHrs,2,FALSE)</f>
        <v>0</v>
      </c>
      <c r="F1253" s="276" t="s">
        <v>4085</v>
      </c>
    </row>
    <row r="1254" spans="1:6" ht="14.25">
      <c r="A1254" s="411"/>
      <c r="B1254" s="216"/>
      <c r="D1254" s="328" t="s">
        <v>960</v>
      </c>
      <c r="E1254" s="510">
        <f>VLOOKUP(finCalcCh3Prod1Slot3ForcastAcc,dataForecastImpactLabCost,2,TRUE)*finCalcCh3Prod1Slot3LabourHrsReqPVolBase</f>
        <v>0</v>
      </c>
      <c r="F1254" s="276" t="s">
        <v>4086</v>
      </c>
    </row>
    <row r="1255" spans="1:6" ht="14.25">
      <c r="A1255" s="411"/>
      <c r="B1255" s="216"/>
      <c r="D1255" s="328" t="s">
        <v>14030</v>
      </c>
      <c r="E1255" s="510">
        <f>paramProd1LabourExpSI*finCalcCh3Prod1Slot3LabourHrsReqPVolBase</f>
        <v>0</v>
      </c>
      <c r="F1255" s="276" t="s">
        <v>4087</v>
      </c>
    </row>
    <row r="1256" spans="1:6" ht="14.25">
      <c r="A1256" s="411"/>
      <c r="B1256" s="216"/>
      <c r="D1256" s="209" t="s">
        <v>3795</v>
      </c>
      <c r="E1256" s="511">
        <f>SUM(E1253:E1255)</f>
        <v>0</v>
      </c>
      <c r="F1256" s="276" t="s">
        <v>4088</v>
      </c>
    </row>
    <row r="1257" spans="1:6" ht="14.25">
      <c r="A1257" s="411"/>
      <c r="B1257" s="216"/>
      <c r="D1257" s="328"/>
      <c r="E1257" s="499"/>
      <c r="F1257" s="276"/>
    </row>
    <row r="1258" spans="1:6" ht="14.25">
      <c r="A1258" s="411"/>
      <c r="B1258" s="216"/>
      <c r="D1258" s="209" t="s">
        <v>974</v>
      </c>
      <c r="E1258" s="494">
        <f>paramLabourCostPerHr</f>
        <v>5</v>
      </c>
      <c r="F1258" s="276" t="s">
        <v>4089</v>
      </c>
    </row>
    <row r="1259" spans="1:6" ht="14.25">
      <c r="A1259" s="411"/>
      <c r="B1259" s="216"/>
      <c r="D1259" s="209" t="s">
        <v>3793</v>
      </c>
      <c r="E1259" s="500">
        <f>finCalcCh3Prod1Slot3VolSold*finCalcCh3Prod1Slot3LabourHrsReqPVolTot</f>
        <v>0</v>
      </c>
    </row>
    <row r="1260" spans="1:6" ht="14.25">
      <c r="A1260" s="411"/>
      <c r="B1260" s="216"/>
      <c r="D1260" s="276" t="s">
        <v>973</v>
      </c>
      <c r="E1260" s="220">
        <f>E1259*finCalcCh3Prod1Slot3LabourCostPerHour</f>
        <v>0</v>
      </c>
      <c r="F1260" s="276" t="s">
        <v>12979</v>
      </c>
    </row>
    <row r="1261" spans="1:6" ht="14.25">
      <c r="A1261" s="411"/>
      <c r="B1261" s="216"/>
      <c r="E1261" s="223"/>
    </row>
    <row r="1262" spans="1:6" ht="14.25">
      <c r="A1262" s="411"/>
      <c r="B1262" s="216"/>
      <c r="C1262" s="217" t="s">
        <v>513</v>
      </c>
      <c r="E1262" s="223"/>
    </row>
    <row r="1263" spans="1:6" ht="14.25">
      <c r="A1263" s="411"/>
      <c r="B1263" s="216"/>
      <c r="C1263" s="326"/>
      <c r="D1263" s="276" t="s">
        <v>570</v>
      </c>
      <c r="E1263" s="491">
        <f>CalcCh3Prod1Slot3ManufacturingCostPUnit</f>
        <v>0</v>
      </c>
      <c r="F1263" s="276"/>
    </row>
    <row r="1264" spans="1:6" ht="14.25">
      <c r="A1264" s="411"/>
      <c r="B1264" s="216"/>
      <c r="C1264" s="326"/>
      <c r="D1264" s="209" t="s">
        <v>514</v>
      </c>
      <c r="E1264" s="490">
        <f>E1263*finCalcCh3Prod1Slot3VolSold</f>
        <v>0</v>
      </c>
      <c r="F1264" s="276" t="s">
        <v>12980</v>
      </c>
    </row>
    <row r="1265" spans="1:6" ht="14.25">
      <c r="A1265" s="411"/>
      <c r="B1265" s="216"/>
      <c r="C1265" s="208"/>
    </row>
    <row r="1266" spans="1:6" ht="14.25">
      <c r="A1266" s="411"/>
      <c r="B1266" s="216"/>
      <c r="C1266" s="498" t="s">
        <v>398</v>
      </c>
    </row>
    <row r="1267" spans="1:6" ht="14.25">
      <c r="A1267" s="411"/>
      <c r="B1267" s="216"/>
      <c r="C1267" s="208" t="s">
        <v>398</v>
      </c>
      <c r="E1267" s="223"/>
    </row>
    <row r="1268" spans="1:6" ht="14.25">
      <c r="A1268" s="411"/>
      <c r="B1268" s="216"/>
      <c r="D1268" s="209" t="s">
        <v>450</v>
      </c>
      <c r="E1268" s="220">
        <f>CalcCh3Prod1Slot3Depreciation</f>
        <v>0</v>
      </c>
      <c r="F1268" s="276" t="s">
        <v>1978</v>
      </c>
    </row>
    <row r="1269" spans="1:6" ht="14.25">
      <c r="A1269" s="411"/>
      <c r="B1269" s="216"/>
    </row>
    <row r="1270" spans="1:6" ht="14.25">
      <c r="A1270" s="411"/>
      <c r="B1270" s="216"/>
      <c r="C1270" s="217" t="s">
        <v>13066</v>
      </c>
    </row>
    <row r="1271" spans="1:6" ht="14.25">
      <c r="A1271" s="411"/>
      <c r="B1271" s="216"/>
      <c r="D1271" s="209" t="s">
        <v>400</v>
      </c>
      <c r="E1271" s="495">
        <f>finCalcCh3Prod1Slot3MatExpPUnitTot</f>
        <v>0</v>
      </c>
    </row>
    <row r="1272" spans="1:6" ht="14.25">
      <c r="A1272" s="411"/>
      <c r="B1272" s="216"/>
      <c r="D1272" s="209" t="s">
        <v>399</v>
      </c>
      <c r="E1272" s="495">
        <f>finCalcCh3Prod1Slot3LabourCostPerHour*finCalcCh3Prod1Slot3LabourHrsReqPVolTot</f>
        <v>0</v>
      </c>
    </row>
    <row r="1273" spans="1:6" ht="14.25">
      <c r="A1273" s="411"/>
      <c r="B1273" s="216"/>
      <c r="D1273" s="209" t="s">
        <v>513</v>
      </c>
      <c r="E1273" s="495">
        <f>E1263</f>
        <v>0</v>
      </c>
    </row>
    <row r="1274" spans="1:6" ht="14.25">
      <c r="A1274" s="411"/>
      <c r="B1274" s="216"/>
      <c r="D1274" s="209" t="s">
        <v>398</v>
      </c>
      <c r="E1274" s="496">
        <f>CalcCh3Prod1Slot3DepreciationPUnit</f>
        <v>0</v>
      </c>
    </row>
    <row r="1275" spans="1:6" ht="14.25">
      <c r="A1275" s="411"/>
      <c r="B1275" s="216"/>
      <c r="C1275" s="208" t="s">
        <v>397</v>
      </c>
      <c r="E1275" s="490">
        <f>SUM(E1271:E1274)</f>
        <v>0</v>
      </c>
      <c r="F1275" s="276" t="s">
        <v>1979</v>
      </c>
    </row>
    <row r="1276" spans="1:6" ht="14.25">
      <c r="A1276" s="411"/>
      <c r="B1276" s="216"/>
    </row>
    <row r="1277" spans="1:6" ht="14.25">
      <c r="A1277" s="411"/>
      <c r="B1277" s="216"/>
      <c r="C1277" s="217" t="s">
        <v>519</v>
      </c>
    </row>
    <row r="1278" spans="1:6" ht="14.25">
      <c r="A1278" s="411"/>
      <c r="B1278" s="216"/>
      <c r="D1278" s="328" t="s">
        <v>1286</v>
      </c>
      <c r="E1278" s="492">
        <f>VLOOKUP(decCh3Prod1Slot3Pack,dataPackLogisticsCost,2,FALSE)</f>
        <v>0</v>
      </c>
      <c r="F1278" s="276" t="s">
        <v>2945</v>
      </c>
    </row>
    <row r="1279" spans="1:6" ht="14.25">
      <c r="A1279" s="411"/>
      <c r="B1279" s="216"/>
      <c r="D1279" s="328" t="s">
        <v>960</v>
      </c>
      <c r="E1279" s="501">
        <f>VLOOKUP(finCalcCh3Prod1Slot3ForcastAcc,dataForecastImpactLogisticsCost,2,TRUE)*finCalcCh3Prod1Slot3LogExpPerUnit</f>
        <v>0</v>
      </c>
      <c r="F1279" s="276" t="s">
        <v>4090</v>
      </c>
    </row>
    <row r="1280" spans="1:6" ht="14.25">
      <c r="A1280" s="411"/>
      <c r="B1280" s="216"/>
      <c r="D1280" s="328" t="s">
        <v>14030</v>
      </c>
      <c r="E1280" s="497">
        <f>finCalcCh3Prod1Slot3LogExpPerUnit*paramProd1LogExpSI</f>
        <v>0</v>
      </c>
      <c r="F1280" s="276" t="s">
        <v>4091</v>
      </c>
    </row>
    <row r="1281" spans="1:6" ht="14.25">
      <c r="A1281" s="411"/>
      <c r="B1281" s="216"/>
      <c r="D1281" s="276" t="s">
        <v>1692</v>
      </c>
      <c r="E1281" s="327">
        <f>SUM(E1278:E1280)</f>
        <v>0</v>
      </c>
      <c r="F1281" s="276" t="s">
        <v>12981</v>
      </c>
    </row>
    <row r="1282" spans="1:6" ht="14.25">
      <c r="A1282" s="411"/>
      <c r="B1282" s="216"/>
      <c r="D1282" s="276" t="s">
        <v>1284</v>
      </c>
      <c r="E1282" s="490">
        <f>finCalcCh3Prod1Slot3LogExpAdjPUnit*finCalcCh3Prod1Slot3VolSold</f>
        <v>0</v>
      </c>
      <c r="F1282" s="276" t="s">
        <v>1980</v>
      </c>
    </row>
    <row r="1283" spans="1:6" ht="14.25">
      <c r="A1283" s="411"/>
      <c r="B1283" s="216"/>
      <c r="D1283" s="276"/>
      <c r="E1283" s="276"/>
      <c r="F1283" s="276"/>
    </row>
    <row r="1284" spans="1:6" s="322" customFormat="1" ht="12.75" customHeight="1">
      <c r="A1284" s="411"/>
      <c r="B1284" s="412"/>
      <c r="C1284" s="854" t="s">
        <v>238</v>
      </c>
      <c r="D1284" s="854"/>
      <c r="E1284" s="970"/>
      <c r="F1284" s="411"/>
    </row>
    <row r="1285" spans="1:6" s="322" customFormat="1" ht="12.75" customHeight="1">
      <c r="A1285" s="411"/>
      <c r="B1285" s="412"/>
      <c r="C1285" s="854"/>
      <c r="D1285" s="854" t="s">
        <v>3859</v>
      </c>
      <c r="E1285" s="970"/>
      <c r="F1285" s="411"/>
    </row>
    <row r="1286" spans="1:6" s="322" customFormat="1" ht="13.15" customHeight="1">
      <c r="A1286" s="411"/>
      <c r="B1286" s="412"/>
      <c r="C1286" s="323"/>
      <c r="D1286" s="323"/>
      <c r="E1286" s="324"/>
    </row>
    <row r="1287" spans="1:6" ht="14.25">
      <c r="A1287" s="411"/>
      <c r="B1287" s="216"/>
      <c r="C1287" s="217" t="s">
        <v>295</v>
      </c>
    </row>
    <row r="1288" spans="1:6" ht="14.25">
      <c r="A1288" s="411"/>
      <c r="B1288" s="216"/>
      <c r="D1288" s="276" t="s">
        <v>577</v>
      </c>
      <c r="E1288" s="491">
        <f>IF(calcCh3Prod2Slot1Active=1,IF(xxSim0Tool1=1,calcCh3Prod2Slot1VolForecastSlot,MMCh3Prod2Seg1Slot1UnitsSold+MMCh3Prod2Seg2Slot1UnitsSold+MMCh3Prod2Seg3Slot1UnitsSold+MMCh3Prod2Seg4Slot1UnitsSold),0)</f>
        <v>28973803</v>
      </c>
      <c r="F1288" s="276" t="s">
        <v>1981</v>
      </c>
    </row>
    <row r="1289" spans="1:6" ht="14.25">
      <c r="A1289" s="411"/>
      <c r="B1289" s="216"/>
      <c r="D1289" s="276" t="s">
        <v>1762</v>
      </c>
      <c r="E1289" s="399">
        <f>IF(VLOOKUP(decCh3Prod2Slot1Pack,dataPackSize,2,FALSE)=0,0,finCalcCh3Prod2Slot1VolSold/VLOOKUP(decCh3Prod2Slot1Pack,dataPackSize,2,FALSE))</f>
        <v>87799403.030303031</v>
      </c>
      <c r="F1289" s="276" t="s">
        <v>1982</v>
      </c>
    </row>
    <row r="1290" spans="1:6" ht="14.25">
      <c r="A1290" s="411"/>
      <c r="B1290" s="216"/>
      <c r="D1290" s="276" t="s">
        <v>966</v>
      </c>
      <c r="E1290" s="654">
        <f>IF(calcCh3Prod2Slot1VolForecastSlot=0,100%,finCalcCh3Prod2Slot1VolSold/calcCh3Prod2Slot1VolForecastSlot)</f>
        <v>1</v>
      </c>
      <c r="F1290" s="276" t="s">
        <v>1983</v>
      </c>
    </row>
    <row r="1291" spans="1:6" ht="14.25">
      <c r="A1291" s="411"/>
      <c r="B1291" s="216"/>
      <c r="E1291" s="489"/>
    </row>
    <row r="1292" spans="1:6" ht="14.25">
      <c r="A1292" s="411"/>
      <c r="B1292" s="216"/>
      <c r="C1292" s="217" t="s">
        <v>3789</v>
      </c>
      <c r="E1292" s="489"/>
    </row>
    <row r="1293" spans="1:6" ht="14.25">
      <c r="A1293" s="411"/>
      <c r="B1293" s="216"/>
      <c r="C1293" s="217" t="s">
        <v>400</v>
      </c>
    </row>
    <row r="1294" spans="1:6" ht="14.25">
      <c r="A1294" s="411"/>
      <c r="B1294" s="216"/>
      <c r="D1294" s="255" t="s">
        <v>526</v>
      </c>
      <c r="E1294" s="492">
        <f>VLOOKUP(decCh3Prod2Slot1Pack,dataPackMaterialExp,2,FALSE)</f>
        <v>1.6191252000000003</v>
      </c>
      <c r="F1294" s="276" t="s">
        <v>4092</v>
      </c>
    </row>
    <row r="1295" spans="1:6" ht="14.25">
      <c r="A1295" s="411"/>
      <c r="B1295" s="216"/>
      <c r="D1295" s="328" t="s">
        <v>960</v>
      </c>
      <c r="E1295" s="502">
        <f>VLOOKUP(finCalcCh3Prod2Slot1ForcastAcc,dataForecastImpactMatCost,2,TRUE)*E1294</f>
        <v>0</v>
      </c>
      <c r="F1295" s="276" t="s">
        <v>4093</v>
      </c>
    </row>
    <row r="1296" spans="1:6" ht="14.25">
      <c r="A1296" s="411"/>
      <c r="B1296" s="216"/>
      <c r="D1296" s="328" t="s">
        <v>14030</v>
      </c>
      <c r="E1296" s="493">
        <f>paramProd2MatExpSI*finCalcCh3Prod2Slot1MatExpPerUnitBase</f>
        <v>0</v>
      </c>
      <c r="F1296" s="276" t="s">
        <v>4094</v>
      </c>
    </row>
    <row r="1297" spans="1:6" ht="14.25">
      <c r="A1297" s="411"/>
      <c r="B1297" s="216"/>
      <c r="D1297" s="209" t="s">
        <v>518</v>
      </c>
      <c r="E1297" s="327">
        <f>SUM(E1294:E1296)</f>
        <v>1.6191252000000003</v>
      </c>
      <c r="F1297" s="276" t="s">
        <v>4095</v>
      </c>
    </row>
    <row r="1298" spans="1:6" ht="14.25">
      <c r="A1298" s="411"/>
      <c r="B1298" s="216"/>
      <c r="D1298" s="209" t="s">
        <v>401</v>
      </c>
      <c r="E1298" s="220">
        <f>finCalcCh3Prod2Slot1MatExpPUnitTot*finCalcCh3Prod2Slot1VolSold</f>
        <v>46912214.577135608</v>
      </c>
      <c r="F1298" s="276" t="s">
        <v>12982</v>
      </c>
    </row>
    <row r="1299" spans="1:6" ht="14.25">
      <c r="A1299" s="411"/>
      <c r="B1299" s="216"/>
      <c r="C1299" s="208"/>
      <c r="F1299" s="276"/>
    </row>
    <row r="1300" spans="1:6" ht="14.25">
      <c r="A1300" s="411"/>
      <c r="B1300" s="216"/>
      <c r="C1300" s="217" t="s">
        <v>399</v>
      </c>
      <c r="E1300" s="224"/>
    </row>
    <row r="1301" spans="1:6" ht="14.25">
      <c r="A1301" s="411"/>
      <c r="B1301" s="216"/>
      <c r="D1301" s="328" t="s">
        <v>969</v>
      </c>
      <c r="E1301" s="510">
        <f>VLOOKUP(decCh3Prod2Slot1Pack,dataPackLabourHrs,2,FALSE)</f>
        <v>4.7621329411764717E-2</v>
      </c>
      <c r="F1301" s="276" t="s">
        <v>4096</v>
      </c>
    </row>
    <row r="1302" spans="1:6" ht="14.25">
      <c r="A1302" s="411"/>
      <c r="B1302" s="216"/>
      <c r="D1302" s="328" t="s">
        <v>960</v>
      </c>
      <c r="E1302" s="510">
        <f>VLOOKUP(finCalcCh3Prod2Slot1ForcastAcc,dataForecastImpactLabCost,2,TRUE)*finCalcCh3Prod2Slot1LabourHrsReqPVolBase</f>
        <v>0</v>
      </c>
      <c r="F1302" s="276" t="s">
        <v>4097</v>
      </c>
    </row>
    <row r="1303" spans="1:6" ht="14.25">
      <c r="A1303" s="411"/>
      <c r="B1303" s="216"/>
      <c r="D1303" s="328" t="s">
        <v>14030</v>
      </c>
      <c r="E1303" s="510">
        <f>paramProd2LabourExpSI*finCalcCh3Prod2Slot1LabourHrsReqPVolBase</f>
        <v>0</v>
      </c>
      <c r="F1303" s="276" t="s">
        <v>4098</v>
      </c>
    </row>
    <row r="1304" spans="1:6" ht="14.25">
      <c r="A1304" s="411"/>
      <c r="B1304" s="216"/>
      <c r="D1304" s="209" t="s">
        <v>3795</v>
      </c>
      <c r="E1304" s="511">
        <f>SUM(E1301:E1303)</f>
        <v>4.7621329411764717E-2</v>
      </c>
      <c r="F1304" s="276" t="s">
        <v>4099</v>
      </c>
    </row>
    <row r="1305" spans="1:6" ht="14.25">
      <c r="A1305" s="411"/>
      <c r="B1305" s="216"/>
      <c r="D1305" s="328"/>
      <c r="E1305" s="499"/>
      <c r="F1305" s="276"/>
    </row>
    <row r="1306" spans="1:6" ht="14.25">
      <c r="A1306" s="411"/>
      <c r="B1306" s="216"/>
      <c r="D1306" s="209" t="s">
        <v>974</v>
      </c>
      <c r="E1306" s="494">
        <f>paramLabourCostPerHr</f>
        <v>5</v>
      </c>
      <c r="F1306" s="276" t="s">
        <v>4100</v>
      </c>
    </row>
    <row r="1307" spans="1:6" ht="14.25">
      <c r="A1307" s="411"/>
      <c r="B1307" s="216"/>
      <c r="D1307" s="209" t="s">
        <v>3793</v>
      </c>
      <c r="E1307" s="500">
        <f>finCalcCh3Prod2Slot1VolSold*finCalcCh3Prod2Slot1LabourHrsReqPVolTot</f>
        <v>1379771.0169745767</v>
      </c>
    </row>
    <row r="1308" spans="1:6" ht="14.25">
      <c r="A1308" s="411"/>
      <c r="B1308" s="216"/>
      <c r="D1308" s="276" t="s">
        <v>973</v>
      </c>
      <c r="E1308" s="220">
        <f>E1307*finCalcCh3Prod2Slot1LabourCostPerHour</f>
        <v>6898855.0848728837</v>
      </c>
      <c r="F1308" s="276" t="s">
        <v>12983</v>
      </c>
    </row>
    <row r="1309" spans="1:6" ht="14.25">
      <c r="A1309" s="411"/>
      <c r="B1309" s="216"/>
      <c r="E1309" s="223"/>
    </row>
    <row r="1310" spans="1:6" ht="14.25">
      <c r="A1310" s="411"/>
      <c r="B1310" s="216"/>
      <c r="C1310" s="217" t="s">
        <v>513</v>
      </c>
      <c r="E1310" s="223"/>
    </row>
    <row r="1311" spans="1:6" ht="14.25">
      <c r="A1311" s="411"/>
      <c r="B1311" s="216"/>
      <c r="C1311" s="326"/>
      <c r="D1311" s="276" t="s">
        <v>570</v>
      </c>
      <c r="E1311" s="491">
        <f>CalcCh3Prod2Slot1ManufacturingCostPUnit</f>
        <v>0.19504800000000003</v>
      </c>
      <c r="F1311" s="276"/>
    </row>
    <row r="1312" spans="1:6" ht="14.25">
      <c r="A1312" s="411"/>
      <c r="B1312" s="216"/>
      <c r="C1312" s="326"/>
      <c r="D1312" s="209" t="s">
        <v>514</v>
      </c>
      <c r="E1312" s="490">
        <f>E1311*finCalcCh3Prod2Slot1VolSold</f>
        <v>5651282.3275440009</v>
      </c>
      <c r="F1312" s="276" t="s">
        <v>12984</v>
      </c>
    </row>
    <row r="1313" spans="1:6" ht="14.25">
      <c r="A1313" s="411"/>
      <c r="B1313" s="216"/>
      <c r="C1313" s="208"/>
    </row>
    <row r="1314" spans="1:6" ht="14.25">
      <c r="A1314" s="411"/>
      <c r="B1314" s="216"/>
      <c r="C1314" s="498" t="s">
        <v>398</v>
      </c>
    </row>
    <row r="1315" spans="1:6" ht="14.25">
      <c r="A1315" s="411"/>
      <c r="B1315" s="216"/>
      <c r="C1315" s="208" t="s">
        <v>398</v>
      </c>
      <c r="E1315" s="223"/>
    </row>
    <row r="1316" spans="1:6" ht="14.25">
      <c r="A1316" s="411"/>
      <c r="B1316" s="216"/>
      <c r="D1316" s="209" t="s">
        <v>450</v>
      </c>
      <c r="E1316" s="220">
        <f>CalcCh3Prod2Slot1Depreciation</f>
        <v>2515162.9010729236</v>
      </c>
      <c r="F1316" s="276" t="s">
        <v>1984</v>
      </c>
    </row>
    <row r="1317" spans="1:6" ht="14.25">
      <c r="A1317" s="411"/>
      <c r="B1317" s="216"/>
    </row>
    <row r="1318" spans="1:6" ht="14.25">
      <c r="A1318" s="411"/>
      <c r="B1318" s="216"/>
      <c r="C1318" s="217" t="s">
        <v>13066</v>
      </c>
    </row>
    <row r="1319" spans="1:6" ht="14.25">
      <c r="A1319" s="411"/>
      <c r="B1319" s="216"/>
      <c r="D1319" s="209" t="s">
        <v>400</v>
      </c>
      <c r="E1319" s="495">
        <f>finCalcCh3Prod2Slot1MatExpPUnitTot</f>
        <v>1.6191252000000003</v>
      </c>
    </row>
    <row r="1320" spans="1:6" ht="14.25">
      <c r="A1320" s="411"/>
      <c r="B1320" s="216"/>
      <c r="D1320" s="209" t="s">
        <v>399</v>
      </c>
      <c r="E1320" s="495">
        <f>finCalcCh3Prod2Slot1LabourCostPerHour*finCalcCh3Prod2Slot1LabourHrsReqPVolTot</f>
        <v>0.23810664705882359</v>
      </c>
    </row>
    <row r="1321" spans="1:6" ht="14.25">
      <c r="A1321" s="411"/>
      <c r="B1321" s="216"/>
      <c r="D1321" s="209" t="s">
        <v>513</v>
      </c>
      <c r="E1321" s="495">
        <f>E1311</f>
        <v>0.19504800000000003</v>
      </c>
    </row>
    <row r="1322" spans="1:6" ht="14.25">
      <c r="A1322" s="411"/>
      <c r="B1322" s="216"/>
      <c r="D1322" s="209" t="s">
        <v>398</v>
      </c>
      <c r="E1322" s="496">
        <f>CalcCh3Prod2Slot1DepreciationPUnit</f>
        <v>8.6808172923413737E-2</v>
      </c>
    </row>
    <row r="1323" spans="1:6" ht="14.25">
      <c r="A1323" s="411"/>
      <c r="B1323" s="216"/>
      <c r="C1323" s="208" t="s">
        <v>397</v>
      </c>
      <c r="E1323" s="490">
        <f>SUM(E1319:E1322)</f>
        <v>2.1390880199822377</v>
      </c>
      <c r="F1323" s="276" t="s">
        <v>1985</v>
      </c>
    </row>
    <row r="1324" spans="1:6" ht="14.25">
      <c r="A1324" s="411"/>
      <c r="B1324" s="216"/>
    </row>
    <row r="1325" spans="1:6" ht="14.25">
      <c r="A1325" s="411"/>
      <c r="B1325" s="216"/>
      <c r="C1325" s="217" t="s">
        <v>519</v>
      </c>
    </row>
    <row r="1326" spans="1:6" ht="14.25">
      <c r="A1326" s="411"/>
      <c r="B1326" s="216"/>
      <c r="D1326" s="328" t="s">
        <v>1286</v>
      </c>
      <c r="E1326" s="492">
        <f>VLOOKUP(decCh3Prod2Slot1Pack,dataPackLogisticsCost,2,FALSE)</f>
        <v>0.27511578947368426</v>
      </c>
      <c r="F1326" s="276" t="s">
        <v>2946</v>
      </c>
    </row>
    <row r="1327" spans="1:6" ht="14.25">
      <c r="A1327" s="411"/>
      <c r="B1327" s="216"/>
      <c r="D1327" s="328" t="s">
        <v>960</v>
      </c>
      <c r="E1327" s="501">
        <f>VLOOKUP(finCalcCh3Prod2Slot1ForcastAcc,dataForecastImpactLogisticsCost,2,TRUE)*finCalcCh3Prod2Slot1LogExpPerUnit</f>
        <v>0</v>
      </c>
      <c r="F1327" s="276" t="s">
        <v>4101</v>
      </c>
    </row>
    <row r="1328" spans="1:6" ht="14.25">
      <c r="A1328" s="411"/>
      <c r="B1328" s="216"/>
      <c r="D1328" s="328" t="s">
        <v>14030</v>
      </c>
      <c r="E1328" s="497">
        <f>finCalcCh3Prod2Slot1LogExpPerUnit*paramProd2LogExpSI</f>
        <v>0</v>
      </c>
      <c r="F1328" s="276" t="s">
        <v>4102</v>
      </c>
    </row>
    <row r="1329" spans="1:6" ht="14.25">
      <c r="A1329" s="411"/>
      <c r="B1329" s="216"/>
      <c r="D1329" s="276" t="s">
        <v>1692</v>
      </c>
      <c r="E1329" s="327">
        <f>SUM(E1326:E1328)</f>
        <v>0.27511578947368426</v>
      </c>
      <c r="F1329" s="276" t="s">
        <v>12985</v>
      </c>
    </row>
    <row r="1330" spans="1:6" ht="14.25">
      <c r="A1330" s="411"/>
      <c r="B1330" s="216"/>
      <c r="D1330" s="276" t="s">
        <v>1284</v>
      </c>
      <c r="E1330" s="490">
        <f>finCalcCh3Prod2Slot1LogExpAdjPUnit*finCalcCh3Prod2Slot1VolSold</f>
        <v>7971150.6864000009</v>
      </c>
      <c r="F1330" s="276" t="s">
        <v>1986</v>
      </c>
    </row>
    <row r="1331" spans="1:6" ht="14.25">
      <c r="A1331" s="411"/>
      <c r="B1331" s="216"/>
      <c r="D1331" s="276"/>
      <c r="E1331" s="276"/>
      <c r="F1331" s="276"/>
    </row>
    <row r="1332" spans="1:6" s="322" customFormat="1" ht="12.75" customHeight="1">
      <c r="A1332" s="411"/>
      <c r="B1332" s="412"/>
      <c r="C1332" s="854"/>
      <c r="D1332" s="854" t="s">
        <v>3858</v>
      </c>
      <c r="E1332" s="970"/>
      <c r="F1332" s="411"/>
    </row>
    <row r="1333" spans="1:6" s="322" customFormat="1" ht="13.15" customHeight="1">
      <c r="A1333" s="411"/>
      <c r="B1333" s="412"/>
      <c r="C1333" s="323"/>
      <c r="D1333" s="323"/>
      <c r="E1333" s="324"/>
    </row>
    <row r="1334" spans="1:6" ht="14.25">
      <c r="A1334" s="411"/>
      <c r="B1334" s="216"/>
      <c r="C1334" s="217" t="s">
        <v>295</v>
      </c>
    </row>
    <row r="1335" spans="1:6" ht="14.25">
      <c r="A1335" s="411"/>
      <c r="B1335" s="216"/>
      <c r="D1335" s="276" t="s">
        <v>577</v>
      </c>
      <c r="E1335" s="491">
        <f>IF(calcCh3Prod2Slot2Active=1,IF(xxSim0Tool1=1,calcCh3Prod2Slot2VolForecastSlot,MMCh3Prod2Seg1Slot2UnitsSold+MMCh3Prod2Seg2Slot2UnitsSold+MMCh3Prod2Seg3Slot2UnitsSold+MMCh3Prod2Seg4Slot2UnitsSold),0)</f>
        <v>43460704.5</v>
      </c>
      <c r="F1335" s="276" t="s">
        <v>1987</v>
      </c>
    </row>
    <row r="1336" spans="1:6" ht="14.25">
      <c r="A1336" s="411"/>
      <c r="B1336" s="216"/>
      <c r="D1336" s="276" t="s">
        <v>1762</v>
      </c>
      <c r="E1336" s="399">
        <f>IF(VLOOKUP(decCh3Prod2Slot2Pack,dataPackSize,2,FALSE)=0,0,finCalcCh3Prod2Slot2VolSold/VLOOKUP(decCh3Prod2Slot2Pack,dataPackSize,2,FALSE))</f>
        <v>21949850.757575758</v>
      </c>
      <c r="F1336" s="276" t="s">
        <v>1988</v>
      </c>
    </row>
    <row r="1337" spans="1:6" ht="14.25">
      <c r="A1337" s="411"/>
      <c r="B1337" s="216"/>
      <c r="D1337" s="276" t="s">
        <v>966</v>
      </c>
      <c r="E1337" s="654">
        <f>IF(calcCh3Prod2Slot2VolForecastSlot=0,100%,finCalcCh3Prod2Slot2VolSold/calcCh3Prod2Slot2VolForecastSlot)</f>
        <v>1</v>
      </c>
      <c r="F1337" s="276" t="s">
        <v>1989</v>
      </c>
    </row>
    <row r="1338" spans="1:6" ht="14.25">
      <c r="A1338" s="411"/>
      <c r="B1338" s="216"/>
      <c r="E1338" s="489"/>
    </row>
    <row r="1339" spans="1:6" ht="14.25">
      <c r="A1339" s="411"/>
      <c r="B1339" s="216"/>
      <c r="C1339" s="217" t="s">
        <v>3789</v>
      </c>
      <c r="E1339" s="489"/>
    </row>
    <row r="1340" spans="1:6" ht="14.25">
      <c r="A1340" s="411"/>
      <c r="B1340" s="216"/>
      <c r="C1340" s="217" t="s">
        <v>400</v>
      </c>
    </row>
    <row r="1341" spans="1:6" ht="14.25">
      <c r="A1341" s="411"/>
      <c r="B1341" s="216"/>
      <c r="D1341" s="255" t="s">
        <v>526</v>
      </c>
      <c r="E1341" s="492">
        <f>VLOOKUP(decCh3Prod2Slot2Pack,dataPackMaterialExp,2,FALSE)</f>
        <v>1.5209964000000005</v>
      </c>
      <c r="F1341" s="276" t="s">
        <v>4103</v>
      </c>
    </row>
    <row r="1342" spans="1:6" ht="14.25">
      <c r="A1342" s="411"/>
      <c r="B1342" s="216"/>
      <c r="D1342" s="328" t="s">
        <v>960</v>
      </c>
      <c r="E1342" s="502">
        <f>VLOOKUP(finCalcCh3Prod2Slot2ForcastAcc,dataForecastImpactMatCost,2,TRUE)*E1341</f>
        <v>0</v>
      </c>
      <c r="F1342" s="276" t="s">
        <v>4104</v>
      </c>
    </row>
    <row r="1343" spans="1:6" ht="14.25">
      <c r="A1343" s="411"/>
      <c r="B1343" s="216"/>
      <c r="D1343" s="328" t="s">
        <v>14030</v>
      </c>
      <c r="E1343" s="493">
        <f>paramProd2MatExpSI*finCalcCh3Prod2Slot2MatExpPerUnitBase</f>
        <v>0</v>
      </c>
      <c r="F1343" s="276" t="s">
        <v>4105</v>
      </c>
    </row>
    <row r="1344" spans="1:6" ht="14.25">
      <c r="A1344" s="411"/>
      <c r="B1344" s="216"/>
      <c r="D1344" s="209" t="s">
        <v>518</v>
      </c>
      <c r="E1344" s="327">
        <f>SUM(E1341:E1343)</f>
        <v>1.5209964000000005</v>
      </c>
      <c r="F1344" s="276" t="s">
        <v>4106</v>
      </c>
    </row>
    <row r="1345" spans="1:6" ht="14.25">
      <c r="A1345" s="411"/>
      <c r="B1345" s="216"/>
      <c r="D1345" s="209" t="s">
        <v>401</v>
      </c>
      <c r="E1345" s="220">
        <f>finCalcCh3Prod2Slot2MatExpPUnitTot*finCalcCh3Prod2Slot2VolSold</f>
        <v>66103575.085963823</v>
      </c>
      <c r="F1345" s="276" t="s">
        <v>12986</v>
      </c>
    </row>
    <row r="1346" spans="1:6" ht="14.25">
      <c r="A1346" s="411"/>
      <c r="B1346" s="216"/>
      <c r="C1346" s="208"/>
      <c r="F1346" s="276"/>
    </row>
    <row r="1347" spans="1:6" ht="14.25">
      <c r="A1347" s="411"/>
      <c r="B1347" s="216"/>
      <c r="C1347" s="217" t="s">
        <v>399</v>
      </c>
      <c r="E1347" s="224"/>
    </row>
    <row r="1348" spans="1:6" ht="14.25">
      <c r="A1348" s="411"/>
      <c r="B1348" s="216"/>
      <c r="D1348" s="328" t="s">
        <v>969</v>
      </c>
      <c r="E1348" s="510">
        <f>VLOOKUP(decCh3Prod2Slot2Pack,dataPackLabourHrs,2,FALSE)</f>
        <v>4.4735188235294127E-2</v>
      </c>
      <c r="F1348" s="276" t="s">
        <v>4107</v>
      </c>
    </row>
    <row r="1349" spans="1:6" ht="14.25">
      <c r="A1349" s="411"/>
      <c r="B1349" s="216"/>
      <c r="D1349" s="328" t="s">
        <v>960</v>
      </c>
      <c r="E1349" s="510">
        <f>VLOOKUP(finCalcCh3Prod2Slot2ForcastAcc,dataForecastImpactLabCost,2,TRUE)*finCalcCh3Prod2Slot2LabourHrsReqPVolBase</f>
        <v>0</v>
      </c>
      <c r="F1349" s="276" t="s">
        <v>4108</v>
      </c>
    </row>
    <row r="1350" spans="1:6" ht="14.25">
      <c r="A1350" s="411"/>
      <c r="B1350" s="216"/>
      <c r="D1350" s="328" t="s">
        <v>14030</v>
      </c>
      <c r="E1350" s="510">
        <f>paramProd2LabourExpSI*finCalcCh3Prod2Slot2LabourHrsReqPVolBase</f>
        <v>0</v>
      </c>
      <c r="F1350" s="276" t="s">
        <v>4109</v>
      </c>
    </row>
    <row r="1351" spans="1:6" ht="14.25">
      <c r="A1351" s="411"/>
      <c r="B1351" s="216"/>
      <c r="D1351" s="209" t="s">
        <v>3795</v>
      </c>
      <c r="E1351" s="511">
        <f>SUM(E1348:E1350)</f>
        <v>4.4735188235294127E-2</v>
      </c>
      <c r="F1351" s="276" t="s">
        <v>4110</v>
      </c>
    </row>
    <row r="1352" spans="1:6" ht="14.25">
      <c r="A1352" s="411"/>
      <c r="B1352" s="216"/>
      <c r="D1352" s="328"/>
      <c r="E1352" s="499"/>
      <c r="F1352" s="276"/>
    </row>
    <row r="1353" spans="1:6" ht="14.25">
      <c r="A1353" s="411"/>
      <c r="B1353" s="216"/>
      <c r="D1353" s="209" t="s">
        <v>974</v>
      </c>
      <c r="E1353" s="494">
        <f>paramLabourCostPerHr</f>
        <v>5</v>
      </c>
      <c r="F1353" s="276" t="s">
        <v>4111</v>
      </c>
    </row>
    <row r="1354" spans="1:6" ht="14.25">
      <c r="A1354" s="411"/>
      <c r="B1354" s="216"/>
      <c r="D1354" s="209" t="s">
        <v>3793</v>
      </c>
      <c r="E1354" s="500">
        <f>finCalcCh3Prod2Slot2VolSold*finCalcCh3Prod2Slot2LabourHrsReqPVolTot</f>
        <v>1944222.7966459945</v>
      </c>
    </row>
    <row r="1355" spans="1:6" ht="14.25">
      <c r="A1355" s="411"/>
      <c r="B1355" s="216"/>
      <c r="D1355" s="276" t="s">
        <v>973</v>
      </c>
      <c r="E1355" s="220">
        <f>E1354*finCalcCh3Prod2Slot2LabourCostPerHour</f>
        <v>9721113.9832299724</v>
      </c>
      <c r="F1355" s="276" t="s">
        <v>12987</v>
      </c>
    </row>
    <row r="1356" spans="1:6" ht="14.25">
      <c r="A1356" s="411"/>
      <c r="B1356" s="216"/>
      <c r="E1356" s="223"/>
    </row>
    <row r="1357" spans="1:6" ht="14.25">
      <c r="A1357" s="411"/>
      <c r="B1357" s="216"/>
      <c r="C1357" s="217" t="s">
        <v>513</v>
      </c>
      <c r="E1357" s="223"/>
    </row>
    <row r="1358" spans="1:6" ht="14.25">
      <c r="A1358" s="411"/>
      <c r="B1358" s="216"/>
      <c r="C1358" s="326"/>
      <c r="D1358" s="276" t="s">
        <v>570</v>
      </c>
      <c r="E1358" s="491">
        <f>CalcCh3Prod2Slot2ManufacturingCostPUnit</f>
        <v>0.29484000000000005</v>
      </c>
      <c r="F1358" s="276"/>
    </row>
    <row r="1359" spans="1:6" ht="14.25">
      <c r="A1359" s="411"/>
      <c r="B1359" s="216"/>
      <c r="C1359" s="326"/>
      <c r="D1359" s="209" t="s">
        <v>514</v>
      </c>
      <c r="E1359" s="490">
        <f>E1358*finCalcCh3Prod2Slot2VolSold</f>
        <v>12813954.114780001</v>
      </c>
      <c r="F1359" s="276" t="s">
        <v>12988</v>
      </c>
    </row>
    <row r="1360" spans="1:6" ht="14.25">
      <c r="A1360" s="411"/>
      <c r="B1360" s="216"/>
      <c r="C1360" s="208"/>
    </row>
    <row r="1361" spans="1:6" ht="14.25">
      <c r="A1361" s="411"/>
      <c r="B1361" s="216"/>
      <c r="C1361" s="498" t="s">
        <v>398</v>
      </c>
    </row>
    <row r="1362" spans="1:6" ht="14.25">
      <c r="A1362" s="411"/>
      <c r="B1362" s="216"/>
      <c r="C1362" s="208" t="s">
        <v>398</v>
      </c>
      <c r="E1362" s="223"/>
    </row>
    <row r="1363" spans="1:6" ht="14.25">
      <c r="A1363" s="411"/>
      <c r="B1363" s="216"/>
      <c r="D1363" s="209" t="s">
        <v>450</v>
      </c>
      <c r="E1363" s="220">
        <f>CalcCh3Prod2Slot2Depreciation</f>
        <v>5702985.6477816291</v>
      </c>
      <c r="F1363" s="276" t="s">
        <v>1990</v>
      </c>
    </row>
    <row r="1364" spans="1:6" ht="14.25">
      <c r="A1364" s="411"/>
      <c r="B1364" s="216"/>
    </row>
    <row r="1365" spans="1:6" ht="14.25">
      <c r="A1365" s="411"/>
      <c r="B1365" s="216"/>
      <c r="C1365" s="217" t="s">
        <v>13066</v>
      </c>
    </row>
    <row r="1366" spans="1:6" ht="14.25">
      <c r="A1366" s="411"/>
      <c r="B1366" s="216"/>
      <c r="D1366" s="209" t="s">
        <v>400</v>
      </c>
      <c r="E1366" s="495">
        <f>finCalcCh3Prod2Slot2MatExpPUnitTot</f>
        <v>1.5209964000000005</v>
      </c>
    </row>
    <row r="1367" spans="1:6" ht="14.25">
      <c r="A1367" s="411"/>
      <c r="B1367" s="216"/>
      <c r="D1367" s="209" t="s">
        <v>399</v>
      </c>
      <c r="E1367" s="495">
        <f>finCalcCh3Prod2Slot2LabourCostPerHour*finCalcCh3Prod2Slot2LabourHrsReqPVolTot</f>
        <v>0.22367594117647063</v>
      </c>
    </row>
    <row r="1368" spans="1:6" ht="14.25">
      <c r="A1368" s="411"/>
      <c r="B1368" s="216"/>
      <c r="D1368" s="209" t="s">
        <v>513</v>
      </c>
      <c r="E1368" s="495">
        <f>E1358</f>
        <v>0.29484000000000005</v>
      </c>
    </row>
    <row r="1369" spans="1:6" ht="14.25">
      <c r="A1369" s="411"/>
      <c r="B1369" s="216"/>
      <c r="D1369" s="209" t="s">
        <v>398</v>
      </c>
      <c r="E1369" s="496">
        <f>CalcCh3Prod2Slot2DepreciationPUnit</f>
        <v>0.13122165674469519</v>
      </c>
    </row>
    <row r="1370" spans="1:6" ht="14.25">
      <c r="A1370" s="411"/>
      <c r="B1370" s="216"/>
      <c r="C1370" s="208" t="s">
        <v>397</v>
      </c>
      <c r="E1370" s="490">
        <f>SUM(E1366:E1369)</f>
        <v>2.1707339979211664</v>
      </c>
      <c r="F1370" s="276" t="s">
        <v>1991</v>
      </c>
    </row>
    <row r="1371" spans="1:6" ht="14.25">
      <c r="A1371" s="411"/>
      <c r="B1371" s="216"/>
    </row>
    <row r="1372" spans="1:6" ht="14.25">
      <c r="A1372" s="411"/>
      <c r="B1372" s="216"/>
      <c r="C1372" s="217" t="s">
        <v>519</v>
      </c>
    </row>
    <row r="1373" spans="1:6" ht="14.25">
      <c r="A1373" s="411"/>
      <c r="B1373" s="216"/>
      <c r="D1373" s="328" t="s">
        <v>1286</v>
      </c>
      <c r="E1373" s="492">
        <f>VLOOKUP(decCh3Prod2Slot2Pack,dataPackLogisticsCost,2,FALSE)</f>
        <v>0.25844210526315792</v>
      </c>
      <c r="F1373" s="276" t="s">
        <v>2947</v>
      </c>
    </row>
    <row r="1374" spans="1:6" ht="14.25">
      <c r="A1374" s="411"/>
      <c r="B1374" s="216"/>
      <c r="D1374" s="328" t="s">
        <v>960</v>
      </c>
      <c r="E1374" s="501">
        <f>VLOOKUP(finCalcCh3Prod2Slot2ForcastAcc,dataForecastImpactLogisticsCost,2,TRUE)*finCalcCh3Prod2Slot2LogExpPerUnit</f>
        <v>0</v>
      </c>
      <c r="F1374" s="276" t="s">
        <v>4112</v>
      </c>
    </row>
    <row r="1375" spans="1:6" ht="14.25">
      <c r="A1375" s="411"/>
      <c r="B1375" s="216"/>
      <c r="D1375" s="328" t="s">
        <v>14030</v>
      </c>
      <c r="E1375" s="497">
        <f>finCalcCh3Prod2Slot2LogExpPerUnit*paramProd2LogExpSI</f>
        <v>0</v>
      </c>
      <c r="F1375" s="276" t="s">
        <v>4113</v>
      </c>
    </row>
    <row r="1376" spans="1:6" ht="14.25">
      <c r="A1376" s="411"/>
      <c r="B1376" s="216"/>
      <c r="D1376" s="276" t="s">
        <v>1692</v>
      </c>
      <c r="E1376" s="327">
        <f>SUM(E1373:E1375)</f>
        <v>0.25844210526315792</v>
      </c>
      <c r="F1376" s="276" t="s">
        <v>12989</v>
      </c>
    </row>
    <row r="1377" spans="1:6" ht="14.25">
      <c r="A1377" s="411"/>
      <c r="B1377" s="216"/>
      <c r="D1377" s="276" t="s">
        <v>1284</v>
      </c>
      <c r="E1377" s="490">
        <f>finCalcCh3Prod2Slot2LogExpAdjPUnit*finCalcCh3Prod2Slot2VolSold</f>
        <v>11232075.967200002</v>
      </c>
      <c r="F1377" s="276" t="s">
        <v>1992</v>
      </c>
    </row>
    <row r="1378" spans="1:6" ht="14.25">
      <c r="A1378" s="411"/>
      <c r="B1378" s="216"/>
      <c r="D1378" s="276"/>
      <c r="E1378" s="276"/>
      <c r="F1378" s="276"/>
    </row>
    <row r="1379" spans="1:6" s="322" customFormat="1" ht="12.75" customHeight="1">
      <c r="A1379" s="411"/>
      <c r="B1379" s="412"/>
      <c r="C1379" s="854"/>
      <c r="D1379" s="854" t="s">
        <v>3860</v>
      </c>
      <c r="E1379" s="970"/>
      <c r="F1379" s="411"/>
    </row>
    <row r="1380" spans="1:6" s="322" customFormat="1" ht="13.15" customHeight="1">
      <c r="A1380" s="411"/>
      <c r="B1380" s="412"/>
      <c r="C1380" s="323"/>
      <c r="D1380" s="323"/>
      <c r="E1380" s="324"/>
    </row>
    <row r="1381" spans="1:6" ht="14.25">
      <c r="A1381" s="411"/>
      <c r="B1381" s="216"/>
      <c r="C1381" s="217" t="s">
        <v>295</v>
      </c>
    </row>
    <row r="1382" spans="1:6" ht="14.25">
      <c r="A1382" s="411"/>
      <c r="B1382" s="216"/>
      <c r="D1382" s="276" t="s">
        <v>577</v>
      </c>
      <c r="E1382" s="491">
        <f>IF(calcCh3Prod2Slot3Active=1,IF(xxSim0Tool1=1,calcCh3Prod2Slot3VolForecastSlot,MMCh3Prod2Seg1Slot3UnitsSold+MMCh3Prod2Seg2Slot3UnitsSold+MMCh3Prod2Seg3Slot3UnitsSold+MMCh3Prod2Seg4Slot3UnitsSold),0)</f>
        <v>0</v>
      </c>
      <c r="F1382" s="276" t="s">
        <v>1993</v>
      </c>
    </row>
    <row r="1383" spans="1:6" ht="14.25">
      <c r="A1383" s="411"/>
      <c r="B1383" s="216"/>
      <c r="D1383" s="276" t="s">
        <v>1762</v>
      </c>
      <c r="E1383" s="399">
        <f>IF(VLOOKUP(decCh3Prod2Slot3Pack,dataPackSize,2,FALSE)=0,0,finCalcCh3Prod2Slot3VolSold/VLOOKUP(decCh3Prod2Slot3Pack,dataPackSize,2,FALSE))</f>
        <v>0</v>
      </c>
      <c r="F1383" s="276" t="s">
        <v>1994</v>
      </c>
    </row>
    <row r="1384" spans="1:6" ht="14.25">
      <c r="A1384" s="411"/>
      <c r="B1384" s="216"/>
      <c r="D1384" s="276" t="s">
        <v>966</v>
      </c>
      <c r="E1384" s="654">
        <f>IF(calcCh3Prod2Slot3VolForecastSlot=0,100%,finCalcCh3Prod2Slot3VolSold/calcCh3Prod2Slot3VolForecastSlot)</f>
        <v>1</v>
      </c>
      <c r="F1384" s="276" t="s">
        <v>1995</v>
      </c>
    </row>
    <row r="1385" spans="1:6" ht="14.25">
      <c r="A1385" s="411"/>
      <c r="B1385" s="216"/>
      <c r="E1385" s="489"/>
    </row>
    <row r="1386" spans="1:6" ht="14.25">
      <c r="A1386" s="411"/>
      <c r="B1386" s="216"/>
      <c r="C1386" s="217" t="s">
        <v>3789</v>
      </c>
      <c r="E1386" s="489"/>
    </row>
    <row r="1387" spans="1:6" ht="14.25">
      <c r="A1387" s="411"/>
      <c r="B1387" s="216"/>
      <c r="C1387" s="217" t="s">
        <v>400</v>
      </c>
    </row>
    <row r="1388" spans="1:6" ht="14.25">
      <c r="A1388" s="411"/>
      <c r="B1388" s="216"/>
      <c r="D1388" s="255" t="s">
        <v>526</v>
      </c>
      <c r="E1388" s="492">
        <f>VLOOKUP(decCh3Prod2Slot3Pack,dataPackMaterialExp,2,FALSE)</f>
        <v>0</v>
      </c>
      <c r="F1388" s="276" t="s">
        <v>4114</v>
      </c>
    </row>
    <row r="1389" spans="1:6" ht="14.25">
      <c r="A1389" s="411"/>
      <c r="B1389" s="216"/>
      <c r="D1389" s="328" t="s">
        <v>960</v>
      </c>
      <c r="E1389" s="502">
        <f>VLOOKUP(finCalcCh3Prod2Slot3ForcastAcc,dataForecastImpactMatCost,2,TRUE)*E1388</f>
        <v>0</v>
      </c>
      <c r="F1389" s="276" t="s">
        <v>4115</v>
      </c>
    </row>
    <row r="1390" spans="1:6" ht="14.25">
      <c r="A1390" s="411"/>
      <c r="B1390" s="216"/>
      <c r="D1390" s="328" t="s">
        <v>14030</v>
      </c>
      <c r="E1390" s="493">
        <f>paramProd2MatExpSI*finCalcCh3Prod2Slot3MatExpPerUnitBase</f>
        <v>0</v>
      </c>
      <c r="F1390" s="276" t="s">
        <v>4116</v>
      </c>
    </row>
    <row r="1391" spans="1:6" ht="14.25">
      <c r="A1391" s="411"/>
      <c r="B1391" s="216"/>
      <c r="D1391" s="209" t="s">
        <v>518</v>
      </c>
      <c r="E1391" s="327">
        <f>SUM(E1388:E1390)</f>
        <v>0</v>
      </c>
      <c r="F1391" s="276" t="s">
        <v>4117</v>
      </c>
    </row>
    <row r="1392" spans="1:6" ht="14.25">
      <c r="A1392" s="411"/>
      <c r="B1392" s="216"/>
      <c r="D1392" s="209" t="s">
        <v>401</v>
      </c>
      <c r="E1392" s="220">
        <f>finCalcCh3Prod2Slot3MatExpPUnitTot*finCalcCh3Prod2Slot3VolSold</f>
        <v>0</v>
      </c>
      <c r="F1392" s="276" t="s">
        <v>12990</v>
      </c>
    </row>
    <row r="1393" spans="1:6" ht="14.25">
      <c r="A1393" s="411"/>
      <c r="B1393" s="216"/>
      <c r="C1393" s="208"/>
      <c r="F1393" s="276"/>
    </row>
    <row r="1394" spans="1:6" ht="14.25">
      <c r="A1394" s="411"/>
      <c r="B1394" s="216"/>
      <c r="C1394" s="217" t="s">
        <v>399</v>
      </c>
      <c r="E1394" s="224"/>
    </row>
    <row r="1395" spans="1:6" ht="14.25">
      <c r="A1395" s="411"/>
      <c r="B1395" s="216"/>
      <c r="D1395" s="328" t="s">
        <v>969</v>
      </c>
      <c r="E1395" s="510">
        <f>VLOOKUP(decCh3Prod2Slot3Pack,dataPackLabourHrs,2,FALSE)</f>
        <v>0</v>
      </c>
      <c r="F1395" s="276" t="s">
        <v>4118</v>
      </c>
    </row>
    <row r="1396" spans="1:6" ht="14.25">
      <c r="A1396" s="411"/>
      <c r="B1396" s="216"/>
      <c r="D1396" s="328" t="s">
        <v>960</v>
      </c>
      <c r="E1396" s="510">
        <f>VLOOKUP(finCalcCh3Prod2Slot3ForcastAcc,dataForecastImpactLabCost,2,TRUE)*finCalcCh3Prod2Slot3LabourHrsReqPVolBase</f>
        <v>0</v>
      </c>
      <c r="F1396" s="276" t="s">
        <v>4119</v>
      </c>
    </row>
    <row r="1397" spans="1:6" ht="14.25">
      <c r="A1397" s="411"/>
      <c r="B1397" s="216"/>
      <c r="D1397" s="328" t="s">
        <v>14030</v>
      </c>
      <c r="E1397" s="510">
        <f>paramProd2LabourExpSI*finCalcCh3Prod2Slot3LabourHrsReqPVolBase</f>
        <v>0</v>
      </c>
      <c r="F1397" s="276" t="s">
        <v>4120</v>
      </c>
    </row>
    <row r="1398" spans="1:6" ht="14.25">
      <c r="A1398" s="411"/>
      <c r="B1398" s="216"/>
      <c r="D1398" s="209" t="s">
        <v>3795</v>
      </c>
      <c r="E1398" s="511">
        <f>SUM(E1395:E1397)</f>
        <v>0</v>
      </c>
      <c r="F1398" s="276" t="s">
        <v>4121</v>
      </c>
    </row>
    <row r="1399" spans="1:6" ht="14.25">
      <c r="A1399" s="411"/>
      <c r="B1399" s="216"/>
      <c r="D1399" s="328"/>
      <c r="E1399" s="499"/>
      <c r="F1399" s="276"/>
    </row>
    <row r="1400" spans="1:6" ht="14.25">
      <c r="A1400" s="411"/>
      <c r="B1400" s="216"/>
      <c r="D1400" s="209" t="s">
        <v>974</v>
      </c>
      <c r="E1400" s="494">
        <f>paramLabourCostPerHr</f>
        <v>5</v>
      </c>
      <c r="F1400" s="276" t="s">
        <v>4122</v>
      </c>
    </row>
    <row r="1401" spans="1:6" ht="14.25">
      <c r="A1401" s="411"/>
      <c r="B1401" s="216"/>
      <c r="D1401" s="209" t="s">
        <v>3793</v>
      </c>
      <c r="E1401" s="500">
        <f>finCalcCh3Prod2Slot3VolSold*finCalcCh3Prod2Slot3LabourHrsReqPVolTot</f>
        <v>0</v>
      </c>
    </row>
    <row r="1402" spans="1:6" ht="14.25">
      <c r="A1402" s="411"/>
      <c r="B1402" s="216"/>
      <c r="D1402" s="276" t="s">
        <v>973</v>
      </c>
      <c r="E1402" s="220">
        <f>E1401*finCalcCh3Prod2Slot3LabourCostPerHour</f>
        <v>0</v>
      </c>
      <c r="F1402" s="276" t="s">
        <v>12991</v>
      </c>
    </row>
    <row r="1403" spans="1:6" ht="14.25">
      <c r="A1403" s="411"/>
      <c r="B1403" s="216"/>
      <c r="E1403" s="223"/>
    </row>
    <row r="1404" spans="1:6" ht="14.25">
      <c r="A1404" s="411"/>
      <c r="B1404" s="216"/>
      <c r="C1404" s="217" t="s">
        <v>513</v>
      </c>
      <c r="E1404" s="223"/>
    </row>
    <row r="1405" spans="1:6" ht="14.25">
      <c r="A1405" s="411"/>
      <c r="B1405" s="216"/>
      <c r="C1405" s="326"/>
      <c r="D1405" s="276" t="s">
        <v>570</v>
      </c>
      <c r="E1405" s="491">
        <f>CalcCh3Prod2Slot3ManufacturingCostPUnit</f>
        <v>0</v>
      </c>
      <c r="F1405" s="276"/>
    </row>
    <row r="1406" spans="1:6" ht="14.25">
      <c r="A1406" s="411"/>
      <c r="B1406" s="216"/>
      <c r="C1406" s="326"/>
      <c r="D1406" s="209" t="s">
        <v>514</v>
      </c>
      <c r="E1406" s="490">
        <f>E1405*finCalcCh3Prod2Slot3VolSold</f>
        <v>0</v>
      </c>
      <c r="F1406" s="276" t="s">
        <v>12992</v>
      </c>
    </row>
    <row r="1407" spans="1:6" ht="14.25">
      <c r="A1407" s="411"/>
      <c r="B1407" s="216"/>
      <c r="C1407" s="208"/>
    </row>
    <row r="1408" spans="1:6" ht="14.25">
      <c r="A1408" s="411"/>
      <c r="B1408" s="216"/>
      <c r="C1408" s="498" t="s">
        <v>398</v>
      </c>
    </row>
    <row r="1409" spans="1:6" ht="14.25">
      <c r="A1409" s="411"/>
      <c r="B1409" s="216"/>
      <c r="C1409" s="208" t="s">
        <v>398</v>
      </c>
      <c r="E1409" s="223"/>
    </row>
    <row r="1410" spans="1:6" ht="14.25">
      <c r="A1410" s="411"/>
      <c r="B1410" s="216"/>
      <c r="D1410" s="209" t="s">
        <v>450</v>
      </c>
      <c r="E1410" s="220">
        <f>CalcCh3Prod2Slot3Depreciation</f>
        <v>0</v>
      </c>
      <c r="F1410" s="276" t="s">
        <v>1996</v>
      </c>
    </row>
    <row r="1411" spans="1:6" ht="14.25">
      <c r="A1411" s="411"/>
      <c r="B1411" s="216"/>
    </row>
    <row r="1412" spans="1:6" ht="14.25">
      <c r="A1412" s="411"/>
      <c r="B1412" s="216"/>
      <c r="C1412" s="217" t="s">
        <v>13066</v>
      </c>
    </row>
    <row r="1413" spans="1:6" ht="14.25">
      <c r="A1413" s="411"/>
      <c r="B1413" s="216"/>
      <c r="D1413" s="209" t="s">
        <v>400</v>
      </c>
      <c r="E1413" s="495">
        <f>finCalcCh3Prod2Slot3MatExpPUnitTot</f>
        <v>0</v>
      </c>
    </row>
    <row r="1414" spans="1:6" ht="14.25">
      <c r="A1414" s="411"/>
      <c r="B1414" s="216"/>
      <c r="D1414" s="209" t="s">
        <v>399</v>
      </c>
      <c r="E1414" s="495">
        <f>finCalcCh3Prod2Slot3LabourCostPerHour*finCalcCh3Prod2Slot3LabourHrsReqPVolTot</f>
        <v>0</v>
      </c>
    </row>
    <row r="1415" spans="1:6" ht="14.25">
      <c r="A1415" s="411"/>
      <c r="B1415" s="216"/>
      <c r="D1415" s="209" t="s">
        <v>513</v>
      </c>
      <c r="E1415" s="495">
        <f>E1405</f>
        <v>0</v>
      </c>
    </row>
    <row r="1416" spans="1:6" ht="14.25">
      <c r="A1416" s="411"/>
      <c r="B1416" s="216"/>
      <c r="D1416" s="209" t="s">
        <v>398</v>
      </c>
      <c r="E1416" s="496">
        <f>CalcCh3Prod2Slot3DepreciationPUnit</f>
        <v>0</v>
      </c>
    </row>
    <row r="1417" spans="1:6" ht="14.25">
      <c r="A1417" s="411"/>
      <c r="B1417" s="216"/>
      <c r="C1417" s="208" t="s">
        <v>397</v>
      </c>
      <c r="E1417" s="490">
        <f>SUM(E1413:E1416)</f>
        <v>0</v>
      </c>
      <c r="F1417" s="276" t="s">
        <v>1997</v>
      </c>
    </row>
    <row r="1418" spans="1:6" ht="14.25">
      <c r="A1418" s="411"/>
      <c r="B1418" s="216"/>
    </row>
    <row r="1419" spans="1:6" ht="14.25">
      <c r="A1419" s="411"/>
      <c r="B1419" s="216"/>
      <c r="C1419" s="217" t="s">
        <v>519</v>
      </c>
    </row>
    <row r="1420" spans="1:6" ht="14.25">
      <c r="A1420" s="411"/>
      <c r="B1420" s="216"/>
      <c r="D1420" s="328" t="s">
        <v>1286</v>
      </c>
      <c r="E1420" s="492">
        <f>VLOOKUP(decCh3Prod2Slot3Pack,dataPackLogisticsCost,2,FALSE)</f>
        <v>0</v>
      </c>
      <c r="F1420" s="276" t="s">
        <v>2948</v>
      </c>
    </row>
    <row r="1421" spans="1:6" ht="14.25">
      <c r="A1421" s="411"/>
      <c r="B1421" s="216"/>
      <c r="D1421" s="328" t="s">
        <v>960</v>
      </c>
      <c r="E1421" s="501">
        <f>VLOOKUP(finCalcCh3Prod2Slot3ForcastAcc,dataForecastImpactLogisticsCost,2,TRUE)*finCalcCh3Prod2Slot3LogExpPerUnit</f>
        <v>0</v>
      </c>
      <c r="F1421" s="276" t="s">
        <v>4123</v>
      </c>
    </row>
    <row r="1422" spans="1:6" ht="14.25">
      <c r="A1422" s="411"/>
      <c r="B1422" s="216"/>
      <c r="D1422" s="328" t="s">
        <v>14030</v>
      </c>
      <c r="E1422" s="497">
        <f>finCalcCh3Prod2Slot3LogExpPerUnit*paramProd2LogExpSI</f>
        <v>0</v>
      </c>
      <c r="F1422" s="276" t="s">
        <v>4124</v>
      </c>
    </row>
    <row r="1423" spans="1:6" ht="14.25">
      <c r="A1423" s="411"/>
      <c r="B1423" s="216"/>
      <c r="D1423" s="276" t="s">
        <v>1692</v>
      </c>
      <c r="E1423" s="327">
        <f>SUM(E1420:E1422)</f>
        <v>0</v>
      </c>
      <c r="F1423" s="276" t="s">
        <v>12993</v>
      </c>
    </row>
    <row r="1424" spans="1:6" ht="14.25">
      <c r="A1424" s="411"/>
      <c r="B1424" s="216"/>
      <c r="D1424" s="276" t="s">
        <v>1284</v>
      </c>
      <c r="E1424" s="490">
        <f>finCalcCh3Prod2Slot3LogExpAdjPUnit*finCalcCh3Prod2Slot3VolSold</f>
        <v>0</v>
      </c>
      <c r="F1424" s="276" t="s">
        <v>1998</v>
      </c>
    </row>
    <row r="1425" spans="1:6" ht="14.25">
      <c r="A1425" s="411"/>
      <c r="B1425" s="216"/>
      <c r="D1425" s="276"/>
      <c r="E1425" s="276"/>
      <c r="F1425" s="276"/>
    </row>
    <row r="1426" spans="1:6" s="322" customFormat="1" ht="12.75" customHeight="1">
      <c r="A1426" s="411"/>
      <c r="B1426" s="412"/>
      <c r="C1426" s="854" t="s">
        <v>239</v>
      </c>
      <c r="D1426" s="854"/>
      <c r="E1426" s="970"/>
      <c r="F1426" s="411"/>
    </row>
    <row r="1427" spans="1:6" s="322" customFormat="1" ht="12.75" customHeight="1">
      <c r="A1427" s="411"/>
      <c r="B1427" s="412"/>
      <c r="C1427" s="854"/>
      <c r="D1427" s="854" t="s">
        <v>3859</v>
      </c>
      <c r="E1427" s="970"/>
      <c r="F1427" s="411"/>
    </row>
    <row r="1428" spans="1:6" s="322" customFormat="1" ht="13.15" customHeight="1">
      <c r="A1428" s="411"/>
      <c r="B1428" s="412"/>
      <c r="C1428" s="323"/>
      <c r="D1428" s="323"/>
      <c r="E1428" s="324"/>
    </row>
    <row r="1429" spans="1:6" ht="14.25">
      <c r="A1429" s="411"/>
      <c r="B1429" s="216"/>
      <c r="C1429" s="217" t="s">
        <v>295</v>
      </c>
    </row>
    <row r="1430" spans="1:6" ht="14.25">
      <c r="A1430" s="411"/>
      <c r="B1430" s="216"/>
      <c r="D1430" s="276" t="s">
        <v>577</v>
      </c>
      <c r="E1430" s="491">
        <f>IF(calcCh3Prod3Slot1Active=1,IF(xxSim0Tool1=1,calcCh3Prod3Slot1VolForecastSlot,MMCh3Prod3Seg1Slot1UnitsSold+MMCh3Prod3Seg2Slot1UnitsSold+MMCh3Prod3Seg3Slot1UnitsSold+MMCh3Prod3Seg4Slot1UnitsSold),0)</f>
        <v>72434507.5</v>
      </c>
      <c r="F1430" s="276" t="s">
        <v>1999</v>
      </c>
    </row>
    <row r="1431" spans="1:6" ht="14.25">
      <c r="A1431" s="411"/>
      <c r="B1431" s="216"/>
      <c r="D1431" s="276" t="s">
        <v>1762</v>
      </c>
      <c r="E1431" s="399">
        <f>IF(VLOOKUP(decCh3Prod3Slot1Pack,dataPackSize,2,FALSE)=0,0,finCalcCh3Prod3Slot1VolSold/VLOOKUP(decCh3Prod3Slot1Pack,dataPackSize,2,FALSE))</f>
        <v>219498507.57575756</v>
      </c>
      <c r="F1431" s="276" t="s">
        <v>2000</v>
      </c>
    </row>
    <row r="1432" spans="1:6" ht="14.25">
      <c r="A1432" s="411"/>
      <c r="B1432" s="216"/>
      <c r="D1432" s="276" t="s">
        <v>966</v>
      </c>
      <c r="E1432" s="654">
        <f>IF(calcCh3Prod3Slot1VolForecastSlot=0,100%,finCalcCh3Prod3Slot1VolSold/calcCh3Prod3Slot1VolForecastSlot)</f>
        <v>1</v>
      </c>
      <c r="F1432" s="276" t="s">
        <v>2001</v>
      </c>
    </row>
    <row r="1433" spans="1:6" ht="14.25">
      <c r="A1433" s="411"/>
      <c r="B1433" s="216"/>
      <c r="E1433" s="489"/>
    </row>
    <row r="1434" spans="1:6" ht="14.25">
      <c r="A1434" s="411"/>
      <c r="B1434" s="216"/>
      <c r="C1434" s="217" t="s">
        <v>3789</v>
      </c>
      <c r="E1434" s="489"/>
    </row>
    <row r="1435" spans="1:6" ht="14.25">
      <c r="A1435" s="411"/>
      <c r="B1435" s="216"/>
      <c r="C1435" s="217" t="s">
        <v>400</v>
      </c>
    </row>
    <row r="1436" spans="1:6" ht="14.25">
      <c r="A1436" s="411"/>
      <c r="B1436" s="216"/>
      <c r="D1436" s="255" t="s">
        <v>526</v>
      </c>
      <c r="E1436" s="492">
        <f>VLOOKUP(decCh3Prod3Slot1Pack,dataPackMaterialExp,2,FALSE)</f>
        <v>1.7663184000000001</v>
      </c>
      <c r="F1436" s="276" t="s">
        <v>4125</v>
      </c>
    </row>
    <row r="1437" spans="1:6" ht="14.25">
      <c r="A1437" s="411"/>
      <c r="B1437" s="216"/>
      <c r="D1437" s="328" t="s">
        <v>960</v>
      </c>
      <c r="E1437" s="502">
        <f>VLOOKUP(finCalcCh3Prod3Slot1ForcastAcc,dataForecastImpactMatCost,2,TRUE)*E1436</f>
        <v>0</v>
      </c>
      <c r="F1437" s="276" t="s">
        <v>4126</v>
      </c>
    </row>
    <row r="1438" spans="1:6" ht="14.25">
      <c r="A1438" s="411"/>
      <c r="B1438" s="216"/>
      <c r="D1438" s="328" t="s">
        <v>14030</v>
      </c>
      <c r="E1438" s="493">
        <f>paramProd3MatExpSI*finCalcCh3Prod3Slot1MatExpPerUnitBase</f>
        <v>0</v>
      </c>
      <c r="F1438" s="276" t="s">
        <v>4127</v>
      </c>
    </row>
    <row r="1439" spans="1:6" ht="14.25">
      <c r="A1439" s="411"/>
      <c r="B1439" s="216"/>
      <c r="D1439" s="209" t="s">
        <v>518</v>
      </c>
      <c r="E1439" s="327">
        <f>SUM(E1436:E1438)</f>
        <v>1.7663184000000001</v>
      </c>
      <c r="F1439" s="276" t="s">
        <v>4128</v>
      </c>
    </row>
    <row r="1440" spans="1:6" ht="14.25">
      <c r="A1440" s="411"/>
      <c r="B1440" s="216"/>
      <c r="D1440" s="209" t="s">
        <v>401</v>
      </c>
      <c r="E1440" s="220">
        <f>finCalcCh3Prod3Slot1MatExpPUnitTot*finCalcCh3Prod3Slot1VolSold</f>
        <v>127942403.392188</v>
      </c>
      <c r="F1440" s="276" t="s">
        <v>12994</v>
      </c>
    </row>
    <row r="1441" spans="1:6" ht="14.25">
      <c r="A1441" s="411"/>
      <c r="B1441" s="216"/>
      <c r="C1441" s="208"/>
      <c r="F1441" s="276"/>
    </row>
    <row r="1442" spans="1:6" ht="14.25">
      <c r="A1442" s="411"/>
      <c r="B1442" s="216"/>
      <c r="C1442" s="217" t="s">
        <v>399</v>
      </c>
      <c r="E1442" s="224"/>
    </row>
    <row r="1443" spans="1:6" ht="14.25">
      <c r="A1443" s="411"/>
      <c r="B1443" s="216"/>
      <c r="D1443" s="328" t="s">
        <v>969</v>
      </c>
      <c r="E1443" s="510">
        <f>VLOOKUP(decCh3Prod3Slot1Pack,dataPackLabourHrs,2,FALSE)</f>
        <v>5.1950541176470591E-2</v>
      </c>
      <c r="F1443" s="276" t="s">
        <v>4129</v>
      </c>
    </row>
    <row r="1444" spans="1:6" ht="14.25">
      <c r="A1444" s="411"/>
      <c r="B1444" s="216"/>
      <c r="D1444" s="328" t="s">
        <v>960</v>
      </c>
      <c r="E1444" s="510">
        <f>VLOOKUP(finCalcCh3Prod3Slot1ForcastAcc,dataForecastImpactLabCost,2,TRUE)*finCalcCh3Prod3Slot1LabourHrsReqPVolBase</f>
        <v>0</v>
      </c>
      <c r="F1444" s="276" t="s">
        <v>4130</v>
      </c>
    </row>
    <row r="1445" spans="1:6" ht="14.25">
      <c r="A1445" s="411"/>
      <c r="B1445" s="216"/>
      <c r="D1445" s="328" t="s">
        <v>14030</v>
      </c>
      <c r="E1445" s="510">
        <f>paramProd3LabourExpSI*finCalcCh3Prod3Slot1LabourHrsReqPVolBase</f>
        <v>0</v>
      </c>
      <c r="F1445" s="276" t="s">
        <v>4131</v>
      </c>
    </row>
    <row r="1446" spans="1:6" ht="14.25">
      <c r="A1446" s="411"/>
      <c r="B1446" s="216"/>
      <c r="D1446" s="209" t="s">
        <v>3795</v>
      </c>
      <c r="E1446" s="511">
        <f>SUM(E1443:E1445)</f>
        <v>5.1950541176470591E-2</v>
      </c>
      <c r="F1446" s="276" t="s">
        <v>4132</v>
      </c>
    </row>
    <row r="1447" spans="1:6" ht="14.25">
      <c r="A1447" s="411"/>
      <c r="B1447" s="216"/>
      <c r="D1447" s="328"/>
      <c r="E1447" s="499"/>
      <c r="F1447" s="276"/>
    </row>
    <row r="1448" spans="1:6" ht="14.25">
      <c r="A1448" s="411"/>
      <c r="B1448" s="216"/>
      <c r="D1448" s="209" t="s">
        <v>974</v>
      </c>
      <c r="E1448" s="494">
        <f>paramLabourCostPerHr</f>
        <v>5</v>
      </c>
      <c r="F1448" s="276" t="s">
        <v>4133</v>
      </c>
    </row>
    <row r="1449" spans="1:6" ht="14.25">
      <c r="A1449" s="411"/>
      <c r="B1449" s="216"/>
      <c r="D1449" s="209" t="s">
        <v>3793</v>
      </c>
      <c r="E1449" s="500">
        <f>finCalcCh3Prod3Slot1VolSold*finCalcCh3Prod3Slot1LabourHrsReqPVolTot</f>
        <v>3763011.8644761178</v>
      </c>
    </row>
    <row r="1450" spans="1:6" ht="14.25">
      <c r="A1450" s="411"/>
      <c r="B1450" s="216"/>
      <c r="D1450" s="276" t="s">
        <v>973</v>
      </c>
      <c r="E1450" s="220">
        <f>E1449*finCalcCh3Prod3Slot1LabourCostPerHour</f>
        <v>18815059.322380587</v>
      </c>
      <c r="F1450" s="276" t="s">
        <v>12995</v>
      </c>
    </row>
    <row r="1451" spans="1:6" ht="14.25">
      <c r="A1451" s="411"/>
      <c r="B1451" s="216"/>
      <c r="E1451" s="223"/>
    </row>
    <row r="1452" spans="1:6" ht="14.25">
      <c r="A1452" s="411"/>
      <c r="B1452" s="216"/>
      <c r="C1452" s="217" t="s">
        <v>513</v>
      </c>
      <c r="E1452" s="223"/>
    </row>
    <row r="1453" spans="1:6" ht="14.25">
      <c r="A1453" s="411"/>
      <c r="B1453" s="216"/>
      <c r="C1453" s="326"/>
      <c r="D1453" s="276" t="s">
        <v>570</v>
      </c>
      <c r="E1453" s="491">
        <f>CalcCh3Prod3Slot1ManufacturingCostPUnit</f>
        <v>0.21319200000000002</v>
      </c>
      <c r="F1453" s="276"/>
    </row>
    <row r="1454" spans="1:6" ht="14.25">
      <c r="A1454" s="411"/>
      <c r="B1454" s="216"/>
      <c r="C1454" s="326"/>
      <c r="D1454" s="209" t="s">
        <v>514</v>
      </c>
      <c r="E1454" s="490">
        <f>E1453*finCalcCh3Prod3Slot1VolSold</f>
        <v>15442457.522940002</v>
      </c>
      <c r="F1454" s="276" t="s">
        <v>12996</v>
      </c>
    </row>
    <row r="1455" spans="1:6" ht="14.25">
      <c r="A1455" s="411"/>
      <c r="B1455" s="216"/>
      <c r="C1455" s="208"/>
    </row>
    <row r="1456" spans="1:6" ht="14.25">
      <c r="A1456" s="411"/>
      <c r="B1456" s="216"/>
      <c r="C1456" s="498" t="s">
        <v>398</v>
      </c>
    </row>
    <row r="1457" spans="1:6" ht="14.25">
      <c r="A1457" s="411"/>
      <c r="B1457" s="216"/>
      <c r="C1457" s="208" t="s">
        <v>398</v>
      </c>
      <c r="E1457" s="223"/>
    </row>
    <row r="1458" spans="1:6" ht="14.25">
      <c r="A1458" s="411"/>
      <c r="B1458" s="216"/>
      <c r="D1458" s="209" t="s">
        <v>450</v>
      </c>
      <c r="E1458" s="220">
        <f>CalcCh3Prod3Slot1Depreciation</f>
        <v>6872828.8575829891</v>
      </c>
      <c r="F1458" s="276" t="s">
        <v>2002</v>
      </c>
    </row>
    <row r="1459" spans="1:6" ht="14.25">
      <c r="A1459" s="411"/>
      <c r="B1459" s="216"/>
    </row>
    <row r="1460" spans="1:6" ht="14.25">
      <c r="A1460" s="411"/>
      <c r="B1460" s="216"/>
      <c r="C1460" s="217" t="s">
        <v>13066</v>
      </c>
    </row>
    <row r="1461" spans="1:6" ht="14.25">
      <c r="A1461" s="411"/>
      <c r="B1461" s="216"/>
      <c r="D1461" s="209" t="s">
        <v>400</v>
      </c>
      <c r="E1461" s="495">
        <f>finCalcCh3Prod3Slot1MatExpPUnitTot</f>
        <v>1.7663184000000001</v>
      </c>
    </row>
    <row r="1462" spans="1:6" ht="14.25">
      <c r="A1462" s="411"/>
      <c r="B1462" s="216"/>
      <c r="D1462" s="209" t="s">
        <v>399</v>
      </c>
      <c r="E1462" s="495">
        <f>finCalcCh3Prod3Slot1LabourCostPerHour*finCalcCh3Prod3Slot1LabourHrsReqPVolTot</f>
        <v>0.25975270588235294</v>
      </c>
    </row>
    <row r="1463" spans="1:6" ht="14.25">
      <c r="A1463" s="411"/>
      <c r="B1463" s="216"/>
      <c r="D1463" s="209" t="s">
        <v>513</v>
      </c>
      <c r="E1463" s="495">
        <f>E1453</f>
        <v>0.21319200000000002</v>
      </c>
    </row>
    <row r="1464" spans="1:6" ht="14.25">
      <c r="A1464" s="411"/>
      <c r="B1464" s="216"/>
      <c r="D1464" s="209" t="s">
        <v>398</v>
      </c>
      <c r="E1464" s="496">
        <f>CalcCh3Prod3Slot1DepreciationPUnit</f>
        <v>9.4883351800010368E-2</v>
      </c>
    </row>
    <row r="1465" spans="1:6" ht="14.25">
      <c r="A1465" s="411"/>
      <c r="B1465" s="216"/>
      <c r="C1465" s="208" t="s">
        <v>397</v>
      </c>
      <c r="E1465" s="490">
        <f>SUM(E1461:E1464)</f>
        <v>2.3341464576823632</v>
      </c>
      <c r="F1465" s="276" t="s">
        <v>2003</v>
      </c>
    </row>
    <row r="1466" spans="1:6" ht="14.25">
      <c r="A1466" s="411"/>
      <c r="B1466" s="216"/>
    </row>
    <row r="1467" spans="1:6" ht="14.25">
      <c r="A1467" s="411"/>
      <c r="B1467" s="216"/>
      <c r="C1467" s="217" t="s">
        <v>519</v>
      </c>
    </row>
    <row r="1468" spans="1:6" ht="14.25">
      <c r="A1468" s="411"/>
      <c r="B1468" s="216"/>
      <c r="D1468" s="328" t="s">
        <v>1286</v>
      </c>
      <c r="E1468" s="492">
        <f>VLOOKUP(decCh3Prod3Slot1Pack,dataPackLogisticsCost,2,FALSE)</f>
        <v>0.30012631578947369</v>
      </c>
      <c r="F1468" s="276" t="s">
        <v>2949</v>
      </c>
    </row>
    <row r="1469" spans="1:6" ht="14.25">
      <c r="A1469" s="411"/>
      <c r="B1469" s="216"/>
      <c r="D1469" s="328" t="s">
        <v>960</v>
      </c>
      <c r="E1469" s="501">
        <f>VLOOKUP(finCalcCh3Prod3Slot1ForcastAcc,dataForecastImpactLogisticsCost,2,TRUE)*finCalcCh3Prod3Slot1LogExpPerUnit</f>
        <v>0</v>
      </c>
      <c r="F1469" s="276" t="s">
        <v>4134</v>
      </c>
    </row>
    <row r="1470" spans="1:6" ht="14.25">
      <c r="A1470" s="411"/>
      <c r="B1470" s="216"/>
      <c r="D1470" s="328" t="s">
        <v>14030</v>
      </c>
      <c r="E1470" s="497">
        <f>finCalcCh3Prod3Slot1LogExpPerUnit*paramProd3LogExpSI</f>
        <v>0</v>
      </c>
      <c r="F1470" s="276" t="s">
        <v>4135</v>
      </c>
    </row>
    <row r="1471" spans="1:6" ht="14.25">
      <c r="A1471" s="411"/>
      <c r="B1471" s="216"/>
      <c r="D1471" s="276" t="s">
        <v>1692</v>
      </c>
      <c r="E1471" s="327">
        <f>SUM(E1468:E1470)</f>
        <v>0.30012631578947369</v>
      </c>
      <c r="F1471" s="276" t="s">
        <v>12997</v>
      </c>
    </row>
    <row r="1472" spans="1:6" ht="14.25">
      <c r="A1472" s="411"/>
      <c r="B1472" s="216"/>
      <c r="D1472" s="276" t="s">
        <v>1284</v>
      </c>
      <c r="E1472" s="490">
        <f>finCalcCh3Prod3Slot1LogExpAdjPUnit*finCalcCh3Prod3Slot1VolSold</f>
        <v>21739501.872000001</v>
      </c>
      <c r="F1472" s="276" t="s">
        <v>2004</v>
      </c>
    </row>
    <row r="1473" spans="1:6" ht="14.25">
      <c r="A1473" s="411"/>
      <c r="B1473" s="216"/>
      <c r="D1473" s="276"/>
      <c r="E1473" s="276"/>
      <c r="F1473" s="276"/>
    </row>
    <row r="1474" spans="1:6" s="322" customFormat="1" ht="12.75" customHeight="1">
      <c r="A1474" s="411"/>
      <c r="B1474" s="412"/>
      <c r="C1474" s="854"/>
      <c r="D1474" s="854" t="s">
        <v>3858</v>
      </c>
      <c r="E1474" s="970"/>
      <c r="F1474" s="411"/>
    </row>
    <row r="1475" spans="1:6" s="322" customFormat="1" ht="13.15" customHeight="1">
      <c r="A1475" s="411"/>
      <c r="B1475" s="412"/>
      <c r="C1475" s="323"/>
      <c r="D1475" s="323"/>
      <c r="E1475" s="324"/>
    </row>
    <row r="1476" spans="1:6" ht="14.25">
      <c r="A1476" s="411"/>
      <c r="B1476" s="216"/>
      <c r="C1476" s="217" t="s">
        <v>295</v>
      </c>
    </row>
    <row r="1477" spans="1:6" ht="14.25">
      <c r="A1477" s="411"/>
      <c r="B1477" s="216"/>
      <c r="D1477" s="276" t="s">
        <v>577</v>
      </c>
      <c r="E1477" s="491">
        <f>IF(calcCh3Prod3Slot2Active=1,IF(xxSim0Tool1=1,calcCh3Prod3Slot2VolForecastSlot,MMCh3Prod3Seg1Slot2UnitsSold+MMCh3Prod3Seg2Slot2UnitsSold+MMCh3Prod3Seg3Slot2UnitsSold+MMCh3Prod3Seg4Slot2UnitsSold),0)</f>
        <v>0</v>
      </c>
      <c r="F1477" s="276" t="s">
        <v>2005</v>
      </c>
    </row>
    <row r="1478" spans="1:6" ht="14.25">
      <c r="A1478" s="411"/>
      <c r="B1478" s="216"/>
      <c r="D1478" s="276" t="s">
        <v>1762</v>
      </c>
      <c r="E1478" s="399">
        <f>IF(VLOOKUP(decCh3Prod3Slot2Pack,dataPackSize,2,FALSE)=0,0,finCalcCh3Prod3Slot2VolSold/VLOOKUP(decCh3Prod3Slot2Pack,dataPackSize,2,FALSE))</f>
        <v>0</v>
      </c>
      <c r="F1478" s="276" t="s">
        <v>2006</v>
      </c>
    </row>
    <row r="1479" spans="1:6" ht="14.25">
      <c r="A1479" s="411"/>
      <c r="B1479" s="216"/>
      <c r="D1479" s="276" t="s">
        <v>966</v>
      </c>
      <c r="E1479" s="654">
        <f>IF(calcCh3Prod3Slot2VolForecastSlot=0,100%,finCalcCh3Prod3Slot2VolSold/calcCh3Prod3Slot2VolForecastSlot)</f>
        <v>1</v>
      </c>
      <c r="F1479" s="276" t="s">
        <v>2007</v>
      </c>
    </row>
    <row r="1480" spans="1:6" ht="14.25">
      <c r="A1480" s="411"/>
      <c r="B1480" s="216"/>
      <c r="E1480" s="489"/>
    </row>
    <row r="1481" spans="1:6" ht="14.25">
      <c r="A1481" s="411"/>
      <c r="B1481" s="216"/>
      <c r="C1481" s="217" t="s">
        <v>3789</v>
      </c>
      <c r="E1481" s="489"/>
    </row>
    <row r="1482" spans="1:6" ht="14.25">
      <c r="A1482" s="411"/>
      <c r="B1482" s="216"/>
      <c r="C1482" s="217" t="s">
        <v>400</v>
      </c>
    </row>
    <row r="1483" spans="1:6" ht="14.25">
      <c r="A1483" s="411"/>
      <c r="B1483" s="216"/>
      <c r="D1483" s="255" t="s">
        <v>526</v>
      </c>
      <c r="E1483" s="492">
        <f>VLOOKUP(decCh3Prod3Slot2Pack,dataPackMaterialExp,2,FALSE)</f>
        <v>0</v>
      </c>
      <c r="F1483" s="276" t="s">
        <v>4136</v>
      </c>
    </row>
    <row r="1484" spans="1:6" ht="14.25">
      <c r="A1484" s="411"/>
      <c r="B1484" s="216"/>
      <c r="D1484" s="328" t="s">
        <v>960</v>
      </c>
      <c r="E1484" s="502">
        <f>VLOOKUP(finCalcCh3Prod3Slot2ForcastAcc,dataForecastImpactMatCost,2,TRUE)*E1483</f>
        <v>0</v>
      </c>
      <c r="F1484" s="276" t="s">
        <v>4137</v>
      </c>
    </row>
    <row r="1485" spans="1:6" ht="14.25">
      <c r="A1485" s="411"/>
      <c r="B1485" s="216"/>
      <c r="D1485" s="328" t="s">
        <v>14030</v>
      </c>
      <c r="E1485" s="493">
        <f>paramProd3MatExpSI*finCalcCh3Prod3Slot2MatExpPerUnitBase</f>
        <v>0</v>
      </c>
      <c r="F1485" s="276" t="s">
        <v>4138</v>
      </c>
    </row>
    <row r="1486" spans="1:6" ht="14.25">
      <c r="A1486" s="411"/>
      <c r="B1486" s="216"/>
      <c r="D1486" s="209" t="s">
        <v>518</v>
      </c>
      <c r="E1486" s="327">
        <f>SUM(E1483:E1485)</f>
        <v>0</v>
      </c>
      <c r="F1486" s="276" t="s">
        <v>4139</v>
      </c>
    </row>
    <row r="1487" spans="1:6" ht="14.25">
      <c r="A1487" s="411"/>
      <c r="B1487" s="216"/>
      <c r="D1487" s="209" t="s">
        <v>401</v>
      </c>
      <c r="E1487" s="220">
        <f>finCalcCh3Prod3Slot2MatExpPUnitTot*finCalcCh3Prod3Slot2VolSold</f>
        <v>0</v>
      </c>
      <c r="F1487" s="276" t="s">
        <v>12998</v>
      </c>
    </row>
    <row r="1488" spans="1:6" ht="14.25">
      <c r="A1488" s="411"/>
      <c r="B1488" s="216"/>
      <c r="C1488" s="208"/>
      <c r="F1488" s="276"/>
    </row>
    <row r="1489" spans="1:6" ht="14.25">
      <c r="A1489" s="411"/>
      <c r="B1489" s="216"/>
      <c r="C1489" s="217" t="s">
        <v>399</v>
      </c>
      <c r="E1489" s="224"/>
    </row>
    <row r="1490" spans="1:6" ht="14.25">
      <c r="A1490" s="411"/>
      <c r="B1490" s="216"/>
      <c r="D1490" s="328" t="s">
        <v>969</v>
      </c>
      <c r="E1490" s="510">
        <f>VLOOKUP(decCh3Prod3Slot2Pack,dataPackLabourHrs,2,FALSE)</f>
        <v>0</v>
      </c>
      <c r="F1490" s="276" t="s">
        <v>4140</v>
      </c>
    </row>
    <row r="1491" spans="1:6" ht="14.25">
      <c r="A1491" s="411"/>
      <c r="B1491" s="216"/>
      <c r="D1491" s="328" t="s">
        <v>960</v>
      </c>
      <c r="E1491" s="510">
        <f>VLOOKUP(finCalcCh3Prod3Slot2ForcastAcc,dataForecastImpactLabCost,2,TRUE)*finCalcCh3Prod3Slot2LabourHrsReqPVolBase</f>
        <v>0</v>
      </c>
      <c r="F1491" s="276" t="s">
        <v>4141</v>
      </c>
    </row>
    <row r="1492" spans="1:6" ht="14.25">
      <c r="A1492" s="411"/>
      <c r="B1492" s="216"/>
      <c r="D1492" s="328" t="s">
        <v>14030</v>
      </c>
      <c r="E1492" s="510">
        <f>paramProd3LabourExpSI*finCalcCh3Prod3Slot2LabourHrsReqPVolBase</f>
        <v>0</v>
      </c>
      <c r="F1492" s="276" t="s">
        <v>4142</v>
      </c>
    </row>
    <row r="1493" spans="1:6" ht="14.25">
      <c r="A1493" s="411"/>
      <c r="B1493" s="216"/>
      <c r="D1493" s="209" t="s">
        <v>3795</v>
      </c>
      <c r="E1493" s="511">
        <f>SUM(E1490:E1492)</f>
        <v>0</v>
      </c>
      <c r="F1493" s="276" t="s">
        <v>4143</v>
      </c>
    </row>
    <row r="1494" spans="1:6" ht="14.25">
      <c r="A1494" s="411"/>
      <c r="B1494" s="216"/>
      <c r="D1494" s="328"/>
      <c r="E1494" s="499"/>
      <c r="F1494" s="276"/>
    </row>
    <row r="1495" spans="1:6" ht="14.25">
      <c r="A1495" s="411"/>
      <c r="B1495" s="216"/>
      <c r="D1495" s="209" t="s">
        <v>974</v>
      </c>
      <c r="E1495" s="494">
        <f>paramLabourCostPerHr</f>
        <v>5</v>
      </c>
      <c r="F1495" s="276" t="s">
        <v>4144</v>
      </c>
    </row>
    <row r="1496" spans="1:6" ht="14.25">
      <c r="A1496" s="411"/>
      <c r="B1496" s="216"/>
      <c r="D1496" s="209" t="s">
        <v>3793</v>
      </c>
      <c r="E1496" s="500">
        <f>finCalcCh3Prod3Slot2VolSold*finCalcCh3Prod3Slot2LabourHrsReqPVolTot</f>
        <v>0</v>
      </c>
    </row>
    <row r="1497" spans="1:6" ht="14.25">
      <c r="A1497" s="411"/>
      <c r="B1497" s="216"/>
      <c r="D1497" s="276" t="s">
        <v>973</v>
      </c>
      <c r="E1497" s="220">
        <f>E1496*finCalcCh3Prod3Slot2LabourCostPerHour</f>
        <v>0</v>
      </c>
      <c r="F1497" s="276" t="s">
        <v>12999</v>
      </c>
    </row>
    <row r="1498" spans="1:6" ht="14.25">
      <c r="A1498" s="411"/>
      <c r="B1498" s="216"/>
      <c r="E1498" s="223"/>
    </row>
    <row r="1499" spans="1:6" ht="14.25">
      <c r="A1499" s="411"/>
      <c r="B1499" s="216"/>
      <c r="C1499" s="217" t="s">
        <v>513</v>
      </c>
      <c r="E1499" s="223"/>
    </row>
    <row r="1500" spans="1:6" ht="14.25">
      <c r="A1500" s="411"/>
      <c r="B1500" s="216"/>
      <c r="C1500" s="326"/>
      <c r="D1500" s="276" t="s">
        <v>570</v>
      </c>
      <c r="E1500" s="491">
        <f>CalcCh3Prod3Slot2ManufacturingCostPUnit</f>
        <v>0</v>
      </c>
      <c r="F1500" s="276"/>
    </row>
    <row r="1501" spans="1:6" ht="14.25">
      <c r="A1501" s="411"/>
      <c r="B1501" s="216"/>
      <c r="C1501" s="326"/>
      <c r="D1501" s="209" t="s">
        <v>514</v>
      </c>
      <c r="E1501" s="490">
        <f>E1500*finCalcCh3Prod3Slot2VolSold</f>
        <v>0</v>
      </c>
      <c r="F1501" s="276" t="s">
        <v>13000</v>
      </c>
    </row>
    <row r="1502" spans="1:6" ht="14.25">
      <c r="A1502" s="411"/>
      <c r="B1502" s="216"/>
      <c r="C1502" s="208"/>
    </row>
    <row r="1503" spans="1:6" ht="14.25">
      <c r="A1503" s="411"/>
      <c r="B1503" s="216"/>
      <c r="C1503" s="498" t="s">
        <v>398</v>
      </c>
    </row>
    <row r="1504" spans="1:6" ht="14.25">
      <c r="A1504" s="411"/>
      <c r="B1504" s="216"/>
      <c r="C1504" s="208" t="s">
        <v>398</v>
      </c>
      <c r="E1504" s="223"/>
    </row>
    <row r="1505" spans="1:6" ht="14.25">
      <c r="A1505" s="411"/>
      <c r="B1505" s="216"/>
      <c r="D1505" s="209" t="s">
        <v>450</v>
      </c>
      <c r="E1505" s="220">
        <f>CalcCh3Prod3Slot2Depreciation</f>
        <v>0</v>
      </c>
      <c r="F1505" s="276" t="s">
        <v>2008</v>
      </c>
    </row>
    <row r="1506" spans="1:6" ht="14.25">
      <c r="A1506" s="411"/>
      <c r="B1506" s="216"/>
    </row>
    <row r="1507" spans="1:6" ht="14.25">
      <c r="A1507" s="411"/>
      <c r="B1507" s="216"/>
      <c r="C1507" s="217" t="s">
        <v>13066</v>
      </c>
    </row>
    <row r="1508" spans="1:6" ht="14.25">
      <c r="A1508" s="411"/>
      <c r="B1508" s="216"/>
      <c r="D1508" s="209" t="s">
        <v>400</v>
      </c>
      <c r="E1508" s="495">
        <f>finCalcCh3Prod3Slot2MatExpPUnitTot</f>
        <v>0</v>
      </c>
    </row>
    <row r="1509" spans="1:6" ht="14.25">
      <c r="A1509" s="411"/>
      <c r="B1509" s="216"/>
      <c r="D1509" s="209" t="s">
        <v>399</v>
      </c>
      <c r="E1509" s="495">
        <f>finCalcCh3Prod3Slot2LabourCostPerHour*finCalcCh3Prod3Slot2LabourHrsReqPVolTot</f>
        <v>0</v>
      </c>
    </row>
    <row r="1510" spans="1:6" ht="14.25">
      <c r="A1510" s="411"/>
      <c r="B1510" s="216"/>
      <c r="D1510" s="209" t="s">
        <v>513</v>
      </c>
      <c r="E1510" s="495">
        <f>E1500</f>
        <v>0</v>
      </c>
    </row>
    <row r="1511" spans="1:6" ht="14.25">
      <c r="A1511" s="411"/>
      <c r="B1511" s="216"/>
      <c r="D1511" s="209" t="s">
        <v>398</v>
      </c>
      <c r="E1511" s="496">
        <f>CalcCh3Prod3Slot2DepreciationPUnit</f>
        <v>0</v>
      </c>
    </row>
    <row r="1512" spans="1:6" ht="14.25">
      <c r="A1512" s="411"/>
      <c r="B1512" s="216"/>
      <c r="C1512" s="208" t="s">
        <v>397</v>
      </c>
      <c r="E1512" s="490">
        <f>SUM(E1508:E1511)</f>
        <v>0</v>
      </c>
      <c r="F1512" s="276" t="s">
        <v>2009</v>
      </c>
    </row>
    <row r="1513" spans="1:6" ht="14.25">
      <c r="A1513" s="411"/>
      <c r="B1513" s="216"/>
    </row>
    <row r="1514" spans="1:6" ht="14.25">
      <c r="A1514" s="411"/>
      <c r="B1514" s="216"/>
      <c r="C1514" s="217" t="s">
        <v>519</v>
      </c>
    </row>
    <row r="1515" spans="1:6" ht="14.25">
      <c r="A1515" s="411"/>
      <c r="B1515" s="216"/>
      <c r="D1515" s="328" t="s">
        <v>1286</v>
      </c>
      <c r="E1515" s="492">
        <f>VLOOKUP(decCh3Prod3Slot2Pack,dataPackLogisticsCost,2,FALSE)</f>
        <v>0</v>
      </c>
      <c r="F1515" s="276" t="s">
        <v>2950</v>
      </c>
    </row>
    <row r="1516" spans="1:6" ht="14.25">
      <c r="A1516" s="411"/>
      <c r="B1516" s="216"/>
      <c r="D1516" s="328" t="s">
        <v>960</v>
      </c>
      <c r="E1516" s="501">
        <f>VLOOKUP(finCalcCh3Prod3Slot2ForcastAcc,dataForecastImpactLogisticsCost,2,TRUE)*finCalcCh3Prod3Slot2LogExpPerUnit</f>
        <v>0</v>
      </c>
      <c r="F1516" s="276" t="s">
        <v>4145</v>
      </c>
    </row>
    <row r="1517" spans="1:6" ht="14.25">
      <c r="A1517" s="411"/>
      <c r="B1517" s="216"/>
      <c r="D1517" s="328" t="s">
        <v>14030</v>
      </c>
      <c r="E1517" s="497">
        <f>finCalcCh3Prod3Slot2LogExpPerUnit*paramProd3LogExpSI</f>
        <v>0</v>
      </c>
      <c r="F1517" s="276" t="s">
        <v>4146</v>
      </c>
    </row>
    <row r="1518" spans="1:6" ht="14.25">
      <c r="A1518" s="411"/>
      <c r="B1518" s="216"/>
      <c r="D1518" s="276" t="s">
        <v>1692</v>
      </c>
      <c r="E1518" s="327">
        <f>SUM(E1515:E1517)</f>
        <v>0</v>
      </c>
      <c r="F1518" s="276" t="s">
        <v>13001</v>
      </c>
    </row>
    <row r="1519" spans="1:6" ht="14.25">
      <c r="A1519" s="411"/>
      <c r="B1519" s="216"/>
      <c r="D1519" s="276" t="s">
        <v>1284</v>
      </c>
      <c r="E1519" s="490">
        <f>finCalcCh3Prod3Slot2LogExpAdjPUnit*finCalcCh3Prod3Slot2VolSold</f>
        <v>0</v>
      </c>
      <c r="F1519" s="276" t="s">
        <v>2010</v>
      </c>
    </row>
    <row r="1520" spans="1:6" ht="14.25">
      <c r="A1520" s="411"/>
      <c r="B1520" s="216"/>
      <c r="D1520" s="276"/>
      <c r="E1520" s="276"/>
      <c r="F1520" s="276"/>
    </row>
    <row r="1521" spans="1:6" s="322" customFormat="1" ht="12.75" customHeight="1">
      <c r="A1521" s="411"/>
      <c r="B1521" s="412"/>
      <c r="C1521" s="854"/>
      <c r="D1521" s="854" t="s">
        <v>3860</v>
      </c>
      <c r="E1521" s="970"/>
      <c r="F1521" s="411"/>
    </row>
    <row r="1522" spans="1:6" s="322" customFormat="1" ht="13.15" customHeight="1">
      <c r="A1522" s="411"/>
      <c r="B1522" s="412"/>
      <c r="C1522" s="323"/>
      <c r="D1522" s="323"/>
      <c r="E1522" s="324"/>
    </row>
    <row r="1523" spans="1:6" ht="14.25">
      <c r="A1523" s="411"/>
      <c r="B1523" s="216"/>
      <c r="C1523" s="217" t="s">
        <v>295</v>
      </c>
    </row>
    <row r="1524" spans="1:6" ht="14.25">
      <c r="A1524" s="411"/>
      <c r="B1524" s="216"/>
      <c r="D1524" s="276" t="s">
        <v>577</v>
      </c>
      <c r="E1524" s="491">
        <f>IF(calcCh3Prod3Slot3Active=1,IF(xxSim0Tool1=1,calcCh3Prod3Slot3VolForecastSlot,MMCh3Prod3Seg1Slot3UnitsSold+MMCh3Prod3Seg2Slot3UnitsSold+MMCh3Prod3Seg3Slot3UnitsSold+MMCh3Prod3Seg4Slot3UnitsSold),0)</f>
        <v>0</v>
      </c>
      <c r="F1524" s="276" t="s">
        <v>2011</v>
      </c>
    </row>
    <row r="1525" spans="1:6" ht="14.25">
      <c r="A1525" s="411"/>
      <c r="B1525" s="216"/>
      <c r="D1525" s="276" t="s">
        <v>1762</v>
      </c>
      <c r="E1525" s="399">
        <f>IF(VLOOKUP(decCh3Prod3Slot3Pack,dataPackSize,2,FALSE)=0,0,finCalcCh3Prod3Slot3VolSold/VLOOKUP(decCh3Prod3Slot3Pack,dataPackSize,2,FALSE))</f>
        <v>0</v>
      </c>
      <c r="F1525" s="276" t="s">
        <v>2012</v>
      </c>
    </row>
    <row r="1526" spans="1:6" ht="14.25">
      <c r="A1526" s="411"/>
      <c r="B1526" s="216"/>
      <c r="D1526" s="276" t="s">
        <v>966</v>
      </c>
      <c r="E1526" s="654">
        <f>IF(calcCh3Prod3Slot3VolForecastSlot=0,100%,finCalcCh3Prod3Slot3VolSold/calcCh3Prod3Slot3VolForecastSlot)</f>
        <v>1</v>
      </c>
      <c r="F1526" s="276" t="s">
        <v>2013</v>
      </c>
    </row>
    <row r="1527" spans="1:6" ht="14.25">
      <c r="A1527" s="411"/>
      <c r="B1527" s="216"/>
      <c r="E1527" s="489"/>
    </row>
    <row r="1528" spans="1:6" ht="14.25">
      <c r="A1528" s="411"/>
      <c r="B1528" s="216"/>
      <c r="C1528" s="217" t="s">
        <v>3789</v>
      </c>
      <c r="E1528" s="489"/>
    </row>
    <row r="1529" spans="1:6" ht="14.25">
      <c r="A1529" s="411"/>
      <c r="B1529" s="216"/>
      <c r="C1529" s="217" t="s">
        <v>400</v>
      </c>
    </row>
    <row r="1530" spans="1:6" ht="14.25">
      <c r="A1530" s="411"/>
      <c r="B1530" s="216"/>
      <c r="D1530" s="255" t="s">
        <v>526</v>
      </c>
      <c r="E1530" s="492">
        <f>VLOOKUP(decCh3Prod3Slot3Pack,dataPackMaterialExp,2,FALSE)</f>
        <v>0</v>
      </c>
      <c r="F1530" s="276" t="s">
        <v>4147</v>
      </c>
    </row>
    <row r="1531" spans="1:6" ht="14.25">
      <c r="A1531" s="411"/>
      <c r="B1531" s="216"/>
      <c r="D1531" s="328" t="s">
        <v>960</v>
      </c>
      <c r="E1531" s="502">
        <f>VLOOKUP(finCalcCh3Prod3Slot3ForcastAcc,dataForecastImpactMatCost,2,TRUE)*E1530</f>
        <v>0</v>
      </c>
      <c r="F1531" s="276" t="s">
        <v>4148</v>
      </c>
    </row>
    <row r="1532" spans="1:6" ht="14.25">
      <c r="A1532" s="411"/>
      <c r="B1532" s="216"/>
      <c r="D1532" s="328" t="s">
        <v>14030</v>
      </c>
      <c r="E1532" s="493">
        <f>paramProd3MatExpSI*finCalcCh3Prod3Slot3MatExpPerUnitBase</f>
        <v>0</v>
      </c>
      <c r="F1532" s="276" t="s">
        <v>4149</v>
      </c>
    </row>
    <row r="1533" spans="1:6" ht="14.25">
      <c r="A1533" s="411"/>
      <c r="B1533" s="216"/>
      <c r="D1533" s="209" t="s">
        <v>518</v>
      </c>
      <c r="E1533" s="327">
        <f>SUM(E1530:E1532)</f>
        <v>0</v>
      </c>
      <c r="F1533" s="276" t="s">
        <v>4150</v>
      </c>
    </row>
    <row r="1534" spans="1:6" ht="14.25">
      <c r="A1534" s="411"/>
      <c r="B1534" s="216"/>
      <c r="D1534" s="209" t="s">
        <v>401</v>
      </c>
      <c r="E1534" s="220">
        <f>finCalcCh3Prod3Slot3MatExpPUnitTot*finCalcCh3Prod3Slot3VolSold</f>
        <v>0</v>
      </c>
      <c r="F1534" s="276" t="s">
        <v>13002</v>
      </c>
    </row>
    <row r="1535" spans="1:6" ht="14.25">
      <c r="A1535" s="411"/>
      <c r="B1535" s="216"/>
      <c r="C1535" s="208"/>
      <c r="F1535" s="276"/>
    </row>
    <row r="1536" spans="1:6" ht="14.25">
      <c r="A1536" s="411"/>
      <c r="B1536" s="216"/>
      <c r="C1536" s="217" t="s">
        <v>399</v>
      </c>
      <c r="E1536" s="224"/>
    </row>
    <row r="1537" spans="1:6" ht="14.25">
      <c r="A1537" s="411"/>
      <c r="B1537" s="216"/>
      <c r="D1537" s="328" t="s">
        <v>969</v>
      </c>
      <c r="E1537" s="510">
        <f>VLOOKUP(decCh3Prod3Slot3Pack,dataPackLabourHrs,2,FALSE)</f>
        <v>0</v>
      </c>
      <c r="F1537" s="276" t="s">
        <v>4151</v>
      </c>
    </row>
    <row r="1538" spans="1:6" ht="14.25">
      <c r="A1538" s="411"/>
      <c r="B1538" s="216"/>
      <c r="D1538" s="328" t="s">
        <v>960</v>
      </c>
      <c r="E1538" s="510">
        <f>VLOOKUP(finCalcCh3Prod3Slot3ForcastAcc,dataForecastImpactLabCost,2,TRUE)*finCalcCh3Prod3Slot3LabourHrsReqPVolBase</f>
        <v>0</v>
      </c>
      <c r="F1538" s="276" t="s">
        <v>4152</v>
      </c>
    </row>
    <row r="1539" spans="1:6" ht="14.25">
      <c r="A1539" s="411"/>
      <c r="B1539" s="216"/>
      <c r="D1539" s="328" t="s">
        <v>14030</v>
      </c>
      <c r="E1539" s="510">
        <f>paramProd3LabourExpSI*finCalcCh3Prod3Slot3LabourHrsReqPVolBase</f>
        <v>0</v>
      </c>
      <c r="F1539" s="276" t="s">
        <v>4153</v>
      </c>
    </row>
    <row r="1540" spans="1:6" ht="14.25">
      <c r="A1540" s="411"/>
      <c r="B1540" s="216"/>
      <c r="D1540" s="209" t="s">
        <v>3795</v>
      </c>
      <c r="E1540" s="511">
        <f>SUM(E1537:E1539)</f>
        <v>0</v>
      </c>
      <c r="F1540" s="276" t="s">
        <v>4154</v>
      </c>
    </row>
    <row r="1541" spans="1:6" ht="14.25">
      <c r="A1541" s="411"/>
      <c r="B1541" s="216"/>
      <c r="D1541" s="328"/>
      <c r="E1541" s="499"/>
      <c r="F1541" s="276"/>
    </row>
    <row r="1542" spans="1:6" ht="14.25">
      <c r="A1542" s="411"/>
      <c r="B1542" s="216"/>
      <c r="D1542" s="209" t="s">
        <v>974</v>
      </c>
      <c r="E1542" s="494">
        <f>paramLabourCostPerHr</f>
        <v>5</v>
      </c>
      <c r="F1542" s="276" t="s">
        <v>4155</v>
      </c>
    </row>
    <row r="1543" spans="1:6" ht="14.25">
      <c r="A1543" s="411"/>
      <c r="B1543" s="216"/>
      <c r="D1543" s="209" t="s">
        <v>3793</v>
      </c>
      <c r="E1543" s="500">
        <f>finCalcCh3Prod3Slot3VolSold*finCalcCh3Prod3Slot3LabourHrsReqPVolTot</f>
        <v>0</v>
      </c>
    </row>
    <row r="1544" spans="1:6" ht="14.25">
      <c r="A1544" s="411"/>
      <c r="B1544" s="216"/>
      <c r="D1544" s="276" t="s">
        <v>973</v>
      </c>
      <c r="E1544" s="220">
        <f>E1543*finCalcCh3Prod3Slot3LabourCostPerHour</f>
        <v>0</v>
      </c>
      <c r="F1544" s="276" t="s">
        <v>13003</v>
      </c>
    </row>
    <row r="1545" spans="1:6" ht="14.25">
      <c r="A1545" s="411"/>
      <c r="B1545" s="216"/>
      <c r="E1545" s="223"/>
    </row>
    <row r="1546" spans="1:6" ht="14.25">
      <c r="A1546" s="411"/>
      <c r="B1546" s="216"/>
      <c r="C1546" s="217" t="s">
        <v>513</v>
      </c>
      <c r="E1546" s="223"/>
    </row>
    <row r="1547" spans="1:6" ht="14.25">
      <c r="A1547" s="411"/>
      <c r="B1547" s="216"/>
      <c r="C1547" s="326"/>
      <c r="D1547" s="276" t="s">
        <v>570</v>
      </c>
      <c r="E1547" s="491">
        <f>CalcCh3Prod3Slot3ManufacturingCostPUnit</f>
        <v>0</v>
      </c>
      <c r="F1547" s="276"/>
    </row>
    <row r="1548" spans="1:6" ht="14.25">
      <c r="A1548" s="411"/>
      <c r="B1548" s="216"/>
      <c r="C1548" s="326"/>
      <c r="D1548" s="209" t="s">
        <v>514</v>
      </c>
      <c r="E1548" s="490">
        <f>E1547*finCalcCh3Prod3Slot3VolSold</f>
        <v>0</v>
      </c>
      <c r="F1548" s="276" t="s">
        <v>13004</v>
      </c>
    </row>
    <row r="1549" spans="1:6" ht="14.25">
      <c r="A1549" s="411"/>
      <c r="B1549" s="216"/>
      <c r="C1549" s="208"/>
    </row>
    <row r="1550" spans="1:6" ht="14.25">
      <c r="A1550" s="411"/>
      <c r="B1550" s="216"/>
      <c r="C1550" s="498" t="s">
        <v>398</v>
      </c>
    </row>
    <row r="1551" spans="1:6" ht="14.25">
      <c r="A1551" s="411"/>
      <c r="B1551" s="216"/>
      <c r="C1551" s="208" t="s">
        <v>398</v>
      </c>
      <c r="E1551" s="223"/>
    </row>
    <row r="1552" spans="1:6" ht="14.25">
      <c r="A1552" s="411"/>
      <c r="B1552" s="216"/>
      <c r="D1552" s="209" t="s">
        <v>450</v>
      </c>
      <c r="E1552" s="220">
        <f>CalcCh3Prod3Slot3Depreciation</f>
        <v>0</v>
      </c>
      <c r="F1552" s="276" t="s">
        <v>2014</v>
      </c>
    </row>
    <row r="1553" spans="1:6" ht="14.25">
      <c r="A1553" s="411"/>
      <c r="B1553" s="216"/>
    </row>
    <row r="1554" spans="1:6" ht="14.25">
      <c r="A1554" s="411"/>
      <c r="B1554" s="216"/>
      <c r="C1554" s="217" t="s">
        <v>13066</v>
      </c>
    </row>
    <row r="1555" spans="1:6" ht="14.25">
      <c r="A1555" s="411"/>
      <c r="B1555" s="216"/>
      <c r="D1555" s="209" t="s">
        <v>400</v>
      </c>
      <c r="E1555" s="495">
        <f>finCalcCh3Prod3Slot3MatExpPUnitTot</f>
        <v>0</v>
      </c>
    </row>
    <row r="1556" spans="1:6" ht="14.25">
      <c r="A1556" s="411"/>
      <c r="B1556" s="216"/>
      <c r="D1556" s="209" t="s">
        <v>399</v>
      </c>
      <c r="E1556" s="495">
        <f>finCalcCh3Prod3Slot3LabourCostPerHour*finCalcCh3Prod3Slot3LabourHrsReqPVolTot</f>
        <v>0</v>
      </c>
    </row>
    <row r="1557" spans="1:6" ht="14.25">
      <c r="A1557" s="411"/>
      <c r="B1557" s="216"/>
      <c r="D1557" s="209" t="s">
        <v>513</v>
      </c>
      <c r="E1557" s="495">
        <f>E1547</f>
        <v>0</v>
      </c>
    </row>
    <row r="1558" spans="1:6" ht="14.25">
      <c r="A1558" s="411"/>
      <c r="B1558" s="216"/>
      <c r="D1558" s="209" t="s">
        <v>398</v>
      </c>
      <c r="E1558" s="496">
        <f>CalcCh3Prod3Slot3DepreciationPUnit</f>
        <v>0</v>
      </c>
    </row>
    <row r="1559" spans="1:6" ht="14.25">
      <c r="A1559" s="411"/>
      <c r="B1559" s="216"/>
      <c r="C1559" s="208" t="s">
        <v>397</v>
      </c>
      <c r="E1559" s="490">
        <f>SUM(E1555:E1558)</f>
        <v>0</v>
      </c>
      <c r="F1559" s="276" t="s">
        <v>2015</v>
      </c>
    </row>
    <row r="1560" spans="1:6" ht="14.25">
      <c r="A1560" s="411"/>
      <c r="B1560" s="216"/>
    </row>
    <row r="1561" spans="1:6" ht="14.25">
      <c r="A1561" s="411"/>
      <c r="B1561" s="216"/>
      <c r="C1561" s="217" t="s">
        <v>519</v>
      </c>
    </row>
    <row r="1562" spans="1:6" ht="14.25">
      <c r="A1562" s="411"/>
      <c r="B1562" s="216"/>
      <c r="D1562" s="328" t="s">
        <v>1286</v>
      </c>
      <c r="E1562" s="492">
        <f>VLOOKUP(decCh3Prod3Slot3Pack,dataPackLogisticsCost,2,FALSE)</f>
        <v>0</v>
      </c>
      <c r="F1562" s="276" t="s">
        <v>2951</v>
      </c>
    </row>
    <row r="1563" spans="1:6" ht="14.25">
      <c r="A1563" s="411"/>
      <c r="B1563" s="216"/>
      <c r="D1563" s="328" t="s">
        <v>960</v>
      </c>
      <c r="E1563" s="501">
        <f>VLOOKUP(finCalcCh3Prod3Slot3ForcastAcc,dataForecastImpactLogisticsCost,2,TRUE)*finCalcCh3Prod3Slot3LogExpPerUnit</f>
        <v>0</v>
      </c>
      <c r="F1563" s="276" t="s">
        <v>4156</v>
      </c>
    </row>
    <row r="1564" spans="1:6" ht="14.25">
      <c r="A1564" s="411"/>
      <c r="B1564" s="216"/>
      <c r="D1564" s="328" t="s">
        <v>14030</v>
      </c>
      <c r="E1564" s="497">
        <f>finCalcCh3Prod3Slot3LogExpPerUnit*paramProd3LogExpSI</f>
        <v>0</v>
      </c>
      <c r="F1564" s="276" t="s">
        <v>4157</v>
      </c>
    </row>
    <row r="1565" spans="1:6" ht="14.25">
      <c r="A1565" s="411"/>
      <c r="B1565" s="216"/>
      <c r="D1565" s="276" t="s">
        <v>1692</v>
      </c>
      <c r="E1565" s="327">
        <f>SUM(E1562:E1564)</f>
        <v>0</v>
      </c>
      <c r="F1565" s="276" t="s">
        <v>13005</v>
      </c>
    </row>
    <row r="1566" spans="1:6" ht="14.25">
      <c r="A1566" s="411"/>
      <c r="B1566" s="216"/>
      <c r="D1566" s="276" t="s">
        <v>1284</v>
      </c>
      <c r="E1566" s="490">
        <f>finCalcCh3Prod3Slot3LogExpAdjPUnit*finCalcCh3Prod3Slot3VolSold</f>
        <v>0</v>
      </c>
      <c r="F1566" s="276" t="s">
        <v>2016</v>
      </c>
    </row>
    <row r="1567" spans="1:6" ht="14.25">
      <c r="A1567" s="411"/>
      <c r="B1567" s="216"/>
      <c r="D1567" s="276"/>
      <c r="E1567" s="276"/>
      <c r="F1567" s="276"/>
    </row>
    <row r="1568" spans="1:6" s="322" customFormat="1" ht="12.75" customHeight="1">
      <c r="A1568" s="411"/>
      <c r="B1568" s="412"/>
      <c r="C1568" s="854" t="s">
        <v>240</v>
      </c>
      <c r="D1568" s="854"/>
      <c r="E1568" s="970"/>
      <c r="F1568" s="411"/>
    </row>
    <row r="1569" spans="1:6" s="322" customFormat="1" ht="12.75" customHeight="1">
      <c r="A1569" s="411"/>
      <c r="B1569" s="412"/>
      <c r="C1569" s="854"/>
      <c r="D1569" s="854" t="s">
        <v>3859</v>
      </c>
      <c r="E1569" s="970"/>
      <c r="F1569" s="411"/>
    </row>
    <row r="1570" spans="1:6" s="322" customFormat="1" ht="13.15" customHeight="1">
      <c r="A1570" s="411"/>
      <c r="B1570" s="412"/>
      <c r="C1570" s="323"/>
      <c r="D1570" s="323"/>
      <c r="E1570" s="324"/>
    </row>
    <row r="1571" spans="1:6" ht="14.25">
      <c r="A1571" s="411"/>
      <c r="B1571" s="216"/>
      <c r="C1571" s="217" t="s">
        <v>295</v>
      </c>
    </row>
    <row r="1572" spans="1:6" ht="14.25">
      <c r="A1572" s="411"/>
      <c r="B1572" s="216"/>
      <c r="D1572" s="276" t="s">
        <v>577</v>
      </c>
      <c r="E1572" s="491">
        <f>IF(calcCh3Prod4Slot1Active=1,IF(xxSim0Tool1=1,calcCh3Prod4Slot1VolForecastSlot,MMCh3Prod4Seg1Slot1UnitsSold+MMCh3Prod4Seg2Slot1UnitsSold+MMCh3Prod4Seg3Slot1UnitsSold+MMCh3Prod4Seg4Slot1UnitsSold),0)</f>
        <v>0</v>
      </c>
      <c r="F1572" s="276" t="s">
        <v>2017</v>
      </c>
    </row>
    <row r="1573" spans="1:6" ht="14.25">
      <c r="A1573" s="411"/>
      <c r="B1573" s="216"/>
      <c r="D1573" s="276" t="s">
        <v>1762</v>
      </c>
      <c r="E1573" s="399">
        <f>IF(VLOOKUP(decCh3Prod4Slot1Pack,dataPackSize,2,FALSE)=0,0,finCalcCh3Prod4Slot1VolSold/VLOOKUP(decCh3Prod4Slot1Pack,dataPackSize,2,FALSE))</f>
        <v>0</v>
      </c>
      <c r="F1573" s="276" t="s">
        <v>2018</v>
      </c>
    </row>
    <row r="1574" spans="1:6" ht="14.25">
      <c r="A1574" s="411"/>
      <c r="B1574" s="216"/>
      <c r="D1574" s="276" t="s">
        <v>966</v>
      </c>
      <c r="E1574" s="654">
        <f>IF(calcCh3Prod4Slot1VolForecastSlot=0,100%,finCalcCh3Prod4Slot1VolSold/calcCh3Prod4Slot1VolForecastSlot)</f>
        <v>1</v>
      </c>
      <c r="F1574" s="276" t="s">
        <v>2019</v>
      </c>
    </row>
    <row r="1575" spans="1:6" ht="14.25">
      <c r="A1575" s="411"/>
      <c r="B1575" s="216"/>
      <c r="E1575" s="489"/>
    </row>
    <row r="1576" spans="1:6" ht="14.25">
      <c r="A1576" s="411"/>
      <c r="B1576" s="216"/>
      <c r="C1576" s="217" t="s">
        <v>3789</v>
      </c>
      <c r="E1576" s="489"/>
    </row>
    <row r="1577" spans="1:6" ht="14.25">
      <c r="A1577" s="411"/>
      <c r="B1577" s="216"/>
      <c r="C1577" s="217" t="s">
        <v>400</v>
      </c>
    </row>
    <row r="1578" spans="1:6" ht="14.25">
      <c r="A1578" s="411"/>
      <c r="B1578" s="216"/>
      <c r="D1578" s="255" t="s">
        <v>526</v>
      </c>
      <c r="E1578" s="492">
        <f>VLOOKUP(decCh3Prod4Slot1Pack,dataPackMaterialExp,2,FALSE)</f>
        <v>0</v>
      </c>
      <c r="F1578" s="276" t="s">
        <v>4158</v>
      </c>
    </row>
    <row r="1579" spans="1:6" ht="14.25">
      <c r="A1579" s="411"/>
      <c r="B1579" s="216"/>
      <c r="D1579" s="328" t="s">
        <v>960</v>
      </c>
      <c r="E1579" s="502">
        <f>VLOOKUP(finCalcCh3Prod4Slot1ForcastAcc,dataForecastImpactMatCost,2,TRUE)*E1578</f>
        <v>0</v>
      </c>
      <c r="F1579" s="276" t="s">
        <v>4159</v>
      </c>
    </row>
    <row r="1580" spans="1:6" ht="14.25">
      <c r="A1580" s="411"/>
      <c r="B1580" s="216"/>
      <c r="D1580" s="328" t="s">
        <v>14030</v>
      </c>
      <c r="E1580" s="493">
        <f>paramProd4MatExpSI*finCalcCh3Prod4Slot1MatExpPerUnitBase</f>
        <v>0</v>
      </c>
      <c r="F1580" s="276" t="s">
        <v>4160</v>
      </c>
    </row>
    <row r="1581" spans="1:6" ht="14.25">
      <c r="A1581" s="411"/>
      <c r="B1581" s="216"/>
      <c r="D1581" s="209" t="s">
        <v>518</v>
      </c>
      <c r="E1581" s="327">
        <f>SUM(E1578:E1580)</f>
        <v>0</v>
      </c>
      <c r="F1581" s="276" t="s">
        <v>4161</v>
      </c>
    </row>
    <row r="1582" spans="1:6" ht="14.25">
      <c r="A1582" s="411"/>
      <c r="B1582" s="216"/>
      <c r="D1582" s="209" t="s">
        <v>401</v>
      </c>
      <c r="E1582" s="220">
        <f>finCalcCh3Prod4Slot1MatExpPUnitTot*finCalcCh3Prod4Slot1VolSold</f>
        <v>0</v>
      </c>
      <c r="F1582" s="276" t="s">
        <v>13006</v>
      </c>
    </row>
    <row r="1583" spans="1:6" ht="14.25">
      <c r="A1583" s="411"/>
      <c r="B1583" s="216"/>
      <c r="C1583" s="208"/>
      <c r="F1583" s="276"/>
    </row>
    <row r="1584" spans="1:6" ht="14.25">
      <c r="A1584" s="411"/>
      <c r="B1584" s="216"/>
      <c r="C1584" s="217" t="s">
        <v>399</v>
      </c>
      <c r="E1584" s="224"/>
    </row>
    <row r="1585" spans="1:6" ht="14.25">
      <c r="A1585" s="411"/>
      <c r="B1585" s="216"/>
      <c r="D1585" s="328" t="s">
        <v>969</v>
      </c>
      <c r="E1585" s="510">
        <f>VLOOKUP(decCh3Prod4Slot1Pack,dataPackLabourHrs,2,FALSE)</f>
        <v>0</v>
      </c>
      <c r="F1585" s="276" t="s">
        <v>4162</v>
      </c>
    </row>
    <row r="1586" spans="1:6" ht="14.25">
      <c r="A1586" s="411"/>
      <c r="B1586" s="216"/>
      <c r="D1586" s="328" t="s">
        <v>960</v>
      </c>
      <c r="E1586" s="510">
        <f>VLOOKUP(finCalcCh3Prod4Slot1ForcastAcc,dataForecastImpactLabCost,2,TRUE)*finCalcCh3Prod4Slot1LabourHrsReqPVolBase</f>
        <v>0</v>
      </c>
      <c r="F1586" s="276" t="s">
        <v>4163</v>
      </c>
    </row>
    <row r="1587" spans="1:6" ht="14.25">
      <c r="A1587" s="411"/>
      <c r="B1587" s="216"/>
      <c r="D1587" s="328" t="s">
        <v>14030</v>
      </c>
      <c r="E1587" s="510">
        <f>paramProd4LabourExpSI*finCalcCh3Prod4Slot1LabourHrsReqPVolBase</f>
        <v>0</v>
      </c>
      <c r="F1587" s="276" t="s">
        <v>4164</v>
      </c>
    </row>
    <row r="1588" spans="1:6" ht="14.25">
      <c r="A1588" s="411"/>
      <c r="B1588" s="216"/>
      <c r="D1588" s="209" t="s">
        <v>3795</v>
      </c>
      <c r="E1588" s="511">
        <f>SUM(E1585:E1587)</f>
        <v>0</v>
      </c>
      <c r="F1588" s="276" t="s">
        <v>4165</v>
      </c>
    </row>
    <row r="1589" spans="1:6" ht="14.25">
      <c r="A1589" s="411"/>
      <c r="B1589" s="216"/>
      <c r="D1589" s="328"/>
      <c r="E1589" s="499"/>
      <c r="F1589" s="276"/>
    </row>
    <row r="1590" spans="1:6" ht="14.25">
      <c r="A1590" s="411"/>
      <c r="B1590" s="216"/>
      <c r="D1590" s="209" t="s">
        <v>974</v>
      </c>
      <c r="E1590" s="494">
        <f>paramLabourCostPerHr</f>
        <v>5</v>
      </c>
      <c r="F1590" s="276" t="s">
        <v>4166</v>
      </c>
    </row>
    <row r="1591" spans="1:6" ht="14.25">
      <c r="A1591" s="411"/>
      <c r="B1591" s="216"/>
      <c r="D1591" s="209" t="s">
        <v>3793</v>
      </c>
      <c r="E1591" s="500">
        <f>finCalcCh3Prod4Slot1VolSold*finCalcCh3Prod4Slot1LabourHrsReqPVolTot</f>
        <v>0</v>
      </c>
    </row>
    <row r="1592" spans="1:6" ht="14.25">
      <c r="A1592" s="411"/>
      <c r="B1592" s="216"/>
      <c r="D1592" s="276" t="s">
        <v>973</v>
      </c>
      <c r="E1592" s="220">
        <f>E1591*finCalcCh3Prod4Slot1LabourCostPerHour</f>
        <v>0</v>
      </c>
      <c r="F1592" s="276" t="s">
        <v>13007</v>
      </c>
    </row>
    <row r="1593" spans="1:6" ht="14.25">
      <c r="A1593" s="411"/>
      <c r="B1593" s="216"/>
      <c r="E1593" s="223"/>
    </row>
    <row r="1594" spans="1:6" ht="14.25">
      <c r="A1594" s="411"/>
      <c r="B1594" s="216"/>
      <c r="C1594" s="217" t="s">
        <v>513</v>
      </c>
      <c r="E1594" s="223"/>
    </row>
    <row r="1595" spans="1:6" ht="14.25">
      <c r="A1595" s="411"/>
      <c r="B1595" s="216"/>
      <c r="C1595" s="326"/>
      <c r="D1595" s="276" t="s">
        <v>570</v>
      </c>
      <c r="E1595" s="491">
        <f>CalcCh3Prod4Slot1ManufacturingCostPUnit</f>
        <v>0</v>
      </c>
      <c r="F1595" s="276"/>
    </row>
    <row r="1596" spans="1:6" ht="14.25">
      <c r="A1596" s="411"/>
      <c r="B1596" s="216"/>
      <c r="C1596" s="326"/>
      <c r="D1596" s="209" t="s">
        <v>514</v>
      </c>
      <c r="E1596" s="490">
        <f>E1595*finCalcCh3Prod4Slot1VolSold</f>
        <v>0</v>
      </c>
      <c r="F1596" s="276" t="s">
        <v>13008</v>
      </c>
    </row>
    <row r="1597" spans="1:6" ht="14.25">
      <c r="A1597" s="411"/>
      <c r="B1597" s="216"/>
      <c r="C1597" s="208"/>
    </row>
    <row r="1598" spans="1:6" ht="14.25">
      <c r="A1598" s="411"/>
      <c r="B1598" s="216"/>
      <c r="C1598" s="498" t="s">
        <v>398</v>
      </c>
    </row>
    <row r="1599" spans="1:6" ht="14.25">
      <c r="A1599" s="411"/>
      <c r="B1599" s="216"/>
      <c r="C1599" s="208" t="s">
        <v>398</v>
      </c>
      <c r="E1599" s="223"/>
    </row>
    <row r="1600" spans="1:6" ht="14.25">
      <c r="A1600" s="411"/>
      <c r="B1600" s="216"/>
      <c r="D1600" s="209" t="s">
        <v>450</v>
      </c>
      <c r="E1600" s="220">
        <f>CalcCh3Prod4Slot1Depreciation</f>
        <v>0</v>
      </c>
      <c r="F1600" s="276" t="s">
        <v>2020</v>
      </c>
    </row>
    <row r="1601" spans="1:6" ht="14.25">
      <c r="A1601" s="411"/>
      <c r="B1601" s="216"/>
    </row>
    <row r="1602" spans="1:6" ht="14.25">
      <c r="A1602" s="411"/>
      <c r="B1602" s="216"/>
      <c r="C1602" s="217" t="s">
        <v>13066</v>
      </c>
    </row>
    <row r="1603" spans="1:6" ht="14.25">
      <c r="A1603" s="411"/>
      <c r="B1603" s="216"/>
      <c r="D1603" s="209" t="s">
        <v>400</v>
      </c>
      <c r="E1603" s="495">
        <f>finCalcCh3Prod4Slot1MatExpPUnitTot</f>
        <v>0</v>
      </c>
    </row>
    <row r="1604" spans="1:6" ht="14.25">
      <c r="A1604" s="411"/>
      <c r="B1604" s="216"/>
      <c r="D1604" s="209" t="s">
        <v>399</v>
      </c>
      <c r="E1604" s="495">
        <f>finCalcCh3Prod4Slot1LabourCostPerHour*finCalcCh3Prod4Slot1LabourHrsReqPVolTot</f>
        <v>0</v>
      </c>
    </row>
    <row r="1605" spans="1:6" ht="14.25">
      <c r="A1605" s="411"/>
      <c r="B1605" s="216"/>
      <c r="D1605" s="209" t="s">
        <v>513</v>
      </c>
      <c r="E1605" s="495">
        <f>E1595</f>
        <v>0</v>
      </c>
    </row>
    <row r="1606" spans="1:6" ht="14.25">
      <c r="A1606" s="411"/>
      <c r="B1606" s="216"/>
      <c r="D1606" s="209" t="s">
        <v>398</v>
      </c>
      <c r="E1606" s="496">
        <f>CalcCh3Prod4Slot1DepreciationPUnit</f>
        <v>0</v>
      </c>
    </row>
    <row r="1607" spans="1:6" ht="14.25">
      <c r="A1607" s="411"/>
      <c r="B1607" s="216"/>
      <c r="C1607" s="208" t="s">
        <v>397</v>
      </c>
      <c r="E1607" s="490">
        <f>SUM(E1603:E1606)</f>
        <v>0</v>
      </c>
      <c r="F1607" s="276" t="s">
        <v>2021</v>
      </c>
    </row>
    <row r="1608" spans="1:6" ht="14.25">
      <c r="A1608" s="411"/>
      <c r="B1608" s="216"/>
    </row>
    <row r="1609" spans="1:6" ht="14.25">
      <c r="A1609" s="411"/>
      <c r="B1609" s="216"/>
      <c r="C1609" s="217" t="s">
        <v>519</v>
      </c>
    </row>
    <row r="1610" spans="1:6" ht="14.25">
      <c r="A1610" s="411"/>
      <c r="B1610" s="216"/>
      <c r="D1610" s="328" t="s">
        <v>1286</v>
      </c>
      <c r="E1610" s="492">
        <f>VLOOKUP(decCh3Prod4Slot1Pack,dataPackLogisticsCost,2,FALSE)</f>
        <v>0</v>
      </c>
      <c r="F1610" s="276" t="s">
        <v>2952</v>
      </c>
    </row>
    <row r="1611" spans="1:6" ht="14.25">
      <c r="A1611" s="411"/>
      <c r="B1611" s="216"/>
      <c r="D1611" s="328" t="s">
        <v>960</v>
      </c>
      <c r="E1611" s="501">
        <f>VLOOKUP(finCalcCh3Prod4Slot1ForcastAcc,dataForecastImpactLogisticsCost,2,TRUE)*finCalcCh3Prod4Slot1LogExpPerUnit</f>
        <v>0</v>
      </c>
      <c r="F1611" s="276" t="s">
        <v>4167</v>
      </c>
    </row>
    <row r="1612" spans="1:6" ht="14.25">
      <c r="A1612" s="411"/>
      <c r="B1612" s="216"/>
      <c r="D1612" s="328" t="s">
        <v>14030</v>
      </c>
      <c r="E1612" s="497">
        <f>finCalcCh3Prod4Slot1LogExpPerUnit*paramProd4LogExpSI</f>
        <v>0</v>
      </c>
      <c r="F1612" s="276" t="s">
        <v>4168</v>
      </c>
    </row>
    <row r="1613" spans="1:6" ht="14.25">
      <c r="A1613" s="411"/>
      <c r="B1613" s="216"/>
      <c r="D1613" s="276" t="s">
        <v>1692</v>
      </c>
      <c r="E1613" s="327">
        <f>SUM(E1610:E1612)</f>
        <v>0</v>
      </c>
      <c r="F1613" s="276" t="s">
        <v>13009</v>
      </c>
    </row>
    <row r="1614" spans="1:6" ht="14.25">
      <c r="A1614" s="411"/>
      <c r="B1614" s="216"/>
      <c r="D1614" s="276" t="s">
        <v>1284</v>
      </c>
      <c r="E1614" s="490">
        <f>finCalcCh3Prod4Slot1LogExpAdjPUnit*finCalcCh3Prod4Slot1VolSold</f>
        <v>0</v>
      </c>
      <c r="F1614" s="276" t="s">
        <v>2022</v>
      </c>
    </row>
    <row r="1615" spans="1:6" ht="14.25">
      <c r="A1615" s="411"/>
      <c r="B1615" s="216"/>
      <c r="D1615" s="276"/>
      <c r="E1615" s="276"/>
      <c r="F1615" s="276"/>
    </row>
    <row r="1616" spans="1:6" s="322" customFormat="1" ht="12.75" customHeight="1">
      <c r="A1616" s="411"/>
      <c r="B1616" s="412"/>
      <c r="C1616" s="854"/>
      <c r="D1616" s="854" t="s">
        <v>3858</v>
      </c>
      <c r="E1616" s="970"/>
      <c r="F1616" s="411"/>
    </row>
    <row r="1617" spans="1:6" s="322" customFormat="1" ht="13.15" customHeight="1">
      <c r="A1617" s="411"/>
      <c r="B1617" s="412"/>
      <c r="C1617" s="323"/>
      <c r="D1617" s="323"/>
      <c r="E1617" s="324"/>
    </row>
    <row r="1618" spans="1:6" ht="14.25">
      <c r="A1618" s="411"/>
      <c r="B1618" s="216"/>
      <c r="C1618" s="217" t="s">
        <v>295</v>
      </c>
    </row>
    <row r="1619" spans="1:6" ht="14.25">
      <c r="A1619" s="411"/>
      <c r="B1619" s="216"/>
      <c r="D1619" s="276" t="s">
        <v>577</v>
      </c>
      <c r="E1619" s="491">
        <f>IF(calcCh3Prod4Slot2Active=1,IF(xxSim0Tool1=1,calcCh3Prod4Slot2VolForecastSlot,MMCh3Prod4Seg1Slot2UnitsSold+MMCh3Prod4Seg2Slot2UnitsSold+MMCh3Prod4Seg3Slot2UnitsSold+MMCh3Prod4Seg4Slot2UnitsSold),0)</f>
        <v>0</v>
      </c>
      <c r="F1619" s="276" t="s">
        <v>2023</v>
      </c>
    </row>
    <row r="1620" spans="1:6" ht="14.25">
      <c r="A1620" s="411"/>
      <c r="B1620" s="216"/>
      <c r="D1620" s="276" t="s">
        <v>1762</v>
      </c>
      <c r="E1620" s="399">
        <f>IF(VLOOKUP(decCh3Prod4Slot2Pack,dataPackSize,2,FALSE)=0,0,finCalcCh3Prod4Slot2VolSold/VLOOKUP(decCh3Prod4Slot2Pack,dataPackSize,2,FALSE))</f>
        <v>0</v>
      </c>
      <c r="F1620" s="276" t="s">
        <v>2024</v>
      </c>
    </row>
    <row r="1621" spans="1:6" ht="14.25">
      <c r="A1621" s="411"/>
      <c r="B1621" s="216"/>
      <c r="D1621" s="276" t="s">
        <v>966</v>
      </c>
      <c r="E1621" s="654">
        <f>IF(calcCh3Prod4Slot2VolForecastSlot=0,100%,finCalcCh3Prod4Slot2VolSold/calcCh3Prod4Slot2VolForecastSlot)</f>
        <v>1</v>
      </c>
      <c r="F1621" s="276" t="s">
        <v>2025</v>
      </c>
    </row>
    <row r="1622" spans="1:6" ht="14.25">
      <c r="A1622" s="411"/>
      <c r="B1622" s="216"/>
      <c r="E1622" s="489"/>
    </row>
    <row r="1623" spans="1:6" ht="14.25">
      <c r="A1623" s="411"/>
      <c r="B1623" s="216"/>
      <c r="C1623" s="217" t="s">
        <v>3789</v>
      </c>
      <c r="E1623" s="489"/>
    </row>
    <row r="1624" spans="1:6" ht="14.25">
      <c r="A1624" s="411"/>
      <c r="B1624" s="216"/>
      <c r="C1624" s="217" t="s">
        <v>400</v>
      </c>
    </row>
    <row r="1625" spans="1:6" ht="14.25">
      <c r="A1625" s="411"/>
      <c r="B1625" s="216"/>
      <c r="D1625" s="255" t="s">
        <v>526</v>
      </c>
      <c r="E1625" s="492">
        <f>VLOOKUP(decCh3Prod4Slot2Pack,dataPackMaterialExp,2,FALSE)</f>
        <v>0</v>
      </c>
      <c r="F1625" s="276" t="s">
        <v>4169</v>
      </c>
    </row>
    <row r="1626" spans="1:6" ht="14.25">
      <c r="A1626" s="411"/>
      <c r="B1626" s="216"/>
      <c r="D1626" s="328" t="s">
        <v>960</v>
      </c>
      <c r="E1626" s="502">
        <f>VLOOKUP(finCalcCh3Prod4Slot2ForcastAcc,dataForecastImpactMatCost,2,TRUE)*E1625</f>
        <v>0</v>
      </c>
      <c r="F1626" s="276" t="s">
        <v>4170</v>
      </c>
    </row>
    <row r="1627" spans="1:6" ht="14.25">
      <c r="A1627" s="411"/>
      <c r="B1627" s="216"/>
      <c r="D1627" s="328" t="s">
        <v>14030</v>
      </c>
      <c r="E1627" s="493">
        <f>paramProd4MatExpSI*finCalcCh3Prod4Slot2MatExpPerUnitBase</f>
        <v>0</v>
      </c>
      <c r="F1627" s="276" t="s">
        <v>4171</v>
      </c>
    </row>
    <row r="1628" spans="1:6" ht="14.25">
      <c r="A1628" s="411"/>
      <c r="B1628" s="216"/>
      <c r="D1628" s="209" t="s">
        <v>518</v>
      </c>
      <c r="E1628" s="327">
        <f>SUM(E1625:E1627)</f>
        <v>0</v>
      </c>
      <c r="F1628" s="276" t="s">
        <v>4172</v>
      </c>
    </row>
    <row r="1629" spans="1:6" ht="14.25">
      <c r="A1629" s="411"/>
      <c r="B1629" s="216"/>
      <c r="D1629" s="209" t="s">
        <v>401</v>
      </c>
      <c r="E1629" s="220">
        <f>finCalcCh3Prod4Slot2MatExpPUnitTot*finCalcCh3Prod4Slot2VolSold</f>
        <v>0</v>
      </c>
      <c r="F1629" s="276" t="s">
        <v>13010</v>
      </c>
    </row>
    <row r="1630" spans="1:6" ht="14.25">
      <c r="A1630" s="411"/>
      <c r="B1630" s="216"/>
      <c r="C1630" s="208"/>
      <c r="F1630" s="276"/>
    </row>
    <row r="1631" spans="1:6" ht="14.25">
      <c r="A1631" s="411"/>
      <c r="B1631" s="216"/>
      <c r="C1631" s="217" t="s">
        <v>399</v>
      </c>
      <c r="E1631" s="224"/>
    </row>
    <row r="1632" spans="1:6" ht="14.25">
      <c r="A1632" s="411"/>
      <c r="B1632" s="216"/>
      <c r="D1632" s="328" t="s">
        <v>969</v>
      </c>
      <c r="E1632" s="510">
        <f>VLOOKUP(decCh3Prod4Slot2Pack,dataPackLabourHrs,2,FALSE)</f>
        <v>0</v>
      </c>
      <c r="F1632" s="276" t="s">
        <v>4173</v>
      </c>
    </row>
    <row r="1633" spans="1:6" ht="14.25">
      <c r="A1633" s="411"/>
      <c r="B1633" s="216"/>
      <c r="D1633" s="328" t="s">
        <v>960</v>
      </c>
      <c r="E1633" s="510">
        <f>VLOOKUP(finCalcCh3Prod4Slot2ForcastAcc,dataForecastImpactLabCost,2,TRUE)*finCalcCh3Prod4Slot2LabourHrsReqPVolBase</f>
        <v>0</v>
      </c>
      <c r="F1633" s="276" t="s">
        <v>4174</v>
      </c>
    </row>
    <row r="1634" spans="1:6" ht="14.25">
      <c r="A1634" s="411"/>
      <c r="B1634" s="216"/>
      <c r="D1634" s="328" t="s">
        <v>14030</v>
      </c>
      <c r="E1634" s="510">
        <f>paramProd4LabourExpSI*finCalcCh3Prod4Slot2LabourHrsReqPVolBase</f>
        <v>0</v>
      </c>
      <c r="F1634" s="276" t="s">
        <v>4175</v>
      </c>
    </row>
    <row r="1635" spans="1:6" ht="14.25">
      <c r="A1635" s="411"/>
      <c r="B1635" s="216"/>
      <c r="D1635" s="209" t="s">
        <v>3795</v>
      </c>
      <c r="E1635" s="511">
        <f>SUM(E1632:E1634)</f>
        <v>0</v>
      </c>
      <c r="F1635" s="276" t="s">
        <v>4176</v>
      </c>
    </row>
    <row r="1636" spans="1:6" ht="14.25">
      <c r="A1636" s="411"/>
      <c r="B1636" s="216"/>
      <c r="D1636" s="328"/>
      <c r="E1636" s="499"/>
      <c r="F1636" s="276"/>
    </row>
    <row r="1637" spans="1:6" ht="14.25">
      <c r="A1637" s="411"/>
      <c r="B1637" s="216"/>
      <c r="D1637" s="209" t="s">
        <v>974</v>
      </c>
      <c r="E1637" s="494">
        <f>paramLabourCostPerHr</f>
        <v>5</v>
      </c>
      <c r="F1637" s="276" t="s">
        <v>4177</v>
      </c>
    </row>
    <row r="1638" spans="1:6" ht="14.25">
      <c r="A1638" s="411"/>
      <c r="B1638" s="216"/>
      <c r="D1638" s="209" t="s">
        <v>3793</v>
      </c>
      <c r="E1638" s="500">
        <f>finCalcCh3Prod4Slot2VolSold*finCalcCh3Prod4Slot2LabourHrsReqPVolTot</f>
        <v>0</v>
      </c>
    </row>
    <row r="1639" spans="1:6" ht="14.25">
      <c r="A1639" s="411"/>
      <c r="B1639" s="216"/>
      <c r="D1639" s="276" t="s">
        <v>973</v>
      </c>
      <c r="E1639" s="220">
        <f>E1638*finCalcCh3Prod4Slot2LabourCostPerHour</f>
        <v>0</v>
      </c>
      <c r="F1639" s="276" t="s">
        <v>13011</v>
      </c>
    </row>
    <row r="1640" spans="1:6" ht="14.25">
      <c r="A1640" s="411"/>
      <c r="B1640" s="216"/>
      <c r="E1640" s="223"/>
    </row>
    <row r="1641" spans="1:6" ht="14.25">
      <c r="A1641" s="411"/>
      <c r="B1641" s="216"/>
      <c r="C1641" s="217" t="s">
        <v>513</v>
      </c>
      <c r="E1641" s="223"/>
    </row>
    <row r="1642" spans="1:6" ht="14.25">
      <c r="A1642" s="411"/>
      <c r="B1642" s="216"/>
      <c r="C1642" s="326"/>
      <c r="D1642" s="276" t="s">
        <v>570</v>
      </c>
      <c r="E1642" s="491">
        <f>CalcCh3Prod4Slot2ManufacturingCostPUnit</f>
        <v>0</v>
      </c>
      <c r="F1642" s="276"/>
    </row>
    <row r="1643" spans="1:6" ht="14.25">
      <c r="A1643" s="411"/>
      <c r="B1643" s="216"/>
      <c r="C1643" s="326"/>
      <c r="D1643" s="209" t="s">
        <v>514</v>
      </c>
      <c r="E1643" s="490">
        <f>E1642*finCalcCh3Prod4Slot2VolSold</f>
        <v>0</v>
      </c>
      <c r="F1643" s="276" t="s">
        <v>13012</v>
      </c>
    </row>
    <row r="1644" spans="1:6" ht="14.25">
      <c r="A1644" s="411"/>
      <c r="B1644" s="216"/>
      <c r="C1644" s="208"/>
    </row>
    <row r="1645" spans="1:6" ht="14.25">
      <c r="A1645" s="411"/>
      <c r="B1645" s="216"/>
      <c r="C1645" s="498" t="s">
        <v>398</v>
      </c>
    </row>
    <row r="1646" spans="1:6" ht="14.25">
      <c r="A1646" s="411"/>
      <c r="B1646" s="216"/>
      <c r="C1646" s="208" t="s">
        <v>398</v>
      </c>
      <c r="E1646" s="223"/>
    </row>
    <row r="1647" spans="1:6" ht="14.25">
      <c r="A1647" s="411"/>
      <c r="B1647" s="216"/>
      <c r="D1647" s="209" t="s">
        <v>450</v>
      </c>
      <c r="E1647" s="220">
        <f>CalcCh3Prod4Slot2Depreciation</f>
        <v>0</v>
      </c>
      <c r="F1647" s="276" t="s">
        <v>2026</v>
      </c>
    </row>
    <row r="1648" spans="1:6" ht="14.25">
      <c r="A1648" s="411"/>
      <c r="B1648" s="216"/>
    </row>
    <row r="1649" spans="1:6" ht="14.25">
      <c r="A1649" s="411"/>
      <c r="B1649" s="216"/>
      <c r="C1649" s="217" t="s">
        <v>13066</v>
      </c>
    </row>
    <row r="1650" spans="1:6" ht="14.25">
      <c r="A1650" s="411"/>
      <c r="B1650" s="216"/>
      <c r="D1650" s="209" t="s">
        <v>400</v>
      </c>
      <c r="E1650" s="495">
        <f>finCalcCh3Prod4Slot2MatExpPUnitTot</f>
        <v>0</v>
      </c>
    </row>
    <row r="1651" spans="1:6" ht="14.25">
      <c r="A1651" s="411"/>
      <c r="B1651" s="216"/>
      <c r="D1651" s="209" t="s">
        <v>399</v>
      </c>
      <c r="E1651" s="495">
        <f>finCalcCh3Prod4Slot2LabourCostPerHour*finCalcCh3Prod4Slot2LabourHrsReqPVolTot</f>
        <v>0</v>
      </c>
    </row>
    <row r="1652" spans="1:6" ht="14.25">
      <c r="A1652" s="411"/>
      <c r="B1652" s="216"/>
      <c r="D1652" s="209" t="s">
        <v>513</v>
      </c>
      <c r="E1652" s="495">
        <f>E1642</f>
        <v>0</v>
      </c>
    </row>
    <row r="1653" spans="1:6" ht="14.25">
      <c r="A1653" s="411"/>
      <c r="B1653" s="216"/>
      <c r="D1653" s="209" t="s">
        <v>398</v>
      </c>
      <c r="E1653" s="496">
        <f>CalcCh3Prod4Slot2DepreciationPUnit</f>
        <v>0</v>
      </c>
    </row>
    <row r="1654" spans="1:6" ht="14.25">
      <c r="A1654" s="411"/>
      <c r="B1654" s="216"/>
      <c r="C1654" s="208" t="s">
        <v>397</v>
      </c>
      <c r="E1654" s="490">
        <f>SUM(E1650:E1653)</f>
        <v>0</v>
      </c>
      <c r="F1654" s="276" t="s">
        <v>2027</v>
      </c>
    </row>
    <row r="1655" spans="1:6" ht="14.25">
      <c r="A1655" s="411"/>
      <c r="B1655" s="216"/>
    </row>
    <row r="1656" spans="1:6" ht="14.25">
      <c r="A1656" s="411"/>
      <c r="B1656" s="216"/>
      <c r="C1656" s="217" t="s">
        <v>519</v>
      </c>
    </row>
    <row r="1657" spans="1:6" ht="14.25">
      <c r="A1657" s="411"/>
      <c r="B1657" s="216"/>
      <c r="D1657" s="328" t="s">
        <v>1286</v>
      </c>
      <c r="E1657" s="492">
        <f>VLOOKUP(decCh3Prod4Slot2Pack,dataPackLogisticsCost,2,FALSE)</f>
        <v>0</v>
      </c>
      <c r="F1657" s="276" t="s">
        <v>2953</v>
      </c>
    </row>
    <row r="1658" spans="1:6" ht="14.25">
      <c r="A1658" s="411"/>
      <c r="B1658" s="216"/>
      <c r="D1658" s="328" t="s">
        <v>960</v>
      </c>
      <c r="E1658" s="501">
        <f>VLOOKUP(finCalcCh3Prod4Slot2ForcastAcc,dataForecastImpactLogisticsCost,2,TRUE)*finCalcCh3Prod4Slot2LogExpPerUnit</f>
        <v>0</v>
      </c>
      <c r="F1658" s="276" t="s">
        <v>4178</v>
      </c>
    </row>
    <row r="1659" spans="1:6" ht="14.25">
      <c r="A1659" s="411"/>
      <c r="B1659" s="216"/>
      <c r="D1659" s="328" t="s">
        <v>14030</v>
      </c>
      <c r="E1659" s="497">
        <f>finCalcCh3Prod4Slot2LogExpPerUnit*paramProd4LogExpSI</f>
        <v>0</v>
      </c>
      <c r="F1659" s="276" t="s">
        <v>4179</v>
      </c>
    </row>
    <row r="1660" spans="1:6" ht="14.25">
      <c r="A1660" s="411"/>
      <c r="B1660" s="216"/>
      <c r="D1660" s="276" t="s">
        <v>1692</v>
      </c>
      <c r="E1660" s="327">
        <f>SUM(E1657:E1659)</f>
        <v>0</v>
      </c>
      <c r="F1660" s="276" t="s">
        <v>13013</v>
      </c>
    </row>
    <row r="1661" spans="1:6" ht="14.25">
      <c r="A1661" s="411"/>
      <c r="B1661" s="216"/>
      <c r="D1661" s="276" t="s">
        <v>1284</v>
      </c>
      <c r="E1661" s="490">
        <f>finCalcCh3Prod4Slot2LogExpAdjPUnit*finCalcCh3Prod4Slot2VolSold</f>
        <v>0</v>
      </c>
      <c r="F1661" s="276" t="s">
        <v>2028</v>
      </c>
    </row>
    <row r="1662" spans="1:6" ht="14.25">
      <c r="A1662" s="411"/>
      <c r="B1662" s="216"/>
      <c r="D1662" s="276"/>
      <c r="E1662" s="276"/>
      <c r="F1662" s="276"/>
    </row>
    <row r="1663" spans="1:6" s="322" customFormat="1" ht="12.75" customHeight="1">
      <c r="A1663" s="411"/>
      <c r="B1663" s="412"/>
      <c r="C1663" s="854"/>
      <c r="D1663" s="854" t="s">
        <v>3860</v>
      </c>
      <c r="E1663" s="970"/>
      <c r="F1663" s="411"/>
    </row>
    <row r="1664" spans="1:6" s="322" customFormat="1" ht="13.15" customHeight="1">
      <c r="A1664" s="411"/>
      <c r="B1664" s="412"/>
      <c r="C1664" s="323"/>
      <c r="D1664" s="323"/>
      <c r="E1664" s="324"/>
    </row>
    <row r="1665" spans="1:6" ht="14.25">
      <c r="A1665" s="411"/>
      <c r="B1665" s="216"/>
      <c r="C1665" s="217" t="s">
        <v>295</v>
      </c>
    </row>
    <row r="1666" spans="1:6" ht="14.25">
      <c r="A1666" s="411"/>
      <c r="B1666" s="216"/>
      <c r="D1666" s="276" t="s">
        <v>577</v>
      </c>
      <c r="E1666" s="491">
        <f>IF(calcCh3Prod4Slot3Active=1,IF(xxSim0Tool1=1,calcCh3Prod4Slot3VolForecastSlot,MMCh3Prod4Seg1Slot3UnitsSold+MMCh3Prod4Seg2Slot3UnitsSold+MMCh3Prod4Seg3Slot3UnitsSold+MMCh3Prod4Seg4Slot3UnitsSold),0)</f>
        <v>0</v>
      </c>
      <c r="F1666" s="276" t="s">
        <v>2029</v>
      </c>
    </row>
    <row r="1667" spans="1:6" ht="14.25">
      <c r="A1667" s="411"/>
      <c r="B1667" s="216"/>
      <c r="D1667" s="276" t="s">
        <v>1762</v>
      </c>
      <c r="E1667" s="399">
        <f>IF(VLOOKUP(decCh3Prod4Slot3Pack,dataPackSize,2,FALSE)=0,0,finCalcCh3Prod4Slot3VolSold/VLOOKUP(decCh3Prod4Slot3Pack,dataPackSize,2,FALSE))</f>
        <v>0</v>
      </c>
      <c r="F1667" s="276" t="s">
        <v>2030</v>
      </c>
    </row>
    <row r="1668" spans="1:6" ht="14.25">
      <c r="A1668" s="411"/>
      <c r="B1668" s="216"/>
      <c r="D1668" s="276" t="s">
        <v>966</v>
      </c>
      <c r="E1668" s="654">
        <f>IF(calcCh3Prod4Slot3VolForecastSlot=0,100%,finCalcCh3Prod4Slot3VolSold/calcCh3Prod4Slot3VolForecastSlot)</f>
        <v>1</v>
      </c>
      <c r="F1668" s="276" t="s">
        <v>2031</v>
      </c>
    </row>
    <row r="1669" spans="1:6" ht="14.25">
      <c r="A1669" s="411"/>
      <c r="B1669" s="216"/>
      <c r="E1669" s="489"/>
    </row>
    <row r="1670" spans="1:6" ht="14.25">
      <c r="A1670" s="411"/>
      <c r="B1670" s="216"/>
      <c r="C1670" s="217" t="s">
        <v>3789</v>
      </c>
      <c r="E1670" s="489"/>
    </row>
    <row r="1671" spans="1:6" ht="14.25">
      <c r="A1671" s="411"/>
      <c r="B1671" s="216"/>
      <c r="C1671" s="217" t="s">
        <v>400</v>
      </c>
    </row>
    <row r="1672" spans="1:6" ht="14.25">
      <c r="A1672" s="411"/>
      <c r="B1672" s="216"/>
      <c r="D1672" s="255" t="s">
        <v>526</v>
      </c>
      <c r="E1672" s="492">
        <f>VLOOKUP(decCh3Prod4Slot3Pack,dataPackMaterialExp,2,FALSE)</f>
        <v>0</v>
      </c>
      <c r="F1672" s="276" t="s">
        <v>4180</v>
      </c>
    </row>
    <row r="1673" spans="1:6" ht="14.25">
      <c r="A1673" s="411"/>
      <c r="B1673" s="216"/>
      <c r="D1673" s="328" t="s">
        <v>960</v>
      </c>
      <c r="E1673" s="502">
        <f>VLOOKUP(finCalcCh3Prod4Slot3ForcastAcc,dataForecastImpactMatCost,2,TRUE)*E1672</f>
        <v>0</v>
      </c>
      <c r="F1673" s="276" t="s">
        <v>4181</v>
      </c>
    </row>
    <row r="1674" spans="1:6" ht="14.25">
      <c r="A1674" s="411"/>
      <c r="B1674" s="216"/>
      <c r="D1674" s="328" t="s">
        <v>14030</v>
      </c>
      <c r="E1674" s="493">
        <f>paramProd4MatExpSI*finCalcCh3Prod4Slot3MatExpPerUnitBase</f>
        <v>0</v>
      </c>
      <c r="F1674" s="276" t="s">
        <v>4182</v>
      </c>
    </row>
    <row r="1675" spans="1:6" ht="14.25">
      <c r="A1675" s="411"/>
      <c r="B1675" s="216"/>
      <c r="D1675" s="209" t="s">
        <v>518</v>
      </c>
      <c r="E1675" s="327">
        <f>SUM(E1672:E1674)</f>
        <v>0</v>
      </c>
      <c r="F1675" s="276" t="s">
        <v>4183</v>
      </c>
    </row>
    <row r="1676" spans="1:6" ht="14.25">
      <c r="A1676" s="411"/>
      <c r="B1676" s="216"/>
      <c r="D1676" s="209" t="s">
        <v>401</v>
      </c>
      <c r="E1676" s="220">
        <f>finCalcCh3Prod4Slot3MatExpPUnitTot*finCalcCh3Prod4Slot3VolSold</f>
        <v>0</v>
      </c>
      <c r="F1676" s="276" t="s">
        <v>13014</v>
      </c>
    </row>
    <row r="1677" spans="1:6" ht="14.25">
      <c r="A1677" s="411"/>
      <c r="B1677" s="216"/>
      <c r="C1677" s="208"/>
      <c r="F1677" s="276"/>
    </row>
    <row r="1678" spans="1:6" ht="14.25">
      <c r="A1678" s="411"/>
      <c r="B1678" s="216"/>
      <c r="C1678" s="217" t="s">
        <v>399</v>
      </c>
      <c r="E1678" s="224"/>
    </row>
    <row r="1679" spans="1:6" ht="14.25">
      <c r="A1679" s="411"/>
      <c r="B1679" s="216"/>
      <c r="D1679" s="328" t="s">
        <v>969</v>
      </c>
      <c r="E1679" s="510">
        <f>VLOOKUP(decCh3Prod4Slot3Pack,dataPackLabourHrs,2,FALSE)</f>
        <v>0</v>
      </c>
      <c r="F1679" s="276" t="s">
        <v>4184</v>
      </c>
    </row>
    <row r="1680" spans="1:6" ht="14.25">
      <c r="A1680" s="411"/>
      <c r="B1680" s="216"/>
      <c r="D1680" s="328" t="s">
        <v>960</v>
      </c>
      <c r="E1680" s="510">
        <f>VLOOKUP(finCalcCh3Prod4Slot3ForcastAcc,dataForecastImpactLabCost,2,TRUE)*finCalcCh3Prod4Slot3LabourHrsReqPVolBase</f>
        <v>0</v>
      </c>
      <c r="F1680" s="276" t="s">
        <v>4185</v>
      </c>
    </row>
    <row r="1681" spans="1:6" ht="14.25">
      <c r="A1681" s="411"/>
      <c r="B1681" s="216"/>
      <c r="D1681" s="328" t="s">
        <v>14030</v>
      </c>
      <c r="E1681" s="510">
        <f>paramProd4LabourExpSI*finCalcCh3Prod4Slot3LabourHrsReqPVolBase</f>
        <v>0</v>
      </c>
      <c r="F1681" s="276" t="s">
        <v>4186</v>
      </c>
    </row>
    <row r="1682" spans="1:6" ht="14.25">
      <c r="A1682" s="411"/>
      <c r="B1682" s="216"/>
      <c r="D1682" s="209" t="s">
        <v>3795</v>
      </c>
      <c r="E1682" s="511">
        <f>SUM(E1679:E1681)</f>
        <v>0</v>
      </c>
      <c r="F1682" s="276" t="s">
        <v>4187</v>
      </c>
    </row>
    <row r="1683" spans="1:6" ht="14.25">
      <c r="A1683" s="411"/>
      <c r="B1683" s="216"/>
      <c r="D1683" s="328"/>
      <c r="E1683" s="499"/>
      <c r="F1683" s="276"/>
    </row>
    <row r="1684" spans="1:6" ht="14.25">
      <c r="A1684" s="411"/>
      <c r="B1684" s="216"/>
      <c r="D1684" s="209" t="s">
        <v>974</v>
      </c>
      <c r="E1684" s="494">
        <f>paramLabourCostPerHr</f>
        <v>5</v>
      </c>
      <c r="F1684" s="276" t="s">
        <v>4188</v>
      </c>
    </row>
    <row r="1685" spans="1:6" ht="14.25">
      <c r="A1685" s="411"/>
      <c r="B1685" s="216"/>
      <c r="D1685" s="209" t="s">
        <v>3793</v>
      </c>
      <c r="E1685" s="500">
        <f>finCalcCh3Prod4Slot3VolSold*finCalcCh3Prod4Slot3LabourHrsReqPVolTot</f>
        <v>0</v>
      </c>
    </row>
    <row r="1686" spans="1:6" ht="14.25">
      <c r="A1686" s="411"/>
      <c r="B1686" s="216"/>
      <c r="D1686" s="276" t="s">
        <v>973</v>
      </c>
      <c r="E1686" s="220">
        <f>E1685*finCalcCh3Prod4Slot3LabourCostPerHour</f>
        <v>0</v>
      </c>
      <c r="F1686" s="276" t="s">
        <v>13015</v>
      </c>
    </row>
    <row r="1687" spans="1:6" ht="14.25">
      <c r="A1687" s="411"/>
      <c r="B1687" s="216"/>
      <c r="E1687" s="223"/>
    </row>
    <row r="1688" spans="1:6" ht="14.25">
      <c r="A1688" s="411"/>
      <c r="B1688" s="216"/>
      <c r="C1688" s="217" t="s">
        <v>513</v>
      </c>
      <c r="E1688" s="223"/>
    </row>
    <row r="1689" spans="1:6" ht="14.25">
      <c r="A1689" s="411"/>
      <c r="B1689" s="216"/>
      <c r="C1689" s="326"/>
      <c r="D1689" s="276" t="s">
        <v>570</v>
      </c>
      <c r="E1689" s="491">
        <f>CalcCh3Prod4Slot3ManufacturingCostPUnit</f>
        <v>0</v>
      </c>
      <c r="F1689" s="276"/>
    </row>
    <row r="1690" spans="1:6" ht="14.25">
      <c r="A1690" s="411"/>
      <c r="B1690" s="216"/>
      <c r="C1690" s="326"/>
      <c r="D1690" s="209" t="s">
        <v>514</v>
      </c>
      <c r="E1690" s="490">
        <f>E1689*finCalcCh3Prod4Slot3VolSold</f>
        <v>0</v>
      </c>
      <c r="F1690" s="276" t="s">
        <v>13016</v>
      </c>
    </row>
    <row r="1691" spans="1:6" ht="14.25">
      <c r="A1691" s="411"/>
      <c r="B1691" s="216"/>
      <c r="C1691" s="208"/>
    </row>
    <row r="1692" spans="1:6" ht="14.25">
      <c r="A1692" s="411"/>
      <c r="B1692" s="216"/>
      <c r="C1692" s="498" t="s">
        <v>398</v>
      </c>
    </row>
    <row r="1693" spans="1:6" ht="14.25">
      <c r="A1693" s="411"/>
      <c r="B1693" s="216"/>
      <c r="C1693" s="208" t="s">
        <v>398</v>
      </c>
      <c r="E1693" s="223"/>
    </row>
    <row r="1694" spans="1:6" ht="14.25">
      <c r="A1694" s="411"/>
      <c r="B1694" s="216"/>
      <c r="D1694" s="209" t="s">
        <v>450</v>
      </c>
      <c r="E1694" s="220">
        <f>CalcCh3Prod4Slot3Depreciation</f>
        <v>0</v>
      </c>
      <c r="F1694" s="276" t="s">
        <v>2032</v>
      </c>
    </row>
    <row r="1695" spans="1:6" ht="14.25">
      <c r="A1695" s="411"/>
      <c r="B1695" s="216"/>
    </row>
    <row r="1696" spans="1:6" ht="14.25">
      <c r="A1696" s="411"/>
      <c r="B1696" s="216"/>
      <c r="C1696" s="217" t="s">
        <v>13066</v>
      </c>
    </row>
    <row r="1697" spans="1:6" ht="14.25">
      <c r="A1697" s="411"/>
      <c r="B1697" s="216"/>
      <c r="D1697" s="209" t="s">
        <v>400</v>
      </c>
      <c r="E1697" s="495">
        <f>finCalcCh3Prod4Slot3MatExpPUnitTot</f>
        <v>0</v>
      </c>
    </row>
    <row r="1698" spans="1:6" ht="14.25">
      <c r="A1698" s="411"/>
      <c r="B1698" s="216"/>
      <c r="D1698" s="209" t="s">
        <v>399</v>
      </c>
      <c r="E1698" s="495">
        <f>finCalcCh3Prod4Slot3LabourCostPerHour*finCalcCh3Prod4Slot3LabourHrsReqPVolTot</f>
        <v>0</v>
      </c>
    </row>
    <row r="1699" spans="1:6" ht="14.25">
      <c r="A1699" s="411"/>
      <c r="B1699" s="216"/>
      <c r="D1699" s="209" t="s">
        <v>513</v>
      </c>
      <c r="E1699" s="495">
        <f>E1689</f>
        <v>0</v>
      </c>
    </row>
    <row r="1700" spans="1:6" ht="14.25">
      <c r="A1700" s="411"/>
      <c r="B1700" s="216"/>
      <c r="D1700" s="209" t="s">
        <v>398</v>
      </c>
      <c r="E1700" s="496">
        <f>CalcCh3Prod4Slot3DepreciationPUnit</f>
        <v>0</v>
      </c>
    </row>
    <row r="1701" spans="1:6" ht="14.25">
      <c r="A1701" s="411"/>
      <c r="B1701" s="216"/>
      <c r="C1701" s="208" t="s">
        <v>397</v>
      </c>
      <c r="E1701" s="490">
        <f>SUM(E1697:E1700)</f>
        <v>0</v>
      </c>
      <c r="F1701" s="276" t="s">
        <v>2033</v>
      </c>
    </row>
    <row r="1702" spans="1:6" ht="14.25">
      <c r="A1702" s="411"/>
      <c r="B1702" s="216"/>
    </row>
    <row r="1703" spans="1:6" ht="14.25">
      <c r="A1703" s="411"/>
      <c r="B1703" s="216"/>
      <c r="C1703" s="217" t="s">
        <v>519</v>
      </c>
    </row>
    <row r="1704" spans="1:6" ht="14.25">
      <c r="A1704" s="411"/>
      <c r="B1704" s="216"/>
      <c r="D1704" s="328" t="s">
        <v>1286</v>
      </c>
      <c r="E1704" s="492">
        <f>VLOOKUP(decCh3Prod4Slot3Pack,dataPackLogisticsCost,2,FALSE)</f>
        <v>0</v>
      </c>
      <c r="F1704" s="276" t="s">
        <v>2954</v>
      </c>
    </row>
    <row r="1705" spans="1:6" ht="14.25">
      <c r="A1705" s="411"/>
      <c r="B1705" s="216"/>
      <c r="D1705" s="328" t="s">
        <v>960</v>
      </c>
      <c r="E1705" s="501">
        <f>VLOOKUP(finCalcCh3Prod4Slot3ForcastAcc,dataForecastImpactLogisticsCost,2,TRUE)*finCalcCh3Prod4Slot3LogExpPerUnit</f>
        <v>0</v>
      </c>
      <c r="F1705" s="276" t="s">
        <v>4189</v>
      </c>
    </row>
    <row r="1706" spans="1:6" ht="14.25">
      <c r="A1706" s="411"/>
      <c r="B1706" s="216"/>
      <c r="D1706" s="328" t="s">
        <v>14030</v>
      </c>
      <c r="E1706" s="497">
        <f>finCalcCh3Prod4Slot3LogExpPerUnit*paramProd4LogExpSI</f>
        <v>0</v>
      </c>
      <c r="F1706" s="276" t="s">
        <v>4190</v>
      </c>
    </row>
    <row r="1707" spans="1:6" ht="14.25">
      <c r="A1707" s="411"/>
      <c r="B1707" s="216"/>
      <c r="D1707" s="276" t="s">
        <v>1692</v>
      </c>
      <c r="E1707" s="327">
        <f>SUM(E1704:E1706)</f>
        <v>0</v>
      </c>
      <c r="F1707" s="276" t="s">
        <v>13017</v>
      </c>
    </row>
    <row r="1708" spans="1:6" ht="14.25">
      <c r="A1708" s="411"/>
      <c r="B1708" s="216"/>
      <c r="D1708" s="276" t="s">
        <v>1284</v>
      </c>
      <c r="E1708" s="490">
        <f>finCalcCh3Prod4Slot3LogExpAdjPUnit*finCalcCh3Prod4Slot3VolSold</f>
        <v>0</v>
      </c>
      <c r="F1708" s="276" t="s">
        <v>2034</v>
      </c>
    </row>
    <row r="1709" spans="1:6" ht="14.25">
      <c r="A1709" s="411"/>
      <c r="B1709" s="216"/>
      <c r="D1709" s="276"/>
      <c r="E1709" s="276"/>
      <c r="F1709" s="276"/>
    </row>
    <row r="1710" spans="1:6" s="322" customFormat="1" ht="24" customHeight="1">
      <c r="A1710" s="409"/>
      <c r="B1710" s="971" t="s">
        <v>246</v>
      </c>
      <c r="C1710" s="410"/>
      <c r="D1710" s="410"/>
      <c r="E1710" s="972"/>
      <c r="F1710" s="409"/>
    </row>
    <row r="1711" spans="1:6" s="322" customFormat="1" ht="13.15" customHeight="1">
      <c r="A1711" s="409"/>
      <c r="B1711" s="410"/>
      <c r="C1711" s="853" t="s">
        <v>12868</v>
      </c>
      <c r="D1711" s="853"/>
      <c r="E1711" s="972"/>
      <c r="F1711" s="409"/>
    </row>
    <row r="1712" spans="1:6" s="322" customFormat="1" ht="13.15" customHeight="1">
      <c r="A1712" s="409"/>
      <c r="B1712" s="410"/>
      <c r="C1712" s="853"/>
      <c r="D1712" s="853" t="s">
        <v>3859</v>
      </c>
      <c r="E1712" s="972"/>
      <c r="F1712" s="409"/>
    </row>
    <row r="1713" spans="1:6" s="322" customFormat="1" ht="13.15" customHeight="1">
      <c r="A1713" s="409"/>
      <c r="B1713" s="410"/>
      <c r="C1713" s="208"/>
      <c r="D1713" s="208"/>
      <c r="E1713" s="208"/>
      <c r="F1713" s="208"/>
    </row>
    <row r="1714" spans="1:6" ht="14.25">
      <c r="A1714" s="409"/>
      <c r="B1714" s="410"/>
      <c r="C1714" s="217" t="s">
        <v>295</v>
      </c>
    </row>
    <row r="1715" spans="1:6" ht="14.25">
      <c r="A1715" s="409"/>
      <c r="B1715" s="410"/>
      <c r="D1715" s="276" t="s">
        <v>577</v>
      </c>
      <c r="E1715" s="491">
        <f>IF(calcCh4Prod1Slot1Active=1,IF(xxSim0Tool1=1,calcCh4Prod1Slot1VolForecastSlot,MMCh4Prod1Seg1Slot1UnitsSold+MMCh4Prod1Seg2Slot1UnitsSold+MMCh4Prod1Seg3Slot1UnitsSold+MMCh4Prod1Seg4Slot1UnitsSold),0)</f>
        <v>50706750</v>
      </c>
      <c r="F1715" s="276" t="s">
        <v>2035</v>
      </c>
    </row>
    <row r="1716" spans="1:6" ht="14.25">
      <c r="A1716" s="409"/>
      <c r="B1716" s="410"/>
      <c r="D1716" s="276" t="s">
        <v>1762</v>
      </c>
      <c r="E1716" s="399">
        <f>IF(VLOOKUP(decCh4Prod1Slot1Pack,dataPackSize,2,FALSE)=0,0,finCalcCh4Prod1Slot1VolSold/VLOOKUP(decCh4Prod1Slot1Pack,dataPackSize,2,FALSE))</f>
        <v>2028270</v>
      </c>
      <c r="F1716" s="276" t="s">
        <v>2036</v>
      </c>
    </row>
    <row r="1717" spans="1:6" ht="14.25">
      <c r="A1717" s="409"/>
      <c r="B1717" s="410"/>
      <c r="D1717" s="276" t="s">
        <v>966</v>
      </c>
      <c r="E1717" s="654">
        <f>IF(calcCh4Prod1Slot1VolForecastSlot=0,100%,finCalcCh4Prod1Slot1VolSold/calcCh4Prod1Slot1VolForecastSlot)</f>
        <v>1</v>
      </c>
      <c r="F1717" s="276" t="s">
        <v>2037</v>
      </c>
    </row>
    <row r="1718" spans="1:6" ht="14.25">
      <c r="A1718" s="409"/>
      <c r="B1718" s="410"/>
      <c r="E1718" s="489"/>
    </row>
    <row r="1719" spans="1:6" ht="14.25">
      <c r="A1719" s="409"/>
      <c r="B1719" s="410"/>
      <c r="C1719" s="217" t="s">
        <v>3789</v>
      </c>
      <c r="E1719" s="489"/>
    </row>
    <row r="1720" spans="1:6" ht="14.25">
      <c r="A1720" s="409"/>
      <c r="B1720" s="410"/>
      <c r="C1720" s="217" t="s">
        <v>400</v>
      </c>
    </row>
    <row r="1721" spans="1:6" ht="14.25">
      <c r="A1721" s="409"/>
      <c r="B1721" s="410"/>
      <c r="D1721" s="255" t="s">
        <v>526</v>
      </c>
      <c r="E1721" s="492">
        <f>VLOOKUP(decCh4Prod1Slot1Pack,dataPackMaterialExp,2,FALSE)</f>
        <v>1.3738032000000004</v>
      </c>
      <c r="F1721" s="276" t="s">
        <v>4191</v>
      </c>
    </row>
    <row r="1722" spans="1:6" ht="14.25">
      <c r="A1722" s="409"/>
      <c r="B1722" s="410"/>
      <c r="D1722" s="328" t="s">
        <v>960</v>
      </c>
      <c r="E1722" s="502">
        <f>VLOOKUP(finCalcCh4Prod1Slot1ForcastAcc,dataForecastImpactMatCost,2,TRUE)*E1721</f>
        <v>0</v>
      </c>
      <c r="F1722" s="276" t="s">
        <v>4192</v>
      </c>
    </row>
    <row r="1723" spans="1:6" ht="14.25">
      <c r="A1723" s="409"/>
      <c r="B1723" s="410"/>
      <c r="D1723" s="328" t="s">
        <v>14030</v>
      </c>
      <c r="E1723" s="493">
        <f>paramProd1MatExpSI*finCalcCh4Prod1Slot1MatExpPerUnitBase</f>
        <v>0</v>
      </c>
      <c r="F1723" s="276" t="s">
        <v>4193</v>
      </c>
    </row>
    <row r="1724" spans="1:6" ht="14.25">
      <c r="A1724" s="409"/>
      <c r="B1724" s="410"/>
      <c r="D1724" s="209" t="s">
        <v>518</v>
      </c>
      <c r="E1724" s="327">
        <f>SUM(E1721:E1723)</f>
        <v>1.3738032000000004</v>
      </c>
      <c r="F1724" s="276" t="s">
        <v>4194</v>
      </c>
    </row>
    <row r="1725" spans="1:6" ht="14.25">
      <c r="A1725" s="409"/>
      <c r="B1725" s="410"/>
      <c r="D1725" s="209" t="s">
        <v>401</v>
      </c>
      <c r="E1725" s="220">
        <f>finCalcCh4Prod1Slot1MatExpPUnitTot*finCalcCh4Prod1Slot1VolSold</f>
        <v>69661095.411600024</v>
      </c>
      <c r="F1725" s="276" t="s">
        <v>13018</v>
      </c>
    </row>
    <row r="1726" spans="1:6" ht="14.25">
      <c r="A1726" s="409"/>
      <c r="B1726" s="410"/>
      <c r="C1726" s="208"/>
      <c r="F1726" s="276"/>
    </row>
    <row r="1727" spans="1:6" ht="14.25">
      <c r="A1727" s="409"/>
      <c r="B1727" s="410"/>
      <c r="C1727" s="217" t="s">
        <v>399</v>
      </c>
      <c r="E1727" s="224"/>
    </row>
    <row r="1728" spans="1:6" ht="14.25">
      <c r="A1728" s="409"/>
      <c r="B1728" s="410"/>
      <c r="D1728" s="328" t="s">
        <v>969</v>
      </c>
      <c r="E1728" s="510">
        <f>VLOOKUP(decCh4Prod1Slot1Pack,dataPackLabourHrs,2,FALSE)</f>
        <v>4.0405976470588245E-2</v>
      </c>
      <c r="F1728" s="276" t="s">
        <v>4195</v>
      </c>
    </row>
    <row r="1729" spans="1:6" ht="14.25">
      <c r="A1729" s="409"/>
      <c r="B1729" s="410"/>
      <c r="D1729" s="328" t="s">
        <v>960</v>
      </c>
      <c r="E1729" s="510">
        <f>VLOOKUP(finCalcCh4Prod1Slot1ForcastAcc,dataForecastImpactLabCost,2,TRUE)*finCalcCh4Prod1Slot1LabourHrsReqPVolBase</f>
        <v>0</v>
      </c>
      <c r="F1729" s="276" t="s">
        <v>4196</v>
      </c>
    </row>
    <row r="1730" spans="1:6" ht="14.25">
      <c r="A1730" s="409"/>
      <c r="B1730" s="410"/>
      <c r="D1730" s="328" t="s">
        <v>14030</v>
      </c>
      <c r="E1730" s="510">
        <f>paramProd1LabourExpSI*finCalcCh4Prod1Slot1LabourHrsReqPVolBase</f>
        <v>0</v>
      </c>
      <c r="F1730" s="276" t="s">
        <v>4197</v>
      </c>
    </row>
    <row r="1731" spans="1:6" ht="14.25">
      <c r="A1731" s="409"/>
      <c r="B1731" s="410"/>
      <c r="D1731" s="209" t="s">
        <v>3795</v>
      </c>
      <c r="E1731" s="511">
        <f>SUM(E1728:E1730)</f>
        <v>4.0405976470588245E-2</v>
      </c>
      <c r="F1731" s="276" t="s">
        <v>4198</v>
      </c>
    </row>
    <row r="1732" spans="1:6" ht="14.25">
      <c r="A1732" s="409"/>
      <c r="B1732" s="410"/>
      <c r="D1732" s="328"/>
      <c r="E1732" s="499"/>
      <c r="F1732" s="276"/>
    </row>
    <row r="1733" spans="1:6" ht="14.25">
      <c r="A1733" s="409"/>
      <c r="B1733" s="410"/>
      <c r="D1733" s="209" t="s">
        <v>974</v>
      </c>
      <c r="E1733" s="494">
        <f>paramLabourCostPerHr</f>
        <v>5</v>
      </c>
      <c r="F1733" s="276" t="s">
        <v>4199</v>
      </c>
    </row>
    <row r="1734" spans="1:6" ht="14.25">
      <c r="A1734" s="409"/>
      <c r="B1734" s="410"/>
      <c r="D1734" s="209" t="s">
        <v>3793</v>
      </c>
      <c r="E1734" s="500">
        <f>finCalcCh4Prod1Slot1VolSold*finCalcCh4Prod1Slot1LabourHrsReqPVolTot</f>
        <v>2048855.7474000005</v>
      </c>
    </row>
    <row r="1735" spans="1:6" ht="14.25">
      <c r="A1735" s="409"/>
      <c r="B1735" s="410"/>
      <c r="D1735" s="276" t="s">
        <v>973</v>
      </c>
      <c r="E1735" s="220">
        <f>E1734*finCalcCh4Prod1Slot1LabourCostPerHour</f>
        <v>10244278.737000002</v>
      </c>
      <c r="F1735" s="276" t="s">
        <v>13019</v>
      </c>
    </row>
    <row r="1736" spans="1:6" ht="14.25">
      <c r="A1736" s="409"/>
      <c r="B1736" s="410"/>
      <c r="E1736" s="223"/>
    </row>
    <row r="1737" spans="1:6" ht="14.25">
      <c r="A1737" s="409"/>
      <c r="B1737" s="410"/>
      <c r="C1737" s="217" t="s">
        <v>513</v>
      </c>
      <c r="E1737" s="223"/>
    </row>
    <row r="1738" spans="1:6" ht="14.25">
      <c r="A1738" s="409"/>
      <c r="B1738" s="410"/>
      <c r="C1738" s="326"/>
      <c r="D1738" s="276" t="s">
        <v>570</v>
      </c>
      <c r="E1738" s="491">
        <f>CalcCh4Prod1Slot1ManufacturingCostPUnit</f>
        <v>0.26762400000000003</v>
      </c>
      <c r="F1738" s="276"/>
    </row>
    <row r="1739" spans="1:6" ht="14.25">
      <c r="A1739" s="409"/>
      <c r="B1739" s="410"/>
      <c r="C1739" s="326"/>
      <c r="D1739" s="209" t="s">
        <v>514</v>
      </c>
      <c r="E1739" s="490">
        <f>E1738*finCalcCh4Prod1Slot1VolSold</f>
        <v>13570343.262000002</v>
      </c>
      <c r="F1739" s="276" t="s">
        <v>13020</v>
      </c>
    </row>
    <row r="1740" spans="1:6" ht="14.25">
      <c r="A1740" s="409"/>
      <c r="B1740" s="410"/>
      <c r="C1740" s="208"/>
    </row>
    <row r="1741" spans="1:6" ht="14.25">
      <c r="A1741" s="409"/>
      <c r="B1741" s="410"/>
      <c r="C1741" s="498" t="s">
        <v>398</v>
      </c>
    </row>
    <row r="1742" spans="1:6" ht="14.25">
      <c r="A1742" s="409"/>
      <c r="B1742" s="410"/>
      <c r="C1742" s="208" t="s">
        <v>398</v>
      </c>
      <c r="E1742" s="223"/>
    </row>
    <row r="1743" spans="1:6" ht="14.25">
      <c r="A1743" s="409"/>
      <c r="B1743" s="410"/>
      <c r="D1743" s="209" t="s">
        <v>450</v>
      </c>
      <c r="E1743" s="220">
        <f>CalcCh4Prod1Slot1Depreciation</f>
        <v>6039624.6283877734</v>
      </c>
      <c r="F1743" s="276" t="s">
        <v>2038</v>
      </c>
    </row>
    <row r="1744" spans="1:6" ht="14.25">
      <c r="A1744" s="409"/>
      <c r="B1744" s="410"/>
    </row>
    <row r="1745" spans="1:6" ht="14.25">
      <c r="A1745" s="409"/>
      <c r="B1745" s="410"/>
      <c r="C1745" s="217" t="s">
        <v>13066</v>
      </c>
    </row>
    <row r="1746" spans="1:6" ht="14.25">
      <c r="A1746" s="409"/>
      <c r="B1746" s="410"/>
      <c r="D1746" s="209" t="s">
        <v>400</v>
      </c>
      <c r="E1746" s="495">
        <f>finCalcCh4Prod1Slot1MatExpPUnitTot</f>
        <v>1.3738032000000004</v>
      </c>
    </row>
    <row r="1747" spans="1:6" ht="14.25">
      <c r="A1747" s="409"/>
      <c r="B1747" s="410"/>
      <c r="D1747" s="209" t="s">
        <v>399</v>
      </c>
      <c r="E1747" s="495">
        <f>finCalcCh4Prod1Slot1LabourCostPerHour*finCalcCh4Prod1Slot1LabourHrsReqPVolTot</f>
        <v>0.20202988235294123</v>
      </c>
    </row>
    <row r="1748" spans="1:6" ht="14.25">
      <c r="A1748" s="409"/>
      <c r="B1748" s="410"/>
      <c r="D1748" s="209" t="s">
        <v>513</v>
      </c>
      <c r="E1748" s="495">
        <f>E1738</f>
        <v>0.26762400000000003</v>
      </c>
    </row>
    <row r="1749" spans="1:6" ht="14.25">
      <c r="A1749" s="409"/>
      <c r="B1749" s="410"/>
      <c r="D1749" s="209" t="s">
        <v>398</v>
      </c>
      <c r="E1749" s="496">
        <f>CalcCh4Prod1Slot1DepreciationPUnit</f>
        <v>0.11910888842980025</v>
      </c>
    </row>
    <row r="1750" spans="1:6" ht="14.25">
      <c r="A1750" s="409"/>
      <c r="B1750" s="410"/>
      <c r="C1750" s="208" t="s">
        <v>397</v>
      </c>
      <c r="E1750" s="490">
        <f>SUM(E1746:E1749)</f>
        <v>1.9625659707827419</v>
      </c>
      <c r="F1750" s="276" t="s">
        <v>2039</v>
      </c>
    </row>
    <row r="1751" spans="1:6" ht="14.25">
      <c r="A1751" s="409"/>
      <c r="B1751" s="410"/>
    </row>
    <row r="1752" spans="1:6" ht="14.25">
      <c r="A1752" s="409"/>
      <c r="B1752" s="410"/>
      <c r="C1752" s="217" t="s">
        <v>519</v>
      </c>
    </row>
    <row r="1753" spans="1:6" ht="14.25">
      <c r="A1753" s="409"/>
      <c r="B1753" s="410"/>
      <c r="D1753" s="328" t="s">
        <v>1286</v>
      </c>
      <c r="E1753" s="492">
        <f>VLOOKUP(decCh4Prod1Slot1Pack,dataPackLogisticsCost,2,FALSE)</f>
        <v>0.23343157894736849</v>
      </c>
      <c r="F1753" s="276" t="s">
        <v>2955</v>
      </c>
    </row>
    <row r="1754" spans="1:6" ht="14.25">
      <c r="A1754" s="409"/>
      <c r="B1754" s="410"/>
      <c r="D1754" s="328" t="s">
        <v>960</v>
      </c>
      <c r="E1754" s="501">
        <f>VLOOKUP(finCalcCh4Prod1Slot1ForcastAcc,dataForecastImpactLogisticsCost,2,TRUE)*finCalcCh4Prod1Slot1LogExpPerUnit</f>
        <v>0</v>
      </c>
      <c r="F1754" s="276" t="s">
        <v>4200</v>
      </c>
    </row>
    <row r="1755" spans="1:6" ht="14.25">
      <c r="A1755" s="409"/>
      <c r="B1755" s="410"/>
      <c r="D1755" s="328" t="s">
        <v>14030</v>
      </c>
      <c r="E1755" s="497">
        <f>finCalcCh4Prod1Slot1LogExpPerUnit*paramProd1LogExpSI</f>
        <v>0</v>
      </c>
      <c r="F1755" s="276" t="s">
        <v>4201</v>
      </c>
    </row>
    <row r="1756" spans="1:6" ht="14.25">
      <c r="A1756" s="409"/>
      <c r="B1756" s="410"/>
      <c r="D1756" s="276" t="s">
        <v>1692</v>
      </c>
      <c r="E1756" s="327">
        <f>SUM(E1753:E1755)</f>
        <v>0.23343157894736849</v>
      </c>
      <c r="F1756" s="276" t="s">
        <v>13021</v>
      </c>
    </row>
    <row r="1757" spans="1:6" ht="14.25">
      <c r="A1757" s="409"/>
      <c r="B1757" s="410"/>
      <c r="D1757" s="276" t="s">
        <v>1284</v>
      </c>
      <c r="E1757" s="490">
        <f>finCalcCh4Prod1Slot1LogExpAdjPUnit*finCalcCh4Prod1Slot1VolSold</f>
        <v>11836556.715789476</v>
      </c>
      <c r="F1757" s="276" t="s">
        <v>2040</v>
      </c>
    </row>
    <row r="1758" spans="1:6" ht="14.25">
      <c r="A1758" s="409"/>
      <c r="B1758" s="410"/>
      <c r="D1758" s="276"/>
      <c r="E1758" s="276"/>
      <c r="F1758" s="276"/>
    </row>
    <row r="1759" spans="1:6" s="322" customFormat="1" ht="12.75" customHeight="1">
      <c r="A1759" s="409"/>
      <c r="B1759" s="410"/>
      <c r="C1759" s="853"/>
      <c r="D1759" s="853" t="s">
        <v>3858</v>
      </c>
      <c r="E1759" s="972"/>
      <c r="F1759" s="409"/>
    </row>
    <row r="1760" spans="1:6" s="322" customFormat="1" ht="13.15" customHeight="1">
      <c r="A1760" s="409"/>
      <c r="B1760" s="410"/>
      <c r="C1760" s="323"/>
      <c r="D1760" s="323"/>
      <c r="E1760" s="324"/>
    </row>
    <row r="1761" spans="1:6" ht="14.25">
      <c r="A1761" s="409"/>
      <c r="B1761" s="410"/>
      <c r="C1761" s="217" t="s">
        <v>295</v>
      </c>
    </row>
    <row r="1762" spans="1:6" ht="14.25">
      <c r="A1762" s="409"/>
      <c r="B1762" s="410"/>
      <c r="D1762" s="276" t="s">
        <v>577</v>
      </c>
      <c r="E1762" s="491">
        <f>IF(calcCh4Prod1Slot2Active=1,IF(xxSim0Tool1=1,calcCh4Prod1Slot2VolForecastSlot,MMCh4Prod1Seg1Slot2UnitsSold+MMCh4Prod1Seg2Slot2UnitsSold+MMCh4Prod1Seg3Slot2UnitsSold+MMCh4Prod1Seg4Slot2UnitsSold),0)</f>
        <v>0</v>
      </c>
      <c r="F1762" s="276" t="s">
        <v>2041</v>
      </c>
    </row>
    <row r="1763" spans="1:6" ht="14.25">
      <c r="A1763" s="409"/>
      <c r="B1763" s="410"/>
      <c r="D1763" s="276" t="s">
        <v>1762</v>
      </c>
      <c r="E1763" s="399">
        <f>IF(VLOOKUP(decCh4Prod1Slot2Pack,dataPackSize,2,FALSE)=0,0,finCalcCh4Prod1Slot2VolSold/VLOOKUP(decCh4Prod1Slot2Pack,dataPackSize,2,FALSE))</f>
        <v>0</v>
      </c>
      <c r="F1763" s="276" t="s">
        <v>2042</v>
      </c>
    </row>
    <row r="1764" spans="1:6" ht="14.25">
      <c r="A1764" s="409"/>
      <c r="B1764" s="410"/>
      <c r="D1764" s="276" t="s">
        <v>966</v>
      </c>
      <c r="E1764" s="654">
        <f>IF(calcCh4Prod1Slot2VolForecastSlot=0,100%,finCalcCh4Prod1Slot2VolSold/calcCh4Prod1Slot2VolForecastSlot)</f>
        <v>1</v>
      </c>
      <c r="F1764" s="276" t="s">
        <v>2043</v>
      </c>
    </row>
    <row r="1765" spans="1:6" ht="14.25">
      <c r="A1765" s="409"/>
      <c r="B1765" s="410"/>
      <c r="E1765" s="489"/>
    </row>
    <row r="1766" spans="1:6" ht="14.25">
      <c r="A1766" s="409"/>
      <c r="B1766" s="410"/>
      <c r="C1766" s="217" t="s">
        <v>3789</v>
      </c>
      <c r="E1766" s="489"/>
    </row>
    <row r="1767" spans="1:6" ht="14.25">
      <c r="A1767" s="409"/>
      <c r="B1767" s="410"/>
      <c r="C1767" s="217" t="s">
        <v>400</v>
      </c>
    </row>
    <row r="1768" spans="1:6" ht="14.25">
      <c r="A1768" s="409"/>
      <c r="B1768" s="410"/>
      <c r="D1768" s="255" t="s">
        <v>526</v>
      </c>
      <c r="E1768" s="492">
        <f>VLOOKUP(decCh4Prod1Slot2Pack,dataPackMaterialExp,2,FALSE)</f>
        <v>0</v>
      </c>
      <c r="F1768" s="276" t="s">
        <v>4202</v>
      </c>
    </row>
    <row r="1769" spans="1:6" ht="14.25">
      <c r="A1769" s="409"/>
      <c r="B1769" s="410"/>
      <c r="D1769" s="328" t="s">
        <v>960</v>
      </c>
      <c r="E1769" s="502">
        <f>VLOOKUP(finCalcCh4Prod1Slot2ForcastAcc,dataForecastImpactMatCost,2,TRUE)*E1768</f>
        <v>0</v>
      </c>
      <c r="F1769" s="276" t="s">
        <v>4203</v>
      </c>
    </row>
    <row r="1770" spans="1:6" ht="14.25">
      <c r="A1770" s="409"/>
      <c r="B1770" s="410"/>
      <c r="D1770" s="328" t="s">
        <v>14030</v>
      </c>
      <c r="E1770" s="493">
        <f>paramProd1MatExpSI*finCalcCh4Prod1Slot2MatExpPerUnitBase</f>
        <v>0</v>
      </c>
      <c r="F1770" s="276" t="s">
        <v>4204</v>
      </c>
    </row>
    <row r="1771" spans="1:6" ht="14.25">
      <c r="A1771" s="409"/>
      <c r="B1771" s="410"/>
      <c r="D1771" s="209" t="s">
        <v>518</v>
      </c>
      <c r="E1771" s="327">
        <f>SUM(E1768:E1770)</f>
        <v>0</v>
      </c>
      <c r="F1771" s="276" t="s">
        <v>4205</v>
      </c>
    </row>
    <row r="1772" spans="1:6" ht="14.25">
      <c r="A1772" s="409"/>
      <c r="B1772" s="410"/>
      <c r="D1772" s="209" t="s">
        <v>401</v>
      </c>
      <c r="E1772" s="220">
        <f>finCalcCh4Prod1Slot2MatExpPUnitTot*finCalcCh4Prod1Slot2VolSold</f>
        <v>0</v>
      </c>
      <c r="F1772" s="276" t="s">
        <v>13022</v>
      </c>
    </row>
    <row r="1773" spans="1:6" ht="14.25">
      <c r="A1773" s="409"/>
      <c r="B1773" s="410"/>
      <c r="C1773" s="208"/>
      <c r="F1773" s="276"/>
    </row>
    <row r="1774" spans="1:6" ht="14.25">
      <c r="A1774" s="409"/>
      <c r="B1774" s="410"/>
      <c r="C1774" s="217" t="s">
        <v>399</v>
      </c>
      <c r="E1774" s="224"/>
    </row>
    <row r="1775" spans="1:6" ht="14.25">
      <c r="A1775" s="409"/>
      <c r="B1775" s="410"/>
      <c r="D1775" s="328" t="s">
        <v>969</v>
      </c>
      <c r="E1775" s="510">
        <f>VLOOKUP(decCh4Prod1Slot2Pack,dataPackLabourHrs,2,FALSE)</f>
        <v>0</v>
      </c>
      <c r="F1775" s="276" t="s">
        <v>4206</v>
      </c>
    </row>
    <row r="1776" spans="1:6" ht="14.25">
      <c r="A1776" s="409"/>
      <c r="B1776" s="410"/>
      <c r="D1776" s="328" t="s">
        <v>960</v>
      </c>
      <c r="E1776" s="510">
        <f>VLOOKUP(finCalcCh4Prod1Slot2ForcastAcc,dataForecastImpactLabCost,2,TRUE)*finCalcCh4Prod1Slot2LabourHrsReqPVolBase</f>
        <v>0</v>
      </c>
      <c r="F1776" s="276" t="s">
        <v>4207</v>
      </c>
    </row>
    <row r="1777" spans="1:6" ht="14.25">
      <c r="A1777" s="409"/>
      <c r="B1777" s="410"/>
      <c r="D1777" s="328" t="s">
        <v>14030</v>
      </c>
      <c r="E1777" s="510">
        <f>paramProd1LabourExpSI*finCalcCh4Prod1Slot2LabourHrsReqPVolBase</f>
        <v>0</v>
      </c>
      <c r="F1777" s="276" t="s">
        <v>4208</v>
      </c>
    </row>
    <row r="1778" spans="1:6" ht="14.25">
      <c r="A1778" s="409"/>
      <c r="B1778" s="410"/>
      <c r="D1778" s="209" t="s">
        <v>3795</v>
      </c>
      <c r="E1778" s="511">
        <f>SUM(E1775:E1777)</f>
        <v>0</v>
      </c>
      <c r="F1778" s="276" t="s">
        <v>4209</v>
      </c>
    </row>
    <row r="1779" spans="1:6" ht="14.25">
      <c r="A1779" s="409"/>
      <c r="B1779" s="410"/>
      <c r="D1779" s="328"/>
      <c r="E1779" s="499"/>
      <c r="F1779" s="276"/>
    </row>
    <row r="1780" spans="1:6" ht="14.25">
      <c r="A1780" s="409"/>
      <c r="B1780" s="410"/>
      <c r="D1780" s="209" t="s">
        <v>974</v>
      </c>
      <c r="E1780" s="494">
        <f>paramLabourCostPerHr</f>
        <v>5</v>
      </c>
      <c r="F1780" s="276" t="s">
        <v>4210</v>
      </c>
    </row>
    <row r="1781" spans="1:6" ht="14.25">
      <c r="A1781" s="409"/>
      <c r="B1781" s="410"/>
      <c r="D1781" s="209" t="s">
        <v>3793</v>
      </c>
      <c r="E1781" s="500">
        <f>finCalcCh4Prod1Slot2VolSold*finCalcCh4Prod1Slot2LabourHrsReqPVolTot</f>
        <v>0</v>
      </c>
    </row>
    <row r="1782" spans="1:6" ht="14.25">
      <c r="A1782" s="409"/>
      <c r="B1782" s="410"/>
      <c r="D1782" s="276" t="s">
        <v>973</v>
      </c>
      <c r="E1782" s="220">
        <f>E1781*finCalcCh4Prod1Slot2LabourCostPerHour</f>
        <v>0</v>
      </c>
      <c r="F1782" s="276" t="s">
        <v>13023</v>
      </c>
    </row>
    <row r="1783" spans="1:6" ht="14.25">
      <c r="A1783" s="409"/>
      <c r="B1783" s="410"/>
      <c r="E1783" s="223"/>
    </row>
    <row r="1784" spans="1:6" ht="14.25">
      <c r="A1784" s="409"/>
      <c r="B1784" s="410"/>
      <c r="C1784" s="217" t="s">
        <v>513</v>
      </c>
      <c r="E1784" s="223"/>
    </row>
    <row r="1785" spans="1:6" ht="14.25">
      <c r="A1785" s="409"/>
      <c r="B1785" s="410"/>
      <c r="C1785" s="326"/>
      <c r="D1785" s="276" t="s">
        <v>570</v>
      </c>
      <c r="E1785" s="491">
        <f>CalcCh4Prod1Slot2ManufacturingCostPUnit</f>
        <v>0</v>
      </c>
      <c r="F1785" s="276"/>
    </row>
    <row r="1786" spans="1:6" ht="14.25">
      <c r="A1786" s="409"/>
      <c r="B1786" s="410"/>
      <c r="C1786" s="326"/>
      <c r="D1786" s="209" t="s">
        <v>514</v>
      </c>
      <c r="E1786" s="490">
        <f>E1785*finCalcCh4Prod1Slot2VolSold</f>
        <v>0</v>
      </c>
      <c r="F1786" s="276" t="s">
        <v>13024</v>
      </c>
    </row>
    <row r="1787" spans="1:6" ht="14.25">
      <c r="A1787" s="409"/>
      <c r="B1787" s="410"/>
      <c r="C1787" s="208"/>
    </row>
    <row r="1788" spans="1:6" ht="14.25">
      <c r="A1788" s="409"/>
      <c r="B1788" s="410"/>
      <c r="C1788" s="498" t="s">
        <v>398</v>
      </c>
    </row>
    <row r="1789" spans="1:6" ht="14.25">
      <c r="A1789" s="409"/>
      <c r="B1789" s="410"/>
      <c r="C1789" s="208" t="s">
        <v>398</v>
      </c>
      <c r="E1789" s="223"/>
    </row>
    <row r="1790" spans="1:6" ht="14.25">
      <c r="A1790" s="409"/>
      <c r="B1790" s="410"/>
      <c r="D1790" s="209" t="s">
        <v>450</v>
      </c>
      <c r="E1790" s="220">
        <f>CalcCh4Prod1Slot2Depreciation</f>
        <v>0</v>
      </c>
      <c r="F1790" s="276" t="s">
        <v>2044</v>
      </c>
    </row>
    <row r="1791" spans="1:6" ht="14.25">
      <c r="A1791" s="409"/>
      <c r="B1791" s="410"/>
    </row>
    <row r="1792" spans="1:6" ht="14.25">
      <c r="A1792" s="409"/>
      <c r="B1792" s="410"/>
      <c r="C1792" s="217" t="s">
        <v>13066</v>
      </c>
    </row>
    <row r="1793" spans="1:6" ht="14.25">
      <c r="A1793" s="409"/>
      <c r="B1793" s="410"/>
      <c r="D1793" s="209" t="s">
        <v>400</v>
      </c>
      <c r="E1793" s="495">
        <f>finCalcCh4Prod1Slot2MatExpPUnitTot</f>
        <v>0</v>
      </c>
    </row>
    <row r="1794" spans="1:6" ht="14.25">
      <c r="A1794" s="409"/>
      <c r="B1794" s="410"/>
      <c r="D1794" s="209" t="s">
        <v>399</v>
      </c>
      <c r="E1794" s="495">
        <f>finCalcCh4Prod1Slot2LabourCostPerHour*finCalcCh4Prod1Slot2LabourHrsReqPVolTot</f>
        <v>0</v>
      </c>
    </row>
    <row r="1795" spans="1:6" ht="14.25">
      <c r="A1795" s="409"/>
      <c r="B1795" s="410"/>
      <c r="D1795" s="209" t="s">
        <v>513</v>
      </c>
      <c r="E1795" s="495">
        <f>E1785</f>
        <v>0</v>
      </c>
    </row>
    <row r="1796" spans="1:6" ht="14.25">
      <c r="A1796" s="409"/>
      <c r="B1796" s="410"/>
      <c r="D1796" s="209" t="s">
        <v>398</v>
      </c>
      <c r="E1796" s="496">
        <f>CalcCh4Prod1Slot2DepreciationPUnit</f>
        <v>0</v>
      </c>
    </row>
    <row r="1797" spans="1:6" ht="14.25">
      <c r="A1797" s="409"/>
      <c r="B1797" s="410"/>
      <c r="C1797" s="208" t="s">
        <v>397</v>
      </c>
      <c r="E1797" s="490">
        <f>SUM(E1793:E1796)</f>
        <v>0</v>
      </c>
      <c r="F1797" s="276" t="s">
        <v>2045</v>
      </c>
    </row>
    <row r="1798" spans="1:6" ht="14.25">
      <c r="A1798" s="409"/>
      <c r="B1798" s="410"/>
    </row>
    <row r="1799" spans="1:6" ht="14.25">
      <c r="A1799" s="409"/>
      <c r="B1799" s="410"/>
      <c r="C1799" s="217" t="s">
        <v>519</v>
      </c>
    </row>
    <row r="1800" spans="1:6" ht="14.25">
      <c r="A1800" s="409"/>
      <c r="B1800" s="410"/>
      <c r="D1800" s="328" t="s">
        <v>1286</v>
      </c>
      <c r="E1800" s="492">
        <f>VLOOKUP(decCh4Prod1Slot2Pack,dataPackLogisticsCost,2,FALSE)</f>
        <v>0</v>
      </c>
      <c r="F1800" s="276" t="s">
        <v>2956</v>
      </c>
    </row>
    <row r="1801" spans="1:6" ht="14.25">
      <c r="A1801" s="409"/>
      <c r="B1801" s="410"/>
      <c r="D1801" s="328" t="s">
        <v>960</v>
      </c>
      <c r="E1801" s="501">
        <f>VLOOKUP(finCalcCh4Prod1Slot2ForcastAcc,dataForecastImpactLogisticsCost,2,TRUE)*finCalcCh4Prod1Slot2LogExpPerUnit</f>
        <v>0</v>
      </c>
      <c r="F1801" s="276" t="s">
        <v>4211</v>
      </c>
    </row>
    <row r="1802" spans="1:6" ht="14.25">
      <c r="A1802" s="409"/>
      <c r="B1802" s="410"/>
      <c r="D1802" s="328" t="s">
        <v>14030</v>
      </c>
      <c r="E1802" s="497">
        <f>finCalcCh4Prod1Slot2LogExpPerUnit*paramProd1LogExpSI</f>
        <v>0</v>
      </c>
      <c r="F1802" s="276" t="s">
        <v>4212</v>
      </c>
    </row>
    <row r="1803" spans="1:6" ht="14.25">
      <c r="A1803" s="409"/>
      <c r="B1803" s="410"/>
      <c r="D1803" s="276" t="s">
        <v>1692</v>
      </c>
      <c r="E1803" s="327">
        <f>SUM(E1800:E1802)</f>
        <v>0</v>
      </c>
      <c r="F1803" s="276" t="s">
        <v>13025</v>
      </c>
    </row>
    <row r="1804" spans="1:6" ht="14.25">
      <c r="A1804" s="409"/>
      <c r="B1804" s="410"/>
      <c r="D1804" s="276" t="s">
        <v>1284</v>
      </c>
      <c r="E1804" s="490">
        <f>finCalcCh4Prod1Slot2LogExpAdjPUnit*finCalcCh4Prod1Slot2VolSold</f>
        <v>0</v>
      </c>
      <c r="F1804" s="276" t="s">
        <v>2046</v>
      </c>
    </row>
    <row r="1805" spans="1:6" ht="14.25">
      <c r="A1805" s="409"/>
      <c r="B1805" s="410"/>
      <c r="D1805" s="276"/>
      <c r="E1805" s="276"/>
      <c r="F1805" s="276"/>
    </row>
    <row r="1806" spans="1:6" s="322" customFormat="1" ht="12.75" customHeight="1">
      <c r="A1806" s="409"/>
      <c r="B1806" s="410"/>
      <c r="C1806" s="853"/>
      <c r="D1806" s="853" t="s">
        <v>3860</v>
      </c>
      <c r="E1806" s="972"/>
      <c r="F1806" s="409"/>
    </row>
    <row r="1807" spans="1:6" s="322" customFormat="1" ht="13.15" customHeight="1">
      <c r="A1807" s="409"/>
      <c r="B1807" s="410"/>
      <c r="C1807" s="323"/>
      <c r="D1807" s="323"/>
      <c r="E1807" s="324"/>
    </row>
    <row r="1808" spans="1:6" ht="14.25">
      <c r="A1808" s="409"/>
      <c r="B1808" s="410"/>
      <c r="C1808" s="217" t="s">
        <v>295</v>
      </c>
    </row>
    <row r="1809" spans="1:6" ht="14.25">
      <c r="A1809" s="409"/>
      <c r="B1809" s="410"/>
      <c r="D1809" s="276" t="s">
        <v>577</v>
      </c>
      <c r="E1809" s="491">
        <f>IF(calcCh4Prod1Slot3Active=1,IF(xxSim0Tool1=1,calcCh4Prod1Slot3VolForecastSlot,MMCh4Prod1Seg1Slot3UnitsSold+MMCh4Prod1Seg2Slot3UnitsSold+MMCh4Prod1Seg3Slot3UnitsSold+MMCh4Prod1Seg4Slot3UnitsSold),0)</f>
        <v>0</v>
      </c>
      <c r="F1809" s="276" t="s">
        <v>2047</v>
      </c>
    </row>
    <row r="1810" spans="1:6" ht="14.25">
      <c r="A1810" s="409"/>
      <c r="B1810" s="410"/>
      <c r="D1810" s="276" t="s">
        <v>1762</v>
      </c>
      <c r="E1810" s="399">
        <f>IF(VLOOKUP(decCh4Prod1Slot3Pack,dataPackSize,2,FALSE)=0,0,finCalcCh4Prod1Slot3VolSold/VLOOKUP(decCh4Prod1Slot3Pack,dataPackSize,2,FALSE))</f>
        <v>0</v>
      </c>
      <c r="F1810" s="276" t="s">
        <v>2048</v>
      </c>
    </row>
    <row r="1811" spans="1:6" ht="14.25">
      <c r="A1811" s="409"/>
      <c r="B1811" s="410"/>
      <c r="D1811" s="276" t="s">
        <v>966</v>
      </c>
      <c r="E1811" s="654">
        <f>IF(calcCh4Prod1Slot3VolForecastSlot=0,100%,finCalcCh4Prod1Slot3VolSold/calcCh4Prod1Slot3VolForecastSlot)</f>
        <v>1</v>
      </c>
      <c r="F1811" s="276" t="s">
        <v>2049</v>
      </c>
    </row>
    <row r="1812" spans="1:6" ht="14.25">
      <c r="A1812" s="409"/>
      <c r="B1812" s="410"/>
      <c r="E1812" s="489"/>
    </row>
    <row r="1813" spans="1:6" ht="14.25">
      <c r="A1813" s="409"/>
      <c r="B1813" s="410"/>
      <c r="C1813" s="217" t="s">
        <v>3789</v>
      </c>
      <c r="E1813" s="489"/>
    </row>
    <row r="1814" spans="1:6" ht="14.25">
      <c r="A1814" s="409"/>
      <c r="B1814" s="410"/>
      <c r="C1814" s="217" t="s">
        <v>400</v>
      </c>
    </row>
    <row r="1815" spans="1:6" ht="14.25">
      <c r="A1815" s="409"/>
      <c r="B1815" s="410"/>
      <c r="D1815" s="255" t="s">
        <v>526</v>
      </c>
      <c r="E1815" s="492">
        <f>VLOOKUP(decCh4Prod1Slot3Pack,dataPackMaterialExp,2,FALSE)</f>
        <v>0</v>
      </c>
      <c r="F1815" s="276" t="s">
        <v>4213</v>
      </c>
    </row>
    <row r="1816" spans="1:6" ht="14.25">
      <c r="A1816" s="409"/>
      <c r="B1816" s="410"/>
      <c r="D1816" s="328" t="s">
        <v>960</v>
      </c>
      <c r="E1816" s="502">
        <f>VLOOKUP(finCalcCh4Prod1Slot3ForcastAcc,dataForecastImpactMatCost,2,TRUE)*E1815</f>
        <v>0</v>
      </c>
      <c r="F1816" s="276" t="s">
        <v>4214</v>
      </c>
    </row>
    <row r="1817" spans="1:6" ht="14.25">
      <c r="A1817" s="409"/>
      <c r="B1817" s="410"/>
      <c r="D1817" s="328" t="s">
        <v>14030</v>
      </c>
      <c r="E1817" s="493">
        <f>paramProd1MatExpSI*finCalcCh4Prod1Slot3MatExpPerUnitBase</f>
        <v>0</v>
      </c>
      <c r="F1817" s="276" t="s">
        <v>4215</v>
      </c>
    </row>
    <row r="1818" spans="1:6" ht="14.25">
      <c r="A1818" s="409"/>
      <c r="B1818" s="410"/>
      <c r="D1818" s="209" t="s">
        <v>518</v>
      </c>
      <c r="E1818" s="327">
        <f>SUM(E1815:E1817)</f>
        <v>0</v>
      </c>
      <c r="F1818" s="276" t="s">
        <v>4216</v>
      </c>
    </row>
    <row r="1819" spans="1:6" ht="14.25">
      <c r="A1819" s="409"/>
      <c r="B1819" s="410"/>
      <c r="D1819" s="209" t="s">
        <v>401</v>
      </c>
      <c r="E1819" s="220">
        <f>finCalcCh4Prod1Slot3MatExpPUnitTot*finCalcCh4Prod1Slot3VolSold</f>
        <v>0</v>
      </c>
      <c r="F1819" s="276" t="s">
        <v>13026</v>
      </c>
    </row>
    <row r="1820" spans="1:6" ht="14.25">
      <c r="A1820" s="409"/>
      <c r="B1820" s="410"/>
      <c r="C1820" s="208"/>
      <c r="F1820" s="276"/>
    </row>
    <row r="1821" spans="1:6" ht="14.25">
      <c r="A1821" s="409"/>
      <c r="B1821" s="410"/>
      <c r="C1821" s="217" t="s">
        <v>399</v>
      </c>
      <c r="E1821" s="224"/>
    </row>
    <row r="1822" spans="1:6" ht="14.25">
      <c r="A1822" s="409"/>
      <c r="B1822" s="410"/>
      <c r="D1822" s="328" t="s">
        <v>969</v>
      </c>
      <c r="E1822" s="510">
        <f>VLOOKUP(decCh4Prod1Slot3Pack,dataPackLabourHrs,2,FALSE)</f>
        <v>0</v>
      </c>
      <c r="F1822" s="276" t="s">
        <v>4217</v>
      </c>
    </row>
    <row r="1823" spans="1:6" ht="14.25">
      <c r="A1823" s="409"/>
      <c r="B1823" s="410"/>
      <c r="D1823" s="328" t="s">
        <v>960</v>
      </c>
      <c r="E1823" s="510">
        <f>VLOOKUP(finCalcCh4Prod1Slot3ForcastAcc,dataForecastImpactLabCost,2,TRUE)*finCalcCh4Prod1Slot3LabourHrsReqPVolBase</f>
        <v>0</v>
      </c>
      <c r="F1823" s="276" t="s">
        <v>4218</v>
      </c>
    </row>
    <row r="1824" spans="1:6" ht="14.25">
      <c r="A1824" s="409"/>
      <c r="B1824" s="410"/>
      <c r="D1824" s="328" t="s">
        <v>14030</v>
      </c>
      <c r="E1824" s="510">
        <f>paramProd1LabourExpSI*finCalcCh4Prod1Slot3LabourHrsReqPVolBase</f>
        <v>0</v>
      </c>
      <c r="F1824" s="276" t="s">
        <v>4219</v>
      </c>
    </row>
    <row r="1825" spans="1:6" ht="14.25">
      <c r="A1825" s="409"/>
      <c r="B1825" s="410"/>
      <c r="D1825" s="209" t="s">
        <v>3795</v>
      </c>
      <c r="E1825" s="511">
        <f>SUM(E1822:E1824)</f>
        <v>0</v>
      </c>
      <c r="F1825" s="276" t="s">
        <v>4220</v>
      </c>
    </row>
    <row r="1826" spans="1:6" ht="14.25">
      <c r="A1826" s="409"/>
      <c r="B1826" s="410"/>
      <c r="D1826" s="328"/>
      <c r="E1826" s="499"/>
      <c r="F1826" s="276"/>
    </row>
    <row r="1827" spans="1:6" ht="14.25">
      <c r="A1827" s="409"/>
      <c r="B1827" s="410"/>
      <c r="D1827" s="209" t="s">
        <v>974</v>
      </c>
      <c r="E1827" s="494">
        <f>paramLabourCostPerHr</f>
        <v>5</v>
      </c>
      <c r="F1827" s="276" t="s">
        <v>4221</v>
      </c>
    </row>
    <row r="1828" spans="1:6" ht="14.25">
      <c r="A1828" s="409"/>
      <c r="B1828" s="410"/>
      <c r="D1828" s="209" t="s">
        <v>3793</v>
      </c>
      <c r="E1828" s="500">
        <f>finCalcCh4Prod1Slot3VolSold*finCalcCh4Prod1Slot3LabourHrsReqPVolTot</f>
        <v>0</v>
      </c>
    </row>
    <row r="1829" spans="1:6" ht="14.25">
      <c r="A1829" s="409"/>
      <c r="B1829" s="410"/>
      <c r="D1829" s="276" t="s">
        <v>973</v>
      </c>
      <c r="E1829" s="220">
        <f>E1828*finCalcCh4Prod1Slot3LabourCostPerHour</f>
        <v>0</v>
      </c>
      <c r="F1829" s="276" t="s">
        <v>13027</v>
      </c>
    </row>
    <row r="1830" spans="1:6" ht="14.25">
      <c r="A1830" s="409"/>
      <c r="B1830" s="410"/>
      <c r="E1830" s="223"/>
    </row>
    <row r="1831" spans="1:6" ht="14.25">
      <c r="A1831" s="409"/>
      <c r="B1831" s="410"/>
      <c r="C1831" s="217" t="s">
        <v>513</v>
      </c>
      <c r="E1831" s="223"/>
    </row>
    <row r="1832" spans="1:6" ht="14.25">
      <c r="A1832" s="409"/>
      <c r="B1832" s="410"/>
      <c r="C1832" s="326"/>
      <c r="D1832" s="276" t="s">
        <v>570</v>
      </c>
      <c r="E1832" s="491">
        <f>CalcCh4Prod1Slot3ManufacturingCostPUnit</f>
        <v>0</v>
      </c>
      <c r="F1832" s="276"/>
    </row>
    <row r="1833" spans="1:6" ht="14.25">
      <c r="A1833" s="409"/>
      <c r="B1833" s="410"/>
      <c r="C1833" s="326"/>
      <c r="D1833" s="209" t="s">
        <v>514</v>
      </c>
      <c r="E1833" s="490">
        <f>E1832*finCalcCh4Prod1Slot3VolSold</f>
        <v>0</v>
      </c>
      <c r="F1833" s="276" t="s">
        <v>13028</v>
      </c>
    </row>
    <row r="1834" spans="1:6" ht="14.25">
      <c r="A1834" s="409"/>
      <c r="B1834" s="410"/>
      <c r="C1834" s="208"/>
    </row>
    <row r="1835" spans="1:6" ht="14.25">
      <c r="A1835" s="409"/>
      <c r="B1835" s="410"/>
      <c r="C1835" s="498" t="s">
        <v>398</v>
      </c>
    </row>
    <row r="1836" spans="1:6" ht="14.25">
      <c r="A1836" s="409"/>
      <c r="B1836" s="410"/>
      <c r="C1836" s="208" t="s">
        <v>398</v>
      </c>
      <c r="E1836" s="223"/>
    </row>
    <row r="1837" spans="1:6" ht="14.25">
      <c r="A1837" s="409"/>
      <c r="B1837" s="410"/>
      <c r="D1837" s="209" t="s">
        <v>450</v>
      </c>
      <c r="E1837" s="220">
        <f>CalcCh4Prod1Slot3Depreciation</f>
        <v>0</v>
      </c>
      <c r="F1837" s="276" t="s">
        <v>2050</v>
      </c>
    </row>
    <row r="1838" spans="1:6" ht="14.25">
      <c r="A1838" s="409"/>
      <c r="B1838" s="410"/>
    </row>
    <row r="1839" spans="1:6" ht="14.25">
      <c r="A1839" s="409"/>
      <c r="B1839" s="410"/>
      <c r="C1839" s="217" t="s">
        <v>13066</v>
      </c>
    </row>
    <row r="1840" spans="1:6" ht="14.25">
      <c r="A1840" s="409"/>
      <c r="B1840" s="410"/>
      <c r="D1840" s="209" t="s">
        <v>400</v>
      </c>
      <c r="E1840" s="495">
        <f>finCalcCh4Prod1Slot3MatExpPUnitTot</f>
        <v>0</v>
      </c>
    </row>
    <row r="1841" spans="1:6" ht="14.25">
      <c r="A1841" s="409"/>
      <c r="B1841" s="410"/>
      <c r="D1841" s="209" t="s">
        <v>399</v>
      </c>
      <c r="E1841" s="495">
        <f>finCalcCh4Prod1Slot3LabourCostPerHour*finCalcCh4Prod1Slot3LabourHrsReqPVolTot</f>
        <v>0</v>
      </c>
    </row>
    <row r="1842" spans="1:6" ht="14.25">
      <c r="A1842" s="409"/>
      <c r="B1842" s="410"/>
      <c r="D1842" s="209" t="s">
        <v>513</v>
      </c>
      <c r="E1842" s="495">
        <f>E1832</f>
        <v>0</v>
      </c>
    </row>
    <row r="1843" spans="1:6" ht="14.25">
      <c r="A1843" s="409"/>
      <c r="B1843" s="410"/>
      <c r="D1843" s="209" t="s">
        <v>398</v>
      </c>
      <c r="E1843" s="496">
        <f>CalcCh4Prod1Slot3DepreciationPUnit</f>
        <v>0</v>
      </c>
    </row>
    <row r="1844" spans="1:6" ht="14.25">
      <c r="A1844" s="409"/>
      <c r="B1844" s="410"/>
      <c r="C1844" s="208" t="s">
        <v>397</v>
      </c>
      <c r="E1844" s="490">
        <f>SUM(E1840:E1843)</f>
        <v>0</v>
      </c>
      <c r="F1844" s="276" t="s">
        <v>2051</v>
      </c>
    </row>
    <row r="1845" spans="1:6" ht="14.25">
      <c r="A1845" s="409"/>
      <c r="B1845" s="410"/>
    </row>
    <row r="1846" spans="1:6" ht="14.25">
      <c r="A1846" s="409"/>
      <c r="B1846" s="410"/>
      <c r="C1846" s="217" t="s">
        <v>519</v>
      </c>
    </row>
    <row r="1847" spans="1:6" ht="14.25">
      <c r="A1847" s="409"/>
      <c r="B1847" s="410"/>
      <c r="D1847" s="328" t="s">
        <v>1286</v>
      </c>
      <c r="E1847" s="492">
        <f>VLOOKUP(decCh4Prod1Slot3Pack,dataPackLogisticsCost,2,FALSE)</f>
        <v>0</v>
      </c>
      <c r="F1847" s="276" t="s">
        <v>2957</v>
      </c>
    </row>
    <row r="1848" spans="1:6" ht="14.25">
      <c r="A1848" s="409"/>
      <c r="B1848" s="410"/>
      <c r="D1848" s="328" t="s">
        <v>960</v>
      </c>
      <c r="E1848" s="501">
        <f>VLOOKUP(finCalcCh4Prod1Slot3ForcastAcc,dataForecastImpactLogisticsCost,2,TRUE)*finCalcCh4Prod1Slot3LogExpPerUnit</f>
        <v>0</v>
      </c>
      <c r="F1848" s="276" t="s">
        <v>4222</v>
      </c>
    </row>
    <row r="1849" spans="1:6" ht="14.25">
      <c r="A1849" s="409"/>
      <c r="B1849" s="410"/>
      <c r="D1849" s="328" t="s">
        <v>14030</v>
      </c>
      <c r="E1849" s="497">
        <f>finCalcCh4Prod1Slot3LogExpPerUnit*paramProd1LogExpSI</f>
        <v>0</v>
      </c>
      <c r="F1849" s="276" t="s">
        <v>4223</v>
      </c>
    </row>
    <row r="1850" spans="1:6" ht="14.25">
      <c r="A1850" s="409"/>
      <c r="B1850" s="410"/>
      <c r="D1850" s="276" t="s">
        <v>1692</v>
      </c>
      <c r="E1850" s="327">
        <f>SUM(E1847:E1849)</f>
        <v>0</v>
      </c>
      <c r="F1850" s="276" t="s">
        <v>13029</v>
      </c>
    </row>
    <row r="1851" spans="1:6" ht="14.25">
      <c r="A1851" s="409"/>
      <c r="B1851" s="410"/>
      <c r="D1851" s="276" t="s">
        <v>1284</v>
      </c>
      <c r="E1851" s="490">
        <f>finCalcCh4Prod1Slot3LogExpAdjPUnit*finCalcCh4Prod1Slot3VolSold</f>
        <v>0</v>
      </c>
      <c r="F1851" s="276" t="s">
        <v>2052</v>
      </c>
    </row>
    <row r="1852" spans="1:6" ht="14.25">
      <c r="A1852" s="409"/>
      <c r="B1852" s="410"/>
      <c r="D1852" s="276"/>
      <c r="E1852" s="276"/>
      <c r="F1852" s="276"/>
    </row>
    <row r="1853" spans="1:6" s="322" customFormat="1" ht="12.75" customHeight="1">
      <c r="A1853" s="409"/>
      <c r="B1853" s="410"/>
      <c r="C1853" s="853" t="s">
        <v>238</v>
      </c>
      <c r="D1853" s="853"/>
      <c r="E1853" s="972"/>
      <c r="F1853" s="409"/>
    </row>
    <row r="1854" spans="1:6" s="322" customFormat="1" ht="12.75" customHeight="1">
      <c r="A1854" s="409"/>
      <c r="B1854" s="410"/>
      <c r="C1854" s="853"/>
      <c r="D1854" s="853" t="s">
        <v>3859</v>
      </c>
      <c r="E1854" s="972"/>
      <c r="F1854" s="409"/>
    </row>
    <row r="1855" spans="1:6" s="322" customFormat="1" ht="13.15" customHeight="1">
      <c r="A1855" s="409"/>
      <c r="B1855" s="410"/>
      <c r="C1855" s="323"/>
      <c r="D1855" s="323"/>
      <c r="E1855" s="324"/>
    </row>
    <row r="1856" spans="1:6" ht="14.25">
      <c r="A1856" s="409"/>
      <c r="B1856" s="410"/>
      <c r="C1856" s="217" t="s">
        <v>295</v>
      </c>
    </row>
    <row r="1857" spans="1:6" ht="14.25">
      <c r="A1857" s="409"/>
      <c r="B1857" s="410"/>
      <c r="D1857" s="276" t="s">
        <v>577</v>
      </c>
      <c r="E1857" s="491">
        <f>IF(calcCh4Prod2Slot1Active=1,IF(xxSim0Tool1=1,calcCh4Prod2Slot1VolForecastSlot,MMCh4Prod2Seg1Slot1UnitsSold+MMCh4Prod2Seg2Slot1UnitsSold+MMCh4Prod2Seg3Slot1UnitsSold+MMCh4Prod2Seg4Slot1UnitsSold),0)</f>
        <v>35321580</v>
      </c>
      <c r="F1857" s="276" t="s">
        <v>2053</v>
      </c>
    </row>
    <row r="1858" spans="1:6" ht="14.25">
      <c r="A1858" s="409"/>
      <c r="B1858" s="410"/>
      <c r="D1858" s="276" t="s">
        <v>1762</v>
      </c>
      <c r="E1858" s="399">
        <f>IF(VLOOKUP(decCh4Prod2Slot1Pack,dataPackSize,2,FALSE)=0,0,finCalcCh4Prod2Slot1VolSold/VLOOKUP(decCh4Prod2Slot1Pack,dataPackSize,2,FALSE))</f>
        <v>1412863.2</v>
      </c>
      <c r="F1858" s="276" t="s">
        <v>2054</v>
      </c>
    </row>
    <row r="1859" spans="1:6" ht="14.25">
      <c r="A1859" s="409"/>
      <c r="B1859" s="410"/>
      <c r="D1859" s="276" t="s">
        <v>966</v>
      </c>
      <c r="E1859" s="654">
        <f>IF(calcCh4Prod2Slot1VolForecastSlot=0,100%,finCalcCh4Prod2Slot1VolSold/calcCh4Prod2Slot1VolForecastSlot)</f>
        <v>1</v>
      </c>
      <c r="F1859" s="276" t="s">
        <v>2055</v>
      </c>
    </row>
    <row r="1860" spans="1:6" ht="14.25">
      <c r="A1860" s="409"/>
      <c r="B1860" s="410"/>
      <c r="E1860" s="489"/>
    </row>
    <row r="1861" spans="1:6" ht="14.25">
      <c r="A1861" s="409"/>
      <c r="B1861" s="410"/>
      <c r="C1861" s="217" t="s">
        <v>3789</v>
      </c>
      <c r="E1861" s="489"/>
    </row>
    <row r="1862" spans="1:6" ht="14.25">
      <c r="A1862" s="409"/>
      <c r="B1862" s="410"/>
      <c r="C1862" s="217" t="s">
        <v>400</v>
      </c>
    </row>
    <row r="1863" spans="1:6" ht="14.25">
      <c r="A1863" s="409"/>
      <c r="B1863" s="410"/>
      <c r="D1863" s="255" t="s">
        <v>526</v>
      </c>
      <c r="E1863" s="492">
        <f>VLOOKUP(decCh4Prod2Slot1Pack,dataPackMaterialExp,2,FALSE)</f>
        <v>1.3738032000000004</v>
      </c>
      <c r="F1863" s="276" t="s">
        <v>4224</v>
      </c>
    </row>
    <row r="1864" spans="1:6" ht="14.25">
      <c r="A1864" s="409"/>
      <c r="B1864" s="410"/>
      <c r="D1864" s="328" t="s">
        <v>960</v>
      </c>
      <c r="E1864" s="502">
        <f>VLOOKUP(finCalcCh4Prod2Slot1ForcastAcc,dataForecastImpactMatCost,2,TRUE)*E1863</f>
        <v>0</v>
      </c>
      <c r="F1864" s="276" t="s">
        <v>4225</v>
      </c>
    </row>
    <row r="1865" spans="1:6" ht="14.25">
      <c r="A1865" s="409"/>
      <c r="B1865" s="410"/>
      <c r="D1865" s="328" t="s">
        <v>14030</v>
      </c>
      <c r="E1865" s="493">
        <f>paramProd2MatExpSI*finCalcCh4Prod2Slot1MatExpPerUnitBase</f>
        <v>0</v>
      </c>
      <c r="F1865" s="276" t="s">
        <v>4226</v>
      </c>
    </row>
    <row r="1866" spans="1:6" ht="14.25">
      <c r="A1866" s="409"/>
      <c r="B1866" s="410"/>
      <c r="D1866" s="209" t="s">
        <v>518</v>
      </c>
      <c r="E1866" s="327">
        <f>SUM(E1863:E1865)</f>
        <v>1.3738032000000004</v>
      </c>
      <c r="F1866" s="276" t="s">
        <v>4227</v>
      </c>
    </row>
    <row r="1867" spans="1:6" ht="14.25">
      <c r="A1867" s="409"/>
      <c r="B1867" s="410"/>
      <c r="D1867" s="209" t="s">
        <v>401</v>
      </c>
      <c r="E1867" s="220">
        <f>finCalcCh4Prod2Slot1MatExpPUnitTot*finCalcCh4Prod2Slot1VolSold</f>
        <v>48524899.633056015</v>
      </c>
      <c r="F1867" s="276" t="s">
        <v>13030</v>
      </c>
    </row>
    <row r="1868" spans="1:6" ht="14.25">
      <c r="A1868" s="409"/>
      <c r="B1868" s="410"/>
      <c r="C1868" s="208"/>
      <c r="F1868" s="276"/>
    </row>
    <row r="1869" spans="1:6" ht="14.25">
      <c r="A1869" s="409"/>
      <c r="B1869" s="410"/>
      <c r="C1869" s="217" t="s">
        <v>399</v>
      </c>
      <c r="E1869" s="224"/>
    </row>
    <row r="1870" spans="1:6" ht="14.25">
      <c r="A1870" s="409"/>
      <c r="B1870" s="410"/>
      <c r="D1870" s="328" t="s">
        <v>969</v>
      </c>
      <c r="E1870" s="510">
        <f>VLOOKUP(decCh4Prod2Slot1Pack,dataPackLabourHrs,2,FALSE)</f>
        <v>4.0405976470588245E-2</v>
      </c>
      <c r="F1870" s="276" t="s">
        <v>4228</v>
      </c>
    </row>
    <row r="1871" spans="1:6" ht="14.25">
      <c r="A1871" s="409"/>
      <c r="B1871" s="410"/>
      <c r="D1871" s="328" t="s">
        <v>960</v>
      </c>
      <c r="E1871" s="510">
        <f>VLOOKUP(finCalcCh4Prod2Slot1ForcastAcc,dataForecastImpactLabCost,2,TRUE)*finCalcCh4Prod2Slot1LabourHrsReqPVolBase</f>
        <v>0</v>
      </c>
      <c r="F1871" s="276" t="s">
        <v>4229</v>
      </c>
    </row>
    <row r="1872" spans="1:6" ht="14.25">
      <c r="A1872" s="409"/>
      <c r="B1872" s="410"/>
      <c r="D1872" s="328" t="s">
        <v>14030</v>
      </c>
      <c r="E1872" s="510">
        <f>paramProd2LabourExpSI*finCalcCh4Prod2Slot1LabourHrsReqPVolBase</f>
        <v>0</v>
      </c>
      <c r="F1872" s="276" t="s">
        <v>4230</v>
      </c>
    </row>
    <row r="1873" spans="1:6" ht="14.25">
      <c r="A1873" s="409"/>
      <c r="B1873" s="410"/>
      <c r="D1873" s="209" t="s">
        <v>3795</v>
      </c>
      <c r="E1873" s="511">
        <f>SUM(E1870:E1872)</f>
        <v>4.0405976470588245E-2</v>
      </c>
      <c r="F1873" s="276" t="s">
        <v>4231</v>
      </c>
    </row>
    <row r="1874" spans="1:6" ht="14.25">
      <c r="A1874" s="409"/>
      <c r="B1874" s="410"/>
      <c r="D1874" s="328"/>
      <c r="E1874" s="499"/>
      <c r="F1874" s="276"/>
    </row>
    <row r="1875" spans="1:6" ht="14.25">
      <c r="A1875" s="409"/>
      <c r="B1875" s="410"/>
      <c r="D1875" s="209" t="s">
        <v>974</v>
      </c>
      <c r="E1875" s="494">
        <f>paramLabourCostPerHr</f>
        <v>5</v>
      </c>
      <c r="F1875" s="276" t="s">
        <v>4232</v>
      </c>
    </row>
    <row r="1876" spans="1:6" ht="14.25">
      <c r="A1876" s="409"/>
      <c r="B1876" s="410"/>
      <c r="D1876" s="209" t="s">
        <v>3793</v>
      </c>
      <c r="E1876" s="500">
        <f>finCalcCh4Prod2Slot1VolSold*finCalcCh4Prod2Slot1LabourHrsReqPVolTot</f>
        <v>1427202.9303840003</v>
      </c>
    </row>
    <row r="1877" spans="1:6" ht="14.25">
      <c r="A1877" s="409"/>
      <c r="B1877" s="410"/>
      <c r="D1877" s="276" t="s">
        <v>973</v>
      </c>
      <c r="E1877" s="220">
        <f>E1876*finCalcCh4Prod2Slot1LabourCostPerHour</f>
        <v>7136014.651920002</v>
      </c>
      <c r="F1877" s="276" t="s">
        <v>13031</v>
      </c>
    </row>
    <row r="1878" spans="1:6" ht="14.25">
      <c r="A1878" s="409"/>
      <c r="B1878" s="410"/>
      <c r="E1878" s="223"/>
    </row>
    <row r="1879" spans="1:6" ht="14.25">
      <c r="A1879" s="409"/>
      <c r="B1879" s="410"/>
      <c r="C1879" s="217" t="s">
        <v>513</v>
      </c>
      <c r="E1879" s="223"/>
    </row>
    <row r="1880" spans="1:6" ht="14.25">
      <c r="A1880" s="409"/>
      <c r="B1880" s="410"/>
      <c r="C1880" s="326"/>
      <c r="D1880" s="276" t="s">
        <v>570</v>
      </c>
      <c r="E1880" s="491">
        <f>CalcCh4Prod2Slot1ManufacturingCostPUnit</f>
        <v>0.26762400000000003</v>
      </c>
      <c r="F1880" s="276"/>
    </row>
    <row r="1881" spans="1:6" ht="14.25">
      <c r="A1881" s="409"/>
      <c r="B1881" s="410"/>
      <c r="C1881" s="326"/>
      <c r="D1881" s="209" t="s">
        <v>514</v>
      </c>
      <c r="E1881" s="490">
        <f>E1880*finCalcCh4Prod2Slot1VolSold</f>
        <v>9452902.5259200018</v>
      </c>
      <c r="F1881" s="276" t="s">
        <v>13032</v>
      </c>
    </row>
    <row r="1882" spans="1:6" ht="14.25">
      <c r="A1882" s="409"/>
      <c r="B1882" s="410"/>
      <c r="C1882" s="208"/>
    </row>
    <row r="1883" spans="1:6" ht="14.25">
      <c r="A1883" s="409"/>
      <c r="B1883" s="410"/>
      <c r="C1883" s="498" t="s">
        <v>398</v>
      </c>
    </row>
    <row r="1884" spans="1:6" ht="14.25">
      <c r="A1884" s="409"/>
      <c r="B1884" s="410"/>
      <c r="C1884" s="208" t="s">
        <v>398</v>
      </c>
      <c r="E1884" s="223"/>
    </row>
    <row r="1885" spans="1:6" ht="14.25">
      <c r="A1885" s="409"/>
      <c r="B1885" s="410"/>
      <c r="D1885" s="209" t="s">
        <v>450</v>
      </c>
      <c r="E1885" s="220">
        <f>CalcCh4Prod2Slot1Depreciation</f>
        <v>4207114.1313842628</v>
      </c>
      <c r="F1885" s="276" t="s">
        <v>2056</v>
      </c>
    </row>
    <row r="1886" spans="1:6" ht="14.25">
      <c r="A1886" s="409"/>
      <c r="B1886" s="410"/>
    </row>
    <row r="1887" spans="1:6" ht="14.25">
      <c r="A1887" s="409"/>
      <c r="B1887" s="410"/>
      <c r="C1887" s="217" t="s">
        <v>13066</v>
      </c>
    </row>
    <row r="1888" spans="1:6" ht="14.25">
      <c r="A1888" s="409"/>
      <c r="B1888" s="410"/>
      <c r="D1888" s="209" t="s">
        <v>400</v>
      </c>
      <c r="E1888" s="495">
        <f>finCalcCh4Prod2Slot1MatExpPUnitTot</f>
        <v>1.3738032000000004</v>
      </c>
    </row>
    <row r="1889" spans="1:6" ht="14.25">
      <c r="A1889" s="409"/>
      <c r="B1889" s="410"/>
      <c r="D1889" s="209" t="s">
        <v>399</v>
      </c>
      <c r="E1889" s="495">
        <f>finCalcCh4Prod2Slot1LabourCostPerHour*finCalcCh4Prod2Slot1LabourHrsReqPVolTot</f>
        <v>0.20202988235294123</v>
      </c>
    </row>
    <row r="1890" spans="1:6" ht="14.25">
      <c r="A1890" s="409"/>
      <c r="B1890" s="410"/>
      <c r="D1890" s="209" t="s">
        <v>513</v>
      </c>
      <c r="E1890" s="495">
        <f>E1880</f>
        <v>0.26762400000000003</v>
      </c>
    </row>
    <row r="1891" spans="1:6" ht="14.25">
      <c r="A1891" s="409"/>
      <c r="B1891" s="410"/>
      <c r="D1891" s="209" t="s">
        <v>398</v>
      </c>
      <c r="E1891" s="496">
        <f>CalcCh4Prod2Slot1DepreciationPUnit</f>
        <v>0.11910888842980022</v>
      </c>
    </row>
    <row r="1892" spans="1:6" ht="14.25">
      <c r="A1892" s="409"/>
      <c r="B1892" s="410"/>
      <c r="C1892" s="208" t="s">
        <v>397</v>
      </c>
      <c r="E1892" s="490">
        <f>SUM(E1888:E1891)</f>
        <v>1.9625659707827419</v>
      </c>
      <c r="F1892" s="276" t="s">
        <v>2057</v>
      </c>
    </row>
    <row r="1893" spans="1:6" ht="14.25">
      <c r="A1893" s="409"/>
      <c r="B1893" s="410"/>
    </row>
    <row r="1894" spans="1:6" ht="14.25">
      <c r="A1894" s="409"/>
      <c r="B1894" s="410"/>
      <c r="C1894" s="217" t="s">
        <v>519</v>
      </c>
    </row>
    <row r="1895" spans="1:6" ht="14.25">
      <c r="A1895" s="409"/>
      <c r="B1895" s="410"/>
      <c r="D1895" s="328" t="s">
        <v>1286</v>
      </c>
      <c r="E1895" s="492">
        <f>VLOOKUP(decCh4Prod2Slot1Pack,dataPackLogisticsCost,2,FALSE)</f>
        <v>0.23343157894736849</v>
      </c>
      <c r="F1895" s="276" t="s">
        <v>2958</v>
      </c>
    </row>
    <row r="1896" spans="1:6" ht="14.25">
      <c r="A1896" s="409"/>
      <c r="B1896" s="410"/>
      <c r="D1896" s="328" t="s">
        <v>960</v>
      </c>
      <c r="E1896" s="501">
        <f>VLOOKUP(finCalcCh4Prod2Slot1ForcastAcc,dataForecastImpactLogisticsCost,2,TRUE)*finCalcCh4Prod2Slot1LogExpPerUnit</f>
        <v>0</v>
      </c>
      <c r="F1896" s="276" t="s">
        <v>4233</v>
      </c>
    </row>
    <row r="1897" spans="1:6" ht="14.25">
      <c r="A1897" s="409"/>
      <c r="B1897" s="410"/>
      <c r="D1897" s="328" t="s">
        <v>14030</v>
      </c>
      <c r="E1897" s="497">
        <f>finCalcCh4Prod2Slot1LogExpPerUnit*paramProd2LogExpSI</f>
        <v>0</v>
      </c>
      <c r="F1897" s="276" t="s">
        <v>4234</v>
      </c>
    </row>
    <row r="1898" spans="1:6" ht="14.25">
      <c r="A1898" s="409"/>
      <c r="B1898" s="410"/>
      <c r="D1898" s="276" t="s">
        <v>1692</v>
      </c>
      <c r="E1898" s="327">
        <f>SUM(E1895:E1897)</f>
        <v>0.23343157894736849</v>
      </c>
      <c r="F1898" s="276" t="s">
        <v>13033</v>
      </c>
    </row>
    <row r="1899" spans="1:6" ht="14.25">
      <c r="A1899" s="409"/>
      <c r="B1899" s="410"/>
      <c r="D1899" s="276" t="s">
        <v>1284</v>
      </c>
      <c r="E1899" s="490">
        <f>finCalcCh4Prod2Slot1LogExpAdjPUnit*finCalcCh4Prod2Slot1VolSold</f>
        <v>8245172.1903157923</v>
      </c>
      <c r="F1899" s="276" t="s">
        <v>2058</v>
      </c>
    </row>
    <row r="1900" spans="1:6" ht="14.25">
      <c r="A1900" s="409"/>
      <c r="B1900" s="410"/>
      <c r="D1900" s="276"/>
      <c r="E1900" s="276"/>
      <c r="F1900" s="276"/>
    </row>
    <row r="1901" spans="1:6" s="322" customFormat="1" ht="12.75" customHeight="1">
      <c r="A1901" s="409"/>
      <c r="B1901" s="410"/>
      <c r="C1901" s="853"/>
      <c r="D1901" s="853" t="s">
        <v>3858</v>
      </c>
      <c r="E1901" s="972"/>
      <c r="F1901" s="409"/>
    </row>
    <row r="1902" spans="1:6" s="322" customFormat="1" ht="13.15" customHeight="1">
      <c r="A1902" s="409"/>
      <c r="B1902" s="410"/>
      <c r="C1902" s="323"/>
      <c r="D1902" s="323"/>
      <c r="E1902" s="324"/>
    </row>
    <row r="1903" spans="1:6" ht="14.25">
      <c r="A1903" s="409"/>
      <c r="B1903" s="410"/>
      <c r="C1903" s="217" t="s">
        <v>295</v>
      </c>
    </row>
    <row r="1904" spans="1:6" ht="14.25">
      <c r="A1904" s="409"/>
      <c r="B1904" s="410"/>
      <c r="D1904" s="276" t="s">
        <v>577</v>
      </c>
      <c r="E1904" s="491">
        <f>IF(calcCh4Prod2Slot2Active=1,IF(xxSim0Tool1=1,calcCh4Prod2Slot2VolForecastSlot,MMCh4Prod2Seg1Slot2UnitsSold+MMCh4Prod2Seg2Slot2UnitsSold+MMCh4Prod2Seg3Slot2UnitsSold+MMCh4Prod2Seg4Slot2UnitsSold),0)</f>
        <v>0</v>
      </c>
      <c r="F1904" s="276" t="s">
        <v>2059</v>
      </c>
    </row>
    <row r="1905" spans="1:6" ht="14.25">
      <c r="A1905" s="409"/>
      <c r="B1905" s="410"/>
      <c r="D1905" s="276" t="s">
        <v>1762</v>
      </c>
      <c r="E1905" s="399">
        <f>IF(VLOOKUP(decCh4Prod2Slot2Pack,dataPackSize,2,FALSE)=0,0,finCalcCh4Prod2Slot2VolSold/VLOOKUP(decCh4Prod2Slot2Pack,dataPackSize,2,FALSE))</f>
        <v>0</v>
      </c>
      <c r="F1905" s="276" t="s">
        <v>2060</v>
      </c>
    </row>
    <row r="1906" spans="1:6" ht="14.25">
      <c r="A1906" s="409"/>
      <c r="B1906" s="410"/>
      <c r="D1906" s="276" t="s">
        <v>966</v>
      </c>
      <c r="E1906" s="654">
        <f>IF(calcCh4Prod2Slot2VolForecastSlot=0,100%,finCalcCh4Prod2Slot2VolSold/calcCh4Prod2Slot2VolForecastSlot)</f>
        <v>1</v>
      </c>
      <c r="F1906" s="276" t="s">
        <v>2061</v>
      </c>
    </row>
    <row r="1907" spans="1:6" ht="14.25">
      <c r="A1907" s="409"/>
      <c r="B1907" s="410"/>
      <c r="E1907" s="489"/>
    </row>
    <row r="1908" spans="1:6" ht="14.25">
      <c r="A1908" s="409"/>
      <c r="B1908" s="410"/>
      <c r="C1908" s="217" t="s">
        <v>3789</v>
      </c>
      <c r="E1908" s="489"/>
    </row>
    <row r="1909" spans="1:6" ht="14.25">
      <c r="A1909" s="409"/>
      <c r="B1909" s="410"/>
      <c r="C1909" s="217" t="s">
        <v>400</v>
      </c>
    </row>
    <row r="1910" spans="1:6" ht="14.25">
      <c r="A1910" s="409"/>
      <c r="B1910" s="410"/>
      <c r="D1910" s="255" t="s">
        <v>526</v>
      </c>
      <c r="E1910" s="492">
        <f>VLOOKUP(decCh4Prod2Slot2Pack,dataPackMaterialExp,2,FALSE)</f>
        <v>0</v>
      </c>
      <c r="F1910" s="276" t="s">
        <v>4235</v>
      </c>
    </row>
    <row r="1911" spans="1:6" ht="14.25">
      <c r="A1911" s="409"/>
      <c r="B1911" s="410"/>
      <c r="D1911" s="328" t="s">
        <v>960</v>
      </c>
      <c r="E1911" s="502">
        <f>VLOOKUP(finCalcCh4Prod2Slot2ForcastAcc,dataForecastImpactMatCost,2,TRUE)*E1910</f>
        <v>0</v>
      </c>
      <c r="F1911" s="276" t="s">
        <v>4236</v>
      </c>
    </row>
    <row r="1912" spans="1:6" ht="14.25">
      <c r="A1912" s="409"/>
      <c r="B1912" s="410"/>
      <c r="D1912" s="328" t="s">
        <v>14030</v>
      </c>
      <c r="E1912" s="493">
        <f>paramProd2MatExpSI*finCalcCh4Prod2Slot2MatExpPerUnitBase</f>
        <v>0</v>
      </c>
      <c r="F1912" s="276" t="s">
        <v>4237</v>
      </c>
    </row>
    <row r="1913" spans="1:6" ht="14.25">
      <c r="A1913" s="409"/>
      <c r="B1913" s="410"/>
      <c r="D1913" s="209" t="s">
        <v>518</v>
      </c>
      <c r="E1913" s="327">
        <f>SUM(E1910:E1912)</f>
        <v>0</v>
      </c>
      <c r="F1913" s="276" t="s">
        <v>4238</v>
      </c>
    </row>
    <row r="1914" spans="1:6" ht="14.25">
      <c r="A1914" s="409"/>
      <c r="B1914" s="410"/>
      <c r="D1914" s="209" t="s">
        <v>401</v>
      </c>
      <c r="E1914" s="220">
        <f>finCalcCh4Prod2Slot2MatExpPUnitTot*finCalcCh4Prod2Slot2VolSold</f>
        <v>0</v>
      </c>
      <c r="F1914" s="276" t="s">
        <v>13034</v>
      </c>
    </row>
    <row r="1915" spans="1:6" ht="14.25">
      <c r="A1915" s="409"/>
      <c r="B1915" s="410"/>
      <c r="C1915" s="208"/>
      <c r="F1915" s="276"/>
    </row>
    <row r="1916" spans="1:6" ht="14.25">
      <c r="A1916" s="409"/>
      <c r="B1916" s="410"/>
      <c r="C1916" s="217" t="s">
        <v>399</v>
      </c>
      <c r="E1916" s="224"/>
    </row>
    <row r="1917" spans="1:6" ht="14.25">
      <c r="A1917" s="409"/>
      <c r="B1917" s="410"/>
      <c r="D1917" s="328" t="s">
        <v>969</v>
      </c>
      <c r="E1917" s="510">
        <f>VLOOKUP(decCh4Prod2Slot2Pack,dataPackLabourHrs,2,FALSE)</f>
        <v>0</v>
      </c>
      <c r="F1917" s="276" t="s">
        <v>4239</v>
      </c>
    </row>
    <row r="1918" spans="1:6" ht="14.25">
      <c r="A1918" s="409"/>
      <c r="B1918" s="410"/>
      <c r="D1918" s="328" t="s">
        <v>960</v>
      </c>
      <c r="E1918" s="510">
        <f>VLOOKUP(finCalcCh4Prod2Slot2ForcastAcc,dataForecastImpactLabCost,2,TRUE)*finCalcCh4Prod2Slot2LabourHrsReqPVolBase</f>
        <v>0</v>
      </c>
      <c r="F1918" s="276" t="s">
        <v>4240</v>
      </c>
    </row>
    <row r="1919" spans="1:6" ht="14.25">
      <c r="A1919" s="409"/>
      <c r="B1919" s="410"/>
      <c r="D1919" s="328" t="s">
        <v>14030</v>
      </c>
      <c r="E1919" s="510">
        <f>paramProd2LabourExpSI*finCalcCh4Prod2Slot2LabourHrsReqPVolBase</f>
        <v>0</v>
      </c>
      <c r="F1919" s="276" t="s">
        <v>4241</v>
      </c>
    </row>
    <row r="1920" spans="1:6" ht="14.25">
      <c r="A1920" s="409"/>
      <c r="B1920" s="410"/>
      <c r="D1920" s="209" t="s">
        <v>3795</v>
      </c>
      <c r="E1920" s="511">
        <f>SUM(E1917:E1919)</f>
        <v>0</v>
      </c>
      <c r="F1920" s="276" t="s">
        <v>4242</v>
      </c>
    </row>
    <row r="1921" spans="1:6" ht="14.25">
      <c r="A1921" s="409"/>
      <c r="B1921" s="410"/>
      <c r="D1921" s="328"/>
      <c r="E1921" s="499"/>
      <c r="F1921" s="276"/>
    </row>
    <row r="1922" spans="1:6" ht="14.25">
      <c r="A1922" s="409"/>
      <c r="B1922" s="410"/>
      <c r="D1922" s="209" t="s">
        <v>974</v>
      </c>
      <c r="E1922" s="494">
        <f>paramLabourCostPerHr</f>
        <v>5</v>
      </c>
      <c r="F1922" s="276" t="s">
        <v>4243</v>
      </c>
    </row>
    <row r="1923" spans="1:6" ht="14.25">
      <c r="A1923" s="409"/>
      <c r="B1923" s="410"/>
      <c r="D1923" s="209" t="s">
        <v>3793</v>
      </c>
      <c r="E1923" s="500">
        <f>finCalcCh4Prod2Slot2VolSold*finCalcCh4Prod2Slot2LabourHrsReqPVolTot</f>
        <v>0</v>
      </c>
    </row>
    <row r="1924" spans="1:6" ht="14.25">
      <c r="A1924" s="409"/>
      <c r="B1924" s="410"/>
      <c r="D1924" s="276" t="s">
        <v>973</v>
      </c>
      <c r="E1924" s="220">
        <f>E1923*finCalcCh4Prod2Slot2LabourCostPerHour</f>
        <v>0</v>
      </c>
      <c r="F1924" s="276" t="s">
        <v>13035</v>
      </c>
    </row>
    <row r="1925" spans="1:6" ht="14.25">
      <c r="A1925" s="409"/>
      <c r="B1925" s="410"/>
      <c r="E1925" s="223"/>
    </row>
    <row r="1926" spans="1:6" ht="14.25">
      <c r="A1926" s="409"/>
      <c r="B1926" s="410"/>
      <c r="C1926" s="217" t="s">
        <v>513</v>
      </c>
      <c r="E1926" s="223"/>
    </row>
    <row r="1927" spans="1:6" ht="14.25">
      <c r="A1927" s="409"/>
      <c r="B1927" s="410"/>
      <c r="C1927" s="326"/>
      <c r="D1927" s="276" t="s">
        <v>570</v>
      </c>
      <c r="E1927" s="491">
        <f>CalcCh4Prod2Slot2ManufacturingCostPUnit</f>
        <v>0</v>
      </c>
      <c r="F1927" s="276"/>
    </row>
    <row r="1928" spans="1:6" ht="14.25">
      <c r="A1928" s="409"/>
      <c r="B1928" s="410"/>
      <c r="C1928" s="326"/>
      <c r="D1928" s="209" t="s">
        <v>514</v>
      </c>
      <c r="E1928" s="490">
        <f>E1927*finCalcCh4Prod2Slot2VolSold</f>
        <v>0</v>
      </c>
      <c r="F1928" s="276" t="s">
        <v>13036</v>
      </c>
    </row>
    <row r="1929" spans="1:6" ht="14.25">
      <c r="A1929" s="409"/>
      <c r="B1929" s="410"/>
      <c r="C1929" s="208"/>
    </row>
    <row r="1930" spans="1:6" ht="14.25">
      <c r="A1930" s="409"/>
      <c r="B1930" s="410"/>
      <c r="C1930" s="498" t="s">
        <v>398</v>
      </c>
    </row>
    <row r="1931" spans="1:6" ht="14.25">
      <c r="A1931" s="409"/>
      <c r="B1931" s="410"/>
      <c r="C1931" s="208" t="s">
        <v>398</v>
      </c>
      <c r="E1931" s="223"/>
    </row>
    <row r="1932" spans="1:6" ht="14.25">
      <c r="A1932" s="409"/>
      <c r="B1932" s="410"/>
      <c r="D1932" s="209" t="s">
        <v>450</v>
      </c>
      <c r="E1932" s="220">
        <f>CalcCh4Prod2Slot2Depreciation</f>
        <v>0</v>
      </c>
      <c r="F1932" s="276" t="s">
        <v>2062</v>
      </c>
    </row>
    <row r="1933" spans="1:6" ht="14.25">
      <c r="A1933" s="409"/>
      <c r="B1933" s="410"/>
    </row>
    <row r="1934" spans="1:6" ht="14.25">
      <c r="A1934" s="409"/>
      <c r="B1934" s="410"/>
      <c r="C1934" s="217" t="s">
        <v>13066</v>
      </c>
    </row>
    <row r="1935" spans="1:6" ht="14.25">
      <c r="A1935" s="409"/>
      <c r="B1935" s="410"/>
      <c r="D1935" s="209" t="s">
        <v>400</v>
      </c>
      <c r="E1935" s="495">
        <f>finCalcCh4Prod2Slot2MatExpPUnitTot</f>
        <v>0</v>
      </c>
    </row>
    <row r="1936" spans="1:6" ht="14.25">
      <c r="A1936" s="409"/>
      <c r="B1936" s="410"/>
      <c r="D1936" s="209" t="s">
        <v>399</v>
      </c>
      <c r="E1936" s="495">
        <f>finCalcCh4Prod2Slot2LabourCostPerHour*finCalcCh4Prod2Slot2LabourHrsReqPVolTot</f>
        <v>0</v>
      </c>
    </row>
    <row r="1937" spans="1:6" ht="14.25">
      <c r="A1937" s="409"/>
      <c r="B1937" s="410"/>
      <c r="D1937" s="209" t="s">
        <v>513</v>
      </c>
      <c r="E1937" s="495">
        <f>E1927</f>
        <v>0</v>
      </c>
    </row>
    <row r="1938" spans="1:6" ht="14.25">
      <c r="A1938" s="409"/>
      <c r="B1938" s="410"/>
      <c r="D1938" s="209" t="s">
        <v>398</v>
      </c>
      <c r="E1938" s="496">
        <f>CalcCh4Prod2Slot2DepreciationPUnit</f>
        <v>0</v>
      </c>
    </row>
    <row r="1939" spans="1:6" ht="14.25">
      <c r="A1939" s="409"/>
      <c r="B1939" s="410"/>
      <c r="C1939" s="208" t="s">
        <v>397</v>
      </c>
      <c r="E1939" s="490">
        <f>SUM(E1935:E1938)</f>
        <v>0</v>
      </c>
      <c r="F1939" s="276" t="s">
        <v>2063</v>
      </c>
    </row>
    <row r="1940" spans="1:6" ht="14.25">
      <c r="A1940" s="409"/>
      <c r="B1940" s="410"/>
    </row>
    <row r="1941" spans="1:6" ht="14.25">
      <c r="A1941" s="409"/>
      <c r="B1941" s="410"/>
      <c r="C1941" s="217" t="s">
        <v>519</v>
      </c>
    </row>
    <row r="1942" spans="1:6" ht="14.25">
      <c r="A1942" s="409"/>
      <c r="B1942" s="410"/>
      <c r="D1942" s="328" t="s">
        <v>1286</v>
      </c>
      <c r="E1942" s="492">
        <f>VLOOKUP(decCh4Prod2Slot2Pack,dataPackLogisticsCost,2,FALSE)</f>
        <v>0</v>
      </c>
      <c r="F1942" s="276" t="s">
        <v>2959</v>
      </c>
    </row>
    <row r="1943" spans="1:6" ht="14.25">
      <c r="A1943" s="409"/>
      <c r="B1943" s="410"/>
      <c r="D1943" s="328" t="s">
        <v>960</v>
      </c>
      <c r="E1943" s="501">
        <f>VLOOKUP(finCalcCh4Prod2Slot2ForcastAcc,dataForecastImpactLogisticsCost,2,TRUE)*finCalcCh4Prod2Slot2LogExpPerUnit</f>
        <v>0</v>
      </c>
      <c r="F1943" s="276" t="s">
        <v>4244</v>
      </c>
    </row>
    <row r="1944" spans="1:6" ht="14.25">
      <c r="A1944" s="409"/>
      <c r="B1944" s="410"/>
      <c r="D1944" s="328" t="s">
        <v>14030</v>
      </c>
      <c r="E1944" s="497">
        <f>finCalcCh4Prod2Slot2LogExpPerUnit*paramProd2LogExpSI</f>
        <v>0</v>
      </c>
      <c r="F1944" s="276" t="s">
        <v>4245</v>
      </c>
    </row>
    <row r="1945" spans="1:6" ht="14.25">
      <c r="A1945" s="409"/>
      <c r="B1945" s="410"/>
      <c r="D1945" s="276" t="s">
        <v>1692</v>
      </c>
      <c r="E1945" s="327">
        <f>SUM(E1942:E1944)</f>
        <v>0</v>
      </c>
      <c r="F1945" s="276" t="s">
        <v>13037</v>
      </c>
    </row>
    <row r="1946" spans="1:6" ht="14.25">
      <c r="A1946" s="409"/>
      <c r="B1946" s="410"/>
      <c r="D1946" s="276" t="s">
        <v>1284</v>
      </c>
      <c r="E1946" s="490">
        <f>finCalcCh4Prod2Slot2LogExpAdjPUnit*finCalcCh4Prod2Slot2VolSold</f>
        <v>0</v>
      </c>
      <c r="F1946" s="276" t="s">
        <v>2064</v>
      </c>
    </row>
    <row r="1947" spans="1:6" ht="14.25">
      <c r="A1947" s="409"/>
      <c r="B1947" s="410"/>
      <c r="D1947" s="276"/>
      <c r="E1947" s="276"/>
      <c r="F1947" s="276"/>
    </row>
    <row r="1948" spans="1:6" s="322" customFormat="1" ht="12.75" customHeight="1">
      <c r="A1948" s="409"/>
      <c r="B1948" s="410"/>
      <c r="C1948" s="853"/>
      <c r="D1948" s="853" t="s">
        <v>3860</v>
      </c>
      <c r="E1948" s="972"/>
      <c r="F1948" s="409"/>
    </row>
    <row r="1949" spans="1:6" s="322" customFormat="1" ht="13.15" customHeight="1">
      <c r="A1949" s="409"/>
      <c r="B1949" s="410"/>
      <c r="C1949" s="323"/>
      <c r="D1949" s="323"/>
      <c r="E1949" s="324"/>
    </row>
    <row r="1950" spans="1:6" ht="14.25">
      <c r="A1950" s="409"/>
      <c r="B1950" s="410"/>
      <c r="C1950" s="217" t="s">
        <v>295</v>
      </c>
    </row>
    <row r="1951" spans="1:6" ht="14.25">
      <c r="A1951" s="409"/>
      <c r="B1951" s="410"/>
      <c r="D1951" s="276" t="s">
        <v>577</v>
      </c>
      <c r="E1951" s="491">
        <f>IF(calcCh4Prod2Slot3Active=1,IF(xxSim0Tool1=1,calcCh4Prod2Slot3VolForecastSlot,MMCh4Prod2Seg1Slot3UnitsSold+MMCh4Prod2Seg2Slot3UnitsSold+MMCh4Prod2Seg3Slot3UnitsSold+MMCh4Prod2Seg4Slot3UnitsSold),0)</f>
        <v>0</v>
      </c>
      <c r="F1951" s="276" t="s">
        <v>2065</v>
      </c>
    </row>
    <row r="1952" spans="1:6" ht="14.25">
      <c r="A1952" s="409"/>
      <c r="B1952" s="410"/>
      <c r="D1952" s="276" t="s">
        <v>1762</v>
      </c>
      <c r="E1952" s="399">
        <f>IF(VLOOKUP(decCh4Prod2Slot3Pack,dataPackSize,2,FALSE)=0,0,finCalcCh4Prod2Slot3VolSold/VLOOKUP(decCh4Prod2Slot3Pack,dataPackSize,2,FALSE))</f>
        <v>0</v>
      </c>
      <c r="F1952" s="276" t="s">
        <v>2066</v>
      </c>
    </row>
    <row r="1953" spans="1:6" ht="14.25">
      <c r="A1953" s="409"/>
      <c r="B1953" s="410"/>
      <c r="D1953" s="276" t="s">
        <v>966</v>
      </c>
      <c r="E1953" s="654">
        <f>IF(calcCh4Prod2Slot3VolForecastSlot=0,100%,finCalcCh4Prod2Slot3VolSold/calcCh4Prod2Slot3VolForecastSlot)</f>
        <v>1</v>
      </c>
      <c r="F1953" s="276" t="s">
        <v>2067</v>
      </c>
    </row>
    <row r="1954" spans="1:6" ht="14.25">
      <c r="A1954" s="409"/>
      <c r="B1954" s="410"/>
      <c r="E1954" s="489"/>
    </row>
    <row r="1955" spans="1:6" ht="14.25">
      <c r="A1955" s="409"/>
      <c r="B1955" s="410"/>
      <c r="C1955" s="217" t="s">
        <v>3789</v>
      </c>
      <c r="E1955" s="489"/>
    </row>
    <row r="1956" spans="1:6" ht="14.25">
      <c r="A1956" s="409"/>
      <c r="B1956" s="410"/>
      <c r="C1956" s="217" t="s">
        <v>400</v>
      </c>
    </row>
    <row r="1957" spans="1:6" ht="14.25">
      <c r="A1957" s="409"/>
      <c r="B1957" s="410"/>
      <c r="D1957" s="255" t="s">
        <v>526</v>
      </c>
      <c r="E1957" s="492">
        <f>VLOOKUP(decCh4Prod2Slot3Pack,dataPackMaterialExp,2,FALSE)</f>
        <v>0</v>
      </c>
      <c r="F1957" s="276" t="s">
        <v>4246</v>
      </c>
    </row>
    <row r="1958" spans="1:6" ht="14.25">
      <c r="A1958" s="409"/>
      <c r="B1958" s="410"/>
      <c r="D1958" s="328" t="s">
        <v>960</v>
      </c>
      <c r="E1958" s="502">
        <f>VLOOKUP(finCalcCh4Prod2Slot3ForcastAcc,dataForecastImpactMatCost,2,TRUE)*E1957</f>
        <v>0</v>
      </c>
      <c r="F1958" s="276" t="s">
        <v>4247</v>
      </c>
    </row>
    <row r="1959" spans="1:6" ht="14.25">
      <c r="A1959" s="409"/>
      <c r="B1959" s="410"/>
      <c r="D1959" s="328" t="s">
        <v>14030</v>
      </c>
      <c r="E1959" s="493">
        <f>paramProd2MatExpSI*finCalcCh4Prod2Slot3MatExpPerUnitBase</f>
        <v>0</v>
      </c>
      <c r="F1959" s="276" t="s">
        <v>4248</v>
      </c>
    </row>
    <row r="1960" spans="1:6" ht="14.25">
      <c r="A1960" s="409"/>
      <c r="B1960" s="410"/>
      <c r="D1960" s="209" t="s">
        <v>518</v>
      </c>
      <c r="E1960" s="327">
        <f>SUM(E1957:E1959)</f>
        <v>0</v>
      </c>
      <c r="F1960" s="276" t="s">
        <v>4249</v>
      </c>
    </row>
    <row r="1961" spans="1:6" ht="14.25">
      <c r="A1961" s="409"/>
      <c r="B1961" s="410"/>
      <c r="D1961" s="209" t="s">
        <v>401</v>
      </c>
      <c r="E1961" s="220">
        <f>finCalcCh4Prod2Slot3MatExpPUnitTot*finCalcCh4Prod2Slot3VolSold</f>
        <v>0</v>
      </c>
      <c r="F1961" s="276" t="s">
        <v>13038</v>
      </c>
    </row>
    <row r="1962" spans="1:6" ht="14.25">
      <c r="A1962" s="409"/>
      <c r="B1962" s="410"/>
      <c r="C1962" s="208"/>
      <c r="F1962" s="276"/>
    </row>
    <row r="1963" spans="1:6" ht="14.25">
      <c r="A1963" s="409"/>
      <c r="B1963" s="410"/>
      <c r="C1963" s="217" t="s">
        <v>399</v>
      </c>
      <c r="E1963" s="224"/>
    </row>
    <row r="1964" spans="1:6" ht="14.25">
      <c r="A1964" s="409"/>
      <c r="B1964" s="410"/>
      <c r="D1964" s="328" t="s">
        <v>969</v>
      </c>
      <c r="E1964" s="510">
        <f>VLOOKUP(decCh4Prod2Slot3Pack,dataPackLabourHrs,2,FALSE)</f>
        <v>0</v>
      </c>
      <c r="F1964" s="276" t="s">
        <v>4250</v>
      </c>
    </row>
    <row r="1965" spans="1:6" ht="14.25">
      <c r="A1965" s="409"/>
      <c r="B1965" s="410"/>
      <c r="D1965" s="328" t="s">
        <v>960</v>
      </c>
      <c r="E1965" s="510">
        <f>VLOOKUP(finCalcCh4Prod2Slot3ForcastAcc,dataForecastImpactLabCost,2,TRUE)*finCalcCh4Prod2Slot3LabourHrsReqPVolBase</f>
        <v>0</v>
      </c>
      <c r="F1965" s="276" t="s">
        <v>4251</v>
      </c>
    </row>
    <row r="1966" spans="1:6" ht="14.25">
      <c r="A1966" s="409"/>
      <c r="B1966" s="410"/>
      <c r="D1966" s="328" t="s">
        <v>14030</v>
      </c>
      <c r="E1966" s="510">
        <f>paramProd2LabourExpSI*finCalcCh4Prod2Slot3LabourHrsReqPVolBase</f>
        <v>0</v>
      </c>
      <c r="F1966" s="276" t="s">
        <v>4252</v>
      </c>
    </row>
    <row r="1967" spans="1:6" ht="14.25">
      <c r="A1967" s="409"/>
      <c r="B1967" s="410"/>
      <c r="D1967" s="209" t="s">
        <v>3795</v>
      </c>
      <c r="E1967" s="511">
        <f>SUM(E1964:E1966)</f>
        <v>0</v>
      </c>
      <c r="F1967" s="276" t="s">
        <v>4253</v>
      </c>
    </row>
    <row r="1968" spans="1:6" ht="14.25">
      <c r="A1968" s="409"/>
      <c r="B1968" s="410"/>
      <c r="D1968" s="328"/>
      <c r="E1968" s="499"/>
      <c r="F1968" s="276"/>
    </row>
    <row r="1969" spans="1:6" ht="14.25">
      <c r="A1969" s="409"/>
      <c r="B1969" s="410"/>
      <c r="D1969" s="209" t="s">
        <v>974</v>
      </c>
      <c r="E1969" s="494">
        <f>paramLabourCostPerHr</f>
        <v>5</v>
      </c>
      <c r="F1969" s="276" t="s">
        <v>4254</v>
      </c>
    </row>
    <row r="1970" spans="1:6" ht="14.25">
      <c r="A1970" s="409"/>
      <c r="B1970" s="410"/>
      <c r="D1970" s="209" t="s">
        <v>3793</v>
      </c>
      <c r="E1970" s="500">
        <f>finCalcCh4Prod2Slot3VolSold*finCalcCh4Prod2Slot3LabourHrsReqPVolTot</f>
        <v>0</v>
      </c>
    </row>
    <row r="1971" spans="1:6" ht="14.25">
      <c r="A1971" s="409"/>
      <c r="B1971" s="410"/>
      <c r="D1971" s="276" t="s">
        <v>973</v>
      </c>
      <c r="E1971" s="220">
        <f>E1970*finCalcCh4Prod2Slot3LabourCostPerHour</f>
        <v>0</v>
      </c>
      <c r="F1971" s="276" t="s">
        <v>13039</v>
      </c>
    </row>
    <row r="1972" spans="1:6" ht="14.25">
      <c r="A1972" s="409"/>
      <c r="B1972" s="410"/>
      <c r="E1972" s="223"/>
    </row>
    <row r="1973" spans="1:6" ht="14.25">
      <c r="A1973" s="409"/>
      <c r="B1973" s="410"/>
      <c r="C1973" s="217" t="s">
        <v>513</v>
      </c>
      <c r="E1973" s="223"/>
    </row>
    <row r="1974" spans="1:6" ht="14.25">
      <c r="A1974" s="409"/>
      <c r="B1974" s="410"/>
      <c r="C1974" s="326"/>
      <c r="D1974" s="276" t="s">
        <v>570</v>
      </c>
      <c r="E1974" s="491">
        <f>CalcCh4Prod2Slot3ManufacturingCostPUnit</f>
        <v>0</v>
      </c>
      <c r="F1974" s="276"/>
    </row>
    <row r="1975" spans="1:6" ht="14.25">
      <c r="A1975" s="409"/>
      <c r="B1975" s="410"/>
      <c r="C1975" s="326"/>
      <c r="D1975" s="209" t="s">
        <v>514</v>
      </c>
      <c r="E1975" s="490">
        <f>E1974*finCalcCh4Prod2Slot3VolSold</f>
        <v>0</v>
      </c>
      <c r="F1975" s="276" t="s">
        <v>13040</v>
      </c>
    </row>
    <row r="1976" spans="1:6" ht="14.25">
      <c r="A1976" s="409"/>
      <c r="B1976" s="410"/>
      <c r="C1976" s="208"/>
    </row>
    <row r="1977" spans="1:6" ht="14.25">
      <c r="A1977" s="409"/>
      <c r="B1977" s="410"/>
      <c r="C1977" s="498" t="s">
        <v>398</v>
      </c>
    </row>
    <row r="1978" spans="1:6" ht="14.25">
      <c r="A1978" s="409"/>
      <c r="B1978" s="410"/>
      <c r="C1978" s="208" t="s">
        <v>398</v>
      </c>
      <c r="E1978" s="223"/>
    </row>
    <row r="1979" spans="1:6" ht="14.25">
      <c r="A1979" s="409"/>
      <c r="B1979" s="410"/>
      <c r="D1979" s="209" t="s">
        <v>450</v>
      </c>
      <c r="E1979" s="220">
        <f>CalcCh4Prod2Slot3Depreciation</f>
        <v>0</v>
      </c>
      <c r="F1979" s="276" t="s">
        <v>2068</v>
      </c>
    </row>
    <row r="1980" spans="1:6" ht="14.25">
      <c r="A1980" s="409"/>
      <c r="B1980" s="410"/>
    </row>
    <row r="1981" spans="1:6" ht="14.25">
      <c r="A1981" s="409"/>
      <c r="B1981" s="410"/>
      <c r="C1981" s="217" t="s">
        <v>13066</v>
      </c>
    </row>
    <row r="1982" spans="1:6" ht="14.25">
      <c r="A1982" s="409"/>
      <c r="B1982" s="410"/>
      <c r="D1982" s="209" t="s">
        <v>400</v>
      </c>
      <c r="E1982" s="495">
        <f>finCalcCh4Prod2Slot3MatExpPUnitTot</f>
        <v>0</v>
      </c>
    </row>
    <row r="1983" spans="1:6" ht="14.25">
      <c r="A1983" s="409"/>
      <c r="B1983" s="410"/>
      <c r="D1983" s="209" t="s">
        <v>399</v>
      </c>
      <c r="E1983" s="495">
        <f>finCalcCh4Prod2Slot3LabourCostPerHour*finCalcCh4Prod2Slot3LabourHrsReqPVolTot</f>
        <v>0</v>
      </c>
    </row>
    <row r="1984" spans="1:6" ht="14.25">
      <c r="A1984" s="409"/>
      <c r="B1984" s="410"/>
      <c r="D1984" s="209" t="s">
        <v>513</v>
      </c>
      <c r="E1984" s="495">
        <f>E1974</f>
        <v>0</v>
      </c>
    </row>
    <row r="1985" spans="1:6" ht="14.25">
      <c r="A1985" s="409"/>
      <c r="B1985" s="410"/>
      <c r="D1985" s="209" t="s">
        <v>398</v>
      </c>
      <c r="E1985" s="496">
        <f>CalcCh4Prod2Slot3DepreciationPUnit</f>
        <v>0</v>
      </c>
    </row>
    <row r="1986" spans="1:6" ht="14.25">
      <c r="A1986" s="409"/>
      <c r="B1986" s="410"/>
      <c r="C1986" s="208" t="s">
        <v>397</v>
      </c>
      <c r="E1986" s="490">
        <f>SUM(E1982:E1985)</f>
        <v>0</v>
      </c>
      <c r="F1986" s="276" t="s">
        <v>2069</v>
      </c>
    </row>
    <row r="1987" spans="1:6" ht="14.25">
      <c r="A1987" s="409"/>
      <c r="B1987" s="410"/>
    </row>
    <row r="1988" spans="1:6" ht="14.25">
      <c r="A1988" s="409"/>
      <c r="B1988" s="410"/>
      <c r="C1988" s="217" t="s">
        <v>519</v>
      </c>
    </row>
    <row r="1989" spans="1:6" ht="14.25">
      <c r="A1989" s="409"/>
      <c r="B1989" s="410"/>
      <c r="D1989" s="328" t="s">
        <v>1286</v>
      </c>
      <c r="E1989" s="492">
        <f>VLOOKUP(decCh4Prod2Slot3Pack,dataPackLogisticsCost,2,FALSE)</f>
        <v>0</v>
      </c>
      <c r="F1989" s="276" t="s">
        <v>2960</v>
      </c>
    </row>
    <row r="1990" spans="1:6" ht="14.25">
      <c r="A1990" s="409"/>
      <c r="B1990" s="410"/>
      <c r="D1990" s="328" t="s">
        <v>960</v>
      </c>
      <c r="E1990" s="501">
        <f>VLOOKUP(finCalcCh4Prod2Slot3ForcastAcc,dataForecastImpactLogisticsCost,2,TRUE)*finCalcCh4Prod2Slot3LogExpPerUnit</f>
        <v>0</v>
      </c>
      <c r="F1990" s="276" t="s">
        <v>4255</v>
      </c>
    </row>
    <row r="1991" spans="1:6" ht="14.25">
      <c r="A1991" s="409"/>
      <c r="B1991" s="410"/>
      <c r="D1991" s="328" t="s">
        <v>14030</v>
      </c>
      <c r="E1991" s="497">
        <f>finCalcCh4Prod2Slot3LogExpPerUnit*paramProd2LogExpSI</f>
        <v>0</v>
      </c>
      <c r="F1991" s="276" t="s">
        <v>4256</v>
      </c>
    </row>
    <row r="1992" spans="1:6" ht="14.25">
      <c r="A1992" s="409"/>
      <c r="B1992" s="410"/>
      <c r="D1992" s="276" t="s">
        <v>1692</v>
      </c>
      <c r="E1992" s="327">
        <f>SUM(E1989:E1991)</f>
        <v>0</v>
      </c>
      <c r="F1992" s="276" t="s">
        <v>13041</v>
      </c>
    </row>
    <row r="1993" spans="1:6" ht="14.25">
      <c r="A1993" s="409"/>
      <c r="B1993" s="410"/>
      <c r="D1993" s="276" t="s">
        <v>1284</v>
      </c>
      <c r="E1993" s="490">
        <f>finCalcCh4Prod2Slot3LogExpAdjPUnit*finCalcCh4Prod2Slot3VolSold</f>
        <v>0</v>
      </c>
      <c r="F1993" s="276" t="s">
        <v>2070</v>
      </c>
    </row>
    <row r="1994" spans="1:6" ht="14.25">
      <c r="A1994" s="409"/>
      <c r="B1994" s="410"/>
      <c r="D1994" s="276"/>
      <c r="E1994" s="276"/>
      <c r="F1994" s="276"/>
    </row>
    <row r="1995" spans="1:6" s="322" customFormat="1" ht="12.75" customHeight="1">
      <c r="A1995" s="409"/>
      <c r="B1995" s="410"/>
      <c r="C1995" s="853" t="s">
        <v>239</v>
      </c>
      <c r="D1995" s="853"/>
      <c r="E1995" s="972"/>
      <c r="F1995" s="409"/>
    </row>
    <row r="1996" spans="1:6" s="322" customFormat="1" ht="12.75" customHeight="1">
      <c r="A1996" s="409"/>
      <c r="B1996" s="410"/>
      <c r="C1996" s="853"/>
      <c r="D1996" s="853" t="s">
        <v>3859</v>
      </c>
      <c r="E1996" s="972"/>
      <c r="F1996" s="409"/>
    </row>
    <row r="1997" spans="1:6" s="322" customFormat="1" ht="13.15" customHeight="1">
      <c r="A1997" s="409"/>
      <c r="B1997" s="410"/>
      <c r="C1997" s="323"/>
      <c r="D1997" s="323"/>
      <c r="E1997" s="324"/>
    </row>
    <row r="1998" spans="1:6" ht="14.25">
      <c r="A1998" s="409"/>
      <c r="B1998" s="410"/>
      <c r="C1998" s="217" t="s">
        <v>295</v>
      </c>
    </row>
    <row r="1999" spans="1:6" ht="14.25">
      <c r="A1999" s="409"/>
      <c r="B1999" s="410"/>
      <c r="D1999" s="276" t="s">
        <v>577</v>
      </c>
      <c r="E1999" s="491">
        <f>IF(calcCh4Prod3Slot1Active=1,IF(xxSim0Tool1=1,calcCh4Prod3Slot1VolForecastSlot,MMCh4Prod3Seg1Slot1UnitsSold+MMCh4Prod3Seg2Slot1UnitsSold+MMCh4Prod3Seg3Slot1UnitsSold+MMCh4Prod3Seg4Slot1UnitsSold),0)</f>
        <v>23547720</v>
      </c>
      <c r="F1999" s="276" t="s">
        <v>2071</v>
      </c>
    </row>
    <row r="2000" spans="1:6" ht="14.25">
      <c r="A2000" s="409"/>
      <c r="B2000" s="410"/>
      <c r="D2000" s="276" t="s">
        <v>1762</v>
      </c>
      <c r="E2000" s="399">
        <f>IF(VLOOKUP(decCh4Prod3Slot1Pack,dataPackSize,2,FALSE)=0,0,finCalcCh4Prod3Slot1VolSold/VLOOKUP(decCh4Prod3Slot1Pack,dataPackSize,2,FALSE))</f>
        <v>941908.8</v>
      </c>
      <c r="F2000" s="276" t="s">
        <v>2072</v>
      </c>
    </row>
    <row r="2001" spans="1:6" ht="14.25">
      <c r="A2001" s="409"/>
      <c r="B2001" s="410"/>
      <c r="D2001" s="276" t="s">
        <v>966</v>
      </c>
      <c r="E2001" s="654">
        <f>IF(calcCh4Prod3Slot1VolForecastSlot=0,100%,finCalcCh4Prod3Slot1VolSold/calcCh4Prod3Slot1VolForecastSlot)</f>
        <v>1</v>
      </c>
      <c r="F2001" s="276" t="s">
        <v>2073</v>
      </c>
    </row>
    <row r="2002" spans="1:6" ht="14.25">
      <c r="A2002" s="409"/>
      <c r="B2002" s="410"/>
      <c r="E2002" s="489"/>
    </row>
    <row r="2003" spans="1:6" ht="14.25">
      <c r="A2003" s="409"/>
      <c r="B2003" s="410"/>
      <c r="C2003" s="217" t="s">
        <v>3789</v>
      </c>
      <c r="E2003" s="489"/>
    </row>
    <row r="2004" spans="1:6" ht="14.25">
      <c r="A2004" s="409"/>
      <c r="B2004" s="410"/>
      <c r="C2004" s="217" t="s">
        <v>400</v>
      </c>
    </row>
    <row r="2005" spans="1:6" ht="14.25">
      <c r="A2005" s="409"/>
      <c r="B2005" s="410"/>
      <c r="D2005" s="255" t="s">
        <v>526</v>
      </c>
      <c r="E2005" s="492">
        <f>VLOOKUP(decCh4Prod3Slot1Pack,dataPackMaterialExp,2,FALSE)</f>
        <v>1.3738032000000004</v>
      </c>
      <c r="F2005" s="276" t="s">
        <v>4257</v>
      </c>
    </row>
    <row r="2006" spans="1:6" ht="14.25">
      <c r="A2006" s="409"/>
      <c r="B2006" s="410"/>
      <c r="D2006" s="328" t="s">
        <v>960</v>
      </c>
      <c r="E2006" s="502">
        <f>VLOOKUP(finCalcCh4Prod3Slot1ForcastAcc,dataForecastImpactMatCost,2,TRUE)*E2005</f>
        <v>0</v>
      </c>
      <c r="F2006" s="276" t="s">
        <v>4258</v>
      </c>
    </row>
    <row r="2007" spans="1:6" ht="14.25">
      <c r="A2007" s="409"/>
      <c r="B2007" s="410"/>
      <c r="D2007" s="328" t="s">
        <v>14030</v>
      </c>
      <c r="E2007" s="493">
        <f>paramProd3MatExpSI*finCalcCh4Prod3Slot1MatExpPerUnitBase</f>
        <v>0</v>
      </c>
      <c r="F2007" s="276" t="s">
        <v>4259</v>
      </c>
    </row>
    <row r="2008" spans="1:6" ht="14.25">
      <c r="A2008" s="409"/>
      <c r="B2008" s="410"/>
      <c r="D2008" s="209" t="s">
        <v>518</v>
      </c>
      <c r="E2008" s="327">
        <f>SUM(E2005:E2007)</f>
        <v>1.3738032000000004</v>
      </c>
      <c r="F2008" s="276" t="s">
        <v>4260</v>
      </c>
    </row>
    <row r="2009" spans="1:6" ht="14.25">
      <c r="A2009" s="409"/>
      <c r="B2009" s="410"/>
      <c r="D2009" s="209" t="s">
        <v>401</v>
      </c>
      <c r="E2009" s="220">
        <f>finCalcCh4Prod3Slot1MatExpPUnitTot*finCalcCh4Prod3Slot1VolSold</f>
        <v>32349933.088704012</v>
      </c>
      <c r="F2009" s="276" t="s">
        <v>13042</v>
      </c>
    </row>
    <row r="2010" spans="1:6" ht="14.25">
      <c r="A2010" s="409"/>
      <c r="B2010" s="410"/>
      <c r="C2010" s="208"/>
      <c r="F2010" s="276"/>
    </row>
    <row r="2011" spans="1:6" ht="14.25">
      <c r="A2011" s="409"/>
      <c r="B2011" s="410"/>
      <c r="C2011" s="217" t="s">
        <v>399</v>
      </c>
      <c r="E2011" s="224"/>
    </row>
    <row r="2012" spans="1:6" ht="14.25">
      <c r="A2012" s="409"/>
      <c r="B2012" s="410"/>
      <c r="D2012" s="328" t="s">
        <v>969</v>
      </c>
      <c r="E2012" s="510">
        <f>VLOOKUP(decCh4Prod3Slot1Pack,dataPackLabourHrs,2,FALSE)</f>
        <v>4.0405976470588245E-2</v>
      </c>
      <c r="F2012" s="276" t="s">
        <v>4261</v>
      </c>
    </row>
    <row r="2013" spans="1:6" ht="14.25">
      <c r="A2013" s="409"/>
      <c r="B2013" s="410"/>
      <c r="D2013" s="328" t="s">
        <v>960</v>
      </c>
      <c r="E2013" s="510">
        <f>VLOOKUP(finCalcCh4Prod3Slot1ForcastAcc,dataForecastImpactLabCost,2,TRUE)*finCalcCh4Prod3Slot1LabourHrsReqPVolBase</f>
        <v>0</v>
      </c>
      <c r="F2013" s="276" t="s">
        <v>4262</v>
      </c>
    </row>
    <row r="2014" spans="1:6" ht="14.25">
      <c r="A2014" s="409"/>
      <c r="B2014" s="410"/>
      <c r="D2014" s="328" t="s">
        <v>14030</v>
      </c>
      <c r="E2014" s="510">
        <f>paramProd3LabourExpSI*finCalcCh4Prod3Slot1LabourHrsReqPVolBase</f>
        <v>0</v>
      </c>
      <c r="F2014" s="276" t="s">
        <v>4263</v>
      </c>
    </row>
    <row r="2015" spans="1:6" ht="14.25">
      <c r="A2015" s="409"/>
      <c r="B2015" s="410"/>
      <c r="D2015" s="209" t="s">
        <v>3795</v>
      </c>
      <c r="E2015" s="511">
        <f>SUM(E2012:E2014)</f>
        <v>4.0405976470588245E-2</v>
      </c>
      <c r="F2015" s="276" t="s">
        <v>4264</v>
      </c>
    </row>
    <row r="2016" spans="1:6" ht="14.25">
      <c r="A2016" s="409"/>
      <c r="B2016" s="410"/>
      <c r="D2016" s="328"/>
      <c r="E2016" s="499"/>
      <c r="F2016" s="276"/>
    </row>
    <row r="2017" spans="1:6" ht="14.25">
      <c r="A2017" s="409"/>
      <c r="B2017" s="410"/>
      <c r="D2017" s="209" t="s">
        <v>974</v>
      </c>
      <c r="E2017" s="494">
        <f>paramLabourCostPerHr</f>
        <v>5</v>
      </c>
      <c r="F2017" s="276" t="s">
        <v>4265</v>
      </c>
    </row>
    <row r="2018" spans="1:6" ht="14.25">
      <c r="A2018" s="409"/>
      <c r="B2018" s="410"/>
      <c r="D2018" s="209" t="s">
        <v>3793</v>
      </c>
      <c r="E2018" s="500">
        <f>finCalcCh4Prod3Slot1VolSold*finCalcCh4Prod3Slot1LabourHrsReqPVolTot</f>
        <v>951468.6202560002</v>
      </c>
    </row>
    <row r="2019" spans="1:6" ht="14.25">
      <c r="A2019" s="409"/>
      <c r="B2019" s="410"/>
      <c r="D2019" s="276" t="s">
        <v>973</v>
      </c>
      <c r="E2019" s="220">
        <f>E2018*finCalcCh4Prod3Slot1LabourCostPerHour</f>
        <v>4757343.101280001</v>
      </c>
      <c r="F2019" s="276" t="s">
        <v>13043</v>
      </c>
    </row>
    <row r="2020" spans="1:6" ht="14.25">
      <c r="A2020" s="409"/>
      <c r="B2020" s="410"/>
      <c r="E2020" s="223"/>
    </row>
    <row r="2021" spans="1:6" ht="14.25">
      <c r="A2021" s="409"/>
      <c r="B2021" s="410"/>
      <c r="C2021" s="217" t="s">
        <v>513</v>
      </c>
      <c r="E2021" s="223"/>
    </row>
    <row r="2022" spans="1:6" ht="14.25">
      <c r="A2022" s="409"/>
      <c r="B2022" s="410"/>
      <c r="C2022" s="326"/>
      <c r="D2022" s="276" t="s">
        <v>570</v>
      </c>
      <c r="E2022" s="491">
        <f>CalcCh4Prod3Slot1ManufacturingCostPUnit</f>
        <v>0.26762400000000003</v>
      </c>
      <c r="F2022" s="276"/>
    </row>
    <row r="2023" spans="1:6" ht="14.25">
      <c r="A2023" s="409"/>
      <c r="B2023" s="410"/>
      <c r="C2023" s="326"/>
      <c r="D2023" s="209" t="s">
        <v>514</v>
      </c>
      <c r="E2023" s="490">
        <f>E2022*finCalcCh4Prod3Slot1VolSold</f>
        <v>6301935.0172800003</v>
      </c>
      <c r="F2023" s="276" t="s">
        <v>13044</v>
      </c>
    </row>
    <row r="2024" spans="1:6" ht="14.25">
      <c r="A2024" s="409"/>
      <c r="B2024" s="410"/>
      <c r="C2024" s="208"/>
    </row>
    <row r="2025" spans="1:6" ht="14.25">
      <c r="A2025" s="409"/>
      <c r="B2025" s="410"/>
      <c r="C2025" s="498" t="s">
        <v>398</v>
      </c>
    </row>
    <row r="2026" spans="1:6" ht="14.25">
      <c r="A2026" s="409"/>
      <c r="B2026" s="410"/>
      <c r="C2026" s="208" t="s">
        <v>398</v>
      </c>
      <c r="E2026" s="223"/>
    </row>
    <row r="2027" spans="1:6" ht="14.25">
      <c r="A2027" s="409"/>
      <c r="B2027" s="410"/>
      <c r="D2027" s="209" t="s">
        <v>450</v>
      </c>
      <c r="E2027" s="220">
        <f>CalcCh4Prod3Slot1Depreciation</f>
        <v>2804742.7542561754</v>
      </c>
      <c r="F2027" s="276" t="s">
        <v>2074</v>
      </c>
    </row>
    <row r="2028" spans="1:6" ht="14.25">
      <c r="A2028" s="409"/>
      <c r="B2028" s="410"/>
    </row>
    <row r="2029" spans="1:6" ht="14.25">
      <c r="A2029" s="409"/>
      <c r="B2029" s="410"/>
      <c r="C2029" s="217" t="s">
        <v>13066</v>
      </c>
    </row>
    <row r="2030" spans="1:6" ht="14.25">
      <c r="A2030" s="409"/>
      <c r="B2030" s="410"/>
      <c r="D2030" s="209" t="s">
        <v>400</v>
      </c>
      <c r="E2030" s="495">
        <f>finCalcCh4Prod3Slot1MatExpPUnitTot</f>
        <v>1.3738032000000004</v>
      </c>
    </row>
    <row r="2031" spans="1:6" ht="14.25">
      <c r="A2031" s="409"/>
      <c r="B2031" s="410"/>
      <c r="D2031" s="209" t="s">
        <v>399</v>
      </c>
      <c r="E2031" s="495">
        <f>finCalcCh4Prod3Slot1LabourCostPerHour*finCalcCh4Prod3Slot1LabourHrsReqPVolTot</f>
        <v>0.20202988235294123</v>
      </c>
    </row>
    <row r="2032" spans="1:6" ht="14.25">
      <c r="A2032" s="409"/>
      <c r="B2032" s="410"/>
      <c r="D2032" s="209" t="s">
        <v>513</v>
      </c>
      <c r="E2032" s="495">
        <f>E2022</f>
        <v>0.26762400000000003</v>
      </c>
    </row>
    <row r="2033" spans="1:6" ht="14.25">
      <c r="A2033" s="409"/>
      <c r="B2033" s="410"/>
      <c r="D2033" s="209" t="s">
        <v>398</v>
      </c>
      <c r="E2033" s="496">
        <f>CalcCh4Prod3Slot1DepreciationPUnit</f>
        <v>0.11910888842980022</v>
      </c>
    </row>
    <row r="2034" spans="1:6" ht="14.25">
      <c r="A2034" s="409"/>
      <c r="B2034" s="410"/>
      <c r="C2034" s="208" t="s">
        <v>397</v>
      </c>
      <c r="E2034" s="490">
        <f>SUM(E2030:E2033)</f>
        <v>1.9625659707827419</v>
      </c>
      <c r="F2034" s="276" t="s">
        <v>2075</v>
      </c>
    </row>
    <row r="2035" spans="1:6" ht="14.25">
      <c r="A2035" s="409"/>
      <c r="B2035" s="410"/>
    </row>
    <row r="2036" spans="1:6" ht="14.25">
      <c r="A2036" s="409"/>
      <c r="B2036" s="410"/>
      <c r="C2036" s="217" t="s">
        <v>519</v>
      </c>
    </row>
    <row r="2037" spans="1:6" ht="14.25">
      <c r="A2037" s="409"/>
      <c r="B2037" s="410"/>
      <c r="D2037" s="328" t="s">
        <v>1286</v>
      </c>
      <c r="E2037" s="492">
        <f>VLOOKUP(decCh4Prod3Slot1Pack,dataPackLogisticsCost,2,FALSE)</f>
        <v>0.23343157894736849</v>
      </c>
      <c r="F2037" s="276" t="s">
        <v>2961</v>
      </c>
    </row>
    <row r="2038" spans="1:6" ht="14.25">
      <c r="A2038" s="409"/>
      <c r="B2038" s="410"/>
      <c r="D2038" s="328" t="s">
        <v>960</v>
      </c>
      <c r="E2038" s="501">
        <f>VLOOKUP(finCalcCh4Prod3Slot1ForcastAcc,dataForecastImpactLogisticsCost,2,TRUE)*finCalcCh4Prod3Slot1LogExpPerUnit</f>
        <v>0</v>
      </c>
      <c r="F2038" s="276" t="s">
        <v>4266</v>
      </c>
    </row>
    <row r="2039" spans="1:6" ht="14.25">
      <c r="A2039" s="409"/>
      <c r="B2039" s="410"/>
      <c r="D2039" s="328" t="s">
        <v>14030</v>
      </c>
      <c r="E2039" s="497">
        <f>finCalcCh4Prod3Slot1LogExpPerUnit*paramProd3LogExpSI</f>
        <v>0</v>
      </c>
      <c r="F2039" s="276" t="s">
        <v>4267</v>
      </c>
    </row>
    <row r="2040" spans="1:6" ht="14.25">
      <c r="A2040" s="409"/>
      <c r="B2040" s="410"/>
      <c r="D2040" s="276" t="s">
        <v>1692</v>
      </c>
      <c r="E2040" s="327">
        <f>SUM(E2037:E2039)</f>
        <v>0.23343157894736849</v>
      </c>
      <c r="F2040" s="276" t="s">
        <v>13045</v>
      </c>
    </row>
    <row r="2041" spans="1:6" ht="14.25">
      <c r="A2041" s="409"/>
      <c r="B2041" s="410"/>
      <c r="D2041" s="276" t="s">
        <v>1284</v>
      </c>
      <c r="E2041" s="490">
        <f>finCalcCh4Prod3Slot1LogExpAdjPUnit*finCalcCh4Prod3Slot1VolSold</f>
        <v>5496781.4602105282</v>
      </c>
      <c r="F2041" s="276" t="s">
        <v>2076</v>
      </c>
    </row>
    <row r="2042" spans="1:6" ht="14.25">
      <c r="A2042" s="409"/>
      <c r="B2042" s="410"/>
      <c r="D2042" s="276"/>
      <c r="E2042" s="276"/>
      <c r="F2042" s="276"/>
    </row>
    <row r="2043" spans="1:6" s="322" customFormat="1" ht="12.75" customHeight="1">
      <c r="A2043" s="409"/>
      <c r="B2043" s="410"/>
      <c r="C2043" s="853"/>
      <c r="D2043" s="853" t="s">
        <v>3858</v>
      </c>
      <c r="E2043" s="972"/>
      <c r="F2043" s="409"/>
    </row>
    <row r="2044" spans="1:6" s="322" customFormat="1" ht="13.15" customHeight="1">
      <c r="A2044" s="409"/>
      <c r="B2044" s="410"/>
      <c r="C2044" s="323"/>
      <c r="D2044" s="323"/>
      <c r="E2044" s="324"/>
    </row>
    <row r="2045" spans="1:6" ht="14.25">
      <c r="A2045" s="409"/>
      <c r="B2045" s="410"/>
      <c r="C2045" s="217" t="s">
        <v>295</v>
      </c>
    </row>
    <row r="2046" spans="1:6" ht="14.25">
      <c r="A2046" s="409"/>
      <c r="B2046" s="410"/>
      <c r="D2046" s="276" t="s">
        <v>577</v>
      </c>
      <c r="E2046" s="491">
        <f>IF(calcCh4Prod3Slot2Active=1,IF(xxSim0Tool1=1,calcCh4Prod3Slot2VolForecastSlot,MMCh4Prod3Seg1Slot2UnitsSold+MMCh4Prod3Seg2Slot2UnitsSold+MMCh4Prod3Seg3Slot2UnitsSold+MMCh4Prod3Seg4Slot2UnitsSold),0)</f>
        <v>0</v>
      </c>
      <c r="F2046" s="276" t="s">
        <v>2077</v>
      </c>
    </row>
    <row r="2047" spans="1:6" ht="14.25">
      <c r="A2047" s="409"/>
      <c r="B2047" s="410"/>
      <c r="D2047" s="276" t="s">
        <v>1762</v>
      </c>
      <c r="E2047" s="399">
        <f>IF(VLOOKUP(decCh4Prod3Slot2Pack,dataPackSize,2,FALSE)=0,0,finCalcCh4Prod3Slot2VolSold/VLOOKUP(decCh4Prod3Slot2Pack,dataPackSize,2,FALSE))</f>
        <v>0</v>
      </c>
      <c r="F2047" s="276" t="s">
        <v>2078</v>
      </c>
    </row>
    <row r="2048" spans="1:6" ht="14.25">
      <c r="A2048" s="409"/>
      <c r="B2048" s="410"/>
      <c r="D2048" s="276" t="s">
        <v>966</v>
      </c>
      <c r="E2048" s="654">
        <f>IF(calcCh4Prod3Slot2VolForecastSlot=0,100%,finCalcCh4Prod3Slot2VolSold/calcCh4Prod3Slot2VolForecastSlot)</f>
        <v>1</v>
      </c>
      <c r="F2048" s="276" t="s">
        <v>2079</v>
      </c>
    </row>
    <row r="2049" spans="1:6" ht="14.25">
      <c r="A2049" s="409"/>
      <c r="B2049" s="410"/>
      <c r="E2049" s="489"/>
    </row>
    <row r="2050" spans="1:6" ht="14.25">
      <c r="A2050" s="409"/>
      <c r="B2050" s="410"/>
      <c r="C2050" s="217" t="s">
        <v>3789</v>
      </c>
      <c r="E2050" s="489"/>
    </row>
    <row r="2051" spans="1:6" ht="14.25">
      <c r="A2051" s="409"/>
      <c r="B2051" s="410"/>
      <c r="C2051" s="217" t="s">
        <v>400</v>
      </c>
    </row>
    <row r="2052" spans="1:6" ht="14.25">
      <c r="A2052" s="409"/>
      <c r="B2052" s="410"/>
      <c r="D2052" s="255" t="s">
        <v>526</v>
      </c>
      <c r="E2052" s="492">
        <f>VLOOKUP(decCh4Prod3Slot2Pack,dataPackMaterialExp,2,FALSE)</f>
        <v>0</v>
      </c>
      <c r="F2052" s="276" t="s">
        <v>4268</v>
      </c>
    </row>
    <row r="2053" spans="1:6" ht="14.25">
      <c r="A2053" s="409"/>
      <c r="B2053" s="410"/>
      <c r="D2053" s="328" t="s">
        <v>960</v>
      </c>
      <c r="E2053" s="502">
        <f>VLOOKUP(finCalcCh4Prod3Slot2ForcastAcc,dataForecastImpactMatCost,2,TRUE)*E2052</f>
        <v>0</v>
      </c>
      <c r="F2053" s="276" t="s">
        <v>4269</v>
      </c>
    </row>
    <row r="2054" spans="1:6" ht="14.25">
      <c r="A2054" s="409"/>
      <c r="B2054" s="410"/>
      <c r="D2054" s="328" t="s">
        <v>14030</v>
      </c>
      <c r="E2054" s="493">
        <f>paramProd3MatExpSI*finCalcCh4Prod3Slot2MatExpPerUnitBase</f>
        <v>0</v>
      </c>
      <c r="F2054" s="276" t="s">
        <v>4270</v>
      </c>
    </row>
    <row r="2055" spans="1:6" ht="14.25">
      <c r="A2055" s="409"/>
      <c r="B2055" s="410"/>
      <c r="D2055" s="209" t="s">
        <v>518</v>
      </c>
      <c r="E2055" s="327">
        <f>SUM(E2052:E2054)</f>
        <v>0</v>
      </c>
      <c r="F2055" s="276" t="s">
        <v>4271</v>
      </c>
    </row>
    <row r="2056" spans="1:6" ht="14.25">
      <c r="A2056" s="409"/>
      <c r="B2056" s="410"/>
      <c r="D2056" s="209" t="s">
        <v>401</v>
      </c>
      <c r="E2056" s="220">
        <f>finCalcCh4Prod3Slot2MatExpPUnitTot*finCalcCh4Prod3Slot2VolSold</f>
        <v>0</v>
      </c>
      <c r="F2056" s="276" t="s">
        <v>13046</v>
      </c>
    </row>
    <row r="2057" spans="1:6" ht="14.25">
      <c r="A2057" s="409"/>
      <c r="B2057" s="410"/>
      <c r="C2057" s="208"/>
      <c r="F2057" s="276"/>
    </row>
    <row r="2058" spans="1:6" ht="14.25">
      <c r="A2058" s="409"/>
      <c r="B2058" s="410"/>
      <c r="C2058" s="217" t="s">
        <v>399</v>
      </c>
      <c r="E2058" s="224"/>
    </row>
    <row r="2059" spans="1:6" ht="14.25">
      <c r="A2059" s="409"/>
      <c r="B2059" s="410"/>
      <c r="D2059" s="328" t="s">
        <v>969</v>
      </c>
      <c r="E2059" s="510">
        <f>VLOOKUP(decCh4Prod3Slot2Pack,dataPackLabourHrs,2,FALSE)</f>
        <v>0</v>
      </c>
      <c r="F2059" s="276" t="s">
        <v>4272</v>
      </c>
    </row>
    <row r="2060" spans="1:6" ht="14.25">
      <c r="A2060" s="409"/>
      <c r="B2060" s="410"/>
      <c r="D2060" s="328" t="s">
        <v>960</v>
      </c>
      <c r="E2060" s="510">
        <f>VLOOKUP(finCalcCh4Prod3Slot2ForcastAcc,dataForecastImpactLabCost,2,TRUE)*finCalcCh4Prod3Slot2LabourHrsReqPVolBase</f>
        <v>0</v>
      </c>
      <c r="F2060" s="276" t="s">
        <v>4273</v>
      </c>
    </row>
    <row r="2061" spans="1:6" ht="14.25">
      <c r="A2061" s="409"/>
      <c r="B2061" s="410"/>
      <c r="D2061" s="328" t="s">
        <v>14030</v>
      </c>
      <c r="E2061" s="510">
        <f>paramProd3LabourExpSI*finCalcCh4Prod3Slot2LabourHrsReqPVolBase</f>
        <v>0</v>
      </c>
      <c r="F2061" s="276" t="s">
        <v>4274</v>
      </c>
    </row>
    <row r="2062" spans="1:6" ht="14.25">
      <c r="A2062" s="409"/>
      <c r="B2062" s="410"/>
      <c r="D2062" s="209" t="s">
        <v>3795</v>
      </c>
      <c r="E2062" s="511">
        <f>SUM(E2059:E2061)</f>
        <v>0</v>
      </c>
      <c r="F2062" s="276" t="s">
        <v>4275</v>
      </c>
    </row>
    <row r="2063" spans="1:6" ht="14.25">
      <c r="A2063" s="409"/>
      <c r="B2063" s="410"/>
      <c r="D2063" s="328"/>
      <c r="E2063" s="499"/>
      <c r="F2063" s="276"/>
    </row>
    <row r="2064" spans="1:6" ht="14.25">
      <c r="A2064" s="409"/>
      <c r="B2064" s="410"/>
      <c r="D2064" s="209" t="s">
        <v>974</v>
      </c>
      <c r="E2064" s="494">
        <f>paramLabourCostPerHr</f>
        <v>5</v>
      </c>
      <c r="F2064" s="276" t="s">
        <v>4276</v>
      </c>
    </row>
    <row r="2065" spans="1:6" ht="14.25">
      <c r="A2065" s="409"/>
      <c r="B2065" s="410"/>
      <c r="D2065" s="209" t="s">
        <v>3793</v>
      </c>
      <c r="E2065" s="500">
        <f>finCalcCh4Prod3Slot2VolSold*finCalcCh4Prod3Slot2LabourHrsReqPVolTot</f>
        <v>0</v>
      </c>
    </row>
    <row r="2066" spans="1:6" ht="14.25">
      <c r="A2066" s="409"/>
      <c r="B2066" s="410"/>
      <c r="D2066" s="276" t="s">
        <v>973</v>
      </c>
      <c r="E2066" s="220">
        <f>E2065*finCalcCh4Prod3Slot2LabourCostPerHour</f>
        <v>0</v>
      </c>
      <c r="F2066" s="276" t="s">
        <v>13047</v>
      </c>
    </row>
    <row r="2067" spans="1:6" ht="14.25">
      <c r="A2067" s="409"/>
      <c r="B2067" s="410"/>
      <c r="E2067" s="223"/>
    </row>
    <row r="2068" spans="1:6" ht="14.25">
      <c r="A2068" s="409"/>
      <c r="B2068" s="410"/>
      <c r="C2068" s="217" t="s">
        <v>513</v>
      </c>
      <c r="E2068" s="223"/>
    </row>
    <row r="2069" spans="1:6" ht="14.25">
      <c r="A2069" s="409"/>
      <c r="B2069" s="410"/>
      <c r="C2069" s="326"/>
      <c r="D2069" s="276" t="s">
        <v>570</v>
      </c>
      <c r="E2069" s="491">
        <f>CalcCh4Prod3Slot2ManufacturingCostPUnit</f>
        <v>0</v>
      </c>
      <c r="F2069" s="276"/>
    </row>
    <row r="2070" spans="1:6" ht="14.25">
      <c r="A2070" s="409"/>
      <c r="B2070" s="410"/>
      <c r="C2070" s="326"/>
      <c r="D2070" s="209" t="s">
        <v>514</v>
      </c>
      <c r="E2070" s="490">
        <f>E2069*finCalcCh4Prod3Slot2VolSold</f>
        <v>0</v>
      </c>
      <c r="F2070" s="276" t="s">
        <v>13048</v>
      </c>
    </row>
    <row r="2071" spans="1:6" ht="14.25">
      <c r="A2071" s="409"/>
      <c r="B2071" s="410"/>
      <c r="C2071" s="208"/>
    </row>
    <row r="2072" spans="1:6" ht="14.25">
      <c r="A2072" s="409"/>
      <c r="B2072" s="410"/>
      <c r="C2072" s="498" t="s">
        <v>398</v>
      </c>
    </row>
    <row r="2073" spans="1:6" ht="14.25">
      <c r="A2073" s="409"/>
      <c r="B2073" s="410"/>
      <c r="C2073" s="208" t="s">
        <v>398</v>
      </c>
      <c r="E2073" s="223"/>
    </row>
    <row r="2074" spans="1:6" ht="14.25">
      <c r="A2074" s="409"/>
      <c r="B2074" s="410"/>
      <c r="D2074" s="209" t="s">
        <v>450</v>
      </c>
      <c r="E2074" s="220">
        <f>CalcCh4Prod3Slot2Depreciation</f>
        <v>0</v>
      </c>
      <c r="F2074" s="276" t="s">
        <v>2080</v>
      </c>
    </row>
    <row r="2075" spans="1:6" ht="14.25">
      <c r="A2075" s="409"/>
      <c r="B2075" s="410"/>
    </row>
    <row r="2076" spans="1:6" ht="14.25">
      <c r="A2076" s="409"/>
      <c r="B2076" s="410"/>
      <c r="C2076" s="217" t="s">
        <v>13066</v>
      </c>
    </row>
    <row r="2077" spans="1:6" ht="14.25">
      <c r="A2077" s="409"/>
      <c r="B2077" s="410"/>
      <c r="D2077" s="209" t="s">
        <v>400</v>
      </c>
      <c r="E2077" s="495">
        <f>finCalcCh4Prod3Slot2MatExpPUnitTot</f>
        <v>0</v>
      </c>
    </row>
    <row r="2078" spans="1:6" ht="14.25">
      <c r="A2078" s="409"/>
      <c r="B2078" s="410"/>
      <c r="D2078" s="209" t="s">
        <v>399</v>
      </c>
      <c r="E2078" s="495">
        <f>finCalcCh4Prod3Slot2LabourCostPerHour*finCalcCh4Prod3Slot2LabourHrsReqPVolTot</f>
        <v>0</v>
      </c>
    </row>
    <row r="2079" spans="1:6" ht="14.25">
      <c r="A2079" s="409"/>
      <c r="B2079" s="410"/>
      <c r="D2079" s="209" t="s">
        <v>513</v>
      </c>
      <c r="E2079" s="495">
        <f>E2069</f>
        <v>0</v>
      </c>
    </row>
    <row r="2080" spans="1:6" ht="14.25">
      <c r="A2080" s="409"/>
      <c r="B2080" s="410"/>
      <c r="D2080" s="209" t="s">
        <v>398</v>
      </c>
      <c r="E2080" s="496">
        <f>CalcCh4Prod3Slot2DepreciationPUnit</f>
        <v>0</v>
      </c>
    </row>
    <row r="2081" spans="1:6" ht="14.25">
      <c r="A2081" s="409"/>
      <c r="B2081" s="410"/>
      <c r="C2081" s="208" t="s">
        <v>397</v>
      </c>
      <c r="E2081" s="490">
        <f>SUM(E2077:E2080)</f>
        <v>0</v>
      </c>
      <c r="F2081" s="276" t="s">
        <v>2081</v>
      </c>
    </row>
    <row r="2082" spans="1:6" ht="14.25">
      <c r="A2082" s="409"/>
      <c r="B2082" s="410"/>
    </row>
    <row r="2083" spans="1:6" ht="14.25">
      <c r="A2083" s="409"/>
      <c r="B2083" s="410"/>
      <c r="C2083" s="217" t="s">
        <v>519</v>
      </c>
    </row>
    <row r="2084" spans="1:6" ht="14.25">
      <c r="A2084" s="409"/>
      <c r="B2084" s="410"/>
      <c r="D2084" s="328" t="s">
        <v>1286</v>
      </c>
      <c r="E2084" s="492">
        <f>VLOOKUP(decCh4Prod3Slot2Pack,dataPackLogisticsCost,2,FALSE)</f>
        <v>0</v>
      </c>
      <c r="F2084" s="276" t="s">
        <v>2962</v>
      </c>
    </row>
    <row r="2085" spans="1:6" ht="14.25">
      <c r="A2085" s="409"/>
      <c r="B2085" s="410"/>
      <c r="D2085" s="328" t="s">
        <v>960</v>
      </c>
      <c r="E2085" s="501">
        <f>VLOOKUP(finCalcCh4Prod3Slot2ForcastAcc,dataForecastImpactLogisticsCost,2,TRUE)*finCalcCh4Prod3Slot2LogExpPerUnit</f>
        <v>0</v>
      </c>
      <c r="F2085" s="276" t="s">
        <v>4277</v>
      </c>
    </row>
    <row r="2086" spans="1:6" ht="14.25">
      <c r="A2086" s="409"/>
      <c r="B2086" s="410"/>
      <c r="D2086" s="328" t="s">
        <v>14030</v>
      </c>
      <c r="E2086" s="497">
        <f>finCalcCh4Prod3Slot2LogExpPerUnit*paramProd3LogExpSI</f>
        <v>0</v>
      </c>
      <c r="F2086" s="276" t="s">
        <v>4278</v>
      </c>
    </row>
    <row r="2087" spans="1:6" ht="14.25">
      <c r="A2087" s="409"/>
      <c r="B2087" s="410"/>
      <c r="D2087" s="276" t="s">
        <v>1692</v>
      </c>
      <c r="E2087" s="327">
        <f>SUM(E2084:E2086)</f>
        <v>0</v>
      </c>
      <c r="F2087" s="276" t="s">
        <v>13049</v>
      </c>
    </row>
    <row r="2088" spans="1:6" ht="14.25">
      <c r="A2088" s="409"/>
      <c r="B2088" s="410"/>
      <c r="D2088" s="276" t="s">
        <v>1284</v>
      </c>
      <c r="E2088" s="490">
        <f>finCalcCh4Prod3Slot2LogExpAdjPUnit*finCalcCh4Prod3Slot2VolSold</f>
        <v>0</v>
      </c>
      <c r="F2088" s="276" t="s">
        <v>2082</v>
      </c>
    </row>
    <row r="2089" spans="1:6" ht="14.25">
      <c r="A2089" s="409"/>
      <c r="B2089" s="410"/>
      <c r="D2089" s="276"/>
      <c r="E2089" s="276"/>
      <c r="F2089" s="276"/>
    </row>
    <row r="2090" spans="1:6" s="322" customFormat="1" ht="12.75" customHeight="1">
      <c r="A2090" s="409"/>
      <c r="B2090" s="410"/>
      <c r="C2090" s="853"/>
      <c r="D2090" s="853" t="s">
        <v>3860</v>
      </c>
      <c r="E2090" s="972"/>
      <c r="F2090" s="409"/>
    </row>
    <row r="2091" spans="1:6" s="322" customFormat="1" ht="13.15" customHeight="1">
      <c r="A2091" s="409"/>
      <c r="B2091" s="410"/>
      <c r="C2091" s="323"/>
      <c r="D2091" s="323"/>
      <c r="E2091" s="324"/>
    </row>
    <row r="2092" spans="1:6" ht="14.25">
      <c r="A2092" s="409"/>
      <c r="B2092" s="410"/>
      <c r="C2092" s="217" t="s">
        <v>295</v>
      </c>
    </row>
    <row r="2093" spans="1:6" ht="14.25">
      <c r="A2093" s="409"/>
      <c r="B2093" s="410"/>
      <c r="D2093" s="276" t="s">
        <v>577</v>
      </c>
      <c r="E2093" s="491">
        <f>IF(calcCh4Prod3Slot3Active=1,IF(xxSim0Tool1=1,calcCh4Prod3Slot3VolForecastSlot,MMCh4Prod3Seg1Slot3UnitsSold+MMCh4Prod3Seg2Slot3UnitsSold+MMCh4Prod3Seg3Slot3UnitsSold+MMCh4Prod3Seg4Slot3UnitsSold),0)</f>
        <v>0</v>
      </c>
      <c r="F2093" s="276" t="s">
        <v>2083</v>
      </c>
    </row>
    <row r="2094" spans="1:6" ht="14.25">
      <c r="A2094" s="409"/>
      <c r="B2094" s="410"/>
      <c r="D2094" s="276" t="s">
        <v>1762</v>
      </c>
      <c r="E2094" s="399">
        <f>IF(VLOOKUP(decCh4Prod3Slot3Pack,dataPackSize,2,FALSE)=0,0,finCalcCh4Prod3Slot3VolSold/VLOOKUP(decCh4Prod3Slot3Pack,dataPackSize,2,FALSE))</f>
        <v>0</v>
      </c>
      <c r="F2094" s="276" t="s">
        <v>2084</v>
      </c>
    </row>
    <row r="2095" spans="1:6" ht="14.25">
      <c r="A2095" s="409"/>
      <c r="B2095" s="410"/>
      <c r="D2095" s="276" t="s">
        <v>966</v>
      </c>
      <c r="E2095" s="654">
        <f>IF(calcCh4Prod3Slot3VolForecastSlot=0,100%,finCalcCh4Prod3Slot3VolSold/calcCh4Prod3Slot3VolForecastSlot)</f>
        <v>1</v>
      </c>
      <c r="F2095" s="276" t="s">
        <v>2085</v>
      </c>
    </row>
    <row r="2096" spans="1:6" ht="14.25">
      <c r="A2096" s="409"/>
      <c r="B2096" s="410"/>
      <c r="E2096" s="489"/>
    </row>
    <row r="2097" spans="1:6" ht="14.25">
      <c r="A2097" s="409"/>
      <c r="B2097" s="410"/>
      <c r="C2097" s="217" t="s">
        <v>3789</v>
      </c>
      <c r="E2097" s="489"/>
    </row>
    <row r="2098" spans="1:6" ht="14.25">
      <c r="A2098" s="409"/>
      <c r="B2098" s="410"/>
      <c r="C2098" s="217" t="s">
        <v>400</v>
      </c>
    </row>
    <row r="2099" spans="1:6" ht="14.25">
      <c r="A2099" s="409"/>
      <c r="B2099" s="410"/>
      <c r="D2099" s="255" t="s">
        <v>526</v>
      </c>
      <c r="E2099" s="492">
        <f>VLOOKUP(decCh4Prod3Slot3Pack,dataPackMaterialExp,2,FALSE)</f>
        <v>0</v>
      </c>
      <c r="F2099" s="276" t="s">
        <v>4279</v>
      </c>
    </row>
    <row r="2100" spans="1:6" ht="14.25">
      <c r="A2100" s="409"/>
      <c r="B2100" s="410"/>
      <c r="D2100" s="328" t="s">
        <v>960</v>
      </c>
      <c r="E2100" s="502">
        <f>VLOOKUP(finCalcCh4Prod3Slot3ForcastAcc,dataForecastImpactMatCost,2,TRUE)*E2099</f>
        <v>0</v>
      </c>
      <c r="F2100" s="276" t="s">
        <v>4280</v>
      </c>
    </row>
    <row r="2101" spans="1:6" ht="14.25">
      <c r="A2101" s="409"/>
      <c r="B2101" s="410"/>
      <c r="D2101" s="328" t="s">
        <v>14030</v>
      </c>
      <c r="E2101" s="493">
        <f>paramProd3MatExpSI*finCalcCh4Prod3Slot3MatExpPerUnitBase</f>
        <v>0</v>
      </c>
      <c r="F2101" s="276" t="s">
        <v>4281</v>
      </c>
    </row>
    <row r="2102" spans="1:6" ht="14.25">
      <c r="A2102" s="409"/>
      <c r="B2102" s="410"/>
      <c r="D2102" s="209" t="s">
        <v>518</v>
      </c>
      <c r="E2102" s="327">
        <f>SUM(E2099:E2101)</f>
        <v>0</v>
      </c>
      <c r="F2102" s="276" t="s">
        <v>4282</v>
      </c>
    </row>
    <row r="2103" spans="1:6" ht="14.25">
      <c r="A2103" s="409"/>
      <c r="B2103" s="410"/>
      <c r="D2103" s="209" t="s">
        <v>401</v>
      </c>
      <c r="E2103" s="220">
        <f>finCalcCh4Prod3Slot3MatExpPUnitTot*finCalcCh4Prod3Slot3VolSold</f>
        <v>0</v>
      </c>
      <c r="F2103" s="276" t="s">
        <v>13050</v>
      </c>
    </row>
    <row r="2104" spans="1:6" ht="14.25">
      <c r="A2104" s="409"/>
      <c r="B2104" s="410"/>
      <c r="C2104" s="208"/>
      <c r="F2104" s="276"/>
    </row>
    <row r="2105" spans="1:6" ht="14.25">
      <c r="A2105" s="409"/>
      <c r="B2105" s="410"/>
      <c r="C2105" s="217" t="s">
        <v>399</v>
      </c>
      <c r="E2105" s="224"/>
    </row>
    <row r="2106" spans="1:6" ht="14.25">
      <c r="A2106" s="409"/>
      <c r="B2106" s="410"/>
      <c r="D2106" s="328" t="s">
        <v>969</v>
      </c>
      <c r="E2106" s="510">
        <f>VLOOKUP(decCh4Prod3Slot3Pack,dataPackLabourHrs,2,FALSE)</f>
        <v>0</v>
      </c>
      <c r="F2106" s="276" t="s">
        <v>4283</v>
      </c>
    </row>
    <row r="2107" spans="1:6" ht="14.25">
      <c r="A2107" s="409"/>
      <c r="B2107" s="410"/>
      <c r="D2107" s="328" t="s">
        <v>960</v>
      </c>
      <c r="E2107" s="510">
        <f>VLOOKUP(finCalcCh4Prod3Slot3ForcastAcc,dataForecastImpactLabCost,2,TRUE)*finCalcCh4Prod3Slot3LabourHrsReqPVolBase</f>
        <v>0</v>
      </c>
      <c r="F2107" s="276" t="s">
        <v>4284</v>
      </c>
    </row>
    <row r="2108" spans="1:6" ht="14.25">
      <c r="A2108" s="409"/>
      <c r="B2108" s="410"/>
      <c r="D2108" s="328" t="s">
        <v>14030</v>
      </c>
      <c r="E2108" s="510">
        <f>paramProd3LabourExpSI*finCalcCh4Prod3Slot3LabourHrsReqPVolBase</f>
        <v>0</v>
      </c>
      <c r="F2108" s="276" t="s">
        <v>4285</v>
      </c>
    </row>
    <row r="2109" spans="1:6" ht="14.25">
      <c r="A2109" s="409"/>
      <c r="B2109" s="410"/>
      <c r="D2109" s="209" t="s">
        <v>3795</v>
      </c>
      <c r="E2109" s="511">
        <f>SUM(E2106:E2108)</f>
        <v>0</v>
      </c>
      <c r="F2109" s="276" t="s">
        <v>4286</v>
      </c>
    </row>
    <row r="2110" spans="1:6" ht="14.25">
      <c r="A2110" s="409"/>
      <c r="B2110" s="410"/>
      <c r="D2110" s="328"/>
      <c r="E2110" s="499"/>
      <c r="F2110" s="276"/>
    </row>
    <row r="2111" spans="1:6" ht="14.25">
      <c r="A2111" s="409"/>
      <c r="B2111" s="410"/>
      <c r="D2111" s="209" t="s">
        <v>974</v>
      </c>
      <c r="E2111" s="494">
        <f>paramLabourCostPerHr</f>
        <v>5</v>
      </c>
      <c r="F2111" s="276" t="s">
        <v>4287</v>
      </c>
    </row>
    <row r="2112" spans="1:6" ht="14.25">
      <c r="A2112" s="409"/>
      <c r="B2112" s="410"/>
      <c r="D2112" s="209" t="s">
        <v>3793</v>
      </c>
      <c r="E2112" s="500">
        <f>finCalcCh4Prod3Slot3VolSold*finCalcCh4Prod3Slot3LabourHrsReqPVolTot</f>
        <v>0</v>
      </c>
    </row>
    <row r="2113" spans="1:6" ht="14.25">
      <c r="A2113" s="409"/>
      <c r="B2113" s="410"/>
      <c r="D2113" s="276" t="s">
        <v>973</v>
      </c>
      <c r="E2113" s="220">
        <f>E2112*finCalcCh4Prod3Slot3LabourCostPerHour</f>
        <v>0</v>
      </c>
      <c r="F2113" s="276" t="s">
        <v>13051</v>
      </c>
    </row>
    <row r="2114" spans="1:6" ht="14.25">
      <c r="A2114" s="409"/>
      <c r="B2114" s="410"/>
      <c r="E2114" s="223"/>
    </row>
    <row r="2115" spans="1:6" ht="14.25">
      <c r="A2115" s="409"/>
      <c r="B2115" s="410"/>
      <c r="C2115" s="217" t="s">
        <v>513</v>
      </c>
      <c r="E2115" s="223"/>
    </row>
    <row r="2116" spans="1:6" ht="14.25">
      <c r="A2116" s="409"/>
      <c r="B2116" s="410"/>
      <c r="C2116" s="326"/>
      <c r="D2116" s="276" t="s">
        <v>570</v>
      </c>
      <c r="E2116" s="491">
        <f>CalcCh4Prod3Slot3ManufacturingCostPUnit</f>
        <v>0</v>
      </c>
      <c r="F2116" s="276"/>
    </row>
    <row r="2117" spans="1:6" ht="14.25">
      <c r="A2117" s="409"/>
      <c r="B2117" s="410"/>
      <c r="C2117" s="326"/>
      <c r="D2117" s="209" t="s">
        <v>514</v>
      </c>
      <c r="E2117" s="490">
        <f>E2116*finCalcCh4Prod3Slot3VolSold</f>
        <v>0</v>
      </c>
      <c r="F2117" s="276" t="s">
        <v>13052</v>
      </c>
    </row>
    <row r="2118" spans="1:6" ht="14.25">
      <c r="A2118" s="409"/>
      <c r="B2118" s="410"/>
      <c r="C2118" s="208"/>
    </row>
    <row r="2119" spans="1:6" ht="14.25">
      <c r="A2119" s="409"/>
      <c r="B2119" s="410"/>
      <c r="C2119" s="498" t="s">
        <v>398</v>
      </c>
    </row>
    <row r="2120" spans="1:6" ht="14.25">
      <c r="A2120" s="409"/>
      <c r="B2120" s="410"/>
      <c r="C2120" s="208" t="s">
        <v>398</v>
      </c>
      <c r="E2120" s="223"/>
    </row>
    <row r="2121" spans="1:6" ht="14.25">
      <c r="A2121" s="409"/>
      <c r="B2121" s="410"/>
      <c r="D2121" s="209" t="s">
        <v>450</v>
      </c>
      <c r="E2121" s="220">
        <f>CalcCh4Prod3Slot3Depreciation</f>
        <v>0</v>
      </c>
      <c r="F2121" s="276" t="s">
        <v>2086</v>
      </c>
    </row>
    <row r="2122" spans="1:6" ht="14.25">
      <c r="A2122" s="409"/>
      <c r="B2122" s="410"/>
    </row>
    <row r="2123" spans="1:6" ht="14.25">
      <c r="A2123" s="409"/>
      <c r="B2123" s="410"/>
      <c r="C2123" s="217" t="s">
        <v>13066</v>
      </c>
    </row>
    <row r="2124" spans="1:6" ht="14.25">
      <c r="A2124" s="409"/>
      <c r="B2124" s="410"/>
      <c r="D2124" s="209" t="s">
        <v>400</v>
      </c>
      <c r="E2124" s="495">
        <f>finCalcCh4Prod3Slot3MatExpPUnitTot</f>
        <v>0</v>
      </c>
    </row>
    <row r="2125" spans="1:6" ht="14.25">
      <c r="A2125" s="409"/>
      <c r="B2125" s="410"/>
      <c r="D2125" s="209" t="s">
        <v>399</v>
      </c>
      <c r="E2125" s="495">
        <f>finCalcCh4Prod3Slot3LabourCostPerHour*finCalcCh4Prod3Slot3LabourHrsReqPVolTot</f>
        <v>0</v>
      </c>
    </row>
    <row r="2126" spans="1:6" ht="14.25">
      <c r="A2126" s="409"/>
      <c r="B2126" s="410"/>
      <c r="D2126" s="209" t="s">
        <v>513</v>
      </c>
      <c r="E2126" s="495">
        <f>E2116</f>
        <v>0</v>
      </c>
    </row>
    <row r="2127" spans="1:6" ht="14.25">
      <c r="A2127" s="409"/>
      <c r="B2127" s="410"/>
      <c r="D2127" s="209" t="s">
        <v>398</v>
      </c>
      <c r="E2127" s="496">
        <f>CalcCh4Prod3Slot3DepreciationPUnit</f>
        <v>0</v>
      </c>
    </row>
    <row r="2128" spans="1:6" ht="14.25">
      <c r="A2128" s="409"/>
      <c r="B2128" s="410"/>
      <c r="C2128" s="208" t="s">
        <v>397</v>
      </c>
      <c r="E2128" s="490">
        <f>SUM(E2124:E2127)</f>
        <v>0</v>
      </c>
      <c r="F2128" s="276" t="s">
        <v>2087</v>
      </c>
    </row>
    <row r="2129" spans="1:6" ht="14.25">
      <c r="A2129" s="409"/>
      <c r="B2129" s="410"/>
    </row>
    <row r="2130" spans="1:6" ht="14.25">
      <c r="A2130" s="409"/>
      <c r="B2130" s="410"/>
      <c r="C2130" s="217" t="s">
        <v>519</v>
      </c>
    </row>
    <row r="2131" spans="1:6" ht="14.25">
      <c r="A2131" s="409"/>
      <c r="B2131" s="410"/>
      <c r="D2131" s="328" t="s">
        <v>1286</v>
      </c>
      <c r="E2131" s="492">
        <f>VLOOKUP(decCh4Prod3Slot3Pack,dataPackLogisticsCost,2,FALSE)</f>
        <v>0</v>
      </c>
      <c r="F2131" s="276" t="s">
        <v>2963</v>
      </c>
    </row>
    <row r="2132" spans="1:6" ht="14.25">
      <c r="A2132" s="409"/>
      <c r="B2132" s="410"/>
      <c r="D2132" s="328" t="s">
        <v>960</v>
      </c>
      <c r="E2132" s="501">
        <f>VLOOKUP(finCalcCh4Prod3Slot3ForcastAcc,dataForecastImpactLogisticsCost,2,TRUE)*finCalcCh4Prod3Slot3LogExpPerUnit</f>
        <v>0</v>
      </c>
      <c r="F2132" s="276" t="s">
        <v>4288</v>
      </c>
    </row>
    <row r="2133" spans="1:6" ht="14.25">
      <c r="A2133" s="409"/>
      <c r="B2133" s="410"/>
      <c r="D2133" s="328" t="s">
        <v>14030</v>
      </c>
      <c r="E2133" s="497">
        <f>finCalcCh4Prod3Slot3LogExpPerUnit*paramProd3LogExpSI</f>
        <v>0</v>
      </c>
      <c r="F2133" s="276" t="s">
        <v>4289</v>
      </c>
    </row>
    <row r="2134" spans="1:6" ht="14.25">
      <c r="A2134" s="409"/>
      <c r="B2134" s="410"/>
      <c r="D2134" s="276" t="s">
        <v>1692</v>
      </c>
      <c r="E2134" s="327">
        <f>SUM(E2131:E2133)</f>
        <v>0</v>
      </c>
      <c r="F2134" s="276" t="s">
        <v>13053</v>
      </c>
    </row>
    <row r="2135" spans="1:6" ht="14.25">
      <c r="A2135" s="409"/>
      <c r="B2135" s="410"/>
      <c r="D2135" s="276" t="s">
        <v>1284</v>
      </c>
      <c r="E2135" s="490">
        <f>finCalcCh4Prod3Slot3LogExpAdjPUnit*finCalcCh4Prod3Slot3VolSold</f>
        <v>0</v>
      </c>
      <c r="F2135" s="276" t="s">
        <v>2088</v>
      </c>
    </row>
    <row r="2136" spans="1:6" ht="14.25">
      <c r="A2136" s="409"/>
      <c r="B2136" s="410"/>
      <c r="D2136" s="276"/>
      <c r="E2136" s="276"/>
      <c r="F2136" s="276"/>
    </row>
    <row r="2137" spans="1:6" s="322" customFormat="1" ht="12.75" customHeight="1">
      <c r="A2137" s="409"/>
      <c r="B2137" s="410"/>
      <c r="C2137" s="853" t="s">
        <v>240</v>
      </c>
      <c r="D2137" s="853"/>
      <c r="E2137" s="972"/>
      <c r="F2137" s="409"/>
    </row>
    <row r="2138" spans="1:6" s="322" customFormat="1" ht="12.75" customHeight="1">
      <c r="A2138" s="409"/>
      <c r="B2138" s="410"/>
      <c r="C2138" s="853"/>
      <c r="D2138" s="853" t="s">
        <v>3859</v>
      </c>
      <c r="E2138" s="972"/>
      <c r="F2138" s="409"/>
    </row>
    <row r="2139" spans="1:6" s="322" customFormat="1" ht="13.15" customHeight="1">
      <c r="A2139" s="409"/>
      <c r="B2139" s="410"/>
      <c r="C2139" s="323"/>
      <c r="D2139" s="323"/>
      <c r="E2139" s="324"/>
    </row>
    <row r="2140" spans="1:6" ht="14.25">
      <c r="A2140" s="409"/>
      <c r="B2140" s="410"/>
      <c r="C2140" s="217" t="s">
        <v>295</v>
      </c>
    </row>
    <row r="2141" spans="1:6" ht="14.25">
      <c r="A2141" s="409"/>
      <c r="B2141" s="410"/>
      <c r="D2141" s="276" t="s">
        <v>577</v>
      </c>
      <c r="E2141" s="491">
        <f>IF(calcCh4Prod4Slot1Active=1,IF(xxSim0Tool1=1,calcCh4Prod4Slot1VolForecastSlot,MMCh4Prod4Seg1Slot1UnitsSold+MMCh4Prod4Seg2Slot1UnitsSold+MMCh4Prod4Seg3Slot1UnitsSold+MMCh4Prod4Seg4Slot1UnitsSold),0)</f>
        <v>60600750</v>
      </c>
      <c r="F2141" s="276" t="s">
        <v>2089</v>
      </c>
    </row>
    <row r="2142" spans="1:6" ht="14.25">
      <c r="A2142" s="409"/>
      <c r="B2142" s="410"/>
      <c r="D2142" s="276" t="s">
        <v>1762</v>
      </c>
      <c r="E2142" s="399">
        <f>IF(VLOOKUP(decCh4Prod4Slot1Pack,dataPackSize,2,FALSE)=0,0,finCalcCh4Prod4Slot1VolSold/VLOOKUP(decCh4Prod4Slot1Pack,dataPackSize,2,FALSE))</f>
        <v>183638636.36363634</v>
      </c>
      <c r="F2142" s="276" t="s">
        <v>2090</v>
      </c>
    </row>
    <row r="2143" spans="1:6" ht="14.25">
      <c r="A2143" s="409"/>
      <c r="B2143" s="410"/>
      <c r="D2143" s="276" t="s">
        <v>966</v>
      </c>
      <c r="E2143" s="654">
        <f>IF(calcCh4Prod4Slot1VolForecastSlot=0,100%,finCalcCh4Prod4Slot1VolSold/calcCh4Prod4Slot1VolForecastSlot)</f>
        <v>1</v>
      </c>
      <c r="F2143" s="276" t="s">
        <v>2091</v>
      </c>
    </row>
    <row r="2144" spans="1:6" ht="14.25">
      <c r="A2144" s="409"/>
      <c r="B2144" s="410"/>
      <c r="E2144" s="489"/>
    </row>
    <row r="2145" spans="1:6" ht="14.25">
      <c r="A2145" s="409"/>
      <c r="B2145" s="410"/>
      <c r="C2145" s="217" t="s">
        <v>3789</v>
      </c>
      <c r="E2145" s="489"/>
    </row>
    <row r="2146" spans="1:6" ht="14.25">
      <c r="A2146" s="409"/>
      <c r="B2146" s="410"/>
      <c r="C2146" s="217" t="s">
        <v>400</v>
      </c>
    </row>
    <row r="2147" spans="1:6" ht="14.25">
      <c r="A2147" s="409"/>
      <c r="B2147" s="410"/>
      <c r="D2147" s="255" t="s">
        <v>526</v>
      </c>
      <c r="E2147" s="492">
        <f>VLOOKUP(decCh4Prod4Slot1Pack,dataPackMaterialExp,2,FALSE)</f>
        <v>1.7663184000000001</v>
      </c>
      <c r="F2147" s="276" t="s">
        <v>4290</v>
      </c>
    </row>
    <row r="2148" spans="1:6" ht="14.25">
      <c r="A2148" s="409"/>
      <c r="B2148" s="410"/>
      <c r="D2148" s="328" t="s">
        <v>960</v>
      </c>
      <c r="E2148" s="502">
        <f>VLOOKUP(finCalcCh4Prod4Slot1ForcastAcc,dataForecastImpactMatCost,2,TRUE)*E2147</f>
        <v>0</v>
      </c>
      <c r="F2148" s="276" t="s">
        <v>4291</v>
      </c>
    </row>
    <row r="2149" spans="1:6" ht="14.25">
      <c r="A2149" s="409"/>
      <c r="B2149" s="410"/>
      <c r="D2149" s="328" t="s">
        <v>14030</v>
      </c>
      <c r="E2149" s="493">
        <f>paramProd4MatExpSI*finCalcCh4Prod4Slot1MatExpPerUnitBase</f>
        <v>0</v>
      </c>
      <c r="F2149" s="276" t="s">
        <v>4292</v>
      </c>
    </row>
    <row r="2150" spans="1:6" ht="14.25">
      <c r="A2150" s="409"/>
      <c r="B2150" s="410"/>
      <c r="D2150" s="209" t="s">
        <v>518</v>
      </c>
      <c r="E2150" s="327">
        <f>SUM(E2147:E2149)</f>
        <v>1.7663184000000001</v>
      </c>
      <c r="F2150" s="276" t="s">
        <v>4293</v>
      </c>
    </row>
    <row r="2151" spans="1:6" ht="14.25">
      <c r="A2151" s="409"/>
      <c r="B2151" s="410"/>
      <c r="D2151" s="209" t="s">
        <v>401</v>
      </c>
      <c r="E2151" s="220">
        <f>finCalcCh4Prod4Slot1MatExpPUnitTot*finCalcCh4Prod4Slot1VolSold</f>
        <v>107040219.77880001</v>
      </c>
      <c r="F2151" s="276" t="s">
        <v>13054</v>
      </c>
    </row>
    <row r="2152" spans="1:6" ht="14.25">
      <c r="A2152" s="409"/>
      <c r="B2152" s="410"/>
      <c r="C2152" s="208"/>
      <c r="F2152" s="276"/>
    </row>
    <row r="2153" spans="1:6" ht="14.25">
      <c r="A2153" s="409"/>
      <c r="B2153" s="410"/>
      <c r="C2153" s="217" t="s">
        <v>399</v>
      </c>
      <c r="E2153" s="224"/>
    </row>
    <row r="2154" spans="1:6" ht="14.25">
      <c r="A2154" s="409"/>
      <c r="B2154" s="410"/>
      <c r="D2154" s="328" t="s">
        <v>969</v>
      </c>
      <c r="E2154" s="510">
        <f>VLOOKUP(decCh4Prod4Slot1Pack,dataPackLabourHrs,2,FALSE)</f>
        <v>5.1950541176470591E-2</v>
      </c>
      <c r="F2154" s="276" t="s">
        <v>4294</v>
      </c>
    </row>
    <row r="2155" spans="1:6" ht="14.25">
      <c r="A2155" s="409"/>
      <c r="B2155" s="410"/>
      <c r="D2155" s="328" t="s">
        <v>960</v>
      </c>
      <c r="E2155" s="510">
        <f>VLOOKUP(finCalcCh4Prod4Slot1ForcastAcc,dataForecastImpactLabCost,2,TRUE)*finCalcCh4Prod4Slot1LabourHrsReqPVolBase</f>
        <v>0</v>
      </c>
      <c r="F2155" s="276" t="s">
        <v>4295</v>
      </c>
    </row>
    <row r="2156" spans="1:6" ht="14.25">
      <c r="A2156" s="409"/>
      <c r="B2156" s="410"/>
      <c r="D2156" s="328" t="s">
        <v>14030</v>
      </c>
      <c r="E2156" s="510">
        <f>paramProd4LabourExpSI*finCalcCh4Prod4Slot1LabourHrsReqPVolBase</f>
        <v>0</v>
      </c>
      <c r="F2156" s="276" t="s">
        <v>4296</v>
      </c>
    </row>
    <row r="2157" spans="1:6" ht="14.25">
      <c r="A2157" s="409"/>
      <c r="B2157" s="410"/>
      <c r="D2157" s="209" t="s">
        <v>3795</v>
      </c>
      <c r="E2157" s="511">
        <f>SUM(E2154:E2156)</f>
        <v>5.1950541176470591E-2</v>
      </c>
      <c r="F2157" s="276" t="s">
        <v>4297</v>
      </c>
    </row>
    <row r="2158" spans="1:6" ht="14.25">
      <c r="A2158" s="409"/>
      <c r="B2158" s="410"/>
      <c r="D2158" s="328"/>
      <c r="E2158" s="499"/>
      <c r="F2158" s="276"/>
    </row>
    <row r="2159" spans="1:6" ht="14.25">
      <c r="A2159" s="409"/>
      <c r="B2159" s="410"/>
      <c r="D2159" s="209" t="s">
        <v>974</v>
      </c>
      <c r="E2159" s="494">
        <f>paramLabourCostPerHr</f>
        <v>5</v>
      </c>
      <c r="F2159" s="276" t="s">
        <v>4298</v>
      </c>
    </row>
    <row r="2160" spans="1:6" ht="14.25">
      <c r="A2160" s="409"/>
      <c r="B2160" s="410"/>
      <c r="D2160" s="209" t="s">
        <v>3793</v>
      </c>
      <c r="E2160" s="500">
        <f>finCalcCh4Prod4Slot1VolSold*finCalcCh4Prod4Slot1LabourHrsReqPVolTot</f>
        <v>3148241.7582</v>
      </c>
    </row>
    <row r="2161" spans="1:6" ht="14.25">
      <c r="A2161" s="409"/>
      <c r="B2161" s="410"/>
      <c r="D2161" s="276" t="s">
        <v>973</v>
      </c>
      <c r="E2161" s="220">
        <f>E2160*finCalcCh4Prod4Slot1LabourCostPerHour</f>
        <v>15741208.791000001</v>
      </c>
      <c r="F2161" s="276" t="s">
        <v>13055</v>
      </c>
    </row>
    <row r="2162" spans="1:6" ht="14.25">
      <c r="A2162" s="409"/>
      <c r="B2162" s="410"/>
      <c r="E2162" s="223"/>
    </row>
    <row r="2163" spans="1:6" ht="14.25">
      <c r="A2163" s="409"/>
      <c r="B2163" s="410"/>
      <c r="C2163" s="217" t="s">
        <v>513</v>
      </c>
      <c r="E2163" s="223"/>
    </row>
    <row r="2164" spans="1:6" ht="14.25">
      <c r="A2164" s="409"/>
      <c r="B2164" s="410"/>
      <c r="C2164" s="326"/>
      <c r="D2164" s="276" t="s">
        <v>570</v>
      </c>
      <c r="E2164" s="491">
        <f>CalcCh4Prod4Slot1ManufacturingCostPUnit</f>
        <v>0.21319200000000005</v>
      </c>
      <c r="F2164" s="276"/>
    </row>
    <row r="2165" spans="1:6" ht="14.25">
      <c r="A2165" s="409"/>
      <c r="B2165" s="410"/>
      <c r="C2165" s="326"/>
      <c r="D2165" s="209" t="s">
        <v>514</v>
      </c>
      <c r="E2165" s="490">
        <f>E2164*finCalcCh4Prod4Slot1VolSold</f>
        <v>12919595.094000002</v>
      </c>
      <c r="F2165" s="276" t="s">
        <v>13056</v>
      </c>
    </row>
    <row r="2166" spans="1:6" ht="14.25">
      <c r="A2166" s="409"/>
      <c r="B2166" s="410"/>
      <c r="C2166" s="208"/>
    </row>
    <row r="2167" spans="1:6" ht="14.25">
      <c r="A2167" s="409"/>
      <c r="B2167" s="410"/>
      <c r="C2167" s="498" t="s">
        <v>398</v>
      </c>
    </row>
    <row r="2168" spans="1:6" ht="14.25">
      <c r="A2168" s="409"/>
      <c r="B2168" s="410"/>
      <c r="C2168" s="208" t="s">
        <v>398</v>
      </c>
      <c r="E2168" s="223"/>
    </row>
    <row r="2169" spans="1:6" ht="14.25">
      <c r="A2169" s="409"/>
      <c r="B2169" s="410"/>
      <c r="D2169" s="209" t="s">
        <v>450</v>
      </c>
      <c r="E2169" s="220">
        <f>CalcCh4Prod4Slot1Depreciation</f>
        <v>5750002.2815944776</v>
      </c>
      <c r="F2169" s="276" t="s">
        <v>2092</v>
      </c>
    </row>
    <row r="2170" spans="1:6" ht="14.25">
      <c r="A2170" s="409"/>
      <c r="B2170" s="410"/>
    </row>
    <row r="2171" spans="1:6" ht="14.25">
      <c r="A2171" s="409"/>
      <c r="B2171" s="410"/>
      <c r="C2171" s="217" t="s">
        <v>13066</v>
      </c>
    </row>
    <row r="2172" spans="1:6" ht="14.25">
      <c r="A2172" s="409"/>
      <c r="B2172" s="410"/>
      <c r="D2172" s="209" t="s">
        <v>400</v>
      </c>
      <c r="E2172" s="495">
        <f>finCalcCh4Prod4Slot1MatExpPUnitTot</f>
        <v>1.7663184000000001</v>
      </c>
    </row>
    <row r="2173" spans="1:6" ht="14.25">
      <c r="A2173" s="409"/>
      <c r="B2173" s="410"/>
      <c r="D2173" s="209" t="s">
        <v>399</v>
      </c>
      <c r="E2173" s="495">
        <f>finCalcCh4Prod4Slot1LabourCostPerHour*finCalcCh4Prod4Slot1LabourHrsReqPVolTot</f>
        <v>0.25975270588235294</v>
      </c>
    </row>
    <row r="2174" spans="1:6" ht="14.25">
      <c r="A2174" s="409"/>
      <c r="B2174" s="410"/>
      <c r="D2174" s="209" t="s">
        <v>513</v>
      </c>
      <c r="E2174" s="495">
        <f>E2164</f>
        <v>0.21319200000000005</v>
      </c>
    </row>
    <row r="2175" spans="1:6" ht="14.25">
      <c r="A2175" s="409"/>
      <c r="B2175" s="410"/>
      <c r="D2175" s="209" t="s">
        <v>398</v>
      </c>
      <c r="E2175" s="496">
        <f>CalcCh4Prod4Slot1DepreciationPUnit</f>
        <v>9.4883351800010354E-2</v>
      </c>
    </row>
    <row r="2176" spans="1:6" ht="14.25">
      <c r="A2176" s="409"/>
      <c r="B2176" s="410"/>
      <c r="C2176" s="208" t="s">
        <v>397</v>
      </c>
      <c r="E2176" s="490">
        <f>SUM(E2172:E2175)</f>
        <v>2.3341464576823632</v>
      </c>
      <c r="F2176" s="276" t="s">
        <v>2093</v>
      </c>
    </row>
    <row r="2177" spans="1:6" ht="14.25">
      <c r="A2177" s="409"/>
      <c r="B2177" s="410"/>
    </row>
    <row r="2178" spans="1:6" ht="14.25">
      <c r="A2178" s="409"/>
      <c r="B2178" s="410"/>
      <c r="C2178" s="217" t="s">
        <v>519</v>
      </c>
    </row>
    <row r="2179" spans="1:6" ht="14.25">
      <c r="A2179" s="409"/>
      <c r="B2179" s="410"/>
      <c r="D2179" s="328" t="s">
        <v>1286</v>
      </c>
      <c r="E2179" s="492">
        <f>VLOOKUP(decCh4Prod4Slot1Pack,dataPackLogisticsCost,2,FALSE)</f>
        <v>0.30012631578947369</v>
      </c>
      <c r="F2179" s="276" t="s">
        <v>2964</v>
      </c>
    </row>
    <row r="2180" spans="1:6" ht="14.25">
      <c r="A2180" s="409"/>
      <c r="B2180" s="410"/>
      <c r="D2180" s="328" t="s">
        <v>960</v>
      </c>
      <c r="E2180" s="501">
        <f>VLOOKUP(finCalcCh4Prod4Slot1ForcastAcc,dataForecastImpactLogisticsCost,2,TRUE)*finCalcCh4Prod4Slot1LogExpPerUnit</f>
        <v>0</v>
      </c>
      <c r="F2180" s="276" t="s">
        <v>4299</v>
      </c>
    </row>
    <row r="2181" spans="1:6" ht="14.25">
      <c r="A2181" s="409"/>
      <c r="B2181" s="410"/>
      <c r="D2181" s="328" t="s">
        <v>14030</v>
      </c>
      <c r="E2181" s="497">
        <f>finCalcCh4Prod4Slot1LogExpPerUnit*paramProd4LogExpSI</f>
        <v>0</v>
      </c>
      <c r="F2181" s="276" t="s">
        <v>4300</v>
      </c>
    </row>
    <row r="2182" spans="1:6" ht="14.25">
      <c r="A2182" s="409"/>
      <c r="B2182" s="410"/>
      <c r="D2182" s="276" t="s">
        <v>1692</v>
      </c>
      <c r="E2182" s="327">
        <f>SUM(E2179:E2181)</f>
        <v>0.30012631578947369</v>
      </c>
      <c r="F2182" s="276" t="s">
        <v>13057</v>
      </c>
    </row>
    <row r="2183" spans="1:6" ht="14.25">
      <c r="A2183" s="409"/>
      <c r="B2183" s="410"/>
      <c r="D2183" s="276" t="s">
        <v>1284</v>
      </c>
      <c r="E2183" s="490">
        <f>finCalcCh4Prod4Slot1LogExpAdjPUnit*finCalcCh4Prod4Slot1VolSold</f>
        <v>18187879.831578948</v>
      </c>
      <c r="F2183" s="276" t="s">
        <v>2094</v>
      </c>
    </row>
    <row r="2184" spans="1:6" ht="14.25">
      <c r="A2184" s="409"/>
      <c r="B2184" s="410"/>
      <c r="D2184" s="276"/>
      <c r="E2184" s="276"/>
      <c r="F2184" s="276"/>
    </row>
    <row r="2185" spans="1:6" s="322" customFormat="1" ht="12.75" customHeight="1">
      <c r="A2185" s="409"/>
      <c r="B2185" s="410"/>
      <c r="C2185" s="853"/>
      <c r="D2185" s="853" t="s">
        <v>3858</v>
      </c>
      <c r="E2185" s="972"/>
      <c r="F2185" s="409"/>
    </row>
    <row r="2186" spans="1:6" s="322" customFormat="1" ht="13.15" customHeight="1">
      <c r="A2186" s="409"/>
      <c r="B2186" s="410"/>
      <c r="C2186" s="323"/>
      <c r="D2186" s="323"/>
      <c r="E2186" s="324"/>
    </row>
    <row r="2187" spans="1:6" ht="14.25">
      <c r="A2187" s="409"/>
      <c r="B2187" s="410"/>
      <c r="C2187" s="217" t="s">
        <v>295</v>
      </c>
    </row>
    <row r="2188" spans="1:6" ht="14.25">
      <c r="A2188" s="409"/>
      <c r="B2188" s="410"/>
      <c r="D2188" s="276" t="s">
        <v>577</v>
      </c>
      <c r="E2188" s="491">
        <f>IF(calcCh4Prod4Slot2Active=1,IF(xxSim0Tool1=1,calcCh4Prod4Slot2VolForecastSlot,MMCh4Prod4Seg1Slot2UnitsSold+MMCh4Prod4Seg2Slot2UnitsSold+MMCh4Prod4Seg3Slot2UnitsSold+MMCh4Prod4Seg4Slot2UnitsSold),0)</f>
        <v>0</v>
      </c>
      <c r="F2188" s="276" t="s">
        <v>2095</v>
      </c>
    </row>
    <row r="2189" spans="1:6" ht="14.25">
      <c r="A2189" s="409"/>
      <c r="B2189" s="410"/>
      <c r="D2189" s="276" t="s">
        <v>1762</v>
      </c>
      <c r="E2189" s="399">
        <f>IF(VLOOKUP(decCh4Prod4Slot2Pack,dataPackSize,2,FALSE)=0,0,finCalcCh4Prod4Slot2VolSold/VLOOKUP(decCh4Prod4Slot2Pack,dataPackSize,2,FALSE))</f>
        <v>0</v>
      </c>
      <c r="F2189" s="276" t="s">
        <v>2096</v>
      </c>
    </row>
    <row r="2190" spans="1:6" ht="14.25">
      <c r="A2190" s="409"/>
      <c r="B2190" s="410"/>
      <c r="D2190" s="276" t="s">
        <v>966</v>
      </c>
      <c r="E2190" s="654">
        <f>IF(calcCh4Prod4Slot2VolForecastSlot=0,100%,finCalcCh4Prod4Slot2VolSold/calcCh4Prod4Slot2VolForecastSlot)</f>
        <v>1</v>
      </c>
      <c r="F2190" s="276" t="s">
        <v>2097</v>
      </c>
    </row>
    <row r="2191" spans="1:6" ht="14.25">
      <c r="A2191" s="409"/>
      <c r="B2191" s="410"/>
      <c r="E2191" s="489"/>
    </row>
    <row r="2192" spans="1:6" ht="14.25">
      <c r="A2192" s="409"/>
      <c r="B2192" s="410"/>
      <c r="C2192" s="217" t="s">
        <v>3789</v>
      </c>
      <c r="E2192" s="489"/>
    </row>
    <row r="2193" spans="1:6" ht="14.25">
      <c r="A2193" s="409"/>
      <c r="B2193" s="410"/>
      <c r="C2193" s="217" t="s">
        <v>400</v>
      </c>
    </row>
    <row r="2194" spans="1:6" ht="14.25">
      <c r="A2194" s="409"/>
      <c r="B2194" s="410"/>
      <c r="D2194" s="255" t="s">
        <v>526</v>
      </c>
      <c r="E2194" s="492">
        <f>VLOOKUP(decCh4Prod4Slot2Pack,dataPackMaterialExp,2,FALSE)</f>
        <v>0</v>
      </c>
      <c r="F2194" s="276" t="s">
        <v>4301</v>
      </c>
    </row>
    <row r="2195" spans="1:6" ht="14.25">
      <c r="A2195" s="409"/>
      <c r="B2195" s="410"/>
      <c r="D2195" s="328" t="s">
        <v>960</v>
      </c>
      <c r="E2195" s="502">
        <f>VLOOKUP(finCalcCh4Prod4Slot2ForcastAcc,dataForecastImpactMatCost,2,TRUE)*E2194</f>
        <v>0</v>
      </c>
      <c r="F2195" s="276" t="s">
        <v>4302</v>
      </c>
    </row>
    <row r="2196" spans="1:6" ht="14.25">
      <c r="A2196" s="409"/>
      <c r="B2196" s="410"/>
      <c r="D2196" s="328" t="s">
        <v>14030</v>
      </c>
      <c r="E2196" s="493">
        <f>paramProd4MatExpSI*finCalcCh4Prod4Slot2MatExpPerUnitBase</f>
        <v>0</v>
      </c>
      <c r="F2196" s="276" t="s">
        <v>4303</v>
      </c>
    </row>
    <row r="2197" spans="1:6" ht="14.25">
      <c r="A2197" s="409"/>
      <c r="B2197" s="410"/>
      <c r="D2197" s="209" t="s">
        <v>518</v>
      </c>
      <c r="E2197" s="327">
        <f>SUM(E2194:E2196)</f>
        <v>0</v>
      </c>
      <c r="F2197" s="276" t="s">
        <v>4304</v>
      </c>
    </row>
    <row r="2198" spans="1:6" ht="14.25">
      <c r="A2198" s="409"/>
      <c r="B2198" s="410"/>
      <c r="D2198" s="209" t="s">
        <v>401</v>
      </c>
      <c r="E2198" s="220">
        <f>finCalcCh4Prod4Slot2MatExpPUnitTot*finCalcCh4Prod4Slot2VolSold</f>
        <v>0</v>
      </c>
      <c r="F2198" s="276" t="s">
        <v>13058</v>
      </c>
    </row>
    <row r="2199" spans="1:6" ht="14.25">
      <c r="A2199" s="409"/>
      <c r="B2199" s="410"/>
      <c r="C2199" s="208"/>
      <c r="F2199" s="276"/>
    </row>
    <row r="2200" spans="1:6" ht="14.25">
      <c r="A2200" s="409"/>
      <c r="B2200" s="410"/>
      <c r="C2200" s="217" t="s">
        <v>399</v>
      </c>
      <c r="E2200" s="224"/>
    </row>
    <row r="2201" spans="1:6" ht="14.25">
      <c r="A2201" s="409"/>
      <c r="B2201" s="410"/>
      <c r="D2201" s="328" t="s">
        <v>969</v>
      </c>
      <c r="E2201" s="510">
        <f>VLOOKUP(decCh4Prod4Slot2Pack,dataPackLabourHrs,2,FALSE)</f>
        <v>0</v>
      </c>
      <c r="F2201" s="276" t="s">
        <v>4305</v>
      </c>
    </row>
    <row r="2202" spans="1:6" ht="14.25">
      <c r="A2202" s="409"/>
      <c r="B2202" s="410"/>
      <c r="D2202" s="328" t="s">
        <v>960</v>
      </c>
      <c r="E2202" s="510">
        <f>VLOOKUP(finCalcCh4Prod4Slot2ForcastAcc,dataForecastImpactLabCost,2,TRUE)*finCalcCh4Prod4Slot2LabourHrsReqPVolBase</f>
        <v>0</v>
      </c>
      <c r="F2202" s="276" t="s">
        <v>4306</v>
      </c>
    </row>
    <row r="2203" spans="1:6" ht="14.25">
      <c r="A2203" s="409"/>
      <c r="B2203" s="410"/>
      <c r="D2203" s="328" t="s">
        <v>14030</v>
      </c>
      <c r="E2203" s="510">
        <f>paramProd4LabourExpSI*finCalcCh4Prod4Slot2LabourHrsReqPVolBase</f>
        <v>0</v>
      </c>
      <c r="F2203" s="276" t="s">
        <v>4307</v>
      </c>
    </row>
    <row r="2204" spans="1:6" ht="14.25">
      <c r="A2204" s="409"/>
      <c r="B2204" s="410"/>
      <c r="D2204" s="209" t="s">
        <v>3795</v>
      </c>
      <c r="E2204" s="511">
        <f>SUM(E2201:E2203)</f>
        <v>0</v>
      </c>
      <c r="F2204" s="276" t="s">
        <v>4308</v>
      </c>
    </row>
    <row r="2205" spans="1:6" ht="14.25">
      <c r="A2205" s="409"/>
      <c r="B2205" s="410"/>
      <c r="D2205" s="328"/>
      <c r="E2205" s="499"/>
      <c r="F2205" s="276"/>
    </row>
    <row r="2206" spans="1:6" ht="14.25">
      <c r="A2206" s="409"/>
      <c r="B2206" s="410"/>
      <c r="D2206" s="209" t="s">
        <v>974</v>
      </c>
      <c r="E2206" s="494">
        <f>paramLabourCostPerHr</f>
        <v>5</v>
      </c>
      <c r="F2206" s="276" t="s">
        <v>4309</v>
      </c>
    </row>
    <row r="2207" spans="1:6" ht="14.25">
      <c r="A2207" s="409"/>
      <c r="B2207" s="410"/>
      <c r="D2207" s="209" t="s">
        <v>3793</v>
      </c>
      <c r="E2207" s="500">
        <f>finCalcCh4Prod4Slot2VolSold*finCalcCh4Prod4Slot2LabourHrsReqPVolTot</f>
        <v>0</v>
      </c>
    </row>
    <row r="2208" spans="1:6" ht="14.25">
      <c r="A2208" s="409"/>
      <c r="B2208" s="410"/>
      <c r="D2208" s="276" t="s">
        <v>973</v>
      </c>
      <c r="E2208" s="220">
        <f>E2207*finCalcCh4Prod4Slot2LabourCostPerHour</f>
        <v>0</v>
      </c>
      <c r="F2208" s="276" t="s">
        <v>13059</v>
      </c>
    </row>
    <row r="2209" spans="1:6" ht="14.25">
      <c r="A2209" s="409"/>
      <c r="B2209" s="410"/>
      <c r="E2209" s="223"/>
    </row>
    <row r="2210" spans="1:6" ht="14.25">
      <c r="A2210" s="409"/>
      <c r="B2210" s="410"/>
      <c r="C2210" s="217" t="s">
        <v>513</v>
      </c>
      <c r="E2210" s="223"/>
    </row>
    <row r="2211" spans="1:6" ht="14.25">
      <c r="A2211" s="409"/>
      <c r="B2211" s="410"/>
      <c r="C2211" s="326"/>
      <c r="D2211" s="276" t="s">
        <v>570</v>
      </c>
      <c r="E2211" s="491">
        <f>CalcCh4Prod4Slot2ManufacturingCostPUnit</f>
        <v>0</v>
      </c>
      <c r="F2211" s="276"/>
    </row>
    <row r="2212" spans="1:6" ht="14.25">
      <c r="A2212" s="409"/>
      <c r="B2212" s="410"/>
      <c r="C2212" s="326"/>
      <c r="D2212" s="209" t="s">
        <v>514</v>
      </c>
      <c r="E2212" s="490">
        <f>E2211*finCalcCh4Prod4Slot2VolSold</f>
        <v>0</v>
      </c>
      <c r="F2212" s="276" t="s">
        <v>13060</v>
      </c>
    </row>
    <row r="2213" spans="1:6" ht="14.25">
      <c r="A2213" s="409"/>
      <c r="B2213" s="410"/>
      <c r="C2213" s="208"/>
    </row>
    <row r="2214" spans="1:6" ht="14.25">
      <c r="A2214" s="409"/>
      <c r="B2214" s="410"/>
      <c r="C2214" s="498" t="s">
        <v>398</v>
      </c>
    </row>
    <row r="2215" spans="1:6" ht="14.25">
      <c r="A2215" s="409"/>
      <c r="B2215" s="410"/>
      <c r="C2215" s="208" t="s">
        <v>398</v>
      </c>
      <c r="E2215" s="223"/>
    </row>
    <row r="2216" spans="1:6" ht="14.25">
      <c r="A2216" s="409"/>
      <c r="B2216" s="410"/>
      <c r="D2216" s="209" t="s">
        <v>450</v>
      </c>
      <c r="E2216" s="220">
        <f>CalcCh4Prod4Slot2Depreciation</f>
        <v>0</v>
      </c>
      <c r="F2216" s="276" t="s">
        <v>2098</v>
      </c>
    </row>
    <row r="2217" spans="1:6" ht="14.25">
      <c r="A2217" s="409"/>
      <c r="B2217" s="410"/>
    </row>
    <row r="2218" spans="1:6" ht="14.25">
      <c r="A2218" s="409"/>
      <c r="B2218" s="410"/>
      <c r="C2218" s="217" t="s">
        <v>13066</v>
      </c>
    </row>
    <row r="2219" spans="1:6" ht="14.25">
      <c r="A2219" s="409"/>
      <c r="B2219" s="410"/>
      <c r="D2219" s="209" t="s">
        <v>400</v>
      </c>
      <c r="E2219" s="495">
        <f>finCalcCh4Prod4Slot2MatExpPUnitTot</f>
        <v>0</v>
      </c>
    </row>
    <row r="2220" spans="1:6" ht="14.25">
      <c r="A2220" s="409"/>
      <c r="B2220" s="410"/>
      <c r="D2220" s="209" t="s">
        <v>399</v>
      </c>
      <c r="E2220" s="495">
        <f>finCalcCh4Prod4Slot2LabourCostPerHour*finCalcCh4Prod4Slot2LabourHrsReqPVolTot</f>
        <v>0</v>
      </c>
    </row>
    <row r="2221" spans="1:6" ht="14.25">
      <c r="A2221" s="409"/>
      <c r="B2221" s="410"/>
      <c r="D2221" s="209" t="s">
        <v>513</v>
      </c>
      <c r="E2221" s="495">
        <f>E2211</f>
        <v>0</v>
      </c>
    </row>
    <row r="2222" spans="1:6" ht="14.25">
      <c r="A2222" s="409"/>
      <c r="B2222" s="410"/>
      <c r="D2222" s="209" t="s">
        <v>398</v>
      </c>
      <c r="E2222" s="496">
        <f>CalcCh4Prod4Slot2DepreciationPUnit</f>
        <v>0</v>
      </c>
    </row>
    <row r="2223" spans="1:6" ht="14.25">
      <c r="A2223" s="409"/>
      <c r="B2223" s="410"/>
      <c r="C2223" s="208" t="s">
        <v>397</v>
      </c>
      <c r="E2223" s="490">
        <f>SUM(E2219:E2222)</f>
        <v>0</v>
      </c>
      <c r="F2223" s="276" t="s">
        <v>2099</v>
      </c>
    </row>
    <row r="2224" spans="1:6" ht="14.25">
      <c r="A2224" s="409"/>
      <c r="B2224" s="410"/>
    </row>
    <row r="2225" spans="1:6" ht="14.25">
      <c r="A2225" s="409"/>
      <c r="B2225" s="410"/>
      <c r="C2225" s="217" t="s">
        <v>519</v>
      </c>
    </row>
    <row r="2226" spans="1:6" ht="14.25">
      <c r="A2226" s="409"/>
      <c r="B2226" s="410"/>
      <c r="D2226" s="328" t="s">
        <v>1286</v>
      </c>
      <c r="E2226" s="492">
        <f>VLOOKUP(decCh4Prod4Slot2Pack,dataPackLogisticsCost,2,FALSE)</f>
        <v>0</v>
      </c>
      <c r="F2226" s="276" t="s">
        <v>2965</v>
      </c>
    </row>
    <row r="2227" spans="1:6" ht="14.25">
      <c r="A2227" s="409"/>
      <c r="B2227" s="410"/>
      <c r="D2227" s="328" t="s">
        <v>960</v>
      </c>
      <c r="E2227" s="501">
        <f>VLOOKUP(finCalcCh4Prod4Slot2ForcastAcc,dataForecastImpactLogisticsCost,2,TRUE)*finCalcCh4Prod4Slot2LogExpPerUnit</f>
        <v>0</v>
      </c>
      <c r="F2227" s="276" t="s">
        <v>4310</v>
      </c>
    </row>
    <row r="2228" spans="1:6" ht="14.25">
      <c r="A2228" s="409"/>
      <c r="B2228" s="410"/>
      <c r="D2228" s="328" t="s">
        <v>14030</v>
      </c>
      <c r="E2228" s="497">
        <f>finCalcCh4Prod4Slot2LogExpPerUnit*paramProd4LogExpSI</f>
        <v>0</v>
      </c>
      <c r="F2228" s="276" t="s">
        <v>4311</v>
      </c>
    </row>
    <row r="2229" spans="1:6" ht="14.25">
      <c r="A2229" s="409"/>
      <c r="B2229" s="410"/>
      <c r="D2229" s="276" t="s">
        <v>1692</v>
      </c>
      <c r="E2229" s="327">
        <f>SUM(E2226:E2228)</f>
        <v>0</v>
      </c>
      <c r="F2229" s="276" t="s">
        <v>13061</v>
      </c>
    </row>
    <row r="2230" spans="1:6" ht="14.25">
      <c r="A2230" s="409"/>
      <c r="B2230" s="410"/>
      <c r="D2230" s="276" t="s">
        <v>1284</v>
      </c>
      <c r="E2230" s="490">
        <f>finCalcCh4Prod4Slot2LogExpAdjPUnit*finCalcCh4Prod4Slot2VolSold</f>
        <v>0</v>
      </c>
      <c r="F2230" s="276" t="s">
        <v>2100</v>
      </c>
    </row>
    <row r="2231" spans="1:6" ht="14.25">
      <c r="A2231" s="409"/>
      <c r="B2231" s="410"/>
      <c r="D2231" s="276"/>
      <c r="E2231" s="276"/>
      <c r="F2231" s="276"/>
    </row>
    <row r="2232" spans="1:6" s="322" customFormat="1" ht="12.75" customHeight="1">
      <c r="A2232" s="409"/>
      <c r="B2232" s="410"/>
      <c r="C2232" s="853"/>
      <c r="D2232" s="853" t="s">
        <v>3860</v>
      </c>
      <c r="E2232" s="972"/>
      <c r="F2232" s="409"/>
    </row>
    <row r="2233" spans="1:6" s="322" customFormat="1" ht="13.15" customHeight="1">
      <c r="A2233" s="409"/>
      <c r="B2233" s="410"/>
      <c r="C2233" s="323"/>
      <c r="D2233" s="323"/>
      <c r="E2233" s="324"/>
    </row>
    <row r="2234" spans="1:6" ht="14.25">
      <c r="A2234" s="409"/>
      <c r="B2234" s="410"/>
      <c r="C2234" s="217" t="s">
        <v>295</v>
      </c>
    </row>
    <row r="2235" spans="1:6" ht="14.25">
      <c r="A2235" s="409"/>
      <c r="B2235" s="410"/>
      <c r="D2235" s="276" t="s">
        <v>577</v>
      </c>
      <c r="E2235" s="491">
        <f>IF(calcCh4Prod4Slot3Active=1,IF(xxSim0Tool1=1,calcCh4Prod4Slot3VolForecastSlot,MMCh4Prod4Seg1Slot3UnitsSold+MMCh4Prod4Seg2Slot3UnitsSold+MMCh4Prod4Seg3Slot3UnitsSold+MMCh4Prod4Seg4Slot3UnitsSold),0)</f>
        <v>0</v>
      </c>
      <c r="F2235" s="276" t="s">
        <v>2101</v>
      </c>
    </row>
    <row r="2236" spans="1:6" ht="14.25">
      <c r="A2236" s="409"/>
      <c r="B2236" s="410"/>
      <c r="D2236" s="276" t="s">
        <v>1762</v>
      </c>
      <c r="E2236" s="399">
        <f>IF(VLOOKUP(decCh4Prod4Slot3Pack,dataPackSize,2,FALSE)=0,0,finCalcCh4Prod4Slot3VolSold/VLOOKUP(decCh4Prod4Slot3Pack,dataPackSize,2,FALSE))</f>
        <v>0</v>
      </c>
      <c r="F2236" s="276" t="s">
        <v>2102</v>
      </c>
    </row>
    <row r="2237" spans="1:6" ht="14.25">
      <c r="A2237" s="409"/>
      <c r="B2237" s="410"/>
      <c r="D2237" s="276" t="s">
        <v>966</v>
      </c>
      <c r="E2237" s="654">
        <f>IF(calcCh4Prod4Slot3VolForecastSlot=0,100%,finCalcCh4Prod4Slot3VolSold/calcCh4Prod4Slot3VolForecastSlot)</f>
        <v>1</v>
      </c>
      <c r="F2237" s="276" t="s">
        <v>2103</v>
      </c>
    </row>
    <row r="2238" spans="1:6" ht="14.25">
      <c r="A2238" s="409"/>
      <c r="B2238" s="410"/>
      <c r="E2238" s="489"/>
    </row>
    <row r="2239" spans="1:6" ht="14.25">
      <c r="A2239" s="409"/>
      <c r="B2239" s="410"/>
      <c r="C2239" s="217" t="s">
        <v>3789</v>
      </c>
      <c r="E2239" s="489"/>
    </row>
    <row r="2240" spans="1:6" ht="14.25">
      <c r="A2240" s="409"/>
      <c r="B2240" s="410"/>
      <c r="C2240" s="217" t="s">
        <v>400</v>
      </c>
    </row>
    <row r="2241" spans="1:6" ht="14.25">
      <c r="A2241" s="409"/>
      <c r="B2241" s="410"/>
      <c r="D2241" s="255" t="s">
        <v>526</v>
      </c>
      <c r="E2241" s="492">
        <f>VLOOKUP(decCh4Prod4Slot3Pack,dataPackMaterialExp,2,FALSE)</f>
        <v>0</v>
      </c>
      <c r="F2241" s="276" t="s">
        <v>4312</v>
      </c>
    </row>
    <row r="2242" spans="1:6" ht="14.25">
      <c r="A2242" s="409"/>
      <c r="B2242" s="410"/>
      <c r="D2242" s="328" t="s">
        <v>960</v>
      </c>
      <c r="E2242" s="502">
        <f>VLOOKUP(finCalcCh4Prod4Slot3ForcastAcc,dataForecastImpactMatCost,2,TRUE)*E2241</f>
        <v>0</v>
      </c>
      <c r="F2242" s="276" t="s">
        <v>4313</v>
      </c>
    </row>
    <row r="2243" spans="1:6" ht="14.25">
      <c r="A2243" s="409"/>
      <c r="B2243" s="410"/>
      <c r="D2243" s="328" t="s">
        <v>14030</v>
      </c>
      <c r="E2243" s="493">
        <f>paramProd4MatExpSI*finCalcCh4Prod4Slot3MatExpPerUnitBase</f>
        <v>0</v>
      </c>
      <c r="F2243" s="276" t="s">
        <v>4314</v>
      </c>
    </row>
    <row r="2244" spans="1:6" ht="14.25">
      <c r="A2244" s="409"/>
      <c r="B2244" s="410"/>
      <c r="D2244" s="209" t="s">
        <v>518</v>
      </c>
      <c r="E2244" s="327">
        <f>SUM(E2241:E2243)</f>
        <v>0</v>
      </c>
      <c r="F2244" s="276" t="s">
        <v>4315</v>
      </c>
    </row>
    <row r="2245" spans="1:6" ht="14.25">
      <c r="A2245" s="409"/>
      <c r="B2245" s="410"/>
      <c r="D2245" s="209" t="s">
        <v>401</v>
      </c>
      <c r="E2245" s="220">
        <f>finCalcCh4Prod4Slot3MatExpPUnitTot*finCalcCh4Prod4Slot3VolSold</f>
        <v>0</v>
      </c>
      <c r="F2245" s="276" t="s">
        <v>13062</v>
      </c>
    </row>
    <row r="2246" spans="1:6" ht="14.25">
      <c r="A2246" s="409"/>
      <c r="B2246" s="410"/>
      <c r="C2246" s="208"/>
      <c r="F2246" s="276"/>
    </row>
    <row r="2247" spans="1:6" ht="14.25">
      <c r="A2247" s="409"/>
      <c r="B2247" s="410"/>
      <c r="C2247" s="217" t="s">
        <v>399</v>
      </c>
      <c r="E2247" s="224"/>
    </row>
    <row r="2248" spans="1:6" ht="14.25">
      <c r="A2248" s="409"/>
      <c r="B2248" s="410"/>
      <c r="D2248" s="328" t="s">
        <v>969</v>
      </c>
      <c r="E2248" s="510">
        <f>VLOOKUP(decCh4Prod4Slot3Pack,dataPackLabourHrs,2,FALSE)</f>
        <v>0</v>
      </c>
      <c r="F2248" s="276" t="s">
        <v>4316</v>
      </c>
    </row>
    <row r="2249" spans="1:6" ht="14.25">
      <c r="A2249" s="409"/>
      <c r="B2249" s="410"/>
      <c r="D2249" s="328" t="s">
        <v>960</v>
      </c>
      <c r="E2249" s="510">
        <f>VLOOKUP(finCalcCh4Prod4Slot3ForcastAcc,dataForecastImpactLabCost,2,TRUE)*finCalcCh4Prod4Slot3LabourHrsReqPVolBase</f>
        <v>0</v>
      </c>
      <c r="F2249" s="276" t="s">
        <v>4317</v>
      </c>
    </row>
    <row r="2250" spans="1:6" ht="14.25">
      <c r="A2250" s="409"/>
      <c r="B2250" s="410"/>
      <c r="D2250" s="328" t="s">
        <v>14030</v>
      </c>
      <c r="E2250" s="510">
        <f>paramProd4LabourExpSI*finCalcCh4Prod4Slot3LabourHrsReqPVolBase</f>
        <v>0</v>
      </c>
      <c r="F2250" s="276" t="s">
        <v>4318</v>
      </c>
    </row>
    <row r="2251" spans="1:6" ht="14.25">
      <c r="A2251" s="409"/>
      <c r="B2251" s="410"/>
      <c r="D2251" s="209" t="s">
        <v>3795</v>
      </c>
      <c r="E2251" s="511">
        <f>SUM(E2248:E2250)</f>
        <v>0</v>
      </c>
      <c r="F2251" s="276" t="s">
        <v>4319</v>
      </c>
    </row>
    <row r="2252" spans="1:6" ht="14.25">
      <c r="A2252" s="409"/>
      <c r="B2252" s="410"/>
      <c r="D2252" s="328"/>
      <c r="E2252" s="499"/>
      <c r="F2252" s="276"/>
    </row>
    <row r="2253" spans="1:6" ht="14.25">
      <c r="A2253" s="409"/>
      <c r="B2253" s="410"/>
      <c r="D2253" s="209" t="s">
        <v>974</v>
      </c>
      <c r="E2253" s="494">
        <f>paramLabourCostPerHr</f>
        <v>5</v>
      </c>
      <c r="F2253" s="276" t="s">
        <v>4320</v>
      </c>
    </row>
    <row r="2254" spans="1:6" ht="14.25">
      <c r="A2254" s="409"/>
      <c r="B2254" s="410"/>
      <c r="D2254" s="209" t="s">
        <v>3793</v>
      </c>
      <c r="E2254" s="500">
        <f>finCalcCh4Prod4Slot3VolSold*finCalcCh4Prod4Slot3LabourHrsReqPVolTot</f>
        <v>0</v>
      </c>
    </row>
    <row r="2255" spans="1:6" ht="14.25">
      <c r="A2255" s="409"/>
      <c r="B2255" s="410"/>
      <c r="D2255" s="276" t="s">
        <v>973</v>
      </c>
      <c r="E2255" s="220">
        <f>E2254*finCalcCh4Prod4Slot3LabourCostPerHour</f>
        <v>0</v>
      </c>
      <c r="F2255" s="276" t="s">
        <v>13063</v>
      </c>
    </row>
    <row r="2256" spans="1:6" ht="14.25">
      <c r="A2256" s="409"/>
      <c r="B2256" s="410"/>
      <c r="E2256" s="223"/>
    </row>
    <row r="2257" spans="1:6" ht="14.25">
      <c r="A2257" s="409"/>
      <c r="B2257" s="410"/>
      <c r="C2257" s="217" t="s">
        <v>513</v>
      </c>
      <c r="E2257" s="223"/>
    </row>
    <row r="2258" spans="1:6" ht="14.25">
      <c r="A2258" s="409"/>
      <c r="B2258" s="410"/>
      <c r="C2258" s="326"/>
      <c r="D2258" s="276" t="s">
        <v>570</v>
      </c>
      <c r="E2258" s="491">
        <f>CalcCh4Prod4Slot3ManufacturingCostPUnit</f>
        <v>0</v>
      </c>
      <c r="F2258" s="276"/>
    </row>
    <row r="2259" spans="1:6" ht="14.25">
      <c r="A2259" s="409"/>
      <c r="B2259" s="410"/>
      <c r="C2259" s="326"/>
      <c r="D2259" s="209" t="s">
        <v>514</v>
      </c>
      <c r="E2259" s="490">
        <f>E2258*finCalcCh4Prod4Slot3VolSold</f>
        <v>0</v>
      </c>
      <c r="F2259" s="276" t="s">
        <v>13064</v>
      </c>
    </row>
    <row r="2260" spans="1:6" ht="14.25">
      <c r="A2260" s="409"/>
      <c r="B2260" s="410"/>
      <c r="C2260" s="208"/>
    </row>
    <row r="2261" spans="1:6" ht="14.25">
      <c r="A2261" s="409"/>
      <c r="B2261" s="410"/>
      <c r="C2261" s="498" t="s">
        <v>398</v>
      </c>
    </row>
    <row r="2262" spans="1:6" ht="14.25">
      <c r="A2262" s="409"/>
      <c r="B2262" s="410"/>
      <c r="C2262" s="208" t="s">
        <v>398</v>
      </c>
      <c r="E2262" s="223"/>
    </row>
    <row r="2263" spans="1:6" ht="14.25">
      <c r="A2263" s="409"/>
      <c r="B2263" s="410"/>
      <c r="D2263" s="209" t="s">
        <v>450</v>
      </c>
      <c r="E2263" s="220">
        <f>CalcCh4Prod4Slot3Depreciation</f>
        <v>0</v>
      </c>
      <c r="F2263" s="276" t="s">
        <v>2104</v>
      </c>
    </row>
    <row r="2264" spans="1:6" ht="14.25">
      <c r="A2264" s="409"/>
      <c r="B2264" s="410"/>
    </row>
    <row r="2265" spans="1:6" ht="14.25">
      <c r="A2265" s="409"/>
      <c r="B2265" s="410"/>
      <c r="C2265" s="217" t="s">
        <v>13066</v>
      </c>
    </row>
    <row r="2266" spans="1:6" ht="14.25">
      <c r="A2266" s="409"/>
      <c r="B2266" s="410"/>
      <c r="D2266" s="209" t="s">
        <v>400</v>
      </c>
      <c r="E2266" s="495">
        <f>finCalcCh4Prod4Slot3MatExpPUnitTot</f>
        <v>0</v>
      </c>
    </row>
    <row r="2267" spans="1:6" ht="14.25">
      <c r="A2267" s="409"/>
      <c r="B2267" s="410"/>
      <c r="D2267" s="209" t="s">
        <v>399</v>
      </c>
      <c r="E2267" s="495">
        <f>finCalcCh4Prod4Slot3LabourCostPerHour*finCalcCh4Prod4Slot3LabourHrsReqPVolTot</f>
        <v>0</v>
      </c>
    </row>
    <row r="2268" spans="1:6" ht="14.25">
      <c r="A2268" s="409"/>
      <c r="B2268" s="410"/>
      <c r="D2268" s="209" t="s">
        <v>513</v>
      </c>
      <c r="E2268" s="495">
        <f>E2258</f>
        <v>0</v>
      </c>
    </row>
    <row r="2269" spans="1:6" ht="14.25">
      <c r="A2269" s="409"/>
      <c r="B2269" s="410"/>
      <c r="D2269" s="209" t="s">
        <v>398</v>
      </c>
      <c r="E2269" s="496">
        <f>CalcCh4Prod4Slot3DepreciationPUnit</f>
        <v>0</v>
      </c>
    </row>
    <row r="2270" spans="1:6" ht="14.25">
      <c r="A2270" s="409"/>
      <c r="B2270" s="410"/>
      <c r="C2270" s="208" t="s">
        <v>397</v>
      </c>
      <c r="E2270" s="490">
        <f>SUM(E2266:E2269)</f>
        <v>0</v>
      </c>
      <c r="F2270" s="276" t="s">
        <v>2105</v>
      </c>
    </row>
    <row r="2271" spans="1:6" ht="14.25">
      <c r="A2271" s="409"/>
      <c r="B2271" s="410"/>
    </row>
    <row r="2272" spans="1:6" ht="14.25">
      <c r="A2272" s="409"/>
      <c r="B2272" s="410"/>
      <c r="C2272" s="217" t="s">
        <v>519</v>
      </c>
    </row>
    <row r="2273" spans="1:6" ht="14.25">
      <c r="A2273" s="409"/>
      <c r="B2273" s="410"/>
      <c r="D2273" s="328" t="s">
        <v>1286</v>
      </c>
      <c r="E2273" s="492">
        <f>VLOOKUP(decCh4Prod4Slot3Pack,dataPackLogisticsCost,2,FALSE)</f>
        <v>0</v>
      </c>
      <c r="F2273" s="276" t="s">
        <v>2966</v>
      </c>
    </row>
    <row r="2274" spans="1:6" ht="14.25">
      <c r="A2274" s="409"/>
      <c r="B2274" s="410"/>
      <c r="D2274" s="328" t="s">
        <v>960</v>
      </c>
      <c r="E2274" s="501">
        <f>VLOOKUP(finCalcCh4Prod4Slot3ForcastAcc,dataForecastImpactLogisticsCost,2,TRUE)*finCalcCh4Prod4Slot3LogExpPerUnit</f>
        <v>0</v>
      </c>
      <c r="F2274" s="276" t="s">
        <v>4321</v>
      </c>
    </row>
    <row r="2275" spans="1:6" ht="14.25">
      <c r="A2275" s="409"/>
      <c r="B2275" s="410"/>
      <c r="D2275" s="328" t="s">
        <v>14030</v>
      </c>
      <c r="E2275" s="497">
        <f>finCalcCh4Prod4Slot3LogExpPerUnit*paramProd4LogExpSI</f>
        <v>0</v>
      </c>
      <c r="F2275" s="276" t="s">
        <v>4322</v>
      </c>
    </row>
    <row r="2276" spans="1:6" ht="14.25">
      <c r="A2276" s="409"/>
      <c r="B2276" s="410"/>
      <c r="D2276" s="276" t="s">
        <v>1692</v>
      </c>
      <c r="E2276" s="327">
        <f>SUM(E2273:E2275)</f>
        <v>0</v>
      </c>
      <c r="F2276" s="276" t="s">
        <v>13065</v>
      </c>
    </row>
    <row r="2277" spans="1:6" ht="14.25">
      <c r="A2277" s="409"/>
      <c r="B2277" s="410"/>
      <c r="D2277" s="276" t="s">
        <v>1284</v>
      </c>
      <c r="E2277" s="490">
        <f>finCalcCh4Prod4Slot3LogExpAdjPUnit*finCalcCh4Prod4Slot3VolSold</f>
        <v>0</v>
      </c>
      <c r="F2277" s="276" t="s">
        <v>2106</v>
      </c>
    </row>
    <row r="2278" spans="1:6" ht="14.25">
      <c r="A2278" s="409"/>
      <c r="B2278" s="410"/>
      <c r="D2278" s="276"/>
      <c r="E2278" s="276"/>
      <c r="F2278" s="276"/>
    </row>
    <row r="2279" spans="1:6" ht="14.25">
      <c r="A2279" s="409"/>
      <c r="B2279" s="410"/>
      <c r="D2279" s="276"/>
      <c r="E2279" s="276"/>
      <c r="F2279" s="276"/>
    </row>
    <row r="2280" spans="1:6" ht="14.25">
      <c r="A2280" s="409"/>
      <c r="B2280" s="410"/>
      <c r="D2280" s="276"/>
      <c r="E2280" s="276"/>
      <c r="F2280" s="276"/>
    </row>
    <row r="2281" spans="1:6" ht="12.75" customHeight="1">
      <c r="B2281" s="994"/>
      <c r="C2281" s="995" t="s">
        <v>14031</v>
      </c>
      <c r="D2281" s="994"/>
      <c r="E2281" s="996"/>
      <c r="F2281" s="997"/>
    </row>
    <row r="2282" spans="1:6" ht="12.75" customHeight="1">
      <c r="B2282" s="994"/>
      <c r="D2282" s="276"/>
      <c r="E2282" s="276"/>
      <c r="F2282" s="276"/>
    </row>
    <row r="2283" spans="1:6" ht="12.75" customHeight="1">
      <c r="B2283" s="994"/>
      <c r="C2283" s="217" t="s">
        <v>1819</v>
      </c>
      <c r="D2283" s="276"/>
      <c r="E2283" s="276"/>
      <c r="F2283" s="276"/>
    </row>
    <row r="2284" spans="1:6" ht="12.75" customHeight="1">
      <c r="B2284" s="994"/>
      <c r="D2284" s="276" t="s">
        <v>5288</v>
      </c>
      <c r="E2284" s="998">
        <f>finCalcCh1VolSold+finCalcCh2VolSold+finCalcCh3VolSold+finCalcCh4VolSold</f>
        <v>979253824.24000001</v>
      </c>
      <c r="F2284" s="998" t="s">
        <v>14032</v>
      </c>
    </row>
    <row r="2285" spans="1:6" ht="12.75" customHeight="1">
      <c r="B2285" s="994"/>
      <c r="D2285" s="276"/>
      <c r="E2285" s="276"/>
      <c r="F2285" s="276"/>
    </row>
    <row r="2286" spans="1:6" ht="12.75" customHeight="1">
      <c r="B2286" s="994"/>
      <c r="C2286" s="217" t="s">
        <v>14033</v>
      </c>
      <c r="D2286" s="276"/>
      <c r="E2286" s="276"/>
      <c r="F2286" s="276"/>
    </row>
    <row r="2287" spans="1:6" ht="12.75" customHeight="1">
      <c r="B2287" s="994"/>
      <c r="D2287" s="276" t="str">
        <f>nmCh1</f>
        <v>Hypermarkets</v>
      </c>
      <c r="E2287" s="998">
        <f>finCalcCh1Prod1VolSold+finCalcCh1Prod2VolSold+finCalcCh1Prod3VolSold+finCalcCh1Prod4VolSold</f>
        <v>362489024.24000001</v>
      </c>
      <c r="F2287" s="998" t="s">
        <v>14034</v>
      </c>
    </row>
    <row r="2288" spans="1:6" ht="12.75" customHeight="1">
      <c r="B2288" s="994"/>
      <c r="D2288" s="276" t="str">
        <f>nmCh2</f>
        <v>Discounters</v>
      </c>
      <c r="E2288" s="998">
        <f>finCalcCh2Prod1VolSold+finCalcCh2Prod2VolSold+finCalcCh2Prod3VolSold+finCalcCh2Prod4VolSold</f>
        <v>263209499.99999994</v>
      </c>
      <c r="F2288" s="998" t="s">
        <v>14035</v>
      </c>
    </row>
    <row r="2289" spans="2:6" ht="12.75" customHeight="1">
      <c r="B2289" s="994"/>
      <c r="D2289" s="276" t="str">
        <f>nmCh3</f>
        <v>Convenience</v>
      </c>
      <c r="E2289" s="998">
        <f>finCalcCh3Prod1VolSold+finCalcCh3Prod2VolSold+finCalcCh3Prod3VolSold+finCalcCh3Prod4VolSold</f>
        <v>183378500</v>
      </c>
      <c r="F2289" s="998" t="s">
        <v>14036</v>
      </c>
    </row>
    <row r="2290" spans="2:6" ht="12.75" customHeight="1">
      <c r="B2290" s="994"/>
      <c r="D2290" s="276" t="str">
        <f>nmCh4</f>
        <v>On-Trade</v>
      </c>
      <c r="E2290" s="998">
        <f>finCalcCh4Prod1VolSold+finCalcCh4Prod2VolSold+finCalcCh4Prod3VolSold+finCalcCh4Prod4VolSold</f>
        <v>170176800</v>
      </c>
      <c r="F2290" s="998" t="s">
        <v>14037</v>
      </c>
    </row>
    <row r="2291" spans="2:6" ht="12.75" customHeight="1">
      <c r="B2291" s="994"/>
      <c r="D2291" s="276"/>
      <c r="E2291" s="998"/>
      <c r="F2291" s="276"/>
    </row>
    <row r="2292" spans="2:6" ht="12.75" customHeight="1">
      <c r="B2292" s="994"/>
      <c r="C2292" s="217" t="s">
        <v>14038</v>
      </c>
      <c r="D2292" s="276"/>
      <c r="E2292" s="998"/>
      <c r="F2292" s="276"/>
    </row>
    <row r="2293" spans="2:6" ht="12.75" customHeight="1">
      <c r="B2293" s="994"/>
      <c r="D2293" s="276" t="str">
        <f>nmProd1</f>
        <v>Greenborg</v>
      </c>
      <c r="E2293" s="998">
        <f>finCalcCh1Prod1VolSold+finCalcCh2Prod1VolSold+finCalcCh3Prod1VolSold+finCalcCh4Prod1VolSold</f>
        <v>168271259.24000001</v>
      </c>
      <c r="F2293" s="998" t="s">
        <v>14039</v>
      </c>
    </row>
    <row r="2294" spans="2:6" ht="12.75" customHeight="1">
      <c r="B2294" s="994"/>
      <c r="D2294" s="276" t="str">
        <f>nmProd2</f>
        <v>Harken</v>
      </c>
      <c r="E2294" s="998">
        <f>finCalcCh1Prod2VolSold+finCalcCh2Prod2VolSold+finCalcCh3Prod2VolSold+finCalcCh4Prod2VolSold</f>
        <v>435742187.5</v>
      </c>
      <c r="F2294" s="998" t="s">
        <v>14040</v>
      </c>
    </row>
    <row r="2295" spans="2:6" ht="12.75" customHeight="1">
      <c r="B2295" s="994"/>
      <c r="D2295" s="276" t="str">
        <f>nmProd3</f>
        <v>Kara</v>
      </c>
      <c r="E2295" s="998">
        <f>finCalcCh1Prod3VolSold+finCalcCh2Prod3VolSold+finCalcCh3Prod3VolSold+finCalcCh4Prod3VolSold</f>
        <v>314639627.5</v>
      </c>
      <c r="F2295" s="998" t="s">
        <v>14041</v>
      </c>
    </row>
    <row r="2296" spans="2:6" ht="12.75" customHeight="1">
      <c r="B2296" s="994"/>
      <c r="D2296" s="276" t="str">
        <f>nmProd4</f>
        <v>Brew Master</v>
      </c>
      <c r="E2296" s="998">
        <f>finCalcCh1Prod4VolSold+finCalcCh2Prod4VolSold+finCalcCh3Prod4VolSold+finCalcCh4Prod4VolSold</f>
        <v>60600750</v>
      </c>
      <c r="F2296" s="998" t="s">
        <v>14042</v>
      </c>
    </row>
    <row r="2297" spans="2:6" ht="12.75" customHeight="1">
      <c r="B2297" s="994"/>
      <c r="D2297" s="276"/>
      <c r="E2297" s="998"/>
      <c r="F2297" s="276"/>
    </row>
    <row r="2298" spans="2:6" ht="12.75" customHeight="1">
      <c r="B2298" s="994"/>
      <c r="C2298" s="217" t="s">
        <v>14043</v>
      </c>
      <c r="D2298" s="276"/>
      <c r="E2298" s="276"/>
      <c r="F2298" s="276"/>
    </row>
    <row r="2299" spans="2:6" ht="12.75" customHeight="1">
      <c r="B2299" s="994"/>
      <c r="D2299" s="276" t="str">
        <f>nmCh1&amp;" &amp; "&amp;nmProd1</f>
        <v>Hypermarkets &amp; Greenborg</v>
      </c>
      <c r="E2299" s="998">
        <f>finCalcCh1Prod1Slot1VolSold+finCalcCh1Prod1Slot2VolSold+finCalcCh1Prod1Slot3VolSold</f>
        <v>57998264.240000002</v>
      </c>
      <c r="F2299" s="998" t="s">
        <v>14044</v>
      </c>
    </row>
    <row r="2300" spans="2:6" ht="12.75" customHeight="1">
      <c r="B2300" s="994"/>
      <c r="D2300" s="276" t="str">
        <f>nmCh1&amp;" &amp; "&amp;nmProd2</f>
        <v>Hypermarkets &amp; Harken</v>
      </c>
      <c r="E2300" s="998">
        <f>finCalcCh1Prod2Slot1VolSold+finCalcCh1Prod2Slot2VolSold+finCalcCh1Prod2Slot3VolSold</f>
        <v>182694456</v>
      </c>
      <c r="F2300" s="998" t="s">
        <v>14045</v>
      </c>
    </row>
    <row r="2301" spans="2:6" ht="12.75" customHeight="1">
      <c r="B2301" s="994"/>
      <c r="D2301" s="276" t="str">
        <f>nmCh1&amp;" &amp; "&amp;nmProd3</f>
        <v>Hypermarkets &amp; Kara</v>
      </c>
      <c r="E2301" s="998">
        <f>finCalcCh1Prod3Slot1VolSold+finCalcCh1Prod3Slot2VolSold+finCalcCh1Prod3Slot3VolSold</f>
        <v>121796304</v>
      </c>
      <c r="F2301" s="998" t="s">
        <v>14046</v>
      </c>
    </row>
    <row r="2302" spans="2:6" ht="12.75" customHeight="1">
      <c r="B2302" s="994"/>
      <c r="D2302" s="276" t="str">
        <f>nmCh1&amp;" &amp; "&amp;nmProd4</f>
        <v>Hypermarkets &amp; Brew Master</v>
      </c>
      <c r="E2302" s="998">
        <f>finCalcCh1Prod4Slot1VolSold+finCalcCh1Prod4Slot2VolSold+finCalcCh1Prod4Slot3VolSold</f>
        <v>0</v>
      </c>
      <c r="F2302" s="998" t="s">
        <v>14047</v>
      </c>
    </row>
    <row r="2303" spans="2:6" ht="12.75" customHeight="1">
      <c r="B2303" s="994"/>
      <c r="D2303" s="276"/>
      <c r="E2303" s="276"/>
      <c r="F2303" s="276"/>
    </row>
    <row r="2304" spans="2:6" ht="12.75" customHeight="1">
      <c r="B2304" s="994"/>
      <c r="D2304" s="276" t="str">
        <f>nmCh2&amp;" &amp; "&amp;nmProd1</f>
        <v>Discounters &amp; Greenborg</v>
      </c>
      <c r="E2304" s="998">
        <f>finCalcCh2Prod1Slot1VolSold+finCalcCh2Prod1Slot2VolSold+finCalcCh2Prod1Slot3VolSold</f>
        <v>21056760</v>
      </c>
      <c r="F2304" s="998" t="s">
        <v>14048</v>
      </c>
    </row>
    <row r="2305" spans="2:6" ht="12.75" customHeight="1">
      <c r="B2305" s="994"/>
      <c r="D2305" s="276" t="str">
        <f>nmCh2&amp;" &amp; "&amp;nmProd2</f>
        <v>Discounters &amp; Harken</v>
      </c>
      <c r="E2305" s="998">
        <f>finCalcCh2Prod2Slot1VolSold+finCalcCh2Prod2Slot2VolSold+finCalcCh2Prod2Slot3VolSold</f>
        <v>145291643.99999997</v>
      </c>
      <c r="F2305" s="998" t="s">
        <v>14049</v>
      </c>
    </row>
    <row r="2306" spans="2:6" ht="12.75" customHeight="1">
      <c r="B2306" s="994"/>
      <c r="D2306" s="276" t="str">
        <f>nmCh2&amp;" &amp; "&amp;nmProd3</f>
        <v>Discounters &amp; Kara</v>
      </c>
      <c r="E2306" s="998">
        <f>finCalcCh2Prod3Slot1VolSold+finCalcCh2Prod3Slot2VolSold+finCalcCh2Prod3Slot3VolSold</f>
        <v>96861095.999999985</v>
      </c>
      <c r="F2306" s="998" t="s">
        <v>14050</v>
      </c>
    </row>
    <row r="2307" spans="2:6" ht="12.75" customHeight="1">
      <c r="B2307" s="994"/>
      <c r="D2307" s="276" t="str">
        <f>nmCh2&amp;" &amp; "&amp;nmProd4</f>
        <v>Discounters &amp; Brew Master</v>
      </c>
      <c r="E2307" s="998">
        <f>finCalcCh2Prod4Slot1VolSold+finCalcCh2Prod4Slot2VolSold+finCalcCh2Prod4Slot3VolSold</f>
        <v>0</v>
      </c>
      <c r="F2307" s="998" t="s">
        <v>14051</v>
      </c>
    </row>
    <row r="2308" spans="2:6" ht="12.75" customHeight="1">
      <c r="B2308" s="994"/>
      <c r="D2308" s="276"/>
      <c r="E2308" s="276"/>
      <c r="F2308" s="276"/>
    </row>
    <row r="2309" spans="2:6" ht="12.75" customHeight="1">
      <c r="B2309" s="994"/>
      <c r="D2309" s="276" t="str">
        <f>nmCh3&amp;" &amp; "&amp;nmProd1</f>
        <v>Convenience &amp; Greenborg</v>
      </c>
      <c r="E2309" s="998">
        <f>finCalcCh3Prod1Slot1VolSold+finCalcCh3Prod1Slot2VolSold+finCalcCh3Prod1Slot3VolSold</f>
        <v>38509485</v>
      </c>
      <c r="F2309" s="998" t="s">
        <v>14052</v>
      </c>
    </row>
    <row r="2310" spans="2:6" ht="12.75" customHeight="1">
      <c r="B2310" s="994"/>
      <c r="D2310" s="276" t="str">
        <f>nmCh3&amp;" &amp; "&amp;nmProd2</f>
        <v>Convenience &amp; Harken</v>
      </c>
      <c r="E2310" s="998">
        <f>finCalcCh3Prod2Slot1VolSold+finCalcCh3Prod2Slot2VolSold+finCalcCh3Prod2Slot3VolSold</f>
        <v>72434507.5</v>
      </c>
      <c r="F2310" s="998" t="s">
        <v>14053</v>
      </c>
    </row>
    <row r="2311" spans="2:6" ht="12.75" customHeight="1">
      <c r="B2311" s="994"/>
      <c r="D2311" s="276" t="str">
        <f>nmCh3&amp;" &amp; "&amp;nmProd3</f>
        <v>Convenience &amp; Kara</v>
      </c>
      <c r="E2311" s="998">
        <f>finCalcCh3Prod3Slot1VolSold+finCalcCh3Prod3Slot2VolSold+finCalcCh3Prod3Slot3VolSold</f>
        <v>72434507.5</v>
      </c>
      <c r="F2311" s="998" t="s">
        <v>14054</v>
      </c>
    </row>
    <row r="2312" spans="2:6" ht="12.75" customHeight="1">
      <c r="B2312" s="994"/>
      <c r="D2312" s="276" t="str">
        <f>nmCh3&amp;" &amp; "&amp;nmProd4</f>
        <v>Convenience &amp; Brew Master</v>
      </c>
      <c r="E2312" s="998">
        <f>finCalcCh3Prod4Slot1VolSold+finCalcCh3Prod4Slot2VolSold+finCalcCh3Prod4Slot3VolSold</f>
        <v>0</v>
      </c>
      <c r="F2312" s="998" t="s">
        <v>14055</v>
      </c>
    </row>
    <row r="2313" spans="2:6" ht="12.75" customHeight="1">
      <c r="B2313" s="994"/>
      <c r="D2313" s="276"/>
      <c r="E2313" s="276"/>
      <c r="F2313" s="276"/>
    </row>
    <row r="2314" spans="2:6" ht="12.75" customHeight="1">
      <c r="B2314" s="994"/>
      <c r="D2314" s="276" t="str">
        <f>nmCh4&amp;" &amp; "&amp;nmProd1</f>
        <v>On-Trade &amp; Greenborg</v>
      </c>
      <c r="E2314" s="998">
        <f>finCalcCh4Prod1Slot1VolSold+finCalcCh4Prod1Slot2VolSold+finCalcCh4Prod1Slot3VolSold</f>
        <v>50706750</v>
      </c>
      <c r="F2314" s="998" t="s">
        <v>14056</v>
      </c>
    </row>
    <row r="2315" spans="2:6" ht="12.75" customHeight="1">
      <c r="B2315" s="994"/>
      <c r="D2315" s="276" t="str">
        <f>nmCh4&amp;" &amp; "&amp;nmProd2</f>
        <v>On-Trade &amp; Harken</v>
      </c>
      <c r="E2315" s="998">
        <f>finCalcCh4Prod2Slot1VolSold+finCalcCh4Prod2Slot2VolSold+finCalcCh4Prod2Slot3VolSold</f>
        <v>35321580</v>
      </c>
      <c r="F2315" s="998" t="s">
        <v>14057</v>
      </c>
    </row>
    <row r="2316" spans="2:6" ht="12.75" customHeight="1">
      <c r="B2316" s="994"/>
      <c r="D2316" s="276" t="str">
        <f>nmCh4&amp;" &amp; "&amp;nmProd3</f>
        <v>On-Trade &amp; Kara</v>
      </c>
      <c r="E2316" s="998">
        <f>finCalcCh4Prod3Slot1VolSold+finCalcCh4Prod3Slot2VolSold+finCalcCh4Prod3Slot3VolSold</f>
        <v>23547720</v>
      </c>
      <c r="F2316" s="998" t="s">
        <v>14058</v>
      </c>
    </row>
    <row r="2317" spans="2:6" ht="12.75" customHeight="1">
      <c r="B2317" s="994"/>
      <c r="D2317" s="276" t="str">
        <f>nmCh4&amp;" &amp; "&amp;nmProd4</f>
        <v>On-Trade &amp; Brew Master</v>
      </c>
      <c r="E2317" s="998">
        <f>finCalcCh4Prod4Slot1VolSold+finCalcCh4Prod4Slot2VolSold+finCalcCh4Prod4Slot3VolSold</f>
        <v>60600750</v>
      </c>
      <c r="F2317" s="998" t="s">
        <v>14059</v>
      </c>
    </row>
    <row r="2318" spans="2:6" ht="12.75" customHeight="1">
      <c r="F2318" s="276"/>
    </row>
    <row r="2319" spans="2:6" ht="12.75" customHeight="1">
      <c r="F2319" s="276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1"/>
  </sheetPr>
  <dimension ref="A1:F1745"/>
  <sheetViews>
    <sheetView topLeftCell="A634" zoomScale="85" zoomScaleNormal="85" workbookViewId="0">
      <selection activeCell="D646" sqref="D646"/>
    </sheetView>
  </sheetViews>
  <sheetFormatPr defaultColWidth="13.09765625" defaultRowHeight="12.75" customHeight="1"/>
  <cols>
    <col min="1" max="2" width="2" style="207" customWidth="1"/>
    <col min="3" max="3" width="2.296875" style="207" customWidth="1"/>
    <col min="4" max="4" width="24.69921875" style="207" customWidth="1"/>
    <col min="5" max="5" width="16.5" style="225" customWidth="1"/>
    <col min="6" max="6" width="24.5" style="207" customWidth="1"/>
    <col min="7" max="16384" width="13.09765625" style="207"/>
  </cols>
  <sheetData>
    <row r="1" spans="1:6" s="218" customFormat="1" ht="14.25">
      <c r="A1" s="218" t="s">
        <v>453</v>
      </c>
      <c r="E1" s="219"/>
    </row>
    <row r="2" spans="1:6" s="211" customFormat="1" ht="14.25">
      <c r="B2" s="221" t="s">
        <v>523</v>
      </c>
      <c r="C2" s="221"/>
      <c r="D2" s="221"/>
      <c r="E2" s="222"/>
    </row>
    <row r="3" spans="1:6" s="322" customFormat="1" ht="14.25">
      <c r="A3" s="417" t="s">
        <v>244</v>
      </c>
      <c r="B3" s="417"/>
      <c r="C3" s="405"/>
      <c r="D3" s="405"/>
      <c r="E3" s="324"/>
    </row>
    <row r="4" spans="1:6" s="322" customFormat="1" ht="14.25">
      <c r="A4" s="417"/>
      <c r="B4" s="417" t="s">
        <v>12868</v>
      </c>
      <c r="C4" s="405"/>
      <c r="D4" s="405"/>
      <c r="E4" s="324"/>
    </row>
    <row r="5" spans="1:6" s="322" customFormat="1" ht="14.25">
      <c r="A5" s="408"/>
      <c r="B5" s="323"/>
      <c r="C5" s="325" t="s">
        <v>379</v>
      </c>
      <c r="D5" s="323"/>
      <c r="E5" s="324"/>
    </row>
    <row r="6" spans="1:6" s="322" customFormat="1" ht="14.25">
      <c r="A6" s="408"/>
      <c r="B6" s="323"/>
      <c r="C6" s="325"/>
      <c r="D6" s="323"/>
      <c r="E6" s="324"/>
    </row>
    <row r="7" spans="1:6" s="379" customFormat="1" ht="14.25">
      <c r="A7" s="418"/>
      <c r="B7" s="325"/>
      <c r="C7" s="325"/>
      <c r="D7" s="325" t="s">
        <v>1394</v>
      </c>
      <c r="E7" s="392">
        <f>IF(calcCh1Prod1Slot1Active=1,calcCh1Prod1Slot1CustPrice*finCalcCh1Prod1Slot1VolSold,0)</f>
        <v>446586634.648</v>
      </c>
      <c r="F7" s="276" t="s">
        <v>2720</v>
      </c>
    </row>
    <row r="8" spans="1:6" s="379" customFormat="1" ht="14.25">
      <c r="A8" s="418"/>
      <c r="B8" s="325"/>
      <c r="C8" s="325"/>
      <c r="D8" s="325" t="s">
        <v>1395</v>
      </c>
      <c r="E8" s="392">
        <f>IF(calcCh1Prod1Slot1Active=1,finCalcCh1Prod1Slot1VolSold*paramExciseProd1,0)</f>
        <v>142095747.38800001</v>
      </c>
      <c r="F8" s="276" t="s">
        <v>2721</v>
      </c>
    </row>
    <row r="9" spans="1:6" s="379" customFormat="1" ht="14.25">
      <c r="A9" s="418"/>
      <c r="B9" s="325"/>
      <c r="C9" s="325"/>
      <c r="D9" s="325" t="s">
        <v>694</v>
      </c>
      <c r="E9" s="392">
        <f>IF(calcCh1Prod1Slot1Active=1,finPNLCh1Prod1Slot1Turn-finPNLCh1Prod1Slot1Excise,0)</f>
        <v>304490887.25999999</v>
      </c>
      <c r="F9" s="276" t="s">
        <v>2722</v>
      </c>
    </row>
    <row r="10" spans="1:6" s="379" customFormat="1" ht="14.25">
      <c r="A10" s="418"/>
      <c r="B10" s="325"/>
      <c r="C10" s="325"/>
      <c r="D10" s="325" t="s">
        <v>1396</v>
      </c>
      <c r="E10" s="392">
        <f>IF(calcCh1Prod1Slot1Active=1,(calcCh1Prod1Slot1CustPrice-calcCh1Prod1Slot1AvgSalePrice)*finCalcCh1Prod1Slot1VolSold+calcCh1Prod1Slot1Promo1PlanExp+calcCh1Prod1Slot1Promo2PlanExp+calcCh1Prod1Slot1ValDrivExp,0)</f>
        <v>96116608.793803662</v>
      </c>
      <c r="F10" s="276" t="s">
        <v>2723</v>
      </c>
    </row>
    <row r="11" spans="1:6" s="227" customFormat="1" ht="2.1" customHeight="1">
      <c r="A11" s="418"/>
      <c r="B11" s="230"/>
      <c r="C11" s="209"/>
      <c r="D11" s="229"/>
      <c r="E11" s="229"/>
      <c r="F11" s="209"/>
    </row>
    <row r="12" spans="1:6" ht="14.25">
      <c r="A12" s="419"/>
      <c r="B12" s="209"/>
      <c r="C12" s="217" t="s">
        <v>1269</v>
      </c>
      <c r="D12" s="209"/>
      <c r="E12" s="233">
        <f>E9-E10</f>
        <v>208374278.46619633</v>
      </c>
      <c r="F12" s="276" t="s">
        <v>1270</v>
      </c>
    </row>
    <row r="13" spans="1:6" ht="14.25">
      <c r="A13" s="419"/>
      <c r="B13" s="209"/>
      <c r="C13" s="209"/>
      <c r="D13" s="209"/>
      <c r="E13" s="210"/>
      <c r="F13" s="209"/>
    </row>
    <row r="14" spans="1:6" ht="14.25">
      <c r="A14" s="419"/>
      <c r="B14" s="209"/>
      <c r="C14" s="217" t="s">
        <v>404</v>
      </c>
      <c r="D14" s="209"/>
      <c r="E14" s="210"/>
      <c r="F14" s="209"/>
    </row>
    <row r="15" spans="1:6" ht="14.25">
      <c r="A15" s="419"/>
      <c r="B15" s="209"/>
      <c r="C15" s="209"/>
      <c r="D15" s="209" t="s">
        <v>400</v>
      </c>
      <c r="E15" s="226">
        <f>IF(calcCh1Prod1Slot1Active=1,finCalcCh1Prod1Slot1MatExp,0)</f>
        <v>88215151.115288764</v>
      </c>
      <c r="F15" s="276" t="s">
        <v>1271</v>
      </c>
    </row>
    <row r="16" spans="1:6" ht="14.25">
      <c r="A16" s="419"/>
      <c r="B16" s="209"/>
      <c r="C16" s="209"/>
      <c r="D16" s="209" t="s">
        <v>399</v>
      </c>
      <c r="E16" s="226">
        <f>IF(calcCh1Prod1Slot1Active=1,finCalcCh1Prod1Slot1LabourExp,0)</f>
        <v>12972816.340483641</v>
      </c>
      <c r="F16" s="276" t="s">
        <v>1272</v>
      </c>
    </row>
    <row r="17" spans="1:6" ht="14.25">
      <c r="A17" s="419"/>
      <c r="B17" s="209"/>
      <c r="C17" s="209"/>
      <c r="D17" s="209" t="s">
        <v>513</v>
      </c>
      <c r="E17" s="226">
        <f>IF(calcCh1Prod1Slot1Active=1,finCalcCh1Prod1Slot1MachCost,0)</f>
        <v>19204849.241262723</v>
      </c>
      <c r="F17" s="276" t="s">
        <v>1273</v>
      </c>
    </row>
    <row r="18" spans="1:6" ht="14.25">
      <c r="A18" s="419"/>
      <c r="B18" s="209"/>
      <c r="C18" s="209"/>
      <c r="D18" s="209" t="s">
        <v>398</v>
      </c>
      <c r="E18" s="226">
        <f>IF(calcCh1Prod1Slot1Active=1,finCalcCh1Prod1Slot1DepExp,0)</f>
        <v>8547321.038429644</v>
      </c>
      <c r="F18" s="276" t="s">
        <v>1274</v>
      </c>
    </row>
    <row r="19" spans="1:6" s="227" customFormat="1" ht="2.1" customHeight="1">
      <c r="A19" s="418"/>
      <c r="B19" s="230"/>
      <c r="C19" s="209"/>
      <c r="D19" s="229"/>
      <c r="E19" s="229"/>
      <c r="F19" s="209"/>
    </row>
    <row r="20" spans="1:6" ht="14.25">
      <c r="A20" s="419"/>
      <c r="B20" s="209"/>
      <c r="C20" s="209"/>
      <c r="D20" s="209" t="s">
        <v>14</v>
      </c>
      <c r="E20" s="226">
        <f>SUM(E15:E19)</f>
        <v>128940137.73546477</v>
      </c>
      <c r="F20" s="276" t="s">
        <v>1275</v>
      </c>
    </row>
    <row r="21" spans="1:6" ht="14.25">
      <c r="A21" s="419"/>
      <c r="B21" s="209"/>
      <c r="C21" s="209"/>
      <c r="D21" s="209"/>
      <c r="E21" s="210"/>
      <c r="F21" s="209"/>
    </row>
    <row r="22" spans="1:6" ht="14.25">
      <c r="A22" s="419"/>
      <c r="B22" s="209"/>
      <c r="C22" s="217" t="s">
        <v>160</v>
      </c>
      <c r="D22" s="209"/>
      <c r="E22" s="210"/>
      <c r="F22" s="209"/>
    </row>
    <row r="23" spans="1:6" ht="14.25">
      <c r="A23" s="419"/>
      <c r="B23" s="209"/>
      <c r="C23" s="209"/>
      <c r="D23" s="209" t="s">
        <v>160</v>
      </c>
      <c r="E23" s="226">
        <f>IF(calcCh1Prod1Slot1Active=1,finPNLCh1Prod1Slot1TotalRev-finPNLCh1Prod1Slot1TotalCOGs,0)</f>
        <v>79434140.730731562</v>
      </c>
      <c r="F23" s="276" t="s">
        <v>1276</v>
      </c>
    </row>
    <row r="24" spans="1:6" ht="14.25">
      <c r="A24" s="419"/>
      <c r="B24" s="209"/>
      <c r="C24" s="217"/>
      <c r="D24" s="234" t="s">
        <v>162</v>
      </c>
      <c r="E24" s="448">
        <f>IF(finPNLCh1Prod1Slot1TotalRev=0,0,finPNLCh1Prod1Slot1GP/finPNLCh1Prod1Slot1TotalRev)</f>
        <v>0.38120895398141869</v>
      </c>
      <c r="F24" s="276" t="s">
        <v>1277</v>
      </c>
    </row>
    <row r="25" spans="1:6" ht="14.25">
      <c r="A25" s="419"/>
      <c r="B25" s="209"/>
      <c r="C25" s="217"/>
      <c r="D25" s="234"/>
      <c r="E25" s="449"/>
      <c r="F25" s="209"/>
    </row>
    <row r="26" spans="1:6" ht="14.25">
      <c r="A26" s="419"/>
      <c r="B26" s="209"/>
      <c r="C26" s="217" t="s">
        <v>519</v>
      </c>
      <c r="D26" s="234"/>
      <c r="E26" s="449"/>
      <c r="F26" s="209"/>
    </row>
    <row r="27" spans="1:6" ht="14.25">
      <c r="A27" s="419"/>
      <c r="B27" s="209"/>
      <c r="C27" s="217"/>
      <c r="D27" s="209" t="s">
        <v>519</v>
      </c>
      <c r="E27" s="226">
        <f>IF(calcCh1Prod1Slot1Active=1,finCalcCh1Prod1Slot1LogisticsCost,0)</f>
        <v>14989193.511794528</v>
      </c>
      <c r="F27" s="276" t="s">
        <v>1691</v>
      </c>
    </row>
    <row r="28" spans="1:6" ht="14.25">
      <c r="A28" s="419"/>
      <c r="B28" s="209"/>
      <c r="C28" s="217"/>
      <c r="D28" s="234"/>
      <c r="E28" s="449"/>
      <c r="F28" s="209"/>
    </row>
    <row r="29" spans="1:6" ht="14.25">
      <c r="A29" s="419"/>
      <c r="B29" s="209"/>
      <c r="C29" s="217" t="s">
        <v>520</v>
      </c>
      <c r="D29" s="209"/>
      <c r="E29" s="210"/>
      <c r="F29" s="209"/>
    </row>
    <row r="30" spans="1:6" ht="14.25">
      <c r="A30" s="419"/>
      <c r="B30" s="209"/>
      <c r="C30" s="209"/>
      <c r="D30" s="209" t="s">
        <v>521</v>
      </c>
      <c r="E30" s="226">
        <f>finPNLCh1Prod1Slot1GP-finPNLCh1Prod1Slot1LogExp</f>
        <v>64444947.218937032</v>
      </c>
      <c r="F30" s="276" t="s">
        <v>1278</v>
      </c>
    </row>
    <row r="31" spans="1:6" ht="14.25">
      <c r="A31" s="419"/>
      <c r="B31" s="209"/>
      <c r="C31" s="217"/>
      <c r="D31" s="234" t="s">
        <v>522</v>
      </c>
      <c r="E31" s="448">
        <f>IF(finPNLCh1Prod1Slot1TotalRev=0,0,finPNLCh1Prod1Slot1GPaL/finPNLCh1Prod1Slot1TotalRev)</f>
        <v>0.30927496278957317</v>
      </c>
      <c r="F31" s="276" t="s">
        <v>1279</v>
      </c>
    </row>
    <row r="32" spans="1:6" s="398" customFormat="1" ht="14.25">
      <c r="A32" s="419"/>
      <c r="B32" s="335"/>
      <c r="C32" s="395"/>
      <c r="D32" s="396"/>
      <c r="E32" s="450"/>
      <c r="F32" s="336"/>
    </row>
    <row r="33" spans="1:6" s="322" customFormat="1" ht="14.25">
      <c r="A33" s="408"/>
      <c r="B33" s="323"/>
      <c r="C33" s="325" t="s">
        <v>394</v>
      </c>
      <c r="D33" s="323"/>
      <c r="E33" s="323"/>
    </row>
    <row r="34" spans="1:6" s="322" customFormat="1" ht="14.25">
      <c r="A34" s="408"/>
      <c r="B34" s="323"/>
      <c r="C34" s="325"/>
      <c r="D34" s="323"/>
      <c r="E34" s="323"/>
    </row>
    <row r="35" spans="1:6" s="379" customFormat="1" ht="14.25">
      <c r="A35" s="418"/>
      <c r="B35" s="325"/>
      <c r="C35" s="325"/>
      <c r="D35" s="325" t="s">
        <v>1394</v>
      </c>
      <c r="E35" s="392">
        <f>IF(calcCh1Prod1Slot2Active=1,calcCh1Prod1Slot2CustPrice*finCalcCh1Prod1Slot2VolSold,0)</f>
        <v>0</v>
      </c>
      <c r="F35" s="276" t="s">
        <v>2724</v>
      </c>
    </row>
    <row r="36" spans="1:6" s="379" customFormat="1" ht="14.25">
      <c r="A36" s="418"/>
      <c r="B36" s="325"/>
      <c r="C36" s="325"/>
      <c r="D36" s="325" t="s">
        <v>1759</v>
      </c>
      <c r="E36" s="392">
        <f>IF(calcCh1Prod1Slot2Active=1,finCalcCh1Prod1Slot2VolSold*paramExciseProd1,0)</f>
        <v>0</v>
      </c>
      <c r="F36" s="276" t="s">
        <v>2725</v>
      </c>
    </row>
    <row r="37" spans="1:6" s="379" customFormat="1" ht="14.25">
      <c r="A37" s="418"/>
      <c r="B37" s="325"/>
      <c r="C37" s="325"/>
      <c r="D37" s="325" t="s">
        <v>694</v>
      </c>
      <c r="E37" s="392">
        <f>IF(calcCh1Prod1Slot2Active=1,finPNLCh1Prod1Slot2Turn-finPNLCh1Prod1Slot2Excise,0)</f>
        <v>0</v>
      </c>
      <c r="F37" s="276" t="s">
        <v>2726</v>
      </c>
    </row>
    <row r="38" spans="1:6" s="379" customFormat="1" ht="14.25">
      <c r="A38" s="418"/>
      <c r="B38" s="325"/>
      <c r="C38" s="325"/>
      <c r="D38" s="325" t="s">
        <v>1396</v>
      </c>
      <c r="E38" s="392">
        <f>IF(calcCh1Prod1Slot2Active=1,(calcCh1Prod1Slot2CustPrice-calcCh1Prod1Slot2AvgSalePrice)*finCalcCh1Prod1Slot2VolSold+calcCh1Prod1Slot2Promo1PlanExp+calcCh1Prod1Slot2Promo2PlanExp+calcCh1Prod1Slot2ValDrivExp,0)</f>
        <v>0</v>
      </c>
      <c r="F38" s="276" t="s">
        <v>2727</v>
      </c>
    </row>
    <row r="39" spans="1:6" s="227" customFormat="1" ht="2.1" customHeight="1">
      <c r="A39" s="418"/>
      <c r="B39" s="230"/>
      <c r="C39" s="209"/>
      <c r="D39" s="229"/>
      <c r="E39" s="229"/>
      <c r="F39" s="209"/>
    </row>
    <row r="40" spans="1:6" ht="14.25">
      <c r="A40" s="419"/>
      <c r="B40" s="209"/>
      <c r="C40" s="217" t="s">
        <v>1269</v>
      </c>
      <c r="D40" s="209"/>
      <c r="E40" s="233">
        <f>E37-E38</f>
        <v>0</v>
      </c>
      <c r="F40" s="276" t="s">
        <v>2203</v>
      </c>
    </row>
    <row r="41" spans="1:6" ht="14.25">
      <c r="A41" s="419"/>
      <c r="B41" s="209"/>
      <c r="C41" s="209"/>
      <c r="D41" s="209"/>
      <c r="E41" s="210"/>
      <c r="F41" s="209"/>
    </row>
    <row r="42" spans="1:6" ht="14.25">
      <c r="A42" s="419"/>
      <c r="B42" s="209"/>
      <c r="C42" s="217" t="s">
        <v>404</v>
      </c>
      <c r="D42" s="209"/>
      <c r="E42" s="210"/>
      <c r="F42" s="209"/>
    </row>
    <row r="43" spans="1:6" ht="14.25">
      <c r="A43" s="419"/>
      <c r="B43" s="209"/>
      <c r="C43" s="209"/>
      <c r="D43" s="209" t="s">
        <v>400</v>
      </c>
      <c r="E43" s="226">
        <f>IF(calcCh1Prod1Slot2Active=1,finCalcCh1Prod1Slot2MatExp,0)</f>
        <v>0</v>
      </c>
      <c r="F43" s="276" t="s">
        <v>2204</v>
      </c>
    </row>
    <row r="44" spans="1:6" ht="14.25">
      <c r="A44" s="419"/>
      <c r="B44" s="209"/>
      <c r="C44" s="209"/>
      <c r="D44" s="209" t="s">
        <v>399</v>
      </c>
      <c r="E44" s="226">
        <f>IF(calcCh1Prod1Slot2Active=1,finCalcCh1Prod1Slot2LabourExp,0)</f>
        <v>0</v>
      </c>
      <c r="F44" s="276" t="s">
        <v>2205</v>
      </c>
    </row>
    <row r="45" spans="1:6" ht="14.25">
      <c r="A45" s="419"/>
      <c r="B45" s="209"/>
      <c r="C45" s="209"/>
      <c r="D45" s="209" t="s">
        <v>513</v>
      </c>
      <c r="E45" s="226">
        <f>IF(calcCh1Prod1Slot2Active=1,finCalcCh1Prod1Slot2MachCost,0)</f>
        <v>0</v>
      </c>
      <c r="F45" s="276" t="s">
        <v>2206</v>
      </c>
    </row>
    <row r="46" spans="1:6" ht="14.25">
      <c r="A46" s="419"/>
      <c r="B46" s="209"/>
      <c r="C46" s="209"/>
      <c r="D46" s="209" t="s">
        <v>398</v>
      </c>
      <c r="E46" s="226">
        <f>IF(calcCh1Prod1Slot2Active=1,finCalcCh1Prod1Slot2DepExp,0)</f>
        <v>0</v>
      </c>
      <c r="F46" s="276" t="s">
        <v>2207</v>
      </c>
    </row>
    <row r="47" spans="1:6" s="227" customFormat="1" ht="2.1" customHeight="1">
      <c r="A47" s="418"/>
      <c r="B47" s="230"/>
      <c r="C47" s="209"/>
      <c r="D47" s="229"/>
      <c r="E47" s="229"/>
      <c r="F47" s="209"/>
    </row>
    <row r="48" spans="1:6" ht="14.25">
      <c r="A48" s="419"/>
      <c r="B48" s="209"/>
      <c r="C48" s="209"/>
      <c r="D48" s="209" t="s">
        <v>14</v>
      </c>
      <c r="E48" s="226">
        <f>SUM(E43:E47)</f>
        <v>0</v>
      </c>
      <c r="F48" s="276" t="s">
        <v>2208</v>
      </c>
    </row>
    <row r="49" spans="1:6" ht="14.25">
      <c r="A49" s="419"/>
      <c r="B49" s="209"/>
      <c r="C49" s="209"/>
      <c r="D49" s="209"/>
      <c r="E49" s="210"/>
      <c r="F49" s="209"/>
    </row>
    <row r="50" spans="1:6" ht="14.25">
      <c r="A50" s="419"/>
      <c r="B50" s="209"/>
      <c r="C50" s="217" t="s">
        <v>160</v>
      </c>
      <c r="D50" s="209"/>
      <c r="E50" s="210"/>
      <c r="F50" s="209"/>
    </row>
    <row r="51" spans="1:6" ht="14.25">
      <c r="A51" s="419"/>
      <c r="B51" s="209"/>
      <c r="C51" s="209"/>
      <c r="D51" s="209" t="s">
        <v>160</v>
      </c>
      <c r="E51" s="226">
        <f>IF(calcCh1Prod1Slot2Active=1,finPNLCh1Prod1Slot2TotalRev-finPNLCh1Prod1Slot2TotalCOGs,0)</f>
        <v>0</v>
      </c>
      <c r="F51" s="276" t="s">
        <v>2209</v>
      </c>
    </row>
    <row r="52" spans="1:6" ht="14.25">
      <c r="A52" s="419"/>
      <c r="B52" s="209"/>
      <c r="C52" s="217"/>
      <c r="D52" s="234" t="s">
        <v>162</v>
      </c>
      <c r="E52" s="687">
        <f>IF(finPNLCh1Prod1Slot2TotalRev=0,0,finPNLCh1Prod1Slot2GP/finPNLCh1Prod1Slot2TotalRev)</f>
        <v>0</v>
      </c>
      <c r="F52" s="276" t="s">
        <v>2210</v>
      </c>
    </row>
    <row r="53" spans="1:6" ht="14.25">
      <c r="A53" s="419"/>
      <c r="B53" s="209"/>
      <c r="C53" s="217"/>
      <c r="D53" s="234"/>
      <c r="E53" s="449"/>
      <c r="F53" s="209"/>
    </row>
    <row r="54" spans="1:6" ht="14.25">
      <c r="A54" s="419"/>
      <c r="B54" s="209"/>
      <c r="C54" s="217" t="s">
        <v>519</v>
      </c>
      <c r="D54" s="234"/>
      <c r="E54" s="449"/>
      <c r="F54" s="209"/>
    </row>
    <row r="55" spans="1:6" ht="14.25">
      <c r="A55" s="419"/>
      <c r="B55" s="209"/>
      <c r="C55" s="217"/>
      <c r="D55" s="209" t="s">
        <v>519</v>
      </c>
      <c r="E55" s="226">
        <f>IF(calcCh1Prod1Slot2Active=1,finCalcCh1Prod1Slot2LogisticsCost,0)</f>
        <v>0</v>
      </c>
      <c r="F55" s="208" t="s">
        <v>2211</v>
      </c>
    </row>
    <row r="56" spans="1:6" ht="14.25">
      <c r="A56" s="419"/>
      <c r="B56" s="209"/>
      <c r="C56" s="217"/>
      <c r="D56" s="234"/>
      <c r="E56" s="449"/>
      <c r="F56" s="209"/>
    </row>
    <row r="57" spans="1:6" ht="14.25">
      <c r="A57" s="419"/>
      <c r="B57" s="209"/>
      <c r="C57" s="217" t="s">
        <v>520</v>
      </c>
      <c r="D57" s="209"/>
      <c r="E57" s="210"/>
      <c r="F57" s="209"/>
    </row>
    <row r="58" spans="1:6" ht="14.25">
      <c r="A58" s="419"/>
      <c r="B58" s="209"/>
      <c r="C58" s="209"/>
      <c r="D58" s="209" t="s">
        <v>521</v>
      </c>
      <c r="E58" s="226">
        <f>finPNLCh1Prod1Slot2GP-finPNLCh1Prod1Slot2LogExp</f>
        <v>0</v>
      </c>
      <c r="F58" s="276" t="s">
        <v>2212</v>
      </c>
    </row>
    <row r="59" spans="1:6" ht="14.25">
      <c r="A59" s="419"/>
      <c r="B59" s="209"/>
      <c r="C59" s="217"/>
      <c r="D59" s="234" t="s">
        <v>522</v>
      </c>
      <c r="E59" s="687">
        <f>IF(finPNLCh1Prod1Slot2TotalRev=0,0,finPNLCh1Prod1Slot2GPaL/finPNLCh1Prod1Slot2TotalRev)</f>
        <v>0</v>
      </c>
      <c r="F59" s="276" t="s">
        <v>2213</v>
      </c>
    </row>
    <row r="60" spans="1:6" s="398" customFormat="1" ht="14.25">
      <c r="A60" s="419"/>
      <c r="B60" s="335"/>
      <c r="C60" s="395"/>
      <c r="D60" s="396"/>
      <c r="E60" s="450"/>
      <c r="F60" s="336"/>
    </row>
    <row r="61" spans="1:6" s="322" customFormat="1" ht="14.25">
      <c r="A61" s="408"/>
      <c r="B61" s="323"/>
      <c r="C61" s="325" t="s">
        <v>395</v>
      </c>
      <c r="D61" s="323"/>
      <c r="E61" s="323"/>
    </row>
    <row r="62" spans="1:6" s="322" customFormat="1" ht="14.25">
      <c r="A62" s="408"/>
      <c r="B62" s="323"/>
      <c r="C62" s="325"/>
      <c r="D62" s="323"/>
      <c r="E62" s="323"/>
    </row>
    <row r="63" spans="1:6" s="379" customFormat="1" ht="14.25">
      <c r="A63" s="418"/>
      <c r="B63" s="325"/>
      <c r="C63" s="325"/>
      <c r="D63" s="325" t="s">
        <v>1394</v>
      </c>
      <c r="E63" s="392">
        <f>IF(calcCh1Prod1Slot3Active=1,calcCh1Prod1Slot3CustPrice*finCalcCh1Prod1Slot3VolSold,0)</f>
        <v>0</v>
      </c>
      <c r="F63" s="276" t="s">
        <v>2728</v>
      </c>
    </row>
    <row r="64" spans="1:6" s="379" customFormat="1" ht="14.25">
      <c r="A64" s="418"/>
      <c r="B64" s="325"/>
      <c r="C64" s="325"/>
      <c r="D64" s="325" t="s">
        <v>1759</v>
      </c>
      <c r="E64" s="392">
        <f>IF(calcCh1Prod1Slot3Active=1,finCalcCh1Prod1Slot3VolSold*paramExciseProd1,0)</f>
        <v>0</v>
      </c>
      <c r="F64" s="276" t="s">
        <v>2729</v>
      </c>
    </row>
    <row r="65" spans="1:6" s="379" customFormat="1" ht="14.25">
      <c r="A65" s="418"/>
      <c r="B65" s="325"/>
      <c r="C65" s="325"/>
      <c r="D65" s="325" t="s">
        <v>694</v>
      </c>
      <c r="E65" s="392">
        <f>IF(calcCh1Prod1Slot3Active=1,finPNLCh1Prod1Slot3Turn-finPNLCh1Prod1Slot3Excise,0)</f>
        <v>0</v>
      </c>
      <c r="F65" s="276" t="s">
        <v>2730</v>
      </c>
    </row>
    <row r="66" spans="1:6" s="379" customFormat="1" ht="14.25">
      <c r="A66" s="418"/>
      <c r="B66" s="325"/>
      <c r="C66" s="325"/>
      <c r="D66" s="325" t="s">
        <v>1396</v>
      </c>
      <c r="E66" s="392">
        <f>IF(calcCh1Prod1Slot3Active=1,(calcCh1Prod1Slot3CustPrice-calcCh1Prod1Slot3AvgSalePrice)*finCalcCh1Prod1Slot3VolSold+calcCh1Prod1Slot3Promo1PlanExp+calcCh1Prod1Slot3Promo2PlanExp+calcCh1Prod1Slot3ValDrivExp,0)</f>
        <v>0</v>
      </c>
      <c r="F66" s="276" t="s">
        <v>2731</v>
      </c>
    </row>
    <row r="67" spans="1:6" s="227" customFormat="1" ht="2.1" customHeight="1">
      <c r="A67" s="418"/>
      <c r="B67" s="230"/>
      <c r="C67" s="209"/>
      <c r="D67" s="229"/>
      <c r="E67" s="229"/>
      <c r="F67" s="209"/>
    </row>
    <row r="68" spans="1:6" ht="14.25">
      <c r="A68" s="419"/>
      <c r="B68" s="209"/>
      <c r="C68" s="217" t="s">
        <v>1269</v>
      </c>
      <c r="D68" s="209"/>
      <c r="E68" s="233">
        <f>E65-E66</f>
        <v>0</v>
      </c>
      <c r="F68" s="276" t="s">
        <v>2214</v>
      </c>
    </row>
    <row r="69" spans="1:6" ht="14.25">
      <c r="A69" s="419"/>
      <c r="B69" s="209"/>
      <c r="C69" s="209"/>
      <c r="D69" s="209"/>
      <c r="E69" s="210"/>
      <c r="F69" s="209"/>
    </row>
    <row r="70" spans="1:6" ht="14.25">
      <c r="A70" s="419"/>
      <c r="B70" s="209"/>
      <c r="C70" s="217" t="s">
        <v>404</v>
      </c>
      <c r="D70" s="209"/>
      <c r="E70" s="210"/>
      <c r="F70" s="209"/>
    </row>
    <row r="71" spans="1:6" ht="14.25">
      <c r="A71" s="419"/>
      <c r="B71" s="209"/>
      <c r="C71" s="209"/>
      <c r="D71" s="209" t="s">
        <v>400</v>
      </c>
      <c r="E71" s="226">
        <f>IF(calcCh1Prod1Slot3Active=1,finCalcCh1Prod1Slot3MatExp,0)</f>
        <v>0</v>
      </c>
      <c r="F71" s="276" t="s">
        <v>2215</v>
      </c>
    </row>
    <row r="72" spans="1:6" ht="14.25">
      <c r="A72" s="419"/>
      <c r="B72" s="209"/>
      <c r="C72" s="209"/>
      <c r="D72" s="209" t="s">
        <v>399</v>
      </c>
      <c r="E72" s="226">
        <f>IF(calcCh1Prod1Slot3Active=1,finCalcCh1Prod1Slot3LabourExp,0)</f>
        <v>0</v>
      </c>
      <c r="F72" s="276" t="s">
        <v>2216</v>
      </c>
    </row>
    <row r="73" spans="1:6" ht="14.25">
      <c r="A73" s="419"/>
      <c r="B73" s="209"/>
      <c r="C73" s="209"/>
      <c r="D73" s="209" t="s">
        <v>513</v>
      </c>
      <c r="E73" s="226">
        <f>IF(calcCh1Prod1Slot3Active=1,finCalcCh1Prod1Slot3MachCost,0)</f>
        <v>0</v>
      </c>
      <c r="F73" s="276" t="s">
        <v>2217</v>
      </c>
    </row>
    <row r="74" spans="1:6" ht="14.25">
      <c r="A74" s="419"/>
      <c r="B74" s="209"/>
      <c r="C74" s="209"/>
      <c r="D74" s="209" t="s">
        <v>398</v>
      </c>
      <c r="E74" s="226">
        <f>IF(calcCh1Prod1Slot3Active=1,finCalcCh1Prod1Slot3DepExp,0)</f>
        <v>0</v>
      </c>
      <c r="F74" s="276" t="s">
        <v>2218</v>
      </c>
    </row>
    <row r="75" spans="1:6" s="227" customFormat="1" ht="2.1" customHeight="1">
      <c r="A75" s="418"/>
      <c r="B75" s="230"/>
      <c r="C75" s="209"/>
      <c r="D75" s="229"/>
      <c r="E75" s="229"/>
      <c r="F75" s="209"/>
    </row>
    <row r="76" spans="1:6" ht="14.25">
      <c r="A76" s="419"/>
      <c r="B76" s="209"/>
      <c r="C76" s="209"/>
      <c r="D76" s="209" t="s">
        <v>14</v>
      </c>
      <c r="E76" s="226">
        <f>SUM(E71:E75)</f>
        <v>0</v>
      </c>
      <c r="F76" s="276" t="s">
        <v>2219</v>
      </c>
    </row>
    <row r="77" spans="1:6" ht="14.25">
      <c r="A77" s="419"/>
      <c r="B77" s="209"/>
      <c r="C77" s="209"/>
      <c r="D77" s="209"/>
      <c r="E77" s="210"/>
      <c r="F77" s="209"/>
    </row>
    <row r="78" spans="1:6" ht="14.25">
      <c r="A78" s="419"/>
      <c r="B78" s="209"/>
      <c r="C78" s="217" t="s">
        <v>160</v>
      </c>
      <c r="D78" s="209"/>
      <c r="E78" s="210"/>
      <c r="F78" s="209"/>
    </row>
    <row r="79" spans="1:6" ht="14.25">
      <c r="A79" s="419"/>
      <c r="B79" s="209"/>
      <c r="C79" s="209"/>
      <c r="D79" s="209" t="s">
        <v>160</v>
      </c>
      <c r="E79" s="226">
        <f>IF(calcCh1Prod1Slot3Active=1,finPNLCh1Prod1Slot3TotalRev-finPNLCh1Prod1Slot3TotalCOGs,0)</f>
        <v>0</v>
      </c>
      <c r="F79" s="276" t="s">
        <v>2220</v>
      </c>
    </row>
    <row r="80" spans="1:6" ht="14.25">
      <c r="A80" s="419"/>
      <c r="B80" s="209"/>
      <c r="C80" s="217"/>
      <c r="D80" s="234" t="s">
        <v>162</v>
      </c>
      <c r="E80" s="687">
        <f>IF(finPNLCh1Prod1Slot3TotalRev=0,0,finPNLCh1Prod1Slot3GP/finPNLCh1Prod1Slot3TotalRev)</f>
        <v>0</v>
      </c>
      <c r="F80" s="276" t="s">
        <v>2221</v>
      </c>
    </row>
    <row r="81" spans="1:6" ht="14.25">
      <c r="A81" s="419"/>
      <c r="B81" s="209"/>
      <c r="C81" s="217"/>
      <c r="D81" s="234"/>
      <c r="E81" s="449"/>
      <c r="F81" s="209"/>
    </row>
    <row r="82" spans="1:6" ht="14.25">
      <c r="A82" s="419"/>
      <c r="B82" s="209"/>
      <c r="C82" s="217" t="s">
        <v>519</v>
      </c>
      <c r="D82" s="234"/>
      <c r="E82" s="449"/>
      <c r="F82" s="209"/>
    </row>
    <row r="83" spans="1:6" ht="14.25">
      <c r="A83" s="419"/>
      <c r="B83" s="209"/>
      <c r="C83" s="217"/>
      <c r="D83" s="209" t="s">
        <v>519</v>
      </c>
      <c r="E83" s="226">
        <f>IF(calcCh1Prod1Slot3Active=1,finCalcCh1Prod1Slot3LogisticsCost,0)</f>
        <v>0</v>
      </c>
      <c r="F83" s="208" t="s">
        <v>2222</v>
      </c>
    </row>
    <row r="84" spans="1:6" ht="14.25">
      <c r="A84" s="419"/>
      <c r="B84" s="209"/>
      <c r="C84" s="217"/>
      <c r="D84" s="234"/>
      <c r="E84" s="449"/>
      <c r="F84" s="209"/>
    </row>
    <row r="85" spans="1:6" ht="14.25">
      <c r="A85" s="419"/>
      <c r="B85" s="209"/>
      <c r="C85" s="217" t="s">
        <v>520</v>
      </c>
      <c r="D85" s="209"/>
      <c r="E85" s="210"/>
      <c r="F85" s="209"/>
    </row>
    <row r="86" spans="1:6" ht="14.25">
      <c r="A86" s="419"/>
      <c r="B86" s="209"/>
      <c r="C86" s="209"/>
      <c r="D86" s="209" t="s">
        <v>521</v>
      </c>
      <c r="E86" s="226">
        <f>finPNLCh1Prod1Slot3GP-finPNLCh1Prod1Slot3LogExp</f>
        <v>0</v>
      </c>
      <c r="F86" s="276" t="s">
        <v>2223</v>
      </c>
    </row>
    <row r="87" spans="1:6" ht="14.25">
      <c r="A87" s="419"/>
      <c r="B87" s="209"/>
      <c r="C87" s="217"/>
      <c r="D87" s="234" t="s">
        <v>522</v>
      </c>
      <c r="E87" s="687">
        <f>IF(finPNLCh1Prod1Slot3TotalRev=0,0,finPNLCh1Prod1Slot3GPaL/finPNLCh1Prod1Slot3TotalRev)</f>
        <v>0</v>
      </c>
      <c r="F87" s="276" t="s">
        <v>2224</v>
      </c>
    </row>
    <row r="88" spans="1:6" s="398" customFormat="1" ht="14.25">
      <c r="A88" s="419"/>
      <c r="B88" s="335"/>
      <c r="C88" s="395"/>
      <c r="D88" s="396"/>
      <c r="E88" s="450"/>
      <c r="F88" s="336"/>
    </row>
    <row r="89" spans="1:6" s="322" customFormat="1" ht="14.25">
      <c r="A89" s="417"/>
      <c r="B89" s="417" t="s">
        <v>238</v>
      </c>
      <c r="C89" s="405"/>
      <c r="D89" s="405"/>
    </row>
    <row r="90" spans="1:6" s="322" customFormat="1" ht="14.25">
      <c r="A90" s="408"/>
      <c r="B90" s="323"/>
      <c r="C90" s="325" t="s">
        <v>379</v>
      </c>
      <c r="D90" s="323"/>
      <c r="E90" s="323"/>
    </row>
    <row r="91" spans="1:6" s="322" customFormat="1" ht="14.25">
      <c r="A91" s="408"/>
      <c r="B91" s="323"/>
      <c r="C91" s="325"/>
      <c r="D91" s="323"/>
      <c r="E91" s="323"/>
    </row>
    <row r="92" spans="1:6" s="379" customFormat="1" ht="14.25">
      <c r="A92" s="418"/>
      <c r="B92" s="325"/>
      <c r="C92" s="325"/>
      <c r="D92" s="325" t="s">
        <v>1394</v>
      </c>
      <c r="E92" s="392">
        <f>IF(calcCh1Prod2Slot1Active=1,calcCh1Prod2Slot1CustPrice*finCalcCh1Prod2Slot1VolSold,0)</f>
        <v>649478791.07999992</v>
      </c>
      <c r="F92" s="276" t="s">
        <v>2732</v>
      </c>
    </row>
    <row r="93" spans="1:6" s="379" customFormat="1" ht="14.25">
      <c r="A93" s="418"/>
      <c r="B93" s="325"/>
      <c r="C93" s="325"/>
      <c r="D93" s="325" t="s">
        <v>1759</v>
      </c>
      <c r="E93" s="392">
        <f>IF(calcCh1Prod2Slot1Active=1,finCalcCh1Prod2Slot1VolSold*paramExciseProd2,0)</f>
        <v>197310012.47999996</v>
      </c>
      <c r="F93" s="276" t="s">
        <v>2733</v>
      </c>
    </row>
    <row r="94" spans="1:6" s="379" customFormat="1" ht="14.25">
      <c r="A94" s="418"/>
      <c r="B94" s="325"/>
      <c r="C94" s="325"/>
      <c r="D94" s="325" t="s">
        <v>694</v>
      </c>
      <c r="E94" s="392">
        <f>IF(calcCh1Prod2Slot1Active=1,finPNLCh1Prod2Slot1Turn-finPNLCh1Prod2Slot1Excise,0)</f>
        <v>452168778.59999996</v>
      </c>
      <c r="F94" s="276" t="s">
        <v>2734</v>
      </c>
    </row>
    <row r="95" spans="1:6" s="379" customFormat="1" ht="14.25">
      <c r="A95" s="418"/>
      <c r="B95" s="325"/>
      <c r="C95" s="325"/>
      <c r="D95" s="325" t="s">
        <v>1396</v>
      </c>
      <c r="E95" s="392">
        <f>IF(calcCh1Prod2Slot1Active=1,(calcCh1Prod2Slot1CustPrice-calcCh1Prod2Slot1AvgSalePrice)*finCalcCh1Prod2Slot1VolSold+calcCh1Prod2Slot1Promo1PlanExp+calcCh1Prod2Slot1Promo2PlanExp+calcCh1Prod2Slot1ValDrivExp,0)</f>
        <v>22189559.69544965</v>
      </c>
      <c r="F95" s="276" t="s">
        <v>2735</v>
      </c>
    </row>
    <row r="96" spans="1:6" s="227" customFormat="1" ht="2.1" customHeight="1">
      <c r="A96" s="418"/>
      <c r="B96" s="230"/>
      <c r="C96" s="209"/>
      <c r="D96" s="229"/>
      <c r="E96" s="229"/>
      <c r="F96" s="209"/>
    </row>
    <row r="97" spans="1:6" ht="14.25">
      <c r="A97" s="419"/>
      <c r="B97" s="209"/>
      <c r="C97" s="217" t="s">
        <v>1269</v>
      </c>
      <c r="D97" s="209"/>
      <c r="E97" s="233">
        <f>E94-E95</f>
        <v>429979218.90455031</v>
      </c>
      <c r="F97" s="276" t="s">
        <v>2225</v>
      </c>
    </row>
    <row r="98" spans="1:6" ht="14.25">
      <c r="A98" s="419"/>
      <c r="B98" s="209"/>
      <c r="C98" s="209"/>
      <c r="D98" s="209"/>
      <c r="E98" s="210"/>
      <c r="F98" s="209"/>
    </row>
    <row r="99" spans="1:6" ht="14.25">
      <c r="A99" s="419"/>
      <c r="B99" s="209"/>
      <c r="C99" s="217" t="s">
        <v>404</v>
      </c>
      <c r="D99" s="209"/>
      <c r="E99" s="210"/>
      <c r="F99" s="209"/>
    </row>
    <row r="100" spans="1:6" ht="14.25">
      <c r="A100" s="419"/>
      <c r="B100" s="209"/>
      <c r="C100" s="209"/>
      <c r="D100" s="209" t="s">
        <v>400</v>
      </c>
      <c r="E100" s="226">
        <f>IF(calcCh1Prod2Slot1Active=1,finCalcCh1Prod2Slot1MatExp,0)</f>
        <v>133112338.92445104</v>
      </c>
      <c r="F100" s="276" t="s">
        <v>2226</v>
      </c>
    </row>
    <row r="101" spans="1:6" ht="14.25">
      <c r="A101" s="419"/>
      <c r="B101" s="209"/>
      <c r="C101" s="209"/>
      <c r="D101" s="209" t="s">
        <v>399</v>
      </c>
      <c r="E101" s="226">
        <f>IF(calcCh1Prod2Slot1Active=1,finCalcCh1Prod2Slot1LabourExp,0)</f>
        <v>19575343.959478095</v>
      </c>
      <c r="F101" s="276" t="s">
        <v>2227</v>
      </c>
    </row>
    <row r="102" spans="1:6" ht="14.25">
      <c r="A102" s="419"/>
      <c r="B102" s="209"/>
      <c r="C102" s="209"/>
      <c r="D102" s="209" t="s">
        <v>513</v>
      </c>
      <c r="E102" s="226">
        <f>IF(calcCh1Prod2Slot1Active=1,finCalcCh1Prod2Slot1MachCost,0)</f>
        <v>16035384.714249598</v>
      </c>
      <c r="F102" s="276" t="s">
        <v>2228</v>
      </c>
    </row>
    <row r="103" spans="1:6" ht="14.25">
      <c r="A103" s="419"/>
      <c r="B103" s="209"/>
      <c r="C103" s="209"/>
      <c r="D103" s="209" t="s">
        <v>398</v>
      </c>
      <c r="E103" s="226">
        <f>IF(calcCh1Prod2Slot1Active=1,finCalcCh1Prod2Slot1DepExp,0)</f>
        <v>7136717.3678686479</v>
      </c>
      <c r="F103" s="276" t="s">
        <v>2229</v>
      </c>
    </row>
    <row r="104" spans="1:6" s="227" customFormat="1" ht="2.1" customHeight="1">
      <c r="A104" s="418"/>
      <c r="B104" s="230"/>
      <c r="C104" s="209"/>
      <c r="D104" s="229"/>
      <c r="E104" s="229"/>
      <c r="F104" s="209"/>
    </row>
    <row r="105" spans="1:6" ht="14.25">
      <c r="A105" s="419"/>
      <c r="B105" s="209"/>
      <c r="C105" s="209"/>
      <c r="D105" s="209" t="s">
        <v>14</v>
      </c>
      <c r="E105" s="226">
        <f>SUM(E100:E104)</f>
        <v>175859784.96604741</v>
      </c>
      <c r="F105" s="276" t="s">
        <v>2230</v>
      </c>
    </row>
    <row r="106" spans="1:6" ht="14.25">
      <c r="A106" s="419"/>
      <c r="B106" s="209"/>
      <c r="C106" s="209"/>
      <c r="D106" s="209"/>
      <c r="E106" s="210"/>
      <c r="F106" s="209"/>
    </row>
    <row r="107" spans="1:6" ht="14.25">
      <c r="A107" s="419"/>
      <c r="B107" s="209"/>
      <c r="C107" s="217" t="s">
        <v>160</v>
      </c>
      <c r="D107" s="209"/>
      <c r="E107" s="210"/>
      <c r="F107" s="209"/>
    </row>
    <row r="108" spans="1:6" ht="14.25">
      <c r="A108" s="419"/>
      <c r="B108" s="209"/>
      <c r="C108" s="209"/>
      <c r="D108" s="209" t="s">
        <v>160</v>
      </c>
      <c r="E108" s="226">
        <f>IF(calcCh1Prod2Slot1Active=1,finPNLCh1Prod2Slot1TotalRev-finPNLCh1Prod2Slot1TotalCOGs,0)</f>
        <v>254119433.93850291</v>
      </c>
      <c r="F108" s="276" t="s">
        <v>2231</v>
      </c>
    </row>
    <row r="109" spans="1:6" ht="14.25">
      <c r="A109" s="419"/>
      <c r="B109" s="209"/>
      <c r="C109" s="217"/>
      <c r="D109" s="234" t="s">
        <v>162</v>
      </c>
      <c r="E109" s="687">
        <f>IF(finPNLCh1Prod2Slot1TotalRev=0,0,finPNLCh1Prod2Slot1GP/finPNLCh1Prod2Slot1TotalRev)</f>
        <v>0.59100398988099478</v>
      </c>
      <c r="F109" s="276" t="s">
        <v>2232</v>
      </c>
    </row>
    <row r="110" spans="1:6" ht="14.25">
      <c r="A110" s="419"/>
      <c r="B110" s="209"/>
      <c r="C110" s="217"/>
      <c r="D110" s="234"/>
      <c r="E110" s="449"/>
      <c r="F110" s="209"/>
    </row>
    <row r="111" spans="1:6" ht="14.25">
      <c r="A111" s="419"/>
      <c r="B111" s="209"/>
      <c r="C111" s="217" t="s">
        <v>519</v>
      </c>
      <c r="D111" s="234"/>
      <c r="E111" s="449"/>
      <c r="F111" s="209"/>
    </row>
    <row r="112" spans="1:6" ht="14.25">
      <c r="A112" s="419"/>
      <c r="B112" s="209"/>
      <c r="C112" s="217"/>
      <c r="D112" s="209" t="s">
        <v>519</v>
      </c>
      <c r="E112" s="226">
        <f>IF(calcCh1Prod2Slot1Active=1,finCalcCh1Prod2Slot1LogisticsCost,0)</f>
        <v>22617958.272707369</v>
      </c>
      <c r="F112" s="209" t="s">
        <v>2233</v>
      </c>
    </row>
    <row r="113" spans="1:6" ht="14.25">
      <c r="A113" s="419"/>
      <c r="B113" s="209"/>
      <c r="C113" s="217"/>
      <c r="D113" s="234"/>
      <c r="E113" s="449"/>
      <c r="F113" s="209"/>
    </row>
    <row r="114" spans="1:6" ht="14.25">
      <c r="A114" s="419"/>
      <c r="B114" s="209"/>
      <c r="C114" s="217" t="s">
        <v>520</v>
      </c>
      <c r="D114" s="209"/>
      <c r="E114" s="210"/>
      <c r="F114" s="209"/>
    </row>
    <row r="115" spans="1:6" ht="14.25">
      <c r="A115" s="419"/>
      <c r="B115" s="209"/>
      <c r="C115" s="209"/>
      <c r="D115" s="209" t="s">
        <v>521</v>
      </c>
      <c r="E115" s="226">
        <f>finPNLCh1Prod2Slot1GP-finPNLCh1Prod2Slot1LogExp</f>
        <v>231501475.66579553</v>
      </c>
      <c r="F115" s="276" t="s">
        <v>2234</v>
      </c>
    </row>
    <row r="116" spans="1:6" ht="14.25">
      <c r="A116" s="419"/>
      <c r="B116" s="209"/>
      <c r="C116" s="217"/>
      <c r="D116" s="234" t="s">
        <v>522</v>
      </c>
      <c r="E116" s="687">
        <f>IF(finPNLCh1Prod2Slot1TotalRev=0,0,finPNLCh1Prod2Slot1GPaL/finPNLCh1Prod2Slot1TotalRev)</f>
        <v>0.53840154474345836</v>
      </c>
      <c r="F116" s="276" t="s">
        <v>2235</v>
      </c>
    </row>
    <row r="117" spans="1:6" s="398" customFormat="1" ht="14.25">
      <c r="A117" s="419"/>
      <c r="B117" s="335"/>
      <c r="C117" s="395"/>
      <c r="D117" s="396"/>
      <c r="E117" s="688"/>
      <c r="F117" s="336"/>
    </row>
    <row r="118" spans="1:6" s="322" customFormat="1" ht="14.25">
      <c r="A118" s="408"/>
      <c r="B118" s="323"/>
      <c r="C118" s="325" t="s">
        <v>394</v>
      </c>
      <c r="D118" s="323"/>
      <c r="E118" s="323"/>
    </row>
    <row r="119" spans="1:6" s="322" customFormat="1" ht="14.25">
      <c r="A119" s="408"/>
      <c r="B119" s="323"/>
      <c r="C119" s="325"/>
      <c r="D119" s="323"/>
      <c r="E119" s="323"/>
    </row>
    <row r="120" spans="1:6" s="379" customFormat="1" ht="14.25">
      <c r="A120" s="418"/>
      <c r="B120" s="325"/>
      <c r="C120" s="325"/>
      <c r="D120" s="325" t="s">
        <v>1394</v>
      </c>
      <c r="E120" s="392">
        <f>IF(calcCh1Prod2Slot2Active=1,calcCh1Prod2Slot2CustPrice*finCalcCh1Prod2Slot2VolSold,0)</f>
        <v>758638728.54000008</v>
      </c>
      <c r="F120" s="276" t="s">
        <v>2736</v>
      </c>
    </row>
    <row r="121" spans="1:6" s="379" customFormat="1" ht="14.25">
      <c r="A121" s="418"/>
      <c r="B121" s="325"/>
      <c r="C121" s="325"/>
      <c r="D121" s="325" t="s">
        <v>1759</v>
      </c>
      <c r="E121" s="392">
        <f>IF(calcCh1Prod2Slot2Active=1,finCalcCh1Prod2Slot2VolSold*paramExciseProd2,0)</f>
        <v>241156681.92000002</v>
      </c>
      <c r="F121" s="276" t="s">
        <v>2737</v>
      </c>
    </row>
    <row r="122" spans="1:6" s="379" customFormat="1" ht="14.25">
      <c r="A122" s="418"/>
      <c r="B122" s="325"/>
      <c r="C122" s="325"/>
      <c r="D122" s="325" t="s">
        <v>694</v>
      </c>
      <c r="E122" s="392">
        <f>IF(calcCh1Prod2Slot2Active=1,finPNLCh1Prod2Slot2Turn-finPNLCh1Prod2Slot2Excise,0)</f>
        <v>517482046.62000006</v>
      </c>
      <c r="F122" s="276" t="s">
        <v>2738</v>
      </c>
    </row>
    <row r="123" spans="1:6" s="379" customFormat="1" ht="14.25">
      <c r="A123" s="418"/>
      <c r="B123" s="325"/>
      <c r="C123" s="325"/>
      <c r="D123" s="325" t="s">
        <v>1396</v>
      </c>
      <c r="E123" s="392">
        <f>IF(calcCh1Prod2Slot2Active=1,(calcCh1Prod2Slot2CustPrice-calcCh1Prod2Slot2AvgSalePrice)*finCalcCh1Prod2Slot2VolSold+calcCh1Prod2Slot2Promo1PlanExp+calcCh1Prod2Slot2Promo2PlanExp+calcCh1Prod2Slot2ValDrivExp,0)</f>
        <v>122031849.36842005</v>
      </c>
      <c r="F123" s="276" t="s">
        <v>2739</v>
      </c>
    </row>
    <row r="124" spans="1:6" s="227" customFormat="1" ht="2.1" customHeight="1">
      <c r="A124" s="418"/>
      <c r="B124" s="230"/>
      <c r="C124" s="209"/>
      <c r="D124" s="229"/>
      <c r="E124" s="229"/>
      <c r="F124" s="209"/>
    </row>
    <row r="125" spans="1:6" ht="14.25">
      <c r="A125" s="419"/>
      <c r="B125" s="209"/>
      <c r="C125" s="217" t="s">
        <v>1269</v>
      </c>
      <c r="D125" s="209"/>
      <c r="E125" s="233">
        <f>E122-E123</f>
        <v>395450197.25158</v>
      </c>
      <c r="F125" s="276" t="s">
        <v>2236</v>
      </c>
    </row>
    <row r="126" spans="1:6" ht="14.25">
      <c r="A126" s="419"/>
      <c r="B126" s="209"/>
      <c r="C126" s="209"/>
      <c r="D126" s="209"/>
      <c r="E126" s="210"/>
      <c r="F126" s="209"/>
    </row>
    <row r="127" spans="1:6" ht="14.25">
      <c r="A127" s="419"/>
      <c r="B127" s="209"/>
      <c r="C127" s="217" t="s">
        <v>404</v>
      </c>
      <c r="D127" s="209"/>
      <c r="E127" s="210"/>
      <c r="F127" s="209"/>
    </row>
    <row r="128" spans="1:6" ht="14.25">
      <c r="A128" s="419"/>
      <c r="B128" s="209"/>
      <c r="C128" s="209"/>
      <c r="D128" s="209" t="s">
        <v>400</v>
      </c>
      <c r="E128" s="226">
        <f>IF(calcCh1Prod2Slot2Active=1,finCalcCh1Prod2Slot2MatExp,0)</f>
        <v>152832685.43177718</v>
      </c>
      <c r="F128" s="276" t="s">
        <v>2237</v>
      </c>
    </row>
    <row r="129" spans="1:6" ht="14.25">
      <c r="A129" s="419"/>
      <c r="B129" s="209"/>
      <c r="C129" s="209"/>
      <c r="D129" s="209" t="s">
        <v>399</v>
      </c>
      <c r="E129" s="226">
        <f>IF(calcCh1Prod2Slot2Active=1,finCalcCh1Prod2Slot2LabourExp,0)</f>
        <v>22475394.91643782</v>
      </c>
      <c r="F129" s="276" t="s">
        <v>2238</v>
      </c>
    </row>
    <row r="130" spans="1:6" ht="14.25">
      <c r="A130" s="419"/>
      <c r="B130" s="209"/>
      <c r="C130" s="209"/>
      <c r="D130" s="209" t="s">
        <v>513</v>
      </c>
      <c r="E130" s="226">
        <f>IF(calcCh1Prod2Slot2Active=1,finCalcCh1Prod2Slot2MachCost,0)</f>
        <v>29626098.373872008</v>
      </c>
      <c r="F130" s="276" t="s">
        <v>2239</v>
      </c>
    </row>
    <row r="131" spans="1:6" ht="14.25">
      <c r="A131" s="419"/>
      <c r="B131" s="209"/>
      <c r="C131" s="209"/>
      <c r="D131" s="209" t="s">
        <v>398</v>
      </c>
      <c r="E131" s="226">
        <f>IF(calcCh1Prod2Slot2Active=1,finCalcCh1Prod2Slot2DepExp,0)</f>
        <v>13185408.05691495</v>
      </c>
      <c r="F131" s="276" t="s">
        <v>2240</v>
      </c>
    </row>
    <row r="132" spans="1:6" s="227" customFormat="1" ht="2.1" customHeight="1">
      <c r="A132" s="418"/>
      <c r="B132" s="230"/>
      <c r="C132" s="209"/>
      <c r="D132" s="229"/>
      <c r="E132" s="229"/>
      <c r="F132" s="209"/>
    </row>
    <row r="133" spans="1:6" ht="14.25">
      <c r="A133" s="419"/>
      <c r="B133" s="209"/>
      <c r="C133" s="209"/>
      <c r="D133" s="209" t="s">
        <v>14</v>
      </c>
      <c r="E133" s="226">
        <f>SUM(E128:E132)</f>
        <v>218119586.77900195</v>
      </c>
      <c r="F133" s="276" t="s">
        <v>2241</v>
      </c>
    </row>
    <row r="134" spans="1:6" ht="14.25">
      <c r="A134" s="419"/>
      <c r="B134" s="209"/>
      <c r="C134" s="209"/>
      <c r="D134" s="209"/>
      <c r="E134" s="210"/>
      <c r="F134" s="209"/>
    </row>
    <row r="135" spans="1:6" ht="14.25">
      <c r="A135" s="419"/>
      <c r="B135" s="209"/>
      <c r="C135" s="217" t="s">
        <v>160</v>
      </c>
      <c r="D135" s="209"/>
      <c r="E135" s="210"/>
      <c r="F135" s="209"/>
    </row>
    <row r="136" spans="1:6" ht="14.25">
      <c r="A136" s="419"/>
      <c r="B136" s="209"/>
      <c r="C136" s="209"/>
      <c r="D136" s="209" t="s">
        <v>160</v>
      </c>
      <c r="E136" s="226">
        <f>IF(calcCh1Prod2Slot2Active=1,finPNLCh1Prod2Slot2TotalRev-finPNLCh1Prod2Slot2TotalCOGs,0)</f>
        <v>177330610.47257805</v>
      </c>
      <c r="F136" s="276" t="s">
        <v>2242</v>
      </c>
    </row>
    <row r="137" spans="1:6" ht="14.25">
      <c r="A137" s="419"/>
      <c r="B137" s="209"/>
      <c r="C137" s="217"/>
      <c r="D137" s="234" t="s">
        <v>162</v>
      </c>
      <c r="E137" s="687">
        <f>IF(finPNLCh1Prod2Slot2TotalRev=0,0,finPNLCh1Prod2Slot2GP/finPNLCh1Prod2Slot2TotalRev)</f>
        <v>0.44842716403998339</v>
      </c>
      <c r="F137" s="276" t="s">
        <v>2243</v>
      </c>
    </row>
    <row r="138" spans="1:6" ht="14.25">
      <c r="A138" s="419"/>
      <c r="B138" s="209"/>
      <c r="C138" s="217"/>
      <c r="D138" s="234"/>
      <c r="E138" s="449"/>
      <c r="F138" s="209"/>
    </row>
    <row r="139" spans="1:6" ht="14.25">
      <c r="A139" s="419"/>
      <c r="B139" s="209"/>
      <c r="C139" s="217" t="s">
        <v>519</v>
      </c>
      <c r="D139" s="234"/>
      <c r="E139" s="449"/>
      <c r="F139" s="209"/>
    </row>
    <row r="140" spans="1:6" ht="14.25">
      <c r="A140" s="419"/>
      <c r="B140" s="209"/>
      <c r="C140" s="217"/>
      <c r="D140" s="209" t="s">
        <v>519</v>
      </c>
      <c r="E140" s="226">
        <f>IF(calcCh1Prod2Slot2Active=1,finCalcCh1Prod2Slot2LogisticsCost,0)</f>
        <v>25968766.90570106</v>
      </c>
      <c r="F140" s="208" t="s">
        <v>2244</v>
      </c>
    </row>
    <row r="141" spans="1:6" ht="14.25">
      <c r="A141" s="419"/>
      <c r="B141" s="209"/>
      <c r="C141" s="217"/>
      <c r="D141" s="234"/>
      <c r="E141" s="449"/>
      <c r="F141" s="209"/>
    </row>
    <row r="142" spans="1:6" ht="14.25">
      <c r="A142" s="419"/>
      <c r="B142" s="209"/>
      <c r="C142" s="217" t="s">
        <v>520</v>
      </c>
      <c r="D142" s="209"/>
      <c r="E142" s="210"/>
      <c r="F142" s="209"/>
    </row>
    <row r="143" spans="1:6" ht="14.25">
      <c r="A143" s="419"/>
      <c r="B143" s="209"/>
      <c r="C143" s="209"/>
      <c r="D143" s="209" t="s">
        <v>521</v>
      </c>
      <c r="E143" s="226">
        <f>finPNLCh1Prod2Slot2GP-finPNLCh1Prod2Slot2LogExp</f>
        <v>151361843.56687698</v>
      </c>
      <c r="F143" s="276" t="s">
        <v>2245</v>
      </c>
    </row>
    <row r="144" spans="1:6" ht="14.25">
      <c r="A144" s="419"/>
      <c r="B144" s="209"/>
      <c r="C144" s="217"/>
      <c r="D144" s="234" t="s">
        <v>522</v>
      </c>
      <c r="E144" s="687">
        <f>IF(finPNLCh1Prod2Slot2TotalRev=0,0,finPNLCh1Prod2Slot2GPaL/finPNLCh1Prod2Slot2TotalRev)</f>
        <v>0.38275829578252213</v>
      </c>
      <c r="F144" s="276" t="s">
        <v>2246</v>
      </c>
    </row>
    <row r="145" spans="1:6" s="398" customFormat="1" ht="14.25">
      <c r="A145" s="419"/>
      <c r="B145" s="335"/>
      <c r="C145" s="395"/>
      <c r="D145" s="396"/>
      <c r="E145" s="688"/>
      <c r="F145" s="336"/>
    </row>
    <row r="146" spans="1:6" s="322" customFormat="1" ht="14.25">
      <c r="A146" s="408"/>
      <c r="B146" s="323"/>
      <c r="C146" s="325" t="s">
        <v>395</v>
      </c>
      <c r="D146" s="323"/>
      <c r="E146" s="323"/>
    </row>
    <row r="147" spans="1:6" s="322" customFormat="1" ht="14.25">
      <c r="A147" s="408"/>
      <c r="B147" s="323"/>
      <c r="C147" s="325"/>
      <c r="D147" s="323"/>
      <c r="E147" s="323"/>
    </row>
    <row r="148" spans="1:6" s="379" customFormat="1" ht="14.25">
      <c r="A148" s="418"/>
      <c r="B148" s="325"/>
      <c r="C148" s="325"/>
      <c r="D148" s="325" t="s">
        <v>1394</v>
      </c>
      <c r="E148" s="392">
        <f>IF(calcCh1Prod2Slot3Active=1,calcCh1Prod2Slot3CustPrice*finCalcCh1Prod2Slot3VolSold,0)</f>
        <v>0</v>
      </c>
      <c r="F148" s="276" t="s">
        <v>2740</v>
      </c>
    </row>
    <row r="149" spans="1:6" s="379" customFormat="1" ht="14.25">
      <c r="A149" s="418"/>
      <c r="B149" s="325"/>
      <c r="C149" s="325"/>
      <c r="D149" s="325" t="s">
        <v>1759</v>
      </c>
      <c r="E149" s="392">
        <f>IF(calcCh1Prod2Slot3Active=1,finCalcCh1Prod2Slot3VolSold*paramExciseProd2,0)</f>
        <v>0</v>
      </c>
      <c r="F149" s="276" t="s">
        <v>2741</v>
      </c>
    </row>
    <row r="150" spans="1:6" s="379" customFormat="1" ht="14.25">
      <c r="A150" s="418"/>
      <c r="B150" s="325"/>
      <c r="C150" s="325"/>
      <c r="D150" s="325" t="s">
        <v>694</v>
      </c>
      <c r="E150" s="392">
        <f>IF(calcCh1Prod2Slot3Active=1,finPNLCh1Prod2Slot3Turn-finPNLCh1Prod2Slot3Excise,0)</f>
        <v>0</v>
      </c>
      <c r="F150" s="276" t="s">
        <v>2742</v>
      </c>
    </row>
    <row r="151" spans="1:6" s="379" customFormat="1" ht="14.25">
      <c r="A151" s="418"/>
      <c r="B151" s="325"/>
      <c r="C151" s="325"/>
      <c r="D151" s="325" t="s">
        <v>1396</v>
      </c>
      <c r="E151" s="392">
        <f>IF(calcCh1Prod2Slot3Active=1,(calcCh1Prod2Slot3CustPrice-calcCh1Prod2Slot3AvgSalePrice)*finCalcCh1Prod2Slot3VolSold+calcCh1Prod2Slot3Promo1PlanExp+calcCh1Prod2Slot3Promo2PlanExp+calcCh1Prod2Slot3ValDrivExp,0)</f>
        <v>0</v>
      </c>
      <c r="F151" s="276" t="s">
        <v>2743</v>
      </c>
    </row>
    <row r="152" spans="1:6" s="227" customFormat="1" ht="2.1" customHeight="1">
      <c r="A152" s="418"/>
      <c r="B152" s="230"/>
      <c r="C152" s="209"/>
      <c r="D152" s="229"/>
      <c r="E152" s="229"/>
      <c r="F152" s="209"/>
    </row>
    <row r="153" spans="1:6" ht="14.25">
      <c r="A153" s="419"/>
      <c r="B153" s="209"/>
      <c r="C153" s="217" t="s">
        <v>1269</v>
      </c>
      <c r="D153" s="209"/>
      <c r="E153" s="233">
        <f>E150-E151</f>
        <v>0</v>
      </c>
      <c r="F153" s="276" t="s">
        <v>2247</v>
      </c>
    </row>
    <row r="154" spans="1:6" ht="14.25">
      <c r="A154" s="419"/>
      <c r="B154" s="209"/>
      <c r="C154" s="209"/>
      <c r="D154" s="209"/>
      <c r="E154" s="210"/>
      <c r="F154" s="209"/>
    </row>
    <row r="155" spans="1:6" ht="14.25">
      <c r="A155" s="419"/>
      <c r="B155" s="209"/>
      <c r="C155" s="217" t="s">
        <v>404</v>
      </c>
      <c r="D155" s="209"/>
      <c r="E155" s="210"/>
      <c r="F155" s="209"/>
    </row>
    <row r="156" spans="1:6" ht="14.25">
      <c r="A156" s="419"/>
      <c r="B156" s="209"/>
      <c r="C156" s="209"/>
      <c r="D156" s="209" t="s">
        <v>400</v>
      </c>
      <c r="E156" s="226">
        <f>IF(calcCh1Prod2Slot3Active=1,finCalcCh1Prod2Slot3MatExp,0)</f>
        <v>0</v>
      </c>
      <c r="F156" s="276" t="s">
        <v>2248</v>
      </c>
    </row>
    <row r="157" spans="1:6" ht="14.25">
      <c r="A157" s="419"/>
      <c r="B157" s="209"/>
      <c r="C157" s="209"/>
      <c r="D157" s="209" t="s">
        <v>399</v>
      </c>
      <c r="E157" s="226">
        <f>IF(calcCh1Prod2Slot3Active=1,finCalcCh1Prod2Slot3LabourExp,0)</f>
        <v>0</v>
      </c>
      <c r="F157" s="276" t="s">
        <v>2249</v>
      </c>
    </row>
    <row r="158" spans="1:6" ht="14.25">
      <c r="A158" s="419"/>
      <c r="B158" s="209"/>
      <c r="C158" s="209"/>
      <c r="D158" s="209" t="s">
        <v>513</v>
      </c>
      <c r="E158" s="226">
        <f>IF(calcCh1Prod2Slot3Active=1,finCalcCh1Prod2Slot3MachCost,0)</f>
        <v>0</v>
      </c>
      <c r="F158" s="276" t="s">
        <v>2250</v>
      </c>
    </row>
    <row r="159" spans="1:6" ht="14.25">
      <c r="A159" s="419"/>
      <c r="B159" s="209"/>
      <c r="C159" s="209"/>
      <c r="D159" s="209" t="s">
        <v>398</v>
      </c>
      <c r="E159" s="226">
        <f>IF(calcCh1Prod2Slot3Active=1,finCalcCh1Prod2Slot3DepExp,0)</f>
        <v>0</v>
      </c>
      <c r="F159" s="276" t="s">
        <v>2251</v>
      </c>
    </row>
    <row r="160" spans="1:6" s="227" customFormat="1" ht="2.1" customHeight="1">
      <c r="A160" s="418"/>
      <c r="B160" s="230"/>
      <c r="C160" s="209"/>
      <c r="D160" s="229"/>
      <c r="E160" s="229"/>
      <c r="F160" s="209"/>
    </row>
    <row r="161" spans="1:6" ht="14.25">
      <c r="A161" s="419"/>
      <c r="B161" s="209"/>
      <c r="C161" s="209"/>
      <c r="D161" s="209" t="s">
        <v>14</v>
      </c>
      <c r="E161" s="226">
        <f>SUM(E156:E160)</f>
        <v>0</v>
      </c>
      <c r="F161" s="276" t="s">
        <v>2252</v>
      </c>
    </row>
    <row r="162" spans="1:6" ht="14.25">
      <c r="A162" s="419"/>
      <c r="B162" s="209"/>
      <c r="C162" s="209"/>
      <c r="D162" s="209"/>
      <c r="E162" s="210"/>
      <c r="F162" s="209"/>
    </row>
    <row r="163" spans="1:6" ht="14.25">
      <c r="A163" s="419"/>
      <c r="B163" s="209"/>
      <c r="C163" s="217" t="s">
        <v>160</v>
      </c>
      <c r="D163" s="209"/>
      <c r="E163" s="210"/>
      <c r="F163" s="209"/>
    </row>
    <row r="164" spans="1:6" ht="14.25">
      <c r="A164" s="419"/>
      <c r="B164" s="209"/>
      <c r="C164" s="209"/>
      <c r="D164" s="209" t="s">
        <v>160</v>
      </c>
      <c r="E164" s="226">
        <f>IF(calcCh1Prod2Slot3Active=1,finPNLCh1Prod2Slot3TotalRev-finPNLCh1Prod2Slot3TotalCOGs,0)</f>
        <v>0</v>
      </c>
      <c r="F164" s="276" t="s">
        <v>2253</v>
      </c>
    </row>
    <row r="165" spans="1:6" ht="14.25">
      <c r="A165" s="419"/>
      <c r="B165" s="209"/>
      <c r="C165" s="217"/>
      <c r="D165" s="234" t="s">
        <v>162</v>
      </c>
      <c r="E165" s="687">
        <f>IF(finPNLCh1Prod2Slot3TotalRev=0,0,finPNLCh1Prod2Slot3GP/finPNLCh1Prod2Slot3TotalRev)</f>
        <v>0</v>
      </c>
      <c r="F165" s="276" t="s">
        <v>2254</v>
      </c>
    </row>
    <row r="166" spans="1:6" ht="14.25">
      <c r="A166" s="419"/>
      <c r="B166" s="209"/>
      <c r="C166" s="217"/>
      <c r="D166" s="234"/>
      <c r="E166" s="449"/>
      <c r="F166" s="209"/>
    </row>
    <row r="167" spans="1:6" ht="14.25">
      <c r="A167" s="419"/>
      <c r="B167" s="209"/>
      <c r="C167" s="217" t="s">
        <v>519</v>
      </c>
      <c r="D167" s="234"/>
      <c r="E167" s="449"/>
      <c r="F167" s="209"/>
    </row>
    <row r="168" spans="1:6" ht="14.25">
      <c r="A168" s="419"/>
      <c r="B168" s="209"/>
      <c r="C168" s="217"/>
      <c r="D168" s="209" t="s">
        <v>519</v>
      </c>
      <c r="E168" s="226">
        <f>IF(calcCh1Prod2Slot3Active=1,finCalcCh1Prod2Slot3LogisticsCost,0)</f>
        <v>0</v>
      </c>
      <c r="F168" s="208" t="s">
        <v>2255</v>
      </c>
    </row>
    <row r="169" spans="1:6" ht="14.25">
      <c r="A169" s="419"/>
      <c r="B169" s="209"/>
      <c r="C169" s="217"/>
      <c r="D169" s="234"/>
      <c r="E169" s="449"/>
      <c r="F169" s="209"/>
    </row>
    <row r="170" spans="1:6" ht="14.25">
      <c r="A170" s="419"/>
      <c r="B170" s="209"/>
      <c r="C170" s="217" t="s">
        <v>520</v>
      </c>
      <c r="D170" s="209"/>
      <c r="E170" s="210"/>
      <c r="F170" s="209"/>
    </row>
    <row r="171" spans="1:6" ht="14.25">
      <c r="A171" s="419"/>
      <c r="B171" s="209"/>
      <c r="C171" s="209"/>
      <c r="D171" s="209" t="s">
        <v>521</v>
      </c>
      <c r="E171" s="226">
        <f>finPNLCh1Prod2Slot3GP-finPNLCh1Prod2Slot3LogExp</f>
        <v>0</v>
      </c>
      <c r="F171" s="276" t="s">
        <v>2256</v>
      </c>
    </row>
    <row r="172" spans="1:6" ht="14.25">
      <c r="A172" s="419"/>
      <c r="B172" s="209"/>
      <c r="C172" s="217"/>
      <c r="D172" s="234" t="s">
        <v>522</v>
      </c>
      <c r="E172" s="687">
        <f>IF(finPNLCh1Prod2Slot3TotalRev=0,0,finPNLCh1Prod2Slot3GPaL/finPNLCh1Prod2Slot3TotalRev)</f>
        <v>0</v>
      </c>
      <c r="F172" s="276" t="s">
        <v>2257</v>
      </c>
    </row>
    <row r="173" spans="1:6" s="398" customFormat="1" ht="14.25">
      <c r="A173" s="419"/>
      <c r="B173" s="335"/>
      <c r="C173" s="395"/>
      <c r="D173" s="396"/>
      <c r="E173" s="450"/>
      <c r="F173" s="336"/>
    </row>
    <row r="174" spans="1:6" s="322" customFormat="1" ht="14.25">
      <c r="A174" s="417"/>
      <c r="B174" s="417" t="s">
        <v>239</v>
      </c>
      <c r="C174" s="405"/>
      <c r="D174" s="405"/>
      <c r="E174" s="323"/>
    </row>
    <row r="175" spans="1:6" s="322" customFormat="1" ht="14.25">
      <c r="A175" s="408"/>
      <c r="B175" s="323"/>
      <c r="C175" s="325" t="s">
        <v>379</v>
      </c>
      <c r="D175" s="323"/>
      <c r="E175" s="323"/>
    </row>
    <row r="176" spans="1:6" s="322" customFormat="1" ht="14.25">
      <c r="A176" s="408"/>
      <c r="B176" s="323"/>
      <c r="C176" s="325"/>
      <c r="D176" s="323"/>
      <c r="E176" s="323"/>
    </row>
    <row r="177" spans="1:6" s="379" customFormat="1" ht="14.25">
      <c r="A177" s="418"/>
      <c r="B177" s="325"/>
      <c r="C177" s="325"/>
      <c r="D177" s="325" t="s">
        <v>1394</v>
      </c>
      <c r="E177" s="392">
        <f>IF(calcCh1Prod3Slot1Active=1,calcCh1Prod3Slot1CustPrice*finCalcCh1Prod3Slot1VolSold,0)</f>
        <v>370260764.15999997</v>
      </c>
      <c r="F177" s="276" t="s">
        <v>2744</v>
      </c>
    </row>
    <row r="178" spans="1:6" s="379" customFormat="1" ht="14.25">
      <c r="A178" s="418"/>
      <c r="B178" s="325"/>
      <c r="C178" s="325"/>
      <c r="D178" s="325" t="s">
        <v>1759</v>
      </c>
      <c r="E178" s="392">
        <f>IF(calcCh1Prod3Slot1Active=1,finCalcCh1Prod3Slot1VolSold*paramExciseProd3,0)</f>
        <v>121796304</v>
      </c>
      <c r="F178" s="276" t="s">
        <v>2745</v>
      </c>
    </row>
    <row r="179" spans="1:6" s="379" customFormat="1" ht="14.25">
      <c r="A179" s="418"/>
      <c r="B179" s="325"/>
      <c r="C179" s="325"/>
      <c r="D179" s="325" t="s">
        <v>694</v>
      </c>
      <c r="E179" s="392">
        <f>IF(calcCh1Prod3Slot1Active=1,finPNLCh1Prod3Slot1Turn-finPNLCh1Prod3Slot1Excise,0)</f>
        <v>248464460.15999997</v>
      </c>
      <c r="F179" s="276" t="s">
        <v>2746</v>
      </c>
    </row>
    <row r="180" spans="1:6" s="379" customFormat="1" ht="14.25">
      <c r="A180" s="418"/>
      <c r="B180" s="325"/>
      <c r="C180" s="325"/>
      <c r="D180" s="325" t="s">
        <v>1396</v>
      </c>
      <c r="E180" s="392">
        <f>IF(calcCh1Prod3Slot1Active=1,(calcCh1Prod3Slot1CustPrice-calcCh1Prod3Slot1AvgSalePrice)*finCalcCh1Prod3Slot1VolSold+calcCh1Prod3Slot1Promo1PlanExp+calcCh1Prod3Slot1Promo2PlanExp+calcCh1Prod3Slot1ValDrivExp,0)</f>
        <v>12814642.810064295</v>
      </c>
      <c r="F180" s="276" t="s">
        <v>2747</v>
      </c>
    </row>
    <row r="181" spans="1:6" s="227" customFormat="1" ht="2.1" customHeight="1">
      <c r="A181" s="418"/>
      <c r="B181" s="230"/>
      <c r="C181" s="209"/>
      <c r="D181" s="229"/>
      <c r="E181" s="229"/>
      <c r="F181" s="209"/>
    </row>
    <row r="182" spans="1:6" ht="14.25">
      <c r="A182" s="419"/>
      <c r="B182" s="209"/>
      <c r="C182" s="217" t="s">
        <v>1269</v>
      </c>
      <c r="D182" s="209"/>
      <c r="E182" s="233">
        <f>E179-E180</f>
        <v>235649817.34993568</v>
      </c>
      <c r="F182" s="276" t="s">
        <v>2258</v>
      </c>
    </row>
    <row r="183" spans="1:6" ht="14.25">
      <c r="A183" s="419"/>
      <c r="B183" s="209"/>
      <c r="C183" s="209"/>
      <c r="D183" s="209"/>
      <c r="E183" s="210"/>
      <c r="F183" s="209"/>
    </row>
    <row r="184" spans="1:6" ht="14.25">
      <c r="A184" s="419"/>
      <c r="B184" s="209"/>
      <c r="C184" s="217" t="s">
        <v>404</v>
      </c>
      <c r="D184" s="209"/>
      <c r="E184" s="210"/>
      <c r="F184" s="209"/>
    </row>
    <row r="185" spans="1:6" ht="14.25">
      <c r="A185" s="419"/>
      <c r="B185" s="209"/>
      <c r="C185" s="209"/>
      <c r="D185" s="209" t="s">
        <v>400</v>
      </c>
      <c r="E185" s="226">
        <f>IF(calcCh1Prod3Slot1Active=1,finCalcCh1Prod3Slot1MatExp,0)</f>
        <v>83662076.091686398</v>
      </c>
      <c r="F185" s="276" t="s">
        <v>2259</v>
      </c>
    </row>
    <row r="186" spans="1:6" ht="14.25">
      <c r="A186" s="419"/>
      <c r="B186" s="209"/>
      <c r="C186" s="209"/>
      <c r="D186" s="209" t="s">
        <v>399</v>
      </c>
      <c r="E186" s="226">
        <f>IF(calcCh1Prod3Slot1Active=1,finCalcCh1Prod3Slot1LabourExp,0)</f>
        <v>12303246.484071529</v>
      </c>
      <c r="F186" s="276" t="s">
        <v>2260</v>
      </c>
    </row>
    <row r="187" spans="1:6" ht="14.25">
      <c r="A187" s="419"/>
      <c r="B187" s="209"/>
      <c r="C187" s="209"/>
      <c r="D187" s="209" t="s">
        <v>513</v>
      </c>
      <c r="E187" s="226">
        <f>IF(calcCh1Prod3Slot1Active=1,finCalcCh1Prod3Slot1MachCost,0)</f>
        <v>9060475.7730816025</v>
      </c>
      <c r="F187" s="276" t="s">
        <v>2261</v>
      </c>
    </row>
    <row r="188" spans="1:6" ht="14.25">
      <c r="A188" s="419"/>
      <c r="B188" s="209"/>
      <c r="C188" s="209"/>
      <c r="D188" s="209" t="s">
        <v>398</v>
      </c>
      <c r="E188" s="226">
        <f>IF(calcCh1Prod3Slot1Active=1,finCalcCh1Prod3Slot1DepExp,0)</f>
        <v>4032460.4593641991</v>
      </c>
      <c r="F188" s="276" t="s">
        <v>2262</v>
      </c>
    </row>
    <row r="189" spans="1:6" s="227" customFormat="1" ht="2.1" customHeight="1">
      <c r="A189" s="418"/>
      <c r="B189" s="230"/>
      <c r="C189" s="209"/>
      <c r="D189" s="229"/>
      <c r="E189" s="229"/>
      <c r="F189" s="209"/>
    </row>
    <row r="190" spans="1:6" ht="14.25">
      <c r="A190" s="419"/>
      <c r="B190" s="209"/>
      <c r="C190" s="209"/>
      <c r="D190" s="209" t="s">
        <v>14</v>
      </c>
      <c r="E190" s="226">
        <f>SUM(E185:E189)</f>
        <v>109058258.80820373</v>
      </c>
      <c r="F190" s="276" t="s">
        <v>2263</v>
      </c>
    </row>
    <row r="191" spans="1:6" ht="14.25">
      <c r="A191" s="419"/>
      <c r="B191" s="209"/>
      <c r="C191" s="209"/>
      <c r="D191" s="209"/>
      <c r="E191" s="210"/>
      <c r="F191" s="209"/>
    </row>
    <row r="192" spans="1:6" ht="14.25">
      <c r="A192" s="419"/>
      <c r="B192" s="209"/>
      <c r="C192" s="217" t="s">
        <v>160</v>
      </c>
      <c r="D192" s="209"/>
      <c r="E192" s="210"/>
      <c r="F192" s="209"/>
    </row>
    <row r="193" spans="1:6" ht="14.25">
      <c r="A193" s="419"/>
      <c r="B193" s="209"/>
      <c r="C193" s="209"/>
      <c r="D193" s="209" t="s">
        <v>160</v>
      </c>
      <c r="E193" s="226">
        <f>IF(calcCh1Prod3Slot1Active=1,finPNLCh1Prod3Slot1TotalRev-finPNLCh1Prod3Slot1TotalCOGs,0)</f>
        <v>126591558.54173195</v>
      </c>
      <c r="F193" s="276" t="s">
        <v>2264</v>
      </c>
    </row>
    <row r="194" spans="1:6" ht="14.25">
      <c r="A194" s="419"/>
      <c r="B194" s="209"/>
      <c r="C194" s="217"/>
      <c r="D194" s="234" t="s">
        <v>162</v>
      </c>
      <c r="E194" s="687">
        <f>IF(finPNLCh1Prod3Slot1TotalRev=0,0,finPNLCh1Prod3Slot1GP/finPNLCh1Prod3Slot1TotalRev)</f>
        <v>0.53720202275287909</v>
      </c>
      <c r="F194" s="276" t="s">
        <v>2265</v>
      </c>
    </row>
    <row r="195" spans="1:6" ht="14.25">
      <c r="A195" s="419"/>
      <c r="B195" s="209"/>
      <c r="C195" s="217"/>
      <c r="D195" s="234"/>
      <c r="E195" s="449"/>
      <c r="F195" s="209"/>
    </row>
    <row r="196" spans="1:6" ht="14.25">
      <c r="A196" s="419"/>
      <c r="B196" s="209"/>
      <c r="C196" s="217" t="s">
        <v>519</v>
      </c>
      <c r="D196" s="234"/>
      <c r="E196" s="449"/>
      <c r="F196" s="209"/>
    </row>
    <row r="197" spans="1:6" ht="14.25">
      <c r="A197" s="419"/>
      <c r="B197" s="209"/>
      <c r="C197" s="217"/>
      <c r="D197" s="209" t="s">
        <v>519</v>
      </c>
      <c r="E197" s="226">
        <f>IF(calcCh1Prod3Slot1Active=1,finCalcCh1Prod3Slot1LogisticsCost,0)</f>
        <v>14215551.776336843</v>
      </c>
      <c r="F197" s="208" t="s">
        <v>2266</v>
      </c>
    </row>
    <row r="198" spans="1:6" ht="14.25">
      <c r="A198" s="419"/>
      <c r="B198" s="209"/>
      <c r="C198" s="217"/>
      <c r="D198" s="234"/>
      <c r="E198" s="449"/>
      <c r="F198" s="209"/>
    </row>
    <row r="199" spans="1:6" ht="14.25">
      <c r="A199" s="419"/>
      <c r="B199" s="209"/>
      <c r="C199" s="217" t="s">
        <v>520</v>
      </c>
      <c r="D199" s="209"/>
      <c r="E199" s="210"/>
      <c r="F199" s="209"/>
    </row>
    <row r="200" spans="1:6" ht="14.25">
      <c r="A200" s="419"/>
      <c r="B200" s="209"/>
      <c r="C200" s="209"/>
      <c r="D200" s="209" t="s">
        <v>521</v>
      </c>
      <c r="E200" s="226">
        <f>finPNLCh1Prod3Slot1GP-finPNLCh1Prod3Slot1LogExp</f>
        <v>112376006.7653951</v>
      </c>
      <c r="F200" s="276" t="s">
        <v>2267</v>
      </c>
    </row>
    <row r="201" spans="1:6" ht="14.25">
      <c r="A201" s="419"/>
      <c r="B201" s="209"/>
      <c r="C201" s="217"/>
      <c r="D201" s="234" t="s">
        <v>522</v>
      </c>
      <c r="E201" s="687">
        <f>IF(finPNLCh1Prod3Slot1TotalRev=0,0,finPNLCh1Prod3Slot1GPaL/finPNLCh1Prod3Slot1TotalRev)</f>
        <v>0.47687712228742696</v>
      </c>
      <c r="F201" s="276" t="s">
        <v>2268</v>
      </c>
    </row>
    <row r="202" spans="1:6" s="398" customFormat="1" ht="14.25">
      <c r="A202" s="419"/>
      <c r="B202" s="335"/>
      <c r="C202" s="395"/>
      <c r="D202" s="396"/>
      <c r="E202" s="688"/>
      <c r="F202" s="336"/>
    </row>
    <row r="203" spans="1:6" s="322" customFormat="1" ht="14.25">
      <c r="A203" s="408"/>
      <c r="B203" s="323"/>
      <c r="C203" s="325" t="s">
        <v>394</v>
      </c>
      <c r="D203" s="323"/>
      <c r="E203" s="323"/>
    </row>
    <row r="204" spans="1:6" s="322" customFormat="1" ht="14.25">
      <c r="A204" s="408"/>
      <c r="B204" s="323"/>
      <c r="C204" s="325"/>
      <c r="D204" s="323"/>
      <c r="E204" s="323"/>
    </row>
    <row r="205" spans="1:6" s="379" customFormat="1" ht="14.25">
      <c r="A205" s="418"/>
      <c r="B205" s="325"/>
      <c r="C205" s="325"/>
      <c r="D205" s="325" t="s">
        <v>1394</v>
      </c>
      <c r="E205" s="392">
        <f>IF(calcCh1Prod3Slot2Active=1,calcCh1Prod3Slot2CustPrice*finCalcCh1Prod3Slot2VolSold,0)</f>
        <v>561237368.8319999</v>
      </c>
      <c r="F205" s="276" t="s">
        <v>2748</v>
      </c>
    </row>
    <row r="206" spans="1:6" s="379" customFormat="1" ht="14.25">
      <c r="A206" s="418"/>
      <c r="B206" s="325"/>
      <c r="C206" s="325"/>
      <c r="D206" s="325" t="s">
        <v>1759</v>
      </c>
      <c r="E206" s="392">
        <f>IF(calcCh1Prod3Slot2Active=1,finCalcCh1Prod3Slot2VolSold*paramExciseProd3,0)</f>
        <v>182694455.99999997</v>
      </c>
      <c r="F206" s="276" t="s">
        <v>2749</v>
      </c>
    </row>
    <row r="207" spans="1:6" s="379" customFormat="1" ht="14.25">
      <c r="A207" s="418"/>
      <c r="B207" s="325"/>
      <c r="C207" s="325"/>
      <c r="D207" s="325" t="s">
        <v>694</v>
      </c>
      <c r="E207" s="392">
        <f>IF(calcCh1Prod3Slot2Active=1,finPNLCh1Prod3Slot2Turn-finPNLCh1Prod3Slot2Excise,0)</f>
        <v>378542912.8319999</v>
      </c>
      <c r="F207" s="276" t="s">
        <v>2750</v>
      </c>
    </row>
    <row r="208" spans="1:6" s="379" customFormat="1" ht="14.25">
      <c r="A208" s="418"/>
      <c r="B208" s="325"/>
      <c r="C208" s="325"/>
      <c r="D208" s="325" t="s">
        <v>1396</v>
      </c>
      <c r="E208" s="392">
        <f>IF(calcCh1Prod3Slot2Active=1,(calcCh1Prod3Slot2CustPrice-calcCh1Prod3Slot2AvgSalePrice)*finCalcCh1Prod3Slot2VolSold+calcCh1Prod3Slot2Promo1PlanExp+calcCh1Prod3Slot2Promo2PlanExp+calcCh1Prod3Slot2ValDrivExp,0)</f>
        <v>45797658.54497841</v>
      </c>
      <c r="F208" s="276" t="s">
        <v>2751</v>
      </c>
    </row>
    <row r="209" spans="1:6" s="227" customFormat="1" ht="2.1" customHeight="1">
      <c r="A209" s="418"/>
      <c r="B209" s="230"/>
      <c r="C209" s="209"/>
      <c r="D209" s="229"/>
      <c r="E209" s="229"/>
      <c r="F209" s="209"/>
    </row>
    <row r="210" spans="1:6" ht="14.25">
      <c r="A210" s="419"/>
      <c r="B210" s="209"/>
      <c r="C210" s="217" t="s">
        <v>1269</v>
      </c>
      <c r="D210" s="209"/>
      <c r="E210" s="233">
        <f>E207-E208</f>
        <v>332745254.28702152</v>
      </c>
      <c r="F210" s="276" t="s">
        <v>2269</v>
      </c>
    </row>
    <row r="211" spans="1:6" ht="14.25">
      <c r="A211" s="419"/>
      <c r="B211" s="209"/>
      <c r="C211" s="209"/>
      <c r="D211" s="209"/>
      <c r="E211" s="210"/>
      <c r="F211" s="209"/>
    </row>
    <row r="212" spans="1:6" ht="14.25">
      <c r="A212" s="419"/>
      <c r="B212" s="209"/>
      <c r="C212" s="217" t="s">
        <v>404</v>
      </c>
      <c r="D212" s="209"/>
      <c r="E212" s="210"/>
      <c r="F212" s="209"/>
    </row>
    <row r="213" spans="1:6" ht="14.25">
      <c r="A213" s="419"/>
      <c r="B213" s="209"/>
      <c r="C213" s="209"/>
      <c r="D213" s="209" t="s">
        <v>400</v>
      </c>
      <c r="E213" s="226">
        <f>IF(calcCh1Prod3Slot2Active=1,finCalcCh1Prod3Slot2MatExp,0)</f>
        <v>111151043.95038338</v>
      </c>
      <c r="F213" s="276" t="s">
        <v>2270</v>
      </c>
    </row>
    <row r="214" spans="1:6" ht="14.25">
      <c r="A214" s="419"/>
      <c r="B214" s="209"/>
      <c r="C214" s="209"/>
      <c r="D214" s="209" t="s">
        <v>399</v>
      </c>
      <c r="E214" s="226">
        <f>IF(calcCh1Prod3Slot2Active=1,finCalcCh1Prod3Slot2LabourExp,0)</f>
        <v>16345741.757409319</v>
      </c>
      <c r="F214" s="276" t="s">
        <v>2271</v>
      </c>
    </row>
    <row r="215" spans="1:6" ht="14.25">
      <c r="A215" s="419"/>
      <c r="B215" s="209"/>
      <c r="C215" s="209"/>
      <c r="D215" s="209" t="s">
        <v>513</v>
      </c>
      <c r="E215" s="226">
        <f>IF(calcCh1Prod3Slot2Active=1,finCalcCh1Prod3Slot2MachCost,0)</f>
        <v>21546253.362816002</v>
      </c>
      <c r="F215" s="276" t="s">
        <v>2272</v>
      </c>
    </row>
    <row r="216" spans="1:6" ht="14.25">
      <c r="A216" s="419"/>
      <c r="B216" s="209"/>
      <c r="C216" s="209"/>
      <c r="D216" s="209" t="s">
        <v>398</v>
      </c>
      <c r="E216" s="226">
        <f>IF(calcCh1Prod3Slot2Active=1,finCalcCh1Prod3Slot2DepExp,0)</f>
        <v>9589387.6777563244</v>
      </c>
      <c r="F216" s="276" t="s">
        <v>2273</v>
      </c>
    </row>
    <row r="217" spans="1:6" s="227" customFormat="1" ht="2.1" customHeight="1">
      <c r="A217" s="418"/>
      <c r="B217" s="230"/>
      <c r="C217" s="209"/>
      <c r="D217" s="229"/>
      <c r="E217" s="229"/>
      <c r="F217" s="209"/>
    </row>
    <row r="218" spans="1:6" ht="14.25">
      <c r="A218" s="419"/>
      <c r="B218" s="209"/>
      <c r="C218" s="209"/>
      <c r="D218" s="209" t="s">
        <v>14</v>
      </c>
      <c r="E218" s="226">
        <f>SUM(E213:E217)</f>
        <v>158632426.74836504</v>
      </c>
      <c r="F218" s="276" t="s">
        <v>2274</v>
      </c>
    </row>
    <row r="219" spans="1:6" ht="14.25">
      <c r="A219" s="419"/>
      <c r="B219" s="209"/>
      <c r="C219" s="209"/>
      <c r="D219" s="209"/>
      <c r="E219" s="210"/>
      <c r="F219" s="209"/>
    </row>
    <row r="220" spans="1:6" ht="14.25">
      <c r="A220" s="419"/>
      <c r="B220" s="209"/>
      <c r="C220" s="217" t="s">
        <v>160</v>
      </c>
      <c r="D220" s="209"/>
      <c r="E220" s="210"/>
      <c r="F220" s="209"/>
    </row>
    <row r="221" spans="1:6" ht="14.25">
      <c r="A221" s="419"/>
      <c r="B221" s="209"/>
      <c r="C221" s="209"/>
      <c r="D221" s="209" t="s">
        <v>160</v>
      </c>
      <c r="E221" s="226">
        <f>IF(calcCh1Prod3Slot2Active=1,finPNLCh1Prod3Slot2TotalRev-finPNLCh1Prod3Slot2TotalCOGs,0)</f>
        <v>174112827.53865647</v>
      </c>
      <c r="F221" s="276" t="s">
        <v>2275</v>
      </c>
    </row>
    <row r="222" spans="1:6" ht="14.25">
      <c r="A222" s="419"/>
      <c r="B222" s="209"/>
      <c r="C222" s="217"/>
      <c r="D222" s="234" t="s">
        <v>162</v>
      </c>
      <c r="E222" s="687">
        <f>IF(finPNLCh1Prod3Slot2TotalRev=0,0,finPNLCh1Prod3Slot2GP/finPNLCh1Prod3Slot2TotalRev)</f>
        <v>0.52326164023505239</v>
      </c>
      <c r="F222" s="276" t="s">
        <v>2276</v>
      </c>
    </row>
    <row r="223" spans="1:6" ht="14.25">
      <c r="A223" s="419"/>
      <c r="B223" s="209"/>
      <c r="C223" s="217"/>
      <c r="D223" s="234"/>
      <c r="E223" s="449"/>
      <c r="F223" s="209"/>
    </row>
    <row r="224" spans="1:6" ht="14.25">
      <c r="A224" s="419"/>
      <c r="B224" s="209"/>
      <c r="C224" s="217" t="s">
        <v>519</v>
      </c>
      <c r="D224" s="234"/>
      <c r="E224" s="449"/>
      <c r="F224" s="209"/>
    </row>
    <row r="225" spans="1:6" ht="14.25">
      <c r="A225" s="419"/>
      <c r="B225" s="209"/>
      <c r="C225" s="217"/>
      <c r="D225" s="209" t="s">
        <v>519</v>
      </c>
      <c r="E225" s="226">
        <f>IF(calcCh1Prod3Slot2Active=1,finCalcCh1Prod3Slot2LogisticsCost,0)</f>
        <v>18886375.931418948</v>
      </c>
      <c r="F225" s="208" t="s">
        <v>2277</v>
      </c>
    </row>
    <row r="226" spans="1:6" ht="14.25">
      <c r="A226" s="419"/>
      <c r="B226" s="209"/>
      <c r="C226" s="217"/>
      <c r="D226" s="234"/>
      <c r="E226" s="449"/>
      <c r="F226" s="209"/>
    </row>
    <row r="227" spans="1:6" ht="14.25">
      <c r="A227" s="419"/>
      <c r="B227" s="209"/>
      <c r="C227" s="217" t="s">
        <v>520</v>
      </c>
      <c r="D227" s="209"/>
      <c r="E227" s="210"/>
      <c r="F227" s="209"/>
    </row>
    <row r="228" spans="1:6" ht="14.25">
      <c r="A228" s="419"/>
      <c r="B228" s="209"/>
      <c r="C228" s="209"/>
      <c r="D228" s="209" t="s">
        <v>521</v>
      </c>
      <c r="E228" s="226">
        <f>finPNLCh1Prod3Slot2GP-finPNLCh1Prod3Slot2LogExp</f>
        <v>155226451.60723752</v>
      </c>
      <c r="F228" s="276" t="s">
        <v>2278</v>
      </c>
    </row>
    <row r="229" spans="1:6" ht="14.25">
      <c r="A229" s="419"/>
      <c r="B229" s="209"/>
      <c r="C229" s="217"/>
      <c r="D229" s="234" t="s">
        <v>522</v>
      </c>
      <c r="E229" s="687">
        <f>IF(finPNLCh1Prod3Slot2TotalRev=0,0,finPNLCh1Prod3Slot2GPaL/finPNLCh1Prod3Slot2TotalRev)</f>
        <v>0.46650237563821512</v>
      </c>
      <c r="F229" s="276" t="s">
        <v>2279</v>
      </c>
    </row>
    <row r="230" spans="1:6" s="398" customFormat="1" ht="14.25">
      <c r="A230" s="419"/>
      <c r="B230" s="335"/>
      <c r="C230" s="395"/>
      <c r="D230" s="396"/>
      <c r="E230" s="688"/>
      <c r="F230" s="336"/>
    </row>
    <row r="231" spans="1:6" s="322" customFormat="1" ht="14.25">
      <c r="A231" s="408"/>
      <c r="B231" s="323"/>
      <c r="C231" s="325" t="s">
        <v>395</v>
      </c>
      <c r="D231" s="323"/>
      <c r="E231" s="323"/>
    </row>
    <row r="232" spans="1:6" s="322" customFormat="1" ht="14.25">
      <c r="A232" s="408"/>
      <c r="B232" s="323"/>
      <c r="C232" s="325"/>
      <c r="D232" s="323"/>
      <c r="E232" s="323"/>
    </row>
    <row r="233" spans="1:6" s="379" customFormat="1" ht="14.25">
      <c r="A233" s="418"/>
      <c r="B233" s="325"/>
      <c r="C233" s="325"/>
      <c r="D233" s="325" t="s">
        <v>1394</v>
      </c>
      <c r="E233" s="392">
        <f>IF(calcCh1Prod3Slot3Active=1,calcCh1Prod3Slot3CustPrice*finCalcCh1Prod3Slot3VolSold,0)</f>
        <v>0</v>
      </c>
      <c r="F233" s="276" t="s">
        <v>2752</v>
      </c>
    </row>
    <row r="234" spans="1:6" s="379" customFormat="1" ht="14.25">
      <c r="A234" s="418"/>
      <c r="B234" s="325"/>
      <c r="C234" s="325"/>
      <c r="D234" s="325" t="s">
        <v>1759</v>
      </c>
      <c r="E234" s="392">
        <f>IF(calcCh1Prod3Slot3Active=1,finCalcCh1Prod3Slot3VolSold*paramExciseProd3,0)</f>
        <v>0</v>
      </c>
      <c r="F234" s="276" t="s">
        <v>2753</v>
      </c>
    </row>
    <row r="235" spans="1:6" s="379" customFormat="1" ht="14.25">
      <c r="A235" s="418"/>
      <c r="B235" s="325"/>
      <c r="C235" s="325"/>
      <c r="D235" s="325" t="s">
        <v>694</v>
      </c>
      <c r="E235" s="392">
        <f>IF(calcCh1Prod3Slot3Active=1,finPNLCh1Prod3Slot3Turn-finPNLCh1Prod3Slot3Excise,0)</f>
        <v>0</v>
      </c>
      <c r="F235" s="276" t="s">
        <v>2754</v>
      </c>
    </row>
    <row r="236" spans="1:6" s="379" customFormat="1" ht="14.25">
      <c r="A236" s="418"/>
      <c r="B236" s="325"/>
      <c r="C236" s="325"/>
      <c r="D236" s="325" t="s">
        <v>1396</v>
      </c>
      <c r="E236" s="392">
        <f>IF(calcCh1Prod3Slot3Active=1,(calcCh1Prod3Slot3CustPrice-calcCh1Prod3Slot3AvgSalePrice)*finCalcCh1Prod3Slot3VolSold+calcCh1Prod3Slot3Promo1PlanExp+calcCh1Prod3Slot3Promo2PlanExp+calcCh1Prod3Slot3ValDrivExp,0)</f>
        <v>0</v>
      </c>
      <c r="F236" s="276" t="s">
        <v>2755</v>
      </c>
    </row>
    <row r="237" spans="1:6" s="227" customFormat="1" ht="2.1" customHeight="1">
      <c r="A237" s="418"/>
      <c r="B237" s="230"/>
      <c r="C237" s="209"/>
      <c r="D237" s="229"/>
      <c r="E237" s="229"/>
      <c r="F237" s="209"/>
    </row>
    <row r="238" spans="1:6" ht="14.25">
      <c r="A238" s="419"/>
      <c r="B238" s="209"/>
      <c r="C238" s="217" t="s">
        <v>1269</v>
      </c>
      <c r="D238" s="209"/>
      <c r="E238" s="233">
        <f>E235-E236</f>
        <v>0</v>
      </c>
      <c r="F238" s="276" t="s">
        <v>2280</v>
      </c>
    </row>
    <row r="239" spans="1:6" ht="14.25">
      <c r="A239" s="419"/>
      <c r="B239" s="209"/>
      <c r="C239" s="209"/>
      <c r="D239" s="209"/>
      <c r="E239" s="210"/>
      <c r="F239" s="209"/>
    </row>
    <row r="240" spans="1:6" ht="14.25">
      <c r="A240" s="419"/>
      <c r="B240" s="209"/>
      <c r="C240" s="217" t="s">
        <v>404</v>
      </c>
      <c r="D240" s="209"/>
      <c r="E240" s="210"/>
      <c r="F240" s="209"/>
    </row>
    <row r="241" spans="1:6" ht="14.25">
      <c r="A241" s="419"/>
      <c r="B241" s="209"/>
      <c r="C241" s="209"/>
      <c r="D241" s="209" t="s">
        <v>400</v>
      </c>
      <c r="E241" s="226">
        <f>IF(calcCh1Prod3Slot3Active=1,finCalcCh1Prod3Slot3MatExp,0)</f>
        <v>0</v>
      </c>
      <c r="F241" s="276" t="s">
        <v>2281</v>
      </c>
    </row>
    <row r="242" spans="1:6" ht="14.25">
      <c r="A242" s="419"/>
      <c r="B242" s="209"/>
      <c r="C242" s="209"/>
      <c r="D242" s="209" t="s">
        <v>399</v>
      </c>
      <c r="E242" s="226">
        <f>IF(calcCh1Prod3Slot3Active=1,finCalcCh1Prod3Slot3LabourExp,0)</f>
        <v>0</v>
      </c>
      <c r="F242" s="276" t="s">
        <v>2282</v>
      </c>
    </row>
    <row r="243" spans="1:6" ht="14.25">
      <c r="A243" s="419"/>
      <c r="B243" s="209"/>
      <c r="C243" s="209"/>
      <c r="D243" s="209" t="s">
        <v>513</v>
      </c>
      <c r="E243" s="226">
        <f>IF(calcCh1Prod3Slot3Active=1,finCalcCh1Prod3Slot3MachCost,0)</f>
        <v>0</v>
      </c>
      <c r="F243" s="276" t="s">
        <v>2283</v>
      </c>
    </row>
    <row r="244" spans="1:6" ht="14.25">
      <c r="A244" s="419"/>
      <c r="B244" s="209"/>
      <c r="C244" s="209"/>
      <c r="D244" s="209" t="s">
        <v>398</v>
      </c>
      <c r="E244" s="226">
        <f>IF(calcCh1Prod3Slot3Active=1,finCalcCh1Prod3Slot3DepExp,0)</f>
        <v>0</v>
      </c>
      <c r="F244" s="276" t="s">
        <v>2284</v>
      </c>
    </row>
    <row r="245" spans="1:6" s="227" customFormat="1" ht="2.1" customHeight="1">
      <c r="A245" s="418"/>
      <c r="B245" s="230"/>
      <c r="C245" s="209"/>
      <c r="D245" s="229"/>
      <c r="E245" s="229"/>
      <c r="F245" s="209"/>
    </row>
    <row r="246" spans="1:6" ht="14.25">
      <c r="A246" s="419"/>
      <c r="B246" s="209"/>
      <c r="C246" s="209"/>
      <c r="D246" s="209" t="s">
        <v>14</v>
      </c>
      <c r="E246" s="226">
        <f>SUM(E241:E245)</f>
        <v>0</v>
      </c>
      <c r="F246" s="276" t="s">
        <v>2285</v>
      </c>
    </row>
    <row r="247" spans="1:6" ht="14.25">
      <c r="A247" s="419"/>
      <c r="B247" s="209"/>
      <c r="C247" s="209"/>
      <c r="D247" s="209"/>
      <c r="E247" s="210"/>
      <c r="F247" s="209"/>
    </row>
    <row r="248" spans="1:6" ht="14.25">
      <c r="A248" s="419"/>
      <c r="B248" s="209"/>
      <c r="C248" s="217" t="s">
        <v>160</v>
      </c>
      <c r="D248" s="209"/>
      <c r="E248" s="210"/>
      <c r="F248" s="209"/>
    </row>
    <row r="249" spans="1:6" ht="14.25">
      <c r="A249" s="419"/>
      <c r="B249" s="209"/>
      <c r="C249" s="209"/>
      <c r="D249" s="209" t="s">
        <v>160</v>
      </c>
      <c r="E249" s="226">
        <f>IF(calcCh1Prod3Slot3Active=1,finPNLCh1Prod3Slot3TotalRev-finPNLCh1Prod3Slot3TotalCOGs,0)</f>
        <v>0</v>
      </c>
      <c r="F249" s="276" t="s">
        <v>2286</v>
      </c>
    </row>
    <row r="250" spans="1:6" ht="14.25">
      <c r="A250" s="419"/>
      <c r="B250" s="209"/>
      <c r="C250" s="217"/>
      <c r="D250" s="234" t="s">
        <v>162</v>
      </c>
      <c r="E250" s="687">
        <f>IF(finPNLCh1Prod3Slot3TotalRev=0,0,finPNLCh1Prod3Slot3GP/finPNLCh1Prod3Slot3TotalRev)</f>
        <v>0</v>
      </c>
      <c r="F250" s="276" t="s">
        <v>2287</v>
      </c>
    </row>
    <row r="251" spans="1:6" ht="14.25">
      <c r="A251" s="419"/>
      <c r="B251" s="209"/>
      <c r="C251" s="217"/>
      <c r="D251" s="234"/>
      <c r="E251" s="449"/>
      <c r="F251" s="209"/>
    </row>
    <row r="252" spans="1:6" ht="14.25">
      <c r="A252" s="419"/>
      <c r="B252" s="209"/>
      <c r="C252" s="217" t="s">
        <v>519</v>
      </c>
      <c r="D252" s="234"/>
      <c r="E252" s="449"/>
      <c r="F252" s="209"/>
    </row>
    <row r="253" spans="1:6" ht="14.25">
      <c r="A253" s="419"/>
      <c r="B253" s="209"/>
      <c r="C253" s="217"/>
      <c r="D253" s="209" t="s">
        <v>519</v>
      </c>
      <c r="E253" s="226">
        <f>IF(calcCh1Prod3Slot3Active=1,finCalcCh1Prod3Slot3LogisticsCost,0)</f>
        <v>0</v>
      </c>
      <c r="F253" s="208" t="s">
        <v>2288</v>
      </c>
    </row>
    <row r="254" spans="1:6" ht="14.25">
      <c r="A254" s="419"/>
      <c r="B254" s="209"/>
      <c r="C254" s="217"/>
      <c r="D254" s="234"/>
      <c r="E254" s="449"/>
      <c r="F254" s="209"/>
    </row>
    <row r="255" spans="1:6" ht="14.25">
      <c r="A255" s="419"/>
      <c r="B255" s="209"/>
      <c r="C255" s="217" t="s">
        <v>520</v>
      </c>
      <c r="D255" s="209"/>
      <c r="E255" s="210"/>
      <c r="F255" s="209"/>
    </row>
    <row r="256" spans="1:6" ht="14.25">
      <c r="A256" s="419"/>
      <c r="B256" s="209"/>
      <c r="C256" s="209"/>
      <c r="D256" s="209" t="s">
        <v>521</v>
      </c>
      <c r="E256" s="226">
        <f>finPNLCh1Prod3Slot3GP-finPNLCh1Prod3Slot3LogExp</f>
        <v>0</v>
      </c>
      <c r="F256" s="276" t="s">
        <v>2289</v>
      </c>
    </row>
    <row r="257" spans="1:6" ht="14.25">
      <c r="A257" s="419"/>
      <c r="B257" s="209"/>
      <c r="C257" s="217"/>
      <c r="D257" s="234" t="s">
        <v>522</v>
      </c>
      <c r="E257" s="687">
        <f>IF(finPNLCh1Prod3Slot3TotalRev=0,0,finPNLCh1Prod3Slot3GPaL/finPNLCh1Prod3Slot3TotalRev)</f>
        <v>0</v>
      </c>
      <c r="F257" s="276" t="s">
        <v>2290</v>
      </c>
    </row>
    <row r="258" spans="1:6" s="398" customFormat="1" ht="14.25">
      <c r="A258" s="419"/>
      <c r="B258" s="335"/>
      <c r="C258" s="395"/>
      <c r="D258" s="396"/>
      <c r="E258" s="688"/>
      <c r="F258" s="336"/>
    </row>
    <row r="259" spans="1:6" s="322" customFormat="1" ht="14.25">
      <c r="A259" s="417"/>
      <c r="B259" s="417" t="s">
        <v>240</v>
      </c>
      <c r="C259" s="405"/>
      <c r="D259" s="405"/>
    </row>
    <row r="260" spans="1:6" s="322" customFormat="1" ht="14.25">
      <c r="A260" s="408"/>
      <c r="B260" s="323"/>
      <c r="C260" s="325" t="s">
        <v>379</v>
      </c>
      <c r="D260" s="323"/>
      <c r="E260" s="323"/>
    </row>
    <row r="261" spans="1:6" s="322" customFormat="1" ht="14.25">
      <c r="A261" s="408"/>
      <c r="B261" s="323"/>
      <c r="C261" s="325"/>
      <c r="D261" s="323"/>
      <c r="E261" s="323"/>
    </row>
    <row r="262" spans="1:6" s="379" customFormat="1" ht="14.25">
      <c r="A262" s="418"/>
      <c r="B262" s="325"/>
      <c r="C262" s="325"/>
      <c r="D262" s="325" t="s">
        <v>1394</v>
      </c>
      <c r="E262" s="392">
        <f>IF(calcCh1Prod4Slot1Active=1,calcCh1Prod4Slot1CustPrice*finCalcCh1Prod4Slot1VolSold,0)</f>
        <v>0</v>
      </c>
      <c r="F262" s="276" t="s">
        <v>2760</v>
      </c>
    </row>
    <row r="263" spans="1:6" s="379" customFormat="1" ht="14.25">
      <c r="A263" s="418"/>
      <c r="B263" s="325"/>
      <c r="C263" s="325"/>
      <c r="D263" s="325" t="s">
        <v>1759</v>
      </c>
      <c r="E263" s="392">
        <f>IF(calcCh1Prod4Slot1Active=1,finCalcCh1Prod4Slot1VolSold*paramExciseProd4,0)</f>
        <v>0</v>
      </c>
      <c r="F263" s="276" t="s">
        <v>2761</v>
      </c>
    </row>
    <row r="264" spans="1:6" s="379" customFormat="1" ht="14.25">
      <c r="A264" s="418"/>
      <c r="B264" s="325"/>
      <c r="C264" s="325"/>
      <c r="D264" s="325" t="s">
        <v>694</v>
      </c>
      <c r="E264" s="392">
        <f>IF(calcCh1Prod4Slot1Active=1,finPNLCh1Prod4Slot1Turn-finPNLCh1Prod4Slot1Excise,0)</f>
        <v>0</v>
      </c>
      <c r="F264" s="276" t="s">
        <v>2762</v>
      </c>
    </row>
    <row r="265" spans="1:6" s="379" customFormat="1" ht="14.25">
      <c r="A265" s="418"/>
      <c r="B265" s="325"/>
      <c r="C265" s="325"/>
      <c r="D265" s="325" t="s">
        <v>1396</v>
      </c>
      <c r="E265" s="392">
        <f>IF(calcCh1Prod4Slot1Active=1,(calcCh1Prod4Slot1CustPrice-calcCh1Prod4Slot1AvgSalePrice)*finCalcCh1Prod4Slot1VolSold+calcCh1Prod4Slot1Promo1PlanExp+calcCh1Prod4Slot1Promo2PlanExp+calcCh1Prod4Slot1ValDrivExp,0)</f>
        <v>0</v>
      </c>
      <c r="F265" s="276" t="s">
        <v>2763</v>
      </c>
    </row>
    <row r="266" spans="1:6" s="227" customFormat="1" ht="2.1" customHeight="1">
      <c r="A266" s="418"/>
      <c r="B266" s="230"/>
      <c r="C266" s="209"/>
      <c r="D266" s="229"/>
      <c r="E266" s="229"/>
      <c r="F266" s="209"/>
    </row>
    <row r="267" spans="1:6" ht="14.25">
      <c r="A267" s="419"/>
      <c r="B267" s="209"/>
      <c r="C267" s="217" t="s">
        <v>1269</v>
      </c>
      <c r="D267" s="209"/>
      <c r="E267" s="233">
        <f>E264-E265</f>
        <v>0</v>
      </c>
      <c r="F267" s="276" t="s">
        <v>2291</v>
      </c>
    </row>
    <row r="268" spans="1:6" ht="14.25">
      <c r="A268" s="419"/>
      <c r="B268" s="209"/>
      <c r="C268" s="209"/>
      <c r="D268" s="209"/>
      <c r="E268" s="210"/>
      <c r="F268" s="209"/>
    </row>
    <row r="269" spans="1:6" ht="14.25">
      <c r="A269" s="419"/>
      <c r="B269" s="209"/>
      <c r="C269" s="217" t="s">
        <v>404</v>
      </c>
      <c r="D269" s="209"/>
      <c r="E269" s="210"/>
      <c r="F269" s="209"/>
    </row>
    <row r="270" spans="1:6" ht="14.25">
      <c r="A270" s="419"/>
      <c r="B270" s="209"/>
      <c r="C270" s="209"/>
      <c r="D270" s="209" t="s">
        <v>400</v>
      </c>
      <c r="E270" s="226">
        <f>IF(calcCh1Prod4Slot1Active=1,finCalcCh1Prod4Slot1MatExp,0)</f>
        <v>0</v>
      </c>
      <c r="F270" s="276" t="s">
        <v>2292</v>
      </c>
    </row>
    <row r="271" spans="1:6" ht="14.25">
      <c r="A271" s="419"/>
      <c r="B271" s="209"/>
      <c r="C271" s="209"/>
      <c r="D271" s="209" t="s">
        <v>399</v>
      </c>
      <c r="E271" s="226">
        <f>IF(calcCh1Prod4Slot1Active=1,finCalcCh1Prod4Slot1LabourExp,0)</f>
        <v>0</v>
      </c>
      <c r="F271" s="276" t="s">
        <v>2293</v>
      </c>
    </row>
    <row r="272" spans="1:6" ht="14.25">
      <c r="A272" s="419"/>
      <c r="B272" s="209"/>
      <c r="C272" s="209"/>
      <c r="D272" s="209" t="s">
        <v>513</v>
      </c>
      <c r="E272" s="226">
        <f>IF(calcCh1Prod4Slot1Active=1,finCalcCh1Prod4Slot1MachCost,0)</f>
        <v>0</v>
      </c>
      <c r="F272" s="276" t="s">
        <v>2294</v>
      </c>
    </row>
    <row r="273" spans="1:6" ht="14.25">
      <c r="A273" s="419"/>
      <c r="B273" s="209"/>
      <c r="C273" s="209"/>
      <c r="D273" s="209" t="s">
        <v>398</v>
      </c>
      <c r="E273" s="226">
        <f>IF(calcCh1Prod4Slot1Active=1,finCalcCh1Prod4Slot1DepExp,0)</f>
        <v>0</v>
      </c>
      <c r="F273" s="276" t="s">
        <v>2295</v>
      </c>
    </row>
    <row r="274" spans="1:6" s="227" customFormat="1" ht="2.1" customHeight="1">
      <c r="A274" s="418"/>
      <c r="B274" s="230"/>
      <c r="C274" s="209"/>
      <c r="D274" s="229"/>
      <c r="E274" s="229"/>
      <c r="F274" s="209"/>
    </row>
    <row r="275" spans="1:6" ht="14.25">
      <c r="A275" s="419"/>
      <c r="B275" s="209"/>
      <c r="C275" s="209"/>
      <c r="D275" s="209" t="s">
        <v>14</v>
      </c>
      <c r="E275" s="226">
        <f>SUM(E270:E274)</f>
        <v>0</v>
      </c>
      <c r="F275" s="276" t="s">
        <v>2296</v>
      </c>
    </row>
    <row r="276" spans="1:6" ht="14.25">
      <c r="A276" s="419"/>
      <c r="B276" s="209"/>
      <c r="C276" s="209"/>
      <c r="D276" s="209"/>
      <c r="E276" s="210"/>
      <c r="F276" s="209"/>
    </row>
    <row r="277" spans="1:6" ht="14.25">
      <c r="A277" s="419"/>
      <c r="B277" s="209"/>
      <c r="C277" s="217" t="s">
        <v>160</v>
      </c>
      <c r="D277" s="209"/>
      <c r="E277" s="210"/>
      <c r="F277" s="209"/>
    </row>
    <row r="278" spans="1:6" ht="14.25">
      <c r="A278" s="419"/>
      <c r="B278" s="209"/>
      <c r="C278" s="209"/>
      <c r="D278" s="209" t="s">
        <v>160</v>
      </c>
      <c r="E278" s="226">
        <f>IF(calcCh1Prod4Slot1Active=1,finPNLCh1Prod4Slot1TotalRev-finPNLCh1Prod4Slot1TotalCOGs,0)</f>
        <v>0</v>
      </c>
      <c r="F278" s="276" t="s">
        <v>2297</v>
      </c>
    </row>
    <row r="279" spans="1:6" ht="14.25">
      <c r="A279" s="419"/>
      <c r="B279" s="209"/>
      <c r="C279" s="217"/>
      <c r="D279" s="234" t="s">
        <v>162</v>
      </c>
      <c r="E279" s="687">
        <f>IF(finPNLCh1Prod4Slot1TotalRev=0,0,finPNLCh1Prod4Slot1GP/finPNLCh1Prod4Slot1TotalRev)</f>
        <v>0</v>
      </c>
      <c r="F279" s="276" t="s">
        <v>2298</v>
      </c>
    </row>
    <row r="280" spans="1:6" ht="14.25">
      <c r="A280" s="419"/>
      <c r="B280" s="209"/>
      <c r="C280" s="217"/>
      <c r="D280" s="234"/>
      <c r="E280" s="449"/>
      <c r="F280" s="209"/>
    </row>
    <row r="281" spans="1:6" ht="14.25">
      <c r="A281" s="419"/>
      <c r="B281" s="209"/>
      <c r="C281" s="217" t="s">
        <v>519</v>
      </c>
      <c r="D281" s="234"/>
      <c r="E281" s="449"/>
      <c r="F281" s="209"/>
    </row>
    <row r="282" spans="1:6" ht="14.25">
      <c r="A282" s="419"/>
      <c r="B282" s="209"/>
      <c r="C282" s="217"/>
      <c r="D282" s="209" t="s">
        <v>519</v>
      </c>
      <c r="E282" s="226">
        <f>IF(calcCh1Prod4Slot1Active=1,finCalcCh1Prod4Slot1LogisticsCost,0)</f>
        <v>0</v>
      </c>
      <c r="F282" s="208" t="s">
        <v>2299</v>
      </c>
    </row>
    <row r="283" spans="1:6" ht="14.25">
      <c r="A283" s="419"/>
      <c r="B283" s="209"/>
      <c r="C283" s="217"/>
      <c r="D283" s="234"/>
      <c r="E283" s="449"/>
      <c r="F283" s="209"/>
    </row>
    <row r="284" spans="1:6" ht="14.25">
      <c r="A284" s="419"/>
      <c r="B284" s="209"/>
      <c r="C284" s="217" t="s">
        <v>520</v>
      </c>
      <c r="D284" s="209"/>
      <c r="E284" s="210"/>
      <c r="F284" s="209"/>
    </row>
    <row r="285" spans="1:6" ht="14.25">
      <c r="A285" s="419"/>
      <c r="B285" s="209"/>
      <c r="C285" s="209"/>
      <c r="D285" s="209" t="s">
        <v>521</v>
      </c>
      <c r="E285" s="226">
        <f>finPNLCh1Prod4Slot1GP-finPNLCh1Prod4Slot1LogExp</f>
        <v>0</v>
      </c>
      <c r="F285" s="276" t="s">
        <v>2300</v>
      </c>
    </row>
    <row r="286" spans="1:6" ht="14.25">
      <c r="A286" s="419"/>
      <c r="B286" s="209"/>
      <c r="C286" s="217"/>
      <c r="D286" s="234" t="s">
        <v>522</v>
      </c>
      <c r="E286" s="687">
        <f>IF(finPNLCh1Prod4Slot1TotalRev=0,0,finPNLCh1Prod4Slot1GPaL/finPNLCh1Prod4Slot1TotalRev)</f>
        <v>0</v>
      </c>
      <c r="F286" s="276" t="s">
        <v>2301</v>
      </c>
    </row>
    <row r="287" spans="1:6" s="398" customFormat="1" ht="14.25">
      <c r="A287" s="419"/>
      <c r="B287" s="335"/>
      <c r="C287" s="395"/>
      <c r="D287" s="396"/>
      <c r="E287" s="688"/>
      <c r="F287" s="336"/>
    </row>
    <row r="288" spans="1:6" s="322" customFormat="1" ht="14.25">
      <c r="A288" s="408"/>
      <c r="B288" s="323"/>
      <c r="C288" s="325" t="s">
        <v>394</v>
      </c>
      <c r="D288" s="323"/>
      <c r="E288" s="323"/>
    </row>
    <row r="289" spans="1:6" s="322" customFormat="1" ht="14.25">
      <c r="A289" s="408"/>
      <c r="B289" s="323"/>
      <c r="C289" s="325"/>
      <c r="D289" s="323"/>
      <c r="E289" s="323"/>
    </row>
    <row r="290" spans="1:6" s="379" customFormat="1" ht="14.25">
      <c r="A290" s="418"/>
      <c r="B290" s="325"/>
      <c r="C290" s="325"/>
      <c r="D290" s="325" t="s">
        <v>1394</v>
      </c>
      <c r="E290" s="392">
        <f>IF(calcCh1Prod4Slot2Active=1,calcCh1Prod4Slot2CustPrice*finCalcCh1Prod4Slot2VolSold,0)</f>
        <v>0</v>
      </c>
      <c r="F290" s="276" t="s">
        <v>2764</v>
      </c>
    </row>
    <row r="291" spans="1:6" s="379" customFormat="1" ht="14.25">
      <c r="A291" s="418"/>
      <c r="B291" s="325"/>
      <c r="C291" s="325"/>
      <c r="D291" s="325" t="s">
        <v>1759</v>
      </c>
      <c r="E291" s="392">
        <f>IF(calcCh1Prod4Slot2Active=1,finCalcCh1Prod4Slot2VolSold*paramExciseProd4,0)</f>
        <v>0</v>
      </c>
      <c r="F291" s="276" t="s">
        <v>2765</v>
      </c>
    </row>
    <row r="292" spans="1:6" s="379" customFormat="1" ht="14.25">
      <c r="A292" s="418"/>
      <c r="B292" s="325"/>
      <c r="C292" s="325"/>
      <c r="D292" s="325" t="s">
        <v>694</v>
      </c>
      <c r="E292" s="392">
        <f>IF(calcCh1Prod4Slot2Active=1,finPNLCh1Prod4Slot2Turn-finPNLCh1Prod4Slot2Excise,0)</f>
        <v>0</v>
      </c>
      <c r="F292" s="276" t="s">
        <v>2766</v>
      </c>
    </row>
    <row r="293" spans="1:6" s="379" customFormat="1" ht="14.25">
      <c r="A293" s="418"/>
      <c r="B293" s="325"/>
      <c r="C293" s="325"/>
      <c r="D293" s="325" t="s">
        <v>1396</v>
      </c>
      <c r="E293" s="392">
        <f>IF(calcCh1Prod4Slot2Active=1,(calcCh1Prod4Slot2CustPrice-calcCh1Prod4Slot2AvgSalePrice)*finCalcCh1Prod4Slot2VolSold+calcCh1Prod4Slot2Promo1PlanExp+calcCh1Prod4Slot2Promo2PlanExp+calcCh1Prod4Slot2ValDrivExp,0)</f>
        <v>0</v>
      </c>
      <c r="F293" s="276" t="s">
        <v>2767</v>
      </c>
    </row>
    <row r="294" spans="1:6" s="227" customFormat="1" ht="2.1" customHeight="1">
      <c r="A294" s="418"/>
      <c r="B294" s="230"/>
      <c r="C294" s="209"/>
      <c r="D294" s="229"/>
      <c r="E294" s="229"/>
      <c r="F294" s="209"/>
    </row>
    <row r="295" spans="1:6" ht="14.25">
      <c r="A295" s="419"/>
      <c r="B295" s="209"/>
      <c r="C295" s="217" t="s">
        <v>1269</v>
      </c>
      <c r="D295" s="209"/>
      <c r="E295" s="233">
        <f>E292-E293</f>
        <v>0</v>
      </c>
      <c r="F295" s="276" t="s">
        <v>2302</v>
      </c>
    </row>
    <row r="296" spans="1:6" ht="14.25">
      <c r="A296" s="419"/>
      <c r="B296" s="209"/>
      <c r="C296" s="209"/>
      <c r="D296" s="209"/>
      <c r="E296" s="210"/>
      <c r="F296" s="209"/>
    </row>
    <row r="297" spans="1:6" ht="14.25">
      <c r="A297" s="419"/>
      <c r="B297" s="209"/>
      <c r="C297" s="217" t="s">
        <v>404</v>
      </c>
      <c r="D297" s="209"/>
      <c r="E297" s="210"/>
      <c r="F297" s="209"/>
    </row>
    <row r="298" spans="1:6" ht="14.25">
      <c r="A298" s="419"/>
      <c r="B298" s="209"/>
      <c r="C298" s="209"/>
      <c r="D298" s="209" t="s">
        <v>400</v>
      </c>
      <c r="E298" s="226">
        <f>IF(calcCh1Prod4Slot2Active=1,finCalcCh1Prod4Slot2MatExp,0)</f>
        <v>0</v>
      </c>
      <c r="F298" s="276" t="s">
        <v>2303</v>
      </c>
    </row>
    <row r="299" spans="1:6" ht="14.25">
      <c r="A299" s="419"/>
      <c r="B299" s="209"/>
      <c r="C299" s="209"/>
      <c r="D299" s="209" t="s">
        <v>399</v>
      </c>
      <c r="E299" s="226">
        <f>IF(calcCh1Prod4Slot2Active=1,finCalcCh1Prod4Slot2LabourExp,0)</f>
        <v>0</v>
      </c>
      <c r="F299" s="276" t="s">
        <v>2304</v>
      </c>
    </row>
    <row r="300" spans="1:6" ht="14.25">
      <c r="A300" s="419"/>
      <c r="B300" s="209"/>
      <c r="C300" s="209"/>
      <c r="D300" s="209" t="s">
        <v>513</v>
      </c>
      <c r="E300" s="226">
        <f>IF(calcCh1Prod4Slot2Active=1,finCalcCh1Prod4Slot2MachCost,0)</f>
        <v>0</v>
      </c>
      <c r="F300" s="276" t="s">
        <v>2305</v>
      </c>
    </row>
    <row r="301" spans="1:6" ht="14.25">
      <c r="A301" s="419"/>
      <c r="B301" s="209"/>
      <c r="C301" s="209"/>
      <c r="D301" s="209" t="s">
        <v>398</v>
      </c>
      <c r="E301" s="226">
        <f>IF(calcCh1Prod4Slot2Active=1,finCalcCh1Prod4Slot2DepExp,0)</f>
        <v>0</v>
      </c>
      <c r="F301" s="276" t="s">
        <v>2306</v>
      </c>
    </row>
    <row r="302" spans="1:6" s="227" customFormat="1" ht="2.1" customHeight="1">
      <c r="A302" s="418"/>
      <c r="B302" s="230"/>
      <c r="C302" s="209"/>
      <c r="D302" s="229"/>
      <c r="E302" s="229"/>
      <c r="F302" s="209"/>
    </row>
    <row r="303" spans="1:6" ht="14.25">
      <c r="A303" s="419"/>
      <c r="B303" s="209"/>
      <c r="C303" s="209"/>
      <c r="D303" s="209" t="s">
        <v>14</v>
      </c>
      <c r="E303" s="226">
        <f>SUM(E298:E302)</f>
        <v>0</v>
      </c>
      <c r="F303" s="276" t="s">
        <v>2307</v>
      </c>
    </row>
    <row r="304" spans="1:6" ht="14.25">
      <c r="A304" s="419"/>
      <c r="B304" s="209"/>
      <c r="C304" s="209"/>
      <c r="D304" s="209"/>
      <c r="E304" s="210"/>
      <c r="F304" s="209"/>
    </row>
    <row r="305" spans="1:6" ht="14.25">
      <c r="A305" s="419"/>
      <c r="B305" s="209"/>
      <c r="C305" s="217" t="s">
        <v>160</v>
      </c>
      <c r="D305" s="209"/>
      <c r="E305" s="210"/>
      <c r="F305" s="209"/>
    </row>
    <row r="306" spans="1:6" ht="14.25">
      <c r="A306" s="419"/>
      <c r="B306" s="209"/>
      <c r="C306" s="209"/>
      <c r="D306" s="209" t="s">
        <v>160</v>
      </c>
      <c r="E306" s="226">
        <f>IF(calcCh1Prod4Slot2Active=1,finPNLCh1Prod4Slot2TotalRev-finPNLCh1Prod4Slot2TotalCOGs,0)</f>
        <v>0</v>
      </c>
      <c r="F306" s="276" t="s">
        <v>2308</v>
      </c>
    </row>
    <row r="307" spans="1:6" ht="14.25">
      <c r="A307" s="419"/>
      <c r="B307" s="209"/>
      <c r="C307" s="217"/>
      <c r="D307" s="234" t="s">
        <v>162</v>
      </c>
      <c r="E307" s="687">
        <f>IF(finPNLCh1Prod4Slot2TotalRev=0,0,finPNLCh1Prod4Slot2GP/finPNLCh1Prod4Slot2TotalRev)</f>
        <v>0</v>
      </c>
      <c r="F307" s="276" t="s">
        <v>2309</v>
      </c>
    </row>
    <row r="308" spans="1:6" ht="14.25">
      <c r="A308" s="419"/>
      <c r="B308" s="209"/>
      <c r="C308" s="217"/>
      <c r="D308" s="234"/>
      <c r="E308" s="449"/>
      <c r="F308" s="209"/>
    </row>
    <row r="309" spans="1:6" ht="14.25">
      <c r="A309" s="419"/>
      <c r="B309" s="209"/>
      <c r="C309" s="217" t="s">
        <v>519</v>
      </c>
      <c r="D309" s="234"/>
      <c r="E309" s="449"/>
      <c r="F309" s="209"/>
    </row>
    <row r="310" spans="1:6" ht="14.25">
      <c r="A310" s="419"/>
      <c r="B310" s="209"/>
      <c r="C310" s="217"/>
      <c r="D310" s="209" t="s">
        <v>519</v>
      </c>
      <c r="E310" s="226">
        <f>IF(calcCh1Prod4Slot2Active=1,finCalcCh1Prod4Slot2LogisticsCost,0)</f>
        <v>0</v>
      </c>
      <c r="F310" s="208" t="s">
        <v>2310</v>
      </c>
    </row>
    <row r="311" spans="1:6" ht="14.25">
      <c r="A311" s="419"/>
      <c r="B311" s="209"/>
      <c r="C311" s="217"/>
      <c r="D311" s="234"/>
      <c r="E311" s="449"/>
      <c r="F311" s="209"/>
    </row>
    <row r="312" spans="1:6" ht="14.25">
      <c r="A312" s="419"/>
      <c r="B312" s="209"/>
      <c r="C312" s="217" t="s">
        <v>520</v>
      </c>
      <c r="D312" s="209"/>
      <c r="E312" s="210"/>
      <c r="F312" s="209"/>
    </row>
    <row r="313" spans="1:6" ht="14.25">
      <c r="A313" s="419"/>
      <c r="B313" s="209"/>
      <c r="C313" s="209"/>
      <c r="D313" s="209" t="s">
        <v>521</v>
      </c>
      <c r="E313" s="226">
        <f>finPNLCh1Prod4Slot2GP-finPNLCh1Prod4Slot2LogExp</f>
        <v>0</v>
      </c>
      <c r="F313" s="276" t="s">
        <v>2311</v>
      </c>
    </row>
    <row r="314" spans="1:6" ht="14.25">
      <c r="A314" s="419"/>
      <c r="B314" s="209"/>
      <c r="C314" s="217"/>
      <c r="D314" s="234" t="s">
        <v>522</v>
      </c>
      <c r="E314" s="687">
        <f>IF(finPNLCh1Prod4Slot2TotalRev=0,0,finPNLCh1Prod4Slot2GPaL/finPNLCh1Prod4Slot2TotalRev)</f>
        <v>0</v>
      </c>
      <c r="F314" s="276" t="s">
        <v>2312</v>
      </c>
    </row>
    <row r="315" spans="1:6" s="398" customFormat="1" ht="14.25">
      <c r="A315" s="419"/>
      <c r="B315" s="335"/>
      <c r="C315" s="395"/>
      <c r="D315" s="396"/>
      <c r="E315" s="688"/>
      <c r="F315" s="336"/>
    </row>
    <row r="316" spans="1:6" s="322" customFormat="1" ht="14.25">
      <c r="A316" s="408"/>
      <c r="B316" s="323"/>
      <c r="C316" s="325" t="s">
        <v>395</v>
      </c>
      <c r="D316" s="323"/>
      <c r="E316" s="323"/>
    </row>
    <row r="317" spans="1:6" s="322" customFormat="1" ht="14.25">
      <c r="A317" s="408"/>
      <c r="B317" s="323"/>
      <c r="C317" s="325"/>
      <c r="D317" s="323"/>
      <c r="E317" s="323"/>
    </row>
    <row r="318" spans="1:6" s="379" customFormat="1" ht="14.25">
      <c r="A318" s="418"/>
      <c r="B318" s="325"/>
      <c r="C318" s="325"/>
      <c r="D318" s="325" t="s">
        <v>1394</v>
      </c>
      <c r="E318" s="392">
        <f>IF(calcCh1Prod4Slot3Active=1,calcCh1Prod4Slot3CustPrice*finCalcCh1Prod4Slot3VolSold,0)</f>
        <v>0</v>
      </c>
      <c r="F318" s="276" t="s">
        <v>2756</v>
      </c>
    </row>
    <row r="319" spans="1:6" s="379" customFormat="1" ht="14.25">
      <c r="A319" s="418"/>
      <c r="B319" s="325"/>
      <c r="C319" s="325"/>
      <c r="D319" s="325" t="s">
        <v>1759</v>
      </c>
      <c r="E319" s="392">
        <f>IF(calcCh1Prod4Slot3Active=1,finCalcCh1Prod4Slot3VolSold*paramExciseProd4,0)</f>
        <v>0</v>
      </c>
      <c r="F319" s="276" t="s">
        <v>2757</v>
      </c>
    </row>
    <row r="320" spans="1:6" s="379" customFormat="1" ht="14.25">
      <c r="A320" s="418"/>
      <c r="B320" s="325"/>
      <c r="C320" s="325"/>
      <c r="D320" s="325" t="s">
        <v>694</v>
      </c>
      <c r="E320" s="392">
        <f>IF(calcCh1Prod4Slot3Active=1,finPNLCh1Prod4Slot3Turn-finPNLCh1Prod4Slot3Excise,0)</f>
        <v>0</v>
      </c>
      <c r="F320" s="276" t="s">
        <v>2758</v>
      </c>
    </row>
    <row r="321" spans="1:6" s="379" customFormat="1" ht="14.25">
      <c r="A321" s="418"/>
      <c r="B321" s="325"/>
      <c r="C321" s="325"/>
      <c r="D321" s="325" t="s">
        <v>1396</v>
      </c>
      <c r="E321" s="392">
        <f>IF(calcCh1Prod4Slot3Active=1,(calcCh1Prod4Slot3CustPrice-calcCh1Prod4Slot3AvgSalePrice)*finCalcCh1Prod4Slot3VolSold+calcCh1Prod4Slot3Promo1PlanExp+calcCh1Prod4Slot3Promo2PlanExp+calcCh1Prod4Slot3ValDrivExp,0)</f>
        <v>0</v>
      </c>
      <c r="F321" s="276" t="s">
        <v>2759</v>
      </c>
    </row>
    <row r="322" spans="1:6" s="227" customFormat="1" ht="2.1" customHeight="1">
      <c r="A322" s="418"/>
      <c r="B322" s="230"/>
      <c r="C322" s="209"/>
      <c r="D322" s="229"/>
      <c r="E322" s="229"/>
      <c r="F322" s="209"/>
    </row>
    <row r="323" spans="1:6" ht="14.25">
      <c r="A323" s="419"/>
      <c r="B323" s="209"/>
      <c r="C323" s="217" t="s">
        <v>1269</v>
      </c>
      <c r="D323" s="209"/>
      <c r="E323" s="233">
        <f>E320-E321</f>
        <v>0</v>
      </c>
      <c r="F323" s="276" t="s">
        <v>2313</v>
      </c>
    </row>
    <row r="324" spans="1:6" ht="14.25">
      <c r="A324" s="419"/>
      <c r="B324" s="209"/>
      <c r="C324" s="209"/>
      <c r="D324" s="209"/>
      <c r="E324" s="210"/>
      <c r="F324" s="209"/>
    </row>
    <row r="325" spans="1:6" ht="14.25">
      <c r="A325" s="419"/>
      <c r="B325" s="209"/>
      <c r="C325" s="217" t="s">
        <v>404</v>
      </c>
      <c r="D325" s="209"/>
      <c r="E325" s="210"/>
      <c r="F325" s="209"/>
    </row>
    <row r="326" spans="1:6" ht="14.25">
      <c r="A326" s="419"/>
      <c r="B326" s="209"/>
      <c r="C326" s="209"/>
      <c r="D326" s="209" t="s">
        <v>400</v>
      </c>
      <c r="E326" s="226">
        <f>IF(calcCh1Prod4Slot3Active=1,finCalcCh1Prod4Slot3MatExp,0)</f>
        <v>0</v>
      </c>
      <c r="F326" s="276" t="s">
        <v>2314</v>
      </c>
    </row>
    <row r="327" spans="1:6" ht="14.25">
      <c r="A327" s="419"/>
      <c r="B327" s="209"/>
      <c r="C327" s="209"/>
      <c r="D327" s="209" t="s">
        <v>399</v>
      </c>
      <c r="E327" s="226">
        <f>IF(calcCh1Prod4Slot3Active=1,finCalcCh1Prod4Slot3LabourExp,0)</f>
        <v>0</v>
      </c>
      <c r="F327" s="276" t="s">
        <v>2315</v>
      </c>
    </row>
    <row r="328" spans="1:6" ht="14.25">
      <c r="A328" s="419"/>
      <c r="B328" s="209"/>
      <c r="C328" s="209"/>
      <c r="D328" s="209" t="s">
        <v>513</v>
      </c>
      <c r="E328" s="226">
        <f>IF(calcCh1Prod4Slot3Active=1,finCalcCh1Prod4Slot3MachCost,0)</f>
        <v>0</v>
      </c>
      <c r="F328" s="276" t="s">
        <v>2316</v>
      </c>
    </row>
    <row r="329" spans="1:6" ht="14.25">
      <c r="A329" s="419"/>
      <c r="B329" s="209"/>
      <c r="C329" s="209"/>
      <c r="D329" s="209" t="s">
        <v>398</v>
      </c>
      <c r="E329" s="226">
        <f>IF(calcCh1Prod4Slot3Active=1,finCalcCh1Prod4Slot3DepExp,0)</f>
        <v>0</v>
      </c>
      <c r="F329" s="276" t="s">
        <v>2317</v>
      </c>
    </row>
    <row r="330" spans="1:6" s="227" customFormat="1" ht="2.1" customHeight="1">
      <c r="A330" s="418"/>
      <c r="B330" s="230"/>
      <c r="C330" s="209"/>
      <c r="D330" s="229"/>
      <c r="E330" s="229"/>
      <c r="F330" s="209"/>
    </row>
    <row r="331" spans="1:6" ht="14.25">
      <c r="A331" s="419"/>
      <c r="B331" s="209"/>
      <c r="C331" s="209"/>
      <c r="D331" s="209" t="s">
        <v>14</v>
      </c>
      <c r="E331" s="226">
        <f>SUM(E326:E330)</f>
        <v>0</v>
      </c>
      <c r="F331" s="276" t="s">
        <v>2318</v>
      </c>
    </row>
    <row r="332" spans="1:6" ht="14.25">
      <c r="A332" s="419"/>
      <c r="B332" s="209"/>
      <c r="C332" s="209"/>
      <c r="D332" s="209"/>
      <c r="E332" s="210"/>
      <c r="F332" s="209"/>
    </row>
    <row r="333" spans="1:6" ht="14.25">
      <c r="A333" s="419"/>
      <c r="B333" s="209"/>
      <c r="C333" s="217" t="s">
        <v>160</v>
      </c>
      <c r="D333" s="209"/>
      <c r="E333" s="210"/>
      <c r="F333" s="209"/>
    </row>
    <row r="334" spans="1:6" ht="14.25">
      <c r="A334" s="419"/>
      <c r="B334" s="209"/>
      <c r="C334" s="209"/>
      <c r="D334" s="209" t="s">
        <v>160</v>
      </c>
      <c r="E334" s="226">
        <f>IF(calcCh1Prod4Slot3Active=1,finPNLCh1Prod4Slot3TotalRev-finPNLCh1Prod4Slot3TotalCOGs,0)</f>
        <v>0</v>
      </c>
      <c r="F334" s="276" t="s">
        <v>2319</v>
      </c>
    </row>
    <row r="335" spans="1:6" ht="14.25">
      <c r="A335" s="419"/>
      <c r="B335" s="209"/>
      <c r="C335" s="217"/>
      <c r="D335" s="234" t="s">
        <v>162</v>
      </c>
      <c r="E335" s="687">
        <f>IF(finPNLCh1Prod4Slot3TotalRev=0,0,finPNLCh1Prod4Slot3GP/finPNLCh1Prod4Slot3TotalRev)</f>
        <v>0</v>
      </c>
      <c r="F335" s="276" t="s">
        <v>2320</v>
      </c>
    </row>
    <row r="336" spans="1:6" ht="14.25">
      <c r="A336" s="419"/>
      <c r="B336" s="209"/>
      <c r="C336" s="217"/>
      <c r="D336" s="234"/>
      <c r="E336" s="449"/>
      <c r="F336" s="209"/>
    </row>
    <row r="337" spans="1:6" ht="14.25">
      <c r="A337" s="419"/>
      <c r="B337" s="209"/>
      <c r="C337" s="217" t="s">
        <v>519</v>
      </c>
      <c r="D337" s="234"/>
      <c r="E337" s="449"/>
      <c r="F337" s="209"/>
    </row>
    <row r="338" spans="1:6" ht="14.25">
      <c r="A338" s="419"/>
      <c r="B338" s="209"/>
      <c r="C338" s="217"/>
      <c r="D338" s="209" t="s">
        <v>519</v>
      </c>
      <c r="E338" s="226">
        <f>IF(calcCh1Prod4Slot3Active=1,finCalcCh1Prod4Slot3LogisticsCost,0)</f>
        <v>0</v>
      </c>
      <c r="F338" s="208" t="s">
        <v>2321</v>
      </c>
    </row>
    <row r="339" spans="1:6" ht="14.25">
      <c r="A339" s="419"/>
      <c r="B339" s="209"/>
      <c r="C339" s="217"/>
      <c r="D339" s="234"/>
      <c r="E339" s="449"/>
      <c r="F339" s="209"/>
    </row>
    <row r="340" spans="1:6" ht="14.25">
      <c r="A340" s="419"/>
      <c r="B340" s="209"/>
      <c r="C340" s="217" t="s">
        <v>520</v>
      </c>
      <c r="D340" s="209"/>
      <c r="E340" s="210"/>
      <c r="F340" s="209"/>
    </row>
    <row r="341" spans="1:6" ht="14.25">
      <c r="A341" s="419"/>
      <c r="B341" s="209"/>
      <c r="C341" s="209"/>
      <c r="D341" s="209" t="s">
        <v>521</v>
      </c>
      <c r="E341" s="226">
        <f>finPNLCh1Prod4Slot3GP-finPNLCh1Prod4Slot3LogExp</f>
        <v>0</v>
      </c>
      <c r="F341" s="276" t="s">
        <v>2322</v>
      </c>
    </row>
    <row r="342" spans="1:6" ht="14.25">
      <c r="A342" s="419"/>
      <c r="B342" s="209"/>
      <c r="C342" s="217"/>
      <c r="D342" s="234" t="s">
        <v>522</v>
      </c>
      <c r="E342" s="687">
        <f>IF(finPNLCh1Prod4Slot3TotalRev=0,0,finPNLCh1Prod4Slot3GPaL/finPNLCh1Prod4Slot3TotalRev)</f>
        <v>0</v>
      </c>
      <c r="F342" s="276" t="s">
        <v>2323</v>
      </c>
    </row>
    <row r="343" spans="1:6" s="398" customFormat="1" ht="18">
      <c r="A343" s="421" t="s">
        <v>245</v>
      </c>
      <c r="B343" s="421"/>
      <c r="C343" s="422"/>
      <c r="D343" s="423"/>
      <c r="E343" s="424"/>
      <c r="F343" s="421"/>
    </row>
    <row r="344" spans="1:6" s="322" customFormat="1" ht="14.25">
      <c r="A344" s="414"/>
      <c r="B344" s="414" t="s">
        <v>12868</v>
      </c>
      <c r="C344" s="221"/>
      <c r="D344" s="221"/>
      <c r="E344" s="324"/>
    </row>
    <row r="345" spans="1:6" s="322" customFormat="1" ht="14.25">
      <c r="A345" s="214"/>
      <c r="B345" s="323"/>
      <c r="C345" s="325" t="s">
        <v>379</v>
      </c>
      <c r="D345" s="323"/>
      <c r="E345" s="324"/>
    </row>
    <row r="346" spans="1:6" s="322" customFormat="1" ht="14.25">
      <c r="A346" s="214"/>
      <c r="B346" s="323"/>
      <c r="C346" s="325"/>
      <c r="D346" s="323"/>
      <c r="E346" s="324"/>
    </row>
    <row r="347" spans="1:6" s="379" customFormat="1" ht="14.25">
      <c r="A347" s="413"/>
      <c r="B347" s="325"/>
      <c r="C347" s="325"/>
      <c r="D347" s="325" t="s">
        <v>1394</v>
      </c>
      <c r="E347" s="392">
        <f>IF(calcCh2Prod1Slot1Active=1,calcCh2Prod1Slot1CustPrice*finCalcCh2Prod1Slot1VolSold,0)</f>
        <v>166348404</v>
      </c>
      <c r="F347" s="276" t="s">
        <v>2776</v>
      </c>
    </row>
    <row r="348" spans="1:6" s="379" customFormat="1" ht="14.25">
      <c r="A348" s="413"/>
      <c r="B348" s="325"/>
      <c r="C348" s="325"/>
      <c r="D348" s="325" t="s">
        <v>1759</v>
      </c>
      <c r="E348" s="392">
        <f>IF(calcCh2Prod1Slot1Active=1,finCalcCh2Prod1Slot1VolSold*paramExciseProd1,0)</f>
        <v>51589062.000000007</v>
      </c>
      <c r="F348" s="276" t="s">
        <v>2777</v>
      </c>
    </row>
    <row r="349" spans="1:6" s="379" customFormat="1" ht="14.25">
      <c r="A349" s="413"/>
      <c r="B349" s="325"/>
      <c r="C349" s="325"/>
      <c r="D349" s="325" t="s">
        <v>694</v>
      </c>
      <c r="E349" s="392">
        <f>IF(calcCh2Prod1Slot1Active=1,finPNLCh2Prod1Slot1Turn-finPNLCh2Prod1Slot1Excise,0)</f>
        <v>114759342</v>
      </c>
      <c r="F349" s="276" t="s">
        <v>2778</v>
      </c>
    </row>
    <row r="350" spans="1:6" s="379" customFormat="1" ht="14.25">
      <c r="A350" s="413"/>
      <c r="B350" s="325"/>
      <c r="C350" s="325"/>
      <c r="D350" s="325" t="s">
        <v>1396</v>
      </c>
      <c r="E350" s="392">
        <f>IF(calcCh2Prod1Slot1Active=1,(calcCh2Prod1Slot1CustPrice-calcCh2Prod1Slot1AvgSalePrice)*finCalcCh2Prod1Slot1VolSold+calcCh2Prod1Slot1ValDrivExp,0)</f>
        <v>136340.89392928622</v>
      </c>
      <c r="F350" s="276" t="s">
        <v>2779</v>
      </c>
    </row>
    <row r="351" spans="1:6" s="227" customFormat="1" ht="2.1" customHeight="1">
      <c r="A351" s="413"/>
      <c r="B351" s="230"/>
      <c r="C351" s="209"/>
      <c r="D351" s="229"/>
      <c r="E351" s="229"/>
      <c r="F351" s="209"/>
    </row>
    <row r="352" spans="1:6" ht="14.25">
      <c r="A352" s="420"/>
      <c r="B352" s="209"/>
      <c r="C352" s="217" t="s">
        <v>1269</v>
      </c>
      <c r="D352" s="209"/>
      <c r="E352" s="233">
        <f>E349-E350</f>
        <v>114623001.10607071</v>
      </c>
      <c r="F352" s="276" t="s">
        <v>2324</v>
      </c>
    </row>
    <row r="353" spans="1:6" ht="14.25">
      <c r="A353" s="420"/>
      <c r="B353" s="209"/>
      <c r="C353" s="209"/>
      <c r="D353" s="209"/>
      <c r="E353" s="210"/>
      <c r="F353" s="209"/>
    </row>
    <row r="354" spans="1:6" ht="14.25">
      <c r="A354" s="420"/>
      <c r="B354" s="209"/>
      <c r="C354" s="217" t="s">
        <v>404</v>
      </c>
      <c r="D354" s="209"/>
      <c r="E354" s="210"/>
      <c r="F354" s="209"/>
    </row>
    <row r="355" spans="1:6" ht="14.25">
      <c r="A355" s="420"/>
      <c r="B355" s="209"/>
      <c r="C355" s="209"/>
      <c r="D355" s="209" t="s">
        <v>400</v>
      </c>
      <c r="E355" s="226">
        <f>IF(calcCh2Prod1Slot1Active=1,finCalcCh2Prod1Slot1MatExp,0)</f>
        <v>32027256.155664008</v>
      </c>
      <c r="F355" s="276" t="s">
        <v>2325</v>
      </c>
    </row>
    <row r="356" spans="1:6" ht="14.25">
      <c r="A356" s="420"/>
      <c r="B356" s="209"/>
      <c r="C356" s="209"/>
      <c r="D356" s="209" t="s">
        <v>399</v>
      </c>
      <c r="E356" s="226">
        <f>IF(calcCh2Prod1Slot1Active=1,finCalcCh2Prod1Slot1LabourExp,0)</f>
        <v>4709890.6111270599</v>
      </c>
      <c r="F356" s="276" t="s">
        <v>2326</v>
      </c>
    </row>
    <row r="357" spans="1:6" ht="14.25">
      <c r="A357" s="420"/>
      <c r="B357" s="209"/>
      <c r="C357" s="209"/>
      <c r="D357" s="209" t="s">
        <v>513</v>
      </c>
      <c r="E357" s="226">
        <f>IF(calcCh2Prod1Slot1Active=1,finCalcCh2Prod1Slot1MachCost,0)</f>
        <v>6590428.9718400007</v>
      </c>
      <c r="F357" s="276" t="s">
        <v>2327</v>
      </c>
    </row>
    <row r="358" spans="1:6" ht="14.25">
      <c r="A358" s="420"/>
      <c r="B358" s="209"/>
      <c r="C358" s="209"/>
      <c r="D358" s="209" t="s">
        <v>398</v>
      </c>
      <c r="E358" s="226">
        <f>IF(calcCh2Prod1Slot1Active=1,finCalcCh2Prod1Slot1DepExp,0)</f>
        <v>2933140.0364369922</v>
      </c>
      <c r="F358" s="276" t="s">
        <v>2328</v>
      </c>
    </row>
    <row r="359" spans="1:6" s="227" customFormat="1" ht="2.1" customHeight="1">
      <c r="A359" s="413"/>
      <c r="B359" s="230"/>
      <c r="C359" s="209"/>
      <c r="D359" s="229"/>
      <c r="E359" s="229"/>
      <c r="F359" s="209"/>
    </row>
    <row r="360" spans="1:6" ht="14.25">
      <c r="A360" s="420"/>
      <c r="B360" s="209"/>
      <c r="C360" s="209"/>
      <c r="D360" s="209" t="s">
        <v>14</v>
      </c>
      <c r="E360" s="226">
        <f>SUM(E355:E359)</f>
        <v>46260715.77506806</v>
      </c>
      <c r="F360" s="276" t="s">
        <v>2329</v>
      </c>
    </row>
    <row r="361" spans="1:6" ht="14.25">
      <c r="A361" s="420"/>
      <c r="B361" s="209"/>
      <c r="C361" s="209"/>
      <c r="D361" s="209"/>
      <c r="E361" s="210"/>
      <c r="F361" s="209"/>
    </row>
    <row r="362" spans="1:6" ht="14.25">
      <c r="A362" s="420"/>
      <c r="B362" s="209"/>
      <c r="C362" s="217" t="s">
        <v>160</v>
      </c>
      <c r="D362" s="209"/>
      <c r="E362" s="210"/>
      <c r="F362" s="209"/>
    </row>
    <row r="363" spans="1:6" ht="14.25">
      <c r="A363" s="420"/>
      <c r="B363" s="209"/>
      <c r="C363" s="209"/>
      <c r="D363" s="209" t="s">
        <v>160</v>
      </c>
      <c r="E363" s="226">
        <f>IF(calcCh2Prod1Slot1Active=1,finPNLCh2Prod1Slot1TotalRev-finPNLCh2Prod1Slot1TotalCOGs,0)</f>
        <v>68362285.331002653</v>
      </c>
      <c r="F363" s="276" t="s">
        <v>2330</v>
      </c>
    </row>
    <row r="364" spans="1:6" ht="14.25">
      <c r="A364" s="420"/>
      <c r="B364" s="209"/>
      <c r="C364" s="217"/>
      <c r="D364" s="234" t="s">
        <v>162</v>
      </c>
      <c r="E364" s="687">
        <f>IF(finPNLCh2Prod1Slot1TotalRev=0,0,finPNLCh2Prod1Slot1GP/finPNLCh2Prod1Slot1TotalRev)</f>
        <v>0.59640983634463585</v>
      </c>
      <c r="F364" s="276" t="s">
        <v>2331</v>
      </c>
    </row>
    <row r="365" spans="1:6" ht="14.25">
      <c r="A365" s="420"/>
      <c r="B365" s="209"/>
      <c r="C365" s="217"/>
      <c r="D365" s="234"/>
      <c r="E365" s="449"/>
      <c r="F365" s="209"/>
    </row>
    <row r="366" spans="1:6" ht="14.25">
      <c r="A366" s="420"/>
      <c r="B366" s="209"/>
      <c r="C366" s="217" t="s">
        <v>519</v>
      </c>
      <c r="D366" s="234"/>
      <c r="E366" s="449"/>
      <c r="F366" s="209"/>
    </row>
    <row r="367" spans="1:6" ht="14.25">
      <c r="A367" s="420"/>
      <c r="B367" s="209"/>
      <c r="C367" s="217"/>
      <c r="D367" s="209" t="s">
        <v>519</v>
      </c>
      <c r="E367" s="226">
        <f>IF(calcCh2Prod1Slot1Active=1,finCalcCh2Prod1Slot1LogisticsCost,0)</f>
        <v>5441953.3844210533</v>
      </c>
      <c r="F367" s="208" t="s">
        <v>2332</v>
      </c>
    </row>
    <row r="368" spans="1:6" ht="14.25">
      <c r="A368" s="420"/>
      <c r="B368" s="209"/>
      <c r="C368" s="217"/>
      <c r="D368" s="234"/>
      <c r="E368" s="449"/>
      <c r="F368" s="209"/>
    </row>
    <row r="369" spans="1:6" ht="14.25">
      <c r="A369" s="420"/>
      <c r="B369" s="209"/>
      <c r="C369" s="217" t="s">
        <v>520</v>
      </c>
      <c r="D369" s="209"/>
      <c r="E369" s="210"/>
      <c r="F369" s="209"/>
    </row>
    <row r="370" spans="1:6" ht="14.25">
      <c r="A370" s="420"/>
      <c r="B370" s="209"/>
      <c r="C370" s="209"/>
      <c r="D370" s="209" t="s">
        <v>521</v>
      </c>
      <c r="E370" s="226">
        <f>finPNLCh2Prod1Slot1GP-finPNLCh2Prod1Slot1LogExp</f>
        <v>62920331.946581602</v>
      </c>
      <c r="F370" s="276" t="s">
        <v>2333</v>
      </c>
    </row>
    <row r="371" spans="1:6" ht="14.25">
      <c r="A371" s="420"/>
      <c r="B371" s="425"/>
      <c r="C371" s="426"/>
      <c r="D371" s="427" t="s">
        <v>522</v>
      </c>
      <c r="E371" s="687">
        <f>IF(finPNLCh2Prod1Slot1TotalRev=0,0,finPNLCh2Prod1Slot1GPaL/finPNLCh2Prod1Slot1TotalRev)</f>
        <v>0.54893286111359008</v>
      </c>
      <c r="F371" s="428" t="s">
        <v>2334</v>
      </c>
    </row>
    <row r="372" spans="1:6" s="398" customFormat="1" ht="14.25">
      <c r="A372" s="420"/>
      <c r="B372" s="335"/>
      <c r="C372" s="395"/>
      <c r="D372" s="396"/>
      <c r="E372" s="688"/>
      <c r="F372" s="336"/>
    </row>
    <row r="373" spans="1:6" s="322" customFormat="1" ht="14.25">
      <c r="A373" s="214"/>
      <c r="B373" s="323"/>
      <c r="C373" s="325" t="s">
        <v>394</v>
      </c>
      <c r="D373" s="323"/>
      <c r="E373" s="323"/>
    </row>
    <row r="374" spans="1:6" s="322" customFormat="1" ht="14.25">
      <c r="A374" s="214"/>
      <c r="B374" s="323"/>
      <c r="C374" s="325"/>
      <c r="D374" s="323"/>
      <c r="E374" s="323"/>
    </row>
    <row r="375" spans="1:6" s="379" customFormat="1" ht="14.25">
      <c r="A375" s="413"/>
      <c r="B375" s="325"/>
      <c r="C375" s="325"/>
      <c r="D375" s="325" t="s">
        <v>1394</v>
      </c>
      <c r="E375" s="392">
        <f>IF(calcCh2Prod1Slot2Active=1,calcCh2Prod1Slot2CustPrice*finCalcCh2Prod1Slot2VolSold,0)</f>
        <v>0</v>
      </c>
      <c r="F375" s="276" t="s">
        <v>2780</v>
      </c>
    </row>
    <row r="376" spans="1:6" s="379" customFormat="1" ht="14.25">
      <c r="A376" s="413"/>
      <c r="B376" s="325"/>
      <c r="C376" s="325"/>
      <c r="D376" s="325" t="s">
        <v>1759</v>
      </c>
      <c r="E376" s="392">
        <f>IF(calcCh2Prod1Slot2Active=1,finCalcCh2Prod1Slot2VolSold*paramExciseProd1,0)</f>
        <v>0</v>
      </c>
      <c r="F376" s="276" t="s">
        <v>2781</v>
      </c>
    </row>
    <row r="377" spans="1:6" s="379" customFormat="1" ht="14.25">
      <c r="A377" s="413"/>
      <c r="B377" s="325"/>
      <c r="C377" s="325"/>
      <c r="D377" s="325" t="s">
        <v>694</v>
      </c>
      <c r="E377" s="392">
        <f>IF(calcCh2Prod1Slot2Active=1,finPNLCh2Prod1Slot2Turn-finPNLCh2Prod1Slot2Excise,0)</f>
        <v>0</v>
      </c>
      <c r="F377" s="276" t="s">
        <v>2782</v>
      </c>
    </row>
    <row r="378" spans="1:6" s="379" customFormat="1" ht="14.25">
      <c r="A378" s="413"/>
      <c r="B378" s="325"/>
      <c r="C378" s="325"/>
      <c r="D378" s="325" t="s">
        <v>1396</v>
      </c>
      <c r="E378" s="392">
        <f>IF(calcCh2Prod1Slot2Active=1,(calcCh2Prod1Slot2CustPrice-calcCh2Prod1Slot2AvgSalePrice)*finCalcCh2Prod1Slot2VolSold+calcCh2Prod1Slot2ValDrivExp,0)</f>
        <v>0</v>
      </c>
      <c r="F378" s="276" t="s">
        <v>2783</v>
      </c>
    </row>
    <row r="379" spans="1:6" s="227" customFormat="1" ht="2.1" customHeight="1">
      <c r="A379" s="413"/>
      <c r="B379" s="230"/>
      <c r="C379" s="209"/>
      <c r="D379" s="229"/>
      <c r="E379" s="229"/>
      <c r="F379" s="209"/>
    </row>
    <row r="380" spans="1:6" ht="14.25">
      <c r="A380" s="420"/>
      <c r="B380" s="209"/>
      <c r="C380" s="217" t="s">
        <v>1269</v>
      </c>
      <c r="D380" s="209"/>
      <c r="E380" s="233">
        <f>E377-E378</f>
        <v>0</v>
      </c>
      <c r="F380" s="276" t="s">
        <v>2335</v>
      </c>
    </row>
    <row r="381" spans="1:6" ht="14.25">
      <c r="A381" s="420"/>
      <c r="B381" s="209"/>
      <c r="C381" s="209"/>
      <c r="D381" s="209"/>
      <c r="E381" s="210"/>
      <c r="F381" s="209"/>
    </row>
    <row r="382" spans="1:6" ht="14.25">
      <c r="A382" s="420"/>
      <c r="B382" s="209"/>
      <c r="C382" s="217" t="s">
        <v>404</v>
      </c>
      <c r="D382" s="209"/>
      <c r="E382" s="210"/>
      <c r="F382" s="209"/>
    </row>
    <row r="383" spans="1:6" ht="14.25">
      <c r="A383" s="420"/>
      <c r="B383" s="209"/>
      <c r="C383" s="209"/>
      <c r="D383" s="209" t="s">
        <v>400</v>
      </c>
      <c r="E383" s="226">
        <f>IF(calcCh2Prod1Slot2Active=1,finCalcCh2Prod1Slot2MatExp,0)</f>
        <v>0</v>
      </c>
      <c r="F383" s="276" t="s">
        <v>2336</v>
      </c>
    </row>
    <row r="384" spans="1:6" ht="14.25">
      <c r="A384" s="420"/>
      <c r="B384" s="209"/>
      <c r="C384" s="209"/>
      <c r="D384" s="209" t="s">
        <v>399</v>
      </c>
      <c r="E384" s="226">
        <f>IF(calcCh2Prod1Slot2Active=1,finCalcCh2Prod1Slot2LabourExp,0)</f>
        <v>0</v>
      </c>
      <c r="F384" s="276" t="s">
        <v>2337</v>
      </c>
    </row>
    <row r="385" spans="1:6" ht="14.25">
      <c r="A385" s="420"/>
      <c r="B385" s="209"/>
      <c r="C385" s="209"/>
      <c r="D385" s="209" t="s">
        <v>513</v>
      </c>
      <c r="E385" s="226">
        <f>IF(calcCh2Prod1Slot2Active=1,finCalcCh2Prod1Slot2MachCost,0)</f>
        <v>0</v>
      </c>
      <c r="F385" s="276" t="s">
        <v>2338</v>
      </c>
    </row>
    <row r="386" spans="1:6" ht="14.25">
      <c r="A386" s="420"/>
      <c r="B386" s="209"/>
      <c r="C386" s="209"/>
      <c r="D386" s="209" t="s">
        <v>398</v>
      </c>
      <c r="E386" s="226">
        <f>IF(calcCh2Prod1Slot2Active=1,finCalcCh2Prod1Slot2DepExp,0)</f>
        <v>0</v>
      </c>
      <c r="F386" s="276" t="s">
        <v>2339</v>
      </c>
    </row>
    <row r="387" spans="1:6" s="227" customFormat="1" ht="2.1" customHeight="1">
      <c r="A387" s="413"/>
      <c r="B387" s="230"/>
      <c r="C387" s="209"/>
      <c r="D387" s="229"/>
      <c r="E387" s="229"/>
      <c r="F387" s="209"/>
    </row>
    <row r="388" spans="1:6" ht="14.25">
      <c r="A388" s="420"/>
      <c r="B388" s="209"/>
      <c r="C388" s="209"/>
      <c r="D388" s="209" t="s">
        <v>14</v>
      </c>
      <c r="E388" s="226">
        <f>SUM(E383:E387)</f>
        <v>0</v>
      </c>
      <c r="F388" s="276" t="s">
        <v>2340</v>
      </c>
    </row>
    <row r="389" spans="1:6" ht="14.25">
      <c r="A389" s="420"/>
      <c r="B389" s="209"/>
      <c r="C389" s="209"/>
      <c r="D389" s="209"/>
      <c r="E389" s="210"/>
      <c r="F389" s="209"/>
    </row>
    <row r="390" spans="1:6" ht="14.25">
      <c r="A390" s="420"/>
      <c r="B390" s="209"/>
      <c r="C390" s="217" t="s">
        <v>160</v>
      </c>
      <c r="D390" s="209"/>
      <c r="E390" s="210"/>
      <c r="F390" s="209"/>
    </row>
    <row r="391" spans="1:6" ht="14.25">
      <c r="A391" s="420"/>
      <c r="B391" s="209"/>
      <c r="C391" s="209"/>
      <c r="D391" s="209" t="s">
        <v>160</v>
      </c>
      <c r="E391" s="226">
        <f>IF(calcCh2Prod1Slot2Active=1,finPNLCh2Prod1Slot2TotalRev-finPNLCh2Prod1Slot2TotalCOGs,0)</f>
        <v>0</v>
      </c>
      <c r="F391" s="276" t="s">
        <v>2341</v>
      </c>
    </row>
    <row r="392" spans="1:6" ht="14.25">
      <c r="A392" s="420"/>
      <c r="B392" s="209"/>
      <c r="C392" s="217"/>
      <c r="D392" s="234" t="s">
        <v>162</v>
      </c>
      <c r="E392" s="687">
        <f>IF(finPNLCh2Prod1Slot2TotalRev=0,0,finPNLCh2Prod1Slot2GP/finPNLCh2Prod1Slot2TotalRev)</f>
        <v>0</v>
      </c>
      <c r="F392" s="276" t="s">
        <v>2342</v>
      </c>
    </row>
    <row r="393" spans="1:6" ht="14.25">
      <c r="A393" s="420"/>
      <c r="B393" s="209"/>
      <c r="C393" s="217"/>
      <c r="D393" s="234"/>
      <c r="E393" s="449"/>
      <c r="F393" s="209"/>
    </row>
    <row r="394" spans="1:6" ht="14.25">
      <c r="A394" s="420"/>
      <c r="B394" s="209"/>
      <c r="C394" s="217" t="s">
        <v>519</v>
      </c>
      <c r="D394" s="234"/>
      <c r="E394" s="449"/>
      <c r="F394" s="209"/>
    </row>
    <row r="395" spans="1:6" ht="14.25">
      <c r="A395" s="420"/>
      <c r="B395" s="209"/>
      <c r="C395" s="217"/>
      <c r="D395" s="209" t="s">
        <v>519</v>
      </c>
      <c r="E395" s="226">
        <f>IF(calcCh2Prod1Slot2Active=1,finCalcCh2Prod1Slot2LogisticsCost,0)</f>
        <v>0</v>
      </c>
      <c r="F395" s="208" t="s">
        <v>2343</v>
      </c>
    </row>
    <row r="396" spans="1:6" ht="14.25">
      <c r="A396" s="420"/>
      <c r="B396" s="209"/>
      <c r="C396" s="217"/>
      <c r="D396" s="234"/>
      <c r="E396" s="449"/>
      <c r="F396" s="209"/>
    </row>
    <row r="397" spans="1:6" ht="14.25">
      <c r="A397" s="420"/>
      <c r="B397" s="209"/>
      <c r="C397" s="217" t="s">
        <v>520</v>
      </c>
      <c r="D397" s="209"/>
      <c r="E397" s="210"/>
      <c r="F397" s="209"/>
    </row>
    <row r="398" spans="1:6" ht="14.25">
      <c r="A398" s="420"/>
      <c r="B398" s="209"/>
      <c r="C398" s="209"/>
      <c r="D398" s="209" t="s">
        <v>521</v>
      </c>
      <c r="E398" s="226">
        <f>finPNLCh2Prod1Slot2GP-finPNLCh2Prod1Slot2LogExp</f>
        <v>0</v>
      </c>
      <c r="F398" s="276" t="s">
        <v>2344</v>
      </c>
    </row>
    <row r="399" spans="1:6" ht="14.25">
      <c r="A399" s="420"/>
      <c r="B399" s="425"/>
      <c r="C399" s="426"/>
      <c r="D399" s="427" t="s">
        <v>522</v>
      </c>
      <c r="E399" s="687">
        <f>IF(finPNLCh2Prod1Slot2TotalRev=0,0,finPNLCh2Prod1Slot2GPaL/finPNLCh2Prod1Slot2TotalRev)</f>
        <v>0</v>
      </c>
      <c r="F399" s="428" t="s">
        <v>2345</v>
      </c>
    </row>
    <row r="400" spans="1:6" s="398" customFormat="1" ht="14.25">
      <c r="A400" s="420"/>
      <c r="B400" s="335"/>
      <c r="C400" s="395"/>
      <c r="D400" s="396"/>
      <c r="E400" s="688"/>
      <c r="F400" s="336"/>
    </row>
    <row r="401" spans="1:6" s="322" customFormat="1" ht="14.25">
      <c r="A401" s="214"/>
      <c r="B401" s="323"/>
      <c r="C401" s="325" t="s">
        <v>395</v>
      </c>
      <c r="D401" s="323"/>
      <c r="E401" s="323"/>
    </row>
    <row r="402" spans="1:6" s="322" customFormat="1" ht="14.25">
      <c r="A402" s="214"/>
      <c r="B402" s="323"/>
      <c r="C402" s="325"/>
      <c r="D402" s="323"/>
      <c r="E402" s="323"/>
    </row>
    <row r="403" spans="1:6" s="379" customFormat="1" ht="14.25">
      <c r="A403" s="413"/>
      <c r="B403" s="325"/>
      <c r="C403" s="325"/>
      <c r="D403" s="325" t="s">
        <v>1394</v>
      </c>
      <c r="E403" s="392">
        <f>IF(calcCh2Prod1Slot3Active=1,calcCh2Prod1Slot3CustPrice*finCalcCh2Prod1Slot3VolSold,0)</f>
        <v>0</v>
      </c>
      <c r="F403" s="276" t="s">
        <v>2772</v>
      </c>
    </row>
    <row r="404" spans="1:6" s="379" customFormat="1" ht="14.25">
      <c r="A404" s="413"/>
      <c r="B404" s="325"/>
      <c r="C404" s="325"/>
      <c r="D404" s="325" t="s">
        <v>1759</v>
      </c>
      <c r="E404" s="392">
        <f>IF(calcCh2Prod1Slot3Active=1,finCalcCh2Prod1Slot3VolSold*paramExciseProd1,0)</f>
        <v>0</v>
      </c>
      <c r="F404" s="276" t="s">
        <v>2773</v>
      </c>
    </row>
    <row r="405" spans="1:6" s="379" customFormat="1" ht="14.25">
      <c r="A405" s="413"/>
      <c r="B405" s="325"/>
      <c r="C405" s="325"/>
      <c r="D405" s="325" t="s">
        <v>694</v>
      </c>
      <c r="E405" s="392">
        <f>IF(calcCh2Prod1Slot3Active=1,finPNLCh2Prod1Slot3Turn-finPNLCh2Prod1Slot3Excise,0)</f>
        <v>0</v>
      </c>
      <c r="F405" s="276" t="s">
        <v>2774</v>
      </c>
    </row>
    <row r="406" spans="1:6" s="379" customFormat="1" ht="14.25">
      <c r="A406" s="413"/>
      <c r="B406" s="325"/>
      <c r="C406" s="325"/>
      <c r="D406" s="325" t="s">
        <v>1396</v>
      </c>
      <c r="E406" s="392">
        <f>IF(calcCh2Prod1Slot3Active=1,(calcCh2Prod1Slot3CustPrice-calcCh2Prod1Slot3AvgSalePrice)*finCalcCh2Prod1Slot3VolSold+calcCh2Prod1Slot3ValDrivExp,0)</f>
        <v>0</v>
      </c>
      <c r="F406" s="276" t="s">
        <v>2775</v>
      </c>
    </row>
    <row r="407" spans="1:6" s="227" customFormat="1" ht="2.1" customHeight="1">
      <c r="A407" s="413"/>
      <c r="B407" s="230"/>
      <c r="C407" s="209"/>
      <c r="D407" s="229"/>
      <c r="E407" s="229"/>
      <c r="F407" s="209"/>
    </row>
    <row r="408" spans="1:6" ht="14.25">
      <c r="A408" s="420"/>
      <c r="B408" s="209"/>
      <c r="C408" s="217" t="s">
        <v>1269</v>
      </c>
      <c r="D408" s="209"/>
      <c r="E408" s="233">
        <f>E405-E406</f>
        <v>0</v>
      </c>
      <c r="F408" s="276" t="s">
        <v>2346</v>
      </c>
    </row>
    <row r="409" spans="1:6" ht="14.25">
      <c r="A409" s="420"/>
      <c r="B409" s="209"/>
      <c r="C409" s="209"/>
      <c r="D409" s="209"/>
      <c r="E409" s="210"/>
      <c r="F409" s="209"/>
    </row>
    <row r="410" spans="1:6" ht="14.25">
      <c r="A410" s="420"/>
      <c r="B410" s="209"/>
      <c r="C410" s="217" t="s">
        <v>404</v>
      </c>
      <c r="D410" s="209"/>
      <c r="E410" s="210"/>
      <c r="F410" s="209"/>
    </row>
    <row r="411" spans="1:6" ht="14.25">
      <c r="A411" s="420"/>
      <c r="B411" s="209"/>
      <c r="C411" s="209"/>
      <c r="D411" s="209" t="s">
        <v>400</v>
      </c>
      <c r="E411" s="226">
        <f>IF(calcCh2Prod1Slot3Active=1,finCalcCh2Prod1Slot3MatExp,0)</f>
        <v>0</v>
      </c>
      <c r="F411" s="276" t="s">
        <v>2347</v>
      </c>
    </row>
    <row r="412" spans="1:6" ht="14.25">
      <c r="A412" s="420"/>
      <c r="B412" s="209"/>
      <c r="C412" s="209"/>
      <c r="D412" s="209" t="s">
        <v>399</v>
      </c>
      <c r="E412" s="226">
        <f>IF(calcCh2Prod1Slot3Active=1,finCalcCh2Prod1Slot3LabourExp,0)</f>
        <v>0</v>
      </c>
      <c r="F412" s="276" t="s">
        <v>2348</v>
      </c>
    </row>
    <row r="413" spans="1:6" ht="14.25">
      <c r="A413" s="420"/>
      <c r="B413" s="209"/>
      <c r="C413" s="209"/>
      <c r="D413" s="209" t="s">
        <v>513</v>
      </c>
      <c r="E413" s="226">
        <f>IF(calcCh2Prod1Slot3Active=1,finCalcCh2Prod1Slot3MachCost,0)</f>
        <v>0</v>
      </c>
      <c r="F413" s="276" t="s">
        <v>2349</v>
      </c>
    </row>
    <row r="414" spans="1:6" ht="14.25">
      <c r="A414" s="420"/>
      <c r="B414" s="209"/>
      <c r="C414" s="209"/>
      <c r="D414" s="209" t="s">
        <v>398</v>
      </c>
      <c r="E414" s="226">
        <f>IF(calcCh2Prod1Slot3Active=1,finCalcCh2Prod1Slot3DepExp,0)</f>
        <v>0</v>
      </c>
      <c r="F414" s="276" t="s">
        <v>2350</v>
      </c>
    </row>
    <row r="415" spans="1:6" s="227" customFormat="1" ht="2.1" customHeight="1">
      <c r="A415" s="413"/>
      <c r="B415" s="230"/>
      <c r="C415" s="209"/>
      <c r="D415" s="229"/>
      <c r="E415" s="229"/>
      <c r="F415" s="209"/>
    </row>
    <row r="416" spans="1:6" ht="14.25">
      <c r="A416" s="420"/>
      <c r="B416" s="209"/>
      <c r="C416" s="209"/>
      <c r="D416" s="209" t="s">
        <v>14</v>
      </c>
      <c r="E416" s="226">
        <f>SUM(E411:E415)</f>
        <v>0</v>
      </c>
      <c r="F416" s="276" t="s">
        <v>2351</v>
      </c>
    </row>
    <row r="417" spans="1:6" ht="14.25">
      <c r="A417" s="420"/>
      <c r="B417" s="209"/>
      <c r="C417" s="209"/>
      <c r="D417" s="209"/>
      <c r="E417" s="210"/>
      <c r="F417" s="209"/>
    </row>
    <row r="418" spans="1:6" ht="14.25">
      <c r="A418" s="420"/>
      <c r="B418" s="209"/>
      <c r="C418" s="217" t="s">
        <v>160</v>
      </c>
      <c r="D418" s="209"/>
      <c r="E418" s="210"/>
      <c r="F418" s="209"/>
    </row>
    <row r="419" spans="1:6" ht="14.25">
      <c r="A419" s="420"/>
      <c r="B419" s="209"/>
      <c r="C419" s="209"/>
      <c r="D419" s="209" t="s">
        <v>160</v>
      </c>
      <c r="E419" s="226">
        <f>IF(calcCh2Prod1Slot3Active=1,finPNLCh2Prod1Slot3TotalRev-finPNLCh2Prod1Slot3TotalCOGs,0)</f>
        <v>0</v>
      </c>
      <c r="F419" s="276" t="s">
        <v>2352</v>
      </c>
    </row>
    <row r="420" spans="1:6" ht="14.25">
      <c r="A420" s="420"/>
      <c r="B420" s="209"/>
      <c r="C420" s="217"/>
      <c r="D420" s="234" t="s">
        <v>162</v>
      </c>
      <c r="E420" s="687">
        <f>IF(finPNLCh2Prod1Slot3TotalRev=0,0,finPNLCh2Prod1Slot3GP/finPNLCh2Prod1Slot3TotalRev)</f>
        <v>0</v>
      </c>
      <c r="F420" s="276" t="s">
        <v>2353</v>
      </c>
    </row>
    <row r="421" spans="1:6" ht="14.25">
      <c r="A421" s="420"/>
      <c r="B421" s="209"/>
      <c r="C421" s="217"/>
      <c r="D421" s="234"/>
      <c r="E421" s="449"/>
      <c r="F421" s="209"/>
    </row>
    <row r="422" spans="1:6" ht="14.25">
      <c r="A422" s="420"/>
      <c r="B422" s="209"/>
      <c r="C422" s="217" t="s">
        <v>519</v>
      </c>
      <c r="D422" s="234"/>
      <c r="E422" s="449"/>
      <c r="F422" s="209"/>
    </row>
    <row r="423" spans="1:6" ht="14.25">
      <c r="A423" s="420"/>
      <c r="B423" s="209"/>
      <c r="C423" s="217"/>
      <c r="D423" s="209" t="s">
        <v>519</v>
      </c>
      <c r="E423" s="226">
        <f>IF(calcCh2Prod1Slot3Active=1,finCalcCh2Prod1Slot3LogisticsCost,0)</f>
        <v>0</v>
      </c>
      <c r="F423" s="208" t="s">
        <v>2354</v>
      </c>
    </row>
    <row r="424" spans="1:6" ht="14.25">
      <c r="A424" s="420"/>
      <c r="B424" s="209"/>
      <c r="C424" s="217"/>
      <c r="D424" s="234"/>
      <c r="E424" s="449"/>
      <c r="F424" s="209"/>
    </row>
    <row r="425" spans="1:6" ht="14.25">
      <c r="A425" s="420"/>
      <c r="B425" s="209"/>
      <c r="C425" s="217" t="s">
        <v>520</v>
      </c>
      <c r="D425" s="209"/>
      <c r="E425" s="210"/>
      <c r="F425" s="209"/>
    </row>
    <row r="426" spans="1:6" ht="14.25">
      <c r="A426" s="420"/>
      <c r="B426" s="209"/>
      <c r="C426" s="209"/>
      <c r="D426" s="209" t="s">
        <v>521</v>
      </c>
      <c r="E426" s="226">
        <f>finPNLCh2Prod1Slot3GP-finPNLCh2Prod1Slot3LogExp</f>
        <v>0</v>
      </c>
      <c r="F426" s="276" t="s">
        <v>2355</v>
      </c>
    </row>
    <row r="427" spans="1:6" ht="14.25">
      <c r="A427" s="420"/>
      <c r="B427" s="209"/>
      <c r="C427" s="217"/>
      <c r="D427" s="234" t="s">
        <v>522</v>
      </c>
      <c r="E427" s="687">
        <f>IF(finPNLCh2Prod1Slot3TotalRev=0,0,finPNLCh2Prod1Slot3GPaL/finPNLCh2Prod1Slot3TotalRev)</f>
        <v>0</v>
      </c>
      <c r="F427" s="276" t="s">
        <v>2356</v>
      </c>
    </row>
    <row r="428" spans="1:6" s="398" customFormat="1" ht="14.25">
      <c r="A428" s="420"/>
      <c r="B428" s="335"/>
      <c r="C428" s="395"/>
      <c r="D428" s="396"/>
      <c r="E428" s="688"/>
      <c r="F428" s="336"/>
    </row>
    <row r="429" spans="1:6" s="322" customFormat="1" ht="14.25">
      <c r="A429" s="414"/>
      <c r="B429" s="414" t="s">
        <v>238</v>
      </c>
      <c r="C429" s="221"/>
      <c r="D429" s="221"/>
    </row>
    <row r="430" spans="1:6" s="322" customFormat="1" ht="14.25">
      <c r="A430" s="214"/>
      <c r="B430" s="323"/>
      <c r="C430" s="325" t="s">
        <v>379</v>
      </c>
      <c r="D430" s="323"/>
      <c r="E430" s="323"/>
    </row>
    <row r="431" spans="1:6" s="322" customFormat="1" ht="14.25">
      <c r="A431" s="214"/>
      <c r="B431" s="323"/>
      <c r="C431" s="325"/>
      <c r="D431" s="323"/>
      <c r="E431" s="323"/>
    </row>
    <row r="432" spans="1:6" s="379" customFormat="1" ht="14.25">
      <c r="A432" s="413"/>
      <c r="B432" s="325"/>
      <c r="C432" s="325"/>
      <c r="D432" s="325" t="s">
        <v>1394</v>
      </c>
      <c r="E432" s="392">
        <f>IF(calcCh2Prod2Slot1Active=1,calcCh2Prod2Slot1CustPrice*finCalcCh2Prod2Slot1VolSold,0)</f>
        <v>1060629001.1999998</v>
      </c>
      <c r="F432" s="276" t="s">
        <v>2788</v>
      </c>
    </row>
    <row r="433" spans="1:6" s="379" customFormat="1" ht="14.25">
      <c r="A433" s="413"/>
      <c r="B433" s="325"/>
      <c r="C433" s="325"/>
      <c r="D433" s="325" t="s">
        <v>1759</v>
      </c>
      <c r="E433" s="392">
        <f>IF(calcCh2Prod2Slot1Active=1,finCalcCh2Prod2Slot1VolSold*paramExciseProd2,0)</f>
        <v>348699945.5999999</v>
      </c>
      <c r="F433" s="276" t="s">
        <v>2789</v>
      </c>
    </row>
    <row r="434" spans="1:6" s="379" customFormat="1" ht="14.25">
      <c r="A434" s="413"/>
      <c r="B434" s="325"/>
      <c r="C434" s="325"/>
      <c r="D434" s="325" t="s">
        <v>694</v>
      </c>
      <c r="E434" s="392">
        <f>IF(calcCh2Prod2Slot1Active=1,finPNLCh2Prod2Slot1Turn-finPNLCh2Prod2Slot1Excise,0)</f>
        <v>711929055.5999999</v>
      </c>
      <c r="F434" s="276" t="s">
        <v>2790</v>
      </c>
    </row>
    <row r="435" spans="1:6" s="379" customFormat="1" ht="14.25">
      <c r="A435" s="413"/>
      <c r="B435" s="325"/>
      <c r="C435" s="325"/>
      <c r="D435" s="325" t="s">
        <v>1396</v>
      </c>
      <c r="E435" s="392">
        <f>IF(calcCh2Prod2Slot1Active=1,(calcCh2Prod2Slot1CustPrice-calcCh2Prod2Slot1AvgSalePrice)*finCalcCh2Prod2Slot1VolSold+calcCh2Prod2Slot1ValDrivExp,0)</f>
        <v>845813.87591727811</v>
      </c>
      <c r="F435" s="276" t="s">
        <v>2791</v>
      </c>
    </row>
    <row r="436" spans="1:6" s="227" customFormat="1" ht="2.1" customHeight="1">
      <c r="A436" s="413"/>
      <c r="B436" s="230"/>
      <c r="C436" s="209"/>
      <c r="D436" s="229"/>
      <c r="E436" s="229"/>
      <c r="F436" s="209"/>
    </row>
    <row r="437" spans="1:6" ht="14.25">
      <c r="A437" s="420"/>
      <c r="B437" s="209"/>
      <c r="C437" s="217" t="s">
        <v>1269</v>
      </c>
      <c r="D437" s="209"/>
      <c r="E437" s="233">
        <f>E434-E435</f>
        <v>711083241.72408259</v>
      </c>
      <c r="F437" s="276" t="s">
        <v>2357</v>
      </c>
    </row>
    <row r="438" spans="1:6" ht="14.25">
      <c r="A438" s="420"/>
      <c r="B438" s="209"/>
      <c r="C438" s="209"/>
      <c r="D438" s="209"/>
      <c r="E438" s="210"/>
      <c r="F438" s="209"/>
    </row>
    <row r="439" spans="1:6" ht="14.25">
      <c r="A439" s="420"/>
      <c r="B439" s="209"/>
      <c r="C439" s="217" t="s">
        <v>404</v>
      </c>
      <c r="D439" s="209"/>
      <c r="E439" s="210"/>
      <c r="F439" s="209"/>
    </row>
    <row r="440" spans="1:6" ht="14.25">
      <c r="A440" s="420"/>
      <c r="B440" s="209"/>
      <c r="C440" s="209"/>
      <c r="D440" s="209" t="s">
        <v>400</v>
      </c>
      <c r="E440" s="226">
        <f>IF(calcCh2Prod2Slot1Active=1,finCalcCh2Prod2Slot1MatExp,0)</f>
        <v>220988067.47408164</v>
      </c>
      <c r="F440" s="276" t="s">
        <v>2358</v>
      </c>
    </row>
    <row r="441" spans="1:6" ht="14.25">
      <c r="A441" s="420"/>
      <c r="B441" s="209"/>
      <c r="C441" s="209"/>
      <c r="D441" s="209" t="s">
        <v>399</v>
      </c>
      <c r="E441" s="226">
        <f>IF(calcCh2Prod2Slot1Active=1,finCalcCh2Prod2Slot1LabourExp,0)</f>
        <v>32498245.216776706</v>
      </c>
      <c r="F441" s="276" t="s">
        <v>2359</v>
      </c>
    </row>
    <row r="442" spans="1:6" ht="14.25">
      <c r="A442" s="420"/>
      <c r="B442" s="209"/>
      <c r="C442" s="209"/>
      <c r="D442" s="209" t="s">
        <v>513</v>
      </c>
      <c r="E442" s="226">
        <f>IF(calcCh2Prod2Slot1Active=1,finCalcCh2Prod2Slot1MachCost,0)</f>
        <v>48110131.494431995</v>
      </c>
      <c r="F442" s="276" t="s">
        <v>2360</v>
      </c>
    </row>
    <row r="443" spans="1:6" ht="14.25">
      <c r="A443" s="420"/>
      <c r="B443" s="209"/>
      <c r="C443" s="209"/>
      <c r="D443" s="209" t="s">
        <v>398</v>
      </c>
      <c r="E443" s="226">
        <f>IF(calcCh2Prod2Slot1Active=1,finCalcCh2Prod2Slot1DepExp,0)</f>
        <v>21411922.265990037</v>
      </c>
      <c r="F443" s="276" t="s">
        <v>2361</v>
      </c>
    </row>
    <row r="444" spans="1:6" s="227" customFormat="1" ht="2.1" customHeight="1">
      <c r="A444" s="413"/>
      <c r="B444" s="230"/>
      <c r="C444" s="209"/>
      <c r="D444" s="229"/>
      <c r="E444" s="229"/>
      <c r="F444" s="209"/>
    </row>
    <row r="445" spans="1:6" ht="14.25">
      <c r="A445" s="420"/>
      <c r="B445" s="209"/>
      <c r="C445" s="209"/>
      <c r="D445" s="209" t="s">
        <v>14</v>
      </c>
      <c r="E445" s="226">
        <f>SUM(E440:E444)</f>
        <v>323008366.45128036</v>
      </c>
      <c r="F445" s="276" t="s">
        <v>2362</v>
      </c>
    </row>
    <row r="446" spans="1:6" ht="14.25">
      <c r="A446" s="420"/>
      <c r="B446" s="209"/>
      <c r="C446" s="209"/>
      <c r="D446" s="209"/>
      <c r="E446" s="210"/>
      <c r="F446" s="209"/>
    </row>
    <row r="447" spans="1:6" ht="14.25">
      <c r="A447" s="420"/>
      <c r="B447" s="209"/>
      <c r="C447" s="217" t="s">
        <v>160</v>
      </c>
      <c r="D447" s="209"/>
      <c r="E447" s="210"/>
      <c r="F447" s="209"/>
    </row>
    <row r="448" spans="1:6" ht="14.25">
      <c r="A448" s="420"/>
      <c r="B448" s="209"/>
      <c r="C448" s="209"/>
      <c r="D448" s="209" t="s">
        <v>160</v>
      </c>
      <c r="E448" s="226">
        <f>IF(calcCh2Prod2Slot1Active=1,finPNLCh2Prod2Slot1TotalRev-finPNLCh2Prod2Slot1TotalCOGs,0)</f>
        <v>388074875.27280223</v>
      </c>
      <c r="F448" s="276" t="s">
        <v>2363</v>
      </c>
    </row>
    <row r="449" spans="1:6" ht="14.25">
      <c r="A449" s="420"/>
      <c r="B449" s="209"/>
      <c r="C449" s="217"/>
      <c r="D449" s="234" t="s">
        <v>162</v>
      </c>
      <c r="E449" s="687">
        <f>IF(finPNLCh2Prod2Slot1TotalRev=0,0,finPNLCh2Prod2Slot1GP/finPNLCh2Prod2Slot1TotalRev)</f>
        <v>0.54575168208419766</v>
      </c>
      <c r="F449" s="276" t="s">
        <v>2364</v>
      </c>
    </row>
    <row r="450" spans="1:6" ht="14.25">
      <c r="A450" s="420"/>
      <c r="B450" s="209"/>
      <c r="C450" s="217"/>
      <c r="D450" s="234"/>
      <c r="E450" s="449"/>
      <c r="F450" s="209"/>
    </row>
    <row r="451" spans="1:6" ht="14.25">
      <c r="A451" s="420"/>
      <c r="B451" s="209"/>
      <c r="C451" s="217" t="s">
        <v>519</v>
      </c>
      <c r="D451" s="234"/>
      <c r="E451" s="449"/>
      <c r="F451" s="209"/>
    </row>
    <row r="452" spans="1:6" ht="14.25">
      <c r="A452" s="420"/>
      <c r="B452" s="209"/>
      <c r="C452" s="217"/>
      <c r="D452" s="209" t="s">
        <v>519</v>
      </c>
      <c r="E452" s="226">
        <f>IF(calcCh2Prod2Slot1Active=1,finCalcCh2Prod2Slot1LogisticsCost,0)</f>
        <v>37549478.352505259</v>
      </c>
      <c r="F452" s="208" t="s">
        <v>2365</v>
      </c>
    </row>
    <row r="453" spans="1:6" ht="14.25">
      <c r="A453" s="420"/>
      <c r="B453" s="209"/>
      <c r="C453" s="217"/>
      <c r="D453" s="234"/>
      <c r="E453" s="449"/>
      <c r="F453" s="209"/>
    </row>
    <row r="454" spans="1:6" ht="14.25">
      <c r="A454" s="420"/>
      <c r="B454" s="209"/>
      <c r="C454" s="217" t="s">
        <v>520</v>
      </c>
      <c r="D454" s="209"/>
      <c r="E454" s="210"/>
      <c r="F454" s="209"/>
    </row>
    <row r="455" spans="1:6" ht="14.25">
      <c r="A455" s="420"/>
      <c r="B455" s="209"/>
      <c r="C455" s="209"/>
      <c r="D455" s="209" t="s">
        <v>521</v>
      </c>
      <c r="E455" s="226">
        <f>finPNLCh2Prod2Slot1GP-finPNLCh2Prod2Slot1LogExp</f>
        <v>350525396.92029697</v>
      </c>
      <c r="F455" s="276" t="s">
        <v>2366</v>
      </c>
    </row>
    <row r="456" spans="1:6" ht="14.25">
      <c r="A456" s="420"/>
      <c r="B456" s="425"/>
      <c r="C456" s="426"/>
      <c r="D456" s="427" t="s">
        <v>522</v>
      </c>
      <c r="E456" s="687">
        <f>IF(finPNLCh2Prod2Slot1TotalRev=0,0,finPNLCh2Prod2Slot1GPaL/finPNLCh2Prod2Slot1TotalRev)</f>
        <v>0.49294565861293249</v>
      </c>
      <c r="F456" s="428" t="s">
        <v>2367</v>
      </c>
    </row>
    <row r="457" spans="1:6" s="398" customFormat="1" ht="14.25">
      <c r="A457" s="420"/>
      <c r="B457" s="335"/>
      <c r="C457" s="395"/>
      <c r="D457" s="396"/>
      <c r="E457" s="688"/>
      <c r="F457" s="336"/>
    </row>
    <row r="458" spans="1:6" s="322" customFormat="1" ht="14.25">
      <c r="A458" s="214"/>
      <c r="B458" s="323"/>
      <c r="C458" s="325" t="s">
        <v>394</v>
      </c>
      <c r="D458" s="323"/>
      <c r="E458" s="323"/>
    </row>
    <row r="459" spans="1:6" s="322" customFormat="1" ht="14.25">
      <c r="A459" s="214"/>
      <c r="B459" s="323"/>
      <c r="C459" s="325"/>
      <c r="D459" s="323"/>
      <c r="E459" s="323"/>
    </row>
    <row r="460" spans="1:6" s="379" customFormat="1" ht="14.25">
      <c r="A460" s="413"/>
      <c r="B460" s="325"/>
      <c r="C460" s="325"/>
      <c r="D460" s="325" t="s">
        <v>1394</v>
      </c>
      <c r="E460" s="392">
        <f>IF(calcCh2Prod2Slot2Active=1,calcCh2Prod2Slot2CustPrice*finCalcCh2Prod2Slot2VolSold,0)</f>
        <v>0</v>
      </c>
      <c r="F460" s="276" t="s">
        <v>2792</v>
      </c>
    </row>
    <row r="461" spans="1:6" s="379" customFormat="1" ht="14.25">
      <c r="A461" s="413"/>
      <c r="B461" s="325"/>
      <c r="C461" s="325"/>
      <c r="D461" s="325" t="s">
        <v>1759</v>
      </c>
      <c r="E461" s="392">
        <f>IF(calcCh2Prod2Slot2Active=1,finCalcCh2Prod2Slot2VolSold*paramExciseProd2,0)</f>
        <v>0</v>
      </c>
      <c r="F461" s="276" t="s">
        <v>2793</v>
      </c>
    </row>
    <row r="462" spans="1:6" s="379" customFormat="1" ht="14.25">
      <c r="A462" s="413"/>
      <c r="B462" s="325"/>
      <c r="C462" s="325"/>
      <c r="D462" s="325" t="s">
        <v>694</v>
      </c>
      <c r="E462" s="392">
        <f>IF(calcCh2Prod2Slot2Active=1,finPNLCh2Prod2Slot2Turn-finPNLCh2Prod2Slot2Excise,0)</f>
        <v>0</v>
      </c>
      <c r="F462" s="276" t="s">
        <v>2794</v>
      </c>
    </row>
    <row r="463" spans="1:6" s="379" customFormat="1" ht="14.25">
      <c r="A463" s="413"/>
      <c r="B463" s="325"/>
      <c r="C463" s="325"/>
      <c r="D463" s="325" t="s">
        <v>1396</v>
      </c>
      <c r="E463" s="392">
        <f>IF(calcCh2Prod2Slot2Active=1,(calcCh2Prod2Slot2CustPrice-calcCh2Prod2Slot2AvgSalePrice)*finCalcCh2Prod2Slot2VolSold+calcCh2Prod2Slot2ValDrivExp,0)</f>
        <v>0</v>
      </c>
      <c r="F463" s="276" t="s">
        <v>2795</v>
      </c>
    </row>
    <row r="464" spans="1:6" s="227" customFormat="1" ht="2.1" customHeight="1">
      <c r="A464" s="413"/>
      <c r="B464" s="230"/>
      <c r="C464" s="209"/>
      <c r="D464" s="229"/>
      <c r="E464" s="229"/>
      <c r="F464" s="209"/>
    </row>
    <row r="465" spans="1:6" ht="14.25">
      <c r="A465" s="420"/>
      <c r="B465" s="209"/>
      <c r="C465" s="217" t="s">
        <v>1269</v>
      </c>
      <c r="D465" s="209"/>
      <c r="E465" s="233">
        <f>E462-E463</f>
        <v>0</v>
      </c>
      <c r="F465" s="276" t="s">
        <v>2368</v>
      </c>
    </row>
    <row r="466" spans="1:6" ht="14.25">
      <c r="A466" s="420"/>
      <c r="B466" s="209"/>
      <c r="C466" s="209"/>
      <c r="D466" s="209"/>
      <c r="E466" s="210"/>
      <c r="F466" s="209"/>
    </row>
    <row r="467" spans="1:6" ht="14.25">
      <c r="A467" s="420"/>
      <c r="B467" s="209"/>
      <c r="C467" s="217" t="s">
        <v>404</v>
      </c>
      <c r="D467" s="209"/>
      <c r="E467" s="210"/>
      <c r="F467" s="209"/>
    </row>
    <row r="468" spans="1:6" ht="14.25">
      <c r="A468" s="420"/>
      <c r="B468" s="209"/>
      <c r="C468" s="209"/>
      <c r="D468" s="209" t="s">
        <v>400</v>
      </c>
      <c r="E468" s="226">
        <f>IF(calcCh2Prod2Slot2Active=1,finCalcCh2Prod2Slot2MatExp,0)</f>
        <v>0</v>
      </c>
      <c r="F468" s="276" t="s">
        <v>2369</v>
      </c>
    </row>
    <row r="469" spans="1:6" ht="14.25">
      <c r="A469" s="420"/>
      <c r="B469" s="209"/>
      <c r="C469" s="209"/>
      <c r="D469" s="209" t="s">
        <v>399</v>
      </c>
      <c r="E469" s="226">
        <f>IF(calcCh2Prod2Slot2Active=1,finCalcCh2Prod2Slot2LabourExp,0)</f>
        <v>0</v>
      </c>
      <c r="F469" s="276" t="s">
        <v>2370</v>
      </c>
    </row>
    <row r="470" spans="1:6" ht="14.25">
      <c r="A470" s="420"/>
      <c r="B470" s="209"/>
      <c r="C470" s="209"/>
      <c r="D470" s="209" t="s">
        <v>513</v>
      </c>
      <c r="E470" s="226">
        <f>IF(calcCh2Prod2Slot2Active=1,finCalcCh2Prod2Slot2MachCost,0)</f>
        <v>0</v>
      </c>
      <c r="F470" s="276" t="s">
        <v>2371</v>
      </c>
    </row>
    <row r="471" spans="1:6" ht="14.25">
      <c r="A471" s="420"/>
      <c r="B471" s="209"/>
      <c r="C471" s="209"/>
      <c r="D471" s="209" t="s">
        <v>398</v>
      </c>
      <c r="E471" s="226">
        <f>IF(calcCh2Prod2Slot2Active=1,finCalcCh2Prod2Slot2DepExp,0)</f>
        <v>0</v>
      </c>
      <c r="F471" s="276" t="s">
        <v>2372</v>
      </c>
    </row>
    <row r="472" spans="1:6" s="227" customFormat="1" ht="2.1" customHeight="1">
      <c r="A472" s="413"/>
      <c r="B472" s="230"/>
      <c r="C472" s="209"/>
      <c r="D472" s="229"/>
      <c r="E472" s="229"/>
      <c r="F472" s="209"/>
    </row>
    <row r="473" spans="1:6" ht="14.25">
      <c r="A473" s="420"/>
      <c r="B473" s="209"/>
      <c r="C473" s="209"/>
      <c r="D473" s="209" t="s">
        <v>14</v>
      </c>
      <c r="E473" s="226">
        <f>SUM(E468:E472)</f>
        <v>0</v>
      </c>
      <c r="F473" s="276" t="s">
        <v>2373</v>
      </c>
    </row>
    <row r="474" spans="1:6" ht="14.25">
      <c r="A474" s="420"/>
      <c r="B474" s="209"/>
      <c r="C474" s="209"/>
      <c r="D474" s="209"/>
      <c r="E474" s="210"/>
      <c r="F474" s="209"/>
    </row>
    <row r="475" spans="1:6" ht="14.25">
      <c r="A475" s="420"/>
      <c r="B475" s="209"/>
      <c r="C475" s="217" t="s">
        <v>160</v>
      </c>
      <c r="D475" s="209"/>
      <c r="E475" s="210"/>
      <c r="F475" s="209"/>
    </row>
    <row r="476" spans="1:6" ht="14.25">
      <c r="A476" s="420"/>
      <c r="B476" s="209"/>
      <c r="C476" s="209"/>
      <c r="D476" s="209" t="s">
        <v>160</v>
      </c>
      <c r="E476" s="226">
        <f>IF(calcCh2Prod2Slot2Active=1,finPNLCh2Prod2Slot2TotalRev-finPNLCh2Prod2Slot2TotalCOGs,0)</f>
        <v>0</v>
      </c>
      <c r="F476" s="276" t="s">
        <v>2374</v>
      </c>
    </row>
    <row r="477" spans="1:6" ht="14.25">
      <c r="A477" s="420"/>
      <c r="B477" s="209"/>
      <c r="C477" s="217"/>
      <c r="D477" s="234" t="s">
        <v>162</v>
      </c>
      <c r="E477" s="687">
        <f>IF(finPNLCh2Prod2Slot2TotalRev=0,0,finPNLCh2Prod2Slot2GP/finPNLCh2Prod2Slot2TotalRev)</f>
        <v>0</v>
      </c>
      <c r="F477" s="276" t="s">
        <v>2375</v>
      </c>
    </row>
    <row r="478" spans="1:6" ht="14.25">
      <c r="A478" s="420"/>
      <c r="B478" s="209"/>
      <c r="C478" s="217"/>
      <c r="D478" s="234"/>
      <c r="E478" s="449"/>
      <c r="F478" s="209"/>
    </row>
    <row r="479" spans="1:6" ht="14.25">
      <c r="A479" s="420"/>
      <c r="B479" s="209"/>
      <c r="C479" s="217" t="s">
        <v>519</v>
      </c>
      <c r="D479" s="234"/>
      <c r="E479" s="449"/>
      <c r="F479" s="209"/>
    </row>
    <row r="480" spans="1:6" ht="14.25">
      <c r="A480" s="420"/>
      <c r="B480" s="209"/>
      <c r="C480" s="217"/>
      <c r="D480" s="209" t="s">
        <v>519</v>
      </c>
      <c r="E480" s="226">
        <f>IF(calcCh2Prod2Slot2Active=1,finCalcCh2Prod2Slot2LogisticsCost,0)</f>
        <v>0</v>
      </c>
      <c r="F480" s="208" t="s">
        <v>2376</v>
      </c>
    </row>
    <row r="481" spans="1:6" ht="14.25">
      <c r="A481" s="420"/>
      <c r="B481" s="209"/>
      <c r="C481" s="217"/>
      <c r="D481" s="234"/>
      <c r="E481" s="449"/>
      <c r="F481" s="209"/>
    </row>
    <row r="482" spans="1:6" ht="14.25">
      <c r="A482" s="420"/>
      <c r="B482" s="209"/>
      <c r="C482" s="217" t="s">
        <v>520</v>
      </c>
      <c r="D482" s="209"/>
      <c r="E482" s="210"/>
      <c r="F482" s="209"/>
    </row>
    <row r="483" spans="1:6" ht="14.25">
      <c r="A483" s="420"/>
      <c r="B483" s="209"/>
      <c r="C483" s="209"/>
      <c r="D483" s="209" t="s">
        <v>521</v>
      </c>
      <c r="E483" s="226">
        <f>finPNLCh2Prod2Slot2GP-finPNLCh2Prod2Slot2LogExp</f>
        <v>0</v>
      </c>
      <c r="F483" s="276" t="s">
        <v>2377</v>
      </c>
    </row>
    <row r="484" spans="1:6" ht="14.25">
      <c r="A484" s="420"/>
      <c r="B484" s="425"/>
      <c r="C484" s="426"/>
      <c r="D484" s="427" t="s">
        <v>522</v>
      </c>
      <c r="E484" s="687">
        <f>IF(finPNLCh2Prod2Slot2TotalRev=0,0,finPNLCh2Prod2Slot2GPaL/finPNLCh2Prod2Slot2TotalRev)</f>
        <v>0</v>
      </c>
      <c r="F484" s="428" t="s">
        <v>2378</v>
      </c>
    </row>
    <row r="485" spans="1:6" s="398" customFormat="1" ht="14.25">
      <c r="A485" s="420"/>
      <c r="B485" s="335"/>
      <c r="C485" s="395"/>
      <c r="D485" s="396"/>
      <c r="E485" s="688"/>
      <c r="F485" s="336"/>
    </row>
    <row r="486" spans="1:6" s="322" customFormat="1" ht="14.25">
      <c r="A486" s="214"/>
      <c r="B486" s="323"/>
      <c r="C486" s="325" t="s">
        <v>395</v>
      </c>
      <c r="D486" s="323"/>
      <c r="E486" s="323"/>
    </row>
    <row r="487" spans="1:6" s="322" customFormat="1" ht="14.25">
      <c r="A487" s="214"/>
      <c r="B487" s="323"/>
      <c r="C487" s="325"/>
      <c r="D487" s="323"/>
      <c r="E487" s="323"/>
    </row>
    <row r="488" spans="1:6" s="379" customFormat="1" ht="14.25">
      <c r="A488" s="413"/>
      <c r="B488" s="325"/>
      <c r="C488" s="325"/>
      <c r="D488" s="325" t="s">
        <v>1394</v>
      </c>
      <c r="E488" s="392">
        <f>IF(calcCh2Prod2Slot3Active=1,calcCh2Prod2Slot3CustPrice*finCalcCh2Prod2Slot3VolSold,0)</f>
        <v>0</v>
      </c>
      <c r="F488" s="276" t="s">
        <v>2784</v>
      </c>
    </row>
    <row r="489" spans="1:6" s="379" customFormat="1" ht="14.25">
      <c r="A489" s="413"/>
      <c r="B489" s="325"/>
      <c r="C489" s="325"/>
      <c r="D489" s="325" t="s">
        <v>1759</v>
      </c>
      <c r="E489" s="392">
        <f>IF(calcCh2Prod2Slot3Active=1,finCalcCh2Prod2Slot3VolSold*paramExciseProd2,0)</f>
        <v>0</v>
      </c>
      <c r="F489" s="276" t="s">
        <v>2785</v>
      </c>
    </row>
    <row r="490" spans="1:6" s="379" customFormat="1" ht="14.25">
      <c r="A490" s="413"/>
      <c r="B490" s="325"/>
      <c r="C490" s="325"/>
      <c r="D490" s="325" t="s">
        <v>694</v>
      </c>
      <c r="E490" s="392">
        <f>IF(calcCh2Prod2Slot3Active=1,finPNLCh2Prod2Slot3Turn-finPNLCh2Prod2Slot3Excise,0)</f>
        <v>0</v>
      </c>
      <c r="F490" s="276" t="s">
        <v>2786</v>
      </c>
    </row>
    <row r="491" spans="1:6" s="379" customFormat="1" ht="14.25">
      <c r="A491" s="413"/>
      <c r="B491" s="325"/>
      <c r="C491" s="325"/>
      <c r="D491" s="325" t="s">
        <v>1396</v>
      </c>
      <c r="E491" s="392">
        <f>IF(calcCh2Prod2Slot3Active=1,(calcCh2Prod2Slot3CustPrice-calcCh2Prod2Slot3AvgSalePrice)*finCalcCh2Prod2Slot3VolSold+calcCh2Prod2Slot3ValDrivExp,0)</f>
        <v>0</v>
      </c>
      <c r="F491" s="276" t="s">
        <v>2787</v>
      </c>
    </row>
    <row r="492" spans="1:6" s="227" customFormat="1" ht="2.1" customHeight="1">
      <c r="A492" s="413"/>
      <c r="B492" s="230"/>
      <c r="C492" s="209"/>
      <c r="D492" s="229"/>
      <c r="E492" s="229"/>
      <c r="F492" s="209"/>
    </row>
    <row r="493" spans="1:6" ht="14.25">
      <c r="A493" s="420"/>
      <c r="B493" s="209"/>
      <c r="C493" s="217" t="s">
        <v>1269</v>
      </c>
      <c r="D493" s="209"/>
      <c r="E493" s="233">
        <f>E490-E491</f>
        <v>0</v>
      </c>
      <c r="F493" s="276" t="s">
        <v>2379</v>
      </c>
    </row>
    <row r="494" spans="1:6" ht="14.25">
      <c r="A494" s="420"/>
      <c r="B494" s="209"/>
      <c r="C494" s="209"/>
      <c r="D494" s="209"/>
      <c r="E494" s="210"/>
      <c r="F494" s="209"/>
    </row>
    <row r="495" spans="1:6" ht="14.25">
      <c r="A495" s="420"/>
      <c r="B495" s="209"/>
      <c r="C495" s="217" t="s">
        <v>404</v>
      </c>
      <c r="D495" s="209"/>
      <c r="E495" s="210"/>
      <c r="F495" s="209"/>
    </row>
    <row r="496" spans="1:6" ht="14.25">
      <c r="A496" s="420"/>
      <c r="B496" s="209"/>
      <c r="C496" s="209"/>
      <c r="D496" s="209" t="s">
        <v>400</v>
      </c>
      <c r="E496" s="226">
        <f>IF(calcCh2Prod2Slot3Active=1,finCalcCh2Prod2Slot3MatExp,0)</f>
        <v>0</v>
      </c>
      <c r="F496" s="276" t="s">
        <v>2380</v>
      </c>
    </row>
    <row r="497" spans="1:6" ht="14.25">
      <c r="A497" s="420"/>
      <c r="B497" s="209"/>
      <c r="C497" s="209"/>
      <c r="D497" s="209" t="s">
        <v>399</v>
      </c>
      <c r="E497" s="226">
        <f>IF(calcCh2Prod2Slot3Active=1,finCalcCh2Prod2Slot3LabourExp,0)</f>
        <v>0</v>
      </c>
      <c r="F497" s="276" t="s">
        <v>2381</v>
      </c>
    </row>
    <row r="498" spans="1:6" ht="14.25">
      <c r="A498" s="420"/>
      <c r="B498" s="209"/>
      <c r="C498" s="209"/>
      <c r="D498" s="209" t="s">
        <v>513</v>
      </c>
      <c r="E498" s="226">
        <f>IF(calcCh2Prod2Slot3Active=1,finCalcCh2Prod2Slot3MachCost,0)</f>
        <v>0</v>
      </c>
      <c r="F498" s="276" t="s">
        <v>2382</v>
      </c>
    </row>
    <row r="499" spans="1:6" ht="14.25">
      <c r="A499" s="420"/>
      <c r="B499" s="209"/>
      <c r="C499" s="209"/>
      <c r="D499" s="209" t="s">
        <v>398</v>
      </c>
      <c r="E499" s="226">
        <f>IF(calcCh2Prod2Slot3Active=1,finCalcCh2Prod2Slot3DepExp,0)</f>
        <v>0</v>
      </c>
      <c r="F499" s="276" t="s">
        <v>2383</v>
      </c>
    </row>
    <row r="500" spans="1:6" s="227" customFormat="1" ht="2.1" customHeight="1">
      <c r="A500" s="413"/>
      <c r="B500" s="230"/>
      <c r="C500" s="209"/>
      <c r="D500" s="229"/>
      <c r="E500" s="229"/>
      <c r="F500" s="209"/>
    </row>
    <row r="501" spans="1:6" ht="14.25">
      <c r="A501" s="420"/>
      <c r="B501" s="209"/>
      <c r="C501" s="209"/>
      <c r="D501" s="209" t="s">
        <v>14</v>
      </c>
      <c r="E501" s="226">
        <f>SUM(E496:E500)</f>
        <v>0</v>
      </c>
      <c r="F501" s="276" t="s">
        <v>2384</v>
      </c>
    </row>
    <row r="502" spans="1:6" ht="14.25">
      <c r="A502" s="420"/>
      <c r="B502" s="209"/>
      <c r="C502" s="209"/>
      <c r="D502" s="209"/>
      <c r="E502" s="210"/>
      <c r="F502" s="209"/>
    </row>
    <row r="503" spans="1:6" ht="14.25">
      <c r="A503" s="420"/>
      <c r="B503" s="209"/>
      <c r="C503" s="217" t="s">
        <v>160</v>
      </c>
      <c r="D503" s="209"/>
      <c r="E503" s="210"/>
      <c r="F503" s="209"/>
    </row>
    <row r="504" spans="1:6" ht="14.25">
      <c r="A504" s="420"/>
      <c r="B504" s="209"/>
      <c r="C504" s="209"/>
      <c r="D504" s="209" t="s">
        <v>160</v>
      </c>
      <c r="E504" s="226">
        <f>IF(calcCh2Prod2Slot3Active=1,finPNLCh2Prod2Slot3TotalRev-finPNLCh2Prod2Slot3TotalCOGs,0)</f>
        <v>0</v>
      </c>
      <c r="F504" s="276" t="s">
        <v>2385</v>
      </c>
    </row>
    <row r="505" spans="1:6" ht="14.25">
      <c r="A505" s="420"/>
      <c r="B505" s="209"/>
      <c r="C505" s="217"/>
      <c r="D505" s="234" t="s">
        <v>162</v>
      </c>
      <c r="E505" s="687">
        <f>IF(finPNLCh2Prod2Slot3TotalRev=0,0,finPNLCh2Prod2Slot3GP/finPNLCh2Prod2Slot3TotalRev)</f>
        <v>0</v>
      </c>
      <c r="F505" s="276" t="s">
        <v>2386</v>
      </c>
    </row>
    <row r="506" spans="1:6" ht="14.25">
      <c r="A506" s="420"/>
      <c r="B506" s="209"/>
      <c r="C506" s="217"/>
      <c r="D506" s="234"/>
      <c r="E506" s="449"/>
      <c r="F506" s="209"/>
    </row>
    <row r="507" spans="1:6" ht="14.25">
      <c r="A507" s="420"/>
      <c r="B507" s="209"/>
      <c r="C507" s="217" t="s">
        <v>519</v>
      </c>
      <c r="D507" s="234"/>
      <c r="E507" s="449"/>
      <c r="F507" s="209"/>
    </row>
    <row r="508" spans="1:6" ht="14.25">
      <c r="A508" s="420"/>
      <c r="B508" s="209"/>
      <c r="C508" s="217"/>
      <c r="D508" s="209" t="s">
        <v>519</v>
      </c>
      <c r="E508" s="226">
        <f>IF(calcCh2Prod2Slot3Active=1,finCalcCh2Prod2Slot3LogisticsCost,0)</f>
        <v>0</v>
      </c>
      <c r="F508" s="208" t="s">
        <v>2387</v>
      </c>
    </row>
    <row r="509" spans="1:6" ht="14.25">
      <c r="A509" s="420"/>
      <c r="B509" s="209"/>
      <c r="C509" s="217"/>
      <c r="D509" s="234"/>
      <c r="E509" s="449"/>
      <c r="F509" s="209"/>
    </row>
    <row r="510" spans="1:6" ht="14.25">
      <c r="A510" s="420"/>
      <c r="B510" s="209"/>
      <c r="C510" s="217" t="s">
        <v>520</v>
      </c>
      <c r="D510" s="209"/>
      <c r="E510" s="210"/>
      <c r="F510" s="209"/>
    </row>
    <row r="511" spans="1:6" ht="14.25">
      <c r="A511" s="420"/>
      <c r="B511" s="209"/>
      <c r="C511" s="209"/>
      <c r="D511" s="209" t="s">
        <v>521</v>
      </c>
      <c r="E511" s="226">
        <f>finPNLCh2Prod2Slot3GP-finPNLCh2Prod2Slot3LogExp</f>
        <v>0</v>
      </c>
      <c r="F511" s="276" t="s">
        <v>2388</v>
      </c>
    </row>
    <row r="512" spans="1:6" ht="14.25">
      <c r="A512" s="420"/>
      <c r="B512" s="209"/>
      <c r="C512" s="217"/>
      <c r="D512" s="234" t="s">
        <v>522</v>
      </c>
      <c r="E512" s="687">
        <f>IF(finPNLCh2Prod2Slot3TotalRev=0,0,finPNLCh2Prod2Slot3GPaL/finPNLCh2Prod2Slot3TotalRev)</f>
        <v>0</v>
      </c>
      <c r="F512" s="276" t="s">
        <v>2389</v>
      </c>
    </row>
    <row r="513" spans="1:6" s="398" customFormat="1" ht="14.25">
      <c r="A513" s="420"/>
      <c r="B513" s="335"/>
      <c r="C513" s="395"/>
      <c r="D513" s="396"/>
      <c r="E513" s="688"/>
      <c r="F513" s="336"/>
    </row>
    <row r="514" spans="1:6" s="322" customFormat="1" ht="14.25">
      <c r="A514" s="414"/>
      <c r="B514" s="414" t="s">
        <v>239</v>
      </c>
      <c r="C514" s="221"/>
      <c r="D514" s="221"/>
      <c r="E514" s="323"/>
    </row>
    <row r="515" spans="1:6" s="322" customFormat="1" ht="14.25">
      <c r="A515" s="214"/>
      <c r="B515" s="323"/>
      <c r="C515" s="325" t="s">
        <v>379</v>
      </c>
      <c r="D515" s="323"/>
      <c r="E515" s="323"/>
    </row>
    <row r="516" spans="1:6" s="322" customFormat="1" ht="14.25">
      <c r="A516" s="214"/>
      <c r="B516" s="323"/>
      <c r="C516" s="325"/>
      <c r="D516" s="323"/>
      <c r="E516" s="323"/>
    </row>
    <row r="517" spans="1:6" s="379" customFormat="1" ht="14.25">
      <c r="A517" s="413"/>
      <c r="B517" s="325"/>
      <c r="C517" s="325"/>
      <c r="D517" s="325" t="s">
        <v>1394</v>
      </c>
      <c r="E517" s="392">
        <f>IF(calcCh2Prod3Slot1Active=1,calcCh2Prod3Slot1CustPrice*finCalcCh2Prod3Slot1VolSold,0)</f>
        <v>678027671.99999988</v>
      </c>
      <c r="F517" s="276" t="s">
        <v>2800</v>
      </c>
    </row>
    <row r="518" spans="1:6" s="379" customFormat="1" ht="14.25">
      <c r="A518" s="413"/>
      <c r="B518" s="325"/>
      <c r="C518" s="325"/>
      <c r="D518" s="325" t="s">
        <v>1759</v>
      </c>
      <c r="E518" s="392">
        <f>IF(calcCh2Prod3Slot1Active=1,finCalcCh2Prod3Slot1VolSold*paramExciseProd3,0)</f>
        <v>242152739.99999997</v>
      </c>
      <c r="F518" s="276" t="s">
        <v>2801</v>
      </c>
    </row>
    <row r="519" spans="1:6" s="379" customFormat="1" ht="14.25">
      <c r="A519" s="413"/>
      <c r="B519" s="325"/>
      <c r="C519" s="325"/>
      <c r="D519" s="325" t="s">
        <v>694</v>
      </c>
      <c r="E519" s="392">
        <f>IF(calcCh2Prod3Slot1Active=1,finPNLCh2Prod3Slot1Turn-finPNLCh2Prod3Slot1Excise,0)</f>
        <v>435874931.99999988</v>
      </c>
      <c r="F519" s="276" t="s">
        <v>2802</v>
      </c>
    </row>
    <row r="520" spans="1:6" s="379" customFormat="1" ht="14.25">
      <c r="A520" s="413"/>
      <c r="B520" s="325"/>
      <c r="C520" s="325"/>
      <c r="D520" s="325" t="s">
        <v>1396</v>
      </c>
      <c r="E520" s="392">
        <f>IF(calcCh2Prod3Slot1Active=1,(calcCh2Prod3Slot1CustPrice-calcCh2Prod3Slot1AvgSalePrice)*finCalcCh2Prod3Slot1VolSold+calcCh2Prod3Slot1ValDrivExp,0)</f>
        <v>517845.23015343555</v>
      </c>
      <c r="F520" s="276" t="s">
        <v>2803</v>
      </c>
    </row>
    <row r="521" spans="1:6" s="227" customFormat="1" ht="2.1" customHeight="1">
      <c r="A521" s="413"/>
      <c r="B521" s="230"/>
      <c r="C521" s="209"/>
      <c r="D521" s="229"/>
      <c r="E521" s="229"/>
      <c r="F521" s="209"/>
    </row>
    <row r="522" spans="1:6" ht="14.25">
      <c r="A522" s="420"/>
      <c r="B522" s="209"/>
      <c r="C522" s="217" t="s">
        <v>1269</v>
      </c>
      <c r="D522" s="209"/>
      <c r="E522" s="233">
        <f>E519-E520</f>
        <v>435357086.76984644</v>
      </c>
      <c r="F522" s="276" t="s">
        <v>2390</v>
      </c>
    </row>
    <row r="523" spans="1:6" ht="14.25">
      <c r="A523" s="420"/>
      <c r="B523" s="209"/>
      <c r="C523" s="209"/>
      <c r="D523" s="209"/>
      <c r="E523" s="210"/>
      <c r="F523" s="209"/>
    </row>
    <row r="524" spans="1:6" ht="14.25">
      <c r="A524" s="420"/>
      <c r="B524" s="209"/>
      <c r="C524" s="217" t="s">
        <v>404</v>
      </c>
      <c r="D524" s="209"/>
      <c r="E524" s="210"/>
      <c r="F524" s="209"/>
    </row>
    <row r="525" spans="1:6" ht="14.25">
      <c r="A525" s="420"/>
      <c r="B525" s="209"/>
      <c r="C525" s="209"/>
      <c r="D525" s="209" t="s">
        <v>400</v>
      </c>
      <c r="E525" s="226">
        <f>IF(calcCh2Prod3Slot1Active=1,finCalcCh2Prod3Slot1MatExp,0)</f>
        <v>166335104.55038396</v>
      </c>
      <c r="F525" s="276" t="s">
        <v>2391</v>
      </c>
    </row>
    <row r="526" spans="1:6" ht="14.25">
      <c r="A526" s="420"/>
      <c r="B526" s="209"/>
      <c r="C526" s="209"/>
      <c r="D526" s="209" t="s">
        <v>399</v>
      </c>
      <c r="E526" s="226">
        <f>IF(calcCh2Prod3Slot1Active=1,finCalcCh2Prod3Slot1LabourExp,0)</f>
        <v>24461044.786821172</v>
      </c>
      <c r="F526" s="276" t="s">
        <v>2392</v>
      </c>
    </row>
    <row r="527" spans="1:6" ht="14.25">
      <c r="A527" s="420"/>
      <c r="B527" s="209"/>
      <c r="C527" s="209"/>
      <c r="D527" s="209" t="s">
        <v>513</v>
      </c>
      <c r="E527" s="226">
        <f>IF(calcCh2Prod3Slot1Active=1,finCalcCh2Prod3Slot1MachCost,0)</f>
        <v>18013839.189696003</v>
      </c>
      <c r="F527" s="276" t="s">
        <v>2393</v>
      </c>
    </row>
    <row r="528" spans="1:6" ht="14.25">
      <c r="A528" s="420"/>
      <c r="B528" s="209"/>
      <c r="C528" s="209"/>
      <c r="D528" s="209" t="s">
        <v>398</v>
      </c>
      <c r="E528" s="226">
        <f>IF(calcCh2Prod3Slot1Active=1,finCalcCh2Prod3Slot1DepExp,0)</f>
        <v>8017249.4329277789</v>
      </c>
      <c r="F528" s="276" t="s">
        <v>2394</v>
      </c>
    </row>
    <row r="529" spans="1:6" s="227" customFormat="1" ht="2.1" customHeight="1">
      <c r="A529" s="413"/>
      <c r="B529" s="230"/>
      <c r="C529" s="209"/>
      <c r="D529" s="229"/>
      <c r="E529" s="229"/>
      <c r="F529" s="209"/>
    </row>
    <row r="530" spans="1:6" ht="14.25">
      <c r="A530" s="420"/>
      <c r="B530" s="209"/>
      <c r="C530" s="209"/>
      <c r="D530" s="209" t="s">
        <v>14</v>
      </c>
      <c r="E530" s="226">
        <f>SUM(E525:E529)</f>
        <v>216827237.95982891</v>
      </c>
      <c r="F530" s="276" t="s">
        <v>2395</v>
      </c>
    </row>
    <row r="531" spans="1:6" ht="14.25">
      <c r="A531" s="420"/>
      <c r="B531" s="209"/>
      <c r="C531" s="209"/>
      <c r="D531" s="209"/>
      <c r="E531" s="210"/>
      <c r="F531" s="209"/>
    </row>
    <row r="532" spans="1:6" ht="14.25">
      <c r="A532" s="420"/>
      <c r="B532" s="209"/>
      <c r="C532" s="217" t="s">
        <v>160</v>
      </c>
      <c r="D532" s="209"/>
      <c r="E532" s="210"/>
      <c r="F532" s="209"/>
    </row>
    <row r="533" spans="1:6" ht="14.25">
      <c r="A533" s="420"/>
      <c r="B533" s="209"/>
      <c r="C533" s="209"/>
      <c r="D533" s="209" t="s">
        <v>160</v>
      </c>
      <c r="E533" s="226">
        <f>IF(calcCh2Prod3Slot1Active=1,finPNLCh2Prod3Slot1TotalRev-finPNLCh2Prod3Slot1TotalCOGs,0)</f>
        <v>218529848.81001753</v>
      </c>
      <c r="F533" s="276" t="s">
        <v>2396</v>
      </c>
    </row>
    <row r="534" spans="1:6" ht="14.25">
      <c r="A534" s="420"/>
      <c r="B534" s="209"/>
      <c r="C534" s="217"/>
      <c r="D534" s="234" t="s">
        <v>162</v>
      </c>
      <c r="E534" s="687">
        <f>IF(finPNLCh2Prod3Slot1TotalRev=0,0,finPNLCh2Prod3Slot1GP/finPNLCh2Prod3Slot1TotalRev)</f>
        <v>0.50195541878371752</v>
      </c>
      <c r="F534" s="276" t="s">
        <v>2397</v>
      </c>
    </row>
    <row r="535" spans="1:6" ht="14.25">
      <c r="A535" s="420"/>
      <c r="B535" s="209"/>
      <c r="C535" s="217"/>
      <c r="D535" s="234"/>
      <c r="E535" s="449"/>
      <c r="F535" s="209"/>
    </row>
    <row r="536" spans="1:6" ht="14.25">
      <c r="A536" s="420"/>
      <c r="B536" s="209"/>
      <c r="C536" s="217" t="s">
        <v>519</v>
      </c>
      <c r="D536" s="234"/>
      <c r="E536" s="449"/>
      <c r="F536" s="209"/>
    </row>
    <row r="537" spans="1:6" ht="14.25">
      <c r="A537" s="420"/>
      <c r="B537" s="209"/>
      <c r="C537" s="217"/>
      <c r="D537" s="209" t="s">
        <v>519</v>
      </c>
      <c r="E537" s="226">
        <f>IF(calcCh2Prod3Slot1Active=1,finCalcCh2Prod3Slot1LogisticsCost,0)</f>
        <v>28263048.222315788</v>
      </c>
      <c r="F537" s="208" t="s">
        <v>2398</v>
      </c>
    </row>
    <row r="538" spans="1:6" ht="14.25">
      <c r="A538" s="420"/>
      <c r="B538" s="209"/>
      <c r="C538" s="217"/>
      <c r="D538" s="234"/>
      <c r="E538" s="449"/>
      <c r="F538" s="209"/>
    </row>
    <row r="539" spans="1:6" ht="14.25">
      <c r="A539" s="420"/>
      <c r="B539" s="209"/>
      <c r="C539" s="217" t="s">
        <v>520</v>
      </c>
      <c r="D539" s="209"/>
      <c r="E539" s="210"/>
      <c r="F539" s="209"/>
    </row>
    <row r="540" spans="1:6" ht="14.25">
      <c r="A540" s="420"/>
      <c r="B540" s="209"/>
      <c r="C540" s="209"/>
      <c r="D540" s="209" t="s">
        <v>521</v>
      </c>
      <c r="E540" s="226">
        <f>finPNLCh2Prod3Slot1GP-finPNLCh2Prod3Slot1LogExp</f>
        <v>190266800.58770174</v>
      </c>
      <c r="F540" s="276" t="s">
        <v>2399</v>
      </c>
    </row>
    <row r="541" spans="1:6" ht="14.25">
      <c r="A541" s="420"/>
      <c r="B541" s="425"/>
      <c r="C541" s="426"/>
      <c r="D541" s="427" t="s">
        <v>522</v>
      </c>
      <c r="E541" s="687">
        <f>IF(finPNLCh2Prod3Slot1TotalRev=0,0,finPNLCh2Prod3Slot1GPaL/finPNLCh2Prod3Slot1TotalRev)</f>
        <v>0.43703618562728752</v>
      </c>
      <c r="F541" s="428" t="s">
        <v>2400</v>
      </c>
    </row>
    <row r="542" spans="1:6" s="398" customFormat="1" ht="14.25">
      <c r="A542" s="420"/>
      <c r="B542" s="335"/>
      <c r="C542" s="395"/>
      <c r="D542" s="396"/>
      <c r="E542" s="688"/>
      <c r="F542" s="336"/>
    </row>
    <row r="543" spans="1:6" s="322" customFormat="1" ht="14.25">
      <c r="A543" s="214"/>
      <c r="B543" s="323"/>
      <c r="C543" s="325" t="s">
        <v>394</v>
      </c>
      <c r="D543" s="323"/>
      <c r="E543" s="323"/>
    </row>
    <row r="544" spans="1:6" s="322" customFormat="1" ht="14.25">
      <c r="A544" s="214"/>
      <c r="B544" s="323"/>
      <c r="C544" s="325"/>
      <c r="D544" s="323"/>
      <c r="E544" s="323"/>
    </row>
    <row r="545" spans="1:6" s="379" customFormat="1" ht="14.25">
      <c r="A545" s="413"/>
      <c r="B545" s="325"/>
      <c r="C545" s="325"/>
      <c r="D545" s="325" t="s">
        <v>1394</v>
      </c>
      <c r="E545" s="392">
        <f>IF(calcCh2Prod3Slot2Active=1,calcCh2Prod3Slot2CustPrice*finCalcCh2Prod3Slot2VolSold,0)</f>
        <v>0</v>
      </c>
      <c r="F545" s="276" t="s">
        <v>2804</v>
      </c>
    </row>
    <row r="546" spans="1:6" s="379" customFormat="1" ht="14.25">
      <c r="A546" s="413"/>
      <c r="B546" s="325"/>
      <c r="C546" s="325"/>
      <c r="D546" s="325" t="s">
        <v>1759</v>
      </c>
      <c r="E546" s="392">
        <f>IF(calcCh2Prod3Slot2Active=1,finCalcCh2Prod3Slot2VolSold*paramExciseProd3,0)</f>
        <v>0</v>
      </c>
      <c r="F546" s="276" t="s">
        <v>2805</v>
      </c>
    </row>
    <row r="547" spans="1:6" s="379" customFormat="1" ht="14.25">
      <c r="A547" s="413"/>
      <c r="B547" s="325"/>
      <c r="C547" s="325"/>
      <c r="D547" s="325" t="s">
        <v>694</v>
      </c>
      <c r="E547" s="392">
        <f>IF(calcCh2Prod3Slot2Active=1,finPNLCh2Prod3Slot2Turn-finPNLCh2Prod3Slot2Excise,0)</f>
        <v>0</v>
      </c>
      <c r="F547" s="276" t="s">
        <v>2806</v>
      </c>
    </row>
    <row r="548" spans="1:6" s="379" customFormat="1" ht="14.25">
      <c r="A548" s="413"/>
      <c r="B548" s="325"/>
      <c r="C548" s="325"/>
      <c r="D548" s="325" t="s">
        <v>1396</v>
      </c>
      <c r="E548" s="392">
        <f>IF(calcCh2Prod3Slot2Active=1,(calcCh2Prod3Slot2CustPrice-calcCh2Prod3Slot2AvgSalePrice)*finCalcCh2Prod3Slot2VolSold+calcCh2Prod3Slot2ValDrivExp,0)</f>
        <v>0</v>
      </c>
      <c r="F548" s="276" t="s">
        <v>2807</v>
      </c>
    </row>
    <row r="549" spans="1:6" s="227" customFormat="1" ht="2.1" customHeight="1">
      <c r="A549" s="413"/>
      <c r="B549" s="230"/>
      <c r="C549" s="209"/>
      <c r="D549" s="229"/>
      <c r="E549" s="229"/>
      <c r="F549" s="209"/>
    </row>
    <row r="550" spans="1:6" ht="14.25">
      <c r="A550" s="420"/>
      <c r="B550" s="209"/>
      <c r="C550" s="217" t="s">
        <v>1269</v>
      </c>
      <c r="D550" s="209"/>
      <c r="E550" s="233">
        <f>E547-E548</f>
        <v>0</v>
      </c>
      <c r="F550" s="276" t="s">
        <v>2401</v>
      </c>
    </row>
    <row r="551" spans="1:6" ht="14.25">
      <c r="A551" s="420"/>
      <c r="B551" s="209"/>
      <c r="C551" s="209"/>
      <c r="D551" s="209"/>
      <c r="E551" s="210"/>
      <c r="F551" s="209"/>
    </row>
    <row r="552" spans="1:6" ht="14.25">
      <c r="A552" s="420"/>
      <c r="B552" s="209"/>
      <c r="C552" s="217" t="s">
        <v>404</v>
      </c>
      <c r="D552" s="209"/>
      <c r="E552" s="210"/>
      <c r="F552" s="209"/>
    </row>
    <row r="553" spans="1:6" ht="14.25">
      <c r="A553" s="420"/>
      <c r="B553" s="209"/>
      <c r="C553" s="209"/>
      <c r="D553" s="209" t="s">
        <v>400</v>
      </c>
      <c r="E553" s="226">
        <f>IF(calcCh2Prod3Slot2Active=1,finCalcCh2Prod3Slot2MatExp,0)</f>
        <v>0</v>
      </c>
      <c r="F553" s="276" t="s">
        <v>2402</v>
      </c>
    </row>
    <row r="554" spans="1:6" ht="14.25">
      <c r="A554" s="420"/>
      <c r="B554" s="209"/>
      <c r="C554" s="209"/>
      <c r="D554" s="209" t="s">
        <v>399</v>
      </c>
      <c r="E554" s="226">
        <f>IF(calcCh2Prod3Slot2Active=1,finCalcCh2Prod3Slot2LabourExp,0)</f>
        <v>0</v>
      </c>
      <c r="F554" s="276" t="s">
        <v>2403</v>
      </c>
    </row>
    <row r="555" spans="1:6" ht="14.25">
      <c r="A555" s="420"/>
      <c r="B555" s="209"/>
      <c r="C555" s="209"/>
      <c r="D555" s="209" t="s">
        <v>513</v>
      </c>
      <c r="E555" s="226">
        <f>IF(calcCh2Prod3Slot2Active=1,finCalcCh2Prod3Slot2MachCost,0)</f>
        <v>0</v>
      </c>
      <c r="F555" s="276" t="s">
        <v>2404</v>
      </c>
    </row>
    <row r="556" spans="1:6" ht="14.25">
      <c r="A556" s="420"/>
      <c r="B556" s="209"/>
      <c r="C556" s="209"/>
      <c r="D556" s="209" t="s">
        <v>398</v>
      </c>
      <c r="E556" s="226">
        <f>IF(calcCh2Prod3Slot2Active=1,finCalcCh2Prod3Slot2DepExp,0)</f>
        <v>0</v>
      </c>
      <c r="F556" s="276" t="s">
        <v>2405</v>
      </c>
    </row>
    <row r="557" spans="1:6" s="227" customFormat="1" ht="2.1" customHeight="1">
      <c r="A557" s="413"/>
      <c r="B557" s="230"/>
      <c r="C557" s="209"/>
      <c r="D557" s="229"/>
      <c r="E557" s="229"/>
      <c r="F557" s="209"/>
    </row>
    <row r="558" spans="1:6" ht="14.25">
      <c r="A558" s="420"/>
      <c r="B558" s="209"/>
      <c r="C558" s="209"/>
      <c r="D558" s="209" t="s">
        <v>14</v>
      </c>
      <c r="E558" s="226">
        <f>SUM(E553:E557)</f>
        <v>0</v>
      </c>
      <c r="F558" s="276" t="s">
        <v>2406</v>
      </c>
    </row>
    <row r="559" spans="1:6" ht="14.25">
      <c r="A559" s="420"/>
      <c r="B559" s="209"/>
      <c r="C559" s="209"/>
      <c r="D559" s="209"/>
      <c r="E559" s="210"/>
      <c r="F559" s="209"/>
    </row>
    <row r="560" spans="1:6" ht="14.25">
      <c r="A560" s="420"/>
      <c r="B560" s="209"/>
      <c r="C560" s="217" t="s">
        <v>160</v>
      </c>
      <c r="D560" s="209"/>
      <c r="E560" s="210"/>
      <c r="F560" s="209"/>
    </row>
    <row r="561" spans="1:6" ht="14.25">
      <c r="A561" s="420"/>
      <c r="B561" s="209"/>
      <c r="C561" s="209"/>
      <c r="D561" s="209" t="s">
        <v>160</v>
      </c>
      <c r="E561" s="226">
        <f>IF(calcCh2Prod3Slot2Active=1,finPNLCh2Prod3Slot2TotalRev-finPNLCh2Prod3Slot2TotalCOGs,0)</f>
        <v>0</v>
      </c>
      <c r="F561" s="276" t="s">
        <v>2407</v>
      </c>
    </row>
    <row r="562" spans="1:6" ht="14.25">
      <c r="A562" s="420"/>
      <c r="B562" s="209"/>
      <c r="C562" s="217"/>
      <c r="D562" s="234" t="s">
        <v>162</v>
      </c>
      <c r="E562" s="687">
        <f>IF(finPNLCh2Prod3Slot2TotalRev=0,0,finPNLCh2Prod3Slot2GP/finPNLCh2Prod3Slot2TotalRev)</f>
        <v>0</v>
      </c>
      <c r="F562" s="276" t="s">
        <v>2408</v>
      </c>
    </row>
    <row r="563" spans="1:6" ht="14.25">
      <c r="A563" s="420"/>
      <c r="B563" s="209"/>
      <c r="C563" s="217"/>
      <c r="D563" s="234"/>
      <c r="E563" s="449"/>
      <c r="F563" s="209"/>
    </row>
    <row r="564" spans="1:6" ht="14.25">
      <c r="A564" s="420"/>
      <c r="B564" s="209"/>
      <c r="C564" s="217" t="s">
        <v>519</v>
      </c>
      <c r="D564" s="234"/>
      <c r="E564" s="449"/>
      <c r="F564" s="209"/>
    </row>
    <row r="565" spans="1:6" ht="14.25">
      <c r="A565" s="420"/>
      <c r="B565" s="209"/>
      <c r="C565" s="217"/>
      <c r="D565" s="209" t="s">
        <v>519</v>
      </c>
      <c r="E565" s="226">
        <f>IF(calcCh2Prod3Slot2Active=1,finCalcCh2Prod3Slot2LogisticsCost,0)</f>
        <v>0</v>
      </c>
      <c r="F565" s="208" t="s">
        <v>2409</v>
      </c>
    </row>
    <row r="566" spans="1:6" ht="14.25">
      <c r="A566" s="420"/>
      <c r="B566" s="209"/>
      <c r="C566" s="217"/>
      <c r="D566" s="234"/>
      <c r="E566" s="449"/>
      <c r="F566" s="209"/>
    </row>
    <row r="567" spans="1:6" ht="14.25">
      <c r="A567" s="420"/>
      <c r="B567" s="209"/>
      <c r="C567" s="217" t="s">
        <v>520</v>
      </c>
      <c r="D567" s="209"/>
      <c r="E567" s="210"/>
      <c r="F567" s="209"/>
    </row>
    <row r="568" spans="1:6" ht="14.25">
      <c r="A568" s="420"/>
      <c r="B568" s="209"/>
      <c r="C568" s="209"/>
      <c r="D568" s="209" t="s">
        <v>521</v>
      </c>
      <c r="E568" s="226">
        <f>finPNLCh2Prod3Slot2GP-finPNLCh2Prod3Slot2LogExp</f>
        <v>0</v>
      </c>
      <c r="F568" s="276" t="s">
        <v>2410</v>
      </c>
    </row>
    <row r="569" spans="1:6" ht="14.25">
      <c r="A569" s="420"/>
      <c r="B569" s="425"/>
      <c r="C569" s="426"/>
      <c r="D569" s="427" t="s">
        <v>522</v>
      </c>
      <c r="E569" s="687">
        <f>IF(finPNLCh2Prod3Slot2TotalRev=0,0,finPNLCh2Prod3Slot2GPaL/finPNLCh2Prod3Slot2TotalRev)</f>
        <v>0</v>
      </c>
      <c r="F569" s="428" t="s">
        <v>2411</v>
      </c>
    </row>
    <row r="570" spans="1:6" s="398" customFormat="1" ht="14.25">
      <c r="A570" s="420"/>
      <c r="B570" s="335"/>
      <c r="C570" s="395"/>
      <c r="D570" s="396"/>
      <c r="E570" s="688"/>
      <c r="F570" s="336"/>
    </row>
    <row r="571" spans="1:6" s="322" customFormat="1" ht="14.25">
      <c r="A571" s="214"/>
      <c r="B571" s="323"/>
      <c r="C571" s="325" t="s">
        <v>395</v>
      </c>
      <c r="D571" s="323"/>
      <c r="E571" s="323"/>
    </row>
    <row r="572" spans="1:6" s="322" customFormat="1" ht="14.25">
      <c r="A572" s="214"/>
      <c r="B572" s="323"/>
      <c r="C572" s="325"/>
      <c r="D572" s="323"/>
      <c r="E572" s="323"/>
    </row>
    <row r="573" spans="1:6" s="379" customFormat="1" ht="14.25">
      <c r="A573" s="413"/>
      <c r="B573" s="325"/>
      <c r="C573" s="325"/>
      <c r="D573" s="325" t="s">
        <v>1394</v>
      </c>
      <c r="E573" s="392">
        <f>IF(calcCh2Prod3Slot3Active=1,calcCh2Prod3Slot3CustPrice*finCalcCh2Prod3Slot3VolSold,0)</f>
        <v>0</v>
      </c>
      <c r="F573" s="276" t="s">
        <v>2796</v>
      </c>
    </row>
    <row r="574" spans="1:6" s="379" customFormat="1" ht="14.25">
      <c r="A574" s="413"/>
      <c r="B574" s="325"/>
      <c r="C574" s="325"/>
      <c r="D574" s="325" t="s">
        <v>1759</v>
      </c>
      <c r="E574" s="392">
        <f>IF(calcCh2Prod3Slot3Active=1,finCalcCh2Prod3Slot3VolSold*paramExciseProd3,0)</f>
        <v>0</v>
      </c>
      <c r="F574" s="276" t="s">
        <v>2797</v>
      </c>
    </row>
    <row r="575" spans="1:6" s="379" customFormat="1" ht="14.25">
      <c r="A575" s="413"/>
      <c r="B575" s="325"/>
      <c r="C575" s="325"/>
      <c r="D575" s="325" t="s">
        <v>694</v>
      </c>
      <c r="E575" s="392">
        <f>IF(calcCh2Prod3Slot3Active=1,finPNLCh2Prod3Slot3Turn-finPNLCh2Prod3Slot3Excise,0)</f>
        <v>0</v>
      </c>
      <c r="F575" s="276" t="s">
        <v>2798</v>
      </c>
    </row>
    <row r="576" spans="1:6" s="379" customFormat="1" ht="14.25">
      <c r="A576" s="413"/>
      <c r="B576" s="325"/>
      <c r="C576" s="325"/>
      <c r="D576" s="325" t="s">
        <v>1396</v>
      </c>
      <c r="E576" s="392">
        <f>IF(calcCh2Prod3Slot3Active=1,(calcCh2Prod3Slot3CustPrice-calcCh2Prod3Slot3AvgSalePrice)*finCalcCh2Prod3Slot3VolSold+calcCh2Prod3Slot3ValDrivExp,0)</f>
        <v>0</v>
      </c>
      <c r="F576" s="276" t="s">
        <v>2799</v>
      </c>
    </row>
    <row r="577" spans="1:6" s="227" customFormat="1" ht="2.1" customHeight="1">
      <c r="A577" s="413"/>
      <c r="B577" s="230"/>
      <c r="C577" s="209"/>
      <c r="D577" s="229"/>
      <c r="E577" s="229"/>
      <c r="F577" s="209"/>
    </row>
    <row r="578" spans="1:6" ht="14.25">
      <c r="A578" s="420"/>
      <c r="B578" s="209"/>
      <c r="C578" s="217" t="s">
        <v>1269</v>
      </c>
      <c r="D578" s="209"/>
      <c r="E578" s="233">
        <f>E575-E576</f>
        <v>0</v>
      </c>
      <c r="F578" s="276" t="s">
        <v>2412</v>
      </c>
    </row>
    <row r="579" spans="1:6" ht="14.25">
      <c r="A579" s="420"/>
      <c r="B579" s="209"/>
      <c r="C579" s="209"/>
      <c r="D579" s="209"/>
      <c r="E579" s="210"/>
      <c r="F579" s="209"/>
    </row>
    <row r="580" spans="1:6" ht="14.25">
      <c r="A580" s="420"/>
      <c r="B580" s="209"/>
      <c r="C580" s="217" t="s">
        <v>404</v>
      </c>
      <c r="D580" s="209"/>
      <c r="E580" s="210"/>
      <c r="F580" s="209"/>
    </row>
    <row r="581" spans="1:6" ht="14.25">
      <c r="A581" s="420"/>
      <c r="B581" s="209"/>
      <c r="C581" s="209"/>
      <c r="D581" s="209" t="s">
        <v>400</v>
      </c>
      <c r="E581" s="226">
        <f>IF(calcCh2Prod3Slot3Active=1,finCalcCh2Prod3Slot3MatExp,0)</f>
        <v>0</v>
      </c>
      <c r="F581" s="276" t="s">
        <v>2413</v>
      </c>
    </row>
    <row r="582" spans="1:6" ht="14.25">
      <c r="A582" s="420"/>
      <c r="B582" s="209"/>
      <c r="C582" s="209"/>
      <c r="D582" s="209" t="s">
        <v>399</v>
      </c>
      <c r="E582" s="226">
        <f>IF(calcCh2Prod3Slot3Active=1,finCalcCh2Prod3Slot3LabourExp,0)</f>
        <v>0</v>
      </c>
      <c r="F582" s="276" t="s">
        <v>2414</v>
      </c>
    </row>
    <row r="583" spans="1:6" ht="14.25">
      <c r="A583" s="420"/>
      <c r="B583" s="209"/>
      <c r="C583" s="209"/>
      <c r="D583" s="209" t="s">
        <v>513</v>
      </c>
      <c r="E583" s="226">
        <f>IF(calcCh2Prod3Slot3Active=1,finCalcCh2Prod3Slot3MachCost,0)</f>
        <v>0</v>
      </c>
      <c r="F583" s="276" t="s">
        <v>2415</v>
      </c>
    </row>
    <row r="584" spans="1:6" ht="14.25">
      <c r="A584" s="420"/>
      <c r="B584" s="209"/>
      <c r="C584" s="209"/>
      <c r="D584" s="209" t="s">
        <v>398</v>
      </c>
      <c r="E584" s="226">
        <f>IF(calcCh2Prod3Slot3Active=1,finCalcCh2Prod3Slot3DepExp,0)</f>
        <v>0</v>
      </c>
      <c r="F584" s="276" t="s">
        <v>2416</v>
      </c>
    </row>
    <row r="585" spans="1:6" s="227" customFormat="1" ht="2.1" customHeight="1">
      <c r="A585" s="413"/>
      <c r="B585" s="230"/>
      <c r="C585" s="209"/>
      <c r="D585" s="229"/>
      <c r="E585" s="229"/>
      <c r="F585" s="209"/>
    </row>
    <row r="586" spans="1:6" ht="14.25">
      <c r="A586" s="420"/>
      <c r="B586" s="209"/>
      <c r="C586" s="209"/>
      <c r="D586" s="209" t="s">
        <v>14</v>
      </c>
      <c r="E586" s="226">
        <f>SUM(E581:E585)</f>
        <v>0</v>
      </c>
      <c r="F586" s="276" t="s">
        <v>2417</v>
      </c>
    </row>
    <row r="587" spans="1:6" ht="14.25">
      <c r="A587" s="420"/>
      <c r="B587" s="209"/>
      <c r="C587" s="209"/>
      <c r="D587" s="209"/>
      <c r="E587" s="210"/>
      <c r="F587" s="209"/>
    </row>
    <row r="588" spans="1:6" ht="14.25">
      <c r="A588" s="420"/>
      <c r="B588" s="209"/>
      <c r="C588" s="217" t="s">
        <v>160</v>
      </c>
      <c r="D588" s="209"/>
      <c r="E588" s="210"/>
      <c r="F588" s="209"/>
    </row>
    <row r="589" spans="1:6" ht="14.25">
      <c r="A589" s="420"/>
      <c r="B589" s="209"/>
      <c r="C589" s="209"/>
      <c r="D589" s="209" t="s">
        <v>160</v>
      </c>
      <c r="E589" s="226">
        <f>IF(calcCh2Prod3Slot3Active=1,finPNLCh2Prod3Slot3TotalRev-finPNLCh2Prod3Slot3TotalCOGs,0)</f>
        <v>0</v>
      </c>
      <c r="F589" s="276" t="s">
        <v>2418</v>
      </c>
    </row>
    <row r="590" spans="1:6" ht="14.25">
      <c r="A590" s="420"/>
      <c r="B590" s="209"/>
      <c r="C590" s="217"/>
      <c r="D590" s="234" t="s">
        <v>162</v>
      </c>
      <c r="E590" s="687">
        <f>IF(finPNLCh2Prod3Slot3TotalRev=0,0,finPNLCh2Prod3Slot3GP/finPNLCh2Prod3Slot3TotalRev)</f>
        <v>0</v>
      </c>
      <c r="F590" s="276" t="s">
        <v>2419</v>
      </c>
    </row>
    <row r="591" spans="1:6" ht="14.25">
      <c r="A591" s="420"/>
      <c r="B591" s="209"/>
      <c r="C591" s="217"/>
      <c r="D591" s="234"/>
      <c r="E591" s="449"/>
      <c r="F591" s="209"/>
    </row>
    <row r="592" spans="1:6" ht="14.25">
      <c r="A592" s="420"/>
      <c r="B592" s="209"/>
      <c r="C592" s="217" t="s">
        <v>519</v>
      </c>
      <c r="D592" s="234"/>
      <c r="E592" s="449"/>
      <c r="F592" s="209"/>
    </row>
    <row r="593" spans="1:6" ht="14.25">
      <c r="A593" s="420"/>
      <c r="B593" s="209"/>
      <c r="C593" s="217"/>
      <c r="D593" s="209" t="s">
        <v>519</v>
      </c>
      <c r="E593" s="226">
        <f>IF(calcCh2Prod3Slot3Active=1,finCalcCh2Prod3Slot3LogisticsCost,0)</f>
        <v>0</v>
      </c>
      <c r="F593" s="208" t="s">
        <v>2420</v>
      </c>
    </row>
    <row r="594" spans="1:6" ht="14.25">
      <c r="A594" s="420"/>
      <c r="B594" s="209"/>
      <c r="C594" s="217"/>
      <c r="D594" s="234"/>
      <c r="E594" s="449"/>
      <c r="F594" s="209"/>
    </row>
    <row r="595" spans="1:6" ht="14.25">
      <c r="A595" s="420"/>
      <c r="B595" s="209"/>
      <c r="C595" s="217" t="s">
        <v>520</v>
      </c>
      <c r="D595" s="209"/>
      <c r="E595" s="210"/>
      <c r="F595" s="209"/>
    </row>
    <row r="596" spans="1:6" ht="14.25">
      <c r="A596" s="420"/>
      <c r="B596" s="209"/>
      <c r="C596" s="209"/>
      <c r="D596" s="209" t="s">
        <v>521</v>
      </c>
      <c r="E596" s="226">
        <f>finPNLCh2Prod3Slot3GP-finPNLCh2Prod3Slot3LogExp</f>
        <v>0</v>
      </c>
      <c r="F596" s="276" t="s">
        <v>2421</v>
      </c>
    </row>
    <row r="597" spans="1:6" ht="14.25">
      <c r="A597" s="420"/>
      <c r="B597" s="209"/>
      <c r="C597" s="217"/>
      <c r="D597" s="234" t="s">
        <v>522</v>
      </c>
      <c r="E597" s="687">
        <f>IF(finPNLCh2Prod3Slot3TotalRev=0,0,finPNLCh2Prod3Slot3GPaL/finPNLCh2Prod3Slot3TotalRev)</f>
        <v>0</v>
      </c>
      <c r="F597" s="276" t="s">
        <v>2422</v>
      </c>
    </row>
    <row r="598" spans="1:6" s="398" customFormat="1" ht="14.25">
      <c r="A598" s="420"/>
      <c r="B598" s="335"/>
      <c r="C598" s="395"/>
      <c r="D598" s="396"/>
      <c r="E598" s="688"/>
      <c r="F598" s="336"/>
    </row>
    <row r="599" spans="1:6" s="322" customFormat="1" ht="14.25">
      <c r="A599" s="414"/>
      <c r="B599" s="414" t="s">
        <v>240</v>
      </c>
      <c r="C599" s="221"/>
      <c r="D599" s="221"/>
      <c r="E599" s="323"/>
    </row>
    <row r="600" spans="1:6" s="322" customFormat="1" ht="14.25">
      <c r="A600" s="214"/>
      <c r="B600" s="323"/>
      <c r="C600" s="325" t="s">
        <v>379</v>
      </c>
      <c r="D600" s="323"/>
      <c r="E600" s="323"/>
    </row>
    <row r="601" spans="1:6" s="322" customFormat="1" ht="14.25">
      <c r="A601" s="214"/>
      <c r="B601" s="323"/>
      <c r="C601" s="325"/>
      <c r="D601" s="323"/>
      <c r="E601" s="323"/>
    </row>
    <row r="602" spans="1:6" s="379" customFormat="1" ht="14.25">
      <c r="A602" s="413"/>
      <c r="B602" s="325"/>
      <c r="C602" s="325"/>
      <c r="D602" s="325" t="s">
        <v>1394</v>
      </c>
      <c r="E602" s="392">
        <f>IF(calcCh2Prod4Slot1Active=1,calcCh2Prod4Slot1CustPrice*finCalcCh2Prod4Slot1VolSold,0)</f>
        <v>0</v>
      </c>
      <c r="F602" s="276" t="s">
        <v>2808</v>
      </c>
    </row>
    <row r="603" spans="1:6" s="379" customFormat="1" ht="14.25">
      <c r="A603" s="413"/>
      <c r="B603" s="325"/>
      <c r="C603" s="325"/>
      <c r="D603" s="325" t="s">
        <v>1759</v>
      </c>
      <c r="E603" s="392">
        <f>IF(calcCh2Prod4Slot1Active=1,finCalcCh2Prod4Slot1VolSold*paramExciseProd4,0)</f>
        <v>0</v>
      </c>
      <c r="F603" s="276" t="s">
        <v>2809</v>
      </c>
    </row>
    <row r="604" spans="1:6" s="379" customFormat="1" ht="14.25">
      <c r="A604" s="413"/>
      <c r="B604" s="325"/>
      <c r="C604" s="325"/>
      <c r="D604" s="325" t="s">
        <v>694</v>
      </c>
      <c r="E604" s="392">
        <f>IF(calcCh2Prod4Slot1Active=1,finPNLCh2Prod4Slot1Turn-finPNLCh2Prod4Slot1Excise,0)</f>
        <v>0</v>
      </c>
      <c r="F604" s="276" t="s">
        <v>2810</v>
      </c>
    </row>
    <row r="605" spans="1:6" s="379" customFormat="1" ht="14.25">
      <c r="A605" s="413"/>
      <c r="B605" s="325"/>
      <c r="C605" s="325"/>
      <c r="D605" s="325" t="s">
        <v>1396</v>
      </c>
      <c r="E605" s="392">
        <f>IF(calcCh2Prod4Slot1Active=1,(calcCh2Prod4Slot1CustPrice-calcCh2Prod4Slot1AvgSalePrice)*finCalcCh2Prod4Slot1VolSold+calcCh2Prod4Slot1ValDrivExp,0)</f>
        <v>0</v>
      </c>
      <c r="F605" s="276" t="s">
        <v>2811</v>
      </c>
    </row>
    <row r="606" spans="1:6" s="227" customFormat="1" ht="2.1" customHeight="1">
      <c r="A606" s="413"/>
      <c r="B606" s="230"/>
      <c r="C606" s="209"/>
      <c r="D606" s="229"/>
      <c r="E606" s="229"/>
      <c r="F606" s="209"/>
    </row>
    <row r="607" spans="1:6" ht="14.25">
      <c r="A607" s="420"/>
      <c r="B607" s="209"/>
      <c r="C607" s="217" t="s">
        <v>1269</v>
      </c>
      <c r="D607" s="209"/>
      <c r="E607" s="233">
        <f>E604-E605</f>
        <v>0</v>
      </c>
      <c r="F607" s="276" t="s">
        <v>2423</v>
      </c>
    </row>
    <row r="608" spans="1:6" ht="14.25">
      <c r="A608" s="420"/>
      <c r="B608" s="209"/>
      <c r="C608" s="209"/>
      <c r="D608" s="209"/>
      <c r="E608" s="210"/>
      <c r="F608" s="209"/>
    </row>
    <row r="609" spans="1:6" ht="14.25">
      <c r="A609" s="420"/>
      <c r="B609" s="209"/>
      <c r="C609" s="217" t="s">
        <v>404</v>
      </c>
      <c r="D609" s="209"/>
      <c r="E609" s="210"/>
      <c r="F609" s="209"/>
    </row>
    <row r="610" spans="1:6" ht="14.25">
      <c r="A610" s="420"/>
      <c r="B610" s="209"/>
      <c r="C610" s="209"/>
      <c r="D610" s="209" t="s">
        <v>400</v>
      </c>
      <c r="E610" s="226">
        <f>IF(calcCh2Prod4Slot1Active=1,finCalcCh2Prod4Slot1MatExp,0)</f>
        <v>0</v>
      </c>
      <c r="F610" s="276" t="s">
        <v>2424</v>
      </c>
    </row>
    <row r="611" spans="1:6" ht="14.25">
      <c r="A611" s="420"/>
      <c r="B611" s="209"/>
      <c r="C611" s="209"/>
      <c r="D611" s="209" t="s">
        <v>399</v>
      </c>
      <c r="E611" s="226">
        <f>IF(calcCh2Prod4Slot1Active=1,finCalcCh2Prod4Slot1LabourExp,0)</f>
        <v>0</v>
      </c>
      <c r="F611" s="276" t="s">
        <v>2425</v>
      </c>
    </row>
    <row r="612" spans="1:6" ht="14.25">
      <c r="A612" s="420"/>
      <c r="B612" s="209"/>
      <c r="C612" s="209"/>
      <c r="D612" s="209" t="s">
        <v>513</v>
      </c>
      <c r="E612" s="226">
        <f>IF(calcCh2Prod4Slot1Active=1,finCalcCh2Prod4Slot1MachCost,0)</f>
        <v>0</v>
      </c>
      <c r="F612" s="276" t="s">
        <v>2426</v>
      </c>
    </row>
    <row r="613" spans="1:6" ht="14.25">
      <c r="A613" s="420"/>
      <c r="B613" s="209"/>
      <c r="C613" s="209"/>
      <c r="D613" s="209" t="s">
        <v>398</v>
      </c>
      <c r="E613" s="226">
        <f>IF(calcCh2Prod4Slot1Active=1,finCalcCh2Prod4Slot1DepExp,0)</f>
        <v>0</v>
      </c>
      <c r="F613" s="276" t="s">
        <v>2427</v>
      </c>
    </row>
    <row r="614" spans="1:6" s="227" customFormat="1" ht="2.1" customHeight="1">
      <c r="A614" s="413"/>
      <c r="B614" s="230"/>
      <c r="C614" s="209"/>
      <c r="D614" s="229"/>
      <c r="E614" s="229"/>
      <c r="F614" s="209"/>
    </row>
    <row r="615" spans="1:6" ht="14.25">
      <c r="A615" s="420"/>
      <c r="B615" s="209"/>
      <c r="C615" s="209"/>
      <c r="D615" s="209" t="s">
        <v>14</v>
      </c>
      <c r="E615" s="226">
        <f>SUM(E610:E614)</f>
        <v>0</v>
      </c>
      <c r="F615" s="276" t="s">
        <v>2428</v>
      </c>
    </row>
    <row r="616" spans="1:6" ht="14.25">
      <c r="A616" s="420"/>
      <c r="B616" s="209"/>
      <c r="C616" s="209"/>
      <c r="D616" s="209"/>
      <c r="E616" s="210"/>
      <c r="F616" s="209"/>
    </row>
    <row r="617" spans="1:6" ht="14.25">
      <c r="A617" s="420"/>
      <c r="B617" s="209"/>
      <c r="C617" s="217" t="s">
        <v>160</v>
      </c>
      <c r="D617" s="209"/>
      <c r="E617" s="210"/>
      <c r="F617" s="209"/>
    </row>
    <row r="618" spans="1:6" ht="14.25">
      <c r="A618" s="420"/>
      <c r="B618" s="209"/>
      <c r="C618" s="209"/>
      <c r="D618" s="209" t="s">
        <v>160</v>
      </c>
      <c r="E618" s="226">
        <f>IF(calcCh2Prod4Slot1Active=1,finPNLCh2Prod4Slot1TotalRev-finPNLCh2Prod4Slot1TotalCOGs,0)</f>
        <v>0</v>
      </c>
      <c r="F618" s="276" t="s">
        <v>2429</v>
      </c>
    </row>
    <row r="619" spans="1:6" ht="14.25">
      <c r="A619" s="420"/>
      <c r="B619" s="209"/>
      <c r="C619" s="217"/>
      <c r="D619" s="234" t="s">
        <v>162</v>
      </c>
      <c r="E619" s="687">
        <f>IF(finPNLCh2Prod4Slot1TotalRev=0,0,finPNLCh2Prod4Slot1GP/finPNLCh2Prod4Slot1TotalRev)</f>
        <v>0</v>
      </c>
      <c r="F619" s="276" t="s">
        <v>2430</v>
      </c>
    </row>
    <row r="620" spans="1:6" ht="14.25">
      <c r="A620" s="420"/>
      <c r="B620" s="209"/>
      <c r="C620" s="217"/>
      <c r="D620" s="234"/>
      <c r="E620" s="449"/>
      <c r="F620" s="209"/>
    </row>
    <row r="621" spans="1:6" ht="14.25">
      <c r="A621" s="420"/>
      <c r="B621" s="209"/>
      <c r="C621" s="217" t="s">
        <v>519</v>
      </c>
      <c r="D621" s="234"/>
      <c r="E621" s="449"/>
      <c r="F621" s="209"/>
    </row>
    <row r="622" spans="1:6" ht="14.25">
      <c r="A622" s="420"/>
      <c r="B622" s="209"/>
      <c r="C622" s="217"/>
      <c r="D622" s="209" t="s">
        <v>519</v>
      </c>
      <c r="E622" s="226">
        <f>IF(calcCh2Prod4Slot1Active=1,finCalcCh2Prod4Slot1LogisticsCost,0)</f>
        <v>0</v>
      </c>
      <c r="F622" s="208" t="s">
        <v>2431</v>
      </c>
    </row>
    <row r="623" spans="1:6" ht="14.25">
      <c r="A623" s="420"/>
      <c r="B623" s="209"/>
      <c r="C623" s="217"/>
      <c r="D623" s="234"/>
      <c r="E623" s="449"/>
      <c r="F623" s="209"/>
    </row>
    <row r="624" spans="1:6" ht="14.25">
      <c r="A624" s="420"/>
      <c r="B624" s="209"/>
      <c r="C624" s="217" t="s">
        <v>520</v>
      </c>
      <c r="D624" s="209"/>
      <c r="E624" s="210"/>
      <c r="F624" s="209"/>
    </row>
    <row r="625" spans="1:6" ht="14.25">
      <c r="A625" s="420"/>
      <c r="B625" s="209"/>
      <c r="C625" s="209"/>
      <c r="D625" s="209" t="s">
        <v>521</v>
      </c>
      <c r="E625" s="226">
        <f>finPNLCh2Prod4Slot1GP-finPNLCh2Prod4Slot1LogExp</f>
        <v>0</v>
      </c>
      <c r="F625" s="276" t="s">
        <v>2432</v>
      </c>
    </row>
    <row r="626" spans="1:6" ht="14.25">
      <c r="A626" s="420"/>
      <c r="B626" s="425"/>
      <c r="C626" s="426"/>
      <c r="D626" s="427" t="s">
        <v>522</v>
      </c>
      <c r="E626" s="687">
        <f>IF(finPNLCh2Prod4Slot1TotalRev=0,0,finPNLCh2Prod4Slot1GPaL/finPNLCh2Prod4Slot1TotalRev)</f>
        <v>0</v>
      </c>
      <c r="F626" s="428" t="s">
        <v>2433</v>
      </c>
    </row>
    <row r="627" spans="1:6" s="398" customFormat="1" ht="14.25">
      <c r="A627" s="420"/>
      <c r="B627" s="335"/>
      <c r="C627" s="395"/>
      <c r="D627" s="396"/>
      <c r="E627" s="688"/>
      <c r="F627" s="336"/>
    </row>
    <row r="628" spans="1:6" s="322" customFormat="1" ht="14.25">
      <c r="A628" s="214"/>
      <c r="B628" s="323"/>
      <c r="C628" s="325" t="s">
        <v>394</v>
      </c>
      <c r="D628" s="323"/>
      <c r="E628" s="323"/>
    </row>
    <row r="629" spans="1:6" s="322" customFormat="1" ht="14.25">
      <c r="A629" s="214"/>
      <c r="B629" s="323"/>
      <c r="C629" s="325"/>
      <c r="D629" s="323"/>
      <c r="E629" s="323"/>
    </row>
    <row r="630" spans="1:6" s="379" customFormat="1" ht="14.25">
      <c r="A630" s="413"/>
      <c r="B630" s="325"/>
      <c r="C630" s="325"/>
      <c r="D630" s="325" t="s">
        <v>1394</v>
      </c>
      <c r="E630" s="392">
        <f>IF(calcCh2Prod4Slot2Active=1,calcCh2Prod4Slot2CustPrice*finCalcCh2Prod4Slot2VolSold,0)</f>
        <v>0</v>
      </c>
      <c r="F630" s="276" t="s">
        <v>2812</v>
      </c>
    </row>
    <row r="631" spans="1:6" s="379" customFormat="1" ht="14.25">
      <c r="A631" s="413"/>
      <c r="B631" s="325"/>
      <c r="C631" s="325"/>
      <c r="D631" s="325" t="s">
        <v>1759</v>
      </c>
      <c r="E631" s="392">
        <f>IF(calcCh2Prod4Slot2Active=1,finCalcCh2Prod4Slot2VolSold*paramExciseProd4,0)</f>
        <v>0</v>
      </c>
      <c r="F631" s="276" t="s">
        <v>2813</v>
      </c>
    </row>
    <row r="632" spans="1:6" s="379" customFormat="1" ht="14.25">
      <c r="A632" s="413"/>
      <c r="B632" s="325"/>
      <c r="C632" s="325"/>
      <c r="D632" s="325" t="s">
        <v>694</v>
      </c>
      <c r="E632" s="392">
        <f>IF(calcCh2Prod4Slot2Active=1,finPNLCh2Prod4Slot2Turn-finPNLCh2Prod4Slot2Excise,0)</f>
        <v>0</v>
      </c>
      <c r="F632" s="276" t="s">
        <v>2814</v>
      </c>
    </row>
    <row r="633" spans="1:6" s="379" customFormat="1" ht="14.25">
      <c r="A633" s="413"/>
      <c r="B633" s="325"/>
      <c r="C633" s="325"/>
      <c r="D633" s="325" t="s">
        <v>1396</v>
      </c>
      <c r="E633" s="392">
        <f>IF(calcCh2Prod4Slot2Active=1,(calcCh2Prod4Slot2CustPrice-calcCh2Prod4Slot2AvgSalePrice)*finCalcCh2Prod4Slot2VolSold+calcCh2Prod4Slot2ValDrivExp,0)</f>
        <v>0</v>
      </c>
      <c r="F633" s="276" t="s">
        <v>2815</v>
      </c>
    </row>
    <row r="634" spans="1:6" s="227" customFormat="1" ht="2.1" customHeight="1">
      <c r="A634" s="413"/>
      <c r="B634" s="230"/>
      <c r="C634" s="209"/>
      <c r="D634" s="229"/>
      <c r="E634" s="229"/>
      <c r="F634" s="209"/>
    </row>
    <row r="635" spans="1:6" ht="14.25">
      <c r="A635" s="420"/>
      <c r="B635" s="209"/>
      <c r="C635" s="217" t="s">
        <v>1269</v>
      </c>
      <c r="D635" s="209"/>
      <c r="E635" s="233">
        <f>E632-E633</f>
        <v>0</v>
      </c>
      <c r="F635" s="276" t="s">
        <v>2434</v>
      </c>
    </row>
    <row r="636" spans="1:6" ht="14.25">
      <c r="A636" s="420"/>
      <c r="B636" s="209"/>
      <c r="C636" s="209"/>
      <c r="D636" s="209"/>
      <c r="E636" s="210"/>
      <c r="F636" s="209"/>
    </row>
    <row r="637" spans="1:6" ht="14.25">
      <c r="A637" s="420"/>
      <c r="B637" s="209"/>
      <c r="C637" s="217" t="s">
        <v>404</v>
      </c>
      <c r="D637" s="209"/>
      <c r="E637" s="210"/>
      <c r="F637" s="209"/>
    </row>
    <row r="638" spans="1:6" ht="14.25">
      <c r="A638" s="420"/>
      <c r="B638" s="209"/>
      <c r="C638" s="209"/>
      <c r="D638" s="209" t="s">
        <v>400</v>
      </c>
      <c r="E638" s="226">
        <f>IF(calcCh2Prod4Slot2Active=1,finCalcCh2Prod4Slot2MatExp,0)</f>
        <v>0</v>
      </c>
      <c r="F638" s="276" t="s">
        <v>2435</v>
      </c>
    </row>
    <row r="639" spans="1:6" ht="14.25">
      <c r="A639" s="420"/>
      <c r="B639" s="209"/>
      <c r="C639" s="209"/>
      <c r="D639" s="209" t="s">
        <v>399</v>
      </c>
      <c r="E639" s="226">
        <f>IF(calcCh2Prod4Slot2Active=1,finCalcCh2Prod4Slot2LabourExp,0)</f>
        <v>0</v>
      </c>
      <c r="F639" s="276" t="s">
        <v>2436</v>
      </c>
    </row>
    <row r="640" spans="1:6" ht="14.25">
      <c r="A640" s="420"/>
      <c r="B640" s="209"/>
      <c r="C640" s="209"/>
      <c r="D640" s="209" t="s">
        <v>513</v>
      </c>
      <c r="E640" s="226">
        <f>IF(calcCh2Prod4Slot2Active=1,finCalcCh2Prod4Slot2MachCost,0)</f>
        <v>0</v>
      </c>
      <c r="F640" s="276" t="s">
        <v>2437</v>
      </c>
    </row>
    <row r="641" spans="1:6" ht="14.25">
      <c r="A641" s="420"/>
      <c r="B641" s="209"/>
      <c r="C641" s="209"/>
      <c r="D641" s="209" t="s">
        <v>398</v>
      </c>
      <c r="E641" s="226">
        <f>IF(calcCh2Prod4Slot2Active=1,finCalcCh2Prod4Slot2DepExp,0)</f>
        <v>0</v>
      </c>
      <c r="F641" s="276" t="s">
        <v>2438</v>
      </c>
    </row>
    <row r="642" spans="1:6" s="227" customFormat="1" ht="2.1" customHeight="1">
      <c r="A642" s="413"/>
      <c r="B642" s="230"/>
      <c r="C642" s="209"/>
      <c r="D642" s="229"/>
      <c r="E642" s="229"/>
      <c r="F642" s="209"/>
    </row>
    <row r="643" spans="1:6" ht="14.25">
      <c r="A643" s="420"/>
      <c r="B643" s="209"/>
      <c r="C643" s="209"/>
      <c r="D643" s="209" t="s">
        <v>14</v>
      </c>
      <c r="E643" s="226">
        <f>SUM(E638:E642)</f>
        <v>0</v>
      </c>
      <c r="F643" s="276" t="s">
        <v>2439</v>
      </c>
    </row>
    <row r="644" spans="1:6" ht="14.25">
      <c r="A644" s="420"/>
      <c r="B644" s="209"/>
      <c r="C644" s="209"/>
      <c r="D644" s="209"/>
      <c r="E644" s="210"/>
      <c r="F644" s="209"/>
    </row>
    <row r="645" spans="1:6" ht="14.25">
      <c r="A645" s="420"/>
      <c r="B645" s="209"/>
      <c r="C645" s="217" t="s">
        <v>160</v>
      </c>
      <c r="D645" s="209"/>
      <c r="E645" s="210"/>
      <c r="F645" s="209"/>
    </row>
    <row r="646" spans="1:6" ht="14.25">
      <c r="A646" s="420"/>
      <c r="B646" s="209"/>
      <c r="C646" s="209"/>
      <c r="D646" s="209" t="s">
        <v>160</v>
      </c>
      <c r="E646" s="226">
        <f>IF(calcCh2Prod4Slot2Active=1,finPNLCh2Prod4Slot2TotalRev-finPNLCh2Prod4Slot2TotalCOGs,0)</f>
        <v>0</v>
      </c>
      <c r="F646" s="276" t="s">
        <v>2440</v>
      </c>
    </row>
    <row r="647" spans="1:6" ht="14.25">
      <c r="A647" s="420"/>
      <c r="B647" s="209"/>
      <c r="C647" s="217"/>
      <c r="D647" s="234" t="s">
        <v>162</v>
      </c>
      <c r="E647" s="687">
        <f>IF(finPNLCh2Prod4Slot2TotalRev=0,0,finPNLCh2Prod4Slot2GP/finPNLCh2Prod4Slot2TotalRev)</f>
        <v>0</v>
      </c>
      <c r="F647" s="276" t="s">
        <v>2441</v>
      </c>
    </row>
    <row r="648" spans="1:6" ht="14.25">
      <c r="A648" s="420"/>
      <c r="B648" s="209"/>
      <c r="C648" s="217"/>
      <c r="D648" s="234"/>
      <c r="E648" s="449"/>
      <c r="F648" s="209"/>
    </row>
    <row r="649" spans="1:6" ht="14.25">
      <c r="A649" s="420"/>
      <c r="B649" s="209"/>
      <c r="C649" s="217" t="s">
        <v>519</v>
      </c>
      <c r="D649" s="234"/>
      <c r="E649" s="449"/>
      <c r="F649" s="209"/>
    </row>
    <row r="650" spans="1:6" ht="14.25">
      <c r="A650" s="420"/>
      <c r="B650" s="209"/>
      <c r="C650" s="217"/>
      <c r="D650" s="209" t="s">
        <v>519</v>
      </c>
      <c r="E650" s="226">
        <f>IF(calcCh2Prod4Slot2Active=1,finCalcCh2Prod4Slot2LogisticsCost,0)</f>
        <v>0</v>
      </c>
      <c r="F650" s="208" t="s">
        <v>2442</v>
      </c>
    </row>
    <row r="651" spans="1:6" ht="14.25">
      <c r="A651" s="420"/>
      <c r="B651" s="209"/>
      <c r="C651" s="217"/>
      <c r="D651" s="234"/>
      <c r="E651" s="449"/>
      <c r="F651" s="209"/>
    </row>
    <row r="652" spans="1:6" ht="14.25">
      <c r="A652" s="420"/>
      <c r="B652" s="209"/>
      <c r="C652" s="217" t="s">
        <v>520</v>
      </c>
      <c r="D652" s="209"/>
      <c r="E652" s="210"/>
      <c r="F652" s="209"/>
    </row>
    <row r="653" spans="1:6" ht="14.25">
      <c r="A653" s="420"/>
      <c r="B653" s="209"/>
      <c r="C653" s="209"/>
      <c r="D653" s="209" t="s">
        <v>521</v>
      </c>
      <c r="E653" s="226">
        <f>finPNLCh2Prod4Slot2GP-finPNLCh2Prod4Slot2LogExp</f>
        <v>0</v>
      </c>
      <c r="F653" s="276" t="s">
        <v>2443</v>
      </c>
    </row>
    <row r="654" spans="1:6" ht="14.25">
      <c r="A654" s="420"/>
      <c r="B654" s="425"/>
      <c r="C654" s="426"/>
      <c r="D654" s="427" t="s">
        <v>522</v>
      </c>
      <c r="E654" s="687">
        <f>IF(finPNLCh2Prod4Slot2TotalRev=0,0,finPNLCh2Prod4Slot2GPaL/finPNLCh2Prod4Slot2TotalRev)</f>
        <v>0</v>
      </c>
      <c r="F654" s="428" t="s">
        <v>2444</v>
      </c>
    </row>
    <row r="655" spans="1:6" s="398" customFormat="1" ht="14.25">
      <c r="A655" s="420"/>
      <c r="B655" s="335"/>
      <c r="C655" s="395"/>
      <c r="D655" s="396"/>
      <c r="E655" s="688"/>
      <c r="F655" s="336"/>
    </row>
    <row r="656" spans="1:6" s="322" customFormat="1" ht="14.25">
      <c r="A656" s="214"/>
      <c r="B656" s="323"/>
      <c r="C656" s="325" t="s">
        <v>395</v>
      </c>
      <c r="D656" s="323"/>
      <c r="E656" s="323"/>
    </row>
    <row r="657" spans="1:6" s="322" customFormat="1" ht="14.25">
      <c r="A657" s="214"/>
      <c r="B657" s="323"/>
      <c r="C657" s="325"/>
      <c r="D657" s="323"/>
      <c r="E657" s="323"/>
    </row>
    <row r="658" spans="1:6" s="379" customFormat="1" ht="14.25">
      <c r="A658" s="413"/>
      <c r="B658" s="325"/>
      <c r="C658" s="325"/>
      <c r="D658" s="325" t="s">
        <v>1394</v>
      </c>
      <c r="E658" s="392">
        <f>IF(calcCh2Prod4Slot3Active=1,calcCh2Prod4Slot3CustPrice*finCalcCh2Prod4Slot3VolSold,0)</f>
        <v>0</v>
      </c>
      <c r="F658" s="276" t="s">
        <v>2768</v>
      </c>
    </row>
    <row r="659" spans="1:6" s="379" customFormat="1" ht="14.25">
      <c r="A659" s="413"/>
      <c r="B659" s="325"/>
      <c r="C659" s="325"/>
      <c r="D659" s="325" t="s">
        <v>1759</v>
      </c>
      <c r="E659" s="392">
        <f>IF(calcCh2Prod4Slot3Active=1,finCalcCh2Prod4Slot3VolSold*paramExciseProd4,0)</f>
        <v>0</v>
      </c>
      <c r="F659" s="276" t="s">
        <v>2769</v>
      </c>
    </row>
    <row r="660" spans="1:6" s="379" customFormat="1" ht="14.25">
      <c r="A660" s="413"/>
      <c r="B660" s="325"/>
      <c r="C660" s="325"/>
      <c r="D660" s="325" t="s">
        <v>694</v>
      </c>
      <c r="E660" s="392">
        <f>IF(calcCh2Prod4Slot3Active=1,finPNLCh2Prod4Slot3Turn-finPNLCh2Prod4Slot3Excise,0)</f>
        <v>0</v>
      </c>
      <c r="F660" s="276" t="s">
        <v>2770</v>
      </c>
    </row>
    <row r="661" spans="1:6" s="379" customFormat="1" ht="14.25">
      <c r="A661" s="413"/>
      <c r="B661" s="325"/>
      <c r="C661" s="325"/>
      <c r="D661" s="325" t="s">
        <v>1396</v>
      </c>
      <c r="E661" s="392">
        <f>IF(calcCh2Prod4Slot3Active=1,(calcCh2Prod4Slot3CustPrice-calcCh2Prod4Slot3AvgSalePrice)*finCalcCh2Prod4Slot3VolSold+calcCh2Prod4Slot3ValDrivExp,0)</f>
        <v>0</v>
      </c>
      <c r="F661" s="276" t="s">
        <v>2771</v>
      </c>
    </row>
    <row r="662" spans="1:6" s="227" customFormat="1" ht="2.1" customHeight="1">
      <c r="A662" s="413"/>
      <c r="B662" s="230"/>
      <c r="C662" s="209"/>
      <c r="D662" s="229"/>
      <c r="E662" s="229"/>
      <c r="F662" s="209"/>
    </row>
    <row r="663" spans="1:6" ht="14.25">
      <c r="A663" s="420"/>
      <c r="B663" s="209"/>
      <c r="C663" s="217" t="s">
        <v>1269</v>
      </c>
      <c r="D663" s="209"/>
      <c r="E663" s="233">
        <f>E660-E661</f>
        <v>0</v>
      </c>
      <c r="F663" s="276" t="s">
        <v>2445</v>
      </c>
    </row>
    <row r="664" spans="1:6" ht="14.25">
      <c r="A664" s="420"/>
      <c r="B664" s="209"/>
      <c r="C664" s="209"/>
      <c r="D664" s="209"/>
      <c r="E664" s="210"/>
      <c r="F664" s="209"/>
    </row>
    <row r="665" spans="1:6" ht="14.25">
      <c r="A665" s="420"/>
      <c r="B665" s="209"/>
      <c r="C665" s="217" t="s">
        <v>404</v>
      </c>
      <c r="D665" s="209"/>
      <c r="E665" s="210"/>
      <c r="F665" s="209"/>
    </row>
    <row r="666" spans="1:6" ht="14.25">
      <c r="A666" s="420"/>
      <c r="B666" s="209"/>
      <c r="C666" s="209"/>
      <c r="D666" s="209" t="s">
        <v>400</v>
      </c>
      <c r="E666" s="226">
        <f>IF(calcCh2Prod4Slot3Active=1,finCalcCh2Prod4Slot3MatExp,0)</f>
        <v>0</v>
      </c>
      <c r="F666" s="276" t="s">
        <v>2446</v>
      </c>
    </row>
    <row r="667" spans="1:6" ht="14.25">
      <c r="A667" s="420"/>
      <c r="B667" s="209"/>
      <c r="C667" s="209"/>
      <c r="D667" s="209" t="s">
        <v>399</v>
      </c>
      <c r="E667" s="226">
        <f>IF(calcCh2Prod4Slot3Active=1,finCalcCh2Prod4Slot3LabourExp,0)</f>
        <v>0</v>
      </c>
      <c r="F667" s="276" t="s">
        <v>2447</v>
      </c>
    </row>
    <row r="668" spans="1:6" ht="14.25">
      <c r="A668" s="420"/>
      <c r="B668" s="209"/>
      <c r="C668" s="209"/>
      <c r="D668" s="209" t="s">
        <v>513</v>
      </c>
      <c r="E668" s="226">
        <f>IF(calcCh2Prod4Slot3Active=1,finCalcCh2Prod4Slot3MachCost,0)</f>
        <v>0</v>
      </c>
      <c r="F668" s="276" t="s">
        <v>2448</v>
      </c>
    </row>
    <row r="669" spans="1:6" ht="14.25">
      <c r="A669" s="420"/>
      <c r="B669" s="209"/>
      <c r="C669" s="209"/>
      <c r="D669" s="209" t="s">
        <v>398</v>
      </c>
      <c r="E669" s="226">
        <f>IF(calcCh2Prod4Slot3Active=1,finCalcCh2Prod4Slot3DepExp,0)</f>
        <v>0</v>
      </c>
      <c r="F669" s="276" t="s">
        <v>2449</v>
      </c>
    </row>
    <row r="670" spans="1:6" s="227" customFormat="1" ht="2.1" customHeight="1">
      <c r="A670" s="413"/>
      <c r="B670" s="230"/>
      <c r="C670" s="209"/>
      <c r="D670" s="229"/>
      <c r="E670" s="229"/>
      <c r="F670" s="209"/>
    </row>
    <row r="671" spans="1:6" ht="14.25">
      <c r="A671" s="420"/>
      <c r="B671" s="209"/>
      <c r="C671" s="209"/>
      <c r="D671" s="209" t="s">
        <v>14</v>
      </c>
      <c r="E671" s="226">
        <f>SUM(E666:E670)</f>
        <v>0</v>
      </c>
      <c r="F671" s="276" t="s">
        <v>2450</v>
      </c>
    </row>
    <row r="672" spans="1:6" ht="14.25">
      <c r="A672" s="420"/>
      <c r="B672" s="209"/>
      <c r="C672" s="209"/>
      <c r="D672" s="209"/>
      <c r="E672" s="210"/>
      <c r="F672" s="209"/>
    </row>
    <row r="673" spans="1:6" ht="14.25">
      <c r="A673" s="420"/>
      <c r="B673" s="209"/>
      <c r="C673" s="217" t="s">
        <v>160</v>
      </c>
      <c r="D673" s="209"/>
      <c r="E673" s="210"/>
      <c r="F673" s="209"/>
    </row>
    <row r="674" spans="1:6" ht="14.25">
      <c r="A674" s="420"/>
      <c r="B674" s="209"/>
      <c r="C674" s="209"/>
      <c r="D674" s="209" t="s">
        <v>160</v>
      </c>
      <c r="E674" s="226">
        <f>IF(calcCh2Prod4Slot3Active=1,finPNLCh2Prod4Slot3TotalRev-finPNLCh2Prod4Slot3TotalCOGs,0)</f>
        <v>0</v>
      </c>
      <c r="F674" s="276" t="s">
        <v>2451</v>
      </c>
    </row>
    <row r="675" spans="1:6" ht="14.25">
      <c r="A675" s="420"/>
      <c r="B675" s="209"/>
      <c r="C675" s="217"/>
      <c r="D675" s="234" t="s">
        <v>162</v>
      </c>
      <c r="E675" s="687">
        <f>IF(finPNLCh2Prod4Slot3TotalRev=0,0,finPNLCh2Prod4Slot3GP/finPNLCh2Prod4Slot3TotalRev)</f>
        <v>0</v>
      </c>
      <c r="F675" s="276" t="s">
        <v>2452</v>
      </c>
    </row>
    <row r="676" spans="1:6" ht="14.25">
      <c r="A676" s="420"/>
      <c r="B676" s="209"/>
      <c r="C676" s="217"/>
      <c r="D676" s="234"/>
      <c r="E676" s="449"/>
      <c r="F676" s="209"/>
    </row>
    <row r="677" spans="1:6" ht="14.25">
      <c r="A677" s="420"/>
      <c r="B677" s="209"/>
      <c r="C677" s="217" t="s">
        <v>519</v>
      </c>
      <c r="D677" s="234"/>
      <c r="E677" s="449"/>
      <c r="F677" s="209"/>
    </row>
    <row r="678" spans="1:6" ht="14.25">
      <c r="A678" s="420"/>
      <c r="B678" s="209"/>
      <c r="C678" s="217"/>
      <c r="D678" s="209" t="s">
        <v>519</v>
      </c>
      <c r="E678" s="226">
        <f>IF(calcCh2Prod4Slot3Active=1,finCalcCh2Prod4Slot3LogisticsCost,0)</f>
        <v>0</v>
      </c>
      <c r="F678" s="208" t="s">
        <v>2453</v>
      </c>
    </row>
    <row r="679" spans="1:6" ht="14.25">
      <c r="A679" s="420"/>
      <c r="B679" s="209"/>
      <c r="C679" s="217"/>
      <c r="D679" s="234"/>
      <c r="E679" s="449"/>
      <c r="F679" s="209"/>
    </row>
    <row r="680" spans="1:6" ht="14.25">
      <c r="A680" s="420"/>
      <c r="B680" s="209"/>
      <c r="C680" s="217" t="s">
        <v>520</v>
      </c>
      <c r="D680" s="209"/>
      <c r="E680" s="210"/>
      <c r="F680" s="209"/>
    </row>
    <row r="681" spans="1:6" ht="14.25">
      <c r="A681" s="420"/>
      <c r="B681" s="209"/>
      <c r="C681" s="209"/>
      <c r="D681" s="209" t="s">
        <v>521</v>
      </c>
      <c r="E681" s="226">
        <f>finPNLCh2Prod4Slot3GP-finPNLCh2Prod4Slot3LogExp</f>
        <v>0</v>
      </c>
      <c r="F681" s="276" t="s">
        <v>2454</v>
      </c>
    </row>
    <row r="682" spans="1:6" ht="14.25">
      <c r="A682" s="420"/>
      <c r="B682" s="209"/>
      <c r="C682" s="217"/>
      <c r="D682" s="234" t="s">
        <v>522</v>
      </c>
      <c r="E682" s="687">
        <f>IF(finPNLCh2Prod4Slot3TotalRev=0,0,finPNLCh2Prod4Slot3GPaL/finPNLCh2Prod4Slot3TotalRev)</f>
        <v>0</v>
      </c>
      <c r="F682" s="276" t="s">
        <v>2455</v>
      </c>
    </row>
    <row r="683" spans="1:6" s="398" customFormat="1" ht="18">
      <c r="A683" s="433" t="s">
        <v>5199</v>
      </c>
      <c r="B683" s="433"/>
      <c r="C683" s="434"/>
      <c r="D683" s="435"/>
      <c r="E683" s="436"/>
      <c r="F683" s="433"/>
    </row>
    <row r="684" spans="1:6" s="322" customFormat="1" ht="14.25">
      <c r="A684" s="416"/>
      <c r="B684" s="416" t="s">
        <v>12868</v>
      </c>
      <c r="C684" s="412"/>
      <c r="D684" s="412"/>
      <c r="E684" s="324"/>
    </row>
    <row r="685" spans="1:6" s="322" customFormat="1" ht="14.25">
      <c r="A685" s="411"/>
      <c r="B685" s="323"/>
      <c r="C685" s="325" t="s">
        <v>379</v>
      </c>
      <c r="D685" s="323"/>
      <c r="E685" s="324"/>
    </row>
    <row r="686" spans="1:6" s="322" customFormat="1" ht="14.25">
      <c r="A686" s="411"/>
      <c r="B686" s="323"/>
      <c r="C686" s="325"/>
      <c r="D686" s="323"/>
      <c r="E686" s="324"/>
    </row>
    <row r="687" spans="1:6" s="379" customFormat="1" ht="14.25">
      <c r="A687" s="415"/>
      <c r="B687" s="325"/>
      <c r="C687" s="325"/>
      <c r="D687" s="325" t="s">
        <v>1394</v>
      </c>
      <c r="E687" s="392">
        <f>IF(calcCh3Prod1Slot1Active=1,calcCh3Prod1Slot1CustPrice*finCalcCh3Prod1Slot1VolSold,0)</f>
        <v>271491869.25</v>
      </c>
      <c r="F687" s="276" t="s">
        <v>2824</v>
      </c>
    </row>
    <row r="688" spans="1:6" s="379" customFormat="1" ht="14.25">
      <c r="A688" s="415"/>
      <c r="B688" s="325"/>
      <c r="C688" s="325"/>
      <c r="D688" s="325" t="s">
        <v>1759</v>
      </c>
      <c r="E688" s="392">
        <f>IF(calcCh3Prod1Slot1Active=1,finCalcCh3Prod1Slot1VolSold*paramExciseProd1,0)</f>
        <v>94348238.25</v>
      </c>
      <c r="F688" s="276" t="s">
        <v>2825</v>
      </c>
    </row>
    <row r="689" spans="1:6" s="379" customFormat="1" ht="14.25">
      <c r="A689" s="415"/>
      <c r="B689" s="325"/>
      <c r="C689" s="325"/>
      <c r="D689" s="325" t="s">
        <v>694</v>
      </c>
      <c r="E689" s="392">
        <f>IF(calcCh3Prod1Slot1Active=1,finPNLCh3Prod1Slot1Turn-finPNLCh3Prod1Slot1Excise,0)</f>
        <v>177143631</v>
      </c>
      <c r="F689" s="276" t="s">
        <v>2826</v>
      </c>
    </row>
    <row r="690" spans="1:6" s="379" customFormat="1" ht="14.25">
      <c r="A690" s="415"/>
      <c r="B690" s="325"/>
      <c r="C690" s="325"/>
      <c r="D690" s="325" t="s">
        <v>1396</v>
      </c>
      <c r="E690" s="392">
        <f>IF(calcCh3Prod1Slot1Active=1,(calcCh3Prod1Slot1CustPrice-calcCh3Prod1Slot1AvgSalePrice)*finCalcCh3Prod1Slot1VolSold+calcCh3Prod1Slot1Promo1PlanExp+calcCh1Prod1Slot1ValDrivExp,0)</f>
        <v>14214835.710927671</v>
      </c>
      <c r="F690" s="276" t="s">
        <v>2827</v>
      </c>
    </row>
    <row r="691" spans="1:6" s="227" customFormat="1" ht="2.1" customHeight="1">
      <c r="A691" s="415"/>
      <c r="B691" s="230"/>
      <c r="C691" s="209"/>
      <c r="D691" s="229"/>
      <c r="E691" s="229"/>
      <c r="F691" s="209"/>
    </row>
    <row r="692" spans="1:6" ht="14.25">
      <c r="A692" s="216"/>
      <c r="B692" s="209"/>
      <c r="C692" s="217" t="s">
        <v>1269</v>
      </c>
      <c r="D692" s="209"/>
      <c r="E692" s="233">
        <f>E689-E690</f>
        <v>162928795.28907233</v>
      </c>
      <c r="F692" s="276" t="s">
        <v>2456</v>
      </c>
    </row>
    <row r="693" spans="1:6" ht="14.25">
      <c r="A693" s="216"/>
      <c r="B693" s="209"/>
      <c r="C693" s="209"/>
      <c r="D693" s="209"/>
      <c r="E693" s="210"/>
      <c r="F693" s="209"/>
    </row>
    <row r="694" spans="1:6" ht="14.25">
      <c r="A694" s="216"/>
      <c r="B694" s="209"/>
      <c r="C694" s="217" t="s">
        <v>404</v>
      </c>
      <c r="D694" s="209"/>
      <c r="E694" s="210"/>
      <c r="F694" s="209"/>
    </row>
    <row r="695" spans="1:6" ht="14.25">
      <c r="A695" s="216"/>
      <c r="B695" s="209"/>
      <c r="C695" s="209"/>
      <c r="D695" s="209" t="s">
        <v>400</v>
      </c>
      <c r="E695" s="226">
        <f>IF(calcCh3Prod1Slot1Active=1,finCalcCh3Prod1Slot1MatExp,0)</f>
        <v>58572788.05085402</v>
      </c>
      <c r="F695" s="276" t="s">
        <v>2457</v>
      </c>
    </row>
    <row r="696" spans="1:6" ht="14.25">
      <c r="A696" s="216"/>
      <c r="B696" s="209"/>
      <c r="C696" s="209"/>
      <c r="D696" s="209" t="s">
        <v>399</v>
      </c>
      <c r="E696" s="226">
        <f>IF(calcCh3Prod1Slot1Active=1,finCalcCh3Prod1Slot1LabourExp,0)</f>
        <v>8613645.3015961777</v>
      </c>
      <c r="F696" s="276" t="s">
        <v>2458</v>
      </c>
    </row>
    <row r="697" spans="1:6" ht="14.25">
      <c r="A697" s="216"/>
      <c r="B697" s="209"/>
      <c r="C697" s="209"/>
      <c r="D697" s="209" t="s">
        <v>513</v>
      </c>
      <c r="E697" s="226">
        <f>IF(calcCh3Prod1Slot1Active=1,finCalcCh3Prod1Slot1MachCost,0)</f>
        <v>12751568.74908</v>
      </c>
      <c r="F697" s="276" t="s">
        <v>2459</v>
      </c>
    </row>
    <row r="698" spans="1:6" ht="14.25">
      <c r="A698" s="216"/>
      <c r="B698" s="209"/>
      <c r="C698" s="209"/>
      <c r="D698" s="209" t="s">
        <v>398</v>
      </c>
      <c r="E698" s="226">
        <f>IF(calcCh3Prod1Slot1Active=1,finCalcCh3Prod1Slot1DepExp,0)</f>
        <v>5675220.3817262165</v>
      </c>
      <c r="F698" s="276" t="s">
        <v>2460</v>
      </c>
    </row>
    <row r="699" spans="1:6" s="227" customFormat="1" ht="2.1" customHeight="1">
      <c r="A699" s="415"/>
      <c r="B699" s="230"/>
      <c r="C699" s="209"/>
      <c r="D699" s="229"/>
      <c r="E699" s="229"/>
      <c r="F699" s="209"/>
    </row>
    <row r="700" spans="1:6" ht="14.25">
      <c r="A700" s="216"/>
      <c r="B700" s="209"/>
      <c r="C700" s="209"/>
      <c r="D700" s="209" t="s">
        <v>14</v>
      </c>
      <c r="E700" s="226">
        <f>SUM(E695:E699)</f>
        <v>85613222.483256415</v>
      </c>
      <c r="F700" s="276" t="s">
        <v>2461</v>
      </c>
    </row>
    <row r="701" spans="1:6" ht="14.25">
      <c r="A701" s="216"/>
      <c r="B701" s="209"/>
      <c r="C701" s="209"/>
      <c r="D701" s="209"/>
      <c r="E701" s="210"/>
      <c r="F701" s="209"/>
    </row>
    <row r="702" spans="1:6" ht="14.25">
      <c r="A702" s="216"/>
      <c r="B702" s="209"/>
      <c r="C702" s="217" t="s">
        <v>160</v>
      </c>
      <c r="D702" s="209"/>
      <c r="E702" s="210"/>
      <c r="F702" s="209"/>
    </row>
    <row r="703" spans="1:6" ht="14.25">
      <c r="A703" s="216"/>
      <c r="B703" s="209"/>
      <c r="C703" s="209"/>
      <c r="D703" s="209" t="s">
        <v>160</v>
      </c>
      <c r="E703" s="226">
        <f>IF(calcCh3Prod1Slot1Active=1,finPNLCh3Prod1Slot1TotalRev-finPNLCh3Prod1Slot1TotalCOGs,0)</f>
        <v>77315572.80581592</v>
      </c>
      <c r="F703" s="276" t="s">
        <v>2462</v>
      </c>
    </row>
    <row r="704" spans="1:6" ht="14.25">
      <c r="A704" s="216"/>
      <c r="B704" s="209"/>
      <c r="C704" s="217"/>
      <c r="D704" s="234" t="s">
        <v>162</v>
      </c>
      <c r="E704" s="687">
        <f>IF(finPNLCh3Prod1Slot1TotalRev=0,0,finPNLCh3Prod1Slot1GP/finPNLCh3Prod1Slot1TotalRev)</f>
        <v>0.47453596320184349</v>
      </c>
      <c r="F704" s="276" t="s">
        <v>2463</v>
      </c>
    </row>
    <row r="705" spans="1:6" ht="14.25">
      <c r="A705" s="216"/>
      <c r="B705" s="209"/>
      <c r="C705" s="217"/>
      <c r="D705" s="234"/>
      <c r="E705" s="449"/>
      <c r="F705" s="209"/>
    </row>
    <row r="706" spans="1:6" ht="14.25">
      <c r="A706" s="216"/>
      <c r="B706" s="209"/>
      <c r="C706" s="217" t="s">
        <v>519</v>
      </c>
      <c r="D706" s="234"/>
      <c r="E706" s="449"/>
      <c r="F706" s="209"/>
    </row>
    <row r="707" spans="1:6" ht="14.25">
      <c r="A707" s="216"/>
      <c r="B707" s="209"/>
      <c r="C707" s="217"/>
      <c r="D707" s="209" t="s">
        <v>519</v>
      </c>
      <c r="E707" s="226">
        <f>IF(calcCh3Prod1Slot1Active=1,finCalcCh3Prod1Slot1LogisticsCost,0)</f>
        <v>9952472.3760000002</v>
      </c>
      <c r="F707" s="208" t="s">
        <v>2464</v>
      </c>
    </row>
    <row r="708" spans="1:6" ht="14.25">
      <c r="A708" s="216"/>
      <c r="B708" s="209"/>
      <c r="C708" s="217"/>
      <c r="D708" s="234"/>
      <c r="E708" s="449"/>
      <c r="F708" s="209"/>
    </row>
    <row r="709" spans="1:6" ht="14.25">
      <c r="A709" s="216"/>
      <c r="B709" s="209"/>
      <c r="C709" s="217" t="s">
        <v>520</v>
      </c>
      <c r="D709" s="209"/>
      <c r="E709" s="210"/>
      <c r="F709" s="209"/>
    </row>
    <row r="710" spans="1:6" ht="14.25">
      <c r="A710" s="216"/>
      <c r="B710" s="209"/>
      <c r="C710" s="209"/>
      <c r="D710" s="209" t="s">
        <v>521</v>
      </c>
      <c r="E710" s="226">
        <f>finPNLCh3Prod1Slot1GP-finPNLCh3Prod1Slot1LogExp</f>
        <v>67363100.429815918</v>
      </c>
      <c r="F710" s="276" t="s">
        <v>2465</v>
      </c>
    </row>
    <row r="711" spans="1:6" ht="14.25">
      <c r="A711" s="216"/>
      <c r="B711" s="425"/>
      <c r="C711" s="426"/>
      <c r="D711" s="427" t="s">
        <v>522</v>
      </c>
      <c r="E711" s="687">
        <f>IF(finPNLCh3Prod1Slot1TotalRev=0,0,finPNLCh3Prod1Slot1GPaL/finPNLCh3Prod1Slot1TotalRev)</f>
        <v>0.41345116626130218</v>
      </c>
      <c r="F711" s="428" t="s">
        <v>2466</v>
      </c>
    </row>
    <row r="712" spans="1:6" s="398" customFormat="1" ht="14.25">
      <c r="A712" s="216"/>
      <c r="B712" s="335"/>
      <c r="C712" s="395"/>
      <c r="D712" s="396"/>
      <c r="E712" s="688"/>
      <c r="F712" s="336"/>
    </row>
    <row r="713" spans="1:6" s="322" customFormat="1" ht="14.25">
      <c r="A713" s="411"/>
      <c r="B713" s="323"/>
      <c r="C713" s="325" t="s">
        <v>394</v>
      </c>
      <c r="D713" s="323"/>
      <c r="E713" s="323"/>
    </row>
    <row r="714" spans="1:6" s="322" customFormat="1" ht="14.25">
      <c r="A714" s="411"/>
      <c r="B714" s="323"/>
      <c r="C714" s="325"/>
      <c r="D714" s="323"/>
      <c r="E714" s="323"/>
    </row>
    <row r="715" spans="1:6" s="379" customFormat="1" ht="14.25">
      <c r="A715" s="415"/>
      <c r="B715" s="325"/>
      <c r="C715" s="325"/>
      <c r="D715" s="325" t="s">
        <v>1394</v>
      </c>
      <c r="E715" s="392">
        <f>IF(calcCh3Prod1Slot2Active=1,calcCh3Prod1Slot2CustPrice*finCalcCh3Prod1Slot2VolSold,0)</f>
        <v>0</v>
      </c>
      <c r="F715" s="276" t="s">
        <v>2828</v>
      </c>
    </row>
    <row r="716" spans="1:6" s="379" customFormat="1" ht="14.25">
      <c r="A716" s="415"/>
      <c r="B716" s="325"/>
      <c r="C716" s="325"/>
      <c r="D716" s="325" t="s">
        <v>1759</v>
      </c>
      <c r="E716" s="392">
        <f>IF(calcCh3Prod1Slot2Active=1,finCalcCh3Prod1Slot2VolSold*paramExciseProd1,0)</f>
        <v>0</v>
      </c>
      <c r="F716" s="276" t="s">
        <v>2829</v>
      </c>
    </row>
    <row r="717" spans="1:6" s="379" customFormat="1" ht="14.25">
      <c r="A717" s="415"/>
      <c r="B717" s="325"/>
      <c r="C717" s="325"/>
      <c r="D717" s="325" t="s">
        <v>694</v>
      </c>
      <c r="E717" s="392">
        <f>IF(calcCh3Prod1Slot2Active=1,finPNLCh3Prod1Slot2Turn-finPNLCh3Prod1Slot2Excise,0)</f>
        <v>0</v>
      </c>
      <c r="F717" s="276" t="s">
        <v>2830</v>
      </c>
    </row>
    <row r="718" spans="1:6" s="379" customFormat="1" ht="14.25">
      <c r="A718" s="415"/>
      <c r="B718" s="325"/>
      <c r="C718" s="325"/>
      <c r="D718" s="325" t="s">
        <v>1396</v>
      </c>
      <c r="E718" s="392">
        <f>IF(calcCh3Prod1Slot2Active=1,(calcCh3Prod1Slot2CustPrice-calcCh3Prod1Slot2AvgSalePrice)*finCalcCh3Prod1Slot2VolSold+calcCh3Prod1Slot2Promo1PlanExp+calcCh1Prod1Slot2ValDrivExp,0)</f>
        <v>0</v>
      </c>
      <c r="F718" s="276" t="s">
        <v>2831</v>
      </c>
    </row>
    <row r="719" spans="1:6" s="227" customFormat="1" ht="2.1" customHeight="1">
      <c r="A719" s="415"/>
      <c r="B719" s="230"/>
      <c r="C719" s="209"/>
      <c r="D719" s="229"/>
      <c r="E719" s="229"/>
      <c r="F719" s="209"/>
    </row>
    <row r="720" spans="1:6" ht="14.25">
      <c r="A720" s="216"/>
      <c r="B720" s="209"/>
      <c r="C720" s="217" t="s">
        <v>1269</v>
      </c>
      <c r="D720" s="209"/>
      <c r="E720" s="233">
        <f>E717-E718</f>
        <v>0</v>
      </c>
      <c r="F720" s="276" t="s">
        <v>2467</v>
      </c>
    </row>
    <row r="721" spans="1:6" ht="14.25">
      <c r="A721" s="216"/>
      <c r="B721" s="209"/>
      <c r="C721" s="209"/>
      <c r="D721" s="209"/>
      <c r="E721" s="210"/>
      <c r="F721" s="209"/>
    </row>
    <row r="722" spans="1:6" ht="14.25">
      <c r="A722" s="216"/>
      <c r="B722" s="209"/>
      <c r="C722" s="217" t="s">
        <v>404</v>
      </c>
      <c r="D722" s="209"/>
      <c r="E722" s="210"/>
      <c r="F722" s="209"/>
    </row>
    <row r="723" spans="1:6" ht="14.25">
      <c r="A723" s="216"/>
      <c r="B723" s="209"/>
      <c r="C723" s="209"/>
      <c r="D723" s="209" t="s">
        <v>400</v>
      </c>
      <c r="E723" s="226">
        <f>IF(calcCh3Prod1Slot2Active=1,finCalcCh3Prod1Slot2MatExp,0)</f>
        <v>0</v>
      </c>
      <c r="F723" s="276" t="s">
        <v>2468</v>
      </c>
    </row>
    <row r="724" spans="1:6" ht="14.25">
      <c r="A724" s="216"/>
      <c r="B724" s="209"/>
      <c r="C724" s="209"/>
      <c r="D724" s="209" t="s">
        <v>399</v>
      </c>
      <c r="E724" s="226">
        <f>IF(calcCh3Prod1Slot2Active=1,finCalcCh3Prod1Slot2LabourExp,0)</f>
        <v>0</v>
      </c>
      <c r="F724" s="276" t="s">
        <v>2469</v>
      </c>
    </row>
    <row r="725" spans="1:6" ht="14.25">
      <c r="A725" s="216"/>
      <c r="B725" s="209"/>
      <c r="C725" s="209"/>
      <c r="D725" s="209" t="s">
        <v>513</v>
      </c>
      <c r="E725" s="226">
        <f>IF(calcCh3Prod1Slot2Active=1,finCalcCh3Prod1Slot2MachCost,0)</f>
        <v>0</v>
      </c>
      <c r="F725" s="276" t="s">
        <v>2470</v>
      </c>
    </row>
    <row r="726" spans="1:6" ht="14.25">
      <c r="A726" s="216"/>
      <c r="B726" s="209"/>
      <c r="C726" s="209"/>
      <c r="D726" s="209" t="s">
        <v>398</v>
      </c>
      <c r="E726" s="226">
        <f>IF(calcCh3Prod1Slot2Active=1,finCalcCh3Prod1Slot2DepExp,0)</f>
        <v>0</v>
      </c>
      <c r="F726" s="276" t="s">
        <v>2471</v>
      </c>
    </row>
    <row r="727" spans="1:6" s="227" customFormat="1" ht="2.1" customHeight="1">
      <c r="A727" s="415"/>
      <c r="B727" s="230"/>
      <c r="C727" s="209"/>
      <c r="D727" s="229"/>
      <c r="E727" s="229"/>
      <c r="F727" s="209"/>
    </row>
    <row r="728" spans="1:6" ht="14.25">
      <c r="A728" s="216"/>
      <c r="B728" s="209"/>
      <c r="C728" s="209"/>
      <c r="D728" s="209" t="s">
        <v>14</v>
      </c>
      <c r="E728" s="226">
        <f>SUM(E723:E727)</f>
        <v>0</v>
      </c>
      <c r="F728" s="276" t="s">
        <v>2472</v>
      </c>
    </row>
    <row r="729" spans="1:6" ht="14.25">
      <c r="A729" s="216"/>
      <c r="B729" s="209"/>
      <c r="C729" s="209"/>
      <c r="D729" s="209"/>
      <c r="E729" s="210"/>
      <c r="F729" s="209"/>
    </row>
    <row r="730" spans="1:6" ht="14.25">
      <c r="A730" s="216"/>
      <c r="B730" s="209"/>
      <c r="C730" s="217" t="s">
        <v>160</v>
      </c>
      <c r="D730" s="209"/>
      <c r="E730" s="210"/>
      <c r="F730" s="209"/>
    </row>
    <row r="731" spans="1:6" ht="14.25">
      <c r="A731" s="216"/>
      <c r="B731" s="209"/>
      <c r="C731" s="209"/>
      <c r="D731" s="209" t="s">
        <v>160</v>
      </c>
      <c r="E731" s="226">
        <f>IF(calcCh3Prod1Slot2Active=1,finPNLCh3Prod1Slot2TotalRev-finPNLCh3Prod1Slot2TotalCOGs,0)</f>
        <v>0</v>
      </c>
      <c r="F731" s="276" t="s">
        <v>2473</v>
      </c>
    </row>
    <row r="732" spans="1:6" ht="14.25">
      <c r="A732" s="216"/>
      <c r="B732" s="209"/>
      <c r="C732" s="217"/>
      <c r="D732" s="234" t="s">
        <v>162</v>
      </c>
      <c r="E732" s="687">
        <f>IF(finPNLCh3Prod1Slot2TotalRev=0,0,finPNLCh3Prod1Slot2GP/finPNLCh3Prod1Slot2TotalRev)</f>
        <v>0</v>
      </c>
      <c r="F732" s="276" t="s">
        <v>2474</v>
      </c>
    </row>
    <row r="733" spans="1:6" ht="14.25">
      <c r="A733" s="216"/>
      <c r="B733" s="209"/>
      <c r="C733" s="217"/>
      <c r="D733" s="234"/>
      <c r="E733" s="449"/>
      <c r="F733" s="209"/>
    </row>
    <row r="734" spans="1:6" ht="14.25">
      <c r="A734" s="216"/>
      <c r="B734" s="209"/>
      <c r="C734" s="217" t="s">
        <v>519</v>
      </c>
      <c r="D734" s="234"/>
      <c r="E734" s="449"/>
      <c r="F734" s="209"/>
    </row>
    <row r="735" spans="1:6" ht="14.25">
      <c r="A735" s="216"/>
      <c r="B735" s="209"/>
      <c r="C735" s="217"/>
      <c r="D735" s="209" t="s">
        <v>519</v>
      </c>
      <c r="E735" s="226">
        <f>IF(calcCh3Prod1Slot2Active=1,finCalcCh3Prod1Slot2LogisticsCost,0)</f>
        <v>0</v>
      </c>
      <c r="F735" s="208" t="s">
        <v>2475</v>
      </c>
    </row>
    <row r="736" spans="1:6" ht="14.25">
      <c r="A736" s="216"/>
      <c r="B736" s="209"/>
      <c r="C736" s="217"/>
      <c r="D736" s="234"/>
      <c r="E736" s="449"/>
      <c r="F736" s="209"/>
    </row>
    <row r="737" spans="1:6" ht="14.25">
      <c r="A737" s="216"/>
      <c r="B737" s="209"/>
      <c r="C737" s="217" t="s">
        <v>520</v>
      </c>
      <c r="D737" s="209"/>
      <c r="E737" s="210"/>
      <c r="F737" s="209"/>
    </row>
    <row r="738" spans="1:6" ht="14.25">
      <c r="A738" s="216"/>
      <c r="B738" s="209"/>
      <c r="C738" s="209"/>
      <c r="D738" s="209" t="s">
        <v>521</v>
      </c>
      <c r="E738" s="226">
        <f>finPNLCh3Prod1Slot2GP-finPNLCh3Prod1Slot2LogExp</f>
        <v>0</v>
      </c>
      <c r="F738" s="276" t="s">
        <v>2476</v>
      </c>
    </row>
    <row r="739" spans="1:6" ht="14.25">
      <c r="A739" s="216"/>
      <c r="B739" s="425"/>
      <c r="C739" s="426"/>
      <c r="D739" s="427" t="s">
        <v>522</v>
      </c>
      <c r="E739" s="687">
        <f>IF(finPNLCh3Prod1Slot2TotalRev=0,0,finPNLCh3Prod1Slot2GPaL/finPNLCh3Prod1Slot2TotalRev)</f>
        <v>0</v>
      </c>
      <c r="F739" s="428" t="s">
        <v>2477</v>
      </c>
    </row>
    <row r="740" spans="1:6" s="398" customFormat="1" ht="14.25">
      <c r="A740" s="216"/>
      <c r="B740" s="335"/>
      <c r="C740" s="395"/>
      <c r="D740" s="396"/>
      <c r="E740" s="688"/>
      <c r="F740" s="336"/>
    </row>
    <row r="741" spans="1:6" s="322" customFormat="1" ht="14.25">
      <c r="A741" s="411"/>
      <c r="B741" s="323"/>
      <c r="C741" s="325" t="s">
        <v>395</v>
      </c>
      <c r="D741" s="323"/>
      <c r="E741" s="323"/>
    </row>
    <row r="742" spans="1:6" s="322" customFormat="1" ht="14.25">
      <c r="A742" s="411"/>
      <c r="B742" s="323"/>
      <c r="C742" s="325"/>
      <c r="D742" s="323"/>
      <c r="E742" s="323"/>
    </row>
    <row r="743" spans="1:6" s="379" customFormat="1" ht="14.25">
      <c r="A743" s="415"/>
      <c r="B743" s="325"/>
      <c r="C743" s="325"/>
      <c r="D743" s="325" t="s">
        <v>1394</v>
      </c>
      <c r="E743" s="392">
        <f>IF(calcCh3Prod1Slot3Active=1,calcCh3Prod1Slot3CustPrice*finCalcCh3Prod1Slot3VolSold,0)</f>
        <v>0</v>
      </c>
      <c r="F743" s="276" t="s">
        <v>2820</v>
      </c>
    </row>
    <row r="744" spans="1:6" s="379" customFormat="1" ht="14.25">
      <c r="A744" s="415"/>
      <c r="B744" s="325"/>
      <c r="C744" s="325"/>
      <c r="D744" s="325" t="s">
        <v>1759</v>
      </c>
      <c r="E744" s="392">
        <f>IF(calcCh3Prod1Slot3Active=1,finCalcCh3Prod1Slot3VolSold*paramExciseProd1,0)</f>
        <v>0</v>
      </c>
      <c r="F744" s="276" t="s">
        <v>2821</v>
      </c>
    </row>
    <row r="745" spans="1:6" s="379" customFormat="1" ht="14.25">
      <c r="A745" s="415"/>
      <c r="B745" s="325"/>
      <c r="C745" s="325"/>
      <c r="D745" s="325" t="s">
        <v>694</v>
      </c>
      <c r="E745" s="392">
        <f>IF(calcCh3Prod1Slot3Active=1,finPNLCh3Prod1Slot3Turn-finPNLCh3Prod1Slot3Excise,0)</f>
        <v>0</v>
      </c>
      <c r="F745" s="276" t="s">
        <v>2822</v>
      </c>
    </row>
    <row r="746" spans="1:6" s="379" customFormat="1" ht="14.25">
      <c r="A746" s="415"/>
      <c r="B746" s="325"/>
      <c r="C746" s="325"/>
      <c r="D746" s="325" t="s">
        <v>1396</v>
      </c>
      <c r="E746" s="392">
        <f>IF(calcCh3Prod1Slot3Active=1,(calcCh3Prod1Slot3CustPrice-calcCh3Prod1Slot3AvgSalePrice)*finCalcCh3Prod1Slot3VolSold+calcCh3Prod1Slot3Promo1PlanExp+calcCh1Prod1Slot3ValDrivExp,0)</f>
        <v>0</v>
      </c>
      <c r="F746" s="276" t="s">
        <v>2823</v>
      </c>
    </row>
    <row r="747" spans="1:6" s="227" customFormat="1" ht="2.1" customHeight="1">
      <c r="A747" s="415"/>
      <c r="B747" s="230"/>
      <c r="C747" s="209"/>
      <c r="D747" s="229"/>
      <c r="E747" s="229"/>
      <c r="F747" s="209"/>
    </row>
    <row r="748" spans="1:6" ht="14.25">
      <c r="A748" s="216"/>
      <c r="B748" s="209"/>
      <c r="C748" s="217" t="s">
        <v>1269</v>
      </c>
      <c r="D748" s="209"/>
      <c r="E748" s="233">
        <f>E745-E746</f>
        <v>0</v>
      </c>
      <c r="F748" s="276" t="s">
        <v>2478</v>
      </c>
    </row>
    <row r="749" spans="1:6" ht="14.25">
      <c r="A749" s="216"/>
      <c r="B749" s="209"/>
      <c r="C749" s="209"/>
      <c r="D749" s="209"/>
      <c r="E749" s="210"/>
      <c r="F749" s="209"/>
    </row>
    <row r="750" spans="1:6" ht="14.25">
      <c r="A750" s="216"/>
      <c r="B750" s="209"/>
      <c r="C750" s="217" t="s">
        <v>404</v>
      </c>
      <c r="D750" s="209"/>
      <c r="E750" s="210"/>
      <c r="F750" s="209"/>
    </row>
    <row r="751" spans="1:6" ht="14.25">
      <c r="A751" s="216"/>
      <c r="B751" s="209"/>
      <c r="C751" s="209"/>
      <c r="D751" s="209" t="s">
        <v>400</v>
      </c>
      <c r="E751" s="226">
        <f>IF(calcCh3Prod1Slot3Active=1,finCalcCh3Prod1Slot3MatExp,0)</f>
        <v>0</v>
      </c>
      <c r="F751" s="276" t="s">
        <v>2479</v>
      </c>
    </row>
    <row r="752" spans="1:6" ht="14.25">
      <c r="A752" s="216"/>
      <c r="B752" s="209"/>
      <c r="C752" s="209"/>
      <c r="D752" s="209" t="s">
        <v>399</v>
      </c>
      <c r="E752" s="226">
        <f>IF(calcCh3Prod1Slot3Active=1,finCalcCh3Prod1Slot3LabourExp,0)</f>
        <v>0</v>
      </c>
      <c r="F752" s="276" t="s">
        <v>2480</v>
      </c>
    </row>
    <row r="753" spans="1:6" ht="14.25">
      <c r="A753" s="216"/>
      <c r="B753" s="209"/>
      <c r="C753" s="209"/>
      <c r="D753" s="209" t="s">
        <v>513</v>
      </c>
      <c r="E753" s="226">
        <f>IF(calcCh3Prod1Slot3Active=1,finCalcCh3Prod1Slot3MachCost,0)</f>
        <v>0</v>
      </c>
      <c r="F753" s="276" t="s">
        <v>2481</v>
      </c>
    </row>
    <row r="754" spans="1:6" ht="14.25">
      <c r="A754" s="216"/>
      <c r="B754" s="209"/>
      <c r="C754" s="209"/>
      <c r="D754" s="209" t="s">
        <v>398</v>
      </c>
      <c r="E754" s="226">
        <f>IF(calcCh3Prod1Slot3Active=1,finCalcCh3Prod1Slot3DepExp,0)</f>
        <v>0</v>
      </c>
      <c r="F754" s="276" t="s">
        <v>2482</v>
      </c>
    </row>
    <row r="755" spans="1:6" s="227" customFormat="1" ht="2.1" customHeight="1">
      <c r="A755" s="415"/>
      <c r="B755" s="230"/>
      <c r="C755" s="209"/>
      <c r="D755" s="229"/>
      <c r="E755" s="229"/>
      <c r="F755" s="209"/>
    </row>
    <row r="756" spans="1:6" ht="14.25">
      <c r="A756" s="216"/>
      <c r="B756" s="209"/>
      <c r="C756" s="209"/>
      <c r="D756" s="209" t="s">
        <v>14</v>
      </c>
      <c r="E756" s="226">
        <f>SUM(E751:E755)</f>
        <v>0</v>
      </c>
      <c r="F756" s="276" t="s">
        <v>2483</v>
      </c>
    </row>
    <row r="757" spans="1:6" ht="14.25">
      <c r="A757" s="216"/>
      <c r="B757" s="209"/>
      <c r="C757" s="209"/>
      <c r="D757" s="209"/>
      <c r="E757" s="210"/>
      <c r="F757" s="209"/>
    </row>
    <row r="758" spans="1:6" ht="14.25">
      <c r="A758" s="216"/>
      <c r="B758" s="209"/>
      <c r="C758" s="217" t="s">
        <v>160</v>
      </c>
      <c r="D758" s="209"/>
      <c r="E758" s="210"/>
      <c r="F758" s="209"/>
    </row>
    <row r="759" spans="1:6" ht="14.25">
      <c r="A759" s="216"/>
      <c r="B759" s="209"/>
      <c r="C759" s="209"/>
      <c r="D759" s="209" t="s">
        <v>160</v>
      </c>
      <c r="E759" s="226">
        <f>IF(calcCh3Prod1Slot3Active=1,finPNLCh3Prod1Slot3TotalRev-finPNLCh3Prod1Slot3TotalCOGs,0)</f>
        <v>0</v>
      </c>
      <c r="F759" s="276" t="s">
        <v>2484</v>
      </c>
    </row>
    <row r="760" spans="1:6" ht="14.25">
      <c r="A760" s="216"/>
      <c r="B760" s="209"/>
      <c r="C760" s="217"/>
      <c r="D760" s="234" t="s">
        <v>162</v>
      </c>
      <c r="E760" s="687">
        <f>IF(finPNLCh3Prod1Slot3TotalRev=0,0,finPNLCh3Prod1Slot3GP/finPNLCh3Prod1Slot3TotalRev)</f>
        <v>0</v>
      </c>
      <c r="F760" s="276" t="s">
        <v>2485</v>
      </c>
    </row>
    <row r="761" spans="1:6" ht="14.25">
      <c r="A761" s="216"/>
      <c r="B761" s="209"/>
      <c r="C761" s="217"/>
      <c r="D761" s="234"/>
      <c r="E761" s="449"/>
      <c r="F761" s="209"/>
    </row>
    <row r="762" spans="1:6" ht="14.25">
      <c r="A762" s="216"/>
      <c r="B762" s="209"/>
      <c r="C762" s="217" t="s">
        <v>519</v>
      </c>
      <c r="D762" s="234"/>
      <c r="E762" s="449"/>
      <c r="F762" s="209"/>
    </row>
    <row r="763" spans="1:6" ht="14.25">
      <c r="A763" s="216"/>
      <c r="B763" s="209"/>
      <c r="C763" s="217"/>
      <c r="D763" s="209" t="s">
        <v>519</v>
      </c>
      <c r="E763" s="226">
        <f>IF(calcCh3Prod1Slot3Active=1,finCalcCh3Prod1Slot3LogisticsCost,0)</f>
        <v>0</v>
      </c>
      <c r="F763" s="208" t="s">
        <v>2486</v>
      </c>
    </row>
    <row r="764" spans="1:6" ht="14.25">
      <c r="A764" s="216"/>
      <c r="B764" s="209"/>
      <c r="C764" s="217"/>
      <c r="D764" s="234"/>
      <c r="E764" s="449"/>
      <c r="F764" s="209"/>
    </row>
    <row r="765" spans="1:6" ht="14.25">
      <c r="A765" s="216"/>
      <c r="B765" s="209"/>
      <c r="C765" s="217" t="s">
        <v>520</v>
      </c>
      <c r="D765" s="209"/>
      <c r="E765" s="210"/>
      <c r="F765" s="209"/>
    </row>
    <row r="766" spans="1:6" ht="14.25">
      <c r="A766" s="216"/>
      <c r="B766" s="209"/>
      <c r="C766" s="209"/>
      <c r="D766" s="209" t="s">
        <v>521</v>
      </c>
      <c r="E766" s="226">
        <f>finPNLCh3Prod1Slot3GP-finPNLCh3Prod1Slot3LogExp</f>
        <v>0</v>
      </c>
      <c r="F766" s="276" t="s">
        <v>2487</v>
      </c>
    </row>
    <row r="767" spans="1:6" ht="14.25">
      <c r="A767" s="216"/>
      <c r="B767" s="209"/>
      <c r="C767" s="217"/>
      <c r="D767" s="234" t="s">
        <v>522</v>
      </c>
      <c r="E767" s="687">
        <f>IF(finPNLCh3Prod1Slot3TotalRev=0,0,finPNLCh3Prod1Slot3GPaL/finPNLCh3Prod1Slot3TotalRev)</f>
        <v>0</v>
      </c>
      <c r="F767" s="276" t="s">
        <v>2488</v>
      </c>
    </row>
    <row r="768" spans="1:6" s="398" customFormat="1" ht="14.25">
      <c r="A768" s="216"/>
      <c r="B768" s="335"/>
      <c r="C768" s="395"/>
      <c r="D768" s="396"/>
      <c r="E768" s="688"/>
      <c r="F768" s="336"/>
    </row>
    <row r="769" spans="1:6" s="322" customFormat="1" ht="14.25">
      <c r="A769" s="416"/>
      <c r="B769" s="416" t="s">
        <v>238</v>
      </c>
      <c r="C769" s="412"/>
      <c r="D769" s="412"/>
    </row>
    <row r="770" spans="1:6" s="322" customFormat="1" ht="14.25">
      <c r="A770" s="411"/>
      <c r="B770" s="323"/>
      <c r="C770" s="325" t="s">
        <v>379</v>
      </c>
      <c r="D770" s="323"/>
      <c r="E770" s="323"/>
    </row>
    <row r="771" spans="1:6" s="322" customFormat="1" ht="14.25">
      <c r="A771" s="411"/>
      <c r="B771" s="323"/>
      <c r="C771" s="325"/>
      <c r="D771" s="323"/>
      <c r="E771" s="323"/>
    </row>
    <row r="772" spans="1:6" s="379" customFormat="1" ht="14.25">
      <c r="A772" s="415"/>
      <c r="B772" s="325"/>
      <c r="C772" s="325"/>
      <c r="D772" s="325" t="s">
        <v>1394</v>
      </c>
      <c r="E772" s="392">
        <f>IF(calcCh3Prod2Slot1Active=1,calcCh3Prod2Slot1CustPrice*finCalcCh3Prod2Slot1VolSold,0)</f>
        <v>228893043.70000002</v>
      </c>
      <c r="F772" s="276" t="s">
        <v>2832</v>
      </c>
    </row>
    <row r="773" spans="1:6" s="379" customFormat="1" ht="14.25">
      <c r="A773" s="415"/>
      <c r="B773" s="325"/>
      <c r="C773" s="325"/>
      <c r="D773" s="325" t="s">
        <v>1759</v>
      </c>
      <c r="E773" s="392">
        <f>IF(calcCh3Prod2Slot1Active=1,finCalcCh3Prod2Slot1VolSold*paramExciseProd2,0)</f>
        <v>69537127.200000003</v>
      </c>
      <c r="F773" s="276" t="s">
        <v>2833</v>
      </c>
    </row>
    <row r="774" spans="1:6" s="379" customFormat="1" ht="14.25">
      <c r="A774" s="415"/>
      <c r="B774" s="325"/>
      <c r="C774" s="325"/>
      <c r="D774" s="325" t="s">
        <v>694</v>
      </c>
      <c r="E774" s="392">
        <f>IF(calcCh3Prod2Slot1Active=1,finPNLCh3Prod2Slot1Turn-finPNLCh3Prod2Slot1Excise,0)</f>
        <v>159355916.5</v>
      </c>
      <c r="F774" s="276" t="s">
        <v>2834</v>
      </c>
    </row>
    <row r="775" spans="1:6" s="379" customFormat="1" ht="14.25">
      <c r="A775" s="415"/>
      <c r="B775" s="325"/>
      <c r="C775" s="325"/>
      <c r="D775" s="325" t="s">
        <v>1396</v>
      </c>
      <c r="E775" s="392">
        <f>IF(calcCh3Prod2Slot1Active=1,(calcCh3Prod2Slot1CustPrice-calcCh3Prod2Slot1AvgSalePrice)*finCalcCh3Prod2Slot1VolSold+calcCh3Prod2Slot1Promo1PlanExp+calcCh1Prod2Slot1ValDrivExp,0)</f>
        <v>15863700.474009655</v>
      </c>
      <c r="F775" s="276" t="s">
        <v>2835</v>
      </c>
    </row>
    <row r="776" spans="1:6" s="227" customFormat="1" ht="2.1" customHeight="1">
      <c r="A776" s="415"/>
      <c r="B776" s="230"/>
      <c r="C776" s="209"/>
      <c r="D776" s="229"/>
      <c r="E776" s="229"/>
      <c r="F776" s="209"/>
    </row>
    <row r="777" spans="1:6" ht="14.25">
      <c r="A777" s="216"/>
      <c r="B777" s="209"/>
      <c r="C777" s="217" t="s">
        <v>1269</v>
      </c>
      <c r="D777" s="209"/>
      <c r="E777" s="233">
        <f>E774-E775</f>
        <v>143492216.02599034</v>
      </c>
      <c r="F777" s="276" t="s">
        <v>2489</v>
      </c>
    </row>
    <row r="778" spans="1:6" ht="14.25">
      <c r="A778" s="216"/>
      <c r="B778" s="209"/>
      <c r="C778" s="209"/>
      <c r="D778" s="209"/>
      <c r="E778" s="210"/>
      <c r="F778" s="209"/>
    </row>
    <row r="779" spans="1:6" ht="14.25">
      <c r="A779" s="216"/>
      <c r="B779" s="209"/>
      <c r="C779" s="217" t="s">
        <v>404</v>
      </c>
      <c r="D779" s="209"/>
      <c r="E779" s="210"/>
      <c r="F779" s="209"/>
    </row>
    <row r="780" spans="1:6" ht="14.25">
      <c r="A780" s="216"/>
      <c r="B780" s="209"/>
      <c r="C780" s="209"/>
      <c r="D780" s="209" t="s">
        <v>400</v>
      </c>
      <c r="E780" s="226">
        <f>IF(calcCh3Prod2Slot1Active=1,finCalcCh3Prod2Slot1MatExp,0)</f>
        <v>46912214.577135608</v>
      </c>
      <c r="F780" s="276" t="s">
        <v>2490</v>
      </c>
    </row>
    <row r="781" spans="1:6" ht="14.25">
      <c r="A781" s="216"/>
      <c r="B781" s="209"/>
      <c r="C781" s="209"/>
      <c r="D781" s="209" t="s">
        <v>399</v>
      </c>
      <c r="E781" s="226">
        <f>IF(calcCh3Prod2Slot1Active=1,finCalcCh3Prod2Slot1LabourExp,0)</f>
        <v>6898855.0848728837</v>
      </c>
      <c r="F781" s="276" t="s">
        <v>2491</v>
      </c>
    </row>
    <row r="782" spans="1:6" ht="14.25">
      <c r="A782" s="216"/>
      <c r="B782" s="209"/>
      <c r="C782" s="209"/>
      <c r="D782" s="209" t="s">
        <v>513</v>
      </c>
      <c r="E782" s="226">
        <f>IF(calcCh3Prod2Slot1Active=1,finCalcCh3Prod2Slot1MachCost,0)</f>
        <v>5651282.3275440009</v>
      </c>
      <c r="F782" s="276" t="s">
        <v>2492</v>
      </c>
    </row>
    <row r="783" spans="1:6" ht="14.25">
      <c r="A783" s="216"/>
      <c r="B783" s="209"/>
      <c r="C783" s="209"/>
      <c r="D783" s="209" t="s">
        <v>398</v>
      </c>
      <c r="E783" s="226">
        <f>IF(calcCh3Prod2Slot1Active=1,finCalcCh3Prod2Slot1DepExp,0)</f>
        <v>2515162.9010729236</v>
      </c>
      <c r="F783" s="276" t="s">
        <v>2493</v>
      </c>
    </row>
    <row r="784" spans="1:6" s="227" customFormat="1" ht="2.1" customHeight="1">
      <c r="A784" s="415"/>
      <c r="B784" s="230"/>
      <c r="C784" s="209"/>
      <c r="D784" s="229"/>
      <c r="E784" s="229"/>
      <c r="F784" s="209"/>
    </row>
    <row r="785" spans="1:6" ht="14.25">
      <c r="A785" s="216"/>
      <c r="B785" s="209"/>
      <c r="C785" s="209"/>
      <c r="D785" s="209" t="s">
        <v>14</v>
      </c>
      <c r="E785" s="226">
        <f>SUM(E780:E784)</f>
        <v>61977514.890625425</v>
      </c>
      <c r="F785" s="276" t="s">
        <v>2494</v>
      </c>
    </row>
    <row r="786" spans="1:6" ht="14.25">
      <c r="A786" s="216"/>
      <c r="B786" s="209"/>
      <c r="C786" s="209"/>
      <c r="D786" s="209"/>
      <c r="E786" s="210"/>
      <c r="F786" s="209"/>
    </row>
    <row r="787" spans="1:6" ht="14.25">
      <c r="A787" s="216"/>
      <c r="B787" s="209"/>
      <c r="C787" s="217" t="s">
        <v>160</v>
      </c>
      <c r="D787" s="209"/>
      <c r="E787" s="210"/>
      <c r="F787" s="209"/>
    </row>
    <row r="788" spans="1:6" ht="14.25">
      <c r="A788" s="216"/>
      <c r="B788" s="209"/>
      <c r="C788" s="209"/>
      <c r="D788" s="209" t="s">
        <v>160</v>
      </c>
      <c r="E788" s="226">
        <f>IF(calcCh3Prod2Slot1Active=1,finPNLCh3Prod2Slot1TotalRev-finPNLCh3Prod2Slot1TotalCOGs,0)</f>
        <v>81514701.13536492</v>
      </c>
      <c r="F788" s="276" t="s">
        <v>2495</v>
      </c>
    </row>
    <row r="789" spans="1:6" ht="14.25">
      <c r="A789" s="216"/>
      <c r="B789" s="209"/>
      <c r="C789" s="217"/>
      <c r="D789" s="234" t="s">
        <v>162</v>
      </c>
      <c r="E789" s="687">
        <f>IF(finPNLCh3Prod2Slot1TotalRev=0,0,finPNLCh3Prod2Slot1GP/finPNLCh3Prod2Slot1TotalRev)</f>
        <v>0.56807751244569527</v>
      </c>
      <c r="F789" s="276" t="s">
        <v>2496</v>
      </c>
    </row>
    <row r="790" spans="1:6" ht="14.25">
      <c r="A790" s="216"/>
      <c r="B790" s="209"/>
      <c r="C790" s="217"/>
      <c r="D790" s="234"/>
      <c r="E790" s="449"/>
      <c r="F790" s="209"/>
    </row>
    <row r="791" spans="1:6" ht="14.25">
      <c r="A791" s="216"/>
      <c r="B791" s="209"/>
      <c r="C791" s="217" t="s">
        <v>519</v>
      </c>
      <c r="D791" s="234"/>
      <c r="E791" s="449"/>
      <c r="F791" s="209"/>
    </row>
    <row r="792" spans="1:6" ht="14.25">
      <c r="A792" s="216"/>
      <c r="B792" s="209"/>
      <c r="C792" s="217"/>
      <c r="D792" s="209" t="s">
        <v>519</v>
      </c>
      <c r="E792" s="226">
        <f>IF(calcCh3Prod2Slot1Active=1,finCalcCh3Prod2Slot1LogisticsCost,0)</f>
        <v>7971150.6864000009</v>
      </c>
      <c r="F792" s="208" t="s">
        <v>2497</v>
      </c>
    </row>
    <row r="793" spans="1:6" ht="14.25">
      <c r="A793" s="216"/>
      <c r="B793" s="209"/>
      <c r="C793" s="217"/>
      <c r="D793" s="234"/>
      <c r="E793" s="449"/>
      <c r="F793" s="209"/>
    </row>
    <row r="794" spans="1:6" ht="14.25">
      <c r="A794" s="216"/>
      <c r="B794" s="209"/>
      <c r="C794" s="217" t="s">
        <v>520</v>
      </c>
      <c r="D794" s="209"/>
      <c r="E794" s="210"/>
      <c r="F794" s="209"/>
    </row>
    <row r="795" spans="1:6" ht="14.25">
      <c r="A795" s="216"/>
      <c r="B795" s="209"/>
      <c r="C795" s="209"/>
      <c r="D795" s="209" t="s">
        <v>521</v>
      </c>
      <c r="E795" s="226">
        <f>finPNLCh3Prod2Slot1GP-finPNLCh3Prod2Slot1LogExp</f>
        <v>73543550.448964924</v>
      </c>
      <c r="F795" s="276" t="s">
        <v>2498</v>
      </c>
    </row>
    <row r="796" spans="1:6" ht="14.25">
      <c r="A796" s="216"/>
      <c r="B796" s="425"/>
      <c r="C796" s="426"/>
      <c r="D796" s="427" t="s">
        <v>522</v>
      </c>
      <c r="E796" s="687">
        <f>IF(finPNLCh3Prod2Slot1TotalRev=0,0,finPNLCh3Prod2Slot1GPaL/finPNLCh3Prod2Slot1TotalRev)</f>
        <v>0.51252641074024663</v>
      </c>
      <c r="F796" s="428" t="s">
        <v>2499</v>
      </c>
    </row>
    <row r="797" spans="1:6" s="398" customFormat="1" ht="14.25">
      <c r="A797" s="216"/>
      <c r="B797" s="335"/>
      <c r="C797" s="395"/>
      <c r="D797" s="396"/>
      <c r="E797" s="688"/>
      <c r="F797" s="336"/>
    </row>
    <row r="798" spans="1:6" s="322" customFormat="1" ht="14.25">
      <c r="A798" s="411"/>
      <c r="B798" s="323"/>
      <c r="C798" s="325" t="s">
        <v>394</v>
      </c>
      <c r="D798" s="323"/>
      <c r="E798" s="323"/>
    </row>
    <row r="799" spans="1:6" s="322" customFormat="1" ht="14.25">
      <c r="A799" s="411"/>
      <c r="B799" s="323"/>
      <c r="C799" s="325"/>
      <c r="D799" s="323"/>
      <c r="E799" s="323"/>
    </row>
    <row r="800" spans="1:6" s="379" customFormat="1" ht="14.25">
      <c r="A800" s="415"/>
      <c r="B800" s="325"/>
      <c r="C800" s="325"/>
      <c r="D800" s="325" t="s">
        <v>1394</v>
      </c>
      <c r="E800" s="392">
        <f>IF(calcCh3Prod2Slot2Active=1,calcCh3Prod2Slot2CustPrice*finCalcCh3Prod2Slot2VolSold,0)</f>
        <v>347685636</v>
      </c>
      <c r="F800" s="276" t="s">
        <v>2836</v>
      </c>
    </row>
    <row r="801" spans="1:6" s="379" customFormat="1" ht="14.25">
      <c r="A801" s="415"/>
      <c r="B801" s="325"/>
      <c r="C801" s="325"/>
      <c r="D801" s="325" t="s">
        <v>1759</v>
      </c>
      <c r="E801" s="392">
        <f>IF(calcCh3Prod2Slot2Active=1,finCalcCh3Prod2Slot2VolSold*paramExciseProd2,0)</f>
        <v>104305690.8</v>
      </c>
      <c r="F801" s="276" t="s">
        <v>2837</v>
      </c>
    </row>
    <row r="802" spans="1:6" s="379" customFormat="1" ht="14.25">
      <c r="A802" s="415"/>
      <c r="B802" s="325"/>
      <c r="C802" s="325"/>
      <c r="D802" s="325" t="s">
        <v>694</v>
      </c>
      <c r="E802" s="392">
        <f>IF(calcCh3Prod2Slot2Active=1,finPNLCh3Prod2Slot2Turn-finPNLCh3Prod2Slot2Excise,0)</f>
        <v>243379945.19999999</v>
      </c>
      <c r="F802" s="276" t="s">
        <v>2838</v>
      </c>
    </row>
    <row r="803" spans="1:6" s="379" customFormat="1" ht="14.25">
      <c r="A803" s="415"/>
      <c r="B803" s="325"/>
      <c r="C803" s="325"/>
      <c r="D803" s="325" t="s">
        <v>1396</v>
      </c>
      <c r="E803" s="392">
        <f>IF(calcCh3Prod2Slot2Active=1,(calcCh3Prod2Slot2CustPrice-calcCh3Prod2Slot2AvgSalePrice)*finCalcCh3Prod2Slot2VolSold+calcCh3Prod2Slot2Promo1PlanExp+calcCh1Prod2Slot2ValDrivExp,0)</f>
        <v>14715716.970559917</v>
      </c>
      <c r="F803" s="276" t="s">
        <v>2839</v>
      </c>
    </row>
    <row r="804" spans="1:6" s="227" customFormat="1" ht="2.1" customHeight="1">
      <c r="A804" s="415"/>
      <c r="B804" s="230"/>
      <c r="C804" s="209"/>
      <c r="D804" s="229"/>
      <c r="E804" s="229"/>
      <c r="F804" s="209"/>
    </row>
    <row r="805" spans="1:6" ht="14.25">
      <c r="A805" s="216"/>
      <c r="B805" s="209"/>
      <c r="C805" s="217" t="s">
        <v>1269</v>
      </c>
      <c r="D805" s="209"/>
      <c r="E805" s="233">
        <f>E802-E803</f>
        <v>228664228.22944006</v>
      </c>
      <c r="F805" s="276" t="s">
        <v>2500</v>
      </c>
    </row>
    <row r="806" spans="1:6" ht="14.25">
      <c r="A806" s="216"/>
      <c r="B806" s="209"/>
      <c r="C806" s="209"/>
      <c r="D806" s="209"/>
      <c r="E806" s="210"/>
      <c r="F806" s="209"/>
    </row>
    <row r="807" spans="1:6" ht="14.25">
      <c r="A807" s="216"/>
      <c r="B807" s="209"/>
      <c r="C807" s="217" t="s">
        <v>404</v>
      </c>
      <c r="D807" s="209"/>
      <c r="E807" s="210"/>
      <c r="F807" s="209"/>
    </row>
    <row r="808" spans="1:6" ht="14.25">
      <c r="A808" s="216"/>
      <c r="B808" s="209"/>
      <c r="C808" s="209"/>
      <c r="D808" s="209" t="s">
        <v>400</v>
      </c>
      <c r="E808" s="226">
        <f>IF(calcCh3Prod2Slot2Active=1,finCalcCh3Prod2Slot2MatExp,0)</f>
        <v>66103575.085963823</v>
      </c>
      <c r="F808" s="276" t="s">
        <v>2501</v>
      </c>
    </row>
    <row r="809" spans="1:6" ht="14.25">
      <c r="A809" s="216"/>
      <c r="B809" s="209"/>
      <c r="C809" s="209"/>
      <c r="D809" s="209" t="s">
        <v>399</v>
      </c>
      <c r="E809" s="226">
        <f>IF(calcCh3Prod2Slot2Active=1,finCalcCh3Prod2Slot2LabourExp,0)</f>
        <v>9721113.9832299724</v>
      </c>
      <c r="F809" s="276" t="s">
        <v>2502</v>
      </c>
    </row>
    <row r="810" spans="1:6" ht="14.25">
      <c r="A810" s="216"/>
      <c r="B810" s="209"/>
      <c r="C810" s="209"/>
      <c r="D810" s="209" t="s">
        <v>513</v>
      </c>
      <c r="E810" s="226">
        <f>IF(calcCh3Prod2Slot2Active=1,finCalcCh3Prod2Slot2MachCost,0)</f>
        <v>12813954.114780001</v>
      </c>
      <c r="F810" s="276" t="s">
        <v>2503</v>
      </c>
    </row>
    <row r="811" spans="1:6" ht="14.25">
      <c r="A811" s="216"/>
      <c r="B811" s="209"/>
      <c r="C811" s="209"/>
      <c r="D811" s="209" t="s">
        <v>398</v>
      </c>
      <c r="E811" s="226">
        <f>IF(calcCh3Prod2Slot2Active=1,finCalcCh3Prod2Slot2DepExp,0)</f>
        <v>5702985.6477816291</v>
      </c>
      <c r="F811" s="276" t="s">
        <v>2504</v>
      </c>
    </row>
    <row r="812" spans="1:6" s="227" customFormat="1" ht="2.1" customHeight="1">
      <c r="A812" s="415"/>
      <c r="B812" s="230"/>
      <c r="C812" s="209"/>
      <c r="D812" s="229"/>
      <c r="E812" s="229"/>
      <c r="F812" s="209"/>
    </row>
    <row r="813" spans="1:6" ht="14.25">
      <c r="A813" s="216"/>
      <c r="B813" s="209"/>
      <c r="C813" s="209"/>
      <c r="D813" s="209" t="s">
        <v>14</v>
      </c>
      <c r="E813" s="226">
        <f>SUM(E808:E812)</f>
        <v>94341628.831755415</v>
      </c>
      <c r="F813" s="276" t="s">
        <v>2505</v>
      </c>
    </row>
    <row r="814" spans="1:6" ht="14.25">
      <c r="A814" s="216"/>
      <c r="B814" s="209"/>
      <c r="C814" s="209"/>
      <c r="D814" s="209"/>
      <c r="E814" s="210"/>
      <c r="F814" s="209"/>
    </row>
    <row r="815" spans="1:6" ht="14.25">
      <c r="A815" s="216"/>
      <c r="B815" s="209"/>
      <c r="C815" s="217" t="s">
        <v>160</v>
      </c>
      <c r="D815" s="209"/>
      <c r="E815" s="210"/>
      <c r="F815" s="209"/>
    </row>
    <row r="816" spans="1:6" ht="14.25">
      <c r="A816" s="216"/>
      <c r="B816" s="209"/>
      <c r="C816" s="209"/>
      <c r="D816" s="209" t="s">
        <v>160</v>
      </c>
      <c r="E816" s="226">
        <f>IF(calcCh3Prod2Slot2Active=1,finPNLCh3Prod2Slot2TotalRev-finPNLCh3Prod2Slot2TotalCOGs,0)</f>
        <v>134322599.39768463</v>
      </c>
      <c r="F816" s="276" t="s">
        <v>2506</v>
      </c>
    </row>
    <row r="817" spans="1:6" ht="14.25">
      <c r="A817" s="216"/>
      <c r="B817" s="209"/>
      <c r="C817" s="217"/>
      <c r="D817" s="234" t="s">
        <v>162</v>
      </c>
      <c r="E817" s="687">
        <f>IF(finPNLCh3Prod2Slot2TotalRev=0,0,finPNLCh3Prod2Slot2GP/finPNLCh3Prod2Slot2TotalRev)</f>
        <v>0.58742287955467298</v>
      </c>
      <c r="F817" s="276" t="s">
        <v>2507</v>
      </c>
    </row>
    <row r="818" spans="1:6" ht="14.25">
      <c r="A818" s="216"/>
      <c r="B818" s="209"/>
      <c r="C818" s="217"/>
      <c r="D818" s="234"/>
      <c r="E818" s="449"/>
      <c r="F818" s="209"/>
    </row>
    <row r="819" spans="1:6" ht="14.25">
      <c r="A819" s="216"/>
      <c r="B819" s="209"/>
      <c r="C819" s="217" t="s">
        <v>519</v>
      </c>
      <c r="D819" s="234"/>
      <c r="E819" s="449"/>
      <c r="F819" s="209"/>
    </row>
    <row r="820" spans="1:6" ht="14.25">
      <c r="A820" s="216"/>
      <c r="B820" s="209"/>
      <c r="C820" s="217"/>
      <c r="D820" s="209" t="s">
        <v>519</v>
      </c>
      <c r="E820" s="226">
        <f>IF(calcCh3Prod2Slot2Active=1,finCalcCh3Prod2Slot2LogisticsCost,0)</f>
        <v>11232075.967200002</v>
      </c>
      <c r="F820" s="208" t="s">
        <v>2508</v>
      </c>
    </row>
    <row r="821" spans="1:6" ht="14.25">
      <c r="A821" s="216"/>
      <c r="B821" s="209"/>
      <c r="C821" s="217"/>
      <c r="D821" s="234"/>
      <c r="E821" s="449"/>
      <c r="F821" s="209"/>
    </row>
    <row r="822" spans="1:6" ht="14.25">
      <c r="A822" s="216"/>
      <c r="B822" s="209"/>
      <c r="C822" s="217" t="s">
        <v>520</v>
      </c>
      <c r="D822" s="209"/>
      <c r="E822" s="210"/>
      <c r="F822" s="209"/>
    </row>
    <row r="823" spans="1:6" ht="14.25">
      <c r="A823" s="216"/>
      <c r="B823" s="209"/>
      <c r="C823" s="209"/>
      <c r="D823" s="209" t="s">
        <v>521</v>
      </c>
      <c r="E823" s="226">
        <f>finPNLCh3Prod2Slot2GP-finPNLCh3Prod2Slot2LogExp</f>
        <v>123090523.43048464</v>
      </c>
      <c r="F823" s="276" t="s">
        <v>2509</v>
      </c>
    </row>
    <row r="824" spans="1:6" ht="14.25">
      <c r="A824" s="216"/>
      <c r="B824" s="425"/>
      <c r="C824" s="426"/>
      <c r="D824" s="427" t="s">
        <v>522</v>
      </c>
      <c r="E824" s="687">
        <f>IF(finPNLCh3Prod2Slot2TotalRev=0,0,finPNLCh3Prod2Slot2GPaL/finPNLCh3Prod2Slot2TotalRev)</f>
        <v>0.53830249000283714</v>
      </c>
      <c r="F824" s="428" t="s">
        <v>2510</v>
      </c>
    </row>
    <row r="825" spans="1:6" s="398" customFormat="1" ht="14.25">
      <c r="A825" s="216"/>
      <c r="B825" s="335"/>
      <c r="C825" s="395"/>
      <c r="D825" s="396"/>
      <c r="E825" s="688"/>
      <c r="F825" s="336"/>
    </row>
    <row r="826" spans="1:6" s="322" customFormat="1" ht="14.25">
      <c r="A826" s="411"/>
      <c r="B826" s="323"/>
      <c r="C826" s="325" t="s">
        <v>395</v>
      </c>
      <c r="D826" s="323"/>
      <c r="E826" s="323"/>
    </row>
    <row r="827" spans="1:6" s="322" customFormat="1" ht="14.25">
      <c r="A827" s="411"/>
      <c r="B827" s="323"/>
      <c r="C827" s="325"/>
      <c r="D827" s="323"/>
      <c r="E827" s="323"/>
    </row>
    <row r="828" spans="1:6" s="379" customFormat="1" ht="14.25">
      <c r="A828" s="415"/>
      <c r="B828" s="325"/>
      <c r="C828" s="325"/>
      <c r="D828" s="325" t="s">
        <v>1394</v>
      </c>
      <c r="E828" s="392">
        <f>IF(calcCh3Prod2Slot3Active=1,calcCh3Prod2Slot3CustPrice*finCalcCh3Prod2Slot3VolSold,0)</f>
        <v>0</v>
      </c>
      <c r="F828" s="276" t="s">
        <v>2840</v>
      </c>
    </row>
    <row r="829" spans="1:6" s="379" customFormat="1" ht="14.25">
      <c r="A829" s="415"/>
      <c r="B829" s="325"/>
      <c r="C829" s="325"/>
      <c r="D829" s="325" t="s">
        <v>1759</v>
      </c>
      <c r="E829" s="392">
        <f>IF(calcCh3Prod2Slot3Active=1,finCalcCh3Prod2Slot3VolSold*paramExciseProd2,0)</f>
        <v>0</v>
      </c>
      <c r="F829" s="276" t="s">
        <v>2841</v>
      </c>
    </row>
    <row r="830" spans="1:6" s="379" customFormat="1" ht="14.25">
      <c r="A830" s="415"/>
      <c r="B830" s="325"/>
      <c r="C830" s="325"/>
      <c r="D830" s="325" t="s">
        <v>694</v>
      </c>
      <c r="E830" s="392">
        <f>IF(calcCh3Prod2Slot3Active=1,finPNLCh3Prod2Slot3Turn-finPNLCh3Prod2Slot3Excise,0)</f>
        <v>0</v>
      </c>
      <c r="F830" s="276" t="s">
        <v>2842</v>
      </c>
    </row>
    <row r="831" spans="1:6" s="379" customFormat="1" ht="14.25">
      <c r="A831" s="415"/>
      <c r="B831" s="325"/>
      <c r="C831" s="325"/>
      <c r="D831" s="325" t="s">
        <v>1396</v>
      </c>
      <c r="E831" s="392">
        <f>IF(calcCh3Prod2Slot3Active=1,(calcCh3Prod2Slot3CustPrice-calcCh3Prod2Slot3AvgSalePrice)*finCalcCh3Prod2Slot3VolSold+calcCh3Prod2Slot3Promo1PlanExp+calcCh1Prod2Slot3ValDrivExp,0)</f>
        <v>0</v>
      </c>
      <c r="F831" s="276" t="s">
        <v>2843</v>
      </c>
    </row>
    <row r="832" spans="1:6" s="227" customFormat="1" ht="2.1" customHeight="1">
      <c r="A832" s="415"/>
      <c r="B832" s="230"/>
      <c r="C832" s="209"/>
      <c r="D832" s="229"/>
      <c r="E832" s="229"/>
      <c r="F832" s="209"/>
    </row>
    <row r="833" spans="1:6" ht="14.25">
      <c r="A833" s="216"/>
      <c r="B833" s="209"/>
      <c r="C833" s="217" t="s">
        <v>1269</v>
      </c>
      <c r="D833" s="209"/>
      <c r="E833" s="233">
        <f>E830-E831</f>
        <v>0</v>
      </c>
      <c r="F833" s="276" t="s">
        <v>2511</v>
      </c>
    </row>
    <row r="834" spans="1:6" ht="14.25">
      <c r="A834" s="216"/>
      <c r="B834" s="209"/>
      <c r="C834" s="209"/>
      <c r="D834" s="209"/>
      <c r="E834" s="210"/>
      <c r="F834" s="209"/>
    </row>
    <row r="835" spans="1:6" ht="14.25">
      <c r="A835" s="216"/>
      <c r="B835" s="209"/>
      <c r="C835" s="217" t="s">
        <v>404</v>
      </c>
      <c r="D835" s="209"/>
      <c r="E835" s="210"/>
      <c r="F835" s="209"/>
    </row>
    <row r="836" spans="1:6" ht="14.25">
      <c r="A836" s="216"/>
      <c r="B836" s="209"/>
      <c r="C836" s="209"/>
      <c r="D836" s="209" t="s">
        <v>400</v>
      </c>
      <c r="E836" s="226">
        <f>IF(calcCh3Prod2Slot3Active=1,finCalcCh3Prod2Slot3MatExp,0)</f>
        <v>0</v>
      </c>
      <c r="F836" s="276" t="s">
        <v>2512</v>
      </c>
    </row>
    <row r="837" spans="1:6" ht="14.25">
      <c r="A837" s="216"/>
      <c r="B837" s="209"/>
      <c r="C837" s="209"/>
      <c r="D837" s="209" t="s">
        <v>399</v>
      </c>
      <c r="E837" s="226">
        <f>IF(calcCh3Prod2Slot3Active=1,finCalcCh3Prod2Slot3LabourExp,0)</f>
        <v>0</v>
      </c>
      <c r="F837" s="276" t="s">
        <v>2513</v>
      </c>
    </row>
    <row r="838" spans="1:6" ht="14.25">
      <c r="A838" s="216"/>
      <c r="B838" s="209"/>
      <c r="C838" s="209"/>
      <c r="D838" s="209" t="s">
        <v>513</v>
      </c>
      <c r="E838" s="226">
        <f>IF(calcCh3Prod2Slot3Active=1,finCalcCh3Prod2Slot3MachCost,0)</f>
        <v>0</v>
      </c>
      <c r="F838" s="276" t="s">
        <v>2514</v>
      </c>
    </row>
    <row r="839" spans="1:6" ht="14.25">
      <c r="A839" s="216"/>
      <c r="B839" s="209"/>
      <c r="C839" s="209"/>
      <c r="D839" s="209" t="s">
        <v>398</v>
      </c>
      <c r="E839" s="226">
        <f>IF(calcCh3Prod2Slot3Active=1,finCalcCh3Prod2Slot3DepExp,0)</f>
        <v>0</v>
      </c>
      <c r="F839" s="276" t="s">
        <v>2515</v>
      </c>
    </row>
    <row r="840" spans="1:6" s="227" customFormat="1" ht="2.1" customHeight="1">
      <c r="A840" s="415"/>
      <c r="B840" s="230"/>
      <c r="C840" s="209"/>
      <c r="D840" s="229"/>
      <c r="E840" s="229"/>
      <c r="F840" s="209"/>
    </row>
    <row r="841" spans="1:6" ht="14.25">
      <c r="A841" s="216"/>
      <c r="B841" s="209"/>
      <c r="C841" s="209"/>
      <c r="D841" s="209" t="s">
        <v>14</v>
      </c>
      <c r="E841" s="226">
        <f>SUM(E836:E840)</f>
        <v>0</v>
      </c>
      <c r="F841" s="276" t="s">
        <v>2516</v>
      </c>
    </row>
    <row r="842" spans="1:6" ht="14.25">
      <c r="A842" s="216"/>
      <c r="B842" s="209"/>
      <c r="C842" s="209"/>
      <c r="D842" s="209"/>
      <c r="E842" s="210"/>
      <c r="F842" s="209"/>
    </row>
    <row r="843" spans="1:6" ht="14.25">
      <c r="A843" s="216"/>
      <c r="B843" s="209"/>
      <c r="C843" s="217" t="s">
        <v>160</v>
      </c>
      <c r="D843" s="209"/>
      <c r="E843" s="210"/>
      <c r="F843" s="209"/>
    </row>
    <row r="844" spans="1:6" ht="14.25">
      <c r="A844" s="216"/>
      <c r="B844" s="209"/>
      <c r="C844" s="209"/>
      <c r="D844" s="209" t="s">
        <v>160</v>
      </c>
      <c r="E844" s="226">
        <f>IF(calcCh3Prod2Slot3Active=1,finPNLCh3Prod2Slot3TotalRev-finPNLCh3Prod2Slot3TotalCOGs,0)</f>
        <v>0</v>
      </c>
      <c r="F844" s="276" t="s">
        <v>2517</v>
      </c>
    </row>
    <row r="845" spans="1:6" ht="14.25">
      <c r="A845" s="216"/>
      <c r="B845" s="209"/>
      <c r="C845" s="217"/>
      <c r="D845" s="234" t="s">
        <v>162</v>
      </c>
      <c r="E845" s="687">
        <f>IF(finPNLCh3Prod2Slot3TotalRev=0,0,finPNLCh3Prod2Slot3GP/finPNLCh3Prod2Slot3TotalRev)</f>
        <v>0</v>
      </c>
      <c r="F845" s="276" t="s">
        <v>2518</v>
      </c>
    </row>
    <row r="846" spans="1:6" ht="14.25">
      <c r="A846" s="216"/>
      <c r="B846" s="209"/>
      <c r="C846" s="217"/>
      <c r="D846" s="234"/>
      <c r="E846" s="449"/>
      <c r="F846" s="209"/>
    </row>
    <row r="847" spans="1:6" ht="14.25">
      <c r="A847" s="216"/>
      <c r="B847" s="209"/>
      <c r="C847" s="217" t="s">
        <v>519</v>
      </c>
      <c r="D847" s="234"/>
      <c r="E847" s="449"/>
      <c r="F847" s="209"/>
    </row>
    <row r="848" spans="1:6" ht="14.25">
      <c r="A848" s="216"/>
      <c r="B848" s="209"/>
      <c r="C848" s="217"/>
      <c r="D848" s="209" t="s">
        <v>519</v>
      </c>
      <c r="E848" s="226">
        <f>IF(calcCh3Prod2Slot3Active=1,finCalcCh3Prod2Slot3LogisticsCost,0)</f>
        <v>0</v>
      </c>
      <c r="F848" s="208" t="s">
        <v>2519</v>
      </c>
    </row>
    <row r="849" spans="1:6" ht="14.25">
      <c r="A849" s="216"/>
      <c r="B849" s="209"/>
      <c r="C849" s="217"/>
      <c r="D849" s="234"/>
      <c r="E849" s="449"/>
      <c r="F849" s="209"/>
    </row>
    <row r="850" spans="1:6" ht="14.25">
      <c r="A850" s="216"/>
      <c r="B850" s="209"/>
      <c r="C850" s="217" t="s">
        <v>520</v>
      </c>
      <c r="D850" s="209"/>
      <c r="E850" s="210"/>
      <c r="F850" s="209"/>
    </row>
    <row r="851" spans="1:6" ht="14.25">
      <c r="A851" s="216"/>
      <c r="B851" s="209"/>
      <c r="C851" s="209"/>
      <c r="D851" s="209" t="s">
        <v>521</v>
      </c>
      <c r="E851" s="226">
        <f>finPNLCh3Prod2Slot3GP-finPNLCh3Prod2Slot3LogExp</f>
        <v>0</v>
      </c>
      <c r="F851" s="276" t="s">
        <v>2520</v>
      </c>
    </row>
    <row r="852" spans="1:6" ht="14.25">
      <c r="A852" s="216"/>
      <c r="B852" s="209"/>
      <c r="C852" s="217"/>
      <c r="D852" s="234" t="s">
        <v>522</v>
      </c>
      <c r="E852" s="687">
        <f>IF(finPNLCh3Prod2Slot3TotalRev=0,0,finPNLCh3Prod2Slot3GPaL/finPNLCh3Prod2Slot3TotalRev)</f>
        <v>0</v>
      </c>
      <c r="F852" s="276" t="s">
        <v>2521</v>
      </c>
    </row>
    <row r="853" spans="1:6" s="398" customFormat="1" ht="14.25">
      <c r="A853" s="216"/>
      <c r="B853" s="335"/>
      <c r="C853" s="395"/>
      <c r="D853" s="396"/>
      <c r="E853" s="688"/>
      <c r="F853" s="336"/>
    </row>
    <row r="854" spans="1:6" s="322" customFormat="1" ht="14.25">
      <c r="A854" s="416"/>
      <c r="B854" s="416" t="s">
        <v>239</v>
      </c>
      <c r="C854" s="412"/>
      <c r="D854" s="412"/>
      <c r="E854" s="323"/>
    </row>
    <row r="855" spans="1:6" s="322" customFormat="1" ht="14.25">
      <c r="A855" s="411"/>
      <c r="B855" s="323"/>
      <c r="C855" s="325" t="s">
        <v>379</v>
      </c>
      <c r="D855" s="323"/>
      <c r="E855" s="323"/>
    </row>
    <row r="856" spans="1:6" s="322" customFormat="1" ht="14.25">
      <c r="A856" s="411"/>
      <c r="B856" s="323"/>
      <c r="C856" s="325"/>
      <c r="D856" s="323"/>
      <c r="E856" s="323"/>
    </row>
    <row r="857" spans="1:6" s="379" customFormat="1" ht="14.25">
      <c r="A857" s="415"/>
      <c r="B857" s="325"/>
      <c r="C857" s="325"/>
      <c r="D857" s="325" t="s">
        <v>1394</v>
      </c>
      <c r="E857" s="392">
        <f>IF(calcCh3Prod3Slot1Active=1,calcCh3Prod3Slot1CustPrice*finCalcCh3Prod3Slot1VolSold,0)</f>
        <v>550502257</v>
      </c>
      <c r="F857" s="276" t="s">
        <v>2848</v>
      </c>
    </row>
    <row r="858" spans="1:6" s="379" customFormat="1" ht="14.25">
      <c r="A858" s="415"/>
      <c r="B858" s="325"/>
      <c r="C858" s="325"/>
      <c r="D858" s="325" t="s">
        <v>1759</v>
      </c>
      <c r="E858" s="392">
        <f>IF(calcCh3Prod3Slot1Active=1,finCalcCh3Prod3Slot1VolSold*paramExciseProd3,0)</f>
        <v>181086268.75</v>
      </c>
      <c r="F858" s="276" t="s">
        <v>2849</v>
      </c>
    </row>
    <row r="859" spans="1:6" s="379" customFormat="1" ht="14.25">
      <c r="A859" s="415"/>
      <c r="B859" s="325"/>
      <c r="C859" s="325"/>
      <c r="D859" s="325" t="s">
        <v>694</v>
      </c>
      <c r="E859" s="392">
        <f>IF(calcCh3Prod3Slot1Active=1,finPNLCh3Prod3Slot1Turn-finPNLCh3Prod3Slot1Excise,0)</f>
        <v>369415988.25</v>
      </c>
      <c r="F859" s="276" t="s">
        <v>2850</v>
      </c>
    </row>
    <row r="860" spans="1:6" s="379" customFormat="1" ht="14.25">
      <c r="A860" s="415"/>
      <c r="B860" s="325"/>
      <c r="C860" s="325"/>
      <c r="D860" s="325" t="s">
        <v>1396</v>
      </c>
      <c r="E860" s="392">
        <f>IF(calcCh3Prod3Slot1Active=1,(calcCh3Prod3Slot1CustPrice-calcCh3Prod3Slot1AvgSalePrice)*finCalcCh3Prod3Slot1VolSold+calcCh3Prod3Slot1Promo1PlanExp+calcCh1Prod3Slot1ValDrivExp,0)</f>
        <v>64379048.276284344</v>
      </c>
      <c r="F860" s="276" t="s">
        <v>2851</v>
      </c>
    </row>
    <row r="861" spans="1:6" s="227" customFormat="1" ht="2.1" customHeight="1">
      <c r="A861" s="415"/>
      <c r="B861" s="230"/>
      <c r="C861" s="209"/>
      <c r="D861" s="229"/>
      <c r="E861" s="229"/>
      <c r="F861" s="209"/>
    </row>
    <row r="862" spans="1:6" ht="14.25">
      <c r="A862" s="216"/>
      <c r="B862" s="209"/>
      <c r="C862" s="217" t="s">
        <v>1269</v>
      </c>
      <c r="D862" s="209"/>
      <c r="E862" s="233">
        <f>E859-E860</f>
        <v>305036939.97371566</v>
      </c>
      <c r="F862" s="276" t="s">
        <v>2522</v>
      </c>
    </row>
    <row r="863" spans="1:6" ht="14.25">
      <c r="A863" s="216"/>
      <c r="B863" s="209"/>
      <c r="C863" s="209"/>
      <c r="D863" s="209"/>
      <c r="E863" s="210"/>
      <c r="F863" s="209"/>
    </row>
    <row r="864" spans="1:6" ht="14.25">
      <c r="A864" s="216"/>
      <c r="B864" s="209"/>
      <c r="C864" s="217" t="s">
        <v>404</v>
      </c>
      <c r="D864" s="209"/>
      <c r="E864" s="210"/>
      <c r="F864" s="209"/>
    </row>
    <row r="865" spans="1:6" ht="14.25">
      <c r="A865" s="216"/>
      <c r="B865" s="209"/>
      <c r="C865" s="209"/>
      <c r="D865" s="209" t="s">
        <v>400</v>
      </c>
      <c r="E865" s="226">
        <f>IF(calcCh3Prod3Slot1Active=1,finCalcCh3Prod3Slot1MatExp,0)</f>
        <v>127942403.392188</v>
      </c>
      <c r="F865" s="276" t="s">
        <v>2523</v>
      </c>
    </row>
    <row r="866" spans="1:6" ht="14.25">
      <c r="A866" s="216"/>
      <c r="B866" s="209"/>
      <c r="C866" s="209"/>
      <c r="D866" s="209" t="s">
        <v>399</v>
      </c>
      <c r="E866" s="226">
        <f>IF(calcCh3Prod3Slot1Active=1,finCalcCh3Prod3Slot1LabourExp,0)</f>
        <v>18815059.322380587</v>
      </c>
      <c r="F866" s="276" t="s">
        <v>2524</v>
      </c>
    </row>
    <row r="867" spans="1:6" ht="14.25">
      <c r="A867" s="216"/>
      <c r="B867" s="209"/>
      <c r="C867" s="209"/>
      <c r="D867" s="209" t="s">
        <v>513</v>
      </c>
      <c r="E867" s="226">
        <f>IF(calcCh3Prod3Slot1Active=1,finCalcCh3Prod3Slot1MachCost,0)</f>
        <v>15442457.522940002</v>
      </c>
      <c r="F867" s="276" t="s">
        <v>2525</v>
      </c>
    </row>
    <row r="868" spans="1:6" ht="14.25">
      <c r="A868" s="216"/>
      <c r="B868" s="209"/>
      <c r="C868" s="209"/>
      <c r="D868" s="209" t="s">
        <v>398</v>
      </c>
      <c r="E868" s="226">
        <f>IF(calcCh3Prod3Slot1Active=1,finCalcCh3Prod3Slot1DepExp,0)</f>
        <v>6872828.8575829891</v>
      </c>
      <c r="F868" s="276" t="s">
        <v>2526</v>
      </c>
    </row>
    <row r="869" spans="1:6" s="227" customFormat="1" ht="2.1" customHeight="1">
      <c r="A869" s="415"/>
      <c r="B869" s="230"/>
      <c r="C869" s="209"/>
      <c r="D869" s="229"/>
      <c r="E869" s="229"/>
      <c r="F869" s="209"/>
    </row>
    <row r="870" spans="1:6" ht="14.25">
      <c r="A870" s="216"/>
      <c r="B870" s="209"/>
      <c r="C870" s="209"/>
      <c r="D870" s="209" t="s">
        <v>14</v>
      </c>
      <c r="E870" s="226">
        <f>SUM(E865:E869)</f>
        <v>169072749.09509158</v>
      </c>
      <c r="F870" s="276" t="s">
        <v>2527</v>
      </c>
    </row>
    <row r="871" spans="1:6" ht="14.25">
      <c r="A871" s="216"/>
      <c r="B871" s="209"/>
      <c r="C871" s="209"/>
      <c r="D871" s="209"/>
      <c r="E871" s="210"/>
      <c r="F871" s="209"/>
    </row>
    <row r="872" spans="1:6" ht="14.25">
      <c r="A872" s="216"/>
      <c r="B872" s="209"/>
      <c r="C872" s="217" t="s">
        <v>160</v>
      </c>
      <c r="D872" s="209"/>
      <c r="E872" s="210"/>
      <c r="F872" s="209"/>
    </row>
    <row r="873" spans="1:6" ht="14.25">
      <c r="A873" s="216"/>
      <c r="B873" s="209"/>
      <c r="C873" s="209"/>
      <c r="D873" s="209" t="s">
        <v>160</v>
      </c>
      <c r="E873" s="226">
        <f>IF(calcCh3Prod3Slot1Active=1,finPNLCh3Prod3Slot1TotalRev-finPNLCh3Prod3Slot1TotalCOGs,0)</f>
        <v>135964190.87862408</v>
      </c>
      <c r="F873" s="276" t="s">
        <v>2528</v>
      </c>
    </row>
    <row r="874" spans="1:6" ht="14.25">
      <c r="A874" s="216"/>
      <c r="B874" s="209"/>
      <c r="C874" s="217"/>
      <c r="D874" s="234" t="s">
        <v>162</v>
      </c>
      <c r="E874" s="687">
        <f>IF(finPNLCh3Prod3Slot1TotalRev=0,0,finPNLCh3Prod3Slot1GP/finPNLCh3Prod3Slot1TotalRev)</f>
        <v>0.44573024791797283</v>
      </c>
      <c r="F874" s="276" t="s">
        <v>2529</v>
      </c>
    </row>
    <row r="875" spans="1:6" ht="14.25">
      <c r="A875" s="216"/>
      <c r="B875" s="209"/>
      <c r="C875" s="217"/>
      <c r="D875" s="234"/>
      <c r="E875" s="449"/>
      <c r="F875" s="209"/>
    </row>
    <row r="876" spans="1:6" ht="14.25">
      <c r="A876" s="216"/>
      <c r="B876" s="209"/>
      <c r="C876" s="217" t="s">
        <v>519</v>
      </c>
      <c r="D876" s="234"/>
      <c r="E876" s="449"/>
      <c r="F876" s="209"/>
    </row>
    <row r="877" spans="1:6" ht="14.25">
      <c r="A877" s="216"/>
      <c r="B877" s="209"/>
      <c r="C877" s="217"/>
      <c r="D877" s="209" t="s">
        <v>519</v>
      </c>
      <c r="E877" s="226">
        <f>IF(calcCh3Prod3Slot1Active=1,finCalcCh3Prod3Slot1LogisticsCost,0)</f>
        <v>21739501.872000001</v>
      </c>
      <c r="F877" s="208" t="s">
        <v>2530</v>
      </c>
    </row>
    <row r="878" spans="1:6" ht="14.25">
      <c r="A878" s="216"/>
      <c r="B878" s="209"/>
      <c r="C878" s="217"/>
      <c r="D878" s="234"/>
      <c r="E878" s="449"/>
      <c r="F878" s="209"/>
    </row>
    <row r="879" spans="1:6" ht="14.25">
      <c r="A879" s="216"/>
      <c r="B879" s="209"/>
      <c r="C879" s="217" t="s">
        <v>520</v>
      </c>
      <c r="D879" s="209"/>
      <c r="E879" s="210"/>
      <c r="F879" s="209"/>
    </row>
    <row r="880" spans="1:6" ht="14.25">
      <c r="A880" s="216"/>
      <c r="B880" s="209"/>
      <c r="C880" s="209"/>
      <c r="D880" s="209" t="s">
        <v>521</v>
      </c>
      <c r="E880" s="226">
        <f>finPNLCh3Prod3Slot1GP-finPNLCh3Prod3Slot1LogExp</f>
        <v>114224689.00662407</v>
      </c>
      <c r="F880" s="276" t="s">
        <v>2531</v>
      </c>
    </row>
    <row r="881" spans="1:6" ht="14.25">
      <c r="A881" s="216"/>
      <c r="B881" s="425"/>
      <c r="C881" s="426"/>
      <c r="D881" s="427" t="s">
        <v>522</v>
      </c>
      <c r="E881" s="687">
        <f>IF(finPNLCh3Prod3Slot1TotalRev=0,0,finPNLCh3Prod3Slot1GPaL/finPNLCh3Prod3Slot1TotalRev)</f>
        <v>0.37446182425140562</v>
      </c>
      <c r="F881" s="428" t="s">
        <v>2532</v>
      </c>
    </row>
    <row r="882" spans="1:6" s="398" customFormat="1" ht="14.25">
      <c r="A882" s="216"/>
      <c r="B882" s="335"/>
      <c r="C882" s="395"/>
      <c r="D882" s="396"/>
      <c r="E882" s="688"/>
      <c r="F882" s="336"/>
    </row>
    <row r="883" spans="1:6" s="322" customFormat="1" ht="14.25">
      <c r="A883" s="411"/>
      <c r="B883" s="323"/>
      <c r="C883" s="325" t="s">
        <v>394</v>
      </c>
      <c r="D883" s="323"/>
      <c r="E883" s="323"/>
    </row>
    <row r="884" spans="1:6" s="322" customFormat="1" ht="14.25">
      <c r="A884" s="411"/>
      <c r="B884" s="323"/>
      <c r="C884" s="325"/>
      <c r="D884" s="323"/>
      <c r="E884" s="323"/>
    </row>
    <row r="885" spans="1:6" s="379" customFormat="1" ht="14.25">
      <c r="A885" s="415"/>
      <c r="B885" s="325"/>
      <c r="C885" s="325"/>
      <c r="D885" s="325" t="s">
        <v>1394</v>
      </c>
      <c r="E885" s="392">
        <f>IF(calcCh3Prod3Slot2Active=1,calcCh3Prod3Slot2CustPrice*finCalcCh3Prod3Slot2VolSold,0)</f>
        <v>0</v>
      </c>
      <c r="F885" s="276" t="s">
        <v>2852</v>
      </c>
    </row>
    <row r="886" spans="1:6" s="379" customFormat="1" ht="14.25">
      <c r="A886" s="415"/>
      <c r="B886" s="325"/>
      <c r="C886" s="325"/>
      <c r="D886" s="325" t="s">
        <v>1759</v>
      </c>
      <c r="E886" s="392">
        <f>IF(calcCh3Prod3Slot2Active=1,finCalcCh3Prod3Slot2VolSold*paramExciseProd3,0)</f>
        <v>0</v>
      </c>
      <c r="F886" s="276" t="s">
        <v>2853</v>
      </c>
    </row>
    <row r="887" spans="1:6" s="379" customFormat="1" ht="14.25">
      <c r="A887" s="415"/>
      <c r="B887" s="325"/>
      <c r="C887" s="325"/>
      <c r="D887" s="325" t="s">
        <v>694</v>
      </c>
      <c r="E887" s="392">
        <f>IF(calcCh3Prod3Slot2Active=1,finPNLCh3Prod3Slot2Turn-finPNLCh3Prod3Slot2Excise,0)</f>
        <v>0</v>
      </c>
      <c r="F887" s="276" t="s">
        <v>2854</v>
      </c>
    </row>
    <row r="888" spans="1:6" s="379" customFormat="1" ht="14.25">
      <c r="A888" s="415"/>
      <c r="B888" s="325"/>
      <c r="C888" s="325"/>
      <c r="D888" s="325" t="s">
        <v>1396</v>
      </c>
      <c r="E888" s="392">
        <f>IF(calcCh3Prod3Slot2Active=1,(calcCh3Prod3Slot2CustPrice-calcCh3Prod3Slot2AvgSalePrice)*finCalcCh3Prod3Slot2VolSold+calcCh3Prod3Slot2Promo1PlanExp+calcCh1Prod3Slot2ValDrivExp,0)</f>
        <v>0</v>
      </c>
      <c r="F888" s="276" t="s">
        <v>2855</v>
      </c>
    </row>
    <row r="889" spans="1:6" s="227" customFormat="1" ht="2.1" customHeight="1">
      <c r="A889" s="415"/>
      <c r="B889" s="230"/>
      <c r="C889" s="209"/>
      <c r="D889" s="229"/>
      <c r="E889" s="229"/>
      <c r="F889" s="209"/>
    </row>
    <row r="890" spans="1:6" ht="14.25">
      <c r="A890" s="216"/>
      <c r="B890" s="209"/>
      <c r="C890" s="217" t="s">
        <v>1269</v>
      </c>
      <c r="D890" s="209"/>
      <c r="E890" s="233">
        <f>E887-E888</f>
        <v>0</v>
      </c>
      <c r="F890" s="276" t="s">
        <v>2533</v>
      </c>
    </row>
    <row r="891" spans="1:6" ht="14.25">
      <c r="A891" s="216"/>
      <c r="B891" s="209"/>
      <c r="C891" s="209"/>
      <c r="D891" s="209"/>
      <c r="E891" s="210"/>
      <c r="F891" s="209"/>
    </row>
    <row r="892" spans="1:6" ht="14.25">
      <c r="A892" s="216"/>
      <c r="B892" s="209"/>
      <c r="C892" s="217" t="s">
        <v>404</v>
      </c>
      <c r="D892" s="209"/>
      <c r="E892" s="210"/>
      <c r="F892" s="209"/>
    </row>
    <row r="893" spans="1:6" ht="14.25">
      <c r="A893" s="216"/>
      <c r="B893" s="209"/>
      <c r="C893" s="209"/>
      <c r="D893" s="209" t="s">
        <v>400</v>
      </c>
      <c r="E893" s="226">
        <f>IF(calcCh3Prod3Slot2Active=1,finCalcCh3Prod3Slot2MatExp,0)</f>
        <v>0</v>
      </c>
      <c r="F893" s="276" t="s">
        <v>2534</v>
      </c>
    </row>
    <row r="894" spans="1:6" ht="14.25">
      <c r="A894" s="216"/>
      <c r="B894" s="209"/>
      <c r="C894" s="209"/>
      <c r="D894" s="209" t="s">
        <v>399</v>
      </c>
      <c r="E894" s="226">
        <f>IF(calcCh3Prod3Slot2Active=1,finCalcCh3Prod3Slot2LabourExp,0)</f>
        <v>0</v>
      </c>
      <c r="F894" s="276" t="s">
        <v>2535</v>
      </c>
    </row>
    <row r="895" spans="1:6" ht="14.25">
      <c r="A895" s="216"/>
      <c r="B895" s="209"/>
      <c r="C895" s="209"/>
      <c r="D895" s="209" t="s">
        <v>513</v>
      </c>
      <c r="E895" s="226">
        <f>IF(calcCh3Prod3Slot2Active=1,finCalcCh3Prod3Slot2MachCost,0)</f>
        <v>0</v>
      </c>
      <c r="F895" s="276" t="s">
        <v>2536</v>
      </c>
    </row>
    <row r="896" spans="1:6" ht="14.25">
      <c r="A896" s="216"/>
      <c r="B896" s="209"/>
      <c r="C896" s="209"/>
      <c r="D896" s="209" t="s">
        <v>398</v>
      </c>
      <c r="E896" s="226">
        <f>IF(calcCh3Prod3Slot2Active=1,finCalcCh3Prod3Slot2DepExp,0)</f>
        <v>0</v>
      </c>
      <c r="F896" s="276" t="s">
        <v>2537</v>
      </c>
    </row>
    <row r="897" spans="1:6" s="227" customFormat="1" ht="2.1" customHeight="1">
      <c r="A897" s="415"/>
      <c r="B897" s="230"/>
      <c r="C897" s="209"/>
      <c r="D897" s="229"/>
      <c r="E897" s="229"/>
      <c r="F897" s="209"/>
    </row>
    <row r="898" spans="1:6" ht="14.25">
      <c r="A898" s="216"/>
      <c r="B898" s="209"/>
      <c r="C898" s="209"/>
      <c r="D898" s="209" t="s">
        <v>14</v>
      </c>
      <c r="E898" s="226">
        <f>SUM(E893:E897)</f>
        <v>0</v>
      </c>
      <c r="F898" s="276" t="s">
        <v>2538</v>
      </c>
    </row>
    <row r="899" spans="1:6" ht="14.25">
      <c r="A899" s="216"/>
      <c r="B899" s="209"/>
      <c r="C899" s="209"/>
      <c r="D899" s="209"/>
      <c r="E899" s="210"/>
      <c r="F899" s="209"/>
    </row>
    <row r="900" spans="1:6" ht="14.25">
      <c r="A900" s="216"/>
      <c r="B900" s="209"/>
      <c r="C900" s="217" t="s">
        <v>160</v>
      </c>
      <c r="D900" s="209"/>
      <c r="E900" s="210"/>
      <c r="F900" s="209"/>
    </row>
    <row r="901" spans="1:6" ht="14.25">
      <c r="A901" s="216"/>
      <c r="B901" s="209"/>
      <c r="C901" s="209"/>
      <c r="D901" s="209" t="s">
        <v>160</v>
      </c>
      <c r="E901" s="226">
        <f>IF(calcCh3Prod3Slot2Active=1,finPNLCh3Prod3Slot2TotalRev-finPNLCh3Prod3Slot2TotalCOGs,0)</f>
        <v>0</v>
      </c>
      <c r="F901" s="276" t="s">
        <v>2539</v>
      </c>
    </row>
    <row r="902" spans="1:6" ht="14.25">
      <c r="A902" s="216"/>
      <c r="B902" s="209"/>
      <c r="C902" s="217"/>
      <c r="D902" s="234" t="s">
        <v>162</v>
      </c>
      <c r="E902" s="687">
        <f>IF(finPNLCh3Prod3Slot2TotalRev=0,0,finPNLCh3Prod3Slot2GP/finPNLCh3Prod3Slot2TotalRev)</f>
        <v>0</v>
      </c>
      <c r="F902" s="276" t="s">
        <v>2540</v>
      </c>
    </row>
    <row r="903" spans="1:6" ht="14.25">
      <c r="A903" s="216"/>
      <c r="B903" s="209"/>
      <c r="C903" s="217"/>
      <c r="D903" s="234"/>
      <c r="E903" s="449"/>
      <c r="F903" s="209"/>
    </row>
    <row r="904" spans="1:6" ht="14.25">
      <c r="A904" s="216"/>
      <c r="B904" s="209"/>
      <c r="C904" s="217" t="s">
        <v>519</v>
      </c>
      <c r="D904" s="234"/>
      <c r="E904" s="449"/>
      <c r="F904" s="209"/>
    </row>
    <row r="905" spans="1:6" ht="14.25">
      <c r="A905" s="216"/>
      <c r="B905" s="209"/>
      <c r="C905" s="217"/>
      <c r="D905" s="209" t="s">
        <v>519</v>
      </c>
      <c r="E905" s="226">
        <f>IF(calcCh3Prod3Slot2Active=1,finCalcCh3Prod3Slot2LogisticsCost,0)</f>
        <v>0</v>
      </c>
      <c r="F905" s="208" t="s">
        <v>2541</v>
      </c>
    </row>
    <row r="906" spans="1:6" ht="14.25">
      <c r="A906" s="216"/>
      <c r="B906" s="209"/>
      <c r="C906" s="217"/>
      <c r="D906" s="234"/>
      <c r="E906" s="449"/>
      <c r="F906" s="209"/>
    </row>
    <row r="907" spans="1:6" ht="14.25">
      <c r="A907" s="216"/>
      <c r="B907" s="209"/>
      <c r="C907" s="217" t="s">
        <v>520</v>
      </c>
      <c r="D907" s="209"/>
      <c r="E907" s="210"/>
      <c r="F907" s="209"/>
    </row>
    <row r="908" spans="1:6" ht="14.25">
      <c r="A908" s="216"/>
      <c r="B908" s="209"/>
      <c r="C908" s="209"/>
      <c r="D908" s="209" t="s">
        <v>521</v>
      </c>
      <c r="E908" s="226">
        <f>finPNLCh3Prod3Slot2GP-finPNLCh3Prod3Slot2LogExp</f>
        <v>0</v>
      </c>
      <c r="F908" s="276" t="s">
        <v>2542</v>
      </c>
    </row>
    <row r="909" spans="1:6" ht="14.25">
      <c r="A909" s="216"/>
      <c r="B909" s="425"/>
      <c r="C909" s="426"/>
      <c r="D909" s="427" t="s">
        <v>522</v>
      </c>
      <c r="E909" s="687">
        <f>IF(finPNLCh3Prod3Slot2TotalRev=0,0,finPNLCh3Prod3Slot2GPaL/finPNLCh3Prod3Slot2TotalRev)</f>
        <v>0</v>
      </c>
      <c r="F909" s="428" t="s">
        <v>2543</v>
      </c>
    </row>
    <row r="910" spans="1:6" s="398" customFormat="1" ht="14.25">
      <c r="A910" s="216"/>
      <c r="B910" s="335"/>
      <c r="C910" s="395"/>
      <c r="D910" s="396"/>
      <c r="E910" s="688"/>
      <c r="F910" s="336"/>
    </row>
    <row r="911" spans="1:6" s="322" customFormat="1" ht="14.25">
      <c r="A911" s="411"/>
      <c r="B911" s="323"/>
      <c r="C911" s="325" t="s">
        <v>395</v>
      </c>
      <c r="D911" s="323"/>
      <c r="E911" s="323"/>
    </row>
    <row r="912" spans="1:6" s="322" customFormat="1" ht="14.25">
      <c r="A912" s="411"/>
      <c r="B912" s="323"/>
      <c r="C912" s="325"/>
      <c r="D912" s="323"/>
      <c r="E912" s="323"/>
    </row>
    <row r="913" spans="1:6" s="379" customFormat="1" ht="14.25">
      <c r="A913" s="415"/>
      <c r="B913" s="325"/>
      <c r="C913" s="325"/>
      <c r="D913" s="325" t="s">
        <v>1394</v>
      </c>
      <c r="E913" s="392">
        <f>IF(calcCh3Prod3Slot3Active=1,calcCh3Prod3Slot3CustPrice*finCalcCh3Prod3Slot3VolSold,0)</f>
        <v>0</v>
      </c>
      <c r="F913" s="276" t="s">
        <v>2844</v>
      </c>
    </row>
    <row r="914" spans="1:6" s="379" customFormat="1" ht="14.25">
      <c r="A914" s="415"/>
      <c r="B914" s="325"/>
      <c r="C914" s="325"/>
      <c r="D914" s="325" t="s">
        <v>1759</v>
      </c>
      <c r="E914" s="392">
        <f>IF(calcCh3Prod3Slot3Active=1,finCalcCh3Prod3Slot3VolSold*paramExciseProd3,0)</f>
        <v>0</v>
      </c>
      <c r="F914" s="276" t="s">
        <v>2845</v>
      </c>
    </row>
    <row r="915" spans="1:6" s="379" customFormat="1" ht="14.25">
      <c r="A915" s="415"/>
      <c r="B915" s="325"/>
      <c r="C915" s="325"/>
      <c r="D915" s="325" t="s">
        <v>694</v>
      </c>
      <c r="E915" s="392">
        <f>IF(calcCh3Prod3Slot3Active=1,finPNLCh3Prod3Slot3Turn-finPNLCh3Prod3Slot3Excise,0)</f>
        <v>0</v>
      </c>
      <c r="F915" s="276" t="s">
        <v>2846</v>
      </c>
    </row>
    <row r="916" spans="1:6" s="379" customFormat="1" ht="14.25">
      <c r="A916" s="415"/>
      <c r="B916" s="325"/>
      <c r="C916" s="325"/>
      <c r="D916" s="325" t="s">
        <v>1396</v>
      </c>
      <c r="E916" s="392">
        <f>IF(calcCh3Prod3Slot3Active=1,(calcCh3Prod3Slot3CustPrice-calcCh3Prod3Slot3AvgSalePrice)*finCalcCh3Prod3Slot3VolSold+calcCh3Prod3Slot3Promo1PlanExp+calcCh1Prod3Slot3ValDrivExp,0)</f>
        <v>0</v>
      </c>
      <c r="F916" s="276" t="s">
        <v>2847</v>
      </c>
    </row>
    <row r="917" spans="1:6" s="227" customFormat="1" ht="2.1" customHeight="1">
      <c r="A917" s="415"/>
      <c r="B917" s="230"/>
      <c r="C917" s="209"/>
      <c r="D917" s="229"/>
      <c r="E917" s="229"/>
      <c r="F917" s="209"/>
    </row>
    <row r="918" spans="1:6" ht="14.25">
      <c r="A918" s="216"/>
      <c r="B918" s="209"/>
      <c r="C918" s="217" t="s">
        <v>1269</v>
      </c>
      <c r="D918" s="209"/>
      <c r="E918" s="233">
        <f>E915-E916</f>
        <v>0</v>
      </c>
      <c r="F918" s="276" t="s">
        <v>2544</v>
      </c>
    </row>
    <row r="919" spans="1:6" ht="14.25">
      <c r="A919" s="216"/>
      <c r="B919" s="209"/>
      <c r="C919" s="209"/>
      <c r="D919" s="209"/>
      <c r="E919" s="210"/>
      <c r="F919" s="209"/>
    </row>
    <row r="920" spans="1:6" ht="14.25">
      <c r="A920" s="216"/>
      <c r="B920" s="209"/>
      <c r="C920" s="217" t="s">
        <v>404</v>
      </c>
      <c r="D920" s="209"/>
      <c r="E920" s="210"/>
      <c r="F920" s="209"/>
    </row>
    <row r="921" spans="1:6" ht="14.25">
      <c r="A921" s="216"/>
      <c r="B921" s="209"/>
      <c r="C921" s="209"/>
      <c r="D921" s="209" t="s">
        <v>400</v>
      </c>
      <c r="E921" s="226">
        <f>IF(calcCh3Prod3Slot3Active=1,finCalcCh3Prod3Slot3MatExp,0)</f>
        <v>0</v>
      </c>
      <c r="F921" s="276" t="s">
        <v>2545</v>
      </c>
    </row>
    <row r="922" spans="1:6" ht="14.25">
      <c r="A922" s="216"/>
      <c r="B922" s="209"/>
      <c r="C922" s="209"/>
      <c r="D922" s="209" t="s">
        <v>399</v>
      </c>
      <c r="E922" s="226">
        <f>IF(calcCh3Prod3Slot3Active=1,finCalcCh3Prod3Slot3LabourExp,0)</f>
        <v>0</v>
      </c>
      <c r="F922" s="276" t="s">
        <v>2546</v>
      </c>
    </row>
    <row r="923" spans="1:6" ht="14.25">
      <c r="A923" s="216"/>
      <c r="B923" s="209"/>
      <c r="C923" s="209"/>
      <c r="D923" s="209" t="s">
        <v>513</v>
      </c>
      <c r="E923" s="226">
        <f>IF(calcCh3Prod3Slot3Active=1,finCalcCh3Prod3Slot3MachCost,0)</f>
        <v>0</v>
      </c>
      <c r="F923" s="276" t="s">
        <v>2547</v>
      </c>
    </row>
    <row r="924" spans="1:6" ht="14.25">
      <c r="A924" s="216"/>
      <c r="B924" s="209"/>
      <c r="C924" s="209"/>
      <c r="D924" s="209" t="s">
        <v>398</v>
      </c>
      <c r="E924" s="226">
        <f>IF(calcCh3Prod3Slot3Active=1,finCalcCh3Prod3Slot3DepExp,0)</f>
        <v>0</v>
      </c>
      <c r="F924" s="276" t="s">
        <v>2548</v>
      </c>
    </row>
    <row r="925" spans="1:6" s="227" customFormat="1" ht="2.1" customHeight="1">
      <c r="A925" s="415"/>
      <c r="B925" s="230"/>
      <c r="C925" s="209"/>
      <c r="D925" s="229"/>
      <c r="E925" s="229"/>
      <c r="F925" s="209"/>
    </row>
    <row r="926" spans="1:6" ht="14.25">
      <c r="A926" s="216"/>
      <c r="B926" s="209"/>
      <c r="C926" s="209"/>
      <c r="D926" s="209" t="s">
        <v>14</v>
      </c>
      <c r="E926" s="226">
        <f>SUM(E921:E925)</f>
        <v>0</v>
      </c>
      <c r="F926" s="276" t="s">
        <v>2549</v>
      </c>
    </row>
    <row r="927" spans="1:6" ht="14.25">
      <c r="A927" s="216"/>
      <c r="B927" s="209"/>
      <c r="C927" s="209"/>
      <c r="D927" s="209"/>
      <c r="E927" s="210"/>
      <c r="F927" s="209"/>
    </row>
    <row r="928" spans="1:6" ht="14.25">
      <c r="A928" s="216"/>
      <c r="B928" s="209"/>
      <c r="C928" s="217" t="s">
        <v>160</v>
      </c>
      <c r="D928" s="209"/>
      <c r="E928" s="210"/>
      <c r="F928" s="209"/>
    </row>
    <row r="929" spans="1:6" ht="14.25">
      <c r="A929" s="216"/>
      <c r="B929" s="209"/>
      <c r="C929" s="209"/>
      <c r="D929" s="209" t="s">
        <v>160</v>
      </c>
      <c r="E929" s="226">
        <f>IF(calcCh3Prod3Slot3Active=1,finPNLCh3Prod3Slot3TotalRev-finPNLCh3Prod3Slot3TotalCOGs,0)</f>
        <v>0</v>
      </c>
      <c r="F929" s="276" t="s">
        <v>2550</v>
      </c>
    </row>
    <row r="930" spans="1:6" ht="14.25">
      <c r="A930" s="216"/>
      <c r="B930" s="209"/>
      <c r="C930" s="217"/>
      <c r="D930" s="234" t="s">
        <v>162</v>
      </c>
      <c r="E930" s="687">
        <f>IF(finPNLCh3Prod3Slot3TotalRev=0,0,finPNLCh3Prod3Slot3GP/finPNLCh3Prod3Slot3TotalRev)</f>
        <v>0</v>
      </c>
      <c r="F930" s="276" t="s">
        <v>2551</v>
      </c>
    </row>
    <row r="931" spans="1:6" ht="14.25">
      <c r="A931" s="216"/>
      <c r="B931" s="209"/>
      <c r="C931" s="217"/>
      <c r="D931" s="234"/>
      <c r="E931" s="449"/>
      <c r="F931" s="209"/>
    </row>
    <row r="932" spans="1:6" ht="14.25">
      <c r="A932" s="216"/>
      <c r="B932" s="209"/>
      <c r="C932" s="217" t="s">
        <v>519</v>
      </c>
      <c r="D932" s="234"/>
      <c r="E932" s="449"/>
      <c r="F932" s="209"/>
    </row>
    <row r="933" spans="1:6" ht="14.25">
      <c r="A933" s="216"/>
      <c r="B933" s="209"/>
      <c r="C933" s="217"/>
      <c r="D933" s="209" t="s">
        <v>519</v>
      </c>
      <c r="E933" s="226">
        <f>IF(calcCh3Prod3Slot3Active=1,finCalcCh3Prod3Slot3LogisticsCost,0)</f>
        <v>0</v>
      </c>
      <c r="F933" s="208" t="s">
        <v>2552</v>
      </c>
    </row>
    <row r="934" spans="1:6" ht="14.25">
      <c r="A934" s="216"/>
      <c r="B934" s="209"/>
      <c r="C934" s="217"/>
      <c r="D934" s="234"/>
      <c r="E934" s="449"/>
      <c r="F934" s="209"/>
    </row>
    <row r="935" spans="1:6" ht="14.25">
      <c r="A935" s="216"/>
      <c r="B935" s="209"/>
      <c r="C935" s="217" t="s">
        <v>520</v>
      </c>
      <c r="D935" s="209"/>
      <c r="E935" s="210"/>
      <c r="F935" s="209"/>
    </row>
    <row r="936" spans="1:6" ht="14.25">
      <c r="A936" s="216"/>
      <c r="B936" s="209"/>
      <c r="C936" s="209"/>
      <c r="D936" s="209" t="s">
        <v>521</v>
      </c>
      <c r="E936" s="226">
        <f>finPNLCh3Prod3Slot3GP-finPNLCh3Prod3Slot3LogExp</f>
        <v>0</v>
      </c>
      <c r="F936" s="276" t="s">
        <v>2553</v>
      </c>
    </row>
    <row r="937" spans="1:6" ht="14.25">
      <c r="A937" s="216"/>
      <c r="B937" s="209"/>
      <c r="C937" s="217"/>
      <c r="D937" s="234" t="s">
        <v>522</v>
      </c>
      <c r="E937" s="687">
        <f>IF(finPNLCh3Prod3Slot3TotalRev=0,0,finPNLCh3Prod3Slot3GPaL/finPNLCh3Prod3Slot3TotalRev)</f>
        <v>0</v>
      </c>
      <c r="F937" s="276" t="s">
        <v>2554</v>
      </c>
    </row>
    <row r="938" spans="1:6" s="398" customFormat="1" ht="14.25">
      <c r="A938" s="216"/>
      <c r="B938" s="335"/>
      <c r="C938" s="395"/>
      <c r="D938" s="396"/>
      <c r="E938" s="688"/>
      <c r="F938" s="336"/>
    </row>
    <row r="939" spans="1:6" s="322" customFormat="1" ht="14.25">
      <c r="A939" s="416"/>
      <c r="B939" s="416" t="s">
        <v>240</v>
      </c>
      <c r="C939" s="412"/>
      <c r="D939" s="412"/>
      <c r="E939" s="323"/>
    </row>
    <row r="940" spans="1:6" s="322" customFormat="1" ht="14.25">
      <c r="A940" s="411"/>
      <c r="B940" s="323"/>
      <c r="C940" s="325" t="s">
        <v>379</v>
      </c>
      <c r="D940" s="323"/>
      <c r="E940" s="323"/>
    </row>
    <row r="941" spans="1:6" s="322" customFormat="1" ht="14.25">
      <c r="A941" s="411"/>
      <c r="B941" s="323"/>
      <c r="C941" s="325"/>
      <c r="D941" s="323"/>
      <c r="E941" s="323"/>
    </row>
    <row r="942" spans="1:6" s="379" customFormat="1" ht="14.25">
      <c r="A942" s="415"/>
      <c r="B942" s="325"/>
      <c r="C942" s="325"/>
      <c r="D942" s="325" t="s">
        <v>1394</v>
      </c>
      <c r="E942" s="392">
        <f>IF(calcCh3Prod4Slot1Active=1,calcCh3Prod4Slot1CustPrice*finCalcCh3Prod4Slot1VolSold,0)</f>
        <v>0</v>
      </c>
      <c r="F942" s="276" t="s">
        <v>2856</v>
      </c>
    </row>
    <row r="943" spans="1:6" s="379" customFormat="1" ht="14.25">
      <c r="A943" s="415"/>
      <c r="B943" s="325"/>
      <c r="C943" s="325"/>
      <c r="D943" s="325" t="s">
        <v>1759</v>
      </c>
      <c r="E943" s="392">
        <f>IF(calcCh3Prod4Slot1Active=1,finCalcCh3Prod4Slot1VolSold*paramExciseProd4,0)</f>
        <v>0</v>
      </c>
      <c r="F943" s="276" t="s">
        <v>2857</v>
      </c>
    </row>
    <row r="944" spans="1:6" s="379" customFormat="1" ht="14.25">
      <c r="A944" s="415"/>
      <c r="B944" s="325"/>
      <c r="C944" s="325"/>
      <c r="D944" s="325" t="s">
        <v>694</v>
      </c>
      <c r="E944" s="392">
        <f>IF(calcCh3Prod4Slot1Active=1,finPNLCh3Prod4Slot1Turn-finPNLCh3Prod4Slot1Excise,0)</f>
        <v>0</v>
      </c>
      <c r="F944" s="276" t="s">
        <v>2858</v>
      </c>
    </row>
    <row r="945" spans="1:6" s="379" customFormat="1" ht="14.25">
      <c r="A945" s="415"/>
      <c r="B945" s="325"/>
      <c r="C945" s="325"/>
      <c r="D945" s="325" t="s">
        <v>1396</v>
      </c>
      <c r="E945" s="392">
        <f>IF(calcCh3Prod4Slot1Active=1,(calcCh3Prod4Slot1CustPrice-calcCh3Prod4Slot1AvgSalePrice)*finCalcCh3Prod4Slot1VolSold+calcCh3Prod4Slot1Promo1PlanExp+calcCh1Prod4Slot1ValDrivExp,0)</f>
        <v>0</v>
      </c>
      <c r="F945" s="276" t="s">
        <v>2859</v>
      </c>
    </row>
    <row r="946" spans="1:6" s="227" customFormat="1" ht="2.1" customHeight="1">
      <c r="A946" s="415"/>
      <c r="B946" s="230"/>
      <c r="C946" s="209"/>
      <c r="D946" s="229"/>
      <c r="E946" s="229"/>
      <c r="F946" s="209"/>
    </row>
    <row r="947" spans="1:6" ht="14.25">
      <c r="A947" s="216"/>
      <c r="B947" s="209"/>
      <c r="C947" s="217" t="s">
        <v>1269</v>
      </c>
      <c r="D947" s="209"/>
      <c r="E947" s="233">
        <f>E944-E945</f>
        <v>0</v>
      </c>
      <c r="F947" s="276" t="s">
        <v>2555</v>
      </c>
    </row>
    <row r="948" spans="1:6" ht="14.25">
      <c r="A948" s="216"/>
      <c r="B948" s="209"/>
      <c r="C948" s="209"/>
      <c r="D948" s="209"/>
      <c r="E948" s="210"/>
      <c r="F948" s="209"/>
    </row>
    <row r="949" spans="1:6" ht="14.25">
      <c r="A949" s="216"/>
      <c r="B949" s="209"/>
      <c r="C949" s="217" t="s">
        <v>404</v>
      </c>
      <c r="D949" s="209"/>
      <c r="E949" s="210"/>
      <c r="F949" s="209"/>
    </row>
    <row r="950" spans="1:6" ht="14.25">
      <c r="A950" s="216"/>
      <c r="B950" s="209"/>
      <c r="C950" s="209"/>
      <c r="D950" s="209" t="s">
        <v>400</v>
      </c>
      <c r="E950" s="226">
        <f>IF(calcCh3Prod4Slot1Active=1,finCalcCh3Prod4Slot1MatExp,0)</f>
        <v>0</v>
      </c>
      <c r="F950" s="276" t="s">
        <v>2556</v>
      </c>
    </row>
    <row r="951" spans="1:6" ht="14.25">
      <c r="A951" s="216"/>
      <c r="B951" s="209"/>
      <c r="C951" s="209"/>
      <c r="D951" s="209" t="s">
        <v>399</v>
      </c>
      <c r="E951" s="226">
        <f>IF(calcCh3Prod4Slot1Active=1,finCalcCh3Prod4Slot1LabourExp,0)</f>
        <v>0</v>
      </c>
      <c r="F951" s="276" t="s">
        <v>2557</v>
      </c>
    </row>
    <row r="952" spans="1:6" ht="14.25">
      <c r="A952" s="216"/>
      <c r="B952" s="209"/>
      <c r="C952" s="209"/>
      <c r="D952" s="209" t="s">
        <v>513</v>
      </c>
      <c r="E952" s="226">
        <f>IF(calcCh3Prod4Slot1Active=1,finCalcCh3Prod4Slot1MachCost,0)</f>
        <v>0</v>
      </c>
      <c r="F952" s="276" t="s">
        <v>2558</v>
      </c>
    </row>
    <row r="953" spans="1:6" ht="14.25">
      <c r="A953" s="216"/>
      <c r="B953" s="209"/>
      <c r="C953" s="209"/>
      <c r="D953" s="209" t="s">
        <v>398</v>
      </c>
      <c r="E953" s="226">
        <f>IF(calcCh3Prod4Slot1Active=1,finCalcCh3Prod4Slot1DepExp,0)</f>
        <v>0</v>
      </c>
      <c r="F953" s="276" t="s">
        <v>2559</v>
      </c>
    </row>
    <row r="954" spans="1:6" s="227" customFormat="1" ht="2.1" customHeight="1">
      <c r="A954" s="415"/>
      <c r="B954" s="230"/>
      <c r="C954" s="209"/>
      <c r="D954" s="229"/>
      <c r="E954" s="229"/>
      <c r="F954" s="209"/>
    </row>
    <row r="955" spans="1:6" ht="14.25">
      <c r="A955" s="216"/>
      <c r="B955" s="209"/>
      <c r="C955" s="209"/>
      <c r="D955" s="209" t="s">
        <v>14</v>
      </c>
      <c r="E955" s="226">
        <f>SUM(E950:E954)</f>
        <v>0</v>
      </c>
      <c r="F955" s="276" t="s">
        <v>2560</v>
      </c>
    </row>
    <row r="956" spans="1:6" ht="14.25">
      <c r="A956" s="216"/>
      <c r="B956" s="209"/>
      <c r="C956" s="209"/>
      <c r="D956" s="209"/>
      <c r="E956" s="210"/>
      <c r="F956" s="209"/>
    </row>
    <row r="957" spans="1:6" ht="14.25">
      <c r="A957" s="216"/>
      <c r="B957" s="209"/>
      <c r="C957" s="217" t="s">
        <v>160</v>
      </c>
      <c r="D957" s="209"/>
      <c r="E957" s="210"/>
      <c r="F957" s="209"/>
    </row>
    <row r="958" spans="1:6" ht="14.25">
      <c r="A958" s="216"/>
      <c r="B958" s="209"/>
      <c r="C958" s="209"/>
      <c r="D958" s="209" t="s">
        <v>160</v>
      </c>
      <c r="E958" s="226">
        <f>IF(calcCh3Prod4Slot1Active=1,finPNLCh3Prod4Slot1TotalRev-finPNLCh3Prod4Slot1TotalCOGs,0)</f>
        <v>0</v>
      </c>
      <c r="F958" s="276" t="s">
        <v>2561</v>
      </c>
    </row>
    <row r="959" spans="1:6" ht="14.25">
      <c r="A959" s="216"/>
      <c r="B959" s="209"/>
      <c r="C959" s="217"/>
      <c r="D959" s="234" t="s">
        <v>162</v>
      </c>
      <c r="E959" s="687">
        <f>IF(finPNLCh3Prod4Slot1TotalRev=0,0,finPNLCh3Prod4Slot1GP/finPNLCh3Prod4Slot1TotalRev)</f>
        <v>0</v>
      </c>
      <c r="F959" s="276" t="s">
        <v>2562</v>
      </c>
    </row>
    <row r="960" spans="1:6" ht="14.25">
      <c r="A960" s="216"/>
      <c r="B960" s="209"/>
      <c r="C960" s="217"/>
      <c r="D960" s="234"/>
      <c r="E960" s="449"/>
      <c r="F960" s="209"/>
    </row>
    <row r="961" spans="1:6" ht="14.25">
      <c r="A961" s="216"/>
      <c r="B961" s="209"/>
      <c r="C961" s="217" t="s">
        <v>519</v>
      </c>
      <c r="D961" s="234"/>
      <c r="E961" s="449"/>
      <c r="F961" s="209"/>
    </row>
    <row r="962" spans="1:6" ht="14.25">
      <c r="A962" s="216"/>
      <c r="B962" s="209"/>
      <c r="C962" s="217"/>
      <c r="D962" s="209" t="s">
        <v>519</v>
      </c>
      <c r="E962" s="226">
        <f>IF(calcCh3Prod4Slot1Active=1,finCalcCh3Prod4Slot1LogisticsCost,0)</f>
        <v>0</v>
      </c>
      <c r="F962" s="208" t="s">
        <v>2563</v>
      </c>
    </row>
    <row r="963" spans="1:6" ht="14.25">
      <c r="A963" s="216"/>
      <c r="B963" s="209"/>
      <c r="C963" s="217"/>
      <c r="D963" s="234"/>
      <c r="E963" s="449"/>
      <c r="F963" s="209"/>
    </row>
    <row r="964" spans="1:6" ht="14.25">
      <c r="A964" s="216"/>
      <c r="B964" s="209"/>
      <c r="C964" s="217" t="s">
        <v>520</v>
      </c>
      <c r="D964" s="209"/>
      <c r="E964" s="210"/>
      <c r="F964" s="209"/>
    </row>
    <row r="965" spans="1:6" ht="14.25">
      <c r="A965" s="216"/>
      <c r="B965" s="209"/>
      <c r="C965" s="209"/>
      <c r="D965" s="209" t="s">
        <v>521</v>
      </c>
      <c r="E965" s="226">
        <f>finPNLCh3Prod4Slot1GP-finPNLCh3Prod4Slot1LogExp</f>
        <v>0</v>
      </c>
      <c r="F965" s="276" t="s">
        <v>2564</v>
      </c>
    </row>
    <row r="966" spans="1:6" ht="14.25">
      <c r="A966" s="216"/>
      <c r="B966" s="425"/>
      <c r="C966" s="426"/>
      <c r="D966" s="427" t="s">
        <v>522</v>
      </c>
      <c r="E966" s="687">
        <f>IF(finPNLCh3Prod4Slot1TotalRev=0,0,finPNLCh3Prod4Slot1GPaL/finPNLCh3Prod4Slot1TotalRev)</f>
        <v>0</v>
      </c>
      <c r="F966" s="428" t="s">
        <v>2565</v>
      </c>
    </row>
    <row r="967" spans="1:6" s="398" customFormat="1" ht="14.25">
      <c r="A967" s="216"/>
      <c r="B967" s="335"/>
      <c r="C967" s="395"/>
      <c r="D967" s="396"/>
      <c r="E967" s="688"/>
      <c r="F967" s="336"/>
    </row>
    <row r="968" spans="1:6" s="322" customFormat="1" ht="14.25">
      <c r="A968" s="411"/>
      <c r="B968" s="323"/>
      <c r="C968" s="325" t="s">
        <v>394</v>
      </c>
      <c r="D968" s="323"/>
      <c r="E968" s="323"/>
    </row>
    <row r="969" spans="1:6" s="322" customFormat="1" ht="14.25">
      <c r="A969" s="411"/>
      <c r="B969" s="323"/>
      <c r="C969" s="325"/>
      <c r="D969" s="323"/>
      <c r="E969" s="323"/>
    </row>
    <row r="970" spans="1:6" s="379" customFormat="1" ht="14.25">
      <c r="A970" s="415"/>
      <c r="B970" s="325"/>
      <c r="C970" s="325"/>
      <c r="D970" s="325" t="s">
        <v>1394</v>
      </c>
      <c r="E970" s="392">
        <f>IF(calcCh3Prod4Slot2Active=1,calcCh3Prod4Slot2CustPrice*finCalcCh3Prod4Slot2VolSold,0)</f>
        <v>0</v>
      </c>
      <c r="F970" s="276" t="s">
        <v>2860</v>
      </c>
    </row>
    <row r="971" spans="1:6" s="379" customFormat="1" ht="14.25">
      <c r="A971" s="415"/>
      <c r="B971" s="325"/>
      <c r="C971" s="325"/>
      <c r="D971" s="325" t="s">
        <v>1759</v>
      </c>
      <c r="E971" s="392">
        <f>IF(calcCh3Prod4Slot2Active=1,finCalcCh3Prod4Slot2VolSold*paramExciseProd4,0)</f>
        <v>0</v>
      </c>
      <c r="F971" s="276" t="s">
        <v>2861</v>
      </c>
    </row>
    <row r="972" spans="1:6" s="379" customFormat="1" ht="14.25">
      <c r="A972" s="415"/>
      <c r="B972" s="325"/>
      <c r="C972" s="325"/>
      <c r="D972" s="325" t="s">
        <v>694</v>
      </c>
      <c r="E972" s="392">
        <f>IF(calcCh3Prod4Slot2Active=1,finPNLCh3Prod4Slot2Turn-finPNLCh3Prod4Slot2Excise,0)</f>
        <v>0</v>
      </c>
      <c r="F972" s="276" t="s">
        <v>2862</v>
      </c>
    </row>
    <row r="973" spans="1:6" s="379" customFormat="1" ht="14.25">
      <c r="A973" s="415"/>
      <c r="B973" s="325"/>
      <c r="C973" s="325"/>
      <c r="D973" s="325" t="s">
        <v>1396</v>
      </c>
      <c r="E973" s="392">
        <f>IF(calcCh3Prod4Slot2Active=1,(calcCh3Prod4Slot2CustPrice-calcCh3Prod4Slot2AvgSalePrice)*finCalcCh3Prod4Slot2VolSold+calcCh3Prod4Slot2Promo1PlanExp+calcCh1Prod4Slot2ValDrivExp,0)</f>
        <v>0</v>
      </c>
      <c r="F973" s="276" t="s">
        <v>2863</v>
      </c>
    </row>
    <row r="974" spans="1:6" s="227" customFormat="1" ht="2.1" customHeight="1">
      <c r="A974" s="415"/>
      <c r="B974" s="230"/>
      <c r="C974" s="209"/>
      <c r="D974" s="229"/>
      <c r="E974" s="229"/>
      <c r="F974" s="209"/>
    </row>
    <row r="975" spans="1:6" ht="14.25">
      <c r="A975" s="216"/>
      <c r="B975" s="209"/>
      <c r="C975" s="217" t="s">
        <v>1269</v>
      </c>
      <c r="D975" s="209"/>
      <c r="E975" s="233">
        <f>E972-E973</f>
        <v>0</v>
      </c>
      <c r="F975" s="276" t="s">
        <v>2566</v>
      </c>
    </row>
    <row r="976" spans="1:6" ht="14.25">
      <c r="A976" s="216"/>
      <c r="B976" s="209"/>
      <c r="C976" s="209"/>
      <c r="D976" s="209"/>
      <c r="E976" s="210"/>
      <c r="F976" s="209"/>
    </row>
    <row r="977" spans="1:6" ht="14.25">
      <c r="A977" s="216"/>
      <c r="B977" s="209"/>
      <c r="C977" s="217" t="s">
        <v>404</v>
      </c>
      <c r="D977" s="209"/>
      <c r="E977" s="210"/>
      <c r="F977" s="209"/>
    </row>
    <row r="978" spans="1:6" ht="14.25">
      <c r="A978" s="216"/>
      <c r="B978" s="209"/>
      <c r="C978" s="209"/>
      <c r="D978" s="209" t="s">
        <v>400</v>
      </c>
      <c r="E978" s="226">
        <f>IF(calcCh3Prod4Slot2Active=1,finCalcCh3Prod4Slot2MatExp,0)</f>
        <v>0</v>
      </c>
      <c r="F978" s="276" t="s">
        <v>2567</v>
      </c>
    </row>
    <row r="979" spans="1:6" ht="14.25">
      <c r="A979" s="216"/>
      <c r="B979" s="209"/>
      <c r="C979" s="209"/>
      <c r="D979" s="209" t="s">
        <v>399</v>
      </c>
      <c r="E979" s="226">
        <f>IF(calcCh3Prod4Slot2Active=1,finCalcCh3Prod4Slot2LabourExp,0)</f>
        <v>0</v>
      </c>
      <c r="F979" s="276" t="s">
        <v>2568</v>
      </c>
    </row>
    <row r="980" spans="1:6" ht="14.25">
      <c r="A980" s="216"/>
      <c r="B980" s="209"/>
      <c r="C980" s="209"/>
      <c r="D980" s="209" t="s">
        <v>513</v>
      </c>
      <c r="E980" s="226">
        <f>IF(calcCh3Prod4Slot2Active=1,finCalcCh3Prod4Slot2MachCost,0)</f>
        <v>0</v>
      </c>
      <c r="F980" s="276" t="s">
        <v>2569</v>
      </c>
    </row>
    <row r="981" spans="1:6" ht="14.25">
      <c r="A981" s="216"/>
      <c r="B981" s="209"/>
      <c r="C981" s="209"/>
      <c r="D981" s="209" t="s">
        <v>398</v>
      </c>
      <c r="E981" s="226">
        <f>IF(calcCh3Prod4Slot2Active=1,finCalcCh3Prod4Slot2DepExp,0)</f>
        <v>0</v>
      </c>
      <c r="F981" s="276" t="s">
        <v>2570</v>
      </c>
    </row>
    <row r="982" spans="1:6" s="227" customFormat="1" ht="2.1" customHeight="1">
      <c r="A982" s="415"/>
      <c r="B982" s="230"/>
      <c r="C982" s="209"/>
      <c r="D982" s="229"/>
      <c r="E982" s="229"/>
      <c r="F982" s="209"/>
    </row>
    <row r="983" spans="1:6" ht="14.25">
      <c r="A983" s="216"/>
      <c r="B983" s="209"/>
      <c r="C983" s="209"/>
      <c r="D983" s="209" t="s">
        <v>14</v>
      </c>
      <c r="E983" s="226">
        <f>SUM(E978:E982)</f>
        <v>0</v>
      </c>
      <c r="F983" s="276" t="s">
        <v>2571</v>
      </c>
    </row>
    <row r="984" spans="1:6" ht="14.25">
      <c r="A984" s="216"/>
      <c r="B984" s="209"/>
      <c r="C984" s="209"/>
      <c r="D984" s="209"/>
      <c r="E984" s="210"/>
      <c r="F984" s="209"/>
    </row>
    <row r="985" spans="1:6" ht="14.25">
      <c r="A985" s="216"/>
      <c r="B985" s="209"/>
      <c r="C985" s="217" t="s">
        <v>160</v>
      </c>
      <c r="D985" s="209"/>
      <c r="E985" s="210"/>
      <c r="F985" s="209"/>
    </row>
    <row r="986" spans="1:6" ht="14.25">
      <c r="A986" s="216"/>
      <c r="B986" s="209"/>
      <c r="C986" s="209"/>
      <c r="D986" s="209" t="s">
        <v>160</v>
      </c>
      <c r="E986" s="226">
        <f>IF(calcCh3Prod4Slot2Active=1,finPNLCh3Prod4Slot2TotalRev-finPNLCh3Prod4Slot2TotalCOGs,0)</f>
        <v>0</v>
      </c>
      <c r="F986" s="276" t="s">
        <v>2572</v>
      </c>
    </row>
    <row r="987" spans="1:6" ht="14.25">
      <c r="A987" s="216"/>
      <c r="B987" s="209"/>
      <c r="C987" s="217"/>
      <c r="D987" s="234" t="s">
        <v>162</v>
      </c>
      <c r="E987" s="687">
        <f>IF(finPNLCh3Prod4Slot2TotalRev=0,0,finPNLCh3Prod4Slot2GP/finPNLCh3Prod4Slot2TotalRev)</f>
        <v>0</v>
      </c>
      <c r="F987" s="276" t="s">
        <v>2573</v>
      </c>
    </row>
    <row r="988" spans="1:6" ht="14.25">
      <c r="A988" s="216"/>
      <c r="B988" s="209"/>
      <c r="C988" s="217"/>
      <c r="D988" s="234"/>
      <c r="E988" s="449"/>
      <c r="F988" s="209"/>
    </row>
    <row r="989" spans="1:6" ht="14.25">
      <c r="A989" s="216"/>
      <c r="B989" s="209"/>
      <c r="C989" s="217" t="s">
        <v>519</v>
      </c>
      <c r="D989" s="234"/>
      <c r="E989" s="449"/>
      <c r="F989" s="209"/>
    </row>
    <row r="990" spans="1:6" ht="14.25">
      <c r="A990" s="216"/>
      <c r="B990" s="209"/>
      <c r="C990" s="217"/>
      <c r="D990" s="209" t="s">
        <v>519</v>
      </c>
      <c r="E990" s="226">
        <f>IF(calcCh3Prod4Slot2Active=1,finCalcCh3Prod4Slot2LogisticsCost,0)</f>
        <v>0</v>
      </c>
      <c r="F990" s="208" t="s">
        <v>2574</v>
      </c>
    </row>
    <row r="991" spans="1:6" ht="14.25">
      <c r="A991" s="216"/>
      <c r="B991" s="209"/>
      <c r="C991" s="217"/>
      <c r="D991" s="234"/>
      <c r="E991" s="449"/>
      <c r="F991" s="209"/>
    </row>
    <row r="992" spans="1:6" ht="14.25">
      <c r="A992" s="216"/>
      <c r="B992" s="209"/>
      <c r="C992" s="217" t="s">
        <v>520</v>
      </c>
      <c r="D992" s="209"/>
      <c r="E992" s="210"/>
      <c r="F992" s="209"/>
    </row>
    <row r="993" spans="1:6" ht="14.25">
      <c r="A993" s="216"/>
      <c r="B993" s="209"/>
      <c r="C993" s="209"/>
      <c r="D993" s="209" t="s">
        <v>521</v>
      </c>
      <c r="E993" s="226">
        <f>finPNLCh3Prod4Slot2GP-finPNLCh3Prod4Slot2LogExp</f>
        <v>0</v>
      </c>
      <c r="F993" s="276" t="s">
        <v>2575</v>
      </c>
    </row>
    <row r="994" spans="1:6" ht="14.25">
      <c r="A994" s="216"/>
      <c r="B994" s="425"/>
      <c r="C994" s="426"/>
      <c r="D994" s="427" t="s">
        <v>522</v>
      </c>
      <c r="E994" s="687">
        <f>IF(finPNLCh3Prod4Slot2TotalRev=0,0,finPNLCh3Prod4Slot2GPaL/finPNLCh3Prod4Slot2TotalRev)</f>
        <v>0</v>
      </c>
      <c r="F994" s="428" t="s">
        <v>2576</v>
      </c>
    </row>
    <row r="995" spans="1:6" s="398" customFormat="1" ht="14.25">
      <c r="A995" s="216"/>
      <c r="B995" s="335"/>
      <c r="C995" s="395"/>
      <c r="D995" s="396"/>
      <c r="E995" s="688"/>
      <c r="F995" s="336"/>
    </row>
    <row r="996" spans="1:6" s="322" customFormat="1" ht="14.25">
      <c r="A996" s="411"/>
      <c r="B996" s="323"/>
      <c r="C996" s="325" t="s">
        <v>395</v>
      </c>
      <c r="D996" s="323"/>
      <c r="E996" s="323"/>
    </row>
    <row r="997" spans="1:6" s="322" customFormat="1" ht="14.25">
      <c r="A997" s="411"/>
      <c r="B997" s="323"/>
      <c r="C997" s="325"/>
      <c r="D997" s="323"/>
      <c r="E997" s="323"/>
    </row>
    <row r="998" spans="1:6" s="379" customFormat="1" ht="14.25">
      <c r="A998" s="415"/>
      <c r="B998" s="325"/>
      <c r="C998" s="325"/>
      <c r="D998" s="325" t="s">
        <v>1394</v>
      </c>
      <c r="E998" s="392">
        <f>IF(calcCh3Prod4Slot3Active=1,calcCh3Prod4Slot3CustPrice*finCalcCh3Prod4Slot3VolSold,0)</f>
        <v>0</v>
      </c>
      <c r="F998" s="276" t="s">
        <v>2816</v>
      </c>
    </row>
    <row r="999" spans="1:6" s="379" customFormat="1" ht="14.25">
      <c r="A999" s="415"/>
      <c r="B999" s="325"/>
      <c r="C999" s="325"/>
      <c r="D999" s="325" t="s">
        <v>1759</v>
      </c>
      <c r="E999" s="392">
        <f>IF(calcCh3Prod4Slot3Active=1,finCalcCh3Prod4Slot3VolSold*paramExciseProd4,0)</f>
        <v>0</v>
      </c>
      <c r="F999" s="276" t="s">
        <v>2817</v>
      </c>
    </row>
    <row r="1000" spans="1:6" s="379" customFormat="1" ht="14.25">
      <c r="A1000" s="415"/>
      <c r="B1000" s="325"/>
      <c r="C1000" s="325"/>
      <c r="D1000" s="325" t="s">
        <v>694</v>
      </c>
      <c r="E1000" s="392">
        <f>IF(calcCh3Prod4Slot3Active=1,finPNLCh3Prod4Slot3Turn-finPNLCh3Prod4Slot3Excise,0)</f>
        <v>0</v>
      </c>
      <c r="F1000" s="276" t="s">
        <v>2818</v>
      </c>
    </row>
    <row r="1001" spans="1:6" s="379" customFormat="1" ht="14.25">
      <c r="A1001" s="415"/>
      <c r="B1001" s="325"/>
      <c r="C1001" s="325"/>
      <c r="D1001" s="325" t="s">
        <v>1396</v>
      </c>
      <c r="E1001" s="392">
        <f>IF(calcCh3Prod4Slot3Active=1,(calcCh3Prod4Slot3CustPrice-calcCh3Prod4Slot3AvgSalePrice)*finCalcCh3Prod4Slot3VolSold+calcCh3Prod4Slot3Promo1PlanExp+calcCh1Prod4Slot3ValDrivExp,0)</f>
        <v>0</v>
      </c>
      <c r="F1001" s="276" t="s">
        <v>2819</v>
      </c>
    </row>
    <row r="1002" spans="1:6" s="227" customFormat="1" ht="2.1" customHeight="1">
      <c r="A1002" s="415"/>
      <c r="B1002" s="230"/>
      <c r="C1002" s="209"/>
      <c r="D1002" s="229"/>
      <c r="E1002" s="229"/>
      <c r="F1002" s="209"/>
    </row>
    <row r="1003" spans="1:6" ht="14.25">
      <c r="A1003" s="216"/>
      <c r="B1003" s="209"/>
      <c r="C1003" s="217" t="s">
        <v>1269</v>
      </c>
      <c r="D1003" s="209"/>
      <c r="E1003" s="233">
        <f>E1000-E1001</f>
        <v>0</v>
      </c>
      <c r="F1003" s="276" t="s">
        <v>2577</v>
      </c>
    </row>
    <row r="1004" spans="1:6" ht="14.25">
      <c r="A1004" s="216"/>
      <c r="B1004" s="209"/>
      <c r="C1004" s="209"/>
      <c r="D1004" s="209"/>
      <c r="E1004" s="210"/>
      <c r="F1004" s="209"/>
    </row>
    <row r="1005" spans="1:6" ht="14.25">
      <c r="A1005" s="216"/>
      <c r="B1005" s="209"/>
      <c r="C1005" s="217" t="s">
        <v>404</v>
      </c>
      <c r="D1005" s="209"/>
      <c r="E1005" s="210"/>
      <c r="F1005" s="209"/>
    </row>
    <row r="1006" spans="1:6" ht="14.25">
      <c r="A1006" s="216"/>
      <c r="B1006" s="209"/>
      <c r="C1006" s="209"/>
      <c r="D1006" s="209" t="s">
        <v>400</v>
      </c>
      <c r="E1006" s="226">
        <f>IF(calcCh3Prod4Slot3Active=1,finCalcCh3Prod4Slot3MatExp,0)</f>
        <v>0</v>
      </c>
      <c r="F1006" s="276" t="s">
        <v>2578</v>
      </c>
    </row>
    <row r="1007" spans="1:6" ht="14.25">
      <c r="A1007" s="216"/>
      <c r="B1007" s="209"/>
      <c r="C1007" s="209"/>
      <c r="D1007" s="209" t="s">
        <v>399</v>
      </c>
      <c r="E1007" s="226">
        <f>IF(calcCh3Prod4Slot3Active=1,finCalcCh3Prod4Slot3LabourExp,0)</f>
        <v>0</v>
      </c>
      <c r="F1007" s="276" t="s">
        <v>2579</v>
      </c>
    </row>
    <row r="1008" spans="1:6" ht="14.25">
      <c r="A1008" s="216"/>
      <c r="B1008" s="209"/>
      <c r="C1008" s="209"/>
      <c r="D1008" s="209" t="s">
        <v>513</v>
      </c>
      <c r="E1008" s="226">
        <f>IF(calcCh3Prod4Slot3Active=1,finCalcCh3Prod4Slot3MachCost,0)</f>
        <v>0</v>
      </c>
      <c r="F1008" s="276" t="s">
        <v>2580</v>
      </c>
    </row>
    <row r="1009" spans="1:6" ht="14.25">
      <c r="A1009" s="216"/>
      <c r="B1009" s="209"/>
      <c r="C1009" s="209"/>
      <c r="D1009" s="209" t="s">
        <v>398</v>
      </c>
      <c r="E1009" s="226">
        <f>IF(calcCh3Prod4Slot3Active=1,finCalcCh3Prod4Slot3DepExp,0)</f>
        <v>0</v>
      </c>
      <c r="F1009" s="276" t="s">
        <v>2581</v>
      </c>
    </row>
    <row r="1010" spans="1:6" s="227" customFormat="1" ht="2.1" customHeight="1">
      <c r="A1010" s="415"/>
      <c r="B1010" s="230"/>
      <c r="C1010" s="209"/>
      <c r="D1010" s="229"/>
      <c r="E1010" s="229"/>
      <c r="F1010" s="209"/>
    </row>
    <row r="1011" spans="1:6" ht="14.25">
      <c r="A1011" s="216"/>
      <c r="B1011" s="209"/>
      <c r="C1011" s="209"/>
      <c r="D1011" s="209" t="s">
        <v>14</v>
      </c>
      <c r="E1011" s="226">
        <f>SUM(E1006:E1010)</f>
        <v>0</v>
      </c>
      <c r="F1011" s="276" t="s">
        <v>2582</v>
      </c>
    </row>
    <row r="1012" spans="1:6" ht="14.25">
      <c r="A1012" s="216"/>
      <c r="B1012" s="209"/>
      <c r="C1012" s="209"/>
      <c r="D1012" s="209"/>
      <c r="E1012" s="210"/>
      <c r="F1012" s="209"/>
    </row>
    <row r="1013" spans="1:6" ht="14.25">
      <c r="A1013" s="216"/>
      <c r="B1013" s="209"/>
      <c r="C1013" s="217" t="s">
        <v>160</v>
      </c>
      <c r="D1013" s="209"/>
      <c r="E1013" s="210"/>
      <c r="F1013" s="209"/>
    </row>
    <row r="1014" spans="1:6" ht="14.25">
      <c r="A1014" s="216"/>
      <c r="B1014" s="209"/>
      <c r="C1014" s="209"/>
      <c r="D1014" s="209" t="s">
        <v>160</v>
      </c>
      <c r="E1014" s="226">
        <f>IF(calcCh3Prod4Slot3Active=1,finPNLCh3Prod4Slot3TotalRev-finPNLCh3Prod4Slot3TotalCOGs,0)</f>
        <v>0</v>
      </c>
      <c r="F1014" s="276" t="s">
        <v>2583</v>
      </c>
    </row>
    <row r="1015" spans="1:6" ht="14.25">
      <c r="A1015" s="216"/>
      <c r="B1015" s="209"/>
      <c r="C1015" s="217"/>
      <c r="D1015" s="234" t="s">
        <v>162</v>
      </c>
      <c r="E1015" s="687">
        <f>IF(finPNLCh3Prod4Slot3TotalRev=0,0,finPNLCh3Prod4Slot3GP/finPNLCh3Prod4Slot3TotalRev)</f>
        <v>0</v>
      </c>
      <c r="F1015" s="276" t="s">
        <v>2584</v>
      </c>
    </row>
    <row r="1016" spans="1:6" ht="14.25">
      <c r="A1016" s="216"/>
      <c r="B1016" s="209"/>
      <c r="C1016" s="217"/>
      <c r="D1016" s="234"/>
      <c r="E1016" s="449"/>
      <c r="F1016" s="209"/>
    </row>
    <row r="1017" spans="1:6" ht="14.25">
      <c r="A1017" s="216"/>
      <c r="B1017" s="209"/>
      <c r="C1017" s="217" t="s">
        <v>519</v>
      </c>
      <c r="D1017" s="234"/>
      <c r="E1017" s="449"/>
      <c r="F1017" s="209"/>
    </row>
    <row r="1018" spans="1:6" ht="14.25">
      <c r="A1018" s="216"/>
      <c r="B1018" s="209"/>
      <c r="C1018" s="217"/>
      <c r="D1018" s="209" t="s">
        <v>519</v>
      </c>
      <c r="E1018" s="226">
        <f>IF(calcCh3Prod4Slot3Active=1,finCalcCh3Prod4Slot3LogisticsCost,0)</f>
        <v>0</v>
      </c>
      <c r="F1018" s="208" t="s">
        <v>2585</v>
      </c>
    </row>
    <row r="1019" spans="1:6" ht="14.25">
      <c r="A1019" s="216"/>
      <c r="B1019" s="209"/>
      <c r="C1019" s="217"/>
      <c r="D1019" s="234"/>
      <c r="E1019" s="449"/>
      <c r="F1019" s="209"/>
    </row>
    <row r="1020" spans="1:6" ht="14.25">
      <c r="A1020" s="216"/>
      <c r="B1020" s="209"/>
      <c r="C1020" s="217" t="s">
        <v>520</v>
      </c>
      <c r="D1020" s="209"/>
      <c r="E1020" s="210"/>
      <c r="F1020" s="209"/>
    </row>
    <row r="1021" spans="1:6" ht="14.25">
      <c r="A1021" s="216"/>
      <c r="B1021" s="209"/>
      <c r="C1021" s="209"/>
      <c r="D1021" s="209" t="s">
        <v>521</v>
      </c>
      <c r="E1021" s="226">
        <f>finPNLCh3Prod4Slot3GP-finPNLCh3Prod4Slot3LogExp</f>
        <v>0</v>
      </c>
      <c r="F1021" s="276" t="s">
        <v>2586</v>
      </c>
    </row>
    <row r="1022" spans="1:6" ht="14.25">
      <c r="A1022" s="216"/>
      <c r="B1022" s="209"/>
      <c r="C1022" s="217"/>
      <c r="D1022" s="234" t="s">
        <v>522</v>
      </c>
      <c r="E1022" s="687">
        <f>IF(finPNLCh3Prod4Slot3TotalRev=0,0,finPNLCh3Prod4Slot3GPaL/finPNLCh3Prod4Slot3TotalRev)</f>
        <v>0</v>
      </c>
      <c r="F1022" s="276" t="s">
        <v>2587</v>
      </c>
    </row>
    <row r="1023" spans="1:6" s="398" customFormat="1" ht="18">
      <c r="A1023" s="429" t="s">
        <v>246</v>
      </c>
      <c r="B1023" s="429"/>
      <c r="C1023" s="430"/>
      <c r="D1023" s="431"/>
      <c r="E1023" s="432"/>
      <c r="F1023" s="429"/>
    </row>
    <row r="1024" spans="1:6" s="322" customFormat="1" ht="14.25">
      <c r="A1024" s="437"/>
      <c r="B1024" s="437" t="s">
        <v>12868</v>
      </c>
      <c r="C1024" s="410"/>
      <c r="D1024" s="410"/>
      <c r="E1024" s="324"/>
    </row>
    <row r="1025" spans="1:6" s="322" customFormat="1" ht="14.25">
      <c r="A1025" s="409"/>
      <c r="B1025" s="323"/>
      <c r="C1025" s="325" t="s">
        <v>379</v>
      </c>
      <c r="D1025" s="323"/>
      <c r="E1025" s="324"/>
    </row>
    <row r="1026" spans="1:6" s="322" customFormat="1" ht="14.25">
      <c r="A1026" s="409"/>
      <c r="B1026" s="323"/>
      <c r="C1026" s="325"/>
      <c r="D1026" s="323"/>
      <c r="E1026" s="324"/>
    </row>
    <row r="1027" spans="1:6" s="379" customFormat="1" ht="14.25">
      <c r="A1027" s="438"/>
      <c r="B1027" s="325"/>
      <c r="C1027" s="325"/>
      <c r="D1027" s="325" t="s">
        <v>1394</v>
      </c>
      <c r="E1027" s="392">
        <f>IF(calcCh4Prod1Slot1Active=1,calcCh4Prod1Slot1CustPrice*finCalcCh4Prod1Slot1VolSold,0)</f>
        <v>365088600</v>
      </c>
      <c r="F1027" s="276" t="s">
        <v>2872</v>
      </c>
    </row>
    <row r="1028" spans="1:6" s="379" customFormat="1" ht="14.25">
      <c r="A1028" s="438"/>
      <c r="B1028" s="325"/>
      <c r="C1028" s="325"/>
      <c r="D1028" s="325" t="s">
        <v>1759</v>
      </c>
      <c r="E1028" s="392">
        <f>IF(calcCh4Prod1Slot1Active=1,finCalcCh4Prod1Slot1VolSold*paramExciseProd1,0)</f>
        <v>124231537.50000001</v>
      </c>
      <c r="F1028" s="276" t="s">
        <v>2873</v>
      </c>
    </row>
    <row r="1029" spans="1:6" s="379" customFormat="1" ht="14.25">
      <c r="A1029" s="438"/>
      <c r="B1029" s="325"/>
      <c r="C1029" s="325"/>
      <c r="D1029" s="325" t="s">
        <v>694</v>
      </c>
      <c r="E1029" s="392">
        <f>IF(calcCh4Prod1Slot1Active=1,finPNLCh4Prod1Slot1Turn-finPNLCh4Prod1Slot1Excise,0)</f>
        <v>240857062.5</v>
      </c>
      <c r="F1029" s="276" t="s">
        <v>2874</v>
      </c>
    </row>
    <row r="1030" spans="1:6" s="379" customFormat="1" ht="14.25">
      <c r="A1030" s="438"/>
      <c r="B1030" s="325"/>
      <c r="C1030" s="325"/>
      <c r="D1030" s="325" t="s">
        <v>1396</v>
      </c>
      <c r="E1030" s="392">
        <f>IF(calcCh4Prod1Slot1Active=1,(calcCh4Prod1Slot1CustPrice-calcCh4Prod1Slot1AvgSalePrice)*finCalcCh4Prod1Slot1VolSold+calcCh4Prod1Slot1Promo1PlanExp+calcCh1Prod1Slot1ValDrivExp,0)</f>
        <v>19294672.248427641</v>
      </c>
      <c r="F1030" s="276" t="s">
        <v>2875</v>
      </c>
    </row>
    <row r="1031" spans="1:6" s="227" customFormat="1" ht="2.1" customHeight="1">
      <c r="A1031" s="438"/>
      <c r="B1031" s="230"/>
      <c r="C1031" s="209"/>
      <c r="D1031" s="229"/>
      <c r="E1031" s="229"/>
      <c r="F1031" s="209"/>
    </row>
    <row r="1032" spans="1:6" ht="14.25">
      <c r="A1032" s="439"/>
      <c r="B1032" s="209"/>
      <c r="C1032" s="217" t="s">
        <v>1269</v>
      </c>
      <c r="D1032" s="209"/>
      <c r="E1032" s="233">
        <f>E1029-E1030</f>
        <v>221562390.25157237</v>
      </c>
      <c r="F1032" s="276" t="s">
        <v>2588</v>
      </c>
    </row>
    <row r="1033" spans="1:6" ht="14.25">
      <c r="A1033" s="439"/>
      <c r="B1033" s="209"/>
      <c r="C1033" s="209"/>
      <c r="D1033" s="209"/>
      <c r="E1033" s="210"/>
      <c r="F1033" s="209"/>
    </row>
    <row r="1034" spans="1:6" ht="14.25">
      <c r="A1034" s="439"/>
      <c r="B1034" s="209"/>
      <c r="C1034" s="217" t="s">
        <v>404</v>
      </c>
      <c r="D1034" s="209"/>
      <c r="E1034" s="210"/>
      <c r="F1034" s="209"/>
    </row>
    <row r="1035" spans="1:6" ht="14.25">
      <c r="A1035" s="439"/>
      <c r="B1035" s="209"/>
      <c r="C1035" s="209"/>
      <c r="D1035" s="209" t="s">
        <v>400</v>
      </c>
      <c r="E1035" s="226">
        <f>IF(calcCh4Prod1Slot1Active=1,finCalcCh4Prod1Slot1MatExp,0)</f>
        <v>69661095.411600024</v>
      </c>
      <c r="F1035" s="276" t="s">
        <v>2589</v>
      </c>
    </row>
    <row r="1036" spans="1:6" ht="14.25">
      <c r="A1036" s="439"/>
      <c r="B1036" s="209"/>
      <c r="C1036" s="209"/>
      <c r="D1036" s="209" t="s">
        <v>399</v>
      </c>
      <c r="E1036" s="226">
        <f>IF(calcCh4Prod1Slot1Active=1,finCalcCh4Prod1Slot1LabourExp,0)</f>
        <v>10244278.737000002</v>
      </c>
      <c r="F1036" s="276" t="s">
        <v>2590</v>
      </c>
    </row>
    <row r="1037" spans="1:6" ht="14.25">
      <c r="A1037" s="439"/>
      <c r="B1037" s="209"/>
      <c r="C1037" s="209"/>
      <c r="D1037" s="209" t="s">
        <v>513</v>
      </c>
      <c r="E1037" s="226">
        <f>IF(calcCh4Prod1Slot1Active=1,finCalcCh4Prod1Slot1MachCost,0)</f>
        <v>13570343.262000002</v>
      </c>
      <c r="F1037" s="276" t="s">
        <v>2591</v>
      </c>
    </row>
    <row r="1038" spans="1:6" ht="14.25">
      <c r="A1038" s="439"/>
      <c r="B1038" s="209"/>
      <c r="C1038" s="209"/>
      <c r="D1038" s="209" t="s">
        <v>398</v>
      </c>
      <c r="E1038" s="226">
        <f>IF(calcCh4Prod1Slot1Active=1,finCalcCh4Prod1Slot1DepExp,0)</f>
        <v>6039624.6283877734</v>
      </c>
      <c r="F1038" s="276" t="s">
        <v>2592</v>
      </c>
    </row>
    <row r="1039" spans="1:6" s="227" customFormat="1" ht="2.1" customHeight="1">
      <c r="A1039" s="438"/>
      <c r="B1039" s="230"/>
      <c r="C1039" s="209"/>
      <c r="D1039" s="229"/>
      <c r="E1039" s="229"/>
      <c r="F1039" s="209"/>
    </row>
    <row r="1040" spans="1:6" ht="14.25">
      <c r="A1040" s="439"/>
      <c r="B1040" s="209"/>
      <c r="C1040" s="209"/>
      <c r="D1040" s="209" t="s">
        <v>14</v>
      </c>
      <c r="E1040" s="226">
        <f>SUM(E1035:E1039)</f>
        <v>99515342.038987815</v>
      </c>
      <c r="F1040" s="276" t="s">
        <v>2593</v>
      </c>
    </row>
    <row r="1041" spans="1:6" ht="14.25">
      <c r="A1041" s="439"/>
      <c r="B1041" s="209"/>
      <c r="C1041" s="209"/>
      <c r="D1041" s="209"/>
      <c r="E1041" s="210"/>
      <c r="F1041" s="209"/>
    </row>
    <row r="1042" spans="1:6" ht="14.25">
      <c r="A1042" s="439"/>
      <c r="B1042" s="209"/>
      <c r="C1042" s="217" t="s">
        <v>160</v>
      </c>
      <c r="D1042" s="209"/>
      <c r="E1042" s="210"/>
      <c r="F1042" s="209"/>
    </row>
    <row r="1043" spans="1:6" ht="14.25">
      <c r="A1043" s="439"/>
      <c r="B1043" s="209"/>
      <c r="C1043" s="209"/>
      <c r="D1043" s="209" t="s">
        <v>160</v>
      </c>
      <c r="E1043" s="226">
        <f>IF(calcCh4Prod1Slot1Active=1,finPNLCh4Prod1Slot1TotalRev-finPNLCh4Prod1Slot1TotalCOGs,0)</f>
        <v>122047048.21258456</v>
      </c>
      <c r="F1043" s="276" t="s">
        <v>2594</v>
      </c>
    </row>
    <row r="1044" spans="1:6" ht="14.25">
      <c r="A1044" s="439"/>
      <c r="B1044" s="209"/>
      <c r="C1044" s="217"/>
      <c r="D1044" s="234" t="s">
        <v>162</v>
      </c>
      <c r="E1044" s="687">
        <f>IF(finPNLCh4Prod1Slot1TotalRev=0,0,finPNLCh4Prod1Slot1GP/finPNLCh4Prod1Slot1TotalRev)</f>
        <v>0.55084731697472022</v>
      </c>
      <c r="F1044" s="276" t="s">
        <v>2595</v>
      </c>
    </row>
    <row r="1045" spans="1:6" ht="14.25">
      <c r="A1045" s="439"/>
      <c r="B1045" s="209"/>
      <c r="C1045" s="217"/>
      <c r="D1045" s="234"/>
      <c r="E1045" s="449"/>
      <c r="F1045" s="209"/>
    </row>
    <row r="1046" spans="1:6" ht="14.25">
      <c r="A1046" s="439"/>
      <c r="B1046" s="209"/>
      <c r="C1046" s="217" t="s">
        <v>519</v>
      </c>
      <c r="D1046" s="234"/>
      <c r="E1046" s="449"/>
      <c r="F1046" s="209"/>
    </row>
    <row r="1047" spans="1:6" ht="14.25">
      <c r="A1047" s="439"/>
      <c r="B1047" s="209"/>
      <c r="C1047" s="217"/>
      <c r="D1047" s="209" t="s">
        <v>519</v>
      </c>
      <c r="E1047" s="226">
        <f>IF(calcCh4Prod1Slot1Active=1,finCalcCh4Prod1Slot1LogisticsCost,0)</f>
        <v>11836556.715789476</v>
      </c>
      <c r="F1047" s="208" t="s">
        <v>2596</v>
      </c>
    </row>
    <row r="1048" spans="1:6" ht="14.25">
      <c r="A1048" s="439"/>
      <c r="B1048" s="209"/>
      <c r="C1048" s="217"/>
      <c r="D1048" s="234"/>
      <c r="E1048" s="449"/>
      <c r="F1048" s="209"/>
    </row>
    <row r="1049" spans="1:6" ht="14.25">
      <c r="A1049" s="439"/>
      <c r="B1049" s="209"/>
      <c r="C1049" s="217" t="s">
        <v>520</v>
      </c>
      <c r="D1049" s="209"/>
      <c r="E1049" s="210"/>
      <c r="F1049" s="209"/>
    </row>
    <row r="1050" spans="1:6" ht="14.25">
      <c r="A1050" s="439"/>
      <c r="B1050" s="209"/>
      <c r="C1050" s="209"/>
      <c r="D1050" s="209" t="s">
        <v>521</v>
      </c>
      <c r="E1050" s="226">
        <f>finPNLCh4Prod1Slot1GP-finPNLCh4Prod1Slot1LogExp</f>
        <v>110210491.49679507</v>
      </c>
      <c r="F1050" s="276" t="s">
        <v>2597</v>
      </c>
    </row>
    <row r="1051" spans="1:6" ht="14.25">
      <c r="A1051" s="439"/>
      <c r="B1051" s="425"/>
      <c r="C1051" s="426"/>
      <c r="D1051" s="427" t="s">
        <v>522</v>
      </c>
      <c r="E1051" s="687">
        <f>IF(finPNLCh4Prod1Slot1TotalRev=0,0,finPNLCh4Prod1Slot1GPaL/finPNLCh4Prod1Slot1TotalRev)</f>
        <v>0.49742418544797651</v>
      </c>
      <c r="F1051" s="428" t="s">
        <v>2598</v>
      </c>
    </row>
    <row r="1052" spans="1:6" s="398" customFormat="1" ht="14.25">
      <c r="A1052" s="439"/>
      <c r="B1052" s="335"/>
      <c r="C1052" s="395"/>
      <c r="D1052" s="396"/>
      <c r="E1052" s="688"/>
      <c r="F1052" s="336"/>
    </row>
    <row r="1053" spans="1:6" s="322" customFormat="1" ht="14.25">
      <c r="A1053" s="409"/>
      <c r="B1053" s="323"/>
      <c r="C1053" s="325" t="s">
        <v>394</v>
      </c>
      <c r="D1053" s="323"/>
      <c r="E1053" s="323"/>
    </row>
    <row r="1054" spans="1:6" s="322" customFormat="1" ht="14.25">
      <c r="A1054" s="409"/>
      <c r="B1054" s="323"/>
      <c r="C1054" s="325"/>
      <c r="D1054" s="323"/>
      <c r="E1054" s="323"/>
    </row>
    <row r="1055" spans="1:6" s="379" customFormat="1" ht="14.25">
      <c r="A1055" s="438"/>
      <c r="B1055" s="325"/>
      <c r="C1055" s="325"/>
      <c r="D1055" s="325" t="s">
        <v>1394</v>
      </c>
      <c r="E1055" s="392">
        <f>IF(calcCh4Prod1Slot2Active=1,calcCh4Prod1Slot2CustPrice*finCalcCh4Prod1Slot2VolSold,0)</f>
        <v>0</v>
      </c>
      <c r="F1055" s="276" t="s">
        <v>2876</v>
      </c>
    </row>
    <row r="1056" spans="1:6" s="379" customFormat="1" ht="14.25">
      <c r="A1056" s="438"/>
      <c r="B1056" s="325"/>
      <c r="C1056" s="325"/>
      <c r="D1056" s="325" t="s">
        <v>1759</v>
      </c>
      <c r="E1056" s="392">
        <f>IF(calcCh4Prod1Slot2Active=1,finCalcCh4Prod1Slot2VolSold*paramExciseProd1,0)</f>
        <v>0</v>
      </c>
      <c r="F1056" s="276" t="s">
        <v>2877</v>
      </c>
    </row>
    <row r="1057" spans="1:6" s="379" customFormat="1" ht="14.25">
      <c r="A1057" s="438"/>
      <c r="B1057" s="325"/>
      <c r="C1057" s="325"/>
      <c r="D1057" s="325" t="s">
        <v>694</v>
      </c>
      <c r="E1057" s="392">
        <f>IF(calcCh4Prod1Slot2Active=1,finPNLCh4Prod1Slot2Turn-finPNLCh4Prod1Slot2Excise,0)</f>
        <v>0</v>
      </c>
      <c r="F1057" s="276" t="s">
        <v>2878</v>
      </c>
    </row>
    <row r="1058" spans="1:6" s="379" customFormat="1" ht="14.25">
      <c r="A1058" s="438"/>
      <c r="B1058" s="325"/>
      <c r="C1058" s="325"/>
      <c r="D1058" s="325" t="s">
        <v>1396</v>
      </c>
      <c r="E1058" s="392">
        <f>IF(calcCh4Prod1Slot2Active=1,(calcCh4Prod1Slot2CustPrice-calcCh4Prod1Slot2AvgSalePrice)*finCalcCh4Prod1Slot2VolSold+calcCh4Prod1Slot2Promo1PlanExp+calcCh1Prod1Slot2ValDrivExp,0)</f>
        <v>0</v>
      </c>
      <c r="F1058" s="276" t="s">
        <v>2879</v>
      </c>
    </row>
    <row r="1059" spans="1:6" s="227" customFormat="1" ht="2.1" customHeight="1">
      <c r="A1059" s="438"/>
      <c r="B1059" s="230"/>
      <c r="C1059" s="209"/>
      <c r="D1059" s="229"/>
      <c r="E1059" s="229"/>
      <c r="F1059" s="209"/>
    </row>
    <row r="1060" spans="1:6" ht="14.25">
      <c r="A1060" s="439"/>
      <c r="B1060" s="209"/>
      <c r="C1060" s="217" t="s">
        <v>1269</v>
      </c>
      <c r="D1060" s="209"/>
      <c r="E1060" s="233">
        <f>E1057-E1058</f>
        <v>0</v>
      </c>
      <c r="F1060" s="276" t="s">
        <v>2599</v>
      </c>
    </row>
    <row r="1061" spans="1:6" ht="14.25">
      <c r="A1061" s="439"/>
      <c r="B1061" s="209"/>
      <c r="C1061" s="209"/>
      <c r="D1061" s="209"/>
      <c r="E1061" s="210"/>
      <c r="F1061" s="209"/>
    </row>
    <row r="1062" spans="1:6" ht="14.25">
      <c r="A1062" s="439"/>
      <c r="B1062" s="209"/>
      <c r="C1062" s="217" t="s">
        <v>404</v>
      </c>
      <c r="D1062" s="209"/>
      <c r="E1062" s="210"/>
      <c r="F1062" s="209"/>
    </row>
    <row r="1063" spans="1:6" ht="14.25">
      <c r="A1063" s="439"/>
      <c r="B1063" s="209"/>
      <c r="C1063" s="209"/>
      <c r="D1063" s="209" t="s">
        <v>400</v>
      </c>
      <c r="E1063" s="226">
        <f>IF(calcCh4Prod1Slot2Active=1,finCalcCh4Prod1Slot2MatExp,0)</f>
        <v>0</v>
      </c>
      <c r="F1063" s="276" t="s">
        <v>2600</v>
      </c>
    </row>
    <row r="1064" spans="1:6" ht="14.25">
      <c r="A1064" s="439"/>
      <c r="B1064" s="209"/>
      <c r="C1064" s="209"/>
      <c r="D1064" s="209" t="s">
        <v>399</v>
      </c>
      <c r="E1064" s="226">
        <f>IF(calcCh4Prod1Slot2Active=1,finCalcCh4Prod1Slot2LabourExp,0)</f>
        <v>0</v>
      </c>
      <c r="F1064" s="276" t="s">
        <v>2601</v>
      </c>
    </row>
    <row r="1065" spans="1:6" ht="14.25">
      <c r="A1065" s="439"/>
      <c r="B1065" s="209"/>
      <c r="C1065" s="209"/>
      <c r="D1065" s="209" t="s">
        <v>513</v>
      </c>
      <c r="E1065" s="226">
        <f>IF(calcCh4Prod1Slot2Active=1,finCalcCh4Prod1Slot2MachCost,0)</f>
        <v>0</v>
      </c>
      <c r="F1065" s="276" t="s">
        <v>2602</v>
      </c>
    </row>
    <row r="1066" spans="1:6" ht="14.25">
      <c r="A1066" s="439"/>
      <c r="B1066" s="209"/>
      <c r="C1066" s="209"/>
      <c r="D1066" s="209" t="s">
        <v>398</v>
      </c>
      <c r="E1066" s="226">
        <f>IF(calcCh4Prod1Slot2Active=1,finCalcCh4Prod1Slot2DepExp,0)</f>
        <v>0</v>
      </c>
      <c r="F1066" s="276" t="s">
        <v>2603</v>
      </c>
    </row>
    <row r="1067" spans="1:6" s="227" customFormat="1" ht="2.1" customHeight="1">
      <c r="A1067" s="438"/>
      <c r="B1067" s="230"/>
      <c r="C1067" s="209"/>
      <c r="D1067" s="229"/>
      <c r="E1067" s="229"/>
      <c r="F1067" s="209"/>
    </row>
    <row r="1068" spans="1:6" ht="14.25">
      <c r="A1068" s="439"/>
      <c r="B1068" s="209"/>
      <c r="C1068" s="209"/>
      <c r="D1068" s="209" t="s">
        <v>14</v>
      </c>
      <c r="E1068" s="226">
        <f>SUM(E1063:E1067)</f>
        <v>0</v>
      </c>
      <c r="F1068" s="276" t="s">
        <v>2604</v>
      </c>
    </row>
    <row r="1069" spans="1:6" ht="14.25">
      <c r="A1069" s="439"/>
      <c r="B1069" s="209"/>
      <c r="C1069" s="209"/>
      <c r="D1069" s="209"/>
      <c r="E1069" s="210"/>
      <c r="F1069" s="209"/>
    </row>
    <row r="1070" spans="1:6" ht="14.25">
      <c r="A1070" s="439"/>
      <c r="B1070" s="209"/>
      <c r="C1070" s="217" t="s">
        <v>160</v>
      </c>
      <c r="D1070" s="209"/>
      <c r="E1070" s="210"/>
      <c r="F1070" s="209"/>
    </row>
    <row r="1071" spans="1:6" ht="14.25">
      <c r="A1071" s="439"/>
      <c r="B1071" s="209"/>
      <c r="C1071" s="209"/>
      <c r="D1071" s="209" t="s">
        <v>160</v>
      </c>
      <c r="E1071" s="226">
        <f>IF(calcCh4Prod1Slot2Active=1,finPNLCh4Prod1Slot2TotalRev-finPNLCh4Prod1Slot2TotalCOGs,0)</f>
        <v>0</v>
      </c>
      <c r="F1071" s="276" t="s">
        <v>2605</v>
      </c>
    </row>
    <row r="1072" spans="1:6" ht="14.25">
      <c r="A1072" s="439"/>
      <c r="B1072" s="209"/>
      <c r="C1072" s="217"/>
      <c r="D1072" s="234" t="s">
        <v>162</v>
      </c>
      <c r="E1072" s="687">
        <f>IF(finPNLCh4Prod1Slot2TotalRev=0,0,finPNLCh4Prod1Slot2GP/finPNLCh4Prod1Slot2TotalRev)</f>
        <v>0</v>
      </c>
      <c r="F1072" s="276" t="s">
        <v>2606</v>
      </c>
    </row>
    <row r="1073" spans="1:6" ht="14.25">
      <c r="A1073" s="439"/>
      <c r="B1073" s="209"/>
      <c r="C1073" s="217"/>
      <c r="D1073" s="234"/>
      <c r="E1073" s="449"/>
      <c r="F1073" s="209"/>
    </row>
    <row r="1074" spans="1:6" ht="14.25">
      <c r="A1074" s="439"/>
      <c r="B1074" s="209"/>
      <c r="C1074" s="217" t="s">
        <v>519</v>
      </c>
      <c r="D1074" s="234"/>
      <c r="E1074" s="449"/>
      <c r="F1074" s="209"/>
    </row>
    <row r="1075" spans="1:6" ht="14.25">
      <c r="A1075" s="439"/>
      <c r="B1075" s="209"/>
      <c r="C1075" s="217"/>
      <c r="D1075" s="209" t="s">
        <v>519</v>
      </c>
      <c r="E1075" s="226">
        <f>IF(calcCh4Prod1Slot2Active=1,finCalcCh4Prod1Slot2LogisticsCost,0)</f>
        <v>0</v>
      </c>
      <c r="F1075" s="208" t="s">
        <v>2607</v>
      </c>
    </row>
    <row r="1076" spans="1:6" ht="14.25">
      <c r="A1076" s="439"/>
      <c r="B1076" s="209"/>
      <c r="C1076" s="217"/>
      <c r="D1076" s="234"/>
      <c r="E1076" s="449"/>
      <c r="F1076" s="209"/>
    </row>
    <row r="1077" spans="1:6" ht="14.25">
      <c r="A1077" s="439"/>
      <c r="B1077" s="209"/>
      <c r="C1077" s="217" t="s">
        <v>520</v>
      </c>
      <c r="D1077" s="209"/>
      <c r="E1077" s="210"/>
      <c r="F1077" s="209"/>
    </row>
    <row r="1078" spans="1:6" ht="14.25">
      <c r="A1078" s="439"/>
      <c r="B1078" s="209"/>
      <c r="C1078" s="209"/>
      <c r="D1078" s="209" t="s">
        <v>521</v>
      </c>
      <c r="E1078" s="226">
        <f>finPNLCh4Prod1Slot2GP-finPNLCh4Prod1Slot2LogExp</f>
        <v>0</v>
      </c>
      <c r="F1078" s="276" t="s">
        <v>2608</v>
      </c>
    </row>
    <row r="1079" spans="1:6" ht="14.25">
      <c r="A1079" s="439"/>
      <c r="B1079" s="425"/>
      <c r="C1079" s="426"/>
      <c r="D1079" s="427" t="s">
        <v>522</v>
      </c>
      <c r="E1079" s="687">
        <f>IF(finPNLCh4Prod1Slot2TotalRev=0,0,finPNLCh4Prod1Slot2GPaL/finPNLCh4Prod1Slot2TotalRev)</f>
        <v>0</v>
      </c>
      <c r="F1079" s="428" t="s">
        <v>2609</v>
      </c>
    </row>
    <row r="1080" spans="1:6" s="398" customFormat="1" ht="14.25">
      <c r="A1080" s="439"/>
      <c r="B1080" s="335"/>
      <c r="C1080" s="395"/>
      <c r="D1080" s="396"/>
      <c r="E1080" s="688"/>
      <c r="F1080" s="336"/>
    </row>
    <row r="1081" spans="1:6" s="322" customFormat="1" ht="14.25">
      <c r="A1081" s="409"/>
      <c r="B1081" s="323"/>
      <c r="C1081" s="325" t="s">
        <v>395</v>
      </c>
      <c r="D1081" s="323"/>
      <c r="E1081" s="323"/>
    </row>
    <row r="1082" spans="1:6" s="322" customFormat="1" ht="14.25">
      <c r="A1082" s="409"/>
      <c r="B1082" s="323"/>
      <c r="C1082" s="325"/>
      <c r="D1082" s="323"/>
      <c r="E1082" s="323"/>
    </row>
    <row r="1083" spans="1:6" s="379" customFormat="1" ht="14.25">
      <c r="A1083" s="438"/>
      <c r="B1083" s="325"/>
      <c r="C1083" s="325"/>
      <c r="D1083" s="325" t="s">
        <v>1394</v>
      </c>
      <c r="E1083" s="392">
        <f>IF(calcCh4Prod1Slot3Active=1,calcCh4Prod1Slot3CustPrice*finCalcCh4Prod1Slot3VolSold,0)</f>
        <v>0</v>
      </c>
      <c r="F1083" s="276" t="s">
        <v>2868</v>
      </c>
    </row>
    <row r="1084" spans="1:6" s="379" customFormat="1" ht="14.25">
      <c r="A1084" s="438"/>
      <c r="B1084" s="325"/>
      <c r="C1084" s="325"/>
      <c r="D1084" s="325" t="s">
        <v>1759</v>
      </c>
      <c r="E1084" s="392">
        <f>IF(calcCh4Prod1Slot3Active=1,finCalcCh4Prod1Slot3VolSold*paramExciseProd1,0)</f>
        <v>0</v>
      </c>
      <c r="F1084" s="276" t="s">
        <v>2869</v>
      </c>
    </row>
    <row r="1085" spans="1:6" s="379" customFormat="1" ht="14.25">
      <c r="A1085" s="438"/>
      <c r="B1085" s="325"/>
      <c r="C1085" s="325"/>
      <c r="D1085" s="325" t="s">
        <v>694</v>
      </c>
      <c r="E1085" s="392">
        <f>IF(calcCh4Prod1Slot3Active=1,finPNLCh4Prod1Slot3Turn-finPNLCh4Prod1Slot3Excise,0)</f>
        <v>0</v>
      </c>
      <c r="F1085" s="276" t="s">
        <v>2870</v>
      </c>
    </row>
    <row r="1086" spans="1:6" s="379" customFormat="1" ht="14.25">
      <c r="A1086" s="438"/>
      <c r="B1086" s="325"/>
      <c r="C1086" s="325"/>
      <c r="D1086" s="325" t="s">
        <v>1396</v>
      </c>
      <c r="E1086" s="392">
        <f>IF(calcCh4Prod1Slot3Active=1,(calcCh4Prod1Slot3CustPrice-calcCh4Prod1Slot3AvgSalePrice)*finCalcCh4Prod1Slot3VolSold+calcCh4Prod1Slot3Promo1PlanExp+calcCh1Prod1Slot3ValDrivExp,0)</f>
        <v>0</v>
      </c>
      <c r="F1086" s="276" t="s">
        <v>2871</v>
      </c>
    </row>
    <row r="1087" spans="1:6" s="227" customFormat="1" ht="2.1" customHeight="1">
      <c r="A1087" s="438"/>
      <c r="B1087" s="230"/>
      <c r="C1087" s="209"/>
      <c r="D1087" s="229"/>
      <c r="E1087" s="229"/>
      <c r="F1087" s="209"/>
    </row>
    <row r="1088" spans="1:6" ht="14.25">
      <c r="A1088" s="439"/>
      <c r="B1088" s="209"/>
      <c r="C1088" s="217" t="s">
        <v>1269</v>
      </c>
      <c r="D1088" s="209"/>
      <c r="E1088" s="233">
        <f>E1085-E1086</f>
        <v>0</v>
      </c>
      <c r="F1088" s="276" t="s">
        <v>2610</v>
      </c>
    </row>
    <row r="1089" spans="1:6" ht="14.25">
      <c r="A1089" s="439"/>
      <c r="B1089" s="209"/>
      <c r="C1089" s="209"/>
      <c r="D1089" s="209"/>
      <c r="E1089" s="210"/>
      <c r="F1089" s="209"/>
    </row>
    <row r="1090" spans="1:6" ht="14.25">
      <c r="A1090" s="439"/>
      <c r="B1090" s="209"/>
      <c r="C1090" s="217" t="s">
        <v>404</v>
      </c>
      <c r="D1090" s="209"/>
      <c r="E1090" s="210"/>
      <c r="F1090" s="209"/>
    </row>
    <row r="1091" spans="1:6" ht="14.25">
      <c r="A1091" s="439"/>
      <c r="B1091" s="209"/>
      <c r="C1091" s="209"/>
      <c r="D1091" s="209" t="s">
        <v>400</v>
      </c>
      <c r="E1091" s="226">
        <f>IF(calcCh4Prod1Slot3Active=1,finCalcCh4Prod1Slot3MatExp,0)</f>
        <v>0</v>
      </c>
      <c r="F1091" s="276" t="s">
        <v>2611</v>
      </c>
    </row>
    <row r="1092" spans="1:6" ht="14.25">
      <c r="A1092" s="439"/>
      <c r="B1092" s="209"/>
      <c r="C1092" s="209"/>
      <c r="D1092" s="209" t="s">
        <v>399</v>
      </c>
      <c r="E1092" s="226">
        <f>IF(calcCh4Prod1Slot3Active=1,finCalcCh4Prod1Slot3LabourExp,0)</f>
        <v>0</v>
      </c>
      <c r="F1092" s="276" t="s">
        <v>2612</v>
      </c>
    </row>
    <row r="1093" spans="1:6" ht="14.25">
      <c r="A1093" s="439"/>
      <c r="B1093" s="209"/>
      <c r="C1093" s="209"/>
      <c r="D1093" s="209" t="s">
        <v>513</v>
      </c>
      <c r="E1093" s="226">
        <f>IF(calcCh4Prod1Slot3Active=1,finCalcCh4Prod1Slot3MachCost,0)</f>
        <v>0</v>
      </c>
      <c r="F1093" s="276" t="s">
        <v>2613</v>
      </c>
    </row>
    <row r="1094" spans="1:6" ht="14.25">
      <c r="A1094" s="439"/>
      <c r="B1094" s="209"/>
      <c r="C1094" s="209"/>
      <c r="D1094" s="209" t="s">
        <v>398</v>
      </c>
      <c r="E1094" s="226">
        <f>IF(calcCh4Prod1Slot3Active=1,finCalcCh4Prod1Slot3DepExp,0)</f>
        <v>0</v>
      </c>
      <c r="F1094" s="276" t="s">
        <v>2614</v>
      </c>
    </row>
    <row r="1095" spans="1:6" s="227" customFormat="1" ht="2.1" customHeight="1">
      <c r="A1095" s="438"/>
      <c r="B1095" s="230"/>
      <c r="C1095" s="209"/>
      <c r="D1095" s="229"/>
      <c r="E1095" s="229"/>
      <c r="F1095" s="209"/>
    </row>
    <row r="1096" spans="1:6" ht="14.25">
      <c r="A1096" s="439"/>
      <c r="B1096" s="209"/>
      <c r="C1096" s="209"/>
      <c r="D1096" s="209" t="s">
        <v>14</v>
      </c>
      <c r="E1096" s="226">
        <f>SUM(E1091:E1095)</f>
        <v>0</v>
      </c>
      <c r="F1096" s="276" t="s">
        <v>2615</v>
      </c>
    </row>
    <row r="1097" spans="1:6" ht="14.25">
      <c r="A1097" s="439"/>
      <c r="B1097" s="209"/>
      <c r="C1097" s="209"/>
      <c r="D1097" s="209"/>
      <c r="E1097" s="210"/>
      <c r="F1097" s="209"/>
    </row>
    <row r="1098" spans="1:6" ht="14.25">
      <c r="A1098" s="439"/>
      <c r="B1098" s="209"/>
      <c r="C1098" s="217" t="s">
        <v>160</v>
      </c>
      <c r="D1098" s="209"/>
      <c r="E1098" s="210"/>
      <c r="F1098" s="209"/>
    </row>
    <row r="1099" spans="1:6" ht="14.25">
      <c r="A1099" s="439"/>
      <c r="B1099" s="209"/>
      <c r="C1099" s="209"/>
      <c r="D1099" s="209" t="s">
        <v>160</v>
      </c>
      <c r="E1099" s="226">
        <f>IF(calcCh4Prod1Slot3Active=1,finPNLCh4Prod1Slot3TotalRev-finPNLCh4Prod1Slot3TotalCOGs,0)</f>
        <v>0</v>
      </c>
      <c r="F1099" s="276" t="s">
        <v>2616</v>
      </c>
    </row>
    <row r="1100" spans="1:6" ht="14.25">
      <c r="A1100" s="439"/>
      <c r="B1100" s="209"/>
      <c r="C1100" s="217"/>
      <c r="D1100" s="234" t="s">
        <v>162</v>
      </c>
      <c r="E1100" s="687">
        <f>IF(finPNLCh4Prod1Slot3TotalRev=0,0,finPNLCh4Prod1Slot3GP/finPNLCh4Prod1Slot3TotalRev)</f>
        <v>0</v>
      </c>
      <c r="F1100" s="276" t="s">
        <v>2617</v>
      </c>
    </row>
    <row r="1101" spans="1:6" ht="14.25">
      <c r="A1101" s="439"/>
      <c r="B1101" s="209"/>
      <c r="C1101" s="217"/>
      <c r="D1101" s="234"/>
      <c r="E1101" s="449"/>
      <c r="F1101" s="209"/>
    </row>
    <row r="1102" spans="1:6" ht="14.25">
      <c r="A1102" s="439"/>
      <c r="B1102" s="209"/>
      <c r="C1102" s="217" t="s">
        <v>519</v>
      </c>
      <c r="D1102" s="234"/>
      <c r="E1102" s="449"/>
      <c r="F1102" s="209"/>
    </row>
    <row r="1103" spans="1:6" ht="14.25">
      <c r="A1103" s="439"/>
      <c r="B1103" s="209"/>
      <c r="C1103" s="217"/>
      <c r="D1103" s="209" t="s">
        <v>519</v>
      </c>
      <c r="E1103" s="226">
        <f>IF(calcCh4Prod1Slot3Active=1,finCalcCh4Prod1Slot3LogisticsCost,0)</f>
        <v>0</v>
      </c>
      <c r="F1103" s="208" t="s">
        <v>2618</v>
      </c>
    </row>
    <row r="1104" spans="1:6" ht="14.25">
      <c r="A1104" s="439"/>
      <c r="B1104" s="209"/>
      <c r="C1104" s="217"/>
      <c r="D1104" s="234"/>
      <c r="E1104" s="449"/>
      <c r="F1104" s="209"/>
    </row>
    <row r="1105" spans="1:6" ht="14.25">
      <c r="A1105" s="439"/>
      <c r="B1105" s="209"/>
      <c r="C1105" s="217" t="s">
        <v>520</v>
      </c>
      <c r="D1105" s="209"/>
      <c r="E1105" s="210"/>
      <c r="F1105" s="209"/>
    </row>
    <row r="1106" spans="1:6" ht="14.25">
      <c r="A1106" s="439"/>
      <c r="B1106" s="209"/>
      <c r="C1106" s="209"/>
      <c r="D1106" s="209" t="s">
        <v>521</v>
      </c>
      <c r="E1106" s="226">
        <f>finPNLCh4Prod1Slot3GP-finPNLCh4Prod1Slot3LogExp</f>
        <v>0</v>
      </c>
      <c r="F1106" s="276" t="s">
        <v>2619</v>
      </c>
    </row>
    <row r="1107" spans="1:6" ht="14.25">
      <c r="A1107" s="439"/>
      <c r="B1107" s="209"/>
      <c r="C1107" s="217"/>
      <c r="D1107" s="234" t="s">
        <v>522</v>
      </c>
      <c r="E1107" s="687">
        <f>IF(finPNLCh4Prod1Slot3TotalRev=0,0,finPNLCh4Prod1Slot3GPaL/finPNLCh4Prod1Slot3TotalRev)</f>
        <v>0</v>
      </c>
      <c r="F1107" s="276" t="s">
        <v>2620</v>
      </c>
    </row>
    <row r="1108" spans="1:6" s="398" customFormat="1" ht="14.25">
      <c r="A1108" s="439"/>
      <c r="B1108" s="335"/>
      <c r="C1108" s="395"/>
      <c r="D1108" s="396"/>
      <c r="E1108" s="688"/>
      <c r="F1108" s="336"/>
    </row>
    <row r="1109" spans="1:6" s="322" customFormat="1" ht="14.25">
      <c r="A1109" s="437"/>
      <c r="B1109" s="437" t="s">
        <v>238</v>
      </c>
      <c r="C1109" s="410"/>
      <c r="D1109" s="410"/>
    </row>
    <row r="1110" spans="1:6" s="322" customFormat="1" ht="14.25">
      <c r="A1110" s="409"/>
      <c r="B1110" s="323"/>
      <c r="C1110" s="325" t="s">
        <v>379</v>
      </c>
      <c r="D1110" s="323"/>
      <c r="E1110" s="323"/>
    </row>
    <row r="1111" spans="1:6" s="322" customFormat="1" ht="14.25">
      <c r="A1111" s="409"/>
      <c r="B1111" s="323"/>
      <c r="C1111" s="325"/>
      <c r="D1111" s="323"/>
      <c r="E1111" s="323"/>
    </row>
    <row r="1112" spans="1:6" s="379" customFormat="1" ht="14.25">
      <c r="A1112" s="438"/>
      <c r="B1112" s="325"/>
      <c r="C1112" s="325"/>
      <c r="D1112" s="325" t="s">
        <v>1394</v>
      </c>
      <c r="E1112" s="392">
        <f>IF(calcCh4Prod2Slot1Active=1,calcCh4Prod2Slot1CustPrice*finCalcCh4Prod2Slot1VolSold,0)</f>
        <v>254315376</v>
      </c>
      <c r="F1112" s="276" t="s">
        <v>2880</v>
      </c>
    </row>
    <row r="1113" spans="1:6" s="379" customFormat="1" ht="14.25">
      <c r="A1113" s="438"/>
      <c r="B1113" s="325"/>
      <c r="C1113" s="325"/>
      <c r="D1113" s="325" t="s">
        <v>1759</v>
      </c>
      <c r="E1113" s="392">
        <f>IF(calcCh4Prod2Slot1Active=1,finCalcCh4Prod2Slot1VolSold*paramExciseProd2,0)</f>
        <v>84771792</v>
      </c>
      <c r="F1113" s="276" t="s">
        <v>2881</v>
      </c>
    </row>
    <row r="1114" spans="1:6" s="379" customFormat="1" ht="14.25">
      <c r="A1114" s="438"/>
      <c r="B1114" s="325"/>
      <c r="C1114" s="325"/>
      <c r="D1114" s="325" t="s">
        <v>694</v>
      </c>
      <c r="E1114" s="392">
        <f>IF(calcCh4Prod2Slot1Active=1,finPNLCh4Prod2Slot1Turn-finPNLCh4Prod2Slot1Excise,0)</f>
        <v>169543584</v>
      </c>
      <c r="F1114" s="276" t="s">
        <v>2882</v>
      </c>
    </row>
    <row r="1115" spans="1:6" s="379" customFormat="1" ht="14.25">
      <c r="A1115" s="438"/>
      <c r="B1115" s="325"/>
      <c r="C1115" s="325"/>
      <c r="D1115" s="325" t="s">
        <v>1396</v>
      </c>
      <c r="E1115" s="392">
        <f>IF(calcCh4Prod2Slot1Active=1,(calcCh4Prod2Slot1CustPrice-calcCh4Prod2Slot1AvgSalePrice)*finCalcCh4Prod2Slot1VolSold+calcCh4Prod2Slot1Promo1PlanExp+calcCh1Prod2Slot1ValDrivExp,0)</f>
        <v>56507407.741809674</v>
      </c>
      <c r="F1115" s="276" t="s">
        <v>2883</v>
      </c>
    </row>
    <row r="1116" spans="1:6" s="227" customFormat="1" ht="2.1" customHeight="1">
      <c r="A1116" s="438"/>
      <c r="B1116" s="230"/>
      <c r="C1116" s="209"/>
      <c r="D1116" s="229"/>
      <c r="E1116" s="229"/>
      <c r="F1116" s="209"/>
    </row>
    <row r="1117" spans="1:6" ht="14.25">
      <c r="A1117" s="439"/>
      <c r="B1117" s="209"/>
      <c r="C1117" s="217" t="s">
        <v>1269</v>
      </c>
      <c r="D1117" s="209"/>
      <c r="E1117" s="233">
        <f>E1114-E1115</f>
        <v>113036176.25819033</v>
      </c>
      <c r="F1117" s="276" t="s">
        <v>2621</v>
      </c>
    </row>
    <row r="1118" spans="1:6" ht="14.25">
      <c r="A1118" s="439"/>
      <c r="B1118" s="209"/>
      <c r="C1118" s="209"/>
      <c r="D1118" s="209"/>
      <c r="E1118" s="210"/>
      <c r="F1118" s="209"/>
    </row>
    <row r="1119" spans="1:6" ht="14.25">
      <c r="A1119" s="439"/>
      <c r="B1119" s="209"/>
      <c r="C1119" s="217" t="s">
        <v>404</v>
      </c>
      <c r="D1119" s="209"/>
      <c r="E1119" s="210"/>
      <c r="F1119" s="209"/>
    </row>
    <row r="1120" spans="1:6" ht="14.25">
      <c r="A1120" s="439"/>
      <c r="B1120" s="209"/>
      <c r="C1120" s="209"/>
      <c r="D1120" s="209" t="s">
        <v>400</v>
      </c>
      <c r="E1120" s="226">
        <f>IF(calcCh4Prod2Slot1Active=1,finCalcCh4Prod2Slot1MatExp,0)</f>
        <v>48524899.633056015</v>
      </c>
      <c r="F1120" s="276" t="s">
        <v>2622</v>
      </c>
    </row>
    <row r="1121" spans="1:6" ht="14.25">
      <c r="A1121" s="439"/>
      <c r="B1121" s="209"/>
      <c r="C1121" s="209"/>
      <c r="D1121" s="209" t="s">
        <v>399</v>
      </c>
      <c r="E1121" s="226">
        <f>IF(calcCh4Prod2Slot1Active=1,finCalcCh4Prod2Slot1LabourExp,0)</f>
        <v>7136014.651920002</v>
      </c>
      <c r="F1121" s="276" t="s">
        <v>2623</v>
      </c>
    </row>
    <row r="1122" spans="1:6" ht="14.25">
      <c r="A1122" s="439"/>
      <c r="B1122" s="209"/>
      <c r="C1122" s="209"/>
      <c r="D1122" s="209" t="s">
        <v>513</v>
      </c>
      <c r="E1122" s="226">
        <f>IF(calcCh4Prod2Slot1Active=1,finCalcCh4Prod2Slot1MachCost,0)</f>
        <v>9452902.5259200018</v>
      </c>
      <c r="F1122" s="276" t="s">
        <v>2624</v>
      </c>
    </row>
    <row r="1123" spans="1:6" ht="14.25">
      <c r="A1123" s="439"/>
      <c r="B1123" s="209"/>
      <c r="C1123" s="209"/>
      <c r="D1123" s="209" t="s">
        <v>398</v>
      </c>
      <c r="E1123" s="226">
        <f>IF(calcCh4Prod2Slot1Active=1,finCalcCh4Prod2Slot1DepExp,0)</f>
        <v>4207114.1313842628</v>
      </c>
      <c r="F1123" s="276" t="s">
        <v>2625</v>
      </c>
    </row>
    <row r="1124" spans="1:6" s="227" customFormat="1" ht="2.1" customHeight="1">
      <c r="A1124" s="438"/>
      <c r="B1124" s="230"/>
      <c r="C1124" s="209"/>
      <c r="D1124" s="229"/>
      <c r="E1124" s="229"/>
      <c r="F1124" s="209"/>
    </row>
    <row r="1125" spans="1:6" ht="14.25">
      <c r="A1125" s="439"/>
      <c r="B1125" s="209"/>
      <c r="C1125" s="209"/>
      <c r="D1125" s="209" t="s">
        <v>14</v>
      </c>
      <c r="E1125" s="226">
        <f>SUM(E1120:E1124)</f>
        <v>69320930.942280293</v>
      </c>
      <c r="F1125" s="276" t="s">
        <v>2626</v>
      </c>
    </row>
    <row r="1126" spans="1:6" ht="14.25">
      <c r="A1126" s="439"/>
      <c r="B1126" s="209"/>
      <c r="C1126" s="209"/>
      <c r="D1126" s="209"/>
      <c r="E1126" s="210"/>
      <c r="F1126" s="209"/>
    </row>
    <row r="1127" spans="1:6" ht="14.25">
      <c r="A1127" s="439"/>
      <c r="B1127" s="209"/>
      <c r="C1127" s="217" t="s">
        <v>160</v>
      </c>
      <c r="D1127" s="209"/>
      <c r="E1127" s="210"/>
      <c r="F1127" s="209"/>
    </row>
    <row r="1128" spans="1:6" ht="14.25">
      <c r="A1128" s="439"/>
      <c r="B1128" s="209"/>
      <c r="C1128" s="209"/>
      <c r="D1128" s="209" t="s">
        <v>160</v>
      </c>
      <c r="E1128" s="226">
        <f>IF(calcCh4Prod2Slot1Active=1,finPNLCh4Prod2Slot1TotalRev-finPNLCh4Prod2Slot1TotalCOGs,0)</f>
        <v>43715245.315910041</v>
      </c>
      <c r="F1128" s="276" t="s">
        <v>2627</v>
      </c>
    </row>
    <row r="1129" spans="1:6" ht="14.25">
      <c r="A1129" s="439"/>
      <c r="B1129" s="209"/>
      <c r="C1129" s="217"/>
      <c r="D1129" s="234" t="s">
        <v>162</v>
      </c>
      <c r="E1129" s="687">
        <f>IF(finPNLCh4Prod2Slot1TotalRev=0,0,finPNLCh4Prod2Slot1GP/finPNLCh4Prod2Slot1TotalRev)</f>
        <v>0.38673676660875672</v>
      </c>
      <c r="F1129" s="276" t="s">
        <v>2628</v>
      </c>
    </row>
    <row r="1130" spans="1:6" ht="14.25">
      <c r="A1130" s="439"/>
      <c r="B1130" s="209"/>
      <c r="C1130" s="217"/>
      <c r="D1130" s="234"/>
      <c r="E1130" s="449"/>
      <c r="F1130" s="209"/>
    </row>
    <row r="1131" spans="1:6" ht="14.25">
      <c r="A1131" s="439"/>
      <c r="B1131" s="209"/>
      <c r="C1131" s="217" t="s">
        <v>519</v>
      </c>
      <c r="D1131" s="234"/>
      <c r="E1131" s="449"/>
      <c r="F1131" s="209"/>
    </row>
    <row r="1132" spans="1:6" ht="14.25">
      <c r="A1132" s="439"/>
      <c r="B1132" s="209"/>
      <c r="C1132" s="217"/>
      <c r="D1132" s="209" t="s">
        <v>519</v>
      </c>
      <c r="E1132" s="226">
        <f>IF(calcCh4Prod2Slot1Active=1,finCalcCh4Prod2Slot1LogisticsCost,0)</f>
        <v>8245172.1903157923</v>
      </c>
      <c r="F1132" s="208" t="s">
        <v>2629</v>
      </c>
    </row>
    <row r="1133" spans="1:6" ht="14.25">
      <c r="A1133" s="439"/>
      <c r="B1133" s="209"/>
      <c r="C1133" s="217"/>
      <c r="D1133" s="234"/>
      <c r="E1133" s="449"/>
      <c r="F1133" s="209"/>
    </row>
    <row r="1134" spans="1:6" ht="14.25">
      <c r="A1134" s="439"/>
      <c r="B1134" s="209"/>
      <c r="C1134" s="217" t="s">
        <v>520</v>
      </c>
      <c r="D1134" s="209"/>
      <c r="E1134" s="210"/>
      <c r="F1134" s="209"/>
    </row>
    <row r="1135" spans="1:6" ht="14.25">
      <c r="A1135" s="439"/>
      <c r="B1135" s="209"/>
      <c r="C1135" s="209"/>
      <c r="D1135" s="209" t="s">
        <v>521</v>
      </c>
      <c r="E1135" s="226">
        <f>finPNLCh4Prod2Slot1GP-finPNLCh4Prod2Slot1LogExp</f>
        <v>35470073.125594251</v>
      </c>
      <c r="F1135" s="276" t="s">
        <v>2630</v>
      </c>
    </row>
    <row r="1136" spans="1:6" ht="14.25">
      <c r="A1136" s="439"/>
      <c r="B1136" s="425"/>
      <c r="C1136" s="426"/>
      <c r="D1136" s="427" t="s">
        <v>522</v>
      </c>
      <c r="E1136" s="687">
        <f>IF(finPNLCh4Prod2Slot1TotalRev=0,0,finPNLCh4Prod2Slot1GPaL/finPNLCh4Prod2Slot1TotalRev)</f>
        <v>0.31379399321307255</v>
      </c>
      <c r="F1136" s="428" t="s">
        <v>2631</v>
      </c>
    </row>
    <row r="1137" spans="1:6" s="398" customFormat="1" ht="14.25">
      <c r="A1137" s="439"/>
      <c r="B1137" s="335"/>
      <c r="C1137" s="395"/>
      <c r="D1137" s="396"/>
      <c r="E1137" s="688"/>
      <c r="F1137" s="336"/>
    </row>
    <row r="1138" spans="1:6" s="322" customFormat="1" ht="14.25">
      <c r="A1138" s="409"/>
      <c r="B1138" s="323"/>
      <c r="C1138" s="325" t="s">
        <v>394</v>
      </c>
      <c r="D1138" s="323"/>
      <c r="E1138" s="323"/>
    </row>
    <row r="1139" spans="1:6" s="322" customFormat="1" ht="14.25">
      <c r="A1139" s="409"/>
      <c r="B1139" s="323"/>
      <c r="C1139" s="325"/>
      <c r="D1139" s="323"/>
      <c r="E1139" s="323"/>
    </row>
    <row r="1140" spans="1:6" s="379" customFormat="1" ht="14.25">
      <c r="A1140" s="438"/>
      <c r="B1140" s="325"/>
      <c r="C1140" s="325"/>
      <c r="D1140" s="325" t="s">
        <v>1394</v>
      </c>
      <c r="E1140" s="392">
        <f>IF(calcCh4Prod2Slot2Active=1,calcCh4Prod2Slot2CustPrice*finCalcCh4Prod2Slot2VolSold,0)</f>
        <v>0</v>
      </c>
      <c r="F1140" s="276" t="s">
        <v>2884</v>
      </c>
    </row>
    <row r="1141" spans="1:6" s="379" customFormat="1" ht="14.25">
      <c r="A1141" s="438"/>
      <c r="B1141" s="325"/>
      <c r="C1141" s="325"/>
      <c r="D1141" s="325" t="s">
        <v>1759</v>
      </c>
      <c r="E1141" s="392">
        <f>IF(calcCh4Prod2Slot2Active=1,finCalcCh4Prod2Slot2VolSold*paramExciseProd2,0)</f>
        <v>0</v>
      </c>
      <c r="F1141" s="276" t="s">
        <v>2885</v>
      </c>
    </row>
    <row r="1142" spans="1:6" s="379" customFormat="1" ht="14.25">
      <c r="A1142" s="438"/>
      <c r="B1142" s="325"/>
      <c r="C1142" s="325"/>
      <c r="D1142" s="325" t="s">
        <v>694</v>
      </c>
      <c r="E1142" s="392">
        <f>IF(calcCh4Prod2Slot2Active=1,finPNLCh4Prod2Slot2Turn-finPNLCh4Prod2Slot2Excise,0)</f>
        <v>0</v>
      </c>
      <c r="F1142" s="276" t="s">
        <v>2886</v>
      </c>
    </row>
    <row r="1143" spans="1:6" s="379" customFormat="1" ht="14.25">
      <c r="A1143" s="438"/>
      <c r="B1143" s="325"/>
      <c r="C1143" s="325"/>
      <c r="D1143" s="325" t="s">
        <v>1396</v>
      </c>
      <c r="E1143" s="392">
        <f>IF(calcCh4Prod2Slot2Active=1,(calcCh4Prod2Slot2CustPrice-calcCh4Prod2Slot2AvgSalePrice)*finCalcCh4Prod2Slot2VolSold+calcCh4Prod2Slot2Promo1PlanExp+calcCh1Prod2Slot2ValDrivExp,0)</f>
        <v>0</v>
      </c>
      <c r="F1143" s="276" t="s">
        <v>2887</v>
      </c>
    </row>
    <row r="1144" spans="1:6" s="227" customFormat="1" ht="2.1" customHeight="1">
      <c r="A1144" s="438"/>
      <c r="B1144" s="230"/>
      <c r="C1144" s="209"/>
      <c r="D1144" s="229"/>
      <c r="E1144" s="229"/>
      <c r="F1144" s="209"/>
    </row>
    <row r="1145" spans="1:6" ht="14.25">
      <c r="A1145" s="439"/>
      <c r="B1145" s="209"/>
      <c r="C1145" s="217" t="s">
        <v>1269</v>
      </c>
      <c r="D1145" s="209"/>
      <c r="E1145" s="233">
        <f>E1142-E1143</f>
        <v>0</v>
      </c>
      <c r="F1145" s="276" t="s">
        <v>2632</v>
      </c>
    </row>
    <row r="1146" spans="1:6" ht="14.25">
      <c r="A1146" s="439"/>
      <c r="B1146" s="209"/>
      <c r="C1146" s="209"/>
      <c r="D1146" s="209"/>
      <c r="E1146" s="210"/>
      <c r="F1146" s="209"/>
    </row>
    <row r="1147" spans="1:6" ht="14.25">
      <c r="A1147" s="439"/>
      <c r="B1147" s="209"/>
      <c r="C1147" s="217" t="s">
        <v>404</v>
      </c>
      <c r="D1147" s="209"/>
      <c r="E1147" s="210"/>
      <c r="F1147" s="209"/>
    </row>
    <row r="1148" spans="1:6" ht="14.25">
      <c r="A1148" s="439"/>
      <c r="B1148" s="209"/>
      <c r="C1148" s="209"/>
      <c r="D1148" s="209" t="s">
        <v>400</v>
      </c>
      <c r="E1148" s="226">
        <f>IF(calcCh4Prod2Slot2Active=1,finCalcCh4Prod2Slot2MatExp,0)</f>
        <v>0</v>
      </c>
      <c r="F1148" s="276" t="s">
        <v>2633</v>
      </c>
    </row>
    <row r="1149" spans="1:6" ht="14.25">
      <c r="A1149" s="439"/>
      <c r="B1149" s="209"/>
      <c r="C1149" s="209"/>
      <c r="D1149" s="209" t="s">
        <v>399</v>
      </c>
      <c r="E1149" s="226">
        <f>IF(calcCh4Prod2Slot2Active=1,finCalcCh4Prod2Slot2LabourExp,0)</f>
        <v>0</v>
      </c>
      <c r="F1149" s="276" t="s">
        <v>2634</v>
      </c>
    </row>
    <row r="1150" spans="1:6" ht="14.25">
      <c r="A1150" s="439"/>
      <c r="B1150" s="209"/>
      <c r="C1150" s="209"/>
      <c r="D1150" s="209" t="s">
        <v>513</v>
      </c>
      <c r="E1150" s="226">
        <f>IF(calcCh4Prod2Slot2Active=1,finCalcCh4Prod2Slot2MachCost,0)</f>
        <v>0</v>
      </c>
      <c r="F1150" s="276" t="s">
        <v>2635</v>
      </c>
    </row>
    <row r="1151" spans="1:6" ht="14.25">
      <c r="A1151" s="439"/>
      <c r="B1151" s="209"/>
      <c r="C1151" s="209"/>
      <c r="D1151" s="209" t="s">
        <v>398</v>
      </c>
      <c r="E1151" s="226">
        <f>IF(calcCh4Prod2Slot2Active=1,finCalcCh4Prod2Slot2DepExp,0)</f>
        <v>0</v>
      </c>
      <c r="F1151" s="276" t="s">
        <v>2636</v>
      </c>
    </row>
    <row r="1152" spans="1:6" s="227" customFormat="1" ht="2.1" customHeight="1">
      <c r="A1152" s="438"/>
      <c r="B1152" s="230"/>
      <c r="C1152" s="209"/>
      <c r="D1152" s="229"/>
      <c r="E1152" s="229"/>
      <c r="F1152" s="209"/>
    </row>
    <row r="1153" spans="1:6" ht="14.25">
      <c r="A1153" s="439"/>
      <c r="B1153" s="209"/>
      <c r="C1153" s="209"/>
      <c r="D1153" s="209" t="s">
        <v>14</v>
      </c>
      <c r="E1153" s="226">
        <f>SUM(E1148:E1152)</f>
        <v>0</v>
      </c>
      <c r="F1153" s="276" t="s">
        <v>2637</v>
      </c>
    </row>
    <row r="1154" spans="1:6" ht="14.25">
      <c r="A1154" s="439"/>
      <c r="B1154" s="209"/>
      <c r="C1154" s="209"/>
      <c r="D1154" s="209"/>
      <c r="E1154" s="210"/>
      <c r="F1154" s="209"/>
    </row>
    <row r="1155" spans="1:6" ht="14.25">
      <c r="A1155" s="439"/>
      <c r="B1155" s="209"/>
      <c r="C1155" s="217" t="s">
        <v>160</v>
      </c>
      <c r="D1155" s="209"/>
      <c r="E1155" s="210"/>
      <c r="F1155" s="209"/>
    </row>
    <row r="1156" spans="1:6" ht="14.25">
      <c r="A1156" s="439"/>
      <c r="B1156" s="209"/>
      <c r="C1156" s="209"/>
      <c r="D1156" s="209" t="s">
        <v>160</v>
      </c>
      <c r="E1156" s="226">
        <f>IF(calcCh4Prod2Slot2Active=1,finPNLCh4Prod2Slot2TotalRev-finPNLCh4Prod2Slot2TotalCOGs,0)</f>
        <v>0</v>
      </c>
      <c r="F1156" s="276" t="s">
        <v>2638</v>
      </c>
    </row>
    <row r="1157" spans="1:6" ht="14.25">
      <c r="A1157" s="439"/>
      <c r="B1157" s="209"/>
      <c r="C1157" s="217"/>
      <c r="D1157" s="234" t="s">
        <v>162</v>
      </c>
      <c r="E1157" s="687">
        <f>IF(finPNLCh4Prod2Slot2TotalRev=0,0,finPNLCh4Prod2Slot2GP/finPNLCh4Prod2Slot2TotalRev)</f>
        <v>0</v>
      </c>
      <c r="F1157" s="276" t="s">
        <v>2639</v>
      </c>
    </row>
    <row r="1158" spans="1:6" ht="14.25">
      <c r="A1158" s="439"/>
      <c r="B1158" s="209"/>
      <c r="C1158" s="217"/>
      <c r="D1158" s="234"/>
      <c r="E1158" s="449"/>
      <c r="F1158" s="209"/>
    </row>
    <row r="1159" spans="1:6" ht="14.25">
      <c r="A1159" s="439"/>
      <c r="B1159" s="209"/>
      <c r="C1159" s="217" t="s">
        <v>519</v>
      </c>
      <c r="D1159" s="234"/>
      <c r="E1159" s="449"/>
      <c r="F1159" s="209"/>
    </row>
    <row r="1160" spans="1:6" ht="14.25">
      <c r="A1160" s="439"/>
      <c r="B1160" s="209"/>
      <c r="C1160" s="217"/>
      <c r="D1160" s="209" t="s">
        <v>519</v>
      </c>
      <c r="E1160" s="226">
        <f>IF(calcCh4Prod2Slot2Active=1,finCalcCh4Prod2Slot2LogisticsCost,0)</f>
        <v>0</v>
      </c>
      <c r="F1160" s="208" t="s">
        <v>2640</v>
      </c>
    </row>
    <row r="1161" spans="1:6" ht="14.25">
      <c r="A1161" s="439"/>
      <c r="B1161" s="209"/>
      <c r="C1161" s="217"/>
      <c r="D1161" s="234"/>
      <c r="E1161" s="449"/>
      <c r="F1161" s="209"/>
    </row>
    <row r="1162" spans="1:6" ht="14.25">
      <c r="A1162" s="439"/>
      <c r="B1162" s="209"/>
      <c r="C1162" s="217" t="s">
        <v>520</v>
      </c>
      <c r="D1162" s="209"/>
      <c r="E1162" s="210"/>
      <c r="F1162" s="209"/>
    </row>
    <row r="1163" spans="1:6" ht="14.25">
      <c r="A1163" s="439"/>
      <c r="B1163" s="209"/>
      <c r="C1163" s="209"/>
      <c r="D1163" s="209" t="s">
        <v>521</v>
      </c>
      <c r="E1163" s="226">
        <f>finPNLCh4Prod2Slot2GP-finPNLCh4Prod2Slot2LogExp</f>
        <v>0</v>
      </c>
      <c r="F1163" s="276" t="s">
        <v>2641</v>
      </c>
    </row>
    <row r="1164" spans="1:6" ht="14.25">
      <c r="A1164" s="439"/>
      <c r="B1164" s="425"/>
      <c r="C1164" s="426"/>
      <c r="D1164" s="427" t="s">
        <v>522</v>
      </c>
      <c r="E1164" s="687">
        <f>IF(finPNLCh4Prod2Slot2TotalRev=0,0,finPNLCh4Prod2Slot2GPaL/finPNLCh4Prod2Slot2TotalRev)</f>
        <v>0</v>
      </c>
      <c r="F1164" s="428" t="s">
        <v>2642</v>
      </c>
    </row>
    <row r="1165" spans="1:6" s="398" customFormat="1" ht="14.25">
      <c r="A1165" s="439"/>
      <c r="B1165" s="335"/>
      <c r="C1165" s="395"/>
      <c r="D1165" s="396"/>
      <c r="E1165" s="688"/>
      <c r="F1165" s="336"/>
    </row>
    <row r="1166" spans="1:6" s="322" customFormat="1" ht="14.25">
      <c r="A1166" s="409"/>
      <c r="B1166" s="323"/>
      <c r="C1166" s="325" t="s">
        <v>395</v>
      </c>
      <c r="D1166" s="323"/>
      <c r="E1166" s="323"/>
    </row>
    <row r="1167" spans="1:6" s="322" customFormat="1" ht="14.25">
      <c r="A1167" s="409"/>
      <c r="B1167" s="323"/>
      <c r="C1167" s="325"/>
      <c r="D1167" s="323"/>
      <c r="E1167" s="323"/>
    </row>
    <row r="1168" spans="1:6" s="379" customFormat="1" ht="14.25">
      <c r="A1168" s="438"/>
      <c r="B1168" s="325"/>
      <c r="C1168" s="325"/>
      <c r="D1168" s="325" t="s">
        <v>1394</v>
      </c>
      <c r="E1168" s="392">
        <f>IF(calcCh4Prod2Slot3Active=1,calcCh4Prod2Slot3CustPrice*finCalcCh4Prod2Slot3VolSold,0)</f>
        <v>0</v>
      </c>
      <c r="F1168" s="276" t="s">
        <v>2888</v>
      </c>
    </row>
    <row r="1169" spans="1:6" s="379" customFormat="1" ht="14.25">
      <c r="A1169" s="438"/>
      <c r="B1169" s="325"/>
      <c r="C1169" s="325"/>
      <c r="D1169" s="325" t="s">
        <v>1759</v>
      </c>
      <c r="E1169" s="392">
        <f>IF(calcCh4Prod2Slot3Active=1,finCalcCh4Prod2Slot3VolSold*paramExciseProd2,0)</f>
        <v>0</v>
      </c>
      <c r="F1169" s="276" t="s">
        <v>2889</v>
      </c>
    </row>
    <row r="1170" spans="1:6" s="379" customFormat="1" ht="14.25">
      <c r="A1170" s="438"/>
      <c r="B1170" s="325"/>
      <c r="C1170" s="325"/>
      <c r="D1170" s="325" t="s">
        <v>694</v>
      </c>
      <c r="E1170" s="392">
        <f>IF(calcCh4Prod2Slot3Active=1,finPNLCh4Prod2Slot3Turn-finPNLCh4Prod2Slot3Excise,0)</f>
        <v>0</v>
      </c>
      <c r="F1170" s="276" t="s">
        <v>2890</v>
      </c>
    </row>
    <row r="1171" spans="1:6" s="379" customFormat="1" ht="14.25">
      <c r="A1171" s="438"/>
      <c r="B1171" s="325"/>
      <c r="C1171" s="325"/>
      <c r="D1171" s="325" t="s">
        <v>1396</v>
      </c>
      <c r="E1171" s="392">
        <f>IF(calcCh4Prod2Slot3Active=1,(calcCh4Prod2Slot3CustPrice-calcCh4Prod2Slot3AvgSalePrice)*finCalcCh4Prod2Slot3VolSold+calcCh4Prod2Slot3Promo1PlanExp+calcCh1Prod2Slot3ValDrivExp,0)</f>
        <v>0</v>
      </c>
      <c r="F1171" s="276" t="s">
        <v>2891</v>
      </c>
    </row>
    <row r="1172" spans="1:6" s="227" customFormat="1" ht="2.1" customHeight="1">
      <c r="A1172" s="438"/>
      <c r="B1172" s="230"/>
      <c r="C1172" s="209"/>
      <c r="D1172" s="229"/>
      <c r="E1172" s="229"/>
      <c r="F1172" s="209"/>
    </row>
    <row r="1173" spans="1:6" ht="14.25">
      <c r="A1173" s="439"/>
      <c r="B1173" s="209"/>
      <c r="C1173" s="217" t="s">
        <v>1269</v>
      </c>
      <c r="D1173" s="209"/>
      <c r="E1173" s="233">
        <f>E1170-E1171</f>
        <v>0</v>
      </c>
      <c r="F1173" s="276" t="s">
        <v>2643</v>
      </c>
    </row>
    <row r="1174" spans="1:6" ht="14.25">
      <c r="A1174" s="439"/>
      <c r="B1174" s="209"/>
      <c r="C1174" s="209"/>
      <c r="D1174" s="209"/>
      <c r="E1174" s="210"/>
      <c r="F1174" s="209"/>
    </row>
    <row r="1175" spans="1:6" ht="14.25">
      <c r="A1175" s="439"/>
      <c r="B1175" s="209"/>
      <c r="C1175" s="217" t="s">
        <v>404</v>
      </c>
      <c r="D1175" s="209"/>
      <c r="E1175" s="210"/>
      <c r="F1175" s="209"/>
    </row>
    <row r="1176" spans="1:6" ht="14.25">
      <c r="A1176" s="439"/>
      <c r="B1176" s="209"/>
      <c r="C1176" s="209"/>
      <c r="D1176" s="209" t="s">
        <v>400</v>
      </c>
      <c r="E1176" s="226">
        <f>IF(calcCh4Prod2Slot3Active=1,finCalcCh4Prod2Slot3MatExp,0)</f>
        <v>0</v>
      </c>
      <c r="F1176" s="276" t="s">
        <v>2644</v>
      </c>
    </row>
    <row r="1177" spans="1:6" ht="14.25">
      <c r="A1177" s="439"/>
      <c r="B1177" s="209"/>
      <c r="C1177" s="209"/>
      <c r="D1177" s="209" t="s">
        <v>399</v>
      </c>
      <c r="E1177" s="226">
        <f>IF(calcCh4Prod2Slot3Active=1,finCalcCh4Prod2Slot3LabourExp,0)</f>
        <v>0</v>
      </c>
      <c r="F1177" s="276" t="s">
        <v>2645</v>
      </c>
    </row>
    <row r="1178" spans="1:6" ht="14.25">
      <c r="A1178" s="439"/>
      <c r="B1178" s="209"/>
      <c r="C1178" s="209"/>
      <c r="D1178" s="209" t="s">
        <v>513</v>
      </c>
      <c r="E1178" s="226">
        <f>IF(calcCh4Prod2Slot3Active=1,finCalcCh4Prod2Slot3MachCost,0)</f>
        <v>0</v>
      </c>
      <c r="F1178" s="276" t="s">
        <v>2646</v>
      </c>
    </row>
    <row r="1179" spans="1:6" ht="14.25">
      <c r="A1179" s="439"/>
      <c r="B1179" s="209"/>
      <c r="C1179" s="209"/>
      <c r="D1179" s="209" t="s">
        <v>398</v>
      </c>
      <c r="E1179" s="226">
        <f>IF(calcCh4Prod2Slot3Active=1,finCalcCh4Prod2Slot3DepExp,0)</f>
        <v>0</v>
      </c>
      <c r="F1179" s="276" t="s">
        <v>2647</v>
      </c>
    </row>
    <row r="1180" spans="1:6" s="227" customFormat="1" ht="2.1" customHeight="1">
      <c r="A1180" s="438"/>
      <c r="B1180" s="230"/>
      <c r="C1180" s="209"/>
      <c r="D1180" s="229"/>
      <c r="E1180" s="229"/>
      <c r="F1180" s="209"/>
    </row>
    <row r="1181" spans="1:6" ht="14.25">
      <c r="A1181" s="439"/>
      <c r="B1181" s="209"/>
      <c r="C1181" s="209"/>
      <c r="D1181" s="209" t="s">
        <v>14</v>
      </c>
      <c r="E1181" s="226">
        <f>SUM(E1176:E1180)</f>
        <v>0</v>
      </c>
      <c r="F1181" s="276" t="s">
        <v>2648</v>
      </c>
    </row>
    <row r="1182" spans="1:6" ht="14.25">
      <c r="A1182" s="439"/>
      <c r="B1182" s="209"/>
      <c r="C1182" s="209"/>
      <c r="D1182" s="209"/>
      <c r="E1182" s="210"/>
      <c r="F1182" s="209"/>
    </row>
    <row r="1183" spans="1:6" ht="14.25">
      <c r="A1183" s="439"/>
      <c r="B1183" s="209"/>
      <c r="C1183" s="217" t="s">
        <v>160</v>
      </c>
      <c r="D1183" s="209"/>
      <c r="E1183" s="210"/>
      <c r="F1183" s="209"/>
    </row>
    <row r="1184" spans="1:6" ht="14.25">
      <c r="A1184" s="439"/>
      <c r="B1184" s="209"/>
      <c r="C1184" s="209"/>
      <c r="D1184" s="209" t="s">
        <v>160</v>
      </c>
      <c r="E1184" s="226">
        <f>IF(calcCh4Prod2Slot3Active=1,finPNLCh4Prod2Slot3TotalRev-finPNLCh4Prod2Slot3TotalCOGs,0)</f>
        <v>0</v>
      </c>
      <c r="F1184" s="276" t="s">
        <v>2649</v>
      </c>
    </row>
    <row r="1185" spans="1:6" ht="14.25">
      <c r="A1185" s="439"/>
      <c r="B1185" s="209"/>
      <c r="C1185" s="217"/>
      <c r="D1185" s="234" t="s">
        <v>162</v>
      </c>
      <c r="E1185" s="687">
        <f>IF(finPNLCh4Prod2Slot3TotalRev=0,0,finPNLCh4Prod2Slot3GP/finPNLCh4Prod2Slot3TotalRev)</f>
        <v>0</v>
      </c>
      <c r="F1185" s="276" t="s">
        <v>2650</v>
      </c>
    </row>
    <row r="1186" spans="1:6" ht="14.25">
      <c r="A1186" s="439"/>
      <c r="B1186" s="209"/>
      <c r="C1186" s="217"/>
      <c r="D1186" s="234"/>
      <c r="E1186" s="449"/>
      <c r="F1186" s="209"/>
    </row>
    <row r="1187" spans="1:6" ht="14.25">
      <c r="A1187" s="439"/>
      <c r="B1187" s="209"/>
      <c r="C1187" s="217" t="s">
        <v>519</v>
      </c>
      <c r="D1187" s="234"/>
      <c r="E1187" s="449"/>
      <c r="F1187" s="209"/>
    </row>
    <row r="1188" spans="1:6" ht="14.25">
      <c r="A1188" s="439"/>
      <c r="B1188" s="209"/>
      <c r="C1188" s="217"/>
      <c r="D1188" s="209" t="s">
        <v>519</v>
      </c>
      <c r="E1188" s="226">
        <f>IF(calcCh4Prod2Slot3Active=1,finCalcCh4Prod2Slot3LogisticsCost,0)</f>
        <v>0</v>
      </c>
      <c r="F1188" s="208" t="s">
        <v>2651</v>
      </c>
    </row>
    <row r="1189" spans="1:6" ht="14.25">
      <c r="A1189" s="439"/>
      <c r="B1189" s="209"/>
      <c r="C1189" s="217"/>
      <c r="D1189" s="234"/>
      <c r="E1189" s="449"/>
      <c r="F1189" s="209"/>
    </row>
    <row r="1190" spans="1:6" ht="14.25">
      <c r="A1190" s="439"/>
      <c r="B1190" s="209"/>
      <c r="C1190" s="217" t="s">
        <v>520</v>
      </c>
      <c r="D1190" s="209"/>
      <c r="E1190" s="210"/>
      <c r="F1190" s="209"/>
    </row>
    <row r="1191" spans="1:6" ht="14.25">
      <c r="A1191" s="439"/>
      <c r="B1191" s="209"/>
      <c r="C1191" s="209"/>
      <c r="D1191" s="209" t="s">
        <v>521</v>
      </c>
      <c r="E1191" s="226">
        <f>finPNLCh4Prod2Slot3GP-finPNLCh4Prod2Slot3LogExp</f>
        <v>0</v>
      </c>
      <c r="F1191" s="276" t="s">
        <v>2652</v>
      </c>
    </row>
    <row r="1192" spans="1:6" ht="14.25">
      <c r="A1192" s="439"/>
      <c r="B1192" s="209"/>
      <c r="C1192" s="217"/>
      <c r="D1192" s="234" t="s">
        <v>522</v>
      </c>
      <c r="E1192" s="687">
        <f>IF(finPNLCh4Prod2Slot3TotalRev=0,0,finPNLCh4Prod2Slot3GPaL/finPNLCh4Prod2Slot3TotalRev)</f>
        <v>0</v>
      </c>
      <c r="F1192" s="276" t="s">
        <v>2653</v>
      </c>
    </row>
    <row r="1193" spans="1:6" s="398" customFormat="1" ht="14.25">
      <c r="A1193" s="439"/>
      <c r="B1193" s="335"/>
      <c r="C1193" s="395"/>
      <c r="D1193" s="396"/>
      <c r="E1193" s="688"/>
      <c r="F1193" s="336"/>
    </row>
    <row r="1194" spans="1:6" s="322" customFormat="1" ht="14.25">
      <c r="A1194" s="437"/>
      <c r="B1194" s="437" t="s">
        <v>239</v>
      </c>
      <c r="C1194" s="410"/>
      <c r="D1194" s="410"/>
      <c r="E1194" s="323"/>
    </row>
    <row r="1195" spans="1:6" s="322" customFormat="1" ht="14.25">
      <c r="A1195" s="409"/>
      <c r="B1195" s="323"/>
      <c r="C1195" s="325" t="s">
        <v>379</v>
      </c>
      <c r="D1195" s="323"/>
      <c r="E1195" s="323"/>
    </row>
    <row r="1196" spans="1:6" s="322" customFormat="1" ht="14.25">
      <c r="A1196" s="409"/>
      <c r="B1196" s="323"/>
      <c r="C1196" s="325"/>
      <c r="D1196" s="323"/>
      <c r="E1196" s="323"/>
    </row>
    <row r="1197" spans="1:6" s="379" customFormat="1" ht="14.25">
      <c r="A1197" s="438"/>
      <c r="B1197" s="325"/>
      <c r="C1197" s="325"/>
      <c r="D1197" s="325" t="s">
        <v>1394</v>
      </c>
      <c r="E1197" s="392">
        <f>IF(calcCh4Prod3Slot1Active=1,calcCh4Prod3Slot1CustPrice*finCalcCh4Prod3Slot1VolSold,0)</f>
        <v>169543584</v>
      </c>
      <c r="F1197" s="276" t="s">
        <v>2896</v>
      </c>
    </row>
    <row r="1198" spans="1:6" s="379" customFormat="1" ht="14.25">
      <c r="A1198" s="438"/>
      <c r="B1198" s="325"/>
      <c r="C1198" s="325"/>
      <c r="D1198" s="325" t="s">
        <v>1759</v>
      </c>
      <c r="E1198" s="392">
        <f>IF(calcCh4Prod3Slot1Active=1,finCalcCh4Prod3Slot1VolSold*paramExciseProd3,0)</f>
        <v>58869300</v>
      </c>
      <c r="F1198" s="276" t="s">
        <v>2897</v>
      </c>
    </row>
    <row r="1199" spans="1:6" s="379" customFormat="1" ht="14.25">
      <c r="A1199" s="438"/>
      <c r="B1199" s="325"/>
      <c r="C1199" s="325"/>
      <c r="D1199" s="325" t="s">
        <v>694</v>
      </c>
      <c r="E1199" s="392">
        <f>IF(calcCh4Prod3Slot1Active=1,finPNLCh4Prod3Slot1Turn-finPNLCh4Prod3Slot1Excise,0)</f>
        <v>110674284</v>
      </c>
      <c r="F1199" s="276" t="s">
        <v>2898</v>
      </c>
    </row>
    <row r="1200" spans="1:6" s="379" customFormat="1" ht="14.25">
      <c r="A1200" s="438"/>
      <c r="B1200" s="325"/>
      <c r="C1200" s="325"/>
      <c r="D1200" s="325" t="s">
        <v>1396</v>
      </c>
      <c r="E1200" s="392">
        <f>IF(calcCh4Prod3Slot1Active=1,(calcCh4Prod3Slot1CustPrice-calcCh4Prod3Slot1AvgSalePrice)*finCalcCh4Prod3Slot1VolSold+calcCh4Prod3Slot1Promo1PlanExp+calcCh1Prod3Slot1ValDrivExp,0)</f>
        <v>196037.59278429777</v>
      </c>
      <c r="F1200" s="276" t="s">
        <v>2899</v>
      </c>
    </row>
    <row r="1201" spans="1:6" s="227" customFormat="1" ht="2.1" customHeight="1">
      <c r="A1201" s="438"/>
      <c r="B1201" s="230"/>
      <c r="C1201" s="209"/>
      <c r="D1201" s="229"/>
      <c r="E1201" s="229"/>
      <c r="F1201" s="209"/>
    </row>
    <row r="1202" spans="1:6" ht="14.25">
      <c r="A1202" s="439"/>
      <c r="B1202" s="209"/>
      <c r="C1202" s="217" t="s">
        <v>1269</v>
      </c>
      <c r="D1202" s="209"/>
      <c r="E1202" s="233">
        <f>E1199-E1200</f>
        <v>110478246.4072157</v>
      </c>
      <c r="F1202" s="276" t="s">
        <v>2654</v>
      </c>
    </row>
    <row r="1203" spans="1:6" ht="14.25">
      <c r="A1203" s="439"/>
      <c r="B1203" s="209"/>
      <c r="C1203" s="209"/>
      <c r="D1203" s="209"/>
      <c r="E1203" s="210"/>
      <c r="F1203" s="209"/>
    </row>
    <row r="1204" spans="1:6" ht="14.25">
      <c r="A1204" s="439"/>
      <c r="B1204" s="209"/>
      <c r="C1204" s="217" t="s">
        <v>404</v>
      </c>
      <c r="D1204" s="209"/>
      <c r="E1204" s="210"/>
      <c r="F1204" s="209"/>
    </row>
    <row r="1205" spans="1:6" ht="14.25">
      <c r="A1205" s="439"/>
      <c r="B1205" s="209"/>
      <c r="C1205" s="209"/>
      <c r="D1205" s="209" t="s">
        <v>400</v>
      </c>
      <c r="E1205" s="226">
        <f>IF(calcCh4Prod3Slot1Active=1,finCalcCh4Prod3Slot1MatExp,0)</f>
        <v>32349933.088704012</v>
      </c>
      <c r="F1205" s="276" t="s">
        <v>2655</v>
      </c>
    </row>
    <row r="1206" spans="1:6" ht="14.25">
      <c r="A1206" s="439"/>
      <c r="B1206" s="209"/>
      <c r="C1206" s="209"/>
      <c r="D1206" s="209" t="s">
        <v>399</v>
      </c>
      <c r="E1206" s="226">
        <f>IF(calcCh4Prod3Slot1Active=1,finCalcCh4Prod3Slot1LabourExp,0)</f>
        <v>4757343.101280001</v>
      </c>
      <c r="F1206" s="276" t="s">
        <v>2656</v>
      </c>
    </row>
    <row r="1207" spans="1:6" ht="14.25">
      <c r="A1207" s="439"/>
      <c r="B1207" s="209"/>
      <c r="C1207" s="209"/>
      <c r="D1207" s="209" t="s">
        <v>513</v>
      </c>
      <c r="E1207" s="226">
        <f>IF(calcCh4Prod3Slot1Active=1,finCalcCh4Prod3Slot1MachCost,0)</f>
        <v>6301935.0172800003</v>
      </c>
      <c r="F1207" s="276" t="s">
        <v>2657</v>
      </c>
    </row>
    <row r="1208" spans="1:6" ht="14.25">
      <c r="A1208" s="439"/>
      <c r="B1208" s="209"/>
      <c r="C1208" s="209"/>
      <c r="D1208" s="209" t="s">
        <v>398</v>
      </c>
      <c r="E1208" s="226">
        <f>IF(calcCh4Prod3Slot1Active=1,finCalcCh4Prod3Slot1DepExp,0)</f>
        <v>2804742.7542561754</v>
      </c>
      <c r="F1208" s="276" t="s">
        <v>2658</v>
      </c>
    </row>
    <row r="1209" spans="1:6" s="227" customFormat="1" ht="2.1" customHeight="1">
      <c r="A1209" s="438"/>
      <c r="B1209" s="230"/>
      <c r="C1209" s="209"/>
      <c r="D1209" s="229"/>
      <c r="E1209" s="229"/>
      <c r="F1209" s="209"/>
    </row>
    <row r="1210" spans="1:6" ht="14.25">
      <c r="A1210" s="439"/>
      <c r="B1210" s="209"/>
      <c r="C1210" s="209"/>
      <c r="D1210" s="209" t="s">
        <v>14</v>
      </c>
      <c r="E1210" s="226">
        <f>SUM(E1205:E1209)</f>
        <v>46213953.961520188</v>
      </c>
      <c r="F1210" s="276" t="s">
        <v>2659</v>
      </c>
    </row>
    <row r="1211" spans="1:6" ht="14.25">
      <c r="A1211" s="439"/>
      <c r="B1211" s="209"/>
      <c r="C1211" s="209"/>
      <c r="D1211" s="209"/>
      <c r="E1211" s="210"/>
      <c r="F1211" s="209"/>
    </row>
    <row r="1212" spans="1:6" ht="14.25">
      <c r="A1212" s="439"/>
      <c r="B1212" s="209"/>
      <c r="C1212" s="217" t="s">
        <v>160</v>
      </c>
      <c r="D1212" s="209"/>
      <c r="E1212" s="210"/>
      <c r="F1212" s="209"/>
    </row>
    <row r="1213" spans="1:6" ht="14.25">
      <c r="A1213" s="439"/>
      <c r="B1213" s="209"/>
      <c r="C1213" s="209"/>
      <c r="D1213" s="209" t="s">
        <v>160</v>
      </c>
      <c r="E1213" s="226">
        <f>IF(calcCh4Prod3Slot1Active=1,finPNLCh4Prod3Slot1TotalRev-finPNLCh4Prod3Slot1TotalCOGs,0)</f>
        <v>64264292.445695512</v>
      </c>
      <c r="F1213" s="276" t="s">
        <v>2660</v>
      </c>
    </row>
    <row r="1214" spans="1:6" ht="14.25">
      <c r="A1214" s="439"/>
      <c r="B1214" s="209"/>
      <c r="C1214" s="217"/>
      <c r="D1214" s="234" t="s">
        <v>162</v>
      </c>
      <c r="E1214" s="687">
        <f>IF(finPNLCh4Prod3Slot1TotalRev=0,0,finPNLCh4Prod3Slot1GP/finPNLCh4Prod3Slot1TotalRev)</f>
        <v>0.58169182201554381</v>
      </c>
      <c r="F1214" s="276" t="s">
        <v>2661</v>
      </c>
    </row>
    <row r="1215" spans="1:6" ht="14.25">
      <c r="A1215" s="439"/>
      <c r="B1215" s="209"/>
      <c r="C1215" s="217"/>
      <c r="D1215" s="234"/>
      <c r="E1215" s="449"/>
      <c r="F1215" s="209"/>
    </row>
    <row r="1216" spans="1:6" ht="14.25">
      <c r="A1216" s="439"/>
      <c r="B1216" s="209"/>
      <c r="C1216" s="217" t="s">
        <v>519</v>
      </c>
      <c r="D1216" s="234"/>
      <c r="E1216" s="449"/>
      <c r="F1216" s="209"/>
    </row>
    <row r="1217" spans="1:6" ht="14.25">
      <c r="A1217" s="439"/>
      <c r="B1217" s="209"/>
      <c r="C1217" s="217"/>
      <c r="D1217" s="209" t="s">
        <v>519</v>
      </c>
      <c r="E1217" s="226">
        <f>IF(calcCh4Prod3Slot1Active=1,finCalcCh4Prod3Slot1LogisticsCost,0)</f>
        <v>5496781.4602105282</v>
      </c>
      <c r="F1217" s="208" t="s">
        <v>2662</v>
      </c>
    </row>
    <row r="1218" spans="1:6" ht="14.25">
      <c r="A1218" s="439"/>
      <c r="B1218" s="209"/>
      <c r="C1218" s="217"/>
      <c r="D1218" s="234"/>
      <c r="E1218" s="449"/>
      <c r="F1218" s="209"/>
    </row>
    <row r="1219" spans="1:6" ht="14.25">
      <c r="A1219" s="439"/>
      <c r="B1219" s="209"/>
      <c r="C1219" s="217" t="s">
        <v>520</v>
      </c>
      <c r="D1219" s="209"/>
      <c r="E1219" s="210"/>
      <c r="F1219" s="209"/>
    </row>
    <row r="1220" spans="1:6" ht="14.25">
      <c r="A1220" s="439"/>
      <c r="B1220" s="209"/>
      <c r="C1220" s="209"/>
      <c r="D1220" s="209" t="s">
        <v>521</v>
      </c>
      <c r="E1220" s="226">
        <f>finPNLCh4Prod3Slot1GP-finPNLCh4Prod3Slot1LogExp</f>
        <v>58767510.985484987</v>
      </c>
      <c r="F1220" s="276" t="s">
        <v>2663</v>
      </c>
    </row>
    <row r="1221" spans="1:6" ht="14.25">
      <c r="A1221" s="439"/>
      <c r="B1221" s="425"/>
      <c r="C1221" s="426"/>
      <c r="D1221" s="427" t="s">
        <v>522</v>
      </c>
      <c r="E1221" s="687">
        <f>IF(finPNLCh4Prod3Slot1TotalRev=0,0,finPNLCh4Prod3Slot1GPaL/finPNLCh4Prod3Slot1TotalRev)</f>
        <v>0.53193739850713895</v>
      </c>
      <c r="F1221" s="428" t="s">
        <v>2664</v>
      </c>
    </row>
    <row r="1222" spans="1:6" s="398" customFormat="1" ht="14.25">
      <c r="A1222" s="439"/>
      <c r="B1222" s="335"/>
      <c r="C1222" s="395"/>
      <c r="D1222" s="396"/>
      <c r="E1222" s="688"/>
      <c r="F1222" s="336"/>
    </row>
    <row r="1223" spans="1:6" s="322" customFormat="1" ht="14.25">
      <c r="A1223" s="409"/>
      <c r="B1223" s="323"/>
      <c r="C1223" s="325" t="s">
        <v>394</v>
      </c>
      <c r="D1223" s="323"/>
      <c r="E1223" s="323"/>
    </row>
    <row r="1224" spans="1:6" s="322" customFormat="1" ht="14.25">
      <c r="A1224" s="409"/>
      <c r="B1224" s="323"/>
      <c r="C1224" s="325"/>
      <c r="D1224" s="323"/>
      <c r="E1224" s="323"/>
    </row>
    <row r="1225" spans="1:6" s="379" customFormat="1" ht="14.25">
      <c r="A1225" s="438"/>
      <c r="B1225" s="325"/>
      <c r="C1225" s="325"/>
      <c r="D1225" s="325" t="s">
        <v>1394</v>
      </c>
      <c r="E1225" s="392">
        <f>IF(calcCh4Prod3Slot2Active=1,calcCh4Prod3Slot2CustPrice*finCalcCh4Prod3Slot2VolSold,0)</f>
        <v>0</v>
      </c>
      <c r="F1225" s="276" t="s">
        <v>2900</v>
      </c>
    </row>
    <row r="1226" spans="1:6" s="379" customFormat="1" ht="14.25">
      <c r="A1226" s="438"/>
      <c r="B1226" s="325"/>
      <c r="C1226" s="325"/>
      <c r="D1226" s="325" t="s">
        <v>1759</v>
      </c>
      <c r="E1226" s="392">
        <f>IF(calcCh4Prod3Slot2Active=1,finCalcCh4Prod3Slot2VolSold*paramExciseProd3,0)</f>
        <v>0</v>
      </c>
      <c r="F1226" s="276" t="s">
        <v>2901</v>
      </c>
    </row>
    <row r="1227" spans="1:6" s="379" customFormat="1" ht="14.25">
      <c r="A1227" s="438"/>
      <c r="B1227" s="325"/>
      <c r="C1227" s="325"/>
      <c r="D1227" s="325" t="s">
        <v>694</v>
      </c>
      <c r="E1227" s="392">
        <f>IF(calcCh4Prod3Slot2Active=1,finPNLCh4Prod3Slot2Turn-finPNLCh4Prod3Slot2Excise,0)</f>
        <v>0</v>
      </c>
      <c r="F1227" s="276" t="s">
        <v>2902</v>
      </c>
    </row>
    <row r="1228" spans="1:6" s="379" customFormat="1" ht="14.25">
      <c r="A1228" s="438"/>
      <c r="B1228" s="325"/>
      <c r="C1228" s="325"/>
      <c r="D1228" s="325" t="s">
        <v>1396</v>
      </c>
      <c r="E1228" s="392">
        <f>IF(calcCh4Prod3Slot2Active=1,(calcCh4Prod3Slot2CustPrice-calcCh4Prod3Slot2AvgSalePrice)*finCalcCh4Prod3Slot2VolSold+calcCh4Prod3Slot2Promo1PlanExp+calcCh1Prod3Slot2ValDrivExp,0)</f>
        <v>0</v>
      </c>
      <c r="F1228" s="276" t="s">
        <v>2903</v>
      </c>
    </row>
    <row r="1229" spans="1:6" s="227" customFormat="1" ht="2.1" customHeight="1">
      <c r="A1229" s="438"/>
      <c r="B1229" s="230"/>
      <c r="C1229" s="209"/>
      <c r="D1229" s="229"/>
      <c r="E1229" s="229"/>
      <c r="F1229" s="209"/>
    </row>
    <row r="1230" spans="1:6" ht="14.25">
      <c r="A1230" s="439"/>
      <c r="B1230" s="209"/>
      <c r="C1230" s="217" t="s">
        <v>1269</v>
      </c>
      <c r="D1230" s="209"/>
      <c r="E1230" s="233">
        <f>E1227-E1228</f>
        <v>0</v>
      </c>
      <c r="F1230" s="276" t="s">
        <v>2665</v>
      </c>
    </row>
    <row r="1231" spans="1:6" ht="14.25">
      <c r="A1231" s="439"/>
      <c r="B1231" s="209"/>
      <c r="C1231" s="209"/>
      <c r="D1231" s="209"/>
      <c r="E1231" s="210"/>
      <c r="F1231" s="209"/>
    </row>
    <row r="1232" spans="1:6" ht="14.25">
      <c r="A1232" s="439"/>
      <c r="B1232" s="209"/>
      <c r="C1232" s="217" t="s">
        <v>404</v>
      </c>
      <c r="D1232" s="209"/>
      <c r="E1232" s="210"/>
      <c r="F1232" s="209"/>
    </row>
    <row r="1233" spans="1:6" ht="14.25">
      <c r="A1233" s="439"/>
      <c r="B1233" s="209"/>
      <c r="C1233" s="209"/>
      <c r="D1233" s="209" t="s">
        <v>400</v>
      </c>
      <c r="E1233" s="226">
        <f>IF(calcCh4Prod3Slot2Active=1,finCalcCh4Prod3Slot2MatExp,0)</f>
        <v>0</v>
      </c>
      <c r="F1233" s="276" t="s">
        <v>2666</v>
      </c>
    </row>
    <row r="1234" spans="1:6" ht="14.25">
      <c r="A1234" s="439"/>
      <c r="B1234" s="209"/>
      <c r="C1234" s="209"/>
      <c r="D1234" s="209" t="s">
        <v>399</v>
      </c>
      <c r="E1234" s="226">
        <f>IF(calcCh4Prod3Slot2Active=1,finCalcCh4Prod3Slot2LabourExp,0)</f>
        <v>0</v>
      </c>
      <c r="F1234" s="276" t="s">
        <v>2667</v>
      </c>
    </row>
    <row r="1235" spans="1:6" ht="14.25">
      <c r="A1235" s="439"/>
      <c r="B1235" s="209"/>
      <c r="C1235" s="209"/>
      <c r="D1235" s="209" t="s">
        <v>513</v>
      </c>
      <c r="E1235" s="226">
        <f>IF(calcCh4Prod3Slot2Active=1,finCalcCh4Prod3Slot2MachCost,0)</f>
        <v>0</v>
      </c>
      <c r="F1235" s="276" t="s">
        <v>2668</v>
      </c>
    </row>
    <row r="1236" spans="1:6" ht="14.25">
      <c r="A1236" s="439"/>
      <c r="B1236" s="209"/>
      <c r="C1236" s="209"/>
      <c r="D1236" s="209" t="s">
        <v>398</v>
      </c>
      <c r="E1236" s="226">
        <f>IF(calcCh4Prod3Slot2Active=1,finCalcCh4Prod3Slot2DepExp,0)</f>
        <v>0</v>
      </c>
      <c r="F1236" s="276" t="s">
        <v>2669</v>
      </c>
    </row>
    <row r="1237" spans="1:6" s="227" customFormat="1" ht="2.1" customHeight="1">
      <c r="A1237" s="438"/>
      <c r="B1237" s="230"/>
      <c r="C1237" s="209"/>
      <c r="D1237" s="229"/>
      <c r="E1237" s="229"/>
      <c r="F1237" s="209"/>
    </row>
    <row r="1238" spans="1:6" ht="14.25">
      <c r="A1238" s="439"/>
      <c r="B1238" s="209"/>
      <c r="C1238" s="209"/>
      <c r="D1238" s="209" t="s">
        <v>14</v>
      </c>
      <c r="E1238" s="226">
        <f>SUM(E1233:E1237)</f>
        <v>0</v>
      </c>
      <c r="F1238" s="276" t="s">
        <v>2670</v>
      </c>
    </row>
    <row r="1239" spans="1:6" ht="14.25">
      <c r="A1239" s="439"/>
      <c r="B1239" s="209"/>
      <c r="C1239" s="209"/>
      <c r="D1239" s="209"/>
      <c r="E1239" s="210"/>
      <c r="F1239" s="209"/>
    </row>
    <row r="1240" spans="1:6" ht="14.25">
      <c r="A1240" s="439"/>
      <c r="B1240" s="209"/>
      <c r="C1240" s="217" t="s">
        <v>160</v>
      </c>
      <c r="D1240" s="209"/>
      <c r="E1240" s="210"/>
      <c r="F1240" s="209"/>
    </row>
    <row r="1241" spans="1:6" ht="14.25">
      <c r="A1241" s="439"/>
      <c r="B1241" s="209"/>
      <c r="C1241" s="209"/>
      <c r="D1241" s="209" t="s">
        <v>160</v>
      </c>
      <c r="E1241" s="226">
        <f>IF(calcCh4Prod3Slot2Active=1,finPNLCh4Prod3Slot2TotalRev-finPNLCh4Prod3Slot2TotalCOGs,0)</f>
        <v>0</v>
      </c>
      <c r="F1241" s="276" t="s">
        <v>2671</v>
      </c>
    </row>
    <row r="1242" spans="1:6" ht="14.25">
      <c r="A1242" s="439"/>
      <c r="B1242" s="209"/>
      <c r="C1242" s="217"/>
      <c r="D1242" s="234" t="s">
        <v>162</v>
      </c>
      <c r="E1242" s="687">
        <f>IF(finPNLCh4Prod3Slot2TotalRev=0,0,finPNLCh4Prod3Slot2GP/finPNLCh4Prod3Slot2TotalRev)</f>
        <v>0</v>
      </c>
      <c r="F1242" s="276" t="s">
        <v>2672</v>
      </c>
    </row>
    <row r="1243" spans="1:6" ht="14.25">
      <c r="A1243" s="439"/>
      <c r="B1243" s="209"/>
      <c r="C1243" s="217"/>
      <c r="D1243" s="234"/>
      <c r="E1243" s="449"/>
      <c r="F1243" s="209"/>
    </row>
    <row r="1244" spans="1:6" ht="14.25">
      <c r="A1244" s="439"/>
      <c r="B1244" s="209"/>
      <c r="C1244" s="217" t="s">
        <v>519</v>
      </c>
      <c r="D1244" s="234"/>
      <c r="E1244" s="449"/>
      <c r="F1244" s="209"/>
    </row>
    <row r="1245" spans="1:6" ht="14.25">
      <c r="A1245" s="439"/>
      <c r="B1245" s="209"/>
      <c r="C1245" s="217"/>
      <c r="D1245" s="209" t="s">
        <v>519</v>
      </c>
      <c r="E1245" s="226">
        <f>IF(calcCh4Prod3Slot2Active=1,finCalcCh4Prod3Slot2LogisticsCost,0)</f>
        <v>0</v>
      </c>
      <c r="F1245" s="208" t="s">
        <v>2673</v>
      </c>
    </row>
    <row r="1246" spans="1:6" ht="14.25">
      <c r="A1246" s="439"/>
      <c r="B1246" s="209"/>
      <c r="C1246" s="217"/>
      <c r="D1246" s="234"/>
      <c r="E1246" s="449"/>
      <c r="F1246" s="209"/>
    </row>
    <row r="1247" spans="1:6" ht="14.25">
      <c r="A1247" s="439"/>
      <c r="B1247" s="209"/>
      <c r="C1247" s="217" t="s">
        <v>520</v>
      </c>
      <c r="D1247" s="209"/>
      <c r="E1247" s="210"/>
      <c r="F1247" s="209"/>
    </row>
    <row r="1248" spans="1:6" ht="14.25">
      <c r="A1248" s="439"/>
      <c r="B1248" s="209"/>
      <c r="C1248" s="209"/>
      <c r="D1248" s="209" t="s">
        <v>521</v>
      </c>
      <c r="E1248" s="226">
        <f>finPNLCh4Prod3Slot2GP-finPNLCh4Prod3Slot2LogExp</f>
        <v>0</v>
      </c>
      <c r="F1248" s="276" t="s">
        <v>2674</v>
      </c>
    </row>
    <row r="1249" spans="1:6" ht="14.25">
      <c r="A1249" s="439"/>
      <c r="B1249" s="425"/>
      <c r="C1249" s="426"/>
      <c r="D1249" s="427" t="s">
        <v>522</v>
      </c>
      <c r="E1249" s="687">
        <f>IF(finPNLCh4Prod3Slot2TotalRev=0,0,finPNLCh4Prod3Slot2GPaL/finPNLCh4Prod3Slot2TotalRev)</f>
        <v>0</v>
      </c>
      <c r="F1249" s="428" t="s">
        <v>2675</v>
      </c>
    </row>
    <row r="1250" spans="1:6" s="398" customFormat="1" ht="14.25">
      <c r="A1250" s="439"/>
      <c r="B1250" s="335"/>
      <c r="C1250" s="395"/>
      <c r="D1250" s="396"/>
      <c r="E1250" s="688"/>
      <c r="F1250" s="336"/>
    </row>
    <row r="1251" spans="1:6" s="322" customFormat="1" ht="14.25">
      <c r="A1251" s="409"/>
      <c r="B1251" s="323"/>
      <c r="C1251" s="325" t="s">
        <v>395</v>
      </c>
      <c r="D1251" s="323"/>
      <c r="E1251" s="323"/>
    </row>
    <row r="1252" spans="1:6" s="322" customFormat="1" ht="14.25">
      <c r="A1252" s="409"/>
      <c r="B1252" s="323"/>
      <c r="C1252" s="325"/>
      <c r="D1252" s="323"/>
      <c r="E1252" s="323"/>
    </row>
    <row r="1253" spans="1:6" s="379" customFormat="1" ht="14.25">
      <c r="A1253" s="438"/>
      <c r="B1253" s="325"/>
      <c r="C1253" s="325"/>
      <c r="D1253" s="325" t="s">
        <v>1394</v>
      </c>
      <c r="E1253" s="392">
        <f>IF(calcCh4Prod3Slot3Active=1,calcCh4Prod3Slot3CustPrice*finCalcCh4Prod3Slot3VolSold,0)</f>
        <v>0</v>
      </c>
      <c r="F1253" s="276" t="s">
        <v>2892</v>
      </c>
    </row>
    <row r="1254" spans="1:6" s="379" customFormat="1" ht="14.25">
      <c r="A1254" s="438"/>
      <c r="B1254" s="325"/>
      <c r="C1254" s="325"/>
      <c r="D1254" s="325" t="s">
        <v>1759</v>
      </c>
      <c r="E1254" s="392">
        <f>IF(calcCh4Prod3Slot3Active=1,finCalcCh4Prod3Slot3VolSold*paramExciseProd3,0)</f>
        <v>0</v>
      </c>
      <c r="F1254" s="276" t="s">
        <v>2893</v>
      </c>
    </row>
    <row r="1255" spans="1:6" s="379" customFormat="1" ht="14.25">
      <c r="A1255" s="438"/>
      <c r="B1255" s="325"/>
      <c r="C1255" s="325"/>
      <c r="D1255" s="325" t="s">
        <v>694</v>
      </c>
      <c r="E1255" s="392">
        <f>IF(calcCh4Prod3Slot3Active=1,finPNLCh4Prod3Slot3Turn-finPNLCh4Prod3Slot3Excise,0)</f>
        <v>0</v>
      </c>
      <c r="F1255" s="276" t="s">
        <v>2894</v>
      </c>
    </row>
    <row r="1256" spans="1:6" s="379" customFormat="1" ht="14.25">
      <c r="A1256" s="438"/>
      <c r="B1256" s="325"/>
      <c r="C1256" s="325"/>
      <c r="D1256" s="325" t="s">
        <v>1396</v>
      </c>
      <c r="E1256" s="392">
        <f>IF(calcCh4Prod3Slot3Active=1,(calcCh4Prod3Slot3CustPrice-calcCh4Prod3Slot3AvgSalePrice)*finCalcCh4Prod3Slot3VolSold+calcCh4Prod3Slot3Promo1PlanExp+calcCh1Prod3Slot3ValDrivExp,0)</f>
        <v>0</v>
      </c>
      <c r="F1256" s="276" t="s">
        <v>2895</v>
      </c>
    </row>
    <row r="1257" spans="1:6" s="227" customFormat="1" ht="2.1" customHeight="1">
      <c r="A1257" s="438"/>
      <c r="B1257" s="230"/>
      <c r="C1257" s="209"/>
      <c r="D1257" s="229"/>
      <c r="E1257" s="229"/>
      <c r="F1257" s="209"/>
    </row>
    <row r="1258" spans="1:6" ht="14.25">
      <c r="A1258" s="439"/>
      <c r="B1258" s="209"/>
      <c r="C1258" s="217" t="s">
        <v>1269</v>
      </c>
      <c r="D1258" s="209"/>
      <c r="E1258" s="233">
        <f>E1255-E1256</f>
        <v>0</v>
      </c>
      <c r="F1258" s="276" t="s">
        <v>2676</v>
      </c>
    </row>
    <row r="1259" spans="1:6" ht="14.25">
      <c r="A1259" s="439"/>
      <c r="B1259" s="209"/>
      <c r="C1259" s="209"/>
      <c r="D1259" s="209"/>
      <c r="E1259" s="210"/>
      <c r="F1259" s="209"/>
    </row>
    <row r="1260" spans="1:6" ht="14.25">
      <c r="A1260" s="439"/>
      <c r="B1260" s="209"/>
      <c r="C1260" s="217" t="s">
        <v>404</v>
      </c>
      <c r="D1260" s="209"/>
      <c r="E1260" s="210"/>
      <c r="F1260" s="209"/>
    </row>
    <row r="1261" spans="1:6" ht="14.25">
      <c r="A1261" s="439"/>
      <c r="B1261" s="209"/>
      <c r="C1261" s="209"/>
      <c r="D1261" s="209" t="s">
        <v>400</v>
      </c>
      <c r="E1261" s="226">
        <f>IF(calcCh4Prod3Slot3Active=1,finCalcCh4Prod3Slot3MatExp,0)</f>
        <v>0</v>
      </c>
      <c r="F1261" s="276" t="s">
        <v>2677</v>
      </c>
    </row>
    <row r="1262" spans="1:6" ht="14.25">
      <c r="A1262" s="439"/>
      <c r="B1262" s="209"/>
      <c r="C1262" s="209"/>
      <c r="D1262" s="209" t="s">
        <v>399</v>
      </c>
      <c r="E1262" s="226">
        <f>IF(calcCh4Prod3Slot3Active=1,finCalcCh4Prod3Slot3LabourExp,0)</f>
        <v>0</v>
      </c>
      <c r="F1262" s="276" t="s">
        <v>2678</v>
      </c>
    </row>
    <row r="1263" spans="1:6" ht="14.25">
      <c r="A1263" s="439"/>
      <c r="B1263" s="209"/>
      <c r="C1263" s="209"/>
      <c r="D1263" s="209" t="s">
        <v>513</v>
      </c>
      <c r="E1263" s="226">
        <f>IF(calcCh4Prod3Slot3Active=1,finCalcCh4Prod3Slot3MachCost,0)</f>
        <v>0</v>
      </c>
      <c r="F1263" s="276" t="s">
        <v>2679</v>
      </c>
    </row>
    <row r="1264" spans="1:6" ht="14.25">
      <c r="A1264" s="439"/>
      <c r="B1264" s="209"/>
      <c r="C1264" s="209"/>
      <c r="D1264" s="209" t="s">
        <v>398</v>
      </c>
      <c r="E1264" s="226">
        <f>IF(calcCh4Prod3Slot3Active=1,finCalcCh4Prod3Slot3DepExp,0)</f>
        <v>0</v>
      </c>
      <c r="F1264" s="276" t="s">
        <v>2680</v>
      </c>
    </row>
    <row r="1265" spans="1:6" s="227" customFormat="1" ht="2.1" customHeight="1">
      <c r="A1265" s="438"/>
      <c r="B1265" s="230"/>
      <c r="C1265" s="209"/>
      <c r="D1265" s="229"/>
      <c r="E1265" s="229"/>
      <c r="F1265" s="209"/>
    </row>
    <row r="1266" spans="1:6" ht="14.25">
      <c r="A1266" s="439"/>
      <c r="B1266" s="209"/>
      <c r="C1266" s="209"/>
      <c r="D1266" s="209" t="s">
        <v>14</v>
      </c>
      <c r="E1266" s="226">
        <f>SUM(E1261:E1265)</f>
        <v>0</v>
      </c>
      <c r="F1266" s="276" t="s">
        <v>2681</v>
      </c>
    </row>
    <row r="1267" spans="1:6" ht="14.25">
      <c r="A1267" s="439"/>
      <c r="B1267" s="209"/>
      <c r="C1267" s="209"/>
      <c r="D1267" s="209"/>
      <c r="E1267" s="210"/>
      <c r="F1267" s="209"/>
    </row>
    <row r="1268" spans="1:6" ht="14.25">
      <c r="A1268" s="439"/>
      <c r="B1268" s="209"/>
      <c r="C1268" s="217" t="s">
        <v>160</v>
      </c>
      <c r="D1268" s="209"/>
      <c r="E1268" s="210"/>
      <c r="F1268" s="209"/>
    </row>
    <row r="1269" spans="1:6" ht="14.25">
      <c r="A1269" s="439"/>
      <c r="B1269" s="209"/>
      <c r="C1269" s="209"/>
      <c r="D1269" s="209" t="s">
        <v>160</v>
      </c>
      <c r="E1269" s="226">
        <f>IF(calcCh4Prod3Slot3Active=1,finPNLCh4Prod3Slot3TotalRev-finPNLCh4Prod3Slot3TotalCOGs,0)</f>
        <v>0</v>
      </c>
      <c r="F1269" s="276" t="s">
        <v>2682</v>
      </c>
    </row>
    <row r="1270" spans="1:6" ht="14.25">
      <c r="A1270" s="439"/>
      <c r="B1270" s="209"/>
      <c r="C1270" s="217"/>
      <c r="D1270" s="234" t="s">
        <v>162</v>
      </c>
      <c r="E1270" s="687">
        <f>IF(finPNLCh4Prod3Slot3TotalRev=0,0,finPNLCh4Prod3Slot3GP/finPNLCh4Prod3Slot3TotalRev)</f>
        <v>0</v>
      </c>
      <c r="F1270" s="276" t="s">
        <v>2683</v>
      </c>
    </row>
    <row r="1271" spans="1:6" ht="14.25">
      <c r="A1271" s="439"/>
      <c r="B1271" s="209"/>
      <c r="C1271" s="217"/>
      <c r="D1271" s="234"/>
      <c r="E1271" s="449"/>
      <c r="F1271" s="209"/>
    </row>
    <row r="1272" spans="1:6" ht="14.25">
      <c r="A1272" s="439"/>
      <c r="B1272" s="209"/>
      <c r="C1272" s="217" t="s">
        <v>519</v>
      </c>
      <c r="D1272" s="234"/>
      <c r="E1272" s="449"/>
      <c r="F1272" s="209"/>
    </row>
    <row r="1273" spans="1:6" ht="14.25">
      <c r="A1273" s="439"/>
      <c r="B1273" s="209"/>
      <c r="C1273" s="217"/>
      <c r="D1273" s="209" t="s">
        <v>519</v>
      </c>
      <c r="E1273" s="226">
        <f>IF(calcCh4Prod3Slot3Active=1,finCalcCh4Prod3Slot3LogisticsCost,0)</f>
        <v>0</v>
      </c>
      <c r="F1273" s="208" t="s">
        <v>2684</v>
      </c>
    </row>
    <row r="1274" spans="1:6" ht="14.25">
      <c r="A1274" s="439"/>
      <c r="B1274" s="209"/>
      <c r="C1274" s="217"/>
      <c r="D1274" s="234"/>
      <c r="E1274" s="449"/>
      <c r="F1274" s="209"/>
    </row>
    <row r="1275" spans="1:6" ht="14.25">
      <c r="A1275" s="439"/>
      <c r="B1275" s="209"/>
      <c r="C1275" s="217" t="s">
        <v>520</v>
      </c>
      <c r="D1275" s="209"/>
      <c r="E1275" s="210"/>
      <c r="F1275" s="209"/>
    </row>
    <row r="1276" spans="1:6" ht="14.25">
      <c r="A1276" s="439"/>
      <c r="B1276" s="209"/>
      <c r="C1276" s="209"/>
      <c r="D1276" s="209" t="s">
        <v>521</v>
      </c>
      <c r="E1276" s="226">
        <f>finPNLCh4Prod3Slot3GP-finPNLCh4Prod3Slot3LogExp</f>
        <v>0</v>
      </c>
      <c r="F1276" s="276" t="s">
        <v>2685</v>
      </c>
    </row>
    <row r="1277" spans="1:6" ht="14.25">
      <c r="A1277" s="439"/>
      <c r="B1277" s="209"/>
      <c r="C1277" s="217"/>
      <c r="D1277" s="234" t="s">
        <v>522</v>
      </c>
      <c r="E1277" s="687">
        <f>IF(finPNLCh4Prod3Slot3TotalRev=0,0,finPNLCh4Prod3Slot3GPaL/finPNLCh4Prod3Slot3TotalRev)</f>
        <v>0</v>
      </c>
      <c r="F1277" s="276" t="s">
        <v>2686</v>
      </c>
    </row>
    <row r="1278" spans="1:6" s="398" customFormat="1" ht="14.25">
      <c r="A1278" s="439"/>
      <c r="B1278" s="335"/>
      <c r="C1278" s="395"/>
      <c r="D1278" s="396"/>
      <c r="E1278" s="688"/>
      <c r="F1278" s="336"/>
    </row>
    <row r="1279" spans="1:6" s="322" customFormat="1" ht="14.25">
      <c r="A1279" s="437"/>
      <c r="B1279" s="437" t="s">
        <v>240</v>
      </c>
      <c r="C1279" s="410"/>
      <c r="D1279" s="410"/>
      <c r="E1279" s="323"/>
    </row>
    <row r="1280" spans="1:6" s="322" customFormat="1" ht="14.25">
      <c r="A1280" s="409"/>
      <c r="B1280" s="323"/>
      <c r="C1280" s="325" t="s">
        <v>379</v>
      </c>
      <c r="D1280" s="323"/>
      <c r="E1280" s="323"/>
    </row>
    <row r="1281" spans="1:6" s="322" customFormat="1" ht="14.25">
      <c r="A1281" s="409"/>
      <c r="B1281" s="323"/>
      <c r="C1281" s="325"/>
      <c r="D1281" s="323"/>
      <c r="E1281" s="323"/>
    </row>
    <row r="1282" spans="1:6" s="379" customFormat="1" ht="14.25">
      <c r="A1282" s="438"/>
      <c r="B1282" s="325"/>
      <c r="C1282" s="325"/>
      <c r="D1282" s="325" t="s">
        <v>1394</v>
      </c>
      <c r="E1282" s="392">
        <f>IF(calcCh4Prod4Slot1Active=1,calcCh4Prod4Slot1CustPrice*finCalcCh4Prod4Slot1VolSold,0)</f>
        <v>506016262.5</v>
      </c>
      <c r="F1282" s="276" t="s">
        <v>2904</v>
      </c>
    </row>
    <row r="1283" spans="1:6" s="379" customFormat="1" ht="14.25">
      <c r="A1283" s="438"/>
      <c r="B1283" s="325"/>
      <c r="C1283" s="325"/>
      <c r="D1283" s="325" t="s">
        <v>1759</v>
      </c>
      <c r="E1283" s="392">
        <f>IF(calcCh4Prod4Slot1Active=1,finCalcCh4Prod4Slot1VolSold*paramExciseProd4,0)</f>
        <v>157561950</v>
      </c>
      <c r="F1283" s="276" t="s">
        <v>2905</v>
      </c>
    </row>
    <row r="1284" spans="1:6" s="379" customFormat="1" ht="14.25">
      <c r="A1284" s="438"/>
      <c r="B1284" s="325"/>
      <c r="C1284" s="325"/>
      <c r="D1284" s="325" t="s">
        <v>694</v>
      </c>
      <c r="E1284" s="392">
        <f>IF(calcCh4Prod4Slot1Active=1,finPNLCh4Prod4Slot1Turn-finPNLCh4Prod4Slot1Excise,0)</f>
        <v>348454312.5</v>
      </c>
      <c r="F1284" s="276" t="s">
        <v>2906</v>
      </c>
    </row>
    <row r="1285" spans="1:6" s="379" customFormat="1" ht="14.25">
      <c r="A1285" s="438"/>
      <c r="B1285" s="325"/>
      <c r="C1285" s="325"/>
      <c r="D1285" s="325" t="s">
        <v>1396</v>
      </c>
      <c r="E1285" s="392">
        <f>IF(calcCh4Prod4Slot1Active=1,(calcCh4Prod4Slot1CustPrice-calcCh4Prod4Slot1AvgSalePrice)*finCalcCh4Prod4Slot1VolSold+calcCh4Prod4Slot1Promo1PlanExp+calcCh1Prod4Slot1ValDrivExp,0)</f>
        <v>10520325.249999989</v>
      </c>
      <c r="F1285" s="276" t="s">
        <v>2907</v>
      </c>
    </row>
    <row r="1286" spans="1:6" s="227" customFormat="1" ht="2.1" customHeight="1">
      <c r="A1286" s="438"/>
      <c r="B1286" s="230"/>
      <c r="C1286" s="209"/>
      <c r="D1286" s="229"/>
      <c r="E1286" s="229"/>
      <c r="F1286" s="209"/>
    </row>
    <row r="1287" spans="1:6" ht="14.25">
      <c r="A1287" s="439"/>
      <c r="B1287" s="209"/>
      <c r="C1287" s="217" t="s">
        <v>1269</v>
      </c>
      <c r="D1287" s="209"/>
      <c r="E1287" s="233">
        <f>E1284-E1285</f>
        <v>337933987.25</v>
      </c>
      <c r="F1287" s="276" t="s">
        <v>2687</v>
      </c>
    </row>
    <row r="1288" spans="1:6" ht="14.25">
      <c r="A1288" s="439"/>
      <c r="B1288" s="209"/>
      <c r="C1288" s="209"/>
      <c r="D1288" s="209"/>
      <c r="E1288" s="210"/>
      <c r="F1288" s="209"/>
    </row>
    <row r="1289" spans="1:6" ht="14.25">
      <c r="A1289" s="439"/>
      <c r="B1289" s="209"/>
      <c r="C1289" s="217" t="s">
        <v>404</v>
      </c>
      <c r="D1289" s="209"/>
      <c r="E1289" s="210"/>
      <c r="F1289" s="209"/>
    </row>
    <row r="1290" spans="1:6" ht="14.25">
      <c r="A1290" s="439"/>
      <c r="B1290" s="209"/>
      <c r="C1290" s="209"/>
      <c r="D1290" s="209" t="s">
        <v>400</v>
      </c>
      <c r="E1290" s="226">
        <f>IF(calcCh4Prod4Slot1Active=1,finCalcCh4Prod4Slot1MatExp,0)</f>
        <v>107040219.77880001</v>
      </c>
      <c r="F1290" s="276" t="s">
        <v>2688</v>
      </c>
    </row>
    <row r="1291" spans="1:6" ht="14.25">
      <c r="A1291" s="439"/>
      <c r="B1291" s="209"/>
      <c r="C1291" s="209"/>
      <c r="D1291" s="209" t="s">
        <v>399</v>
      </c>
      <c r="E1291" s="226">
        <f>IF(calcCh4Prod4Slot1Active=1,finCalcCh4Prod4Slot1LabourExp,0)</f>
        <v>15741208.791000001</v>
      </c>
      <c r="F1291" s="276" t="s">
        <v>2689</v>
      </c>
    </row>
    <row r="1292" spans="1:6" ht="14.25">
      <c r="A1292" s="439"/>
      <c r="B1292" s="209"/>
      <c r="C1292" s="209"/>
      <c r="D1292" s="209" t="s">
        <v>513</v>
      </c>
      <c r="E1292" s="226">
        <f>IF(calcCh4Prod4Slot1Active=1,finCalcCh4Prod4Slot1MachCost,0)</f>
        <v>12919595.094000002</v>
      </c>
      <c r="F1292" s="276" t="s">
        <v>2690</v>
      </c>
    </row>
    <row r="1293" spans="1:6" ht="14.25">
      <c r="A1293" s="439"/>
      <c r="B1293" s="209"/>
      <c r="C1293" s="209"/>
      <c r="D1293" s="209" t="s">
        <v>398</v>
      </c>
      <c r="E1293" s="226">
        <f>IF(calcCh4Prod4Slot1Active=1,finCalcCh4Prod4Slot1DepExp,0)</f>
        <v>5750002.2815944776</v>
      </c>
      <c r="F1293" s="276" t="s">
        <v>2691</v>
      </c>
    </row>
    <row r="1294" spans="1:6" s="227" customFormat="1" ht="2.1" customHeight="1">
      <c r="A1294" s="438"/>
      <c r="B1294" s="230"/>
      <c r="C1294" s="209"/>
      <c r="D1294" s="229"/>
      <c r="E1294" s="229"/>
      <c r="F1294" s="209"/>
    </row>
    <row r="1295" spans="1:6" ht="14.25">
      <c r="A1295" s="439"/>
      <c r="B1295" s="209"/>
      <c r="C1295" s="209"/>
      <c r="D1295" s="209" t="s">
        <v>14</v>
      </c>
      <c r="E1295" s="226">
        <f>SUM(E1290:E1294)</f>
        <v>141451025.94539452</v>
      </c>
      <c r="F1295" s="276" t="s">
        <v>2692</v>
      </c>
    </row>
    <row r="1296" spans="1:6" ht="14.25">
      <c r="A1296" s="439"/>
      <c r="B1296" s="209"/>
      <c r="C1296" s="209"/>
      <c r="D1296" s="209"/>
      <c r="E1296" s="210"/>
      <c r="F1296" s="209"/>
    </row>
    <row r="1297" spans="1:6" ht="14.25">
      <c r="A1297" s="439"/>
      <c r="B1297" s="209"/>
      <c r="C1297" s="217" t="s">
        <v>160</v>
      </c>
      <c r="D1297" s="209"/>
      <c r="E1297" s="210"/>
      <c r="F1297" s="209"/>
    </row>
    <row r="1298" spans="1:6" ht="14.25">
      <c r="A1298" s="439"/>
      <c r="B1298" s="209"/>
      <c r="C1298" s="209"/>
      <c r="D1298" s="209" t="s">
        <v>160</v>
      </c>
      <c r="E1298" s="226">
        <f>IF(calcCh4Prod4Slot1Active=1,finPNLCh4Prod4Slot1TotalRev-finPNLCh4Prod4Slot1TotalCOGs,0)</f>
        <v>196482961.30460548</v>
      </c>
      <c r="F1298" s="276" t="s">
        <v>2693</v>
      </c>
    </row>
    <row r="1299" spans="1:6" ht="14.25">
      <c r="A1299" s="439"/>
      <c r="B1299" s="209"/>
      <c r="C1299" s="217"/>
      <c r="D1299" s="234" t="s">
        <v>162</v>
      </c>
      <c r="E1299" s="687">
        <f>IF(finPNLCh4Prod4Slot1TotalRev=0,0,finPNLCh4Prod4Slot1GP/finPNLCh4Prod4Slot1TotalRev)</f>
        <v>0.58142409085135749</v>
      </c>
      <c r="F1299" s="276" t="s">
        <v>2694</v>
      </c>
    </row>
    <row r="1300" spans="1:6" ht="14.25">
      <c r="A1300" s="439"/>
      <c r="B1300" s="209"/>
      <c r="C1300" s="217"/>
      <c r="D1300" s="234"/>
      <c r="E1300" s="449"/>
      <c r="F1300" s="209"/>
    </row>
    <row r="1301" spans="1:6" ht="14.25">
      <c r="A1301" s="439"/>
      <c r="B1301" s="209"/>
      <c r="C1301" s="217" t="s">
        <v>519</v>
      </c>
      <c r="D1301" s="234"/>
      <c r="E1301" s="449"/>
      <c r="F1301" s="209"/>
    </row>
    <row r="1302" spans="1:6" ht="14.25">
      <c r="A1302" s="439"/>
      <c r="B1302" s="209"/>
      <c r="C1302" s="217"/>
      <c r="D1302" s="209" t="s">
        <v>519</v>
      </c>
      <c r="E1302" s="226">
        <f>IF(calcCh4Prod4Slot1Active=1,finCalcCh4Prod4Slot1LogisticsCost,0)</f>
        <v>18187879.831578948</v>
      </c>
      <c r="F1302" s="208" t="s">
        <v>2695</v>
      </c>
    </row>
    <row r="1303" spans="1:6" ht="14.25">
      <c r="A1303" s="439"/>
      <c r="B1303" s="209"/>
      <c r="C1303" s="217"/>
      <c r="D1303" s="234"/>
      <c r="E1303" s="449"/>
      <c r="F1303" s="209"/>
    </row>
    <row r="1304" spans="1:6" ht="14.25">
      <c r="A1304" s="439"/>
      <c r="B1304" s="209"/>
      <c r="C1304" s="217" t="s">
        <v>520</v>
      </c>
      <c r="D1304" s="209"/>
      <c r="E1304" s="210"/>
      <c r="F1304" s="209"/>
    </row>
    <row r="1305" spans="1:6" ht="14.25">
      <c r="A1305" s="439"/>
      <c r="B1305" s="209"/>
      <c r="C1305" s="209"/>
      <c r="D1305" s="209" t="s">
        <v>521</v>
      </c>
      <c r="E1305" s="226">
        <f>finPNLCh4Prod4Slot1GP-finPNLCh4Prod4Slot1LogExp</f>
        <v>178295081.47302654</v>
      </c>
      <c r="F1305" s="276" t="s">
        <v>2696</v>
      </c>
    </row>
    <row r="1306" spans="1:6" ht="14.25">
      <c r="A1306" s="439"/>
      <c r="B1306" s="425"/>
      <c r="C1306" s="426"/>
      <c r="D1306" s="427" t="s">
        <v>522</v>
      </c>
      <c r="E1306" s="687">
        <f>IF(finPNLCh4Prod4Slot1TotalRev=0,0,finPNLCh4Prod4Slot1GPaL/finPNLCh4Prod4Slot1TotalRev)</f>
        <v>0.52760328407312795</v>
      </c>
      <c r="F1306" s="428" t="s">
        <v>2697</v>
      </c>
    </row>
    <row r="1307" spans="1:6" s="398" customFormat="1" ht="14.25">
      <c r="A1307" s="439"/>
      <c r="B1307" s="335"/>
      <c r="C1307" s="395"/>
      <c r="D1307" s="396"/>
      <c r="E1307" s="688"/>
      <c r="F1307" s="336"/>
    </row>
    <row r="1308" spans="1:6" s="322" customFormat="1" ht="14.25">
      <c r="A1308" s="409"/>
      <c r="B1308" s="323"/>
      <c r="C1308" s="325" t="s">
        <v>394</v>
      </c>
      <c r="D1308" s="323"/>
      <c r="E1308" s="323"/>
    </row>
    <row r="1309" spans="1:6" s="322" customFormat="1" ht="14.25">
      <c r="A1309" s="409"/>
      <c r="B1309" s="323"/>
      <c r="C1309" s="325"/>
      <c r="D1309" s="323"/>
      <c r="E1309" s="323"/>
    </row>
    <row r="1310" spans="1:6" s="379" customFormat="1" ht="14.25">
      <c r="A1310" s="438"/>
      <c r="B1310" s="325"/>
      <c r="C1310" s="325"/>
      <c r="D1310" s="325" t="s">
        <v>1394</v>
      </c>
      <c r="E1310" s="392">
        <f>IF(calcCh4Prod4Slot2Active=1,calcCh4Prod4Slot2CustPrice*finCalcCh4Prod4Slot2VolSold,0)</f>
        <v>0</v>
      </c>
      <c r="F1310" s="276" t="s">
        <v>2908</v>
      </c>
    </row>
    <row r="1311" spans="1:6" s="379" customFormat="1" ht="14.25">
      <c r="A1311" s="438"/>
      <c r="B1311" s="325"/>
      <c r="C1311" s="325"/>
      <c r="D1311" s="325" t="s">
        <v>1759</v>
      </c>
      <c r="E1311" s="392">
        <f>IF(calcCh4Prod4Slot2Active=1,finCalcCh4Prod4Slot2VolSold*paramExciseProd4,0)</f>
        <v>0</v>
      </c>
      <c r="F1311" s="276" t="s">
        <v>2909</v>
      </c>
    </row>
    <row r="1312" spans="1:6" s="379" customFormat="1" ht="14.25">
      <c r="A1312" s="438"/>
      <c r="B1312" s="325"/>
      <c r="C1312" s="325"/>
      <c r="D1312" s="325" t="s">
        <v>694</v>
      </c>
      <c r="E1312" s="392">
        <f>IF(calcCh4Prod4Slot2Active=1,finPNLCh4Prod4Slot2Turn-finPNLCh4Prod4Slot2Excise,0)</f>
        <v>0</v>
      </c>
      <c r="F1312" s="276" t="s">
        <v>2910</v>
      </c>
    </row>
    <row r="1313" spans="1:6" s="379" customFormat="1" ht="14.25">
      <c r="A1313" s="438"/>
      <c r="B1313" s="325"/>
      <c r="C1313" s="325"/>
      <c r="D1313" s="325" t="s">
        <v>1396</v>
      </c>
      <c r="E1313" s="392">
        <f>IF(calcCh4Prod4Slot2Active=1,(calcCh4Prod4Slot2CustPrice-calcCh4Prod4Slot2AvgSalePrice)*finCalcCh4Prod4Slot2VolSold+calcCh4Prod4Slot2Promo1PlanExp+calcCh1Prod4Slot2ValDrivExp,0)</f>
        <v>0</v>
      </c>
      <c r="F1313" s="276" t="s">
        <v>2911</v>
      </c>
    </row>
    <row r="1314" spans="1:6" s="227" customFormat="1" ht="2.1" customHeight="1">
      <c r="A1314" s="438"/>
      <c r="B1314" s="230"/>
      <c r="C1314" s="209"/>
      <c r="D1314" s="229"/>
      <c r="E1314" s="229"/>
      <c r="F1314" s="209"/>
    </row>
    <row r="1315" spans="1:6" ht="14.25">
      <c r="A1315" s="439"/>
      <c r="B1315" s="209"/>
      <c r="C1315" s="217" t="s">
        <v>1269</v>
      </c>
      <c r="D1315" s="209"/>
      <c r="E1315" s="233">
        <f>E1312-E1313</f>
        <v>0</v>
      </c>
      <c r="F1315" s="276" t="s">
        <v>2698</v>
      </c>
    </row>
    <row r="1316" spans="1:6" ht="14.25">
      <c r="A1316" s="439"/>
      <c r="B1316" s="209"/>
      <c r="C1316" s="209"/>
      <c r="D1316" s="209"/>
      <c r="E1316" s="210"/>
      <c r="F1316" s="209"/>
    </row>
    <row r="1317" spans="1:6" ht="14.25">
      <c r="A1317" s="439"/>
      <c r="B1317" s="209"/>
      <c r="C1317" s="217" t="s">
        <v>404</v>
      </c>
      <c r="D1317" s="209"/>
      <c r="E1317" s="210"/>
      <c r="F1317" s="209"/>
    </row>
    <row r="1318" spans="1:6" ht="14.25">
      <c r="A1318" s="439"/>
      <c r="B1318" s="209"/>
      <c r="C1318" s="209"/>
      <c r="D1318" s="209" t="s">
        <v>400</v>
      </c>
      <c r="E1318" s="226">
        <f>IF(calcCh4Prod4Slot2Active=1,finCalcCh4Prod4Slot2MatExp,0)</f>
        <v>0</v>
      </c>
      <c r="F1318" s="276" t="s">
        <v>2699</v>
      </c>
    </row>
    <row r="1319" spans="1:6" ht="14.25">
      <c r="A1319" s="439"/>
      <c r="B1319" s="209"/>
      <c r="C1319" s="209"/>
      <c r="D1319" s="209" t="s">
        <v>399</v>
      </c>
      <c r="E1319" s="226">
        <f>IF(calcCh4Prod4Slot2Active=1,finCalcCh4Prod4Slot2LabourExp,0)</f>
        <v>0</v>
      </c>
      <c r="F1319" s="276" t="s">
        <v>2700</v>
      </c>
    </row>
    <row r="1320" spans="1:6" ht="14.25">
      <c r="A1320" s="439"/>
      <c r="B1320" s="209"/>
      <c r="C1320" s="209"/>
      <c r="D1320" s="209" t="s">
        <v>513</v>
      </c>
      <c r="E1320" s="226">
        <f>IF(calcCh4Prod4Slot2Active=1,finCalcCh4Prod4Slot2MachCost,0)</f>
        <v>0</v>
      </c>
      <c r="F1320" s="276" t="s">
        <v>2701</v>
      </c>
    </row>
    <row r="1321" spans="1:6" ht="14.25">
      <c r="A1321" s="439"/>
      <c r="B1321" s="209"/>
      <c r="C1321" s="209"/>
      <c r="D1321" s="209" t="s">
        <v>398</v>
      </c>
      <c r="E1321" s="226">
        <f>IF(calcCh4Prod4Slot2Active=1,finCalcCh4Prod4Slot2DepExp,0)</f>
        <v>0</v>
      </c>
      <c r="F1321" s="276" t="s">
        <v>2702</v>
      </c>
    </row>
    <row r="1322" spans="1:6" s="227" customFormat="1" ht="2.1" customHeight="1">
      <c r="A1322" s="438"/>
      <c r="B1322" s="230"/>
      <c r="C1322" s="209"/>
      <c r="D1322" s="229"/>
      <c r="E1322" s="229"/>
      <c r="F1322" s="209"/>
    </row>
    <row r="1323" spans="1:6" ht="14.25">
      <c r="A1323" s="439"/>
      <c r="B1323" s="209"/>
      <c r="C1323" s="209"/>
      <c r="D1323" s="209" t="s">
        <v>14</v>
      </c>
      <c r="E1323" s="226">
        <f>SUM(E1318:E1322)</f>
        <v>0</v>
      </c>
      <c r="F1323" s="276" t="s">
        <v>2703</v>
      </c>
    </row>
    <row r="1324" spans="1:6" ht="14.25">
      <c r="A1324" s="439"/>
      <c r="B1324" s="209"/>
      <c r="C1324" s="209"/>
      <c r="D1324" s="209"/>
      <c r="E1324" s="210"/>
      <c r="F1324" s="209"/>
    </row>
    <row r="1325" spans="1:6" ht="14.25">
      <c r="A1325" s="439"/>
      <c r="B1325" s="209"/>
      <c r="C1325" s="217" t="s">
        <v>160</v>
      </c>
      <c r="D1325" s="209"/>
      <c r="E1325" s="210"/>
      <c r="F1325" s="209"/>
    </row>
    <row r="1326" spans="1:6" ht="14.25">
      <c r="A1326" s="439"/>
      <c r="B1326" s="209"/>
      <c r="C1326" s="209"/>
      <c r="D1326" s="209" t="s">
        <v>160</v>
      </c>
      <c r="E1326" s="226">
        <f>IF(calcCh4Prod4Slot2Active=1,finPNLCh4Prod4Slot2TotalRev-finPNLCh4Prod4Slot2TotalCOGs,0)</f>
        <v>0</v>
      </c>
      <c r="F1326" s="276" t="s">
        <v>2704</v>
      </c>
    </row>
    <row r="1327" spans="1:6" ht="14.25">
      <c r="A1327" s="439"/>
      <c r="B1327" s="209"/>
      <c r="C1327" s="217"/>
      <c r="D1327" s="234" t="s">
        <v>162</v>
      </c>
      <c r="E1327" s="687">
        <f>IF(finPNLCh4Prod4Slot2TotalRev=0,0,finPNLCh4Prod4Slot2GP/finPNLCh4Prod4Slot2TotalRev)</f>
        <v>0</v>
      </c>
      <c r="F1327" s="276" t="s">
        <v>2705</v>
      </c>
    </row>
    <row r="1328" spans="1:6" ht="14.25">
      <c r="A1328" s="439"/>
      <c r="B1328" s="209"/>
      <c r="C1328" s="217"/>
      <c r="D1328" s="234"/>
      <c r="E1328" s="449"/>
      <c r="F1328" s="209"/>
    </row>
    <row r="1329" spans="1:6" ht="14.25">
      <c r="A1329" s="439"/>
      <c r="B1329" s="209"/>
      <c r="C1329" s="217" t="s">
        <v>519</v>
      </c>
      <c r="D1329" s="234"/>
      <c r="E1329" s="449"/>
      <c r="F1329" s="209"/>
    </row>
    <row r="1330" spans="1:6" ht="14.25">
      <c r="A1330" s="439"/>
      <c r="B1330" s="209"/>
      <c r="C1330" s="217"/>
      <c r="D1330" s="209" t="s">
        <v>519</v>
      </c>
      <c r="E1330" s="226">
        <f>IF(calcCh4Prod4Slot2Active=1,finCalcCh4Prod4Slot2LogisticsCost,0)</f>
        <v>0</v>
      </c>
      <c r="F1330" s="208" t="s">
        <v>2706</v>
      </c>
    </row>
    <row r="1331" spans="1:6" ht="14.25">
      <c r="A1331" s="439"/>
      <c r="B1331" s="209"/>
      <c r="C1331" s="217"/>
      <c r="D1331" s="234"/>
      <c r="E1331" s="449"/>
      <c r="F1331" s="209"/>
    </row>
    <row r="1332" spans="1:6" ht="14.25">
      <c r="A1332" s="439"/>
      <c r="B1332" s="209"/>
      <c r="C1332" s="217" t="s">
        <v>520</v>
      </c>
      <c r="D1332" s="209"/>
      <c r="E1332" s="210"/>
      <c r="F1332" s="209"/>
    </row>
    <row r="1333" spans="1:6" ht="14.25">
      <c r="A1333" s="439"/>
      <c r="B1333" s="209"/>
      <c r="C1333" s="209"/>
      <c r="D1333" s="209" t="s">
        <v>521</v>
      </c>
      <c r="E1333" s="226">
        <f>finPNLCh4Prod4Slot2GP-finPNLCh4Prod4Slot2LogExp</f>
        <v>0</v>
      </c>
      <c r="F1333" s="276" t="s">
        <v>2707</v>
      </c>
    </row>
    <row r="1334" spans="1:6" ht="14.25">
      <c r="A1334" s="439"/>
      <c r="B1334" s="425"/>
      <c r="C1334" s="426"/>
      <c r="D1334" s="427" t="s">
        <v>522</v>
      </c>
      <c r="E1334" s="687">
        <f>IF(finPNLCh4Prod4Slot2TotalRev=0,0,finPNLCh4Prod4Slot2GPaL/finPNLCh4Prod4Slot2TotalRev)</f>
        <v>0</v>
      </c>
      <c r="F1334" s="428" t="s">
        <v>2708</v>
      </c>
    </row>
    <row r="1335" spans="1:6" s="398" customFormat="1" ht="14.25">
      <c r="A1335" s="439"/>
      <c r="B1335" s="335"/>
      <c r="C1335" s="395"/>
      <c r="D1335" s="396"/>
      <c r="E1335" s="688"/>
      <c r="F1335" s="336"/>
    </row>
    <row r="1336" spans="1:6" s="322" customFormat="1" ht="14.25">
      <c r="A1336" s="409"/>
      <c r="B1336" s="323"/>
      <c r="C1336" s="325" t="s">
        <v>395</v>
      </c>
      <c r="D1336" s="323"/>
      <c r="E1336" s="323"/>
    </row>
    <row r="1337" spans="1:6" s="322" customFormat="1" ht="14.25">
      <c r="A1337" s="409"/>
      <c r="B1337" s="323"/>
      <c r="C1337" s="325"/>
      <c r="D1337" s="323"/>
      <c r="E1337" s="323"/>
    </row>
    <row r="1338" spans="1:6" s="379" customFormat="1" ht="14.25">
      <c r="A1338" s="438"/>
      <c r="B1338" s="325"/>
      <c r="C1338" s="325"/>
      <c r="D1338" s="325" t="s">
        <v>1394</v>
      </c>
      <c r="E1338" s="392">
        <f>IF(calcCh4Prod4Slot3Active=1,calcCh4Prod4Slot3CustPrice*finCalcCh4Prod4Slot3VolSold,0)</f>
        <v>0</v>
      </c>
      <c r="F1338" s="276" t="s">
        <v>2864</v>
      </c>
    </row>
    <row r="1339" spans="1:6" s="379" customFormat="1" ht="14.25">
      <c r="A1339" s="438"/>
      <c r="B1339" s="325"/>
      <c r="C1339" s="325"/>
      <c r="D1339" s="325" t="s">
        <v>1759</v>
      </c>
      <c r="E1339" s="392">
        <f>IF(calcCh4Prod4Slot3Active=1,finCalcCh4Prod4Slot3VolSold*paramExciseProd4,0)</f>
        <v>0</v>
      </c>
      <c r="F1339" s="276" t="s">
        <v>2865</v>
      </c>
    </row>
    <row r="1340" spans="1:6" s="379" customFormat="1" ht="14.25">
      <c r="A1340" s="438"/>
      <c r="B1340" s="325"/>
      <c r="C1340" s="325"/>
      <c r="D1340" s="325" t="s">
        <v>694</v>
      </c>
      <c r="E1340" s="392">
        <f>IF(calcCh4Prod4Slot3Active=1,finPNLCh4Prod4Slot3Turn-finPNLCh4Prod4Slot3Excise,0)</f>
        <v>0</v>
      </c>
      <c r="F1340" s="276" t="s">
        <v>2866</v>
      </c>
    </row>
    <row r="1341" spans="1:6" s="379" customFormat="1" ht="14.25">
      <c r="A1341" s="438"/>
      <c r="B1341" s="325"/>
      <c r="C1341" s="325"/>
      <c r="D1341" s="325" t="s">
        <v>1396</v>
      </c>
      <c r="E1341" s="392">
        <f>IF(calcCh4Prod4Slot3Active=1,(calcCh4Prod4Slot3CustPrice-calcCh4Prod4Slot3AvgSalePrice)*finCalcCh4Prod4Slot3VolSold+calcCh4Prod4Slot3Promo1PlanExp+calcCh1Prod4Slot3ValDrivExp,0)</f>
        <v>0</v>
      </c>
      <c r="F1341" s="276" t="s">
        <v>2867</v>
      </c>
    </row>
    <row r="1342" spans="1:6" s="227" customFormat="1" ht="2.1" customHeight="1">
      <c r="A1342" s="438"/>
      <c r="B1342" s="230"/>
      <c r="C1342" s="209"/>
      <c r="D1342" s="229"/>
      <c r="E1342" s="229"/>
      <c r="F1342" s="209"/>
    </row>
    <row r="1343" spans="1:6" ht="14.25">
      <c r="A1343" s="439"/>
      <c r="B1343" s="209"/>
      <c r="C1343" s="217" t="s">
        <v>1269</v>
      </c>
      <c r="D1343" s="209"/>
      <c r="E1343" s="233">
        <f>E1340-E1341</f>
        <v>0</v>
      </c>
      <c r="F1343" s="276" t="s">
        <v>2709</v>
      </c>
    </row>
    <row r="1344" spans="1:6" ht="14.25">
      <c r="A1344" s="439"/>
      <c r="B1344" s="209"/>
      <c r="C1344" s="209"/>
      <c r="D1344" s="209"/>
      <c r="E1344" s="210"/>
      <c r="F1344" s="209"/>
    </row>
    <row r="1345" spans="1:6" ht="14.25">
      <c r="A1345" s="439"/>
      <c r="B1345" s="209"/>
      <c r="C1345" s="217" t="s">
        <v>404</v>
      </c>
      <c r="D1345" s="209"/>
      <c r="E1345" s="210"/>
      <c r="F1345" s="209"/>
    </row>
    <row r="1346" spans="1:6" ht="14.25">
      <c r="A1346" s="439"/>
      <c r="B1346" s="209"/>
      <c r="C1346" s="209"/>
      <c r="D1346" s="209" t="s">
        <v>400</v>
      </c>
      <c r="E1346" s="226">
        <f>IF(calcCh4Prod4Slot3Active=1,finCalcCh4Prod4Slot3MatExp,0)</f>
        <v>0</v>
      </c>
      <c r="F1346" s="276" t="s">
        <v>2710</v>
      </c>
    </row>
    <row r="1347" spans="1:6" ht="14.25">
      <c r="A1347" s="439"/>
      <c r="B1347" s="209"/>
      <c r="C1347" s="209"/>
      <c r="D1347" s="209" t="s">
        <v>399</v>
      </c>
      <c r="E1347" s="226">
        <f>IF(calcCh4Prod4Slot3Active=1,finCalcCh4Prod4Slot3LabourExp,0)</f>
        <v>0</v>
      </c>
      <c r="F1347" s="276" t="s">
        <v>2711</v>
      </c>
    </row>
    <row r="1348" spans="1:6" ht="14.25">
      <c r="A1348" s="439"/>
      <c r="B1348" s="209"/>
      <c r="C1348" s="209"/>
      <c r="D1348" s="209" t="s">
        <v>513</v>
      </c>
      <c r="E1348" s="226">
        <f>IF(calcCh4Prod4Slot3Active=1,finCalcCh4Prod4Slot3MachCost,0)</f>
        <v>0</v>
      </c>
      <c r="F1348" s="276" t="s">
        <v>2712</v>
      </c>
    </row>
    <row r="1349" spans="1:6" ht="14.25">
      <c r="A1349" s="439"/>
      <c r="B1349" s="209"/>
      <c r="C1349" s="209"/>
      <c r="D1349" s="209" t="s">
        <v>398</v>
      </c>
      <c r="E1349" s="226">
        <f>IF(calcCh4Prod4Slot3Active=1,finCalcCh4Prod4Slot3DepExp,0)</f>
        <v>0</v>
      </c>
      <c r="F1349" s="276" t="s">
        <v>2713</v>
      </c>
    </row>
    <row r="1350" spans="1:6" s="227" customFormat="1" ht="2.1" customHeight="1">
      <c r="A1350" s="438"/>
      <c r="B1350" s="230"/>
      <c r="C1350" s="209"/>
      <c r="D1350" s="229"/>
      <c r="E1350" s="229"/>
      <c r="F1350" s="209"/>
    </row>
    <row r="1351" spans="1:6" ht="14.25">
      <c r="A1351" s="439"/>
      <c r="B1351" s="209"/>
      <c r="C1351" s="209"/>
      <c r="D1351" s="209" t="s">
        <v>14</v>
      </c>
      <c r="E1351" s="226">
        <f>SUM(E1346:E1350)</f>
        <v>0</v>
      </c>
      <c r="F1351" s="276" t="s">
        <v>2714</v>
      </c>
    </row>
    <row r="1352" spans="1:6" ht="14.25">
      <c r="A1352" s="439"/>
      <c r="B1352" s="209"/>
      <c r="C1352" s="209"/>
      <c r="D1352" s="209"/>
      <c r="E1352" s="210"/>
      <c r="F1352" s="209"/>
    </row>
    <row r="1353" spans="1:6" ht="14.25">
      <c r="A1353" s="439"/>
      <c r="B1353" s="209"/>
      <c r="C1353" s="217" t="s">
        <v>160</v>
      </c>
      <c r="D1353" s="209"/>
      <c r="E1353" s="210"/>
      <c r="F1353" s="209"/>
    </row>
    <row r="1354" spans="1:6" ht="14.25">
      <c r="A1354" s="439"/>
      <c r="B1354" s="209"/>
      <c r="C1354" s="209"/>
      <c r="D1354" s="209" t="s">
        <v>160</v>
      </c>
      <c r="E1354" s="226">
        <f>IF(calcCh4Prod4Slot3Active=1,finPNLCh4Prod4Slot3TotalRev-finPNLCh4Prod4Slot3TotalCOGs,0)</f>
        <v>0</v>
      </c>
      <c r="F1354" s="276" t="s">
        <v>2715</v>
      </c>
    </row>
    <row r="1355" spans="1:6" ht="14.25">
      <c r="A1355" s="439"/>
      <c r="B1355" s="209"/>
      <c r="C1355" s="217"/>
      <c r="D1355" s="234" t="s">
        <v>162</v>
      </c>
      <c r="E1355" s="687">
        <f>IF(finPNLCh4Prod4Slot3TotalRev=0,0,finPNLCh4Prod4Slot3GP/finPNLCh4Prod4Slot3TotalRev)</f>
        <v>0</v>
      </c>
      <c r="F1355" s="276" t="s">
        <v>2716</v>
      </c>
    </row>
    <row r="1356" spans="1:6" ht="14.25">
      <c r="A1356" s="439"/>
      <c r="B1356" s="209"/>
      <c r="C1356" s="217"/>
      <c r="D1356" s="234"/>
      <c r="E1356" s="449"/>
      <c r="F1356" s="209"/>
    </row>
    <row r="1357" spans="1:6" ht="14.25">
      <c r="A1357" s="439"/>
      <c r="B1357" s="209"/>
      <c r="C1357" s="217" t="s">
        <v>519</v>
      </c>
      <c r="D1357" s="234"/>
      <c r="E1357" s="449"/>
      <c r="F1357" s="209"/>
    </row>
    <row r="1358" spans="1:6" ht="14.25">
      <c r="A1358" s="439"/>
      <c r="B1358" s="209"/>
      <c r="C1358" s="217"/>
      <c r="D1358" s="209" t="s">
        <v>519</v>
      </c>
      <c r="E1358" s="226">
        <f>IF(calcCh4Prod4Slot3Active=1,finCalcCh4Prod4Slot3LogisticsCost,0)</f>
        <v>0</v>
      </c>
      <c r="F1358" s="208" t="s">
        <v>2717</v>
      </c>
    </row>
    <row r="1359" spans="1:6" ht="14.25">
      <c r="A1359" s="439"/>
      <c r="B1359" s="209"/>
      <c r="C1359" s="217"/>
      <c r="D1359" s="234"/>
      <c r="E1359" s="449"/>
      <c r="F1359" s="209"/>
    </row>
    <row r="1360" spans="1:6" ht="14.25">
      <c r="A1360" s="439"/>
      <c r="B1360" s="209"/>
      <c r="C1360" s="217" t="s">
        <v>520</v>
      </c>
      <c r="D1360" s="209"/>
      <c r="E1360" s="210"/>
      <c r="F1360" s="209"/>
    </row>
    <row r="1361" spans="1:6" ht="14.25">
      <c r="A1361" s="439"/>
      <c r="B1361" s="209"/>
      <c r="C1361" s="209"/>
      <c r="D1361" s="209" t="s">
        <v>521</v>
      </c>
      <c r="E1361" s="226">
        <f>finPNLCh4Prod4Slot3GP-finPNLCh4Prod4Slot3LogExp</f>
        <v>0</v>
      </c>
      <c r="F1361" s="276" t="s">
        <v>2718</v>
      </c>
    </row>
    <row r="1362" spans="1:6" ht="14.25">
      <c r="A1362" s="439"/>
      <c r="B1362" s="209"/>
      <c r="C1362" s="217"/>
      <c r="D1362" s="234" t="s">
        <v>522</v>
      </c>
      <c r="E1362" s="687">
        <f>IF(finPNLCh4Prod4Slot3TotalRev=0,0,finPNLCh4Prod4Slot3GPaL/finPNLCh4Prod4Slot3TotalRev)</f>
        <v>0</v>
      </c>
      <c r="F1362" s="276" t="s">
        <v>2719</v>
      </c>
    </row>
    <row r="1363" spans="1:6" s="398" customFormat="1" ht="14.25">
      <c r="A1363" s="439"/>
      <c r="B1363" s="335"/>
      <c r="C1363" s="395"/>
      <c r="D1363" s="396"/>
      <c r="E1363" s="397"/>
      <c r="F1363" s="336"/>
    </row>
    <row r="1364" spans="1:6" s="211" customFormat="1" ht="14.25">
      <c r="B1364" s="221" t="s">
        <v>1693</v>
      </c>
      <c r="C1364" s="221"/>
      <c r="D1364" s="221"/>
      <c r="E1364" s="222"/>
    </row>
    <row r="1365" spans="1:6" s="379" customFormat="1" ht="14.25">
      <c r="B1365" s="325"/>
      <c r="C1365" s="325"/>
      <c r="D1365" s="325"/>
      <c r="E1365" s="380"/>
    </row>
    <row r="1366" spans="1:6" s="379" customFormat="1" ht="14.25">
      <c r="B1366" s="325"/>
      <c r="C1366" s="325"/>
      <c r="D1366" s="325"/>
      <c r="E1366" s="380"/>
    </row>
    <row r="1367" spans="1:6" s="379" customFormat="1" ht="14.25">
      <c r="B1367" s="325"/>
      <c r="C1367" s="325"/>
      <c r="D1367" s="325" t="s">
        <v>1394</v>
      </c>
      <c r="E1367" s="392">
        <f>finPNLCh1Prod1Slot1Turn+finPNLCh1Prod1Slot2Turn+finPNLCh1Prod1Slot3Turn+finPNLCh1Prod2Slot1Turn+finPNLCh1Prod2Slot2Turn+finPNLCh1Prod2Slot3Turn+finPNLCh1Prod3Slot1Turn+finPNLCh1Prod3Slot2Turn+finPNLCh1Prod3Slot3Turn+finPNLCh1Prod4Slot1Turn+finPNLCh1Prod4Slot2Turn+finPNLCh1Prod4Slot3Turn+finPNLCh2Prod1Slot1Turn+finPNLCh2Prod1Slot2Turn+finPNLCh2Prod1Slot3Turn+finPNLCh2Prod2Slot1Turn+finPNLCh2Prod2Slot2Turn+finPNLCh2Prod2Slot3Turn+finPNLCh2Prod3Slot1Turn+finPNLCh2Prod3Slot2Turn+finPNLCh2Prod3Slot3Turn+finPNLCh2Prod4Slot1Turn+finPNLCh2Prod4Slot2Turn+finPNLCh2Prod4Slot3Turn+finPNLCh3Prod1Slot1Turn+finPNLCh3Prod1Slot2Turn+finPNLCh3Prod1Slot3Turn+finPNLCh3Prod2Slot1Turn+finPNLCh3Prod2Slot2Turn+finPNLCh3Prod2Slot3Turn+finPNLCh3Prod3Slot1Turn+finPNLCh3Prod3Slot2Turn+finPNLCh3Prod3Slot3Turn+finPNLCh3Prod4Slot1Turn+finPNLCh3Prod4Slot2Turn+finPNLCh3Prod4Slot3Turn+finPNLCh4Prod1Slot1Turn+finPNLCh4Prod1Slot2Turn+finPNLCh4Prod1Slot3Turn+finPNLCh4Prod2Slot1Turn+finPNLCh4Prod2Slot2Turn+finPNLCh4Prod2Slot3Turn+finPNLCh4Prod3Slot1Turn+finPNLCh4Prod3Slot2Turn+finPNLCh4Prod3Slot3Turn+finPNLCh4Prod4Slot1Turn+finPNLCh4Prod4Slot2Turn+finPNLCh4Prod4Slot3Turn</f>
        <v>7384743992.9099989</v>
      </c>
      <c r="F1367" s="276" t="s">
        <v>4325</v>
      </c>
    </row>
    <row r="1368" spans="1:6" s="379" customFormat="1" ht="14.25">
      <c r="B1368" s="325"/>
      <c r="C1368" s="325"/>
      <c r="D1368" s="325" t="s">
        <v>1759</v>
      </c>
      <c r="E1368" s="392">
        <f>finPNLCh1Prod1Slot1Excise+finPNLCh1Prod1Slot2Excise+finPNLCh1Prod1Slot3Excise+finPNLCh1Prod2Slot1Excise+finPNLCh1Prod2Slot2Excise+finPNLCh1Prod2Slot3Excise+finPNLCh1Prod3Slot1Excise+finPNLCh1Prod3Slot2Excise+finPNLCh1Prod3Slot3Excise+finPNLCh1Prod4Slot1Excise+finPNLCh1Prod4Slot2Excise+finPNLCh1Prod4Slot3Excise+finPNLCh2Prod1Slot1Excise+finPNLCh2Prod1Slot2Excise+finPNLCh2Prod1Slot3Excise+finPNLCh2Prod2Slot1Excise+finPNLCh2Prod2Slot2Excise+finPNLCh2Prod2Slot3Excise+finPNLCh2Prod3Slot1Excise+finPNLCh2Prod3Slot2Excise+finPNLCh2Prod3Slot3Excise+finPNLCh2Prod4Slot1Excise+finPNLCh2Prod4Slot2Excise+finPNLCh2Prod4Slot3Excise+finPNLCh3Prod1Slot1Excise+finPNLCh3Prod1Slot2Excise+finPNLCh3Prod1Slot3Excise+finPNLCh3Prod2Slot1Excise+finPNLCh3Prod2Slot2Excise+finPNLCh3Prod2Slot3Excise+finPNLCh3Prod3Slot1Excise+finPNLCh3Prod3Slot2Excise+finPNLCh3Prod3Slot3Excise+finPNLCh3Prod4Slot1Excise+finPNLCh3Prod4Slot2Excise+finPNLCh3Prod4Slot3Excise+finPNLCh4Prod1Slot1Excise+finPNLCh4Prod1Slot2Excise+finPNLCh4Prod1Slot3Excise+finPNLCh4Prod2Slot1Excise+finPNLCh4Prod2Slot2Excise+finPNLCh4Prod2Slot3Excise+finPNLCh4Prod3Slot1Excise+finPNLCh4Prod3Slot2Excise+finPNLCh4Prod3Slot3Excise+finPNLCh4Prod4Slot1Excise+finPNLCh4Prod4Slot2Excise+finPNLCh4Prod4Slot3Excise</f>
        <v>2402206853.888</v>
      </c>
      <c r="F1368" s="276" t="s">
        <v>4326</v>
      </c>
    </row>
    <row r="1369" spans="1:6" s="379" customFormat="1" ht="14.25">
      <c r="B1369" s="325"/>
      <c r="C1369" s="325"/>
      <c r="D1369" s="325" t="s">
        <v>694</v>
      </c>
      <c r="E1369" s="392">
        <f>E1367-E1368</f>
        <v>4982537139.0219994</v>
      </c>
      <c r="F1369" s="276" t="s">
        <v>4324</v>
      </c>
    </row>
    <row r="1370" spans="1:6" s="379" customFormat="1" ht="14.25">
      <c r="B1370" s="325"/>
      <c r="C1370" s="325"/>
      <c r="D1370" s="325" t="s">
        <v>1396</v>
      </c>
      <c r="E1370" s="392">
        <f>finPNLCh1Prod1Slot1Discounts+finPNLCh1Prod1Slot2Discounts+finPNLCh1Prod1Slot3Discounts+finPNLCh1Prod2Slot1Discounts+finPNLCh1Prod2Slot2Discounts+finPNLCh1Prod2Slot3Discounts+finPNLCh1Prod3Slot1Discounts+finPNLCh1Prod3Slot2Discounts+finPNLCh1Prod3Slot3Discounts+finPNLCh1Prod4Slot1Discounts+finPNLCh1Prod4Slot2Discounts+finPNLCh1Prod4Slot3Discounts+finPNLCh2Prod1Slot1Discounts+finPNLCh2Prod1Slot2Discounts+finPNLCh2Prod1Slot3Discounts+finPNLCh2Prod2Slot1Discounts+finPNLCh2Prod2Slot2Discounts+finPNLCh2Prod2Slot3Discounts+finPNLCh2Prod3Slot1Discounts+finPNLCh2Prod3Slot2Discounts+finPNLCh2Prod3Slot3Discounts+finPNLCh2Prod4Slot1Discounts+finPNLCh2Prod4Slot2Discounts+finPNLCh2Prod4Slot3Discounts+finPNLCh3Prod1Slot1Discounts+finPNLCh3Prod1Slot2Discounts+finPNLCh3Prod1Slot3Discounts+finPNLCh3Prod2Slot1Discounts+finPNLCh3Prod2Slot2Discounts+finPNLCh3Prod2Slot3Discounts+finPNLCh3Prod3Slot1Discounts+finPNLCh3Prod3Slot2Discounts+finPNLCh3Prod3Slot3Discounts+finPNLCh3Prod4Slot1Discounts+finPNLCh3Prod4Slot2Discounts+finPNLCh3Prod4Slot3Discounts+finPNLCh4Prod1Slot1Discounts+finPNLCh4Prod1Slot2Discounts+finPNLCh4Prod1Slot3Discounts+finPNLCh4Prod2Slot1Discounts+finPNLCh4Prod2Slot2Discounts+finPNLCh4Prod2Slot3Discounts+finPNLCh4Prod3Slot1Discounts+finPNLCh4Prod3Slot2Discounts+finPNLCh4Prod3Slot3Discounts+finPNLCh4Prod4Slot1Discounts+finPNLCh4Prod4Slot2Discounts+finPNLCh4Prod4Slot3Discounts</f>
        <v>496142063.47751915</v>
      </c>
      <c r="F1370" s="276" t="s">
        <v>4323</v>
      </c>
    </row>
    <row r="1371" spans="1:6" s="379" customFormat="1" ht="1.9" customHeight="1">
      <c r="B1371" s="325"/>
      <c r="C1371" s="209"/>
      <c r="D1371" s="229"/>
      <c r="E1371" s="229"/>
      <c r="F1371" s="209"/>
    </row>
    <row r="1372" spans="1:6" s="379" customFormat="1" ht="14.25">
      <c r="B1372" s="325"/>
      <c r="C1372" s="209"/>
      <c r="D1372" s="217" t="s">
        <v>1760</v>
      </c>
      <c r="E1372" s="233">
        <f>E1369-E1370</f>
        <v>4486395075.5444803</v>
      </c>
      <c r="F1372" s="276" t="s">
        <v>1731</v>
      </c>
    </row>
    <row r="1373" spans="1:6" s="379" customFormat="1" ht="14.25">
      <c r="B1373" s="325"/>
      <c r="C1373" s="325"/>
      <c r="D1373" s="325"/>
      <c r="E1373" s="380"/>
    </row>
    <row r="1374" spans="1:6" s="379" customFormat="1" ht="14.25">
      <c r="B1374" s="325"/>
      <c r="C1374" s="217" t="s">
        <v>404</v>
      </c>
      <c r="D1374" s="209"/>
      <c r="E1374" s="380"/>
    </row>
    <row r="1375" spans="1:6" s="379" customFormat="1" ht="14.25">
      <c r="B1375" s="325"/>
      <c r="C1375" s="209"/>
      <c r="D1375" s="209" t="s">
        <v>400</v>
      </c>
      <c r="E1375" s="392">
        <f>finPNLCh1Prod1Slot1MatExp+finPNLCh1Prod1Slot2MatExp+finPNLCh1Prod1Slot3MatExp+finPNLCh1Prod2Slot1MatExp+finPNLCh1Prod2Slot2MatExp+finPNLCh1Prod2Slot3MatExp+finPNLCh1Prod3Slot1MatExp+finPNLCh1Prod3Slot2MatExp+finPNLCh1Prod3Slot3MatExp+finPNLCh1Prod4Slot1MatExp+finPNLCh1Prod4Slot2MatExp+finPNLCh1Prod4Slot3MatExp+finPNLCh2Prod1Slot1MatExp+finPNLCh2Prod1Slot2MatExp+finPNLCh2Prod1Slot3MatExp+finPNLCh2Prod2Slot1MatExp+finPNLCh2Prod2Slot2MatExp+finPNLCh2Prod2Slot3MatExp+finPNLCh2Prod3Slot1MatExp+finPNLCh2Prod3Slot2MatExp+finPNLCh2Prod3Slot3MatExp+finPNLCh2Prod4Slot1MatExp+finPNLCh2Prod4Slot2MatExp+finPNLCh2Prod4Slot3MatExp+finPNLCh3Prod1Slot1MatExp+finPNLCh3Prod1Slot2MatExp+finPNLCh3Prod1Slot3MatExp+finPNLCh3Prod2Slot1MatExp+finPNLCh3Prod2Slot2MatExp+finPNLCh3Prod2Slot3MatExp+finPNLCh3Prod3Slot1MatExp+finPNLCh3Prod3Slot2MatExp+finPNLCh3Prod3Slot3MatExp+finPNLCh3Prod4Slot1MatExp+finPNLCh3Prod4Slot2MatExp+finPNLCh3Prod4Slot3MatExp+finPNLCh4Prod1Slot1MatExp+finPNLCh4Prod1Slot2MatExp+finPNLCh4Prod1Slot3MatExp+finPNLCh4Prod2Slot1MatExp+finPNLCh4Prod2Slot2MatExp+finPNLCh4Prod2Slot3MatExp+finPNLCh4Prod3Slot1MatExp+finPNLCh4Prod3Slot2MatExp+finPNLCh4Prod3Slot3MatExp+finPNLCh4Prod4Slot1MatExp+finPNLCh4Prod4Slot2MatExp+finPNLCh4Prod4Slot3MatExp</f>
        <v>1545430852.7120178</v>
      </c>
      <c r="F1375" s="379" t="s">
        <v>1732</v>
      </c>
    </row>
    <row r="1376" spans="1:6" s="379" customFormat="1" ht="14.25">
      <c r="B1376" s="325"/>
      <c r="C1376" s="209"/>
      <c r="D1376" s="209" t="s">
        <v>399</v>
      </c>
      <c r="E1376" s="392">
        <f>finPNLCh1Prod1Slot1LabourExp+finPNLCh1Prod1Slot2LabourExp+finPNLCh1Prod1Slot3LabourExp+finPNLCh1Prod2Slot1LabourExp+finPNLCh1Prod2Slot2LabourExp+finPNLCh1Prod2Slot3LabourExp+finPNLCh1Prod3Slot1LabourExp+finPNLCh1Prod3Slot2LabourExp+finPNLCh1Prod3Slot3LabourExp+finPNLCh1Prod4Slot1LabourExp+finPNLCh1Prod4Slot2LabourExp+finPNLCh1Prod4Slot3LabourExp+finPNLCh2Prod1Slot1LabourExp+finPNLCh2Prod1Slot2LabourExp+finPNLCh2Prod1Slot3LabourExp+finPNLCh2Prod2Slot1LabourExp+finPNLCh2Prod2Slot2LabourExp+finPNLCh2Prod2Slot3LabourExp+finPNLCh2Prod3Slot1LabourExp+finPNLCh2Prod3Slot2LabourExp+finPNLCh2Prod3Slot3LabourExp+finPNLCh2Prod4Slot1LabourExp+finPNLCh2Prod4Slot2LabourExp+finPNLCh2Prod4Slot3LabourExp+finPNLCh3Prod1Slot1LabourExp+finPNLCh3Prod1Slot2LabourExp+finPNLCh3Prod1Slot3LabourExp+finPNLCh3Prod2Slot1LabourExp+finPNLCh3Prod2Slot2LabourExp+finPNLCh3Prod2Slot3LabourExp+finPNLCh3Prod3Slot1LabourExp+finPNLCh3Prod3Slot2LabourExp+finPNLCh3Prod3Slot3LabourExp+finPNLCh3Prod4Slot1LabourExp+finPNLCh3Prod4Slot2LabourExp+finPNLCh3Prod4Slot3LabourExp+finPNLCh4Prod1Slot1LabourExp+finPNLCh4Prod1Slot2LabourExp+finPNLCh4Prod1Slot3LabourExp+finPNLCh4Prod2Slot1LabourExp+finPNLCh4Prod2Slot2LabourExp+finPNLCh4Prod2Slot3LabourExp+finPNLCh4Prod3Slot1LabourExp+finPNLCh4Prod3Slot2LabourExp+finPNLCh4Prod3Slot3LabourExp+finPNLCh4Prod4Slot1LabourExp+finPNLCh4Prod4Slot2LabourExp+finPNLCh4Prod4Slot3LabourExp</f>
        <v>227269243.04588497</v>
      </c>
      <c r="F1376" s="379" t="s">
        <v>1733</v>
      </c>
    </row>
    <row r="1377" spans="2:6" s="379" customFormat="1" ht="14.25">
      <c r="B1377" s="325"/>
      <c r="C1377" s="209"/>
      <c r="D1377" s="209" t="s">
        <v>513</v>
      </c>
      <c r="E1377" s="392">
        <f>finPNLCh1Prod1Slot1MachExp+finPNLCh1Prod1Slot2MachExp+finPNLCh1Prod1Slot3MachExp+finPNLCh1Prod2Slot1MachExp+finPNLCh1Prod2Slot2MachExp+finPNLCh1Prod2Slot3MachExp+finPNLCh1Prod3Slot1MachExp+finPNLCh1Prod3Slot2MachExp+finPNLCh1Prod3Slot3MachExp+finPNLCh1Prod4Slot1MachExp+finPNLCh1Prod4Slot2MachExp+finPNLCh1Prod4Slot3MachExp+finPNLCh2Prod1Slot1MachExp+finPNLCh2Prod1Slot2MachExp+finPNLCh2Prod1Slot3MachExp+finPNLCh2Prod2Slot1MachExp+finPNLCh2Prod2Slot2MachExp+finPNLCh2Prod2Slot3MachExp+finPNLCh2Prod3Slot1MachExp+finPNLCh2Prod3Slot2MachExp+finPNLCh2Prod3Slot3MachExp+finPNLCh2Prod4Slot1MachExp+finPNLCh2Prod4Slot2MachExp+finPNLCh2Prod4Slot3MachExp+finPNLCh3Prod1Slot1MachExp+finPNLCh3Prod1Slot2MachExp+finPNLCh3Prod1Slot3MachExp+finPNLCh3Prod2Slot1MachExp+finPNLCh3Prod2Slot2MachExp+finPNLCh3Prod2Slot3MachExp+finPNLCh3Prod3Slot1MachExp+finPNLCh3Prod3Slot2MachExp+finPNLCh3Prod3Slot3MachExp+finPNLCh3Prod4Slot1MachExp+finPNLCh3Prod4Slot2MachExp+finPNLCh3Prod4Slot3MachExp+finPNLCh4Prod1Slot1MachExp+finPNLCh4Prod1Slot2MachExp+finPNLCh4Prod1Slot3MachExp+finPNLCh4Prod2Slot1MachExp+finPNLCh4Prod2Slot2MachExp+finPNLCh4Prod2Slot3MachExp+finPNLCh4Prod3Slot1MachExp+finPNLCh4Prod3Slot2MachExp+finPNLCh4Prod3Slot3MachExp+finPNLCh4Prod4Slot1MachExp+finPNLCh4Prod4Slot2MachExp+finPNLCh4Prod4Slot3MachExp</f>
        <v>257091499.73479399</v>
      </c>
      <c r="F1377" s="379" t="s">
        <v>1734</v>
      </c>
    </row>
    <row r="1378" spans="2:6" s="379" customFormat="1" ht="14.25">
      <c r="B1378" s="325"/>
      <c r="C1378" s="209"/>
      <c r="D1378" s="209" t="s">
        <v>398</v>
      </c>
      <c r="E1378" s="392">
        <f>finPNLCh1Prod1Slot1DeprExp+finPNLCh1Prod1Slot2DeprExp+finPNLCh1Prod1Slot3DeprExp+finPNLCh1Prod2Slot1DeprExp+finPNLCh1Prod2Slot2DeprExp+finPNLCh1Prod2Slot3DeprExp+finPNLCh1Prod3Slot1DeprExp+finPNLCh1Prod3Slot2DeprExp+finPNLCh1Prod3Slot3DeprExp+finPNLCh1Prod4Slot1DeprExp+finPNLCh1Prod4Slot2DeprExp+finPNLCh1Prod4Slot3DeprExp+finPNLCh2Prod1Slot1DeprExp+finPNLCh2Prod1Slot2DeprExp+finPNLCh2Prod1Slot3DeprExp+finPNLCh2Prod2Slot1DeprExp+finPNLCh2Prod2Slot2DeprExp+finPNLCh2Prod2Slot3DeprExp+finPNLCh2Prod3Slot1DeprExp+finPNLCh2Prod3Slot2DeprExp+finPNLCh2Prod3Slot3DeprExp+finPNLCh2Prod4Slot1DeprExp+finPNLCh2Prod4Slot2DeprExp+finPNLCh2Prod4Slot3DeprExp+finPNLCh3Prod1Slot1DeprExp+finPNLCh3Prod1Slot2DeprExp+finPNLCh3Prod1Slot3DeprExp+finPNLCh3Prod2Slot1DeprExp+finPNLCh3Prod2Slot2DeprExp+finPNLCh3Prod2Slot3DeprExp+finPNLCh3Prod3Slot1DeprExp+finPNLCh3Prod3Slot2DeprExp+finPNLCh3Prod3Slot3DeprExp+finPNLCh3Prod4Slot1DeprExp+finPNLCh3Prod4Slot2DeprExp+finPNLCh3Prod4Slot3DeprExp+finPNLCh4Prod1Slot1DeprExp+finPNLCh4Prod1Slot2DeprExp+finPNLCh4Prod1Slot3DeprExp+finPNLCh4Prod2Slot1DeprExp+finPNLCh4Prod2Slot2DeprExp+finPNLCh4Prod2Slot3DeprExp+finPNLCh4Prod3Slot1DeprExp+finPNLCh4Prod3Slot2DeprExp+finPNLCh4Prod3Slot3DeprExp+finPNLCh4Prod4Slot1DeprExp+finPNLCh4Prod4Slot2DeprExp+finPNLCh4Prod4Slot3DeprExp</f>
        <v>114421287.91947502</v>
      </c>
      <c r="F1378" s="379" t="s">
        <v>1735</v>
      </c>
    </row>
    <row r="1379" spans="2:6" s="379" customFormat="1" ht="1.9" customHeight="1">
      <c r="B1379" s="325"/>
      <c r="C1379" s="209"/>
      <c r="D1379" s="229"/>
      <c r="E1379" s="229"/>
    </row>
    <row r="1380" spans="2:6" s="379" customFormat="1" ht="14.25">
      <c r="B1380" s="325"/>
      <c r="C1380" s="209"/>
      <c r="D1380" s="209" t="s">
        <v>14</v>
      </c>
      <c r="E1380" s="233">
        <f>SUM(E1375:E1379)</f>
        <v>2144212883.4121716</v>
      </c>
      <c r="F1380" s="379" t="s">
        <v>1736</v>
      </c>
    </row>
    <row r="1381" spans="2:6" s="379" customFormat="1" ht="14.25">
      <c r="B1381" s="325"/>
      <c r="C1381" s="209"/>
      <c r="D1381" s="209"/>
      <c r="E1381" s="380"/>
    </row>
    <row r="1382" spans="2:6" s="379" customFormat="1" ht="14.25">
      <c r="B1382" s="325"/>
      <c r="C1382" s="217" t="s">
        <v>160</v>
      </c>
      <c r="D1382" s="209"/>
      <c r="E1382" s="380"/>
    </row>
    <row r="1383" spans="2:6" s="379" customFormat="1" ht="14.25">
      <c r="B1383" s="325"/>
      <c r="C1383" s="209"/>
      <c r="D1383" s="209" t="s">
        <v>160</v>
      </c>
      <c r="E1383" s="233">
        <f>finPNLNetRevTot-finPNLCostRevTot</f>
        <v>2342182192.132309</v>
      </c>
      <c r="F1383" s="379" t="s">
        <v>1737</v>
      </c>
    </row>
    <row r="1384" spans="2:6" s="379" customFormat="1" ht="14.25">
      <c r="B1384" s="325"/>
      <c r="C1384" s="217"/>
      <c r="D1384" s="234" t="s">
        <v>162</v>
      </c>
      <c r="E1384" s="337">
        <f>finPNLGroProfitTot/finPNLNetRevTot</f>
        <v>0.52206329418013986</v>
      </c>
    </row>
    <row r="1385" spans="2:6" s="379" customFormat="1" ht="14.25">
      <c r="B1385" s="325"/>
      <c r="C1385" s="217"/>
      <c r="D1385" s="234"/>
      <c r="E1385" s="380"/>
    </row>
    <row r="1386" spans="2:6" s="379" customFormat="1" ht="14.25">
      <c r="B1386" s="325"/>
      <c r="C1386" s="217" t="s">
        <v>519</v>
      </c>
      <c r="D1386" s="234"/>
      <c r="E1386" s="380"/>
    </row>
    <row r="1387" spans="2:6" s="379" customFormat="1" ht="14.25">
      <c r="B1387" s="325"/>
      <c r="C1387" s="217"/>
      <c r="D1387" s="209" t="s">
        <v>519</v>
      </c>
      <c r="E1387" s="392">
        <f>finPNLCh1Prod1Slot1LogExp+finPNLCh1Prod1Slot2LogExp+finPNLCh1Prod1Slot3LogExp+finPNLCh1Prod2Slot1LogExp+finPNLCh1Prod2Slot2LogExp+finPNLCh1Prod2Slot3LogExp+finPNLCh1Prod3Slot1LogExp+finPNLCh1Prod3Slot2LogExp+finPNLCh1Prod3Slot3LogExp+finPNLCh1Prod4Slot1LogExp+finPNLCh1Prod4Slot2LogExp+finPNLCh1Prod4Slot3LogExp+finPNLCh2Prod1Slot1LogExp+finPNLCh2Prod1Slot2LogExp+finPNLCh2Prod1Slot3LogExp+finPNLCh2Prod2Slot1LogExp+finPNLCh2Prod2Slot2LogExp+finPNLCh2Prod2Slot3LogExp+finPNLCh2Prod3Slot1LogExp+finPNLCh2Prod3Slot2LogExp+finPNLCh2Prod3Slot3LogExp+finPNLCh2Prod4Slot1LogExp+finPNLCh2Prod4Slot2LogExp+finPNLCh2Prod4Slot3LogExp+finPNLCh3Prod1Slot1LogExp+finPNLCh3Prod1Slot2LogExp+finPNLCh3Prod1Slot3LogExp+finPNLCh3Prod2Slot1LogExp+finPNLCh3Prod2Slot2LogExp+finPNLCh3Prod2Slot3LogExp+finPNLCh3Prod3Slot1LogExp+finPNLCh3Prod3Slot2LogExp+finPNLCh3Prod3Slot3LogExp+finPNLCh3Prod4Slot1LogExp+finPNLCh3Prod4Slot2LogExp+finPNLCh3Prod4Slot3LogExp+finPNLCh4Prod1Slot1LogExp+finPNLCh4Prod1Slot2LogExp+finPNLCh4Prod1Slot3LogExp+finPNLCh4Prod2Slot1LogExp+finPNLCh4Prod2Slot2LogExp+finPNLCh4Prod2Slot3LogExp+finPNLCh4Prod3Slot1LogExp+finPNLCh4Prod3Slot2LogExp+finPNLCh4Prod3Slot3LogExp+finPNLCh4Prod4Slot1LogExp+finPNLCh4Prod4Slot2LogExp+finPNLCh4Prod4Slot3LogExp</f>
        <v>262593917.45669559</v>
      </c>
      <c r="F1387" s="379" t="s">
        <v>1738</v>
      </c>
    </row>
    <row r="1388" spans="2:6" s="379" customFormat="1" ht="14.25">
      <c r="B1388" s="325"/>
      <c r="C1388" s="217"/>
      <c r="D1388" s="234"/>
      <c r="E1388" s="380"/>
    </row>
    <row r="1389" spans="2:6" s="379" customFormat="1" ht="14.25">
      <c r="B1389" s="325"/>
      <c r="C1389" s="217" t="s">
        <v>520</v>
      </c>
      <c r="D1389" s="209"/>
      <c r="E1389" s="381"/>
    </row>
    <row r="1390" spans="2:6" s="379" customFormat="1" ht="14.25">
      <c r="B1390" s="325"/>
      <c r="C1390" s="209"/>
      <c r="D1390" s="209" t="s">
        <v>521</v>
      </c>
      <c r="E1390" s="233">
        <f>finPNLGroProfitTot-finPNLLogExpTot</f>
        <v>2079588274.6756134</v>
      </c>
      <c r="F1390" s="379" t="s">
        <v>1739</v>
      </c>
    </row>
    <row r="1391" spans="2:6" s="379" customFormat="1" ht="14.25">
      <c r="B1391" s="325"/>
      <c r="C1391" s="217"/>
      <c r="D1391" s="234" t="s">
        <v>522</v>
      </c>
      <c r="E1391" s="337">
        <f>finPNLGPaLTot/finPNLNetRevTot</f>
        <v>0.46353213207002936</v>
      </c>
      <c r="F1391" s="379" t="s">
        <v>4344</v>
      </c>
    </row>
    <row r="1392" spans="2:6" s="379" customFormat="1" ht="14.25">
      <c r="B1392" s="325"/>
      <c r="C1392" s="325"/>
      <c r="D1392" s="325"/>
      <c r="E1392" s="380"/>
    </row>
    <row r="1393" spans="2:6" s="379" customFormat="1" ht="14.25">
      <c r="B1393" s="325"/>
      <c r="C1393" s="382" t="s">
        <v>1705</v>
      </c>
      <c r="D1393" s="325"/>
      <c r="E1393" s="380"/>
    </row>
    <row r="1394" spans="2:6" s="379" customFormat="1" ht="14.25">
      <c r="B1394" s="325"/>
      <c r="C1394" s="382"/>
      <c r="D1394" s="382" t="s">
        <v>1694</v>
      </c>
      <c r="E1394" s="380"/>
    </row>
    <row r="1395" spans="2:6" s="379" customFormat="1" ht="14.25">
      <c r="B1395" s="325"/>
      <c r="C1395" s="382"/>
      <c r="D1395" s="325" t="s">
        <v>403</v>
      </c>
      <c r="E1395" s="233">
        <f>paramFixedSalesExp</f>
        <v>79000000</v>
      </c>
      <c r="F1395" s="379" t="s">
        <v>1740</v>
      </c>
    </row>
    <row r="1396" spans="2:6" s="379" customFormat="1" ht="14.25">
      <c r="B1396" s="325"/>
      <c r="C1396" s="382"/>
      <c r="D1396" s="209" t="s">
        <v>402</v>
      </c>
      <c r="E1396" s="233">
        <f>finPNLNetRevTot*paramVariableSalesExp</f>
        <v>233292543.92831296</v>
      </c>
      <c r="F1396" s="379" t="s">
        <v>1741</v>
      </c>
    </row>
    <row r="1397" spans="2:6" s="379" customFormat="1" ht="1.9" customHeight="1">
      <c r="B1397" s="325"/>
      <c r="C1397" s="382"/>
      <c r="D1397" s="229"/>
      <c r="E1397" s="229"/>
    </row>
    <row r="1398" spans="2:6" s="379" customFormat="1" ht="14.25">
      <c r="B1398" s="325"/>
      <c r="C1398" s="382"/>
      <c r="D1398" s="209" t="s">
        <v>14</v>
      </c>
      <c r="E1398" s="233">
        <f>SUM(E1395:E1397)</f>
        <v>312292543.92831296</v>
      </c>
      <c r="F1398" s="379" t="s">
        <v>1742</v>
      </c>
    </row>
    <row r="1399" spans="2:6" s="379" customFormat="1" ht="14.25">
      <c r="B1399" s="325"/>
      <c r="C1399" s="382"/>
      <c r="D1399" s="325"/>
      <c r="E1399" s="380"/>
    </row>
    <row r="1400" spans="2:6" s="379" customFormat="1" ht="14.25">
      <c r="B1400" s="325"/>
      <c r="C1400" s="382"/>
      <c r="D1400" s="382" t="s">
        <v>1703</v>
      </c>
      <c r="E1400" s="380"/>
    </row>
    <row r="1401" spans="2:6" s="379" customFormat="1" ht="14.25">
      <c r="B1401" s="325"/>
      <c r="C1401" s="382"/>
      <c r="D1401" s="325" t="s">
        <v>403</v>
      </c>
      <c r="E1401" s="233">
        <f>paramFixedTradeMktExp</f>
        <v>43000000</v>
      </c>
      <c r="F1401" s="379" t="s">
        <v>1743</v>
      </c>
    </row>
    <row r="1402" spans="2:6" s="379" customFormat="1" ht="14.25">
      <c r="B1402" s="325"/>
      <c r="C1402" s="382"/>
      <c r="D1402" s="209" t="s">
        <v>402</v>
      </c>
      <c r="E1402" s="233">
        <f>calcMarkPlanExpTot+calcCh1ValDrivCondExp+calcCh2ValDrivCondExp+calcCh3ValDrivCondExp+calcCh4ValDrivCondExp</f>
        <v>450000</v>
      </c>
      <c r="F1402" s="379" t="s">
        <v>1744</v>
      </c>
    </row>
    <row r="1403" spans="2:6" s="379" customFormat="1" ht="1.9" customHeight="1">
      <c r="B1403" s="325"/>
      <c r="C1403" s="382"/>
      <c r="D1403" s="229"/>
      <c r="E1403" s="229"/>
    </row>
    <row r="1404" spans="2:6" s="379" customFormat="1" ht="14.25">
      <c r="B1404" s="325"/>
      <c r="C1404" s="382"/>
      <c r="D1404" s="209" t="s">
        <v>14</v>
      </c>
      <c r="E1404" s="233">
        <f>SUM(E1401:E1403)</f>
        <v>43450000</v>
      </c>
      <c r="F1404" s="379" t="s">
        <v>1745</v>
      </c>
    </row>
    <row r="1405" spans="2:6" s="379" customFormat="1" ht="14.25">
      <c r="B1405" s="325"/>
      <c r="C1405" s="382"/>
      <c r="D1405" s="325"/>
      <c r="E1405" s="380"/>
    </row>
    <row r="1406" spans="2:6" s="379" customFormat="1" ht="14.25">
      <c r="B1406" s="325"/>
      <c r="C1406" s="382"/>
      <c r="D1406" s="382" t="s">
        <v>1704</v>
      </c>
      <c r="E1406" s="380"/>
    </row>
    <row r="1407" spans="2:6" s="379" customFormat="1" ht="14.25">
      <c r="B1407" s="325"/>
      <c r="C1407" s="382"/>
      <c r="D1407" s="325" t="s">
        <v>403</v>
      </c>
      <c r="E1407" s="233">
        <f>paramFixedBrandMktExp</f>
        <v>30000000</v>
      </c>
      <c r="F1407" s="379" t="s">
        <v>1746</v>
      </c>
    </row>
    <row r="1408" spans="2:6" s="379" customFormat="1" ht="14.25">
      <c r="B1408" s="325"/>
      <c r="C1408" s="382"/>
      <c r="D1408" s="209" t="s">
        <v>402</v>
      </c>
      <c r="E1408" s="233">
        <f>finPNLNetRevTot*paramVariableBrandMktExp</f>
        <v>179455803.02177921</v>
      </c>
      <c r="F1408" s="379" t="s">
        <v>1747</v>
      </c>
    </row>
    <row r="1409" spans="2:6" s="379" customFormat="1" ht="1.1499999999999999" customHeight="1">
      <c r="B1409" s="325"/>
      <c r="C1409" s="382"/>
      <c r="D1409" s="229"/>
      <c r="E1409" s="229"/>
    </row>
    <row r="1410" spans="2:6" s="379" customFormat="1" ht="14.25">
      <c r="B1410" s="325"/>
      <c r="C1410" s="382"/>
      <c r="D1410" s="209" t="s">
        <v>14</v>
      </c>
      <c r="E1410" s="233">
        <f>SUM(E1407:E1409)</f>
        <v>209455803.02177921</v>
      </c>
      <c r="F1410" s="379" t="s">
        <v>1748</v>
      </c>
    </row>
    <row r="1411" spans="2:6" s="379" customFormat="1" ht="14.25">
      <c r="B1411" s="325"/>
      <c r="C1411" s="382"/>
      <c r="D1411" s="325"/>
      <c r="E1411" s="380"/>
    </row>
    <row r="1412" spans="2:6" s="379" customFormat="1" ht="14.25">
      <c r="B1412" s="325"/>
      <c r="C1412" s="382"/>
      <c r="D1412" s="383" t="s">
        <v>267</v>
      </c>
      <c r="E1412" s="380"/>
    </row>
    <row r="1413" spans="2:6" s="379" customFormat="1" ht="14.25">
      <c r="B1413" s="325"/>
      <c r="C1413" s="382"/>
      <c r="D1413" s="379" t="s">
        <v>403</v>
      </c>
      <c r="E1413" s="233">
        <f>paramFixedRnDExp</f>
        <v>2000000</v>
      </c>
      <c r="F1413" s="379" t="s">
        <v>1749</v>
      </c>
    </row>
    <row r="1414" spans="2:6" s="379" customFormat="1" ht="14.25">
      <c r="B1414" s="325"/>
      <c r="C1414" s="382"/>
      <c r="D1414" s="209" t="s">
        <v>402</v>
      </c>
      <c r="E1414" s="233">
        <f>calcPackInnovationExpTot+finPNLNetRevTot*paramVariableRnDExp</f>
        <v>44863950.755444802</v>
      </c>
      <c r="F1414" s="379" t="s">
        <v>1750</v>
      </c>
    </row>
    <row r="1415" spans="2:6" s="379" customFormat="1" ht="1.1499999999999999" customHeight="1">
      <c r="B1415" s="325"/>
      <c r="C1415" s="382"/>
      <c r="D1415" s="229"/>
      <c r="E1415" s="229"/>
    </row>
    <row r="1416" spans="2:6" s="379" customFormat="1" ht="14.25">
      <c r="B1416" s="325"/>
      <c r="C1416" s="382"/>
      <c r="D1416" s="209" t="s">
        <v>14</v>
      </c>
      <c r="E1416" s="233">
        <f>SUM(E1413:E1414)</f>
        <v>46863950.755444802</v>
      </c>
      <c r="F1416" s="379" t="s">
        <v>1751</v>
      </c>
    </row>
    <row r="1417" spans="2:6" s="379" customFormat="1" ht="14.25">
      <c r="B1417" s="325"/>
      <c r="C1417" s="382"/>
      <c r="D1417" s="325"/>
      <c r="E1417" s="380"/>
    </row>
    <row r="1418" spans="2:6" s="379" customFormat="1" ht="14.25">
      <c r="B1418" s="325"/>
      <c r="C1418" s="382"/>
      <c r="D1418" s="382" t="s">
        <v>1695</v>
      </c>
      <c r="E1418" s="380"/>
    </row>
    <row r="1419" spans="2:6" s="379" customFormat="1" ht="1.1499999999999999" customHeight="1">
      <c r="B1419" s="325"/>
      <c r="C1419" s="382"/>
      <c r="D1419" s="229"/>
      <c r="E1419" s="229"/>
    </row>
    <row r="1420" spans="2:6" s="379" customFormat="1" ht="14.25">
      <c r="B1420" s="325"/>
      <c r="C1420" s="382"/>
      <c r="D1420" s="209" t="s">
        <v>14</v>
      </c>
      <c r="E1420" s="233">
        <f>finPNLNetRevTot*paramFixedAdminExp+CalcEmp1RecDismExp+CalcEmp1AdminExp+paramSIExp+calcCh1AnalyticsExp+calcCh2AnalyticsExp+calcCh3AnalyticsExp+calcCh4AnalyticsExp+calcReportExpReq+CalcEmp1Exp</f>
        <v>425375556.79900324</v>
      </c>
      <c r="F1420" s="379" t="s">
        <v>1752</v>
      </c>
    </row>
    <row r="1421" spans="2:6" s="379" customFormat="1" ht="14.25">
      <c r="B1421" s="325"/>
      <c r="C1421" s="382"/>
      <c r="D1421" s="325"/>
      <c r="E1421" s="380"/>
    </row>
    <row r="1422" spans="2:6" s="379" customFormat="1" ht="14.25">
      <c r="B1422" s="325"/>
      <c r="C1422" s="382" t="s">
        <v>1706</v>
      </c>
      <c r="E1422" s="233">
        <f>finPNLSalesExpTot+finPNLTMktExpTot+finPNLBMktExpTot+finPNLRnDExpTot+finPNLGnAdminExp</f>
        <v>1037437854.5045402</v>
      </c>
      <c r="F1422" s="379" t="s">
        <v>1753</v>
      </c>
    </row>
    <row r="1423" spans="2:6" s="379" customFormat="1" ht="14.25">
      <c r="B1423" s="325"/>
      <c r="C1423" s="325"/>
      <c r="D1423" s="325"/>
      <c r="E1423" s="380"/>
    </row>
    <row r="1424" spans="2:6" s="379" customFormat="1" ht="14.25">
      <c r="B1424" s="325"/>
      <c r="C1424" s="382" t="s">
        <v>325</v>
      </c>
      <c r="D1424" s="325"/>
      <c r="E1424" s="380"/>
    </row>
    <row r="1425" spans="2:6" s="379" customFormat="1" ht="14.25">
      <c r="B1425" s="325"/>
      <c r="C1425" s="325"/>
      <c r="D1425" s="325" t="s">
        <v>325</v>
      </c>
      <c r="E1425" s="387">
        <f>finPNLGPaLTot-finPNLOverheadExpTot</f>
        <v>1042150420.1710732</v>
      </c>
      <c r="F1425" s="379" t="s">
        <v>1754</v>
      </c>
    </row>
    <row r="1426" spans="2:6" s="379" customFormat="1" ht="14.25">
      <c r="B1426" s="325"/>
      <c r="C1426" s="325"/>
      <c r="D1426" s="325" t="s">
        <v>1696</v>
      </c>
      <c r="E1426" s="513">
        <f>finPNLEbitTot/finPNLNetRevTot</f>
        <v>0.23229127230721988</v>
      </c>
      <c r="F1426" s="379" t="s">
        <v>4343</v>
      </c>
    </row>
    <row r="1427" spans="2:6" s="379" customFormat="1" ht="14.25">
      <c r="B1427" s="325"/>
      <c r="C1427" s="325"/>
      <c r="D1427" s="325"/>
      <c r="E1427" s="386"/>
    </row>
    <row r="1428" spans="2:6" s="379" customFormat="1" ht="14.25">
      <c r="B1428" s="325"/>
      <c r="C1428" s="382" t="s">
        <v>1697</v>
      </c>
      <c r="D1428" s="325"/>
      <c r="E1428" s="325"/>
    </row>
    <row r="1429" spans="2:6" s="379" customFormat="1" ht="14.25">
      <c r="B1429" s="325"/>
      <c r="C1429" s="382"/>
      <c r="D1429" s="325" t="s">
        <v>1727</v>
      </c>
      <c r="E1429" s="387">
        <f>((finCFOpening*paramLendIntRate))</f>
        <v>30586770.028405271</v>
      </c>
    </row>
    <row r="1430" spans="2:6" s="379" customFormat="1" ht="14.25">
      <c r="B1430" s="325"/>
      <c r="C1430" s="382"/>
      <c r="D1430" s="325" t="s">
        <v>1728</v>
      </c>
      <c r="E1430" s="390">
        <f>finBSOpenLongTermLiab*paramBorrowIntRate</f>
        <v>20350000</v>
      </c>
    </row>
    <row r="1431" spans="2:6" s="379" customFormat="1" ht="1.9" customHeight="1">
      <c r="B1431" s="325"/>
      <c r="C1431" s="382"/>
      <c r="D1431" s="229"/>
      <c r="E1431" s="229"/>
    </row>
    <row r="1432" spans="2:6" s="379" customFormat="1" ht="14.25">
      <c r="B1432" s="325"/>
      <c r="C1432" s="325"/>
      <c r="D1432" s="325" t="s">
        <v>14</v>
      </c>
      <c r="E1432" s="391">
        <f>E1429-E1430</f>
        <v>10236770.028405271</v>
      </c>
      <c r="F1432" s="379" t="s">
        <v>1755</v>
      </c>
    </row>
    <row r="1433" spans="2:6" s="379" customFormat="1" ht="14.25">
      <c r="B1433" s="325"/>
      <c r="C1433" s="325"/>
      <c r="D1433" s="325"/>
      <c r="E1433" s="325"/>
    </row>
    <row r="1434" spans="2:6" s="379" customFormat="1" ht="14.25">
      <c r="B1434" s="325"/>
      <c r="C1434" s="382" t="s">
        <v>1698</v>
      </c>
      <c r="D1434" s="325"/>
      <c r="E1434" s="325"/>
    </row>
    <row r="1435" spans="2:6" s="379" customFormat="1" ht="14.25">
      <c r="B1435" s="325"/>
      <c r="C1435" s="325"/>
      <c r="D1435" s="325" t="s">
        <v>14</v>
      </c>
      <c r="E1435" s="389">
        <f>finPNLEbitTot+finPNLFinNetTot</f>
        <v>1052387190.1994785</v>
      </c>
      <c r="F1435" s="379" t="s">
        <v>1756</v>
      </c>
    </row>
    <row r="1436" spans="2:6" s="379" customFormat="1" ht="14.25">
      <c r="B1436" s="325"/>
      <c r="C1436" s="325"/>
      <c r="D1436" s="325"/>
      <c r="E1436" s="325"/>
    </row>
    <row r="1437" spans="2:6" s="379" customFormat="1" ht="14.25">
      <c r="B1437" s="325"/>
      <c r="C1437" s="382" t="s">
        <v>1699</v>
      </c>
      <c r="D1437" s="325"/>
      <c r="E1437" s="325"/>
    </row>
    <row r="1438" spans="2:6" s="379" customFormat="1" ht="14.25">
      <c r="B1438" s="325"/>
      <c r="C1438" s="325"/>
      <c r="D1438" s="325" t="s">
        <v>1700</v>
      </c>
      <c r="E1438" s="389">
        <f>finPNLEbtTot*paramCorpTaxRate</f>
        <v>315716157.05984354</v>
      </c>
      <c r="F1438" s="379" t="s">
        <v>1757</v>
      </c>
    </row>
    <row r="1439" spans="2:6" s="379" customFormat="1" ht="14.25">
      <c r="B1439" s="325"/>
      <c r="C1439" s="325"/>
      <c r="D1439" s="325"/>
      <c r="E1439" s="325"/>
    </row>
    <row r="1440" spans="2:6" s="379" customFormat="1" ht="14.25">
      <c r="B1440" s="325"/>
      <c r="C1440" s="382" t="s">
        <v>1701</v>
      </c>
      <c r="D1440" s="325"/>
      <c r="E1440" s="325"/>
    </row>
    <row r="1441" spans="1:6" s="379" customFormat="1" ht="14.25">
      <c r="B1441" s="325"/>
      <c r="C1441" s="325"/>
      <c r="D1441" s="325" t="s">
        <v>1701</v>
      </c>
      <c r="E1441" s="389">
        <f>finPNLEbtTot-finPNLCTaxTot</f>
        <v>736671033.13963497</v>
      </c>
      <c r="F1441" s="379" t="s">
        <v>1758</v>
      </c>
    </row>
    <row r="1442" spans="1:6" s="379" customFormat="1" ht="14.25">
      <c r="B1442" s="325"/>
      <c r="C1442" s="325"/>
      <c r="D1442" s="325" t="s">
        <v>1702</v>
      </c>
      <c r="E1442" s="388">
        <f>finPNLNetIncTot/finPNLNetRevTot</f>
        <v>0.16420110595147056</v>
      </c>
    </row>
    <row r="1443" spans="1:6" ht="14.25">
      <c r="A1443" s="209"/>
      <c r="B1443" s="209"/>
      <c r="C1443" s="209"/>
      <c r="D1443" s="209"/>
      <c r="E1443" s="210"/>
      <c r="F1443" s="209"/>
    </row>
    <row r="1444" spans="1:6" s="211" customFormat="1" ht="14.25">
      <c r="B1444" s="221" t="s">
        <v>4329</v>
      </c>
      <c r="C1444" s="221"/>
      <c r="D1444" s="221"/>
      <c r="E1444" s="222"/>
    </row>
    <row r="1446" spans="1:6" ht="12.75" customHeight="1">
      <c r="C1446" s="459" t="s">
        <v>12868</v>
      </c>
    </row>
    <row r="1447" spans="1:6" s="379" customFormat="1" ht="14.25">
      <c r="B1447" s="325"/>
      <c r="C1447" s="325"/>
      <c r="D1447" s="325" t="s">
        <v>1394</v>
      </c>
      <c r="E1447" s="392">
        <f>finPNLCh1Prod1Slot1Turn+finPNLCh1Prod1Slot2Turn+finPNLCh1Prod1Slot3Turn+finPNLCh2Prod1Slot1Turn+finPNLCh2Prod1Slot2Turn+finPNLCh2Prod1Slot3Turn++finPNLCh3Prod1Slot1Turn+finPNLCh3Prod1Slot2Turn+finPNLCh3Prod1Slot3Turn+finPNLCh4Prod1Slot1Turn+finPNLCh4Prod1Slot2Turn+finPNLCh4Prod1Slot3Turn</f>
        <v>1249515507.898</v>
      </c>
      <c r="F1447" s="276" t="s">
        <v>5292</v>
      </c>
    </row>
    <row r="1448" spans="1:6" s="379" customFormat="1" ht="14.25">
      <c r="B1448" s="325"/>
      <c r="C1448" s="325"/>
      <c r="D1448" s="325" t="s">
        <v>1759</v>
      </c>
      <c r="E1448" s="392">
        <f>finPNLCh1Prod1Slot1Excise+finPNLCh1Prod1Slot2Excise+finPNLCh1Prod1Slot3Excise+finPNLCh2Prod1Slot1Excise+finPNLCh2Prod1Slot2Excise+finPNLCh2Prod1Slot3Excise++finPNLCh3Prod1Slot1Excise+finPNLCh3Prod1Slot2Excise+finPNLCh3Prod1Slot3Excise+finPNLCh4Prod1Slot1Excise+finPNLCh4Prod1Slot2Excise+finPNLCh4Prod1Slot3Excise</f>
        <v>412264585.13800001</v>
      </c>
      <c r="F1448" s="276" t="s">
        <v>5293</v>
      </c>
    </row>
    <row r="1449" spans="1:6" s="379" customFormat="1" ht="14.25">
      <c r="B1449" s="325"/>
      <c r="C1449" s="325"/>
      <c r="D1449" s="325" t="s">
        <v>694</v>
      </c>
      <c r="E1449" s="392">
        <f>E1447-E1448</f>
        <v>837250922.75999999</v>
      </c>
      <c r="F1449" s="276" t="s">
        <v>5294</v>
      </c>
    </row>
    <row r="1450" spans="1:6" s="379" customFormat="1" ht="14.25">
      <c r="B1450" s="325"/>
      <c r="C1450" s="325"/>
      <c r="D1450" s="325" t="s">
        <v>1396</v>
      </c>
      <c r="E1450" s="392">
        <f>finPNLCh1Prod1Slot1Discounts+finPNLCh1Prod1Slot2Discounts+finPNLCh1Prod1Slot3Discounts+finPNLCh2Prod1Slot1Discounts+finPNLCh2Prod1Slot2Discounts+finPNLCh2Prod1Slot3Discounts++finPNLCh3Prod1Slot1Discounts+finPNLCh3Prod1Slot2Discounts+finPNLCh3Prod1Slot3Discounts+finPNLCh4Prod1Slot1Discounts+finPNLCh4Prod1Slot2Discounts+finPNLCh4Prod1Slot3Discounts</f>
        <v>129762457.64708826</v>
      </c>
      <c r="F1450" s="276" t="s">
        <v>5295</v>
      </c>
    </row>
    <row r="1451" spans="1:6" s="379" customFormat="1" ht="1.9" customHeight="1">
      <c r="B1451" s="325"/>
      <c r="C1451" s="209"/>
      <c r="D1451" s="229"/>
      <c r="E1451" s="229"/>
      <c r="F1451" s="209"/>
    </row>
    <row r="1452" spans="1:6" s="379" customFormat="1" ht="14.25">
      <c r="B1452" s="325"/>
      <c r="C1452" s="209"/>
      <c r="D1452" s="217" t="s">
        <v>1760</v>
      </c>
      <c r="E1452" s="233">
        <f>E1449-E1450</f>
        <v>707488465.1129117</v>
      </c>
      <c r="F1452" s="276" t="s">
        <v>5296</v>
      </c>
    </row>
    <row r="1453" spans="1:6" s="379" customFormat="1" ht="14.25">
      <c r="B1453" s="325"/>
      <c r="C1453" s="325"/>
      <c r="D1453" s="325"/>
      <c r="E1453" s="325"/>
      <c r="F1453" s="325"/>
    </row>
    <row r="1454" spans="1:6" s="379" customFormat="1" ht="14.25">
      <c r="B1454" s="325"/>
      <c r="C1454" s="217" t="s">
        <v>404</v>
      </c>
      <c r="D1454" s="209"/>
      <c r="E1454" s="380"/>
    </row>
    <row r="1455" spans="1:6" s="379" customFormat="1" ht="14.25">
      <c r="B1455" s="325"/>
      <c r="C1455" s="209"/>
      <c r="D1455" s="209" t="s">
        <v>400</v>
      </c>
      <c r="E1455" s="392">
        <f>finPNLCh1Prod1Slot1MatExp+finPNLCh1Prod1Slot2MatExp+finPNLCh1Prod1Slot3MatExp+finPNLCh2Prod1Slot1MatExp+finPNLCh2Prod1Slot2MatExp+finPNLCh2Prod1Slot3MatExp++finPNLCh3Prod1Slot1MatExp+finPNLCh3Prod1Slot2MatExp+finPNLCh3Prod1Slot3MatExp+finPNLCh4Prod1Slot1MatExp+finPNLCh4Prod1Slot2MatExp+finPNLCh4Prod1Slot3MatExp</f>
        <v>248476290.73340681</v>
      </c>
      <c r="F1455" s="379" t="s">
        <v>5297</v>
      </c>
    </row>
    <row r="1456" spans="1:6" s="379" customFormat="1" ht="14.25">
      <c r="B1456" s="325"/>
      <c r="C1456" s="209"/>
      <c r="D1456" s="209" t="s">
        <v>399</v>
      </c>
      <c r="E1456" s="392">
        <f>finPNLCh1Prod1Slot1LabourExp+finPNLCh1Prod1Slot2LabourExp+finPNLCh1Prod1Slot3LabourExp+finPNLCh2Prod1Slot1LabourExp+finPNLCh2Prod1Slot2LabourExp+finPNLCh2Prod1Slot3LabourExp++finPNLCh3Prod1Slot1LabourExp+finPNLCh3Prod1Slot2LabourExp+finPNLCh3Prod1Slot3LabourExp+finPNLCh4Prod1Slot1LabourExp+finPNLCh4Prod1Slot2LabourExp+finPNLCh4Prod1Slot3LabourExp</f>
        <v>36540630.990206882</v>
      </c>
      <c r="F1456" s="379" t="s">
        <v>5298</v>
      </c>
    </row>
    <row r="1457" spans="2:6" s="379" customFormat="1" ht="14.25">
      <c r="B1457" s="325"/>
      <c r="C1457" s="209"/>
      <c r="D1457" s="209" t="s">
        <v>513</v>
      </c>
      <c r="E1457" s="392">
        <f>finPNLCh1Prod1Slot1MachExp+finPNLCh1Prod1Slot2MachExp+finPNLCh1Prod1Slot3MachExp+finPNLCh2Prod1Slot1MachExp+finPNLCh2Prod1Slot2MachExp+finPNLCh2Prod1Slot3MachExp++finPNLCh3Prod1Slot1MachExp+finPNLCh3Prod1Slot2MachExp+finPNLCh3Prod1Slot3MachExp+finPNLCh4Prod1Slot1MachExp+finPNLCh4Prod1Slot2MachExp+finPNLCh4Prod1Slot3MachExp</f>
        <v>52117190.224182725</v>
      </c>
      <c r="F1457" s="379" t="s">
        <v>5299</v>
      </c>
    </row>
    <row r="1458" spans="2:6" s="379" customFormat="1" ht="14.25">
      <c r="B1458" s="325"/>
      <c r="C1458" s="209"/>
      <c r="D1458" s="209" t="s">
        <v>398</v>
      </c>
      <c r="E1458" s="392">
        <f>finPNLCh1Prod1Slot1DeprExp+finPNLCh1Prod1Slot2DeprExp+finPNLCh1Prod1Slot3DeprExp+finPNLCh2Prod1Slot1DeprExp+finPNLCh2Prod1Slot2DeprExp+finPNLCh2Prod1Slot3DeprExp++finPNLCh3Prod1Slot1DeprExp+finPNLCh3Prod1Slot2DeprExp+finPNLCh3Prod1Slot3DeprExp+finPNLCh4Prod1Slot1DeprExp+finPNLCh4Prod1Slot2DeprExp+finPNLCh4Prod1Slot3DeprExp</f>
        <v>23195306.084980622</v>
      </c>
      <c r="F1458" s="379" t="s">
        <v>5300</v>
      </c>
    </row>
    <row r="1459" spans="2:6" s="379" customFormat="1" ht="1.9" customHeight="1">
      <c r="B1459" s="325"/>
      <c r="C1459" s="209"/>
      <c r="D1459" s="229"/>
      <c r="E1459" s="229"/>
    </row>
    <row r="1460" spans="2:6" s="379" customFormat="1" ht="14.25">
      <c r="B1460" s="325"/>
      <c r="C1460" s="209"/>
      <c r="D1460" s="209" t="s">
        <v>14</v>
      </c>
      <c r="E1460" s="233">
        <f>SUM(E1455:E1459)</f>
        <v>360329418.03277701</v>
      </c>
      <c r="F1460" s="379" t="s">
        <v>5301</v>
      </c>
    </row>
    <row r="1461" spans="2:6" s="379" customFormat="1" ht="14.25">
      <c r="B1461" s="325"/>
      <c r="C1461" s="209"/>
      <c r="D1461" s="209"/>
      <c r="E1461" s="380"/>
    </row>
    <row r="1462" spans="2:6" s="379" customFormat="1" ht="14.25">
      <c r="B1462" s="325"/>
      <c r="C1462" s="217" t="s">
        <v>160</v>
      </c>
      <c r="D1462" s="209"/>
      <c r="E1462" s="380"/>
    </row>
    <row r="1463" spans="2:6" s="379" customFormat="1" ht="14.25">
      <c r="B1463" s="325"/>
      <c r="C1463" s="209"/>
      <c r="D1463" s="209" t="s">
        <v>160</v>
      </c>
      <c r="E1463" s="233">
        <f>finPNLProd1NetRev-finPNLProd1CostRev</f>
        <v>347159047.08013469</v>
      </c>
      <c r="F1463" s="379" t="s">
        <v>5302</v>
      </c>
    </row>
    <row r="1464" spans="2:6" s="379" customFormat="1" ht="14.25">
      <c r="B1464" s="325"/>
      <c r="C1464" s="217"/>
      <c r="D1464" s="234" t="s">
        <v>162</v>
      </c>
      <c r="E1464" s="337">
        <f>IF(finPNLProd1NetRev=0,0,finPNLProd1GroProfit/finPNLProd1NetRev)</f>
        <v>0.49069216559556178</v>
      </c>
      <c r="F1464" s="379" t="s">
        <v>5307</v>
      </c>
    </row>
    <row r="1465" spans="2:6" s="379" customFormat="1" ht="14.25">
      <c r="B1465" s="325"/>
      <c r="C1465" s="217"/>
      <c r="D1465" s="234"/>
      <c r="E1465" s="380"/>
    </row>
    <row r="1466" spans="2:6" s="379" customFormat="1" ht="14.25">
      <c r="B1466" s="325"/>
      <c r="C1466" s="217" t="s">
        <v>519</v>
      </c>
      <c r="D1466" s="234"/>
      <c r="E1466" s="380"/>
    </row>
    <row r="1467" spans="2:6" s="379" customFormat="1" ht="14.25">
      <c r="B1467" s="325"/>
      <c r="C1467" s="217"/>
      <c r="D1467" s="209" t="s">
        <v>519</v>
      </c>
      <c r="E1467" s="392">
        <f>finPNLCh1Prod1Slot1LogExp+finPNLCh1Prod1Slot2LogExp+finPNLCh1Prod1Slot3LogExp+finPNLCh2Prod1Slot1LogExp+finPNLCh2Prod1Slot2LogExp+finPNLCh2Prod1Slot3LogExp++finPNLCh3Prod1Slot1LogExp+finPNLCh3Prod1Slot2LogExp+finPNLCh3Prod1Slot3LogExp+finPNLCh4Prod1Slot1LogExp+finPNLCh4Prod1Slot2LogExp+finPNLCh4Prod1Slot3LogExp</f>
        <v>42220175.988005057</v>
      </c>
      <c r="F1467" s="379" t="s">
        <v>5303</v>
      </c>
    </row>
    <row r="1468" spans="2:6" s="379" customFormat="1" ht="14.25">
      <c r="B1468" s="325"/>
      <c r="C1468" s="217"/>
      <c r="D1468" s="209" t="s">
        <v>5305</v>
      </c>
      <c r="E1468" s="537">
        <f>IF(finPNLProd1NetRev=0,0,finPNLProd1LogExp/finPNLProd1NetRev)</f>
        <v>5.9676133350480734E-2</v>
      </c>
      <c r="F1468" s="379" t="s">
        <v>5306</v>
      </c>
    </row>
    <row r="1469" spans="2:6" s="379" customFormat="1" ht="14.25">
      <c r="B1469" s="325"/>
      <c r="C1469" s="217"/>
      <c r="D1469" s="234"/>
      <c r="E1469" s="380"/>
    </row>
    <row r="1470" spans="2:6" s="379" customFormat="1" ht="14.25">
      <c r="B1470" s="325"/>
      <c r="C1470" s="217" t="s">
        <v>520</v>
      </c>
      <c r="D1470" s="209"/>
      <c r="E1470" s="381"/>
    </row>
    <row r="1471" spans="2:6" s="379" customFormat="1" ht="14.25">
      <c r="B1471" s="325"/>
      <c r="C1471" s="209"/>
      <c r="D1471" s="209" t="s">
        <v>521</v>
      </c>
      <c r="E1471" s="233">
        <f>finPNLProd1GroProfit-finPNLProd1LogExp</f>
        <v>304938871.09212965</v>
      </c>
      <c r="F1471" s="379" t="s">
        <v>4334</v>
      </c>
    </row>
    <row r="1472" spans="2:6" s="379" customFormat="1" ht="14.25">
      <c r="B1472" s="325"/>
      <c r="C1472" s="217"/>
      <c r="D1472" s="234" t="s">
        <v>522</v>
      </c>
      <c r="E1472" s="337">
        <f>IF(finPNLProd1NetRev=0,0,finPNLProd1GPaL/finPNLProd1NetRev)</f>
        <v>0.43101603224508106</v>
      </c>
      <c r="F1472" s="379" t="s">
        <v>5304</v>
      </c>
    </row>
    <row r="1473" spans="2:6" s="379" customFormat="1" ht="14.25">
      <c r="B1473" s="325"/>
      <c r="C1473" s="217"/>
      <c r="D1473" s="234"/>
      <c r="E1473" s="234"/>
      <c r="F1473" s="234"/>
    </row>
    <row r="1474" spans="2:6" s="379" customFormat="1" ht="14.25">
      <c r="B1474" s="325"/>
      <c r="C1474" s="217"/>
      <c r="D1474" s="234"/>
      <c r="E1474" s="234"/>
      <c r="F1474" s="234"/>
    </row>
    <row r="1475" spans="2:6" ht="12.75" customHeight="1">
      <c r="D1475" s="325" t="s">
        <v>1703</v>
      </c>
      <c r="E1475" s="390">
        <f>(finPNLTMktExpTot)*(finPNLProd1NetRev/finPNLNetRevTot)</f>
        <v>6851909.6716923174</v>
      </c>
      <c r="F1475" s="458" t="s">
        <v>5417</v>
      </c>
    </row>
    <row r="1476" spans="2:6" ht="12.6" customHeight="1">
      <c r="D1476" s="325" t="s">
        <v>1704</v>
      </c>
      <c r="E1476" s="390">
        <f>(finPNLBMktExpTot)*(finPNLProd1NetRev/finPNLNetRevTot)</f>
        <v>33030431.358274106</v>
      </c>
      <c r="F1476" s="458" t="s">
        <v>5418</v>
      </c>
    </row>
    <row r="1477" spans="2:6" ht="1.1499999999999999" customHeight="1">
      <c r="D1477" s="229"/>
      <c r="E1477" s="229"/>
    </row>
    <row r="1478" spans="2:6" ht="12" customHeight="1">
      <c r="D1478" s="382" t="s">
        <v>5290</v>
      </c>
      <c r="E1478" s="390">
        <f>SUM(E1475:E1476)</f>
        <v>39882341.029966421</v>
      </c>
      <c r="F1478" s="458" t="s">
        <v>5627</v>
      </c>
    </row>
    <row r="1479" spans="2:6" ht="12" customHeight="1">
      <c r="D1479" s="382"/>
      <c r="E1479" s="382"/>
      <c r="F1479" s="382"/>
    </row>
    <row r="1480" spans="2:6" ht="12" customHeight="1">
      <c r="D1480" s="382" t="s">
        <v>1393</v>
      </c>
      <c r="E1480" s="390">
        <f>finPNLProd1GPaL-finPNLProd1OverheadTot</f>
        <v>265056530.06216323</v>
      </c>
      <c r="F1480" s="458" t="s">
        <v>4330</v>
      </c>
    </row>
    <row r="1481" spans="2:6" ht="12" customHeight="1">
      <c r="D1481" s="325" t="s">
        <v>2973</v>
      </c>
      <c r="E1481" s="513">
        <f>IF(finPNLProd1NetRev=0,0,finPNLProd1GBC/finPNLProd1NetRev)</f>
        <v>0.37464431313358798</v>
      </c>
      <c r="F1481" s="458" t="s">
        <v>4345</v>
      </c>
    </row>
    <row r="1483" spans="2:6" ht="12.75" customHeight="1">
      <c r="C1483" s="459" t="s">
        <v>238</v>
      </c>
    </row>
    <row r="1484" spans="2:6" s="379" customFormat="1" ht="14.25">
      <c r="B1484" s="325"/>
      <c r="C1484" s="325"/>
      <c r="D1484" s="325" t="s">
        <v>1394</v>
      </c>
      <c r="E1484" s="392">
        <f>finPNLCh1Prod2Slot1Turn+finPNLCh1Prod2Slot2Turn+finPNLCh1Prod2Slot3Turn+finPNLCh2Prod2Slot1Turn+finPNLCh2Prod2Slot2Turn+finPNLCh2Prod2Slot3Turn++finPNLCh3Prod2Slot1Turn+finPNLCh3Prod2Slot2Turn+finPNLCh3Prod2Slot3Turn+finPNLCh4Prod2Slot1Turn+finPNLCh4Prod2Slot2Turn+finPNLCh4Prod2Slot3Turn</f>
        <v>3299640576.5199995</v>
      </c>
      <c r="F1484" s="276" t="s">
        <v>5338</v>
      </c>
    </row>
    <row r="1485" spans="2:6" s="379" customFormat="1" ht="14.25">
      <c r="B1485" s="325"/>
      <c r="C1485" s="325"/>
      <c r="D1485" s="325" t="s">
        <v>1759</v>
      </c>
      <c r="E1485" s="392">
        <f>finPNLCh1Prod2Slot1Excise+finPNLCh1Prod2Slot2Excise+finPNLCh1Prod2Slot3Excise+finPNLCh2Prod2Slot1Excise+finPNLCh2Prod2Slot2Excise+finPNLCh2Prod2Slot3Excise++finPNLCh3Prod2Slot1Excise+finPNLCh3Prod2Slot2Excise+finPNLCh3Prod2Slot3Excise+finPNLCh4Prod2Slot1Excise+finPNLCh4Prod2Slot2Excise+finPNLCh4Prod2Slot3Excise</f>
        <v>1045781249.9999999</v>
      </c>
      <c r="F1485" s="276" t="s">
        <v>5339</v>
      </c>
    </row>
    <row r="1486" spans="2:6" s="379" customFormat="1" ht="14.25">
      <c r="B1486" s="325"/>
      <c r="C1486" s="325"/>
      <c r="D1486" s="325" t="s">
        <v>694</v>
      </c>
      <c r="E1486" s="392">
        <f>E1484-E1485</f>
        <v>2253859326.5199995</v>
      </c>
      <c r="F1486" s="276" t="s">
        <v>5340</v>
      </c>
    </row>
    <row r="1487" spans="2:6" s="379" customFormat="1" ht="14.25">
      <c r="B1487" s="325"/>
      <c r="C1487" s="325"/>
      <c r="D1487" s="325" t="s">
        <v>1396</v>
      </c>
      <c r="E1487" s="392">
        <f>finPNLCh1Prod2Slot1Discounts+finPNLCh1Prod2Slot2Discounts+finPNLCh1Prod2Slot3Discounts+finPNLCh2Prod2Slot1Discounts+finPNLCh2Prod2Slot2Discounts+finPNLCh2Prod2Slot3Discounts++finPNLCh3Prod2Slot1Discounts+finPNLCh3Prod2Slot2Discounts+finPNLCh3Prod2Slot3Discounts+finPNLCh4Prod2Slot1Discounts+finPNLCh4Prod2Slot2Discounts+finPNLCh4Prod2Slot3Discounts</f>
        <v>232154048.12616625</v>
      </c>
      <c r="F1487" s="276" t="s">
        <v>5341</v>
      </c>
    </row>
    <row r="1488" spans="2:6" s="379" customFormat="1" ht="1.9" customHeight="1">
      <c r="B1488" s="325"/>
      <c r="C1488" s="209"/>
      <c r="D1488" s="229"/>
      <c r="E1488" s="229"/>
      <c r="F1488" s="209"/>
    </row>
    <row r="1489" spans="2:6" s="379" customFormat="1" ht="14.25">
      <c r="B1489" s="325"/>
      <c r="C1489" s="209"/>
      <c r="D1489" s="217" t="s">
        <v>1760</v>
      </c>
      <c r="E1489" s="233">
        <f>E1486-E1487</f>
        <v>2021705278.3938332</v>
      </c>
      <c r="F1489" s="276" t="s">
        <v>5342</v>
      </c>
    </row>
    <row r="1490" spans="2:6" s="379" customFormat="1" ht="14.25">
      <c r="B1490" s="325"/>
      <c r="C1490" s="325"/>
      <c r="D1490" s="325"/>
      <c r="E1490" s="325"/>
      <c r="F1490" s="325"/>
    </row>
    <row r="1491" spans="2:6" s="379" customFormat="1" ht="14.25">
      <c r="B1491" s="325"/>
      <c r="C1491" s="217" t="s">
        <v>404</v>
      </c>
      <c r="D1491" s="209"/>
      <c r="E1491" s="380"/>
    </row>
    <row r="1492" spans="2:6" s="379" customFormat="1" ht="14.25">
      <c r="B1492" s="325"/>
      <c r="C1492" s="209"/>
      <c r="D1492" s="209" t="s">
        <v>400</v>
      </c>
      <c r="E1492" s="392">
        <f>finPNLCh1Prod2Slot1MatExp+finPNLCh1Prod2Slot2MatExp+finPNLCh1Prod2Slot3MatExp+finPNLCh2Prod2Slot1MatExp+finPNLCh2Prod2Slot2MatExp+finPNLCh2Prod2Slot3MatExp++finPNLCh3Prod2Slot1MatExp+finPNLCh3Prod2Slot2MatExp+finPNLCh3Prod2Slot3MatExp+finPNLCh4Prod2Slot1MatExp+finPNLCh4Prod2Slot2MatExp+finPNLCh4Prod2Slot3MatExp</f>
        <v>668473781.12646532</v>
      </c>
      <c r="F1492" s="379" t="s">
        <v>5343</v>
      </c>
    </row>
    <row r="1493" spans="2:6" s="379" customFormat="1" ht="14.25">
      <c r="B1493" s="325"/>
      <c r="C1493" s="209"/>
      <c r="D1493" s="209" t="s">
        <v>399</v>
      </c>
      <c r="E1493" s="392">
        <f>finPNLCh1Prod2Slot1LabourExp+finPNLCh1Prod2Slot2LabourExp+finPNLCh1Prod2Slot3LabourExp+finPNLCh2Prod2Slot1LabourExp+finPNLCh2Prod2Slot2LabourExp+finPNLCh2Prod2Slot3LabourExp++finPNLCh3Prod2Slot1LabourExp+finPNLCh3Prod2Slot2LabourExp+finPNLCh3Prod2Slot3LabourExp+finPNLCh4Prod2Slot1LabourExp+finPNLCh4Prod2Slot2LabourExp+finPNLCh4Prod2Slot3LabourExp</f>
        <v>98304967.812715486</v>
      </c>
      <c r="F1493" s="379" t="s">
        <v>5344</v>
      </c>
    </row>
    <row r="1494" spans="2:6" s="379" customFormat="1" ht="14.25">
      <c r="B1494" s="325"/>
      <c r="C1494" s="209"/>
      <c r="D1494" s="209" t="s">
        <v>513</v>
      </c>
      <c r="E1494" s="392">
        <f>finPNLCh1Prod2Slot1MachExp+finPNLCh1Prod2Slot2MachExp+finPNLCh1Prod2Slot3MachExp+finPNLCh2Prod2Slot1MachExp+finPNLCh2Prod2Slot2MachExp+finPNLCh2Prod2Slot3MachExp++finPNLCh3Prod2Slot1MachExp+finPNLCh3Prod2Slot2MachExp+finPNLCh3Prod2Slot3MachExp+finPNLCh4Prod2Slot1MachExp+finPNLCh4Prod2Slot2MachExp+finPNLCh4Prod2Slot3MachExp</f>
        <v>121689753.55079761</v>
      </c>
      <c r="F1494" s="379" t="s">
        <v>5345</v>
      </c>
    </row>
    <row r="1495" spans="2:6" s="379" customFormat="1" ht="14.25">
      <c r="B1495" s="325"/>
      <c r="C1495" s="209"/>
      <c r="D1495" s="209" t="s">
        <v>398</v>
      </c>
      <c r="E1495" s="392">
        <f>finPNLCh1Prod2Slot1DeprExp+finPNLCh1Prod2Slot2DeprExp+finPNLCh1Prod2Slot3DeprExp+finPNLCh2Prod2Slot1DeprExp+finPNLCh2Prod2Slot2DeprExp+finPNLCh2Prod2Slot3DeprExp++finPNLCh3Prod2Slot1DeprExp+finPNLCh3Prod2Slot2DeprExp+finPNLCh3Prod2Slot3DeprExp+finPNLCh4Prod2Slot1DeprExp+finPNLCh4Prod2Slot2DeprExp+finPNLCh4Prod2Slot3DeprExp</f>
        <v>54159310.371012457</v>
      </c>
      <c r="F1495" s="379" t="s">
        <v>5346</v>
      </c>
    </row>
    <row r="1496" spans="2:6" s="379" customFormat="1" ht="1.9" customHeight="1">
      <c r="B1496" s="325"/>
      <c r="C1496" s="209"/>
      <c r="D1496" s="229"/>
      <c r="E1496" s="229"/>
    </row>
    <row r="1497" spans="2:6" s="379" customFormat="1" ht="14.25">
      <c r="B1497" s="325"/>
      <c r="C1497" s="209"/>
      <c r="D1497" s="209" t="s">
        <v>14</v>
      </c>
      <c r="E1497" s="233">
        <f>SUM(E1492:E1496)</f>
        <v>942627812.86099088</v>
      </c>
      <c r="F1497" s="379" t="s">
        <v>5347</v>
      </c>
    </row>
    <row r="1498" spans="2:6" s="379" customFormat="1" ht="14.25">
      <c r="B1498" s="325"/>
      <c r="C1498" s="209"/>
      <c r="D1498" s="209"/>
      <c r="E1498" s="380"/>
    </row>
    <row r="1499" spans="2:6" s="379" customFormat="1" ht="14.25">
      <c r="B1499" s="325"/>
      <c r="C1499" s="217" t="s">
        <v>160</v>
      </c>
      <c r="D1499" s="209"/>
      <c r="E1499" s="380"/>
    </row>
    <row r="1500" spans="2:6" s="379" customFormat="1" ht="14.25">
      <c r="B1500" s="325"/>
      <c r="C1500" s="209"/>
      <c r="D1500" s="209" t="s">
        <v>160</v>
      </c>
      <c r="E1500" s="233">
        <f>finPNLProd2NetRev-finPNLProd2CostRev</f>
        <v>1079077465.5328422</v>
      </c>
      <c r="F1500" s="379" t="s">
        <v>5348</v>
      </c>
    </row>
    <row r="1501" spans="2:6" s="379" customFormat="1" ht="14.25">
      <c r="B1501" s="325"/>
      <c r="C1501" s="217"/>
      <c r="D1501" s="234" t="s">
        <v>162</v>
      </c>
      <c r="E1501" s="337">
        <f>IF(finPNLProd2NetRev=0,0,finPNLProd2GroProfit/finPNLProd2NetRev)</f>
        <v>0.53374617807306091</v>
      </c>
      <c r="F1501" s="379" t="s">
        <v>5349</v>
      </c>
    </row>
    <row r="1502" spans="2:6" s="379" customFormat="1" ht="14.25">
      <c r="B1502" s="325"/>
      <c r="C1502" s="217"/>
      <c r="D1502" s="234"/>
      <c r="E1502" s="380"/>
    </row>
    <row r="1503" spans="2:6" s="379" customFormat="1" ht="14.25">
      <c r="B1503" s="325"/>
      <c r="C1503" s="217" t="s">
        <v>519</v>
      </c>
      <c r="D1503" s="234"/>
      <c r="E1503" s="380"/>
    </row>
    <row r="1504" spans="2:6" s="379" customFormat="1" ht="14.25">
      <c r="B1504" s="325"/>
      <c r="C1504" s="217"/>
      <c r="D1504" s="209" t="s">
        <v>519</v>
      </c>
      <c r="E1504" s="392">
        <f>finPNLCh1Prod2Slot1LogExp+finPNLCh1Prod2Slot2LogExp+finPNLCh1Prod2Slot3LogExp+finPNLCh2Prod2Slot1LogExp+finPNLCh2Prod2Slot2LogExp+finPNLCh2Prod2Slot3LogExp++finPNLCh3Prod2Slot1LogExp+finPNLCh3Prod2Slot2LogExp+finPNLCh3Prod2Slot3LogExp+finPNLCh4Prod2Slot1LogExp+finPNLCh4Prod2Slot2LogExp+finPNLCh4Prod2Slot3LogExp</f>
        <v>113584602.37482947</v>
      </c>
      <c r="F1504" s="379" t="s">
        <v>5350</v>
      </c>
    </row>
    <row r="1505" spans="2:6" s="379" customFormat="1" ht="14.25">
      <c r="B1505" s="325"/>
      <c r="C1505" s="217"/>
      <c r="D1505" s="209" t="s">
        <v>5305</v>
      </c>
      <c r="E1505" s="537">
        <f>IF(finPNLProd2NetRev=0,0,finPNLProd2LogExp/finPNLProd2NetRev)</f>
        <v>5.6182572004297313E-2</v>
      </c>
      <c r="F1505" s="379" t="s">
        <v>5351</v>
      </c>
    </row>
    <row r="1506" spans="2:6" s="379" customFormat="1" ht="14.25">
      <c r="B1506" s="325"/>
      <c r="C1506" s="217"/>
      <c r="D1506" s="234"/>
      <c r="E1506" s="380"/>
    </row>
    <row r="1507" spans="2:6" s="379" customFormat="1" ht="14.25">
      <c r="B1507" s="325"/>
      <c r="C1507" s="217" t="s">
        <v>520</v>
      </c>
      <c r="D1507" s="209"/>
      <c r="E1507" s="381"/>
    </row>
    <row r="1508" spans="2:6" s="379" customFormat="1" ht="14.25">
      <c r="B1508" s="325"/>
      <c r="C1508" s="209"/>
      <c r="D1508" s="209" t="s">
        <v>521</v>
      </c>
      <c r="E1508" s="233">
        <f>finPNLProd2GroProfit-finPNLProd2LogExp</f>
        <v>965492863.15801263</v>
      </c>
      <c r="F1508" s="379" t="s">
        <v>4337</v>
      </c>
    </row>
    <row r="1509" spans="2:6" s="379" customFormat="1" ht="14.25">
      <c r="B1509" s="325"/>
      <c r="C1509" s="217"/>
      <c r="D1509" s="234" t="s">
        <v>522</v>
      </c>
      <c r="E1509" s="337">
        <f>IF(finPNLProd2NetRev=0,0,finPNLProd2GPaL/finPNLProd2NetRev)</f>
        <v>0.47756360606876364</v>
      </c>
      <c r="F1509" s="379" t="s">
        <v>5352</v>
      </c>
    </row>
    <row r="1510" spans="2:6" s="379" customFormat="1" ht="14.25">
      <c r="B1510" s="325"/>
      <c r="C1510" s="217"/>
      <c r="D1510" s="234"/>
      <c r="E1510" s="234"/>
      <c r="F1510" s="234"/>
    </row>
    <row r="1511" spans="2:6" s="379" customFormat="1" ht="14.25">
      <c r="B1511" s="325"/>
      <c r="C1511" s="217"/>
      <c r="D1511" s="234"/>
      <c r="E1511" s="234"/>
      <c r="F1511" s="234"/>
    </row>
    <row r="1512" spans="2:6" ht="12.75" customHeight="1">
      <c r="D1512" s="325" t="s">
        <v>1703</v>
      </c>
      <c r="E1512" s="682">
        <f>(finPNLTMktExpTot)*(finPNLProd2NetRev/finPNLNetRevTot)</f>
        <v>19579883.819204487</v>
      </c>
      <c r="F1512" s="458" t="s">
        <v>5419</v>
      </c>
    </row>
    <row r="1513" spans="2:6" ht="12.6" customHeight="1">
      <c r="D1513" s="325" t="s">
        <v>1704</v>
      </c>
      <c r="E1513" s="682">
        <f>(finPNLBMktExpTot)*(finPNLProd2NetRev/finPNLNetRevTot)</f>
        <v>94387118.260635599</v>
      </c>
      <c r="F1513" s="458" t="s">
        <v>5420</v>
      </c>
    </row>
    <row r="1514" spans="2:6" ht="1.1499999999999999" customHeight="1">
      <c r="D1514" s="229"/>
      <c r="E1514" s="229"/>
    </row>
    <row r="1515" spans="2:6" ht="12" customHeight="1">
      <c r="D1515" s="382" t="s">
        <v>5290</v>
      </c>
      <c r="E1515" s="390">
        <f>SUM(E1512:E1513)</f>
        <v>113967002.07984009</v>
      </c>
      <c r="F1515" s="458" t="s">
        <v>5626</v>
      </c>
    </row>
    <row r="1516" spans="2:6" ht="12" customHeight="1">
      <c r="D1516" s="382"/>
      <c r="E1516" s="382"/>
      <c r="F1516" s="382"/>
    </row>
    <row r="1517" spans="2:6" ht="12" customHeight="1">
      <c r="D1517" s="382" t="s">
        <v>1393</v>
      </c>
      <c r="E1517" s="390">
        <f>finPNLProd2GPaL-finPNLProd2OverheadTot</f>
        <v>851525861.07817256</v>
      </c>
      <c r="F1517" s="458" t="s">
        <v>4333</v>
      </c>
    </row>
    <row r="1518" spans="2:6" ht="12" customHeight="1">
      <c r="D1518" s="325" t="s">
        <v>2973</v>
      </c>
      <c r="E1518" s="513">
        <f>IF(finPNLProd2NetRev=0,0,finPNLProd2GBC/finPNLProd2NetRev)</f>
        <v>0.42119188695727056</v>
      </c>
      <c r="F1518" s="458" t="s">
        <v>4348</v>
      </c>
    </row>
    <row r="1520" spans="2:6" ht="12.75" customHeight="1">
      <c r="C1520" s="459" t="s">
        <v>239</v>
      </c>
    </row>
    <row r="1521" spans="2:6" s="379" customFormat="1" ht="14.25">
      <c r="B1521" s="325"/>
      <c r="C1521" s="325"/>
      <c r="D1521" s="325" t="s">
        <v>1394</v>
      </c>
      <c r="E1521" s="392">
        <f>finPNLCh1Prod3Slot1Turn+finPNLCh1Prod3Slot2Turn+finPNLCh1Prod3Slot3Turn+finPNLCh2Prod3Slot1Turn+finPNLCh2Prod3Slot2Turn+finPNLCh2Prod3Slot3Turn++finPNLCh3Prod3Slot1Turn+finPNLCh3Prod3Slot2Turn+finPNLCh3Prod3Slot3Turn+finPNLCh4Prod3Slot1Turn+finPNLCh4Prod3Slot2Turn+finPNLCh4Prod3Slot3Turn</f>
        <v>2329571645.9919996</v>
      </c>
      <c r="F1521" s="276" t="s">
        <v>5323</v>
      </c>
    </row>
    <row r="1522" spans="2:6" s="379" customFormat="1" ht="14.25">
      <c r="B1522" s="325"/>
      <c r="C1522" s="325"/>
      <c r="D1522" s="325" t="s">
        <v>1759</v>
      </c>
      <c r="E1522" s="392">
        <f>finPNLCh1Prod3Slot1Excise+finPNLCh1Prod3Slot2Excise+finPNLCh1Prod3Slot3Excise+finPNLCh2Prod3Slot1Excise+finPNLCh2Prod3Slot2Excise+finPNLCh2Prod3Slot3Excise++finPNLCh3Prod3Slot1Excise+finPNLCh3Prod3Slot2Excise+finPNLCh3Prod3Slot3Excise+finPNLCh4Prod3Slot1Excise+finPNLCh4Prod3Slot2Excise+finPNLCh4Prod3Slot3Excise</f>
        <v>786599068.75</v>
      </c>
      <c r="F1522" s="276" t="s">
        <v>5324</v>
      </c>
    </row>
    <row r="1523" spans="2:6" s="379" customFormat="1" ht="14.25">
      <c r="B1523" s="325"/>
      <c r="C1523" s="325"/>
      <c r="D1523" s="325" t="s">
        <v>694</v>
      </c>
      <c r="E1523" s="392">
        <f>E1521-E1522</f>
        <v>1542972577.2419996</v>
      </c>
      <c r="F1523" s="276" t="s">
        <v>5325</v>
      </c>
    </row>
    <row r="1524" spans="2:6" s="379" customFormat="1" ht="14.25">
      <c r="B1524" s="325"/>
      <c r="C1524" s="325"/>
      <c r="D1524" s="325" t="s">
        <v>1396</v>
      </c>
      <c r="E1524" s="392">
        <f>finPNLCh1Prod3Slot1Discounts+finPNLCh1Prod3Slot2Discounts+finPNLCh1Prod3Slot3Discounts+finPNLCh2Prod3Slot1Discounts+finPNLCh2Prod3Slot2Discounts+finPNLCh2Prod3Slot3Discounts++finPNLCh3Prod3Slot1Discounts+finPNLCh3Prod3Slot2Discounts+finPNLCh3Prod3Slot3Discounts+finPNLCh4Prod3Slot1Discounts+finPNLCh4Prod3Slot2Discounts+finPNLCh4Prod3Slot3Discounts</f>
        <v>123705232.45426477</v>
      </c>
      <c r="F1524" s="276" t="s">
        <v>5326</v>
      </c>
    </row>
    <row r="1525" spans="2:6" s="379" customFormat="1" ht="1.9" customHeight="1">
      <c r="B1525" s="325"/>
      <c r="C1525" s="209"/>
      <c r="D1525" s="229"/>
      <c r="E1525" s="229"/>
      <c r="F1525" s="209"/>
    </row>
    <row r="1526" spans="2:6" s="379" customFormat="1" ht="14.25">
      <c r="B1526" s="325"/>
      <c r="C1526" s="209"/>
      <c r="D1526" s="217" t="s">
        <v>1760</v>
      </c>
      <c r="E1526" s="233">
        <f>E1523-E1524</f>
        <v>1419267344.7877347</v>
      </c>
      <c r="F1526" s="276" t="s">
        <v>5327</v>
      </c>
    </row>
    <row r="1527" spans="2:6" s="379" customFormat="1" ht="14.25">
      <c r="B1527" s="325"/>
      <c r="C1527" s="325"/>
      <c r="D1527" s="325"/>
      <c r="E1527" s="325"/>
      <c r="F1527" s="325"/>
    </row>
    <row r="1528" spans="2:6" s="379" customFormat="1" ht="14.25">
      <c r="B1528" s="325"/>
      <c r="C1528" s="217" t="s">
        <v>404</v>
      </c>
      <c r="D1528" s="209"/>
      <c r="E1528" s="380"/>
    </row>
    <row r="1529" spans="2:6" s="379" customFormat="1" ht="14.25">
      <c r="B1529" s="325"/>
      <c r="C1529" s="209"/>
      <c r="D1529" s="209" t="s">
        <v>400</v>
      </c>
      <c r="E1529" s="392">
        <f>finPNLCh1Prod3Slot1MatExp+finPNLCh1Prod3Slot2MatExp+finPNLCh1Prod3Slot3MatExp+finPNLCh2Prod3Slot1MatExp+finPNLCh2Prod3Slot2MatExp+finPNLCh2Prod3Slot3MatExp++finPNLCh3Prod3Slot1MatExp+finPNLCh3Prod3Slot2MatExp+finPNLCh3Prod3Slot3MatExp+finPNLCh4Prod3Slot1MatExp+finPNLCh4Prod3Slot2MatExp+finPNLCh4Prod3Slot3MatExp</f>
        <v>521440561.07334572</v>
      </c>
      <c r="F1529" s="379" t="s">
        <v>5328</v>
      </c>
    </row>
    <row r="1530" spans="2:6" s="379" customFormat="1" ht="14.25">
      <c r="B1530" s="325"/>
      <c r="C1530" s="209"/>
      <c r="D1530" s="209" t="s">
        <v>399</v>
      </c>
      <c r="E1530" s="392">
        <f>finPNLCh1Prod3Slot1LabourExp+finPNLCh1Prod3Slot2LabourExp+finPNLCh1Prod3Slot3LabourExp+finPNLCh2Prod3Slot1LabourExp+finPNLCh2Prod3Slot2LabourExp+finPNLCh2Prod3Slot3LabourExp++finPNLCh3Prod3Slot1LabourExp+finPNLCh3Prod3Slot2LabourExp+finPNLCh3Prod3Slot3LabourExp+finPNLCh4Prod3Slot1LabourExp+finPNLCh4Prod3Slot2LabourExp+finPNLCh4Prod3Slot3LabourExp</f>
        <v>76682435.45196262</v>
      </c>
      <c r="F1530" s="379" t="s">
        <v>5329</v>
      </c>
    </row>
    <row r="1531" spans="2:6" s="379" customFormat="1" ht="14.25">
      <c r="B1531" s="325"/>
      <c r="C1531" s="209"/>
      <c r="D1531" s="209" t="s">
        <v>513</v>
      </c>
      <c r="E1531" s="392">
        <f>finPNLCh1Prod3Slot1MachExp+finPNLCh1Prod3Slot2MachExp+finPNLCh1Prod3Slot3MachExp+finPNLCh2Prod3Slot1MachExp+finPNLCh2Prod3Slot2MachExp+finPNLCh2Prod3Slot3MachExp++finPNLCh3Prod3Slot1MachExp+finPNLCh3Prod3Slot2MachExp+finPNLCh3Prod3Slot3MachExp+finPNLCh4Prod3Slot1MachExp+finPNLCh4Prod3Slot2MachExp+finPNLCh4Prod3Slot3MachExp</f>
        <v>70364960.865813613</v>
      </c>
      <c r="F1531" s="379" t="s">
        <v>5330</v>
      </c>
    </row>
    <row r="1532" spans="2:6" s="379" customFormat="1" ht="14.25">
      <c r="B1532" s="325"/>
      <c r="C1532" s="209"/>
      <c r="D1532" s="209" t="s">
        <v>398</v>
      </c>
      <c r="E1532" s="392">
        <f>finPNLCh1Prod3Slot1DeprExp+finPNLCh1Prod3Slot2DeprExp+finPNLCh1Prod3Slot3DeprExp+finPNLCh2Prod3Slot1DeprExp+finPNLCh2Prod3Slot2DeprExp+finPNLCh2Prod3Slot3DeprExp++finPNLCh3Prod3Slot1DeprExp+finPNLCh3Prod3Slot2DeprExp+finPNLCh3Prod3Slot3DeprExp+finPNLCh4Prod3Slot1DeprExp+finPNLCh4Prod3Slot2DeprExp+finPNLCh4Prod3Slot3DeprExp</f>
        <v>31316669.181887466</v>
      </c>
      <c r="F1532" s="379" t="s">
        <v>5331</v>
      </c>
    </row>
    <row r="1533" spans="2:6" s="379" customFormat="1" ht="1.9" customHeight="1">
      <c r="B1533" s="325"/>
      <c r="C1533" s="209"/>
      <c r="D1533" s="229"/>
      <c r="E1533" s="229"/>
    </row>
    <row r="1534" spans="2:6" s="379" customFormat="1" ht="14.25">
      <c r="B1534" s="325"/>
      <c r="C1534" s="209"/>
      <c r="D1534" s="209" t="s">
        <v>14</v>
      </c>
      <c r="E1534" s="233">
        <f>SUM(E1529:E1533)</f>
        <v>699804626.57300949</v>
      </c>
      <c r="F1534" s="379" t="s">
        <v>5332</v>
      </c>
    </row>
    <row r="1535" spans="2:6" s="379" customFormat="1" ht="14.25">
      <c r="B1535" s="325"/>
      <c r="C1535" s="209"/>
      <c r="D1535" s="209"/>
      <c r="E1535" s="380"/>
    </row>
    <row r="1536" spans="2:6" s="379" customFormat="1" ht="14.25">
      <c r="B1536" s="325"/>
      <c r="C1536" s="217" t="s">
        <v>160</v>
      </c>
      <c r="D1536" s="209"/>
      <c r="E1536" s="380"/>
    </row>
    <row r="1537" spans="2:6" s="379" customFormat="1" ht="14.25">
      <c r="B1537" s="325"/>
      <c r="C1537" s="209"/>
      <c r="D1537" s="209" t="s">
        <v>160</v>
      </c>
      <c r="E1537" s="233">
        <f>finPNLProd3NetRev-finPNLProd3CostRev</f>
        <v>719462718.21472526</v>
      </c>
      <c r="F1537" s="379" t="s">
        <v>5333</v>
      </c>
    </row>
    <row r="1538" spans="2:6" s="379" customFormat="1" ht="14.25">
      <c r="B1538" s="325"/>
      <c r="C1538" s="217"/>
      <c r="D1538" s="234" t="s">
        <v>162</v>
      </c>
      <c r="E1538" s="337">
        <f>IF(finPNLProd3NetRev=0,0,finPNLProd3GroProfit/finPNLProd3NetRev)</f>
        <v>0.50692543646336619</v>
      </c>
      <c r="F1538" s="379" t="s">
        <v>5334</v>
      </c>
    </row>
    <row r="1539" spans="2:6" s="379" customFormat="1" ht="14.25">
      <c r="B1539" s="325"/>
      <c r="C1539" s="217"/>
      <c r="D1539" s="234"/>
      <c r="E1539" s="380"/>
    </row>
    <row r="1540" spans="2:6" s="379" customFormat="1" ht="14.25">
      <c r="B1540" s="325"/>
      <c r="C1540" s="217" t="s">
        <v>519</v>
      </c>
      <c r="D1540" s="234"/>
      <c r="E1540" s="380"/>
    </row>
    <row r="1541" spans="2:6" s="379" customFormat="1" ht="14.25">
      <c r="B1541" s="325"/>
      <c r="C1541" s="217"/>
      <c r="D1541" s="209" t="s">
        <v>519</v>
      </c>
      <c r="E1541" s="392">
        <f>finPNLCh1Prod3Slot1LogExp+finPNLCh1Prod3Slot2LogExp+finPNLCh1Prod3Slot3LogExp+finPNLCh2Prod3Slot1LogExp+finPNLCh2Prod3Slot2LogExp+finPNLCh2Prod3Slot3LogExp++finPNLCh3Prod3Slot1LogExp+finPNLCh3Prod3Slot2LogExp+finPNLCh3Prod3Slot3LogExp+finPNLCh4Prod3Slot1LogExp+finPNLCh4Prod3Slot2LogExp+finPNLCh4Prod3Slot3LogExp</f>
        <v>88601259.262282103</v>
      </c>
      <c r="F1541" s="379" t="s">
        <v>5335</v>
      </c>
    </row>
    <row r="1542" spans="2:6" s="379" customFormat="1" ht="14.25">
      <c r="B1542" s="325"/>
      <c r="C1542" s="217"/>
      <c r="D1542" s="209" t="s">
        <v>5305</v>
      </c>
      <c r="E1542" s="537">
        <f>IF(finPNLProd3NetRev=0,0,finPNLProd3LogExp/finPNLProd3NetRev)</f>
        <v>6.2427462724109449E-2</v>
      </c>
      <c r="F1542" s="379" t="s">
        <v>5336</v>
      </c>
    </row>
    <row r="1543" spans="2:6" s="379" customFormat="1" ht="14.25">
      <c r="B1543" s="325"/>
      <c r="C1543" s="217"/>
      <c r="D1543" s="234"/>
      <c r="E1543" s="380"/>
    </row>
    <row r="1544" spans="2:6" s="379" customFormat="1" ht="14.25">
      <c r="B1544" s="325"/>
      <c r="C1544" s="217" t="s">
        <v>520</v>
      </c>
      <c r="D1544" s="209"/>
      <c r="E1544" s="381"/>
    </row>
    <row r="1545" spans="2:6" s="379" customFormat="1" ht="14.25">
      <c r="B1545" s="325"/>
      <c r="C1545" s="209"/>
      <c r="D1545" s="209" t="s">
        <v>521</v>
      </c>
      <c r="E1545" s="233">
        <f>finPNLProd3GroProfit-finPNLProd3LogExp</f>
        <v>630861458.95244312</v>
      </c>
      <c r="F1545" s="379" t="s">
        <v>4336</v>
      </c>
    </row>
    <row r="1546" spans="2:6" s="379" customFormat="1" ht="14.25">
      <c r="B1546" s="325"/>
      <c r="C1546" s="217"/>
      <c r="D1546" s="234" t="s">
        <v>522</v>
      </c>
      <c r="E1546" s="337">
        <f>IF(finPNLProd3NetRev=0,0,finPNLProd3GPaL/finPNLProd3NetRev)</f>
        <v>0.4444979737392567</v>
      </c>
      <c r="F1546" s="379" t="s">
        <v>5337</v>
      </c>
    </row>
    <row r="1547" spans="2:6" s="379" customFormat="1" ht="14.25">
      <c r="B1547" s="325"/>
      <c r="C1547" s="217"/>
      <c r="D1547" s="234"/>
      <c r="E1547" s="234"/>
      <c r="F1547" s="234"/>
    </row>
    <row r="1548" spans="2:6" s="379" customFormat="1" ht="14.25">
      <c r="B1548" s="325"/>
      <c r="C1548" s="217"/>
      <c r="D1548" s="234"/>
      <c r="E1548" s="234"/>
      <c r="F1548" s="234"/>
    </row>
    <row r="1549" spans="2:6" ht="12.75" customHeight="1">
      <c r="D1549" s="325" t="s">
        <v>1703</v>
      </c>
      <c r="E1549" s="682">
        <f>(finPNLTMktExpTot)*(finPNLProd3NetRev/finPNLNetRevTot)</f>
        <v>13745371.304274399</v>
      </c>
      <c r="F1549" s="458" t="s">
        <v>5421</v>
      </c>
    </row>
    <row r="1550" spans="2:6" ht="12.6" customHeight="1">
      <c r="D1550" s="325" t="s">
        <v>1704</v>
      </c>
      <c r="E1550" s="682">
        <f>(finPNLBMktExpTot)*(finPNLProd3NetRev/finPNLNetRevTot)</f>
        <v>66261168.800214387</v>
      </c>
      <c r="F1550" s="458" t="s">
        <v>5422</v>
      </c>
    </row>
    <row r="1551" spans="2:6" ht="1.1499999999999999" customHeight="1">
      <c r="D1551" s="229"/>
      <c r="E1551" s="229"/>
    </row>
    <row r="1552" spans="2:6" ht="12" customHeight="1">
      <c r="D1552" s="382" t="s">
        <v>5290</v>
      </c>
      <c r="E1552" s="390">
        <f>SUM(E1549:E1550)</f>
        <v>80006540.10448879</v>
      </c>
      <c r="F1552" s="458" t="s">
        <v>5625</v>
      </c>
    </row>
    <row r="1553" spans="2:6" ht="12" customHeight="1">
      <c r="D1553" s="382"/>
      <c r="E1553" s="382"/>
      <c r="F1553" s="382"/>
    </row>
    <row r="1554" spans="2:6" ht="12" customHeight="1">
      <c r="D1554" s="382" t="s">
        <v>1393</v>
      </c>
      <c r="E1554" s="390">
        <f>finPNLProd3GPaL-finPNLProd3OverheadTot</f>
        <v>550854918.84795427</v>
      </c>
      <c r="F1554" s="458" t="s">
        <v>4332</v>
      </c>
    </row>
    <row r="1555" spans="2:6" ht="12" customHeight="1">
      <c r="D1555" s="325" t="s">
        <v>2973</v>
      </c>
      <c r="E1555" s="513">
        <f>IF(finPNLProd3NetRev=0,0,finPNLProd3GBC/finPNLProd3NetRev)</f>
        <v>0.38812625462776357</v>
      </c>
      <c r="F1555" s="458" t="s">
        <v>4347</v>
      </c>
    </row>
    <row r="1556" spans="2:6" ht="12.75" customHeight="1">
      <c r="E1556"/>
      <c r="F1556"/>
    </row>
    <row r="1557" spans="2:6" ht="12.75" customHeight="1">
      <c r="C1557" s="459" t="s">
        <v>240</v>
      </c>
    </row>
    <row r="1558" spans="2:6" s="379" customFormat="1" ht="14.25">
      <c r="B1558" s="325"/>
      <c r="C1558" s="325"/>
      <c r="D1558" s="325" t="s">
        <v>1394</v>
      </c>
      <c r="E1558" s="392">
        <f>finPNLCh1Prod4Slot1Turn+finPNLCh1Prod4Slot2Turn+finPNLCh1Prod4Slot3Turn+finPNLCh2Prod4Slot1Turn+finPNLCh2Prod4Slot2Turn+finPNLCh2Prod4Slot3Turn++finPNLCh3Prod4Slot1Turn+finPNLCh3Prod4Slot2Turn+finPNLCh3Prod4Slot3Turn+finPNLCh4Prod4Slot1Turn+finPNLCh4Prod4Slot2Turn+finPNLCh4Prod4Slot3Turn</f>
        <v>506016262.5</v>
      </c>
      <c r="F1558" s="276" t="s">
        <v>5308</v>
      </c>
    </row>
    <row r="1559" spans="2:6" s="379" customFormat="1" ht="14.25">
      <c r="B1559" s="325"/>
      <c r="C1559" s="325"/>
      <c r="D1559" s="325" t="s">
        <v>1759</v>
      </c>
      <c r="E1559" s="392">
        <f>finPNLCh1Prod4Slot1Excise+finPNLCh1Prod4Slot2Excise+finPNLCh1Prod4Slot3Excise+finPNLCh2Prod4Slot1Excise+finPNLCh2Prod4Slot2Excise+finPNLCh2Prod4Slot3Excise++finPNLCh3Prod4Slot1Excise+finPNLCh3Prod4Slot2Excise+finPNLCh3Prod4Slot3Excise+finPNLCh4Prod4Slot1Excise+finPNLCh4Prod4Slot2Excise+finPNLCh4Prod4Slot3Excise</f>
        <v>157561950</v>
      </c>
      <c r="F1559" s="276" t="s">
        <v>5309</v>
      </c>
    </row>
    <row r="1560" spans="2:6" s="379" customFormat="1" ht="14.25">
      <c r="B1560" s="325"/>
      <c r="C1560" s="325"/>
      <c r="D1560" s="325" t="s">
        <v>694</v>
      </c>
      <c r="E1560" s="392">
        <f>E1558-E1559</f>
        <v>348454312.5</v>
      </c>
      <c r="F1560" s="276" t="s">
        <v>5310</v>
      </c>
    </row>
    <row r="1561" spans="2:6" s="379" customFormat="1" ht="14.25">
      <c r="B1561" s="325"/>
      <c r="C1561" s="325"/>
      <c r="D1561" s="325" t="s">
        <v>1396</v>
      </c>
      <c r="E1561" s="392">
        <f>finPNLCh1Prod4Slot1Discounts+finPNLCh1Prod4Slot2Discounts+finPNLCh1Prod4Slot3Discounts+finPNLCh2Prod4Slot1Discounts+finPNLCh2Prod4Slot2Discounts+finPNLCh2Prod4Slot3Discounts++finPNLCh3Prod4Slot1Discounts+finPNLCh3Prod4Slot2Discounts+finPNLCh3Prod4Slot3Discounts+finPNLCh4Prod4Slot1Discounts+finPNLCh4Prod4Slot2Discounts+finPNLCh4Prod4Slot3Discounts</f>
        <v>10520325.249999989</v>
      </c>
      <c r="F1561" s="276" t="s">
        <v>5311</v>
      </c>
    </row>
    <row r="1562" spans="2:6" s="379" customFormat="1" ht="1.9" customHeight="1">
      <c r="B1562" s="325"/>
      <c r="C1562" s="209"/>
      <c r="D1562" s="229"/>
      <c r="E1562" s="229"/>
      <c r="F1562" s="209"/>
    </row>
    <row r="1563" spans="2:6" s="379" customFormat="1" ht="14.25">
      <c r="B1563" s="325"/>
      <c r="C1563" s="209"/>
      <c r="D1563" s="217" t="s">
        <v>1760</v>
      </c>
      <c r="E1563" s="233">
        <f>E1560-E1561</f>
        <v>337933987.25</v>
      </c>
      <c r="F1563" s="276" t="s">
        <v>5312</v>
      </c>
    </row>
    <row r="1564" spans="2:6" s="379" customFormat="1" ht="14.25">
      <c r="B1564" s="325"/>
      <c r="C1564" s="325"/>
      <c r="D1564" s="325"/>
      <c r="E1564" s="325"/>
      <c r="F1564" s="325"/>
    </row>
    <row r="1565" spans="2:6" s="379" customFormat="1" ht="14.25">
      <c r="B1565" s="325"/>
      <c r="C1565" s="217" t="s">
        <v>404</v>
      </c>
      <c r="D1565" s="209"/>
      <c r="E1565" s="380"/>
    </row>
    <row r="1566" spans="2:6" s="379" customFormat="1" ht="14.25">
      <c r="B1566" s="325"/>
      <c r="C1566" s="209"/>
      <c r="D1566" s="209" t="s">
        <v>400</v>
      </c>
      <c r="E1566" s="392">
        <f>finPNLCh1Prod4Slot1MatExp+finPNLCh1Prod4Slot2MatExp+finPNLCh1Prod4Slot3MatExp+finPNLCh2Prod4Slot1MatExp+finPNLCh2Prod4Slot2MatExp+finPNLCh2Prod4Slot3MatExp++finPNLCh3Prod4Slot1MatExp+finPNLCh3Prod4Slot2MatExp+finPNLCh3Prod4Slot3MatExp+finPNLCh4Prod4Slot1MatExp+finPNLCh4Prod4Slot2MatExp+finPNLCh4Prod4Slot3MatExp</f>
        <v>107040219.77880001</v>
      </c>
      <c r="F1566" s="379" t="s">
        <v>5313</v>
      </c>
    </row>
    <row r="1567" spans="2:6" s="379" customFormat="1" ht="14.25">
      <c r="B1567" s="325"/>
      <c r="C1567" s="209"/>
      <c r="D1567" s="209" t="s">
        <v>399</v>
      </c>
      <c r="E1567" s="392">
        <f>finPNLCh1Prod4Slot1LabourExp+finPNLCh1Prod4Slot2LabourExp+finPNLCh1Prod4Slot3LabourExp+finPNLCh2Prod4Slot1LabourExp+finPNLCh2Prod4Slot2LabourExp+finPNLCh2Prod4Slot3LabourExp++finPNLCh3Prod4Slot1LabourExp+finPNLCh3Prod4Slot2LabourExp+finPNLCh3Prod4Slot3LabourExp+finPNLCh4Prod4Slot1LabourExp+finPNLCh4Prod4Slot2LabourExp+finPNLCh4Prod4Slot3LabourExp</f>
        <v>15741208.791000001</v>
      </c>
      <c r="F1567" s="379" t="s">
        <v>5314</v>
      </c>
    </row>
    <row r="1568" spans="2:6" s="379" customFormat="1" ht="14.25">
      <c r="B1568" s="325"/>
      <c r="C1568" s="209"/>
      <c r="D1568" s="209" t="s">
        <v>513</v>
      </c>
      <c r="E1568" s="392">
        <f>finPNLCh1Prod4Slot1MachExp+finPNLCh1Prod4Slot2MachExp+finPNLCh1Prod4Slot3MachExp+finPNLCh2Prod4Slot1MachExp+finPNLCh2Prod4Slot2MachExp+finPNLCh2Prod4Slot3MachExp++finPNLCh3Prod4Slot1MachExp+finPNLCh3Prod4Slot2MachExp+finPNLCh3Prod4Slot3MachExp+finPNLCh4Prod4Slot1MachExp+finPNLCh4Prod4Slot2MachExp+finPNLCh4Prod4Slot3MachExp</f>
        <v>12919595.094000002</v>
      </c>
      <c r="F1568" s="379" t="s">
        <v>5315</v>
      </c>
    </row>
    <row r="1569" spans="2:6" s="379" customFormat="1" ht="14.25">
      <c r="B1569" s="325"/>
      <c r="C1569" s="209"/>
      <c r="D1569" s="209" t="s">
        <v>398</v>
      </c>
      <c r="E1569" s="392">
        <f>finPNLCh1Prod4Slot1DeprExp+finPNLCh1Prod4Slot2DeprExp+finPNLCh1Prod4Slot3DeprExp+finPNLCh2Prod4Slot1DeprExp+finPNLCh2Prod4Slot2DeprExp+finPNLCh2Prod4Slot3DeprExp++finPNLCh3Prod4Slot1DeprExp+finPNLCh3Prod4Slot2DeprExp+finPNLCh3Prod4Slot3DeprExp+finPNLCh4Prod4Slot1DeprExp+finPNLCh4Prod4Slot2DeprExp+finPNLCh4Prod4Slot3DeprExp</f>
        <v>5750002.2815944776</v>
      </c>
      <c r="F1569" s="379" t="s">
        <v>5316</v>
      </c>
    </row>
    <row r="1570" spans="2:6" s="379" customFormat="1" ht="1.9" customHeight="1">
      <c r="B1570" s="325"/>
      <c r="C1570" s="209"/>
      <c r="D1570" s="229"/>
      <c r="E1570" s="229"/>
    </row>
    <row r="1571" spans="2:6" s="379" customFormat="1" ht="14.25">
      <c r="B1571" s="325"/>
      <c r="C1571" s="209"/>
      <c r="D1571" s="209" t="s">
        <v>14</v>
      </c>
      <c r="E1571" s="233">
        <f>SUM(E1566:E1570)</f>
        <v>141451025.94539452</v>
      </c>
      <c r="F1571" s="379" t="s">
        <v>5317</v>
      </c>
    </row>
    <row r="1572" spans="2:6" s="379" customFormat="1" ht="14.25">
      <c r="B1572" s="325"/>
      <c r="C1572" s="209"/>
      <c r="D1572" s="209"/>
      <c r="E1572" s="380"/>
    </row>
    <row r="1573" spans="2:6" s="379" customFormat="1" ht="14.25">
      <c r="B1573" s="325"/>
      <c r="C1573" s="217" t="s">
        <v>160</v>
      </c>
      <c r="D1573" s="209"/>
      <c r="E1573" s="380"/>
    </row>
    <row r="1574" spans="2:6" s="379" customFormat="1" ht="14.25">
      <c r="B1574" s="325"/>
      <c r="C1574" s="209"/>
      <c r="D1574" s="209" t="s">
        <v>160</v>
      </c>
      <c r="E1574" s="233">
        <f>finPNLProd4NetRev-finPNLProd4CostRev</f>
        <v>196482961.30460548</v>
      </c>
      <c r="F1574" s="379" t="s">
        <v>5318</v>
      </c>
    </row>
    <row r="1575" spans="2:6" s="379" customFormat="1" ht="14.25">
      <c r="B1575" s="325"/>
      <c r="C1575" s="217"/>
      <c r="D1575" s="234" t="s">
        <v>162</v>
      </c>
      <c r="E1575" s="337">
        <f>IF(finPNLProd4NetRev=0,0,finPNLProd4GroProfit/finPNLProd4NetRev)</f>
        <v>0.58142409085135749</v>
      </c>
      <c r="F1575" s="379" t="s">
        <v>5319</v>
      </c>
    </row>
    <row r="1576" spans="2:6" s="379" customFormat="1" ht="14.25">
      <c r="B1576" s="325"/>
      <c r="C1576" s="217"/>
      <c r="D1576" s="234"/>
      <c r="E1576" s="380"/>
    </row>
    <row r="1577" spans="2:6" s="379" customFormat="1" ht="14.25">
      <c r="B1577" s="325"/>
      <c r="C1577" s="217" t="s">
        <v>519</v>
      </c>
      <c r="D1577" s="234"/>
      <c r="E1577" s="380"/>
    </row>
    <row r="1578" spans="2:6" s="379" customFormat="1" ht="14.25">
      <c r="B1578" s="325"/>
      <c r="C1578" s="217"/>
      <c r="D1578" s="209" t="s">
        <v>519</v>
      </c>
      <c r="E1578" s="392">
        <f>finPNLCh1Prod4Slot1LogExp+finPNLCh1Prod4Slot2LogExp+finPNLCh1Prod4Slot3LogExp+finPNLCh2Prod4Slot1LogExp+finPNLCh2Prod4Slot2LogExp+finPNLCh2Prod4Slot3LogExp++finPNLCh3Prod4Slot1LogExp+finPNLCh3Prod4Slot2LogExp+finPNLCh3Prod4Slot3LogExp+finPNLCh4Prod4Slot1LogExp+finPNLCh4Prod4Slot2LogExp+finPNLCh4Prod4Slot3LogExp</f>
        <v>18187879.831578948</v>
      </c>
      <c r="F1578" s="379" t="s">
        <v>5320</v>
      </c>
    </row>
    <row r="1579" spans="2:6" s="379" customFormat="1" ht="14.25">
      <c r="B1579" s="325"/>
      <c r="C1579" s="217"/>
      <c r="D1579" s="209" t="s">
        <v>5305</v>
      </c>
      <c r="E1579" s="537">
        <f>IF(finPNLProd4NetRev=0,0,finPNLProd4LogExp/finPNLProd4NetRev)</f>
        <v>5.3820806778229577E-2</v>
      </c>
      <c r="F1579" s="379" t="s">
        <v>5321</v>
      </c>
    </row>
    <row r="1580" spans="2:6" s="379" customFormat="1" ht="14.25">
      <c r="B1580" s="325"/>
      <c r="C1580" s="217"/>
      <c r="D1580" s="234"/>
      <c r="E1580" s="380"/>
    </row>
    <row r="1581" spans="2:6" s="379" customFormat="1" ht="14.25">
      <c r="B1581" s="325"/>
      <c r="C1581" s="217" t="s">
        <v>520</v>
      </c>
      <c r="D1581" s="209"/>
      <c r="E1581" s="381"/>
    </row>
    <row r="1582" spans="2:6" s="379" customFormat="1" ht="14.25">
      <c r="B1582" s="325"/>
      <c r="C1582" s="209"/>
      <c r="D1582" s="209" t="s">
        <v>521</v>
      </c>
      <c r="E1582" s="233">
        <f>finPNLProd4GroProfit-finPNLProd4LogExp</f>
        <v>178295081.47302654</v>
      </c>
      <c r="F1582" s="379" t="s">
        <v>4335</v>
      </c>
    </row>
    <row r="1583" spans="2:6" s="379" customFormat="1" ht="14.25">
      <c r="B1583" s="325"/>
      <c r="C1583" s="217"/>
      <c r="D1583" s="234" t="s">
        <v>522</v>
      </c>
      <c r="E1583" s="337">
        <f>IF(finPNLProd4NetRev=0,0,finPNLProd4GPaL/finPNLProd4NetRev)</f>
        <v>0.52760328407312795</v>
      </c>
      <c r="F1583" s="379" t="s">
        <v>5322</v>
      </c>
    </row>
    <row r="1584" spans="2:6" s="379" customFormat="1" ht="14.25">
      <c r="B1584" s="325"/>
      <c r="C1584" s="217"/>
      <c r="D1584" s="234"/>
      <c r="E1584" s="234"/>
      <c r="F1584" s="234"/>
    </row>
    <row r="1585" spans="2:6" s="379" customFormat="1" ht="14.25">
      <c r="B1585" s="325"/>
      <c r="C1585" s="217"/>
      <c r="D1585" s="234"/>
      <c r="E1585" s="234"/>
      <c r="F1585" s="234"/>
    </row>
    <row r="1586" spans="2:6" ht="12.75" customHeight="1">
      <c r="D1586" s="325" t="s">
        <v>1703</v>
      </c>
      <c r="E1586" s="682">
        <f>(finPNLTMktExpTot)*(finPNLProd4NetRev/finPNLNetRevTot)</f>
        <v>3272835.2048287913</v>
      </c>
      <c r="F1586" s="458" t="s">
        <v>5424</v>
      </c>
    </row>
    <row r="1587" spans="2:6" ht="12.6" customHeight="1">
      <c r="D1587" s="325" t="s">
        <v>1704</v>
      </c>
      <c r="E1587" s="682">
        <f>(finPNLBMktExpTot)*(finPNLProd4NetRev/finPNLNetRevTot)</f>
        <v>15777084.602655092</v>
      </c>
      <c r="F1587" s="458" t="s">
        <v>5423</v>
      </c>
    </row>
    <row r="1588" spans="2:6" ht="1.1499999999999999" customHeight="1">
      <c r="D1588" s="229"/>
      <c r="E1588" s="229"/>
    </row>
    <row r="1589" spans="2:6" ht="12" customHeight="1">
      <c r="D1589" s="382" t="s">
        <v>5290</v>
      </c>
      <c r="E1589" s="390">
        <f>SUM(E1586:E1587)</f>
        <v>19049919.807483882</v>
      </c>
      <c r="F1589" s="458" t="s">
        <v>5624</v>
      </c>
    </row>
    <row r="1590" spans="2:6" ht="12" customHeight="1">
      <c r="D1590" s="382"/>
      <c r="E1590" s="382"/>
      <c r="F1590" s="382"/>
    </row>
    <row r="1591" spans="2:6" ht="12" customHeight="1">
      <c r="D1591" s="382" t="s">
        <v>1393</v>
      </c>
      <c r="E1591" s="390">
        <f>finPNLProd4GPaL-finPNLProd4OverheadTot</f>
        <v>159245161.66554266</v>
      </c>
      <c r="F1591" s="458" t="s">
        <v>4331</v>
      </c>
    </row>
    <row r="1592" spans="2:6" ht="12" customHeight="1">
      <c r="D1592" s="325" t="s">
        <v>2973</v>
      </c>
      <c r="E1592" s="513">
        <f>IF(finPNLProd4NetRev=0,0,finPNLProd4GBC/finPNLProd4NetRev)</f>
        <v>0.47123156496163487</v>
      </c>
      <c r="F1592" s="458" t="s">
        <v>4346</v>
      </c>
    </row>
    <row r="1593" spans="2:6" ht="12.75" customHeight="1">
      <c r="E1593"/>
      <c r="F1593"/>
    </row>
    <row r="1595" spans="2:6" s="211" customFormat="1" ht="14.25">
      <c r="B1595" s="221" t="s">
        <v>2972</v>
      </c>
      <c r="C1595" s="221"/>
      <c r="D1595" s="221"/>
      <c r="E1595" s="222"/>
    </row>
    <row r="1597" spans="2:6" ht="12.75" customHeight="1">
      <c r="C1597" s="459" t="s">
        <v>244</v>
      </c>
    </row>
    <row r="1598" spans="2:6" s="379" customFormat="1" ht="14.25">
      <c r="B1598" s="325"/>
      <c r="C1598" s="325"/>
      <c r="D1598" s="325" t="s">
        <v>1394</v>
      </c>
      <c r="E1598" s="392">
        <f>finPNLCh1Prod1Slot1Turn+finPNLCh1Prod1Slot2Turn+finPNLCh1Prod1Slot3Turn+finPNLCh1Prod2Slot1Turn+finPNLCh1Prod2Slot2Turn+finPNLCh1Prod2Slot3Turn+finPNLCh1Prod3Slot1Turn+finPNLCh1Prod3Slot2Turn+finPNLCh1Prod3Slot3Turn+finPNLCh1Prod4Slot1Turn+finPNLCh1Prod4Slot2Turn+finPNLCh1Prod4Slot3Turn</f>
        <v>2786202287.2599998</v>
      </c>
      <c r="F1598" s="276" t="s">
        <v>5353</v>
      </c>
    </row>
    <row r="1599" spans="2:6" s="379" customFormat="1" ht="14.25">
      <c r="B1599" s="325"/>
      <c r="C1599" s="325"/>
      <c r="D1599" s="325" t="s">
        <v>1759</v>
      </c>
      <c r="E1599" s="392">
        <f>finPNLCh1Prod1Slot1Excise+finPNLCh1Prod1Slot2Excise+finPNLCh1Prod1Slot3Excise+finPNLCh1Prod2Slot1Excise+finPNLCh1Prod2Slot2Excise+finPNLCh1Prod2Slot3Excise+finPNLCh1Prod3Slot1Excise+finPNLCh1Prod3Slot2Excise+finPNLCh1Prod3Slot3Excise+finPNLCh1Prod4Slot1Excise+finPNLCh1Prod4Slot2Excise+finPNLCh1Prod4Slot3Excise</f>
        <v>885053201.78799999</v>
      </c>
      <c r="F1599" s="276" t="s">
        <v>5354</v>
      </c>
    </row>
    <row r="1600" spans="2:6" s="379" customFormat="1" ht="14.25">
      <c r="B1600" s="325"/>
      <c r="C1600" s="325"/>
      <c r="D1600" s="325" t="s">
        <v>694</v>
      </c>
      <c r="E1600" s="392">
        <f>E1598-E1599</f>
        <v>1901149085.4719996</v>
      </c>
      <c r="F1600" s="276" t="s">
        <v>5355</v>
      </c>
    </row>
    <row r="1601" spans="2:6" s="379" customFormat="1" ht="14.25">
      <c r="B1601" s="325"/>
      <c r="C1601" s="325"/>
      <c r="D1601" s="325" t="s">
        <v>1396</v>
      </c>
      <c r="E1601" s="392">
        <f>finPNLCh1Prod1Slot1Discounts+finPNLCh1Prod1Slot2Discounts+finPNLCh1Prod1Slot3Discounts+finPNLCh1Prod2Slot1Discounts+finPNLCh1Prod2Slot2Discounts+finPNLCh1Prod2Slot3Discounts+finPNLCh1Prod3Slot1Discounts+finPNLCh1Prod3Slot2Discounts+finPNLCh1Prod3Slot3Discounts+finPNLCh1Prod4Slot1Discounts+finPNLCh1Prod4Slot2Discounts+finPNLCh1Prod4Slot3Discounts</f>
        <v>298950319.21271604</v>
      </c>
      <c r="F1601" s="276" t="s">
        <v>5356</v>
      </c>
    </row>
    <row r="1602" spans="2:6" s="379" customFormat="1" ht="1.9" customHeight="1">
      <c r="B1602" s="325"/>
      <c r="C1602" s="209"/>
      <c r="D1602" s="229"/>
      <c r="E1602" s="229"/>
      <c r="F1602" s="209"/>
    </row>
    <row r="1603" spans="2:6" s="379" customFormat="1" ht="14.25">
      <c r="B1603" s="325"/>
      <c r="C1603" s="209"/>
      <c r="D1603" s="217" t="s">
        <v>1760</v>
      </c>
      <c r="E1603" s="233">
        <f>E1600-E1601</f>
        <v>1602198766.2592835</v>
      </c>
      <c r="F1603" s="276" t="s">
        <v>5357</v>
      </c>
    </row>
    <row r="1604" spans="2:6" s="379" customFormat="1" ht="14.25">
      <c r="B1604" s="325"/>
      <c r="C1604" s="325"/>
      <c r="D1604" s="325"/>
      <c r="E1604" s="325"/>
      <c r="F1604" s="325"/>
    </row>
    <row r="1605" spans="2:6" s="379" customFormat="1" ht="14.25">
      <c r="B1605" s="325"/>
      <c r="C1605" s="217" t="s">
        <v>404</v>
      </c>
      <c r="D1605" s="209"/>
      <c r="E1605" s="380"/>
    </row>
    <row r="1606" spans="2:6" s="379" customFormat="1" ht="14.25">
      <c r="B1606" s="325"/>
      <c r="C1606" s="209"/>
      <c r="D1606" s="209" t="s">
        <v>400</v>
      </c>
      <c r="E1606" s="392">
        <f>finPNLCh1Prod1Slot1MatExp+finPNLCh1Prod1Slot2MatExp+finPNLCh1Prod1Slot3MatExp+finPNLCh1Prod2Slot1MatExp+finPNLCh1Prod2Slot2MatExp+finPNLCh1Prod2Slot3MatExp+finPNLCh1Prod3Slot1MatExp+finPNLCh1Prod3Slot2MatExp+finPNLCh1Prod3Slot3MatExp+finPNLCh1Prod4Slot1MatExp+finPNLCh1Prod4Slot2MatExp+finPNLCh1Prod4Slot3MatExp</f>
        <v>568973295.51358676</v>
      </c>
      <c r="F1606" s="379" t="s">
        <v>5358</v>
      </c>
    </row>
    <row r="1607" spans="2:6" s="379" customFormat="1" ht="14.25">
      <c r="B1607" s="325"/>
      <c r="C1607" s="209"/>
      <c r="D1607" s="209" t="s">
        <v>399</v>
      </c>
      <c r="E1607" s="392">
        <f>finPNLCh1Prod1Slot1LabourExp+finPNLCh1Prod1Slot2LabourExp+finPNLCh1Prod1Slot3LabourExp+finPNLCh1Prod2Slot1LabourExp+finPNLCh1Prod2Slot2LabourExp+finPNLCh1Prod2Slot3LabourExp+finPNLCh1Prod3Slot1LabourExp+finPNLCh1Prod3Slot2LabourExp+finPNLCh1Prod3Slot3LabourExp+finPNLCh1Prod4Slot1LabourExp+finPNLCh1Prod4Slot2LabourExp+finPNLCh1Prod4Slot3LabourExp</f>
        <v>83672543.457880408</v>
      </c>
      <c r="F1607" s="379" t="s">
        <v>5359</v>
      </c>
    </row>
    <row r="1608" spans="2:6" s="379" customFormat="1" ht="14.25">
      <c r="B1608" s="325"/>
      <c r="C1608" s="209"/>
      <c r="D1608" s="209" t="s">
        <v>513</v>
      </c>
      <c r="E1608" s="392">
        <f>finPNLCh1Prod1Slot1MachExp+finPNLCh1Prod1Slot2MachExp+finPNLCh1Prod1Slot3MachExp+finPNLCh1Prod2Slot1MachExp+finPNLCh1Prod2Slot2MachExp+finPNLCh1Prod2Slot3MachExp+finPNLCh1Prod3Slot1MachExp+finPNLCh1Prod3Slot2MachExp+finPNLCh1Prod3Slot3MachExp+finPNLCh1Prod4Slot1MachExp+finPNLCh1Prod4Slot2MachExp+finPNLCh1Prod4Slot3MachExp</f>
        <v>95473061.465281934</v>
      </c>
      <c r="F1608" s="379" t="s">
        <v>5360</v>
      </c>
    </row>
    <row r="1609" spans="2:6" s="379" customFormat="1" ht="14.25">
      <c r="B1609" s="325"/>
      <c r="C1609" s="209"/>
      <c r="D1609" s="209" t="s">
        <v>398</v>
      </c>
      <c r="E1609" s="392">
        <f>finPNLCh1Prod1Slot1DeprExp+finPNLCh1Prod1Slot2DeprExp+finPNLCh1Prod1Slot3DeprExp+finPNLCh1Prod2Slot1DeprExp+finPNLCh1Prod2Slot2DeprExp+finPNLCh1Prod2Slot3DeprExp+finPNLCh1Prod3Slot1DeprExp+finPNLCh1Prod3Slot2DeprExp+finPNLCh1Prod3Slot3DeprExp+finPNLCh1Prod4Slot1DeprExp+finPNLCh1Prod4Slot2DeprExp+finPNLCh1Prod4Slot3DeprExp</f>
        <v>42491294.600333765</v>
      </c>
      <c r="F1609" s="379" t="s">
        <v>5361</v>
      </c>
    </row>
    <row r="1610" spans="2:6" s="379" customFormat="1" ht="1.9" customHeight="1">
      <c r="B1610" s="325"/>
      <c r="C1610" s="209"/>
      <c r="D1610" s="229"/>
      <c r="E1610" s="229"/>
    </row>
    <row r="1611" spans="2:6" s="379" customFormat="1" ht="14.25">
      <c r="B1611" s="325"/>
      <c r="C1611" s="209"/>
      <c r="D1611" s="209" t="s">
        <v>14</v>
      </c>
      <c r="E1611" s="233">
        <f>SUM(E1606:E1610)</f>
        <v>790610195.03708291</v>
      </c>
      <c r="F1611" s="379" t="s">
        <v>5362</v>
      </c>
    </row>
    <row r="1612" spans="2:6" s="379" customFormat="1" ht="14.25">
      <c r="B1612" s="325"/>
      <c r="C1612" s="209"/>
      <c r="D1612" s="209"/>
      <c r="E1612" s="380"/>
    </row>
    <row r="1613" spans="2:6" s="379" customFormat="1" ht="14.25">
      <c r="B1613" s="325"/>
      <c r="C1613" s="217" t="s">
        <v>160</v>
      </c>
      <c r="D1613" s="209"/>
      <c r="E1613" s="380"/>
    </row>
    <row r="1614" spans="2:6" s="379" customFormat="1" ht="14.25">
      <c r="B1614" s="325"/>
      <c r="C1614" s="209"/>
      <c r="D1614" s="209" t="s">
        <v>160</v>
      </c>
      <c r="E1614" s="233">
        <f>E1603:E1603-E1611:E1611</f>
        <v>811588571.22220063</v>
      </c>
      <c r="F1614" s="379" t="s">
        <v>5363</v>
      </c>
    </row>
    <row r="1615" spans="2:6" s="379" customFormat="1" ht="14.25">
      <c r="B1615" s="325"/>
      <c r="C1615" s="217"/>
      <c r="D1615" s="234" t="s">
        <v>162</v>
      </c>
      <c r="E1615" s="337">
        <f>finPNLCh1GroProfit/finPNLCh1NetRev</f>
        <v>0.50654674583044923</v>
      </c>
      <c r="F1615" s="379" t="s">
        <v>5364</v>
      </c>
    </row>
    <row r="1616" spans="2:6" s="379" customFormat="1" ht="14.25">
      <c r="B1616" s="325"/>
      <c r="C1616" s="217"/>
      <c r="D1616" s="234"/>
      <c r="E1616" s="380"/>
    </row>
    <row r="1617" spans="2:6" s="379" customFormat="1" ht="14.25">
      <c r="B1617" s="325"/>
      <c r="C1617" s="217" t="s">
        <v>519</v>
      </c>
      <c r="D1617" s="234"/>
      <c r="E1617" s="380"/>
    </row>
    <row r="1618" spans="2:6" s="379" customFormat="1" ht="14.25">
      <c r="B1618" s="325"/>
      <c r="C1618" s="217"/>
      <c r="D1618" s="209" t="s">
        <v>519</v>
      </c>
      <c r="E1618" s="392">
        <f>finPNLCh1Prod1Slot1LogExp+finPNLCh1Prod1Slot2LogExp+finPNLCh1Prod1Slot3LogExp+finPNLCh1Prod2Slot1LogExp+finPNLCh1Prod2Slot2LogExp+finPNLCh1Prod2Slot3LogExp+finPNLCh1Prod3Slot1LogExp+finPNLCh1Prod3Slot2LogExp+finPNLCh1Prod3Slot3LogExp+finPNLCh1Prod4Slot1LogExp+finPNLCh1Prod4Slot2LogExp+finPNLCh1Prod4Slot3LogExp</f>
        <v>96677846.397958755</v>
      </c>
      <c r="F1618" s="379" t="s">
        <v>5365</v>
      </c>
    </row>
    <row r="1619" spans="2:6" s="379" customFormat="1" ht="14.25">
      <c r="B1619" s="325"/>
      <c r="C1619" s="217"/>
      <c r="D1619" s="209" t="s">
        <v>5305</v>
      </c>
      <c r="E1619" s="537">
        <f>finPNLCh1LogExp/finPNLCh1NetRev</f>
        <v>6.0340732020207656E-2</v>
      </c>
      <c r="F1619" s="379" t="s">
        <v>5366</v>
      </c>
    </row>
    <row r="1620" spans="2:6" s="379" customFormat="1" ht="14.25">
      <c r="B1620" s="325"/>
      <c r="C1620" s="217"/>
      <c r="D1620" s="234"/>
      <c r="E1620" s="380"/>
    </row>
    <row r="1621" spans="2:6" s="379" customFormat="1" ht="14.25">
      <c r="B1621" s="325"/>
      <c r="C1621" s="217" t="s">
        <v>520</v>
      </c>
      <c r="D1621" s="209"/>
      <c r="E1621" s="381"/>
    </row>
    <row r="1622" spans="2:6" s="379" customFormat="1" ht="14.25">
      <c r="B1622" s="325"/>
      <c r="C1622" s="209"/>
      <c r="D1622" s="209" t="s">
        <v>521</v>
      </c>
      <c r="E1622" s="233">
        <f>finPNLCh1GroProfit-finPNLCh1LogExp</f>
        <v>714910724.82424188</v>
      </c>
      <c r="F1622" s="379" t="s">
        <v>4338</v>
      </c>
    </row>
    <row r="1623" spans="2:6" s="379" customFormat="1" ht="14.25">
      <c r="B1623" s="325"/>
      <c r="C1623" s="217"/>
      <c r="D1623" s="234" t="s">
        <v>522</v>
      </c>
      <c r="E1623" s="337">
        <f>finPNLCh1GPaL/finPNLCh1NetRev</f>
        <v>0.44620601381024155</v>
      </c>
      <c r="F1623" s="379" t="s">
        <v>5367</v>
      </c>
    </row>
    <row r="1624" spans="2:6" s="379" customFormat="1" ht="14.25">
      <c r="B1624" s="325"/>
      <c r="C1624" s="217"/>
      <c r="D1624" s="234"/>
      <c r="E1624" s="234"/>
      <c r="F1624" s="234"/>
    </row>
    <row r="1625" spans="2:6" s="379" customFormat="1" ht="14.25">
      <c r="B1625" s="325"/>
      <c r="C1625" s="217"/>
      <c r="D1625" s="234"/>
      <c r="E1625" s="234"/>
      <c r="F1625" s="234"/>
    </row>
    <row r="1626" spans="2:6" ht="12.75" customHeight="1">
      <c r="D1626" s="325" t="s">
        <v>1694</v>
      </c>
      <c r="E1626" s="981">
        <f>(finPNLSalesExpTot)*(finPNLCh1NetRev/finPNLNetRevTot)</f>
        <v>111527121.47919603</v>
      </c>
      <c r="F1626" s="458" t="s">
        <v>5540</v>
      </c>
    </row>
    <row r="1627" spans="2:6" ht="12.6" customHeight="1">
      <c r="D1627" s="325" t="s">
        <v>807</v>
      </c>
      <c r="E1627" s="390">
        <f t="shared" ref="E1627" si="0">(finPNLTMktExpTot)*(finPNLCh1NetRev/finPNLNetRevTot)</f>
        <v>15517032.098542312</v>
      </c>
      <c r="F1627" s="458" t="s">
        <v>5368</v>
      </c>
    </row>
    <row r="1628" spans="2:6" ht="1.1499999999999999" customHeight="1">
      <c r="D1628" s="229"/>
      <c r="E1628" s="229"/>
    </row>
    <row r="1629" spans="2:6" ht="12" customHeight="1">
      <c r="D1629" s="382" t="s">
        <v>5290</v>
      </c>
      <c r="E1629" s="390">
        <f>SUM(E1626:E1627)</f>
        <v>127044153.57773834</v>
      </c>
      <c r="F1629" s="458" t="s">
        <v>5515</v>
      </c>
    </row>
    <row r="1630" spans="2:6" ht="12" customHeight="1">
      <c r="D1630" s="382"/>
      <c r="E1630" s="382"/>
      <c r="F1630" s="382"/>
    </row>
    <row r="1631" spans="2:6" ht="12" customHeight="1">
      <c r="D1631" s="382" t="s">
        <v>2972</v>
      </c>
      <c r="E1631" s="390">
        <f>finPNLCh1GPaL-finPNLCh1BOverheadTot</f>
        <v>587866571.24650359</v>
      </c>
      <c r="F1631" s="538" t="s">
        <v>5638</v>
      </c>
    </row>
    <row r="1632" spans="2:6" ht="12" customHeight="1">
      <c r="D1632" s="325" t="s">
        <v>2974</v>
      </c>
      <c r="E1632" s="513">
        <f>finPNLCh1GCC/finPNLCh1NetRev</f>
        <v>0.36691238542082938</v>
      </c>
      <c r="F1632" s="458" t="s">
        <v>4339</v>
      </c>
    </row>
    <row r="1634" spans="2:6" ht="12.75" customHeight="1">
      <c r="C1634" s="459" t="s">
        <v>245</v>
      </c>
    </row>
    <row r="1635" spans="2:6" s="379" customFormat="1" ht="14.25">
      <c r="B1635" s="325"/>
      <c r="C1635" s="325"/>
      <c r="D1635" s="325" t="s">
        <v>1394</v>
      </c>
      <c r="E1635" s="392">
        <f>finPNLCh2Prod1Slot1Turn+finPNLCh2Prod1Slot2Turn+finPNLCh2Prod1Slot3Turn+finPNLCh2Prod2Slot1Turn+finPNLCh2Prod2Slot2Turn+finPNLCh2Prod2Slot3Turn+finPNLCh2Prod3Slot1Turn+finPNLCh2Prod3Slot2Turn+finPNLCh2Prod3Slot3Turn+finPNLCh2Prod4Slot1Turn+finPNLCh2Prod4Slot2Turn+finPNLCh2Prod4Slot3Turn</f>
        <v>1905005077.1999998</v>
      </c>
      <c r="F1635" s="276" t="s">
        <v>5401</v>
      </c>
    </row>
    <row r="1636" spans="2:6" s="379" customFormat="1" ht="14.25">
      <c r="B1636" s="325"/>
      <c r="C1636" s="325"/>
      <c r="D1636" s="325" t="s">
        <v>1759</v>
      </c>
      <c r="E1636" s="392">
        <f>finPNLCh2Prod1Slot1Excise+finPNLCh2Prod1Slot2Excise+finPNLCh2Prod1Slot3Excise+finPNLCh2Prod2Slot1Excise+finPNLCh2Prod2Slot2Excise+finPNLCh2Prod2Slot3Excise+finPNLCh2Prod3Slot1Excise+finPNLCh2Prod3Slot2Excise+finPNLCh2Prod3Slot3Excise+finPNLCh2Prod4Slot1Excise+finPNLCh2Prod4Slot2Excise+finPNLCh2Prod4Slot3Excise</f>
        <v>642441747.5999999</v>
      </c>
      <c r="F1636" s="276" t="s">
        <v>5402</v>
      </c>
    </row>
    <row r="1637" spans="2:6" s="379" customFormat="1" ht="14.25">
      <c r="B1637" s="325"/>
      <c r="C1637" s="325"/>
      <c r="D1637" s="325" t="s">
        <v>694</v>
      </c>
      <c r="E1637" s="392">
        <f>E1635-E1636</f>
        <v>1262563329.5999999</v>
      </c>
      <c r="F1637" s="276" t="s">
        <v>5403</v>
      </c>
    </row>
    <row r="1638" spans="2:6" s="379" customFormat="1" ht="14.25">
      <c r="B1638" s="325"/>
      <c r="C1638" s="325"/>
      <c r="D1638" s="325" t="s">
        <v>1396</v>
      </c>
      <c r="E1638" s="392">
        <f>finPNLCh2Prod1Slot1Discounts+finPNLCh2Prod1Slot2Discounts+finPNLCh2Prod1Slot3Discounts+finPNLCh2Prod2Slot1Discounts+finPNLCh2Prod2Slot2Discounts+finPNLCh2Prod2Slot3Discounts+finPNLCh2Prod3Slot1Discounts+finPNLCh2Prod3Slot2Discounts+finPNLCh2Prod3Slot3Discounts+finPNLCh2Prod4Slot1Discounts+finPNLCh2Prod4Slot2Discounts+finPNLCh2Prod4Slot3Discounts</f>
        <v>1500000</v>
      </c>
      <c r="F1638" s="276" t="s">
        <v>5404</v>
      </c>
    </row>
    <row r="1639" spans="2:6" s="379" customFormat="1" ht="1.9" customHeight="1">
      <c r="B1639" s="325"/>
      <c r="C1639" s="209"/>
      <c r="D1639" s="229"/>
      <c r="E1639" s="229"/>
      <c r="F1639" s="209"/>
    </row>
    <row r="1640" spans="2:6" s="379" customFormat="1" ht="14.25">
      <c r="B1640" s="325"/>
      <c r="C1640" s="209"/>
      <c r="D1640" s="217" t="s">
        <v>1760</v>
      </c>
      <c r="E1640" s="233">
        <f>E1637-E1638</f>
        <v>1261063329.5999999</v>
      </c>
      <c r="F1640" s="276" t="s">
        <v>5405</v>
      </c>
    </row>
    <row r="1641" spans="2:6" s="379" customFormat="1" ht="14.25">
      <c r="B1641" s="325"/>
      <c r="C1641" s="325"/>
      <c r="D1641" s="325"/>
      <c r="E1641" s="325"/>
      <c r="F1641" s="325"/>
    </row>
    <row r="1642" spans="2:6" s="379" customFormat="1" ht="14.25">
      <c r="B1642" s="325"/>
      <c r="C1642" s="217" t="s">
        <v>404</v>
      </c>
      <c r="D1642" s="209"/>
      <c r="E1642" s="380"/>
    </row>
    <row r="1643" spans="2:6" s="379" customFormat="1" ht="14.25">
      <c r="B1643" s="325"/>
      <c r="C1643" s="209"/>
      <c r="D1643" s="209" t="s">
        <v>400</v>
      </c>
      <c r="E1643" s="392">
        <f>finPNLCh2Prod1Slot1MatExp+finPNLCh2Prod1Slot2MatExp+finPNLCh2Prod1Slot3MatExp+finPNLCh2Prod2Slot1MatExp+finPNLCh2Prod2Slot2MatExp+finPNLCh2Prod2Slot3MatExp+finPNLCh2Prod3Slot1MatExp+finPNLCh2Prod3Slot2MatExp+finPNLCh2Prod3Slot3MatExp+finPNLCh2Prod4Slot1MatExp+finPNLCh2Prod4Slot2MatExp+finPNLCh2Prod4Slot3MatExp</f>
        <v>419350428.18012959</v>
      </c>
      <c r="F1643" s="379" t="s">
        <v>5406</v>
      </c>
    </row>
    <row r="1644" spans="2:6" s="379" customFormat="1" ht="14.25">
      <c r="B1644" s="325"/>
      <c r="C1644" s="209"/>
      <c r="D1644" s="209" t="s">
        <v>399</v>
      </c>
      <c r="E1644" s="392">
        <f>finPNLCh2Prod1Slot1LabourExp+finPNLCh2Prod1Slot2LabourExp+finPNLCh2Prod1Slot3LabourExp+finPNLCh2Prod2Slot1LabourExp+finPNLCh2Prod2Slot2LabourExp+finPNLCh2Prod2Slot3LabourExp+finPNLCh2Prod3Slot1LabourExp+finPNLCh2Prod3Slot2LabourExp+finPNLCh2Prod3Slot3LabourExp+finPNLCh2Prod4Slot1LabourExp+finPNLCh2Prod4Slot2LabourExp+finPNLCh2Prod4Slot3LabourExp</f>
        <v>61669180.614724934</v>
      </c>
      <c r="F1644" s="379" t="s">
        <v>5407</v>
      </c>
    </row>
    <row r="1645" spans="2:6" s="379" customFormat="1" ht="14.25">
      <c r="B1645" s="325"/>
      <c r="C1645" s="209"/>
      <c r="D1645" s="209" t="s">
        <v>513</v>
      </c>
      <c r="E1645" s="392">
        <f>finPNLCh2Prod1Slot1MachExp+finPNLCh2Prod1Slot2MachExp+finPNLCh2Prod1Slot3MachExp+finPNLCh2Prod2Slot1MachExp+finPNLCh2Prod2Slot2MachExp+finPNLCh2Prod2Slot3MachExp+finPNLCh2Prod3Slot1MachExp+finPNLCh2Prod3Slot2MachExp+finPNLCh2Prod3Slot3MachExp+finPNLCh2Prod4Slot1MachExp+finPNLCh2Prod4Slot2MachExp+finPNLCh2Prod4Slot3MachExp</f>
        <v>72714399.655967996</v>
      </c>
      <c r="F1645" s="379" t="s">
        <v>5408</v>
      </c>
    </row>
    <row r="1646" spans="2:6" s="379" customFormat="1" ht="14.25">
      <c r="B1646" s="325"/>
      <c r="C1646" s="209"/>
      <c r="D1646" s="209" t="s">
        <v>398</v>
      </c>
      <c r="E1646" s="392">
        <f>finPNLCh2Prod1Slot1DeprExp+finPNLCh2Prod1Slot2DeprExp+finPNLCh2Prod1Slot3DeprExp+finPNLCh2Prod2Slot1DeprExp+finPNLCh2Prod2Slot2DeprExp+finPNLCh2Prod2Slot3DeprExp+finPNLCh2Prod3Slot1DeprExp+finPNLCh2Prod3Slot2DeprExp+finPNLCh2Prod3Slot3DeprExp+finPNLCh2Prod4Slot1DeprExp+finPNLCh2Prod4Slot2DeprExp+finPNLCh2Prod4Slot3DeprExp</f>
        <v>32362311.735354811</v>
      </c>
      <c r="F1646" s="379" t="s">
        <v>5409</v>
      </c>
    </row>
    <row r="1647" spans="2:6" s="379" customFormat="1" ht="1.9" customHeight="1">
      <c r="B1647" s="325"/>
      <c r="C1647" s="209"/>
      <c r="D1647" s="229"/>
      <c r="E1647" s="229"/>
    </row>
    <row r="1648" spans="2:6" s="379" customFormat="1" ht="14.25">
      <c r="B1648" s="325"/>
      <c r="C1648" s="209"/>
      <c r="D1648" s="209" t="s">
        <v>14</v>
      </c>
      <c r="E1648" s="233">
        <f>SUM(E1643:E1647)</f>
        <v>586096320.18617725</v>
      </c>
      <c r="F1648" s="379" t="s">
        <v>5410</v>
      </c>
    </row>
    <row r="1649" spans="2:6" s="379" customFormat="1" ht="14.25">
      <c r="B1649" s="325"/>
      <c r="C1649" s="209"/>
      <c r="D1649" s="209"/>
      <c r="E1649" s="380"/>
    </row>
    <row r="1650" spans="2:6" s="379" customFormat="1" ht="14.25">
      <c r="B1650" s="325"/>
      <c r="C1650" s="217" t="s">
        <v>160</v>
      </c>
      <c r="D1650" s="209"/>
      <c r="E1650" s="380"/>
    </row>
    <row r="1651" spans="2:6" s="379" customFormat="1" ht="14.25">
      <c r="B1651" s="325"/>
      <c r="C1651" s="209"/>
      <c r="D1651" s="209" t="s">
        <v>160</v>
      </c>
      <c r="E1651" s="233">
        <f>E1640:E1640-E1648:E1648</f>
        <v>674967009.41382265</v>
      </c>
      <c r="F1651" s="379" t="s">
        <v>5411</v>
      </c>
    </row>
    <row r="1652" spans="2:6" s="379" customFormat="1" ht="14.25">
      <c r="B1652" s="325"/>
      <c r="C1652" s="217"/>
      <c r="D1652" s="234" t="s">
        <v>162</v>
      </c>
      <c r="E1652" s="337">
        <f>finPNLCh2GroProfit/finPNLCh2NetRev</f>
        <v>0.53523641007618328</v>
      </c>
      <c r="F1652" s="379" t="s">
        <v>5412</v>
      </c>
    </row>
    <row r="1653" spans="2:6" s="379" customFormat="1" ht="14.25">
      <c r="B1653" s="325"/>
      <c r="C1653" s="217"/>
      <c r="D1653" s="234"/>
      <c r="E1653" s="380"/>
    </row>
    <row r="1654" spans="2:6" s="379" customFormat="1" ht="14.25">
      <c r="B1654" s="325"/>
      <c r="C1654" s="217" t="s">
        <v>519</v>
      </c>
      <c r="D1654" s="234"/>
      <c r="E1654" s="380"/>
    </row>
    <row r="1655" spans="2:6" s="379" customFormat="1" ht="14.25">
      <c r="B1655" s="325"/>
      <c r="C1655" s="217"/>
      <c r="D1655" s="209" t="s">
        <v>519</v>
      </c>
      <c r="E1655" s="392">
        <f>finPNLCh2Prod1Slot1LogExp+finPNLCh2Prod1Slot2LogExp+finPNLCh2Prod1Slot3LogExp+finPNLCh2Prod2Slot1LogExp+finPNLCh2Prod2Slot2LogExp+finPNLCh2Prod2Slot3LogExp+finPNLCh2Prod3Slot1LogExp+finPNLCh2Prod3Slot2LogExp+finPNLCh2Prod3Slot3LogExp+finPNLCh2Prod4Slot1LogExp+finPNLCh2Prod4Slot2LogExp+finPNLCh2Prod4Slot3LogExp</f>
        <v>71254479.959242105</v>
      </c>
      <c r="F1655" s="379" t="s">
        <v>5413</v>
      </c>
    </row>
    <row r="1656" spans="2:6" s="379" customFormat="1" ht="14.25">
      <c r="B1656" s="325"/>
      <c r="C1656" s="217"/>
      <c r="D1656" s="209" t="s">
        <v>5305</v>
      </c>
      <c r="E1656" s="537">
        <f>finPNLCh2LogExp/finPNLCh2NetRev</f>
        <v>5.650349057556333E-2</v>
      </c>
      <c r="F1656" s="379" t="s">
        <v>5414</v>
      </c>
    </row>
    <row r="1657" spans="2:6" s="379" customFormat="1" ht="14.25">
      <c r="B1657" s="325"/>
      <c r="C1657" s="217"/>
      <c r="D1657" s="234"/>
      <c r="E1657" s="380"/>
    </row>
    <row r="1658" spans="2:6" s="379" customFormat="1" ht="14.25">
      <c r="B1658" s="325"/>
      <c r="C1658" s="217" t="s">
        <v>520</v>
      </c>
      <c r="D1658" s="209"/>
      <c r="E1658" s="381"/>
    </row>
    <row r="1659" spans="2:6" s="379" customFormat="1" ht="14.25">
      <c r="B1659" s="325"/>
      <c r="C1659" s="209"/>
      <c r="D1659" s="209" t="s">
        <v>521</v>
      </c>
      <c r="E1659" s="233">
        <f>finPNLCh2GroProfit-finPNLCh2LogExp</f>
        <v>603712529.45458055</v>
      </c>
      <c r="F1659" s="379" t="s">
        <v>4342</v>
      </c>
    </row>
    <row r="1660" spans="2:6" s="379" customFormat="1" ht="14.25">
      <c r="B1660" s="325"/>
      <c r="C1660" s="217"/>
      <c r="D1660" s="234" t="s">
        <v>522</v>
      </c>
      <c r="E1660" s="337">
        <f>finPNLCh2GPaL/finPNLCh2NetRev</f>
        <v>0.47873291950061997</v>
      </c>
      <c r="F1660" s="379" t="s">
        <v>5415</v>
      </c>
    </row>
    <row r="1661" spans="2:6" s="379" customFormat="1" ht="14.25">
      <c r="B1661" s="325"/>
      <c r="C1661" s="217"/>
      <c r="D1661" s="234"/>
      <c r="E1661" s="234"/>
      <c r="F1661" s="234"/>
    </row>
    <row r="1662" spans="2:6" s="379" customFormat="1" ht="14.25">
      <c r="B1662" s="325"/>
      <c r="C1662" s="217"/>
      <c r="D1662" s="234"/>
      <c r="E1662" s="234"/>
      <c r="F1662" s="234"/>
    </row>
    <row r="1663" spans="2:6" ht="12.75" customHeight="1">
      <c r="D1663" s="325" t="s">
        <v>1694</v>
      </c>
      <c r="E1663" s="981">
        <f>(finPNLSalesExpTot)*(finPNLCh2NetRev/finPNLNetRevTot)</f>
        <v>87781095.651211113</v>
      </c>
      <c r="F1663" s="458" t="s">
        <v>5541</v>
      </c>
    </row>
    <row r="1664" spans="2:6" ht="12.6" customHeight="1">
      <c r="D1664" s="325" t="s">
        <v>807</v>
      </c>
      <c r="E1664" s="390">
        <f>(finPNLTMktExpTot)*(finPNLCh2NetRev/finPNLNetRevTot)</f>
        <v>12213191.381606122</v>
      </c>
      <c r="F1664" s="458" t="s">
        <v>5416</v>
      </c>
    </row>
    <row r="1665" spans="2:6" ht="1.1499999999999999" customHeight="1">
      <c r="D1665" s="229"/>
      <c r="E1665" s="229"/>
    </row>
    <row r="1666" spans="2:6" ht="12" customHeight="1">
      <c r="D1666" s="382" t="s">
        <v>5290</v>
      </c>
      <c r="E1666" s="390">
        <f>SUM(E1663:E1664)</f>
        <v>99994287.03281723</v>
      </c>
      <c r="F1666" s="458" t="s">
        <v>5514</v>
      </c>
    </row>
    <row r="1667" spans="2:6" ht="12" customHeight="1">
      <c r="D1667" s="382"/>
      <c r="E1667" s="382"/>
      <c r="F1667" s="382"/>
    </row>
    <row r="1668" spans="2:6" ht="12" customHeight="1">
      <c r="D1668" s="382" t="s">
        <v>2972</v>
      </c>
      <c r="E1668" s="390">
        <f>finPNLCh2GPaL-finPNLCh2BOverheadTot</f>
        <v>503718242.4217633</v>
      </c>
      <c r="F1668" s="458" t="s">
        <v>5639</v>
      </c>
    </row>
    <row r="1669" spans="2:6" ht="12" customHeight="1">
      <c r="D1669" s="325" t="s">
        <v>2974</v>
      </c>
      <c r="E1669" s="513">
        <f>finPNLCh2GCC/finPNLCh2NetRev</f>
        <v>0.39943929111120774</v>
      </c>
      <c r="F1669" s="458" t="s">
        <v>4351</v>
      </c>
    </row>
    <row r="1670" spans="2:6" ht="12" customHeight="1"/>
    <row r="1671" spans="2:6" ht="12.75" customHeight="1">
      <c r="C1671" s="459" t="s">
        <v>5199</v>
      </c>
    </row>
    <row r="1672" spans="2:6" s="379" customFormat="1" ht="14.25">
      <c r="B1672" s="325"/>
      <c r="C1672" s="325"/>
      <c r="D1672" s="325" t="s">
        <v>1394</v>
      </c>
      <c r="E1672" s="392">
        <f>finPNLCh3Prod1Slot1Turn+finPNLCh3Prod1Slot2Turn+finPNLCh3Prod1Slot3Turn+finPNLCh3Prod2Slot1Turn+finPNLCh3Prod2Slot2Turn+finPNLCh3Prod2Slot3Turn+finPNLCh3Prod3Slot1Turn+finPNLCh3Prod3Slot2Turn+finPNLCh3Prod3Slot3Turn+finPNLCh3Prod4Slot1Turn+finPNLCh3Prod4Slot2Turn+finPNLCh3Prod4Slot3Turn</f>
        <v>1398572805.95</v>
      </c>
      <c r="F1672" s="276" t="s">
        <v>5385</v>
      </c>
    </row>
    <row r="1673" spans="2:6" s="379" customFormat="1" ht="14.25">
      <c r="B1673" s="325"/>
      <c r="C1673" s="325"/>
      <c r="D1673" s="325" t="s">
        <v>1759</v>
      </c>
      <c r="E1673" s="392">
        <f>finPNLCh3Prod1Slot1Excise+finPNLCh3Prod1Slot2Excise+finPNLCh3Prod1Slot3Excise+finPNLCh3Prod2Slot1Excise+finPNLCh3Prod2Slot2Excise+finPNLCh3Prod2Slot3Excise+finPNLCh3Prod3Slot1Excise+finPNLCh3Prod3Slot2Excise+finPNLCh3Prod3Slot3Excise+finPNLCh3Prod4Slot1Excise+finPNLCh3Prod4Slot2Excise+finPNLCh3Prod4Slot3Excise</f>
        <v>449277325</v>
      </c>
      <c r="F1673" s="276" t="s">
        <v>5386</v>
      </c>
    </row>
    <row r="1674" spans="2:6" s="379" customFormat="1" ht="14.25">
      <c r="B1674" s="325"/>
      <c r="C1674" s="325"/>
      <c r="D1674" s="325" t="s">
        <v>694</v>
      </c>
      <c r="E1674" s="392">
        <f>E1672-E1673</f>
        <v>949295480.95000005</v>
      </c>
      <c r="F1674" s="276" t="s">
        <v>5387</v>
      </c>
    </row>
    <row r="1675" spans="2:6" s="379" customFormat="1" ht="14.25">
      <c r="B1675" s="325"/>
      <c r="C1675" s="325"/>
      <c r="D1675" s="325" t="s">
        <v>1396</v>
      </c>
      <c r="E1675" s="392">
        <f>finPNLCh3Prod1Slot1Discounts+finPNLCh3Prod1Slot2Discounts+finPNLCh3Prod1Slot3Discounts+finPNLCh3Prod2Slot1Discounts+finPNLCh3Prod2Slot2Discounts+finPNLCh3Prod2Slot3Discounts+finPNLCh3Prod3Slot1Discounts+finPNLCh3Prod3Slot2Discounts+finPNLCh3Prod3Slot3Discounts+finPNLCh3Prod4Slot1Discounts+finPNLCh3Prod4Slot2Discounts+finPNLCh3Prod4Slot3Discounts</f>
        <v>109173301.43178159</v>
      </c>
      <c r="F1675" s="276" t="s">
        <v>5388</v>
      </c>
    </row>
    <row r="1676" spans="2:6" s="379" customFormat="1" ht="1.9" customHeight="1">
      <c r="B1676" s="325"/>
      <c r="C1676" s="209"/>
      <c r="D1676" s="229"/>
      <c r="E1676" s="229"/>
      <c r="F1676" s="209"/>
    </row>
    <row r="1677" spans="2:6" s="379" customFormat="1" ht="14.25">
      <c r="B1677" s="325"/>
      <c r="C1677" s="209"/>
      <c r="D1677" s="217" t="s">
        <v>1760</v>
      </c>
      <c r="E1677" s="233">
        <f>E1674-E1675</f>
        <v>840122179.51821852</v>
      </c>
      <c r="F1677" s="276" t="s">
        <v>5389</v>
      </c>
    </row>
    <row r="1678" spans="2:6" s="379" customFormat="1" ht="14.25">
      <c r="B1678" s="325"/>
      <c r="C1678" s="325"/>
      <c r="D1678" s="325"/>
      <c r="E1678" s="325"/>
      <c r="F1678" s="325"/>
    </row>
    <row r="1679" spans="2:6" s="379" customFormat="1" ht="14.25">
      <c r="B1679" s="325"/>
      <c r="C1679" s="217" t="s">
        <v>404</v>
      </c>
      <c r="D1679" s="209"/>
      <c r="E1679" s="380"/>
    </row>
    <row r="1680" spans="2:6" s="379" customFormat="1" ht="14.25">
      <c r="B1680" s="325"/>
      <c r="C1680" s="209"/>
      <c r="D1680" s="209" t="s">
        <v>400</v>
      </c>
      <c r="E1680" s="392">
        <f>finPNLCh3Prod1Slot1MatExp+finPNLCh3Prod1Slot2MatExp+finPNLCh3Prod1Slot3MatExp+finPNLCh3Prod2Slot1MatExp+finPNLCh3Prod2Slot2MatExp+finPNLCh3Prod2Slot3MatExp+finPNLCh3Prod3Slot1MatExp+finPNLCh3Prod3Slot2MatExp+finPNLCh3Prod3Slot3MatExp+finPNLCh3Prod4Slot1MatExp+finPNLCh3Prod4Slot2MatExp+finPNLCh3Prod4Slot3MatExp</f>
        <v>299530981.10614145</v>
      </c>
      <c r="F1680" s="379" t="s">
        <v>5390</v>
      </c>
    </row>
    <row r="1681" spans="2:6" s="379" customFormat="1" ht="14.25">
      <c r="B1681" s="325"/>
      <c r="C1681" s="209"/>
      <c r="D1681" s="209" t="s">
        <v>399</v>
      </c>
      <c r="E1681" s="392">
        <f>finPNLCh3Prod1Slot1LabourExp+finPNLCh3Prod1Slot2LabourExp+finPNLCh3Prod1Slot3LabourExp+finPNLCh3Prod2Slot1LabourExp+finPNLCh3Prod2Slot2LabourExp+finPNLCh3Prod2Slot3LabourExp+finPNLCh3Prod3Slot1LabourExp+finPNLCh3Prod3Slot2LabourExp+finPNLCh3Prod3Slot3LabourExp+finPNLCh3Prod4Slot1LabourExp+finPNLCh3Prod4Slot2LabourExp+finPNLCh3Prod4Slot3LabourExp</f>
        <v>44048673.692079619</v>
      </c>
      <c r="F1681" s="379" t="s">
        <v>5391</v>
      </c>
    </row>
    <row r="1682" spans="2:6" s="379" customFormat="1" ht="14.25">
      <c r="B1682" s="325"/>
      <c r="C1682" s="209"/>
      <c r="D1682" s="209" t="s">
        <v>513</v>
      </c>
      <c r="E1682" s="392">
        <f>finPNLCh3Prod1Slot1MachExp+finPNLCh3Prod1Slot2MachExp+finPNLCh3Prod1Slot3MachExp+finPNLCh3Prod2Slot1MachExp+finPNLCh3Prod2Slot2MachExp+finPNLCh3Prod2Slot3MachExp+finPNLCh3Prod3Slot1MachExp+finPNLCh3Prod3Slot2MachExp+finPNLCh3Prod3Slot3MachExp+finPNLCh3Prod4Slot1MachExp+finPNLCh3Prod4Slot2MachExp+finPNLCh3Prod4Slot3MachExp</f>
        <v>46659262.71434401</v>
      </c>
      <c r="F1682" s="379" t="s">
        <v>5392</v>
      </c>
    </row>
    <row r="1683" spans="2:6" s="379" customFormat="1" ht="14.25">
      <c r="B1683" s="325"/>
      <c r="C1683" s="209"/>
      <c r="D1683" s="209" t="s">
        <v>398</v>
      </c>
      <c r="E1683" s="392">
        <f>finPNLCh3Prod1Slot1DeprExp+finPNLCh3Prod1Slot2DeprExp+finPNLCh3Prod1Slot3DeprExp+finPNLCh3Prod2Slot1DeprExp+finPNLCh3Prod2Slot2DeprExp+finPNLCh3Prod2Slot3DeprExp+finPNLCh3Prod3Slot1DeprExp+finPNLCh3Prod3Slot2DeprExp+finPNLCh3Prod3Slot3DeprExp+finPNLCh3Prod4Slot1DeprExp+finPNLCh3Prod4Slot2DeprExp+finPNLCh3Prod4Slot3DeprExp</f>
        <v>20766197.788163759</v>
      </c>
      <c r="F1683" s="379" t="s">
        <v>5393</v>
      </c>
    </row>
    <row r="1684" spans="2:6" s="379" customFormat="1" ht="1.9" customHeight="1">
      <c r="B1684" s="325"/>
      <c r="C1684" s="209"/>
      <c r="D1684" s="229"/>
      <c r="E1684" s="229"/>
    </row>
    <row r="1685" spans="2:6" s="379" customFormat="1" ht="14.25">
      <c r="B1685" s="325"/>
      <c r="C1685" s="209"/>
      <c r="D1685" s="209" t="s">
        <v>14</v>
      </c>
      <c r="E1685" s="233">
        <f>SUM(E1680:E1684)</f>
        <v>411005115.30072886</v>
      </c>
      <c r="F1685" s="379" t="s">
        <v>5394</v>
      </c>
    </row>
    <row r="1686" spans="2:6" s="379" customFormat="1" ht="14.25">
      <c r="B1686" s="325"/>
      <c r="C1686" s="209"/>
      <c r="D1686" s="209"/>
      <c r="E1686" s="380"/>
    </row>
    <row r="1687" spans="2:6" s="379" customFormat="1" ht="14.25">
      <c r="B1687" s="325"/>
      <c r="C1687" s="217" t="s">
        <v>160</v>
      </c>
      <c r="D1687" s="209"/>
      <c r="E1687" s="380"/>
    </row>
    <row r="1688" spans="2:6" s="379" customFormat="1" ht="14.25">
      <c r="B1688" s="325"/>
      <c r="C1688" s="209"/>
      <c r="D1688" s="209" t="s">
        <v>160</v>
      </c>
      <c r="E1688" s="233">
        <f>E1677:E1677-E1685:E1685</f>
        <v>429117064.21748966</v>
      </c>
      <c r="F1688" s="379" t="s">
        <v>5395</v>
      </c>
    </row>
    <row r="1689" spans="2:6" s="379" customFormat="1" ht="14.25">
      <c r="B1689" s="325"/>
      <c r="C1689" s="217"/>
      <c r="D1689" s="234" t="s">
        <v>162</v>
      </c>
      <c r="E1689" s="337">
        <f>finPNLCh3GroProfit/finPNLCh3NetRev</f>
        <v>0.51077935409772623</v>
      </c>
      <c r="F1689" s="379" t="s">
        <v>5396</v>
      </c>
    </row>
    <row r="1690" spans="2:6" s="379" customFormat="1" ht="14.25">
      <c r="B1690" s="325"/>
      <c r="C1690" s="217"/>
      <c r="D1690" s="234"/>
      <c r="E1690" s="380"/>
    </row>
    <row r="1691" spans="2:6" s="379" customFormat="1" ht="14.25">
      <c r="B1691" s="325"/>
      <c r="C1691" s="217" t="s">
        <v>519</v>
      </c>
      <c r="D1691" s="234"/>
      <c r="E1691" s="380"/>
    </row>
    <row r="1692" spans="2:6" s="379" customFormat="1" ht="14.25">
      <c r="B1692" s="325"/>
      <c r="C1692" s="217"/>
      <c r="D1692" s="209" t="s">
        <v>519</v>
      </c>
      <c r="E1692" s="392">
        <f>finPNLCh3Prod1Slot1LogExp+finPNLCh3Prod1Slot2LogExp+finPNLCh3Prod1Slot3LogExp+finPNLCh3Prod2Slot1LogExp+finPNLCh3Prod2Slot2LogExp+finPNLCh3Prod2Slot3LogExp+finPNLCh3Prod3Slot1LogExp+finPNLCh3Prod3Slot2LogExp+finPNLCh3Prod3Slot3LogExp+finPNLCh3Prod4Slot1LogExp+finPNLCh3Prod4Slot2LogExp+finPNLCh3Prod4Slot3LogExp</f>
        <v>50895200.901600003</v>
      </c>
      <c r="F1692" s="379" t="s">
        <v>5397</v>
      </c>
    </row>
    <row r="1693" spans="2:6" s="379" customFormat="1" ht="14.25">
      <c r="B1693" s="325"/>
      <c r="C1693" s="217"/>
      <c r="D1693" s="209" t="s">
        <v>5305</v>
      </c>
      <c r="E1693" s="537">
        <f>finPNLCh3LogExp/finPNLCh3NetRev</f>
        <v>6.0580713308612644E-2</v>
      </c>
      <c r="F1693" s="379" t="s">
        <v>5398</v>
      </c>
    </row>
    <row r="1694" spans="2:6" s="379" customFormat="1" ht="14.25">
      <c r="B1694" s="325"/>
      <c r="C1694" s="217"/>
      <c r="D1694" s="234"/>
      <c r="E1694" s="380"/>
    </row>
    <row r="1695" spans="2:6" s="379" customFormat="1" ht="14.25">
      <c r="B1695" s="325"/>
      <c r="C1695" s="217" t="s">
        <v>520</v>
      </c>
      <c r="D1695" s="209"/>
      <c r="E1695" s="381"/>
    </row>
    <row r="1696" spans="2:6" s="379" customFormat="1" ht="14.25">
      <c r="B1696" s="325"/>
      <c r="C1696" s="209"/>
      <c r="D1696" s="209" t="s">
        <v>521</v>
      </c>
      <c r="E1696" s="233">
        <f>finPNLCh3GroProfit-finPNLCh3LogExp</f>
        <v>378221863.31588966</v>
      </c>
      <c r="F1696" s="379" t="s">
        <v>4341</v>
      </c>
    </row>
    <row r="1697" spans="2:6" s="379" customFormat="1" ht="14.25">
      <c r="B1697" s="325"/>
      <c r="C1697" s="217"/>
      <c r="D1697" s="234" t="s">
        <v>522</v>
      </c>
      <c r="E1697" s="337">
        <f>finPNLCh3GPaL/finPNLCh3NetRev</f>
        <v>0.45019864078911359</v>
      </c>
      <c r="F1697" s="379" t="s">
        <v>5399</v>
      </c>
    </row>
    <row r="1698" spans="2:6" s="379" customFormat="1" ht="14.25">
      <c r="B1698" s="325"/>
      <c r="C1698" s="217"/>
      <c r="D1698" s="234"/>
      <c r="E1698" s="234"/>
      <c r="F1698" s="234"/>
    </row>
    <row r="1699" spans="2:6" s="379" customFormat="1" ht="14.25">
      <c r="B1699" s="325"/>
      <c r="C1699" s="217"/>
      <c r="D1699" s="234"/>
      <c r="E1699" s="234"/>
      <c r="F1699" s="234"/>
    </row>
    <row r="1700" spans="2:6" ht="12.75" customHeight="1">
      <c r="D1700" s="325" t="s">
        <v>1694</v>
      </c>
      <c r="E1700" s="981">
        <f>(finPNLSalesExpTot)*(finPNLCh3NetRev/finPNLNetRevTot)</f>
        <v>58479890.476543047</v>
      </c>
      <c r="F1700" s="458" t="s">
        <v>5542</v>
      </c>
    </row>
    <row r="1701" spans="2:6" ht="12.6" customHeight="1">
      <c r="D1701" s="325" t="s">
        <v>807</v>
      </c>
      <c r="E1701" s="390">
        <f>(finPNLTMktExpTot)*(finPNLCh3NetRev/finPNLNetRevTot)</f>
        <v>8136445.4278776282</v>
      </c>
      <c r="F1701" s="458" t="s">
        <v>5400</v>
      </c>
    </row>
    <row r="1702" spans="2:6" ht="1.1499999999999999" customHeight="1">
      <c r="D1702" s="229"/>
      <c r="E1702" s="229"/>
    </row>
    <row r="1703" spans="2:6" ht="12.75" customHeight="1">
      <c r="D1703" s="382" t="s">
        <v>5290</v>
      </c>
      <c r="E1703" s="390">
        <f>SUM(E1700:E1701)</f>
        <v>66616335.904420674</v>
      </c>
      <c r="F1703" s="458" t="s">
        <v>5513</v>
      </c>
    </row>
    <row r="1704" spans="2:6" ht="12.75" customHeight="1">
      <c r="D1704" s="382"/>
      <c r="E1704" s="382"/>
      <c r="F1704" s="382"/>
    </row>
    <row r="1705" spans="2:6" ht="12.75" customHeight="1">
      <c r="D1705" s="382" t="s">
        <v>2972</v>
      </c>
      <c r="E1705" s="390">
        <f>finPNLCh3GPaL-finPNLCh3BOverheadTot</f>
        <v>311605527.41146898</v>
      </c>
      <c r="F1705" s="458" t="s">
        <v>5640</v>
      </c>
    </row>
    <row r="1706" spans="2:6" ht="12.75" customHeight="1">
      <c r="D1706" s="325" t="s">
        <v>2974</v>
      </c>
      <c r="E1706" s="513">
        <f>finPNLCh3GCC/finPNLCh3NetRev</f>
        <v>0.37090501239970136</v>
      </c>
      <c r="F1706" s="458" t="s">
        <v>4350</v>
      </c>
    </row>
    <row r="1708" spans="2:6" ht="12.75" customHeight="1">
      <c r="C1708" s="459" t="s">
        <v>246</v>
      </c>
    </row>
    <row r="1709" spans="2:6" s="379" customFormat="1" ht="14.25">
      <c r="B1709" s="325"/>
      <c r="C1709" s="325"/>
      <c r="D1709" s="325" t="s">
        <v>1394</v>
      </c>
      <c r="E1709" s="392">
        <f>finPNLCh4Prod1Slot1Turn+finPNLCh4Prod1Slot2Turn+finPNLCh4Prod1Slot3Turn+finPNLCh4Prod2Slot1Turn+finPNLCh4Prod2Slot2Turn+finPNLCh4Prod2Slot3Turn+finPNLCh4Prod3Slot1Turn+finPNLCh4Prod3Slot2Turn+finPNLCh4Prod3Slot3Turn+finPNLCh4Prod4Slot1Turn+finPNLCh4Prod4Slot2Turn+finPNLCh4Prod4Slot3Turn</f>
        <v>1294963822.5</v>
      </c>
      <c r="F1709" s="276" t="s">
        <v>5369</v>
      </c>
    </row>
    <row r="1710" spans="2:6" s="379" customFormat="1" ht="14.25">
      <c r="B1710" s="325"/>
      <c r="C1710" s="325"/>
      <c r="D1710" s="325" t="s">
        <v>1759</v>
      </c>
      <c r="E1710" s="392">
        <f>finPNLCh4Prod1Slot1Excise+finPNLCh4Prod1Slot2Excise+finPNLCh4Prod1Slot3Excise+finPNLCh4Prod2Slot1Excise+finPNLCh4Prod2Slot2Excise+finPNLCh4Prod2Slot3Excise+finPNLCh4Prod3Slot1Excise+finPNLCh4Prod3Slot2Excise+finPNLCh4Prod3Slot3Excise+finPNLCh4Prod4Slot1Excise+finPNLCh4Prod4Slot2Excise+finPNLCh4Prod4Slot3Excise</f>
        <v>425434579.5</v>
      </c>
      <c r="F1710" s="276" t="s">
        <v>5370</v>
      </c>
    </row>
    <row r="1711" spans="2:6" s="379" customFormat="1" ht="14.25">
      <c r="B1711" s="325"/>
      <c r="C1711" s="325"/>
      <c r="D1711" s="325" t="s">
        <v>694</v>
      </c>
      <c r="E1711" s="392">
        <f>E1709-E1710</f>
        <v>869529243</v>
      </c>
      <c r="F1711" s="276" t="s">
        <v>5371</v>
      </c>
    </row>
    <row r="1712" spans="2:6" s="379" customFormat="1" ht="14.25">
      <c r="B1712" s="325"/>
      <c r="C1712" s="325"/>
      <c r="D1712" s="325" t="s">
        <v>1396</v>
      </c>
      <c r="E1712" s="392">
        <f>finPNLCh4Prod1Slot1Discounts+finPNLCh4Prod1Slot2Discounts+finPNLCh4Prod1Slot3Discounts+finPNLCh4Prod2Slot1Discounts+finPNLCh4Prod2Slot2Discounts+finPNLCh4Prod2Slot3Discounts+finPNLCh4Prod3Slot1Discounts+finPNLCh4Prod3Slot2Discounts+finPNLCh4Prod3Slot3Discounts+finPNLCh4Prod4Slot1Discounts+finPNLCh4Prod4Slot2Discounts+finPNLCh4Prod4Slot3Discounts</f>
        <v>86518442.833021596</v>
      </c>
      <c r="F1712" s="276" t="s">
        <v>5372</v>
      </c>
    </row>
    <row r="1713" spans="2:6" s="379" customFormat="1" ht="1.9" customHeight="1">
      <c r="B1713" s="325"/>
      <c r="C1713" s="209"/>
      <c r="D1713" s="229"/>
      <c r="E1713" s="229"/>
      <c r="F1713" s="209"/>
    </row>
    <row r="1714" spans="2:6" s="379" customFormat="1" ht="14.25">
      <c r="B1714" s="325"/>
      <c r="C1714" s="209"/>
      <c r="D1714" s="217" t="s">
        <v>1760</v>
      </c>
      <c r="E1714" s="233">
        <f>E1711-E1712</f>
        <v>783010800.16697836</v>
      </c>
      <c r="F1714" s="276" t="s">
        <v>5373</v>
      </c>
    </row>
    <row r="1715" spans="2:6" s="379" customFormat="1" ht="14.25">
      <c r="B1715" s="325"/>
      <c r="C1715" s="325"/>
      <c r="D1715" s="325"/>
      <c r="E1715" s="325"/>
      <c r="F1715" s="325"/>
    </row>
    <row r="1716" spans="2:6" s="379" customFormat="1" ht="14.25">
      <c r="B1716" s="325"/>
      <c r="C1716" s="217" t="s">
        <v>404</v>
      </c>
      <c r="D1716" s="209"/>
      <c r="E1716" s="380"/>
    </row>
    <row r="1717" spans="2:6" s="379" customFormat="1" ht="14.25">
      <c r="B1717" s="325"/>
      <c r="C1717" s="209"/>
      <c r="D1717" s="209" t="s">
        <v>400</v>
      </c>
      <c r="E1717" s="392">
        <f>finPNLCh4Prod1Slot1MatExp+finPNLCh4Prod1Slot2MatExp+finPNLCh4Prod1Slot3MatExp+finPNLCh4Prod2Slot1MatExp+finPNLCh4Prod2Slot2MatExp+finPNLCh4Prod2Slot3MatExp+finPNLCh4Prod3Slot1MatExp+finPNLCh4Prod3Slot2MatExp+finPNLCh4Prod3Slot3MatExp+finPNLCh4Prod4Slot1MatExp+finPNLCh4Prod4Slot2MatExp+finPNLCh4Prod4Slot3MatExp</f>
        <v>257576147.91216007</v>
      </c>
      <c r="F1717" s="379" t="s">
        <v>5374</v>
      </c>
    </row>
    <row r="1718" spans="2:6" s="379" customFormat="1" ht="14.25">
      <c r="B1718" s="325"/>
      <c r="C1718" s="209"/>
      <c r="D1718" s="209" t="s">
        <v>399</v>
      </c>
      <c r="E1718" s="392">
        <f>finPNLCh4Prod1Slot1LabourExp+finPNLCh4Prod1Slot2LabourExp+finPNLCh4Prod1Slot3LabourExp+finPNLCh4Prod2Slot1LabourExp+finPNLCh4Prod2Slot2LabourExp+finPNLCh4Prod2Slot3LabourExp+finPNLCh4Prod3Slot1LabourExp+finPNLCh4Prod3Slot2LabourExp+finPNLCh4Prod3Slot3LabourExp+finPNLCh4Prod4Slot1LabourExp+finPNLCh4Prod4Slot2LabourExp+finPNLCh4Prod4Slot3LabourExp</f>
        <v>37878845.281200007</v>
      </c>
      <c r="F1718" s="379" t="s">
        <v>5375</v>
      </c>
    </row>
    <row r="1719" spans="2:6" s="379" customFormat="1" ht="14.25">
      <c r="B1719" s="325"/>
      <c r="C1719" s="209"/>
      <c r="D1719" s="209" t="s">
        <v>513</v>
      </c>
      <c r="E1719" s="392">
        <f>finPNLCh4Prod1Slot1MachExp+finPNLCh4Prod1Slot2MachExp+finPNLCh4Prod1Slot3MachExp+finPNLCh4Prod2Slot1MachExp+finPNLCh4Prod2Slot2MachExp+finPNLCh4Prod2Slot3MachExp+finPNLCh4Prod3Slot1MachExp+finPNLCh4Prod3Slot2MachExp+finPNLCh4Prod3Slot3MachExp+finPNLCh4Prod4Slot1MachExp+finPNLCh4Prod4Slot2MachExp+finPNLCh4Prod4Slot3MachExp</f>
        <v>42244775.899200007</v>
      </c>
      <c r="F1719" s="379" t="s">
        <v>5376</v>
      </c>
    </row>
    <row r="1720" spans="2:6" s="379" customFormat="1" ht="14.25">
      <c r="B1720" s="325"/>
      <c r="C1720" s="209"/>
      <c r="D1720" s="209" t="s">
        <v>398</v>
      </c>
      <c r="E1720" s="392">
        <f>finPNLCh4Prod1Slot1DeprExp+finPNLCh4Prod1Slot2DeprExp+finPNLCh4Prod1Slot3DeprExp+finPNLCh4Prod2Slot1DeprExp+finPNLCh4Prod2Slot2DeprExp+finPNLCh4Prod2Slot3DeprExp+finPNLCh4Prod3Slot1DeprExp+finPNLCh4Prod3Slot2DeprExp+finPNLCh4Prod3Slot3DeprExp+finPNLCh4Prod4Slot1DeprExp+finPNLCh4Prod4Slot2DeprExp+finPNLCh4Prod4Slot3DeprExp</f>
        <v>18801483.795622692</v>
      </c>
      <c r="F1720" s="379" t="s">
        <v>5377</v>
      </c>
    </row>
    <row r="1721" spans="2:6" s="379" customFormat="1" ht="1.9" customHeight="1">
      <c r="B1721" s="325"/>
      <c r="C1721" s="209"/>
      <c r="D1721" s="229"/>
      <c r="E1721" s="229"/>
    </row>
    <row r="1722" spans="2:6" s="379" customFormat="1" ht="14.25">
      <c r="B1722" s="325"/>
      <c r="C1722" s="209"/>
      <c r="D1722" s="209" t="s">
        <v>14</v>
      </c>
      <c r="E1722" s="233">
        <f>SUM(E1717:E1721)</f>
        <v>356501252.88818282</v>
      </c>
      <c r="F1722" s="379" t="s">
        <v>5378</v>
      </c>
    </row>
    <row r="1723" spans="2:6" s="379" customFormat="1" ht="14.25">
      <c r="B1723" s="325"/>
      <c r="C1723" s="209"/>
      <c r="D1723" s="209"/>
      <c r="E1723" s="380"/>
    </row>
    <row r="1724" spans="2:6" s="379" customFormat="1" ht="14.25">
      <c r="B1724" s="325"/>
      <c r="C1724" s="217" t="s">
        <v>160</v>
      </c>
      <c r="D1724" s="209"/>
      <c r="E1724" s="380"/>
    </row>
    <row r="1725" spans="2:6" s="379" customFormat="1" ht="14.25">
      <c r="B1725" s="325"/>
      <c r="C1725" s="209"/>
      <c r="D1725" s="209" t="s">
        <v>160</v>
      </c>
      <c r="E1725" s="233">
        <f>E1714:E1714-E1722:E1722</f>
        <v>426509547.27879554</v>
      </c>
      <c r="F1725" s="379" t="s">
        <v>5379</v>
      </c>
    </row>
    <row r="1726" spans="2:6" s="379" customFormat="1" ht="14.25">
      <c r="B1726" s="325"/>
      <c r="C1726" s="217"/>
      <c r="D1726" s="234" t="s">
        <v>162</v>
      </c>
      <c r="E1726" s="337">
        <f>finPNLCh4GroProfit/finPNLCh4NetRev</f>
        <v>0.54470455220776226</v>
      </c>
      <c r="F1726" s="379" t="s">
        <v>5380</v>
      </c>
    </row>
    <row r="1727" spans="2:6" s="379" customFormat="1" ht="14.25">
      <c r="B1727" s="325"/>
      <c r="C1727" s="217"/>
      <c r="D1727" s="234"/>
      <c r="E1727" s="380"/>
    </row>
    <row r="1728" spans="2:6" s="379" customFormat="1" ht="14.25">
      <c r="B1728" s="325"/>
      <c r="C1728" s="217" t="s">
        <v>519</v>
      </c>
      <c r="D1728" s="234"/>
      <c r="E1728" s="380"/>
    </row>
    <row r="1729" spans="2:6" s="379" customFormat="1" ht="14.25">
      <c r="B1729" s="325"/>
      <c r="C1729" s="217"/>
      <c r="D1729" s="209" t="s">
        <v>519</v>
      </c>
      <c r="E1729" s="392">
        <f>finPNLCh4Prod1Slot1LogExp+finPNLCh4Prod1Slot2LogExp+finPNLCh4Prod1Slot3LogExp+finPNLCh4Prod2Slot1LogExp+finPNLCh4Prod2Slot2LogExp+finPNLCh4Prod2Slot3LogExp+finPNLCh4Prod3Slot1LogExp+finPNLCh4Prod3Slot2LogExp+finPNLCh4Prod3Slot3LogExp+finPNLCh4Prod4Slot1LogExp+finPNLCh4Prod4Slot2LogExp+finPNLCh4Prod4Slot3LogExp</f>
        <v>43766390.197894745</v>
      </c>
      <c r="F1729" s="379" t="s">
        <v>5381</v>
      </c>
    </row>
    <row r="1730" spans="2:6" s="379" customFormat="1" ht="14.25">
      <c r="B1730" s="325"/>
      <c r="C1730" s="217"/>
      <c r="D1730" s="209" t="s">
        <v>5305</v>
      </c>
      <c r="E1730" s="537">
        <f>finPNLCh4LogExp/finPNLCh4NetRev</f>
        <v>5.5895001944496155E-2</v>
      </c>
      <c r="F1730" s="379" t="s">
        <v>5382</v>
      </c>
    </row>
    <row r="1731" spans="2:6" s="379" customFormat="1" ht="14.25">
      <c r="B1731" s="325"/>
      <c r="C1731" s="217"/>
      <c r="D1731" s="234"/>
      <c r="E1731" s="380"/>
    </row>
    <row r="1732" spans="2:6" s="379" customFormat="1" ht="14.25">
      <c r="B1732" s="325"/>
      <c r="C1732" s="217" t="s">
        <v>520</v>
      </c>
      <c r="D1732" s="209"/>
      <c r="E1732" s="381"/>
    </row>
    <row r="1733" spans="2:6" s="379" customFormat="1" ht="14.25">
      <c r="B1733" s="325"/>
      <c r="C1733" s="209"/>
      <c r="D1733" s="209" t="s">
        <v>521</v>
      </c>
      <c r="E1733" s="233">
        <f>finPNLCh4GroProfit-finPNLCh4LogExp</f>
        <v>382743157.08090079</v>
      </c>
      <c r="F1733" s="379" t="s">
        <v>4340</v>
      </c>
    </row>
    <row r="1734" spans="2:6" s="379" customFormat="1" ht="14.25">
      <c r="B1734" s="325"/>
      <c r="C1734" s="217"/>
      <c r="D1734" s="234" t="s">
        <v>522</v>
      </c>
      <c r="E1734" s="337">
        <f>finPNLCh4GPaL/finPNLCh4NetRev</f>
        <v>0.48880955026326606</v>
      </c>
      <c r="F1734" s="379" t="s">
        <v>5383</v>
      </c>
    </row>
    <row r="1735" spans="2:6" s="379" customFormat="1" ht="14.25">
      <c r="B1735" s="325"/>
      <c r="C1735" s="217"/>
      <c r="D1735" s="234"/>
      <c r="E1735" s="234"/>
      <c r="F1735" s="234"/>
    </row>
    <row r="1736" spans="2:6" ht="12.75" customHeight="1">
      <c r="D1736" s="325" t="s">
        <v>1694</v>
      </c>
      <c r="E1736" s="981">
        <f>(finPNLSalesExpTot)*(finPNLCh4NetRev/finPNLNetRevTot)</f>
        <v>54504436.321362756</v>
      </c>
      <c r="F1736" s="458" t="s">
        <v>5543</v>
      </c>
    </row>
    <row r="1737" spans="2:6" ht="12.6" customHeight="1">
      <c r="D1737" s="325" t="s">
        <v>807</v>
      </c>
      <c r="E1737" s="390">
        <f>(finPNLTMktExpTot)*(finPNLCh4NetRev/finPNLNetRevTot)</f>
        <v>7583331.0919739353</v>
      </c>
      <c r="F1737" s="458" t="s">
        <v>5384</v>
      </c>
    </row>
    <row r="1738" spans="2:6" ht="1.1499999999999999" customHeight="1">
      <c r="D1738" s="229"/>
      <c r="E1738" s="229"/>
    </row>
    <row r="1739" spans="2:6" ht="12.75" customHeight="1">
      <c r="D1739" s="382" t="s">
        <v>5290</v>
      </c>
      <c r="E1739" s="390">
        <f>SUM(E1736:E1737)</f>
        <v>62087767.413336694</v>
      </c>
      <c r="F1739" s="458" t="s">
        <v>5512</v>
      </c>
    </row>
    <row r="1740" spans="2:6" ht="12.75" customHeight="1">
      <c r="D1740" s="382"/>
      <c r="E1740" s="382"/>
      <c r="F1740" s="382"/>
    </row>
    <row r="1741" spans="2:6" ht="12.75" customHeight="1">
      <c r="D1741" s="382" t="s">
        <v>2972</v>
      </c>
      <c r="E1741" s="390">
        <f>finPNLCh4GPaL-finPNLCh4BOverheadTot</f>
        <v>320655389.66756409</v>
      </c>
      <c r="F1741" s="458" t="s">
        <v>5641</v>
      </c>
    </row>
    <row r="1742" spans="2:6" ht="12.75" customHeight="1">
      <c r="D1742" s="325" t="s">
        <v>2974</v>
      </c>
      <c r="E1742" s="388">
        <f>E1741/finPNLCh4NetRev</f>
        <v>0.40951592187385383</v>
      </c>
      <c r="F1742" s="458" t="s">
        <v>4349</v>
      </c>
    </row>
    <row r="1745" spans="5:6" ht="12.75" customHeight="1">
      <c r="E1745"/>
      <c r="F1745"/>
    </row>
  </sheetData>
  <pageMargins left="0.7" right="0.7" top="0.75" bottom="0.75" header="0.3" footer="0.3"/>
  <pageSetup paperSize="9" orientation="portrait" r:id="rId1"/>
  <cellWatches>
    <cellWatch r="E1420"/>
  </cellWatch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1"/>
  </sheetPr>
  <dimension ref="A1:G54"/>
  <sheetViews>
    <sheetView zoomScale="90" zoomScaleNormal="90" workbookViewId="0">
      <selection activeCell="C13" sqref="C13"/>
    </sheetView>
  </sheetViews>
  <sheetFormatPr defaultColWidth="13.09765625" defaultRowHeight="12.75" customHeight="1"/>
  <cols>
    <col min="1" max="2" width="4.69921875" style="235" customWidth="1"/>
    <col min="3" max="3" width="18.19921875" style="235" customWidth="1"/>
    <col min="4" max="4" width="6.3984375" style="235" customWidth="1"/>
    <col min="5" max="5" width="15.8984375" style="236" customWidth="1"/>
    <col min="6" max="6" width="24.19921875" style="235" bestFit="1" customWidth="1"/>
    <col min="7" max="7" width="6.3984375" style="235" customWidth="1"/>
    <col min="8" max="16384" width="13.09765625" style="235"/>
  </cols>
  <sheetData>
    <row r="1" spans="1:6" s="238" customFormat="1" ht="14.25">
      <c r="A1" s="218" t="s">
        <v>454</v>
      </c>
      <c r="E1" s="240" t="s">
        <v>5</v>
      </c>
    </row>
    <row r="2" spans="1:6" s="245" customFormat="1" ht="14.25">
      <c r="E2" s="241"/>
    </row>
    <row r="3" spans="1:6" ht="14.25">
      <c r="E3" s="244"/>
      <c r="F3" s="235" t="s">
        <v>455</v>
      </c>
    </row>
    <row r="4" spans="1:6" s="209" customFormat="1" ht="14.25">
      <c r="E4" s="210"/>
    </row>
    <row r="5" spans="1:6" s="218" customFormat="1" ht="14.25">
      <c r="A5" s="218" t="s">
        <v>428</v>
      </c>
      <c r="E5" s="219"/>
    </row>
    <row r="6" spans="1:6" s="209" customFormat="1" ht="14.25" customHeight="1">
      <c r="E6" s="210"/>
    </row>
    <row r="7" spans="1:6" ht="14.25">
      <c r="A7" s="235" t="s">
        <v>427</v>
      </c>
      <c r="E7" s="243" t="b">
        <v>1</v>
      </c>
    </row>
    <row r="8" spans="1:6" ht="14.25">
      <c r="A8" s="235" t="s">
        <v>417</v>
      </c>
      <c r="E8" s="851">
        <v>2590069375.7760515</v>
      </c>
    </row>
    <row r="9" spans="1:6" ht="14.25">
      <c r="A9" s="235" t="s">
        <v>426</v>
      </c>
      <c r="E9" s="844">
        <v>2590069375.7760515</v>
      </c>
    </row>
    <row r="10" spans="1:6" ht="14.25">
      <c r="E10" s="844"/>
    </row>
    <row r="11" spans="1:6" s="211" customFormat="1" ht="14.25">
      <c r="A11" s="213" t="s">
        <v>425</v>
      </c>
      <c r="B11" s="213"/>
      <c r="C11" s="213"/>
      <c r="D11" s="213"/>
      <c r="E11" s="852"/>
    </row>
    <row r="12" spans="1:6" ht="6.75" customHeight="1">
      <c r="E12" s="844"/>
    </row>
    <row r="13" spans="1:6" ht="14.25">
      <c r="A13" s="242" t="s">
        <v>424</v>
      </c>
      <c r="E13" s="844"/>
    </row>
    <row r="14" spans="1:6" ht="14.25">
      <c r="A14" s="235" t="s">
        <v>423</v>
      </c>
      <c r="E14" s="844">
        <v>1019559000.9468424</v>
      </c>
      <c r="F14" s="235" t="s">
        <v>456</v>
      </c>
    </row>
    <row r="15" spans="1:6" ht="14.25">
      <c r="A15" s="235" t="s">
        <v>512</v>
      </c>
      <c r="E15" s="844">
        <v>372035028.09541088</v>
      </c>
      <c r="F15" s="235" t="s">
        <v>457</v>
      </c>
    </row>
    <row r="16" spans="1:6" ht="14.25">
      <c r="A16" s="235" t="s">
        <v>400</v>
      </c>
      <c r="E16" s="844">
        <v>16975346.733798511</v>
      </c>
      <c r="F16" s="235" t="s">
        <v>458</v>
      </c>
    </row>
    <row r="17" spans="1:7" ht="14.25">
      <c r="A17" s="235" t="s">
        <v>510</v>
      </c>
      <c r="E17" s="844">
        <v>0</v>
      </c>
      <c r="F17" s="235" t="s">
        <v>459</v>
      </c>
    </row>
    <row r="18" spans="1:7" ht="14.25">
      <c r="A18" s="235" t="s">
        <v>511</v>
      </c>
      <c r="E18" s="844">
        <v>0</v>
      </c>
      <c r="F18" s="235" t="s">
        <v>460</v>
      </c>
    </row>
    <row r="19" spans="1:7" s="227" customFormat="1" ht="2.1" customHeight="1">
      <c r="A19" s="229"/>
      <c r="B19" s="229"/>
      <c r="C19" s="229"/>
      <c r="D19" s="229"/>
      <c r="E19" s="847"/>
      <c r="F19" s="228"/>
      <c r="G19" s="228"/>
    </row>
    <row r="20" spans="1:7" ht="14.25">
      <c r="A20" s="242" t="s">
        <v>422</v>
      </c>
      <c r="E20" s="844">
        <v>1408569375.7760518</v>
      </c>
      <c r="F20" s="235" t="s">
        <v>461</v>
      </c>
    </row>
    <row r="21" spans="1:7" ht="14.25">
      <c r="E21" s="844"/>
    </row>
    <row r="22" spans="1:7" ht="14.25">
      <c r="A22" s="242" t="s">
        <v>421</v>
      </c>
      <c r="E22" s="844">
        <v>475000000</v>
      </c>
      <c r="F22" s="235" t="s">
        <v>462</v>
      </c>
    </row>
    <row r="23" spans="1:7" ht="14.25">
      <c r="A23" s="242"/>
      <c r="E23" s="844"/>
    </row>
    <row r="24" spans="1:7" ht="14.25">
      <c r="A24" s="242" t="s">
        <v>420</v>
      </c>
      <c r="E24" s="844"/>
    </row>
    <row r="25" spans="1:7" ht="14.25">
      <c r="A25" s="235" t="s">
        <v>419</v>
      </c>
      <c r="E25" s="844">
        <v>706500000</v>
      </c>
      <c r="F25" s="235" t="s">
        <v>463</v>
      </c>
    </row>
    <row r="26" spans="1:7" s="227" customFormat="1" ht="2.1" customHeight="1">
      <c r="A26" s="229"/>
      <c r="B26" s="229"/>
      <c r="C26" s="229"/>
      <c r="D26" s="229"/>
      <c r="E26" s="847"/>
      <c r="F26" s="228"/>
      <c r="G26" s="228"/>
    </row>
    <row r="27" spans="1:7" ht="14.25">
      <c r="A27" s="235" t="s">
        <v>418</v>
      </c>
      <c r="E27" s="844">
        <v>706500000</v>
      </c>
      <c r="F27" s="235" t="s">
        <v>464</v>
      </c>
    </row>
    <row r="28" spans="1:7" ht="14.25">
      <c r="E28" s="844"/>
    </row>
    <row r="29" spans="1:7" ht="14.25">
      <c r="A29" s="242" t="s">
        <v>417</v>
      </c>
      <c r="E29" s="844">
        <v>2590069375.7760515</v>
      </c>
      <c r="F29" s="235" t="s">
        <v>465</v>
      </c>
    </row>
    <row r="30" spans="1:7" ht="14.25">
      <c r="A30" s="242"/>
      <c r="E30" s="844"/>
    </row>
    <row r="31" spans="1:7" s="211" customFormat="1" ht="14.25">
      <c r="A31" s="213" t="s">
        <v>416</v>
      </c>
      <c r="B31" s="213"/>
      <c r="C31" s="213"/>
      <c r="D31" s="213"/>
      <c r="E31" s="852"/>
    </row>
    <row r="32" spans="1:7" ht="6.75" customHeight="1">
      <c r="E32" s="844"/>
    </row>
    <row r="33" spans="1:7" ht="14.25">
      <c r="A33" s="242" t="s">
        <v>415</v>
      </c>
      <c r="E33" s="844"/>
    </row>
    <row r="34" spans="1:7" ht="14.25">
      <c r="A34" s="235" t="s">
        <v>414</v>
      </c>
      <c r="E34" s="844">
        <v>335341644.55412483</v>
      </c>
      <c r="F34" s="235" t="s">
        <v>466</v>
      </c>
    </row>
    <row r="35" spans="1:7" ht="14.25">
      <c r="A35" s="235" t="s">
        <v>413</v>
      </c>
      <c r="E35" s="844">
        <v>0</v>
      </c>
      <c r="F35" s="235" t="s">
        <v>467</v>
      </c>
    </row>
    <row r="36" spans="1:7" ht="14.25">
      <c r="A36" s="235" t="s">
        <v>412</v>
      </c>
      <c r="E36" s="844">
        <v>120254000</v>
      </c>
      <c r="F36" s="235" t="s">
        <v>468</v>
      </c>
    </row>
    <row r="37" spans="1:7" s="227" customFormat="1" ht="2.1" customHeight="1">
      <c r="A37" s="229"/>
      <c r="B37" s="229"/>
      <c r="C37" s="229"/>
      <c r="D37" s="229"/>
      <c r="E37" s="847"/>
      <c r="F37" s="228"/>
      <c r="G37" s="228"/>
    </row>
    <row r="38" spans="1:7" ht="14.25">
      <c r="A38" s="235" t="s">
        <v>411</v>
      </c>
      <c r="E38" s="844">
        <v>455595644.55412483</v>
      </c>
      <c r="F38" s="235" t="s">
        <v>469</v>
      </c>
    </row>
    <row r="39" spans="1:7" ht="14.25">
      <c r="A39" s="242"/>
      <c r="E39" s="844"/>
    </row>
    <row r="40" spans="1:7" ht="14.25">
      <c r="A40" s="242" t="s">
        <v>410</v>
      </c>
      <c r="E40" s="844">
        <v>407000000</v>
      </c>
      <c r="F40" s="235" t="s">
        <v>470</v>
      </c>
    </row>
    <row r="41" spans="1:7" ht="14.25">
      <c r="E41" s="844"/>
    </row>
    <row r="42" spans="1:7" ht="14.25">
      <c r="A42" s="242" t="s">
        <v>409</v>
      </c>
      <c r="E42" s="844">
        <v>862595644.55412483</v>
      </c>
      <c r="F42" s="235" t="s">
        <v>471</v>
      </c>
    </row>
    <row r="43" spans="1:7" ht="14.25">
      <c r="A43" s="242"/>
      <c r="E43" s="844"/>
    </row>
    <row r="44" spans="1:7" s="211" customFormat="1" ht="14.25">
      <c r="A44" s="213" t="s">
        <v>408</v>
      </c>
      <c r="B44" s="213"/>
      <c r="C44" s="213"/>
      <c r="D44" s="213"/>
      <c r="E44" s="852"/>
    </row>
    <row r="45" spans="1:7" ht="6.75" customHeight="1">
      <c r="E45" s="844"/>
    </row>
    <row r="46" spans="1:7" ht="14.25">
      <c r="A46" s="242" t="s">
        <v>408</v>
      </c>
      <c r="E46" s="844"/>
    </row>
    <row r="47" spans="1:7" ht="14.25">
      <c r="A47" s="235" t="s">
        <v>407</v>
      </c>
      <c r="E47" s="844">
        <v>200000000</v>
      </c>
      <c r="F47" s="235" t="s">
        <v>472</v>
      </c>
    </row>
    <row r="48" spans="1:7" ht="14.25">
      <c r="A48" s="235" t="s">
        <v>406</v>
      </c>
      <c r="E48" s="844">
        <v>772018629.44400883</v>
      </c>
      <c r="F48" s="235" t="s">
        <v>473</v>
      </c>
    </row>
    <row r="49" spans="1:7" ht="14.25">
      <c r="A49" s="401" t="s">
        <v>1701</v>
      </c>
      <c r="E49" s="844">
        <v>755455101.7779181</v>
      </c>
      <c r="F49" s="235" t="s">
        <v>474</v>
      </c>
    </row>
    <row r="50" spans="1:7" s="227" customFormat="1" ht="2.1" customHeight="1">
      <c r="A50" s="229"/>
      <c r="B50" s="229"/>
      <c r="C50" s="229"/>
      <c r="D50" s="229"/>
      <c r="E50" s="847"/>
      <c r="F50" s="228"/>
      <c r="G50" s="228"/>
    </row>
    <row r="51" spans="1:7" ht="14.25">
      <c r="A51" s="235" t="s">
        <v>405</v>
      </c>
      <c r="E51" s="844">
        <v>1727473731.2219269</v>
      </c>
      <c r="F51" s="235" t="s">
        <v>475</v>
      </c>
    </row>
    <row r="52" spans="1:7" s="209" customFormat="1" ht="14.25">
      <c r="E52" s="210"/>
    </row>
    <row r="53" spans="1:7" s="238" customFormat="1" ht="14.25">
      <c r="A53" s="238" t="s">
        <v>24</v>
      </c>
      <c r="E53" s="241"/>
      <c r="F53" s="239"/>
      <c r="G53" s="239"/>
    </row>
    <row r="54" spans="1:7" ht="14.25">
      <c r="E54" s="446" t="s">
        <v>2918</v>
      </c>
      <c r="F54" s="237"/>
      <c r="G54" s="237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1"/>
  </sheetPr>
  <dimension ref="A1:G53"/>
  <sheetViews>
    <sheetView zoomScale="90" zoomScaleNormal="90" workbookViewId="0">
      <selection activeCell="A12" sqref="A12"/>
    </sheetView>
  </sheetViews>
  <sheetFormatPr defaultColWidth="13.09765625" defaultRowHeight="12.75" customHeight="1"/>
  <cols>
    <col min="1" max="1" width="22.296875" style="246" customWidth="1"/>
    <col min="2" max="2" width="2.296875" style="246" customWidth="1"/>
    <col min="3" max="3" width="3.09765625" style="246" customWidth="1"/>
    <col min="4" max="4" width="3.3984375" style="246" customWidth="1"/>
    <col min="5" max="5" width="18.59765625" style="246" customWidth="1"/>
    <col min="6" max="6" width="6.3984375" style="246" customWidth="1"/>
    <col min="7" max="7" width="16" style="246" customWidth="1"/>
    <col min="8" max="16384" width="13.09765625" style="246"/>
  </cols>
  <sheetData>
    <row r="1" spans="1:7" s="238" customFormat="1" ht="14.25">
      <c r="A1" s="218" t="s">
        <v>476</v>
      </c>
      <c r="E1" s="240" t="s">
        <v>5</v>
      </c>
    </row>
    <row r="2" spans="1:7" s="245" customFormat="1" ht="14.25">
      <c r="E2" s="241"/>
    </row>
    <row r="3" spans="1:7" ht="14.25">
      <c r="A3" s="247"/>
      <c r="B3" s="235"/>
      <c r="C3" s="235"/>
      <c r="D3" s="235"/>
      <c r="E3" s="244"/>
      <c r="F3" s="235" t="s">
        <v>477</v>
      </c>
      <c r="G3" s="235"/>
    </row>
    <row r="4" spans="1:7" ht="14.25">
      <c r="A4" s="215"/>
      <c r="B4" s="209"/>
      <c r="C4" s="209"/>
      <c r="D4" s="209"/>
      <c r="E4" s="210"/>
      <c r="F4" s="209"/>
      <c r="G4" s="209"/>
    </row>
    <row r="5" spans="1:7" s="252" customFormat="1" ht="14.25">
      <c r="A5" s="218" t="s">
        <v>428</v>
      </c>
      <c r="B5" s="218"/>
      <c r="C5" s="218"/>
      <c r="D5" s="218"/>
      <c r="E5" s="218"/>
      <c r="F5" s="218"/>
      <c r="G5" s="218"/>
    </row>
    <row r="6" spans="1:7" ht="14.25">
      <c r="A6" s="215" t="s">
        <v>5661</v>
      </c>
      <c r="B6" s="209"/>
      <c r="C6" s="209"/>
      <c r="D6" s="209"/>
      <c r="E6" s="452"/>
      <c r="F6" s="209"/>
      <c r="G6" s="209"/>
    </row>
    <row r="7" spans="1:7" s="237" customFormat="1" ht="14.25">
      <c r="A7" s="247" t="s">
        <v>427</v>
      </c>
      <c r="B7" s="235"/>
      <c r="C7" s="235"/>
      <c r="D7" s="235"/>
      <c r="E7" s="251" t="b">
        <f>E8=E9</f>
        <v>1</v>
      </c>
      <c r="F7" s="235"/>
      <c r="G7" s="235"/>
    </row>
    <row r="8" spans="1:7" ht="14.25">
      <c r="A8" s="247" t="s">
        <v>417</v>
      </c>
      <c r="B8" s="235"/>
      <c r="C8" s="235"/>
      <c r="D8" s="235"/>
      <c r="E8" s="843">
        <f>finBSCloseAssets</f>
        <v>3325967643.2461538</v>
      </c>
      <c r="F8" s="235"/>
      <c r="G8" s="453"/>
    </row>
    <row r="9" spans="1:7" ht="14.25">
      <c r="A9" s="247" t="s">
        <v>426</v>
      </c>
      <c r="B9" s="235"/>
      <c r="C9" s="235"/>
      <c r="D9" s="235"/>
      <c r="E9" s="843">
        <f>finBSCloseLiab+finBSCloseEquity</f>
        <v>3325967643.2461534</v>
      </c>
      <c r="F9" s="235"/>
      <c r="G9" s="453"/>
    </row>
    <row r="10" spans="1:7" ht="14.25">
      <c r="A10" s="247" t="s">
        <v>5661</v>
      </c>
      <c r="B10" s="235"/>
      <c r="C10" s="235"/>
      <c r="D10" s="235"/>
      <c r="E10" s="844"/>
      <c r="F10" s="235"/>
      <c r="G10" s="235"/>
    </row>
    <row r="11" spans="1:7" s="250" customFormat="1" ht="14.25">
      <c r="A11" s="213" t="s">
        <v>425</v>
      </c>
      <c r="B11" s="213"/>
      <c r="C11" s="213"/>
      <c r="D11" s="213"/>
      <c r="E11" s="845"/>
      <c r="F11" s="213"/>
      <c r="G11" s="213"/>
    </row>
    <row r="12" spans="1:7" ht="14.25">
      <c r="A12" s="247" t="s">
        <v>5661</v>
      </c>
      <c r="B12" s="235"/>
      <c r="C12" s="235"/>
      <c r="D12" s="235"/>
      <c r="E12" s="399"/>
      <c r="F12" s="235"/>
    </row>
    <row r="13" spans="1:7" ht="14.25">
      <c r="A13" s="249" t="s">
        <v>424</v>
      </c>
      <c r="B13" s="235"/>
      <c r="C13" s="235"/>
      <c r="D13" s="235"/>
      <c r="E13" s="844"/>
      <c r="F13" s="235"/>
      <c r="G13" s="235"/>
    </row>
    <row r="14" spans="1:7" ht="14.25">
      <c r="A14" s="247" t="s">
        <v>423</v>
      </c>
      <c r="B14" s="235"/>
      <c r="C14" s="235"/>
      <c r="D14" s="235"/>
      <c r="E14" s="843">
        <f>finCFClosing</f>
        <v>1435495022.7183237</v>
      </c>
      <c r="F14" s="235" t="s">
        <v>478</v>
      </c>
      <c r="G14" s="235"/>
    </row>
    <row r="15" spans="1:7" ht="14.25">
      <c r="A15" s="247" t="s">
        <v>512</v>
      </c>
      <c r="B15" s="235"/>
      <c r="C15" s="235"/>
      <c r="D15" s="235"/>
      <c r="E15" s="843">
        <f>finPNLNetRevTot*(paramCreditDays/cnstDaysPYear)</f>
        <v>368744800.72968328</v>
      </c>
      <c r="F15" s="235" t="s">
        <v>479</v>
      </c>
      <c r="G15" s="235"/>
    </row>
    <row r="16" spans="1:7" s="235" customFormat="1" ht="14.25">
      <c r="A16" s="445" t="s">
        <v>400</v>
      </c>
      <c r="E16" s="843">
        <f>finPNLMatExpTot*(paramPlant1LifecycleDays/cnstDaysPYear)</f>
        <v>16936228.522871427</v>
      </c>
      <c r="F16" s="235" t="s">
        <v>480</v>
      </c>
    </row>
    <row r="17" spans="1:7" s="235" customFormat="1" ht="14.25">
      <c r="A17" s="445" t="s">
        <v>510</v>
      </c>
      <c r="E17" s="846">
        <f>finBSOpenProd1WIP</f>
        <v>0</v>
      </c>
      <c r="F17" s="235" t="s">
        <v>481</v>
      </c>
    </row>
    <row r="18" spans="1:7" s="235" customFormat="1" ht="14.25">
      <c r="A18" s="445" t="s">
        <v>511</v>
      </c>
      <c r="E18" s="846">
        <f>finBSOpenProd1FG</f>
        <v>0</v>
      </c>
      <c r="F18" s="235" t="s">
        <v>482</v>
      </c>
    </row>
    <row r="19" spans="1:7" ht="2.1" customHeight="1">
      <c r="A19" s="229" t="s">
        <v>5661</v>
      </c>
      <c r="B19" s="229"/>
      <c r="C19" s="229"/>
      <c r="D19" s="229"/>
      <c r="E19" s="847"/>
      <c r="F19" s="228"/>
      <c r="G19" s="228"/>
    </row>
    <row r="20" spans="1:7" ht="14.25">
      <c r="A20" s="247" t="s">
        <v>422</v>
      </c>
      <c r="B20" s="235"/>
      <c r="C20" s="235"/>
      <c r="D20" s="235"/>
      <c r="E20" s="843">
        <f>SUM(E14:E19)</f>
        <v>1821176051.9708786</v>
      </c>
      <c r="F20" s="235" t="s">
        <v>483</v>
      </c>
      <c r="G20" s="235"/>
    </row>
    <row r="21" spans="1:7" ht="14.25">
      <c r="A21" s="247" t="s">
        <v>5661</v>
      </c>
      <c r="B21" s="235"/>
      <c r="C21" s="235"/>
      <c r="D21" s="235"/>
      <c r="E21" s="844"/>
      <c r="F21" s="235"/>
      <c r="G21" s="235"/>
    </row>
    <row r="22" spans="1:7" ht="14.25">
      <c r="A22" s="249" t="s">
        <v>421</v>
      </c>
      <c r="B22" s="235"/>
      <c r="C22" s="235"/>
      <c r="D22" s="235"/>
      <c r="E22" s="848">
        <f>finBSOpenGoodwill</f>
        <v>475000000</v>
      </c>
      <c r="F22" s="235" t="s">
        <v>484</v>
      </c>
      <c r="G22" s="235"/>
    </row>
    <row r="23" spans="1:7" ht="14.25">
      <c r="A23" s="249" t="s">
        <v>5661</v>
      </c>
      <c r="B23" s="235"/>
      <c r="C23" s="235"/>
      <c r="D23" s="235"/>
      <c r="E23" s="844"/>
      <c r="F23" s="235"/>
      <c r="G23" s="235"/>
    </row>
    <row r="24" spans="1:7" ht="14.25">
      <c r="A24" s="249" t="s">
        <v>420</v>
      </c>
      <c r="B24" s="235"/>
      <c r="C24" s="235"/>
      <c r="D24" s="235"/>
      <c r="E24" s="844"/>
      <c r="F24" s="235"/>
      <c r="G24" s="235"/>
    </row>
    <row r="25" spans="1:7" ht="14.25">
      <c r="A25" s="247" t="s">
        <v>419</v>
      </c>
      <c r="B25" s="235"/>
      <c r="C25" s="235"/>
      <c r="D25" s="235"/>
      <c r="E25" s="849">
        <f>finBSOpenPPEValue-finPNLDepExpTot+CalcPlant1Investment-CalcPlant1DivestmentValue</f>
        <v>1029791591.275275</v>
      </c>
      <c r="F25" s="235" t="s">
        <v>485</v>
      </c>
      <c r="G25" s="235"/>
    </row>
    <row r="26" spans="1:7" ht="2.1" customHeight="1">
      <c r="A26" s="229" t="s">
        <v>5661</v>
      </c>
      <c r="B26" s="229"/>
      <c r="C26" s="229"/>
      <c r="D26" s="229"/>
      <c r="E26" s="847"/>
      <c r="F26" s="228"/>
      <c r="G26" s="228"/>
    </row>
    <row r="27" spans="1:7" ht="14.25">
      <c r="A27" s="247" t="s">
        <v>418</v>
      </c>
      <c r="B27" s="235"/>
      <c r="C27" s="235"/>
      <c r="D27" s="235"/>
      <c r="E27" s="843">
        <f>SUM(E25:E26)</f>
        <v>1029791591.275275</v>
      </c>
      <c r="F27" s="235" t="s">
        <v>486</v>
      </c>
      <c r="G27" s="235"/>
    </row>
    <row r="28" spans="1:7" ht="14.25">
      <c r="A28" s="247" t="s">
        <v>5661</v>
      </c>
      <c r="B28" s="235"/>
      <c r="C28" s="235"/>
      <c r="D28" s="235"/>
      <c r="E28" s="844"/>
      <c r="F28" s="235"/>
      <c r="G28" s="235"/>
    </row>
    <row r="29" spans="1:7" ht="14.25">
      <c r="A29" s="249" t="s">
        <v>417</v>
      </c>
      <c r="B29" s="235"/>
      <c r="C29" s="235"/>
      <c r="D29" s="235"/>
      <c r="E29" s="843">
        <f>finBSCloseCurrentAssets+finBSCloseGoodwill+finBSClosePlantValue</f>
        <v>3325967643.2461538</v>
      </c>
      <c r="F29" s="235" t="s">
        <v>487</v>
      </c>
      <c r="G29" s="235"/>
    </row>
    <row r="30" spans="1:7" ht="14.25">
      <c r="A30" s="249" t="s">
        <v>5661</v>
      </c>
      <c r="B30" s="235"/>
      <c r="C30" s="235"/>
      <c r="D30" s="235"/>
      <c r="E30" s="844"/>
      <c r="F30" s="235"/>
      <c r="G30" s="235"/>
    </row>
    <row r="31" spans="1:7" s="250" customFormat="1" ht="14.25">
      <c r="A31" s="213" t="s">
        <v>416</v>
      </c>
      <c r="B31" s="213"/>
      <c r="C31" s="213"/>
      <c r="D31" s="213"/>
      <c r="E31" s="845"/>
      <c r="F31" s="213"/>
      <c r="G31" s="213"/>
    </row>
    <row r="32" spans="1:7" ht="14.25">
      <c r="A32" s="247" t="s">
        <v>5661</v>
      </c>
      <c r="B32" s="235"/>
      <c r="C32" s="235"/>
      <c r="D32" s="235"/>
      <c r="E32" s="850"/>
      <c r="F32" s="235"/>
      <c r="G32" s="235"/>
    </row>
    <row r="33" spans="1:7" ht="14.25">
      <c r="A33" s="249" t="s">
        <v>415</v>
      </c>
      <c r="B33" s="235"/>
      <c r="C33" s="235"/>
      <c r="D33" s="235"/>
      <c r="E33" s="844"/>
      <c r="F33" s="235"/>
      <c r="G33" s="235"/>
    </row>
    <row r="34" spans="1:7" ht="14.25">
      <c r="A34" s="247" t="s">
        <v>414</v>
      </c>
      <c r="B34" s="235"/>
      <c r="C34" s="235"/>
      <c r="D34" s="235"/>
      <c r="E34" s="843">
        <f>(finPNLMatExpTot+finPNLLabExpTot+finPNLLogExpTot)*(paramAPDays/cnstDaysPYear)</f>
        <v>334568878.88459146</v>
      </c>
      <c r="F34" s="235" t="s">
        <v>488</v>
      </c>
      <c r="G34" s="235"/>
    </row>
    <row r="35" spans="1:7" ht="14.25">
      <c r="A35" s="247" t="s">
        <v>413</v>
      </c>
      <c r="B35" s="235"/>
      <c r="C35" s="235"/>
      <c r="D35" s="235"/>
      <c r="E35" s="843">
        <f>finCFSpecialLoans+finBSOpenSpecialLoans</f>
        <v>0</v>
      </c>
      <c r="F35" s="235" t="s">
        <v>489</v>
      </c>
      <c r="G35" s="235"/>
    </row>
    <row r="36" spans="1:7" ht="14.25">
      <c r="A36" s="247" t="s">
        <v>412</v>
      </c>
      <c r="B36" s="235"/>
      <c r="C36" s="235"/>
      <c r="D36" s="235"/>
      <c r="E36" s="843">
        <f>finBSOpenOtherCurrLiab</f>
        <v>120254000</v>
      </c>
      <c r="F36" s="235" t="s">
        <v>490</v>
      </c>
      <c r="G36" s="235"/>
    </row>
    <row r="37" spans="1:7" ht="2.1" customHeight="1">
      <c r="A37" s="229" t="s">
        <v>5661</v>
      </c>
      <c r="B37" s="229"/>
      <c r="C37" s="229"/>
      <c r="D37" s="229"/>
      <c r="E37" s="847"/>
      <c r="F37" s="228"/>
      <c r="G37" s="228"/>
    </row>
    <row r="38" spans="1:7" ht="14.25">
      <c r="A38" s="247" t="s">
        <v>411</v>
      </c>
      <c r="B38" s="235"/>
      <c r="C38" s="235"/>
      <c r="D38" s="235"/>
      <c r="E38" s="843">
        <f>SUM(E34:E37)</f>
        <v>454822878.88459146</v>
      </c>
      <c r="F38" s="235" t="s">
        <v>491</v>
      </c>
      <c r="G38" s="235"/>
    </row>
    <row r="39" spans="1:7" ht="14.25">
      <c r="A39" s="249" t="s">
        <v>5661</v>
      </c>
      <c r="B39" s="235"/>
      <c r="C39" s="235"/>
      <c r="D39" s="235"/>
      <c r="E39" s="844"/>
      <c r="F39" s="235"/>
      <c r="G39" s="235"/>
    </row>
    <row r="40" spans="1:7" ht="14.25">
      <c r="A40" s="249" t="s">
        <v>410</v>
      </c>
      <c r="B40" s="235"/>
      <c r="C40" s="235"/>
      <c r="D40" s="235"/>
      <c r="E40" s="843">
        <f>finBSOpenLongTermLiab</f>
        <v>407000000</v>
      </c>
      <c r="F40" s="235" t="s">
        <v>492</v>
      </c>
      <c r="G40" s="235"/>
    </row>
    <row r="41" spans="1:7" ht="14.25">
      <c r="A41" s="247" t="s">
        <v>5661</v>
      </c>
      <c r="B41" s="235"/>
      <c r="C41" s="235"/>
      <c r="D41" s="235"/>
      <c r="E41" s="844"/>
      <c r="F41" s="235"/>
      <c r="G41" s="235"/>
    </row>
    <row r="42" spans="1:7" ht="14.25">
      <c r="A42" s="249" t="s">
        <v>409</v>
      </c>
      <c r="B42" s="235"/>
      <c r="C42" s="235"/>
      <c r="D42" s="235"/>
      <c r="E42" s="843">
        <f>finBSCloseCurrentLiab+finBSCloseLongTermLiab</f>
        <v>861822878.88459146</v>
      </c>
      <c r="F42" s="235" t="s">
        <v>493</v>
      </c>
      <c r="G42" s="235"/>
    </row>
    <row r="43" spans="1:7" ht="14.25">
      <c r="A43" s="249" t="s">
        <v>5661</v>
      </c>
      <c r="B43" s="235"/>
      <c r="C43" s="235"/>
      <c r="D43" s="235"/>
      <c r="E43" s="844"/>
      <c r="F43" s="235"/>
      <c r="G43" s="235"/>
    </row>
    <row r="44" spans="1:7" s="250" customFormat="1" ht="14.25">
      <c r="A44" s="213" t="s">
        <v>408</v>
      </c>
      <c r="B44" s="213"/>
      <c r="C44" s="213"/>
      <c r="D44" s="213"/>
      <c r="E44" s="845"/>
      <c r="F44" s="213"/>
      <c r="G44" s="213"/>
    </row>
    <row r="45" spans="1:7" ht="14.25">
      <c r="A45" s="247" t="s">
        <v>5661</v>
      </c>
      <c r="B45" s="235"/>
      <c r="C45" s="235"/>
      <c r="D45" s="235"/>
      <c r="E45" s="844"/>
      <c r="F45" s="235"/>
      <c r="G45" s="235"/>
    </row>
    <row r="46" spans="1:7" ht="14.25">
      <c r="A46" s="249" t="s">
        <v>408</v>
      </c>
      <c r="B46" s="235"/>
      <c r="C46" s="235"/>
      <c r="D46" s="235"/>
      <c r="E46" s="844"/>
      <c r="F46" s="235"/>
      <c r="G46" s="235"/>
    </row>
    <row r="47" spans="1:7" ht="14.25">
      <c r="A47" s="247" t="s">
        <v>407</v>
      </c>
      <c r="B47" s="235"/>
      <c r="C47" s="235"/>
      <c r="D47" s="235"/>
      <c r="E47" s="848">
        <f>finBSOpenStock</f>
        <v>200000000</v>
      </c>
      <c r="F47" s="235" t="s">
        <v>494</v>
      </c>
      <c r="G47" s="235"/>
    </row>
    <row r="48" spans="1:7" ht="14.25">
      <c r="A48" s="247" t="s">
        <v>406</v>
      </c>
      <c r="B48" s="235"/>
      <c r="C48" s="235"/>
      <c r="D48" s="235"/>
      <c r="E48" s="848">
        <f>finBSOpenRetainedEarnings+finBSOpenNetEarnings</f>
        <v>1527473731.2219269</v>
      </c>
      <c r="F48" s="235" t="s">
        <v>495</v>
      </c>
      <c r="G48" s="235"/>
    </row>
    <row r="49" spans="1:7" ht="14.25">
      <c r="A49" s="247" t="s">
        <v>1701</v>
      </c>
      <c r="B49" s="235"/>
      <c r="C49" s="235"/>
      <c r="D49" s="235"/>
      <c r="E49" s="843">
        <f>finPNLNetIncTot</f>
        <v>736671033.13963497</v>
      </c>
      <c r="F49" s="235" t="s">
        <v>496</v>
      </c>
      <c r="G49" s="235"/>
    </row>
    <row r="50" spans="1:7" ht="2.1" customHeight="1">
      <c r="A50" s="248" t="s">
        <v>5661</v>
      </c>
      <c r="B50" s="229"/>
      <c r="C50" s="229"/>
      <c r="D50" s="229"/>
      <c r="E50" s="847"/>
      <c r="F50" s="228"/>
      <c r="G50" s="228"/>
    </row>
    <row r="51" spans="1:7" ht="14.25">
      <c r="A51" s="247" t="s">
        <v>405</v>
      </c>
      <c r="B51" s="235"/>
      <c r="C51" s="235"/>
      <c r="D51" s="235"/>
      <c r="E51" s="843">
        <f>SUM(E47:E50)</f>
        <v>2464144764.3615618</v>
      </c>
      <c r="F51" s="235" t="s">
        <v>497</v>
      </c>
      <c r="G51" s="235"/>
    </row>
    <row r="52" spans="1:7" ht="14.25">
      <c r="A52" s="215" t="s">
        <v>5661</v>
      </c>
      <c r="B52" s="209"/>
      <c r="C52" s="209"/>
      <c r="D52" s="209"/>
      <c r="E52" s="210"/>
      <c r="F52" s="209"/>
      <c r="G52" s="209"/>
    </row>
    <row r="53" spans="1:7" s="238" customFormat="1" ht="14.25">
      <c r="A53" s="238" t="s">
        <v>24</v>
      </c>
      <c r="E53" s="240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1"/>
  </sheetPr>
  <dimension ref="A1:F39"/>
  <sheetViews>
    <sheetView zoomScale="90" zoomScaleNormal="90" workbookViewId="0">
      <selection activeCell="G1" sqref="G1:J1048576"/>
    </sheetView>
  </sheetViews>
  <sheetFormatPr defaultColWidth="13.09765625" defaultRowHeight="12.75" customHeight="1"/>
  <cols>
    <col min="1" max="2" width="2" style="207" customWidth="1"/>
    <col min="3" max="3" width="2.296875" style="207" customWidth="1"/>
    <col min="4" max="4" width="34" style="207" customWidth="1"/>
    <col min="5" max="5" width="14.5" style="207" customWidth="1"/>
    <col min="6" max="6" width="17.59765625" style="207" customWidth="1"/>
    <col min="7" max="16384" width="13.09765625" style="207"/>
  </cols>
  <sheetData>
    <row r="1" spans="1:6" s="218" customFormat="1" ht="14.25">
      <c r="A1" s="218" t="s">
        <v>498</v>
      </c>
      <c r="E1" s="219"/>
    </row>
    <row r="2" spans="1:6" ht="14.25">
      <c r="A2" s="209"/>
      <c r="B2" s="209"/>
      <c r="C2" s="209"/>
      <c r="D2" s="209"/>
      <c r="E2" s="210"/>
      <c r="F2" s="209"/>
    </row>
    <row r="3" spans="1:6" s="211" customFormat="1" ht="14.25">
      <c r="B3" s="213" t="s">
        <v>452</v>
      </c>
      <c r="E3" s="212"/>
    </row>
    <row r="4" spans="1:6" ht="15" customHeight="1">
      <c r="A4" s="209"/>
      <c r="B4" s="209"/>
      <c r="C4" s="209"/>
      <c r="D4" s="209"/>
      <c r="E4" s="210"/>
      <c r="F4" s="209"/>
    </row>
    <row r="5" spans="1:6" ht="15" customHeight="1">
      <c r="A5" s="209"/>
      <c r="B5" s="209"/>
      <c r="C5" s="217" t="s">
        <v>451</v>
      </c>
      <c r="D5" s="209"/>
      <c r="E5" s="226">
        <f>finBSOpenCash</f>
        <v>1019559000.9468424</v>
      </c>
      <c r="F5" s="209" t="s">
        <v>499</v>
      </c>
    </row>
    <row r="6" spans="1:6" ht="15" customHeight="1">
      <c r="A6" s="209"/>
      <c r="B6" s="209"/>
      <c r="C6" s="209"/>
      <c r="D6" s="209"/>
      <c r="E6" s="210"/>
      <c r="F6" s="209"/>
    </row>
    <row r="7" spans="1:6" ht="15" customHeight="1">
      <c r="A7" s="209"/>
      <c r="B7" s="209"/>
      <c r="C7" s="217" t="s">
        <v>448</v>
      </c>
      <c r="D7" s="209"/>
      <c r="E7" s="210"/>
      <c r="F7" s="209"/>
    </row>
    <row r="8" spans="1:6" ht="15" customHeight="1">
      <c r="A8" s="209"/>
      <c r="B8" s="209"/>
      <c r="C8" s="209"/>
      <c r="D8" s="276" t="s">
        <v>1701</v>
      </c>
      <c r="E8" s="226">
        <f>finPNLNetIncTot</f>
        <v>736671033.13963497</v>
      </c>
      <c r="F8" s="209" t="s">
        <v>6976</v>
      </c>
    </row>
    <row r="9" spans="1:6" ht="15" customHeight="1">
      <c r="A9" s="209"/>
      <c r="B9" s="209"/>
      <c r="C9" s="209"/>
      <c r="D9" s="209" t="s">
        <v>449</v>
      </c>
      <c r="E9" s="232">
        <f>finPNLDepExpTot</f>
        <v>114421287.91947502</v>
      </c>
      <c r="F9" s="209" t="s">
        <v>6977</v>
      </c>
    </row>
    <row r="10" spans="1:6" s="227" customFormat="1" ht="2.1" customHeight="1">
      <c r="A10" s="231"/>
      <c r="B10" s="230"/>
      <c r="C10" s="209"/>
      <c r="D10" s="229"/>
      <c r="E10" s="229"/>
      <c r="F10" s="228"/>
    </row>
    <row r="11" spans="1:6" ht="14.25">
      <c r="A11" s="209"/>
      <c r="B11" s="209"/>
      <c r="C11" s="209"/>
      <c r="D11" s="209" t="s">
        <v>448</v>
      </c>
      <c r="E11" s="226">
        <f>SUM(E8:E10)</f>
        <v>851092321.05910993</v>
      </c>
      <c r="F11" s="209" t="s">
        <v>6978</v>
      </c>
    </row>
    <row r="12" spans="1:6" ht="15" customHeight="1">
      <c r="A12" s="209"/>
      <c r="B12" s="209"/>
      <c r="C12" s="209"/>
      <c r="D12" s="209"/>
      <c r="E12" s="210"/>
      <c r="F12" s="209"/>
    </row>
    <row r="13" spans="1:6" ht="15" customHeight="1">
      <c r="A13" s="209"/>
      <c r="B13" s="209"/>
      <c r="C13" s="209"/>
      <c r="D13" s="209" t="s">
        <v>447</v>
      </c>
      <c r="E13" s="226">
        <f>-(finBSCloseProd1AR-finBSOpenProd1AR)</f>
        <v>3290227.3657276034</v>
      </c>
      <c r="F13" s="209" t="s">
        <v>6979</v>
      </c>
    </row>
    <row r="14" spans="1:6" ht="15" customHeight="1">
      <c r="A14" s="209"/>
      <c r="B14" s="209"/>
      <c r="C14" s="209"/>
      <c r="D14" s="209" t="s">
        <v>446</v>
      </c>
      <c r="E14" s="226">
        <f>-(finBSCloseProd1Mat-finBSOpenProd1Mat)</f>
        <v>39118.210927084088</v>
      </c>
      <c r="F14" s="209" t="s">
        <v>6980</v>
      </c>
    </row>
    <row r="15" spans="1:6" ht="15" customHeight="1">
      <c r="A15" s="209"/>
      <c r="B15" s="209"/>
      <c r="C15" s="209"/>
      <c r="D15" s="209" t="s">
        <v>445</v>
      </c>
      <c r="E15" s="226">
        <f>-(finBSCloseProd1FG-finBSOpenProd1FG)</f>
        <v>0</v>
      </c>
      <c r="F15" s="209" t="s">
        <v>6981</v>
      </c>
    </row>
    <row r="16" spans="1:6" ht="15" customHeight="1">
      <c r="A16" s="209"/>
      <c r="B16" s="209"/>
      <c r="C16" s="209"/>
      <c r="D16" s="209" t="s">
        <v>444</v>
      </c>
      <c r="E16" s="226">
        <f>-(finBSCloseProd1WIP-finBSOpenProd1WIP)</f>
        <v>0</v>
      </c>
      <c r="F16" s="209" t="s">
        <v>6982</v>
      </c>
    </row>
    <row r="17" spans="1:6" ht="15" customHeight="1">
      <c r="A17" s="209"/>
      <c r="B17" s="209"/>
      <c r="C17" s="209"/>
      <c r="D17" s="209" t="s">
        <v>443</v>
      </c>
      <c r="E17" s="226">
        <f>finBSCloseAP-finBSOpenAP</f>
        <v>-772765.66953337193</v>
      </c>
      <c r="F17" s="209" t="s">
        <v>6983</v>
      </c>
    </row>
    <row r="18" spans="1:6" ht="15" customHeight="1">
      <c r="A18" s="209"/>
      <c r="B18" s="209"/>
      <c r="C18" s="209"/>
      <c r="D18" s="209" t="s">
        <v>442</v>
      </c>
      <c r="E18" s="226">
        <f>finBSCloseOtherCurrLiab-finBSOpenOtherCurrLiab</f>
        <v>0</v>
      </c>
      <c r="F18" s="209" t="s">
        <v>6984</v>
      </c>
    </row>
    <row r="19" spans="1:6" s="227" customFormat="1" ht="2.1" customHeight="1">
      <c r="A19" s="231"/>
      <c r="B19" s="230"/>
      <c r="C19" s="209"/>
      <c r="D19" s="229"/>
      <c r="E19" s="229"/>
      <c r="F19" s="228"/>
    </row>
    <row r="20" spans="1:6" ht="14.25">
      <c r="A20" s="209"/>
      <c r="B20" s="209"/>
      <c r="C20" s="209"/>
      <c r="D20" s="209" t="s">
        <v>441</v>
      </c>
      <c r="E20" s="226">
        <f>SUM(E13:E19)</f>
        <v>2556579.9071213156</v>
      </c>
      <c r="F20" s="209" t="s">
        <v>500</v>
      </c>
    </row>
    <row r="21" spans="1:6" ht="15" customHeight="1">
      <c r="A21" s="209"/>
      <c r="B21" s="209"/>
      <c r="C21" s="209"/>
      <c r="D21" s="209"/>
      <c r="E21" s="210"/>
      <c r="F21" s="209"/>
    </row>
    <row r="22" spans="1:6" ht="15" customHeight="1">
      <c r="A22" s="209"/>
      <c r="B22" s="209"/>
      <c r="C22" s="254"/>
      <c r="D22" s="209" t="s">
        <v>440</v>
      </c>
      <c r="E22" s="226">
        <f>E11+E20</f>
        <v>853648900.96623123</v>
      </c>
      <c r="F22" s="209" t="s">
        <v>501</v>
      </c>
    </row>
    <row r="23" spans="1:6" ht="15" customHeight="1">
      <c r="A23" s="209"/>
      <c r="B23" s="209"/>
      <c r="C23" s="209"/>
      <c r="D23" s="209"/>
      <c r="E23" s="210"/>
      <c r="F23" s="209"/>
    </row>
    <row r="24" spans="1:6" ht="15" customHeight="1">
      <c r="A24" s="209"/>
      <c r="B24" s="209"/>
      <c r="C24" s="217" t="s">
        <v>439</v>
      </c>
      <c r="D24" s="209"/>
      <c r="E24" s="210"/>
      <c r="F24" s="209"/>
    </row>
    <row r="25" spans="1:6" ht="15" customHeight="1">
      <c r="A25" s="209"/>
      <c r="B25" s="209"/>
      <c r="C25" s="209"/>
      <c r="D25" s="209" t="s">
        <v>438</v>
      </c>
      <c r="E25" s="232">
        <f>-CalcPlant1Investment+CalcPlant1DivestmentRevenue</f>
        <v>-437712879.19475001</v>
      </c>
      <c r="F25" s="209" t="s">
        <v>6985</v>
      </c>
    </row>
    <row r="26" spans="1:6" s="227" customFormat="1" ht="2.1" customHeight="1">
      <c r="A26" s="231"/>
      <c r="B26" s="230"/>
      <c r="C26" s="209"/>
      <c r="D26" s="229"/>
      <c r="E26" s="229"/>
      <c r="F26" s="228"/>
    </row>
    <row r="27" spans="1:6" ht="14.25">
      <c r="A27" s="209"/>
      <c r="B27" s="209"/>
      <c r="C27" s="209"/>
      <c r="D27" s="209" t="s">
        <v>437</v>
      </c>
      <c r="E27" s="226">
        <f>SUM(E25:E26)</f>
        <v>-437712879.19475001</v>
      </c>
      <c r="F27" s="209" t="s">
        <v>502</v>
      </c>
    </row>
    <row r="28" spans="1:6" ht="15" customHeight="1">
      <c r="A28" s="209"/>
      <c r="B28" s="209"/>
      <c r="C28" s="209"/>
      <c r="D28" s="209"/>
      <c r="E28" s="210"/>
      <c r="F28" s="209"/>
    </row>
    <row r="29" spans="1:6" ht="15" customHeight="1">
      <c r="A29" s="209"/>
      <c r="B29" s="209"/>
      <c r="C29" s="217" t="s">
        <v>436</v>
      </c>
      <c r="D29" s="209"/>
      <c r="E29" s="210"/>
      <c r="F29" s="209"/>
    </row>
    <row r="30" spans="1:6" ht="15" customHeight="1">
      <c r="A30" s="209"/>
      <c r="B30" s="209"/>
      <c r="C30" s="209"/>
      <c r="D30" s="209" t="s">
        <v>435</v>
      </c>
      <c r="E30" s="232">
        <f>finBSCloseLongTermLiab-finBSOpenLongTermLiab</f>
        <v>0</v>
      </c>
      <c r="F30" s="209" t="s">
        <v>503</v>
      </c>
    </row>
    <row r="31" spans="1:6" ht="15" customHeight="1">
      <c r="A31" s="209"/>
      <c r="B31" s="209"/>
      <c r="C31" s="209"/>
      <c r="D31" s="209" t="s">
        <v>434</v>
      </c>
      <c r="E31" s="253">
        <f>IF((E22+E27+E30+finBSOpenCash)&lt;0,-(E22+E27+E30)-finBSOpenCash, IF(finBSOpenSpecialLoans&gt;0, MAX(-(E22+E27+E30+finBSOpenCash),-finBSOpenSpecialLoans),0))</f>
        <v>0</v>
      </c>
      <c r="F31" s="209" t="s">
        <v>504</v>
      </c>
    </row>
    <row r="32" spans="1:6" s="227" customFormat="1" ht="2.1" customHeight="1">
      <c r="A32" s="231"/>
      <c r="B32" s="230"/>
      <c r="C32" s="209"/>
      <c r="D32" s="229"/>
      <c r="E32" s="229"/>
      <c r="F32" s="228"/>
    </row>
    <row r="33" spans="1:6" ht="14.25">
      <c r="A33" s="209"/>
      <c r="B33" s="209"/>
      <c r="C33" s="209"/>
      <c r="D33" s="209" t="s">
        <v>433</v>
      </c>
      <c r="E33" s="226">
        <f>SUM(E30:E32)</f>
        <v>0</v>
      </c>
      <c r="F33" s="209" t="s">
        <v>505</v>
      </c>
    </row>
    <row r="34" spans="1:6" ht="15" customHeight="1">
      <c r="A34" s="209"/>
      <c r="B34" s="209"/>
      <c r="C34" s="209"/>
      <c r="D34" s="209"/>
      <c r="E34" s="210"/>
      <c r="F34" s="209"/>
    </row>
    <row r="35" spans="1:6" ht="15" customHeight="1">
      <c r="A35" s="209"/>
      <c r="B35" s="209"/>
      <c r="C35" s="217" t="s">
        <v>432</v>
      </c>
      <c r="D35" s="209"/>
      <c r="E35" s="210"/>
      <c r="F35" s="209"/>
    </row>
    <row r="36" spans="1:6" ht="15" customHeight="1">
      <c r="A36" s="209"/>
      <c r="B36" s="209"/>
      <c r="C36" s="209"/>
      <c r="D36" s="209" t="s">
        <v>431</v>
      </c>
      <c r="E36" s="226">
        <f>finCFOperating+finCFInvesting</f>
        <v>415936021.77148122</v>
      </c>
      <c r="F36" s="209" t="s">
        <v>506</v>
      </c>
    </row>
    <row r="37" spans="1:6" ht="15" customHeight="1">
      <c r="A37" s="209"/>
      <c r="B37" s="209"/>
      <c r="C37" s="209"/>
      <c r="D37" s="209" t="s">
        <v>430</v>
      </c>
      <c r="E37" s="226">
        <f>finCFOperating+finCFInvesting+finCFFinancing</f>
        <v>415936021.77148122</v>
      </c>
      <c r="F37" s="209" t="s">
        <v>507</v>
      </c>
    </row>
    <row r="38" spans="1:6" ht="15" customHeight="1">
      <c r="A38" s="209"/>
      <c r="B38" s="209"/>
      <c r="C38" s="209"/>
      <c r="D38" s="209"/>
      <c r="E38" s="210"/>
      <c r="F38" s="209"/>
    </row>
    <row r="39" spans="1:6" ht="15" customHeight="1">
      <c r="A39" s="209"/>
      <c r="B39" s="209"/>
      <c r="C39" s="217" t="s">
        <v>429</v>
      </c>
      <c r="D39" s="209"/>
      <c r="E39" s="226">
        <f>finCFOpening+finCFNetCF</f>
        <v>1435495022.7183237</v>
      </c>
      <c r="F39" s="209" t="s">
        <v>508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XEK1306"/>
  <sheetViews>
    <sheetView topLeftCell="A79" zoomScale="85" zoomScaleNormal="85" workbookViewId="0">
      <selection activeCell="E88" sqref="E88"/>
    </sheetView>
  </sheetViews>
  <sheetFormatPr defaultRowHeight="14.25"/>
  <cols>
    <col min="1" max="1" width="26.8984375" customWidth="1"/>
    <col min="2" max="4" width="2.59765625" customWidth="1"/>
    <col min="5" max="5" width="15.19921875" customWidth="1"/>
    <col min="6" max="6" width="30.09765625" bestFit="1" customWidth="1"/>
  </cols>
  <sheetData>
    <row r="1" spans="1:6" s="12" customFormat="1">
      <c r="A1" s="12" t="s">
        <v>26</v>
      </c>
      <c r="E1" s="14" t="s">
        <v>5</v>
      </c>
    </row>
    <row r="2" spans="1:6" s="15" customFormat="1">
      <c r="E2" s="16"/>
    </row>
    <row r="3" spans="1:6">
      <c r="A3" s="13" t="s">
        <v>5661</v>
      </c>
      <c r="E3" s="17"/>
      <c r="F3" t="s">
        <v>27</v>
      </c>
    </row>
    <row r="4" spans="1:6">
      <c r="A4" s="277" t="s">
        <v>23</v>
      </c>
      <c r="E4" s="18"/>
    </row>
    <row r="5" spans="1:6">
      <c r="A5" s="13" t="s">
        <v>5661</v>
      </c>
      <c r="E5" s="18"/>
    </row>
    <row r="6" spans="1:6">
      <c r="A6" s="13" t="s">
        <v>87</v>
      </c>
      <c r="E6" s="18">
        <f>IF(xxRound=1,calcSI1Code,obalSI1CodeR1)</f>
        <v>0</v>
      </c>
      <c r="F6" t="s">
        <v>125</v>
      </c>
    </row>
    <row r="7" spans="1:6">
      <c r="A7" s="13" t="s">
        <v>88</v>
      </c>
      <c r="E7" s="18">
        <f>IF(xxRound=1,calcSI2Code,obalSI2CodeR1)</f>
        <v>0</v>
      </c>
      <c r="F7" t="s">
        <v>126</v>
      </c>
    </row>
    <row r="8" spans="1:6">
      <c r="A8" s="13" t="s">
        <v>92</v>
      </c>
      <c r="E8" s="18">
        <f>IF(xxRound=1,calcSI3Code,obalSI3CodeR1)</f>
        <v>0</v>
      </c>
      <c r="F8" t="s">
        <v>127</v>
      </c>
    </row>
    <row r="9" spans="1:6">
      <c r="A9" s="13" t="s">
        <v>93</v>
      </c>
      <c r="E9" s="18">
        <f>IF(xxRound=1,calcSI4Code,obalSI4CodeR1)</f>
        <v>0</v>
      </c>
      <c r="F9" t="s">
        <v>128</v>
      </c>
    </row>
    <row r="10" spans="1:6">
      <c r="A10" s="13" t="s">
        <v>94</v>
      </c>
      <c r="E10" s="18">
        <f>IF(xxRound=1,calcSI5Code,obalSI5CodeR1)</f>
        <v>0</v>
      </c>
      <c r="F10" t="s">
        <v>129</v>
      </c>
    </row>
    <row r="11" spans="1:6">
      <c r="A11" s="13" t="s">
        <v>5661</v>
      </c>
      <c r="E11" s="18"/>
    </row>
    <row r="12" spans="1:6">
      <c r="A12" s="13" t="s">
        <v>95</v>
      </c>
      <c r="E12" s="18">
        <f>IF(xxRound=2,calcSI1Code,obalSI1CodeR2)</f>
        <v>0</v>
      </c>
      <c r="F12" t="s">
        <v>130</v>
      </c>
    </row>
    <row r="13" spans="1:6">
      <c r="A13" s="13" t="s">
        <v>96</v>
      </c>
      <c r="E13" s="18">
        <f>IF(xxRound=2,calcSI2Code,obalSI2CodeR2)</f>
        <v>0</v>
      </c>
      <c r="F13" t="s">
        <v>131</v>
      </c>
    </row>
    <row r="14" spans="1:6">
      <c r="A14" s="13" t="s">
        <v>97</v>
      </c>
      <c r="E14" s="18">
        <f>IF(xxRound=2,calcSI3Code,obalSI3CodeR2)</f>
        <v>0</v>
      </c>
      <c r="F14" t="s">
        <v>132</v>
      </c>
    </row>
    <row r="15" spans="1:6">
      <c r="A15" s="13" t="s">
        <v>98</v>
      </c>
      <c r="E15" s="18">
        <f>IF(xxRound=2,calcSI4Code,obalSI4CodeR2)</f>
        <v>0</v>
      </c>
      <c r="F15" t="s">
        <v>133</v>
      </c>
    </row>
    <row r="16" spans="1:6">
      <c r="A16" s="13" t="s">
        <v>99</v>
      </c>
      <c r="E16" s="18">
        <f>IF(xxRound=2,calcSI5Code,obalSI5CodeR2)</f>
        <v>0</v>
      </c>
      <c r="F16" t="s">
        <v>134</v>
      </c>
    </row>
    <row r="17" spans="1:6">
      <c r="A17" s="13" t="s">
        <v>5661</v>
      </c>
      <c r="E17" s="18"/>
    </row>
    <row r="18" spans="1:6">
      <c r="A18" s="13" t="s">
        <v>100</v>
      </c>
      <c r="E18" s="18">
        <f>IF(xxRound=3,calcSI1Code,obalSI1CodeR3)</f>
        <v>0</v>
      </c>
      <c r="F18" t="s">
        <v>135</v>
      </c>
    </row>
    <row r="19" spans="1:6">
      <c r="A19" s="13" t="s">
        <v>101</v>
      </c>
      <c r="E19" s="18">
        <f>IF(xxRound=3,calcSI2Code,obalSI2CodeR3)</f>
        <v>0</v>
      </c>
      <c r="F19" t="s">
        <v>136</v>
      </c>
    </row>
    <row r="20" spans="1:6">
      <c r="A20" s="13" t="s">
        <v>102</v>
      </c>
      <c r="E20" s="18">
        <f>IF(xxRound=3,calcSI3Code,obalSI3CodeR3)</f>
        <v>0</v>
      </c>
      <c r="F20" t="s">
        <v>137</v>
      </c>
    </row>
    <row r="21" spans="1:6">
      <c r="A21" s="13" t="s">
        <v>103</v>
      </c>
      <c r="E21" s="18">
        <f>IF(xxRound=3,calcSI4Code,obalSI4CodeR3)</f>
        <v>0</v>
      </c>
      <c r="F21" t="s">
        <v>138</v>
      </c>
    </row>
    <row r="22" spans="1:6">
      <c r="A22" s="13" t="s">
        <v>104</v>
      </c>
      <c r="E22" s="18">
        <f>IF(xxRound=3,calcSI5Code,obalSI5CodeR3)</f>
        <v>0</v>
      </c>
      <c r="F22" t="s">
        <v>139</v>
      </c>
    </row>
    <row r="23" spans="1:6">
      <c r="A23" s="13" t="s">
        <v>5661</v>
      </c>
      <c r="E23" s="18"/>
    </row>
    <row r="24" spans="1:6">
      <c r="A24" s="277" t="s">
        <v>864</v>
      </c>
      <c r="E24" s="18"/>
    </row>
    <row r="25" spans="1:6">
      <c r="A25" s="13" t="s">
        <v>5661</v>
      </c>
      <c r="E25" s="18"/>
    </row>
    <row r="26" spans="1:6">
      <c r="A26" s="13" t="s">
        <v>352</v>
      </c>
      <c r="E26" s="18">
        <f>IF(obalPack1Avail=1,1,IF(calcPackInnovation1=nmPack1,1,IF(calcPackInnovation2=nmPack1,1,0)))</f>
        <v>1</v>
      </c>
      <c r="F26" t="s">
        <v>895</v>
      </c>
    </row>
    <row r="27" spans="1:6">
      <c r="A27" s="13" t="s">
        <v>351</v>
      </c>
      <c r="E27" s="18">
        <f>IF(obalPack2Avail=1,1,IF(calcPackInnovation1=nmPack2,1,IF(calcPackInnovation2=nmPack2,1,0)))</f>
        <v>1</v>
      </c>
      <c r="F27" t="s">
        <v>896</v>
      </c>
    </row>
    <row r="28" spans="1:6">
      <c r="A28" s="13" t="s">
        <v>353</v>
      </c>
      <c r="E28" s="18">
        <f>IF(obalPack3Avail=1,1,IF(calcPackInnovation1=nmPack3,1,IF(calcPackInnovation2=nmPack3,1,0)))</f>
        <v>0</v>
      </c>
      <c r="F28" t="s">
        <v>897</v>
      </c>
    </row>
    <row r="29" spans="1:6">
      <c r="A29" s="13" t="s">
        <v>584</v>
      </c>
      <c r="E29" s="18">
        <f>IF(obalPack4Avail=1,1,IF(calcPackInnovation1=nmPack4,1,IF(calcPackInnovation2=nmPack4,1,0)))</f>
        <v>1</v>
      </c>
      <c r="F29" t="s">
        <v>898</v>
      </c>
    </row>
    <row r="30" spans="1:6">
      <c r="A30" s="13" t="s">
        <v>2107</v>
      </c>
      <c r="E30" s="18">
        <f>IF(obalPack5Avail=1,1,IF(calcPackInnovation1=nmPack5,1,IF(calcPackInnovation2=nmPack5,1,0)))</f>
        <v>0</v>
      </c>
      <c r="F30" t="s">
        <v>899</v>
      </c>
    </row>
    <row r="31" spans="1:6">
      <c r="A31" s="13" t="s">
        <v>2108</v>
      </c>
      <c r="E31" s="18">
        <f>IF(obalPack6Avail=1,1,IF(calcPackInnovation1=nmPack6,1,IF(calcPackInnovation2=nmPack6,1,0)))</f>
        <v>0</v>
      </c>
      <c r="F31" t="s">
        <v>900</v>
      </c>
    </row>
    <row r="32" spans="1:6">
      <c r="A32" s="13" t="s">
        <v>354</v>
      </c>
      <c r="E32" s="18">
        <f>IF(obalPack7Avail=1,1,IF(calcPackInnovation1=nmPack7,1,IF(calcPackInnovation2=nmPack7,1,0)))</f>
        <v>0</v>
      </c>
      <c r="F32" t="s">
        <v>901</v>
      </c>
    </row>
    <row r="33" spans="1:6">
      <c r="A33" s="13" t="s">
        <v>355</v>
      </c>
      <c r="E33" s="18">
        <f>IF(obalPack8Avail=1,1,IF(calcPackInnovation1=nmPack8,1,IF(calcPackInnovation2=nmPack8,1,0)))</f>
        <v>0</v>
      </c>
      <c r="F33" t="s">
        <v>902</v>
      </c>
    </row>
    <row r="34" spans="1:6">
      <c r="A34" s="13" t="s">
        <v>3765</v>
      </c>
      <c r="E34" s="18">
        <f>IF(obalPack9Avail=1,1,IF(calcPackInnovation1=nmPack9,1,IF(calcPackInnovation2=nmPack9,1,0)))</f>
        <v>0</v>
      </c>
      <c r="F34" t="s">
        <v>903</v>
      </c>
    </row>
    <row r="35" spans="1:6">
      <c r="A35" s="13" t="s">
        <v>3766</v>
      </c>
      <c r="E35" s="18">
        <f>IF(obalPack10Avail=1,1,IF(calcPackInnovation1=nmPack10,1,IF(calcPackInnovation2=nmPack10,1,0)))</f>
        <v>1</v>
      </c>
      <c r="F35" t="s">
        <v>904</v>
      </c>
    </row>
    <row r="36" spans="1:6">
      <c r="A36" s="13" t="s">
        <v>4417</v>
      </c>
      <c r="E36" s="18">
        <f>IF(obalPack11Avail=1,1,IF(calcPackInnovation1=nmPack11,1,IF(calcPackInnovation2=nmPack11,1,0)))</f>
        <v>0</v>
      </c>
      <c r="F36" t="s">
        <v>905</v>
      </c>
    </row>
    <row r="37" spans="1:6">
      <c r="A37" s="13" t="s">
        <v>4418</v>
      </c>
      <c r="E37" s="18">
        <f>IF(obalPack12Avail=1,1,IF(calcPackInnovation1=nmPack12,1,IF(calcPackInnovation2=nmPack12,1,0)))</f>
        <v>0</v>
      </c>
      <c r="F37" t="s">
        <v>906</v>
      </c>
    </row>
    <row r="38" spans="1:6">
      <c r="A38" s="13" t="s">
        <v>4419</v>
      </c>
      <c r="E38" s="18">
        <f>IF(obalPack13Avail=1,1,IF(calcPackInnovation1=nmPack13,1,IF(calcPackInnovation2=nmPack13,1,0)))</f>
        <v>1</v>
      </c>
      <c r="F38" t="s">
        <v>907</v>
      </c>
    </row>
    <row r="39" spans="1:6">
      <c r="A39" s="13" t="s">
        <v>4420</v>
      </c>
      <c r="E39" s="18">
        <f>IF(obalPack14Avail=1,1,IF(calcPackInnovation1=nmPack14,1,IF(calcPackInnovation2=nmPack14,1,0)))</f>
        <v>0</v>
      </c>
      <c r="F39" t="s">
        <v>908</v>
      </c>
    </row>
    <row r="40" spans="1:6">
      <c r="A40" s="13" t="s">
        <v>4421</v>
      </c>
      <c r="E40" s="18">
        <f>IF(obalPack15Avail=1,1,IF(calcPackInnovation1=nmPack15,1,IF(calcPackInnovation2=nmPack15,1,0)))</f>
        <v>1</v>
      </c>
      <c r="F40" t="s">
        <v>909</v>
      </c>
    </row>
    <row r="41" spans="1:6">
      <c r="A41" s="13" t="s">
        <v>4422</v>
      </c>
      <c r="E41" s="18">
        <f>IF(obalPack16Avail=1,1,IF(calcPackInnovation1=nmPack16,1,IF(calcPackInnovation2=nmPack16,1,0)))</f>
        <v>0</v>
      </c>
      <c r="F41" t="s">
        <v>910</v>
      </c>
    </row>
    <row r="42" spans="1:6">
      <c r="A42" s="13" t="s">
        <v>4423</v>
      </c>
      <c r="E42" s="18">
        <f>IF(obalPack17Avail=1,1,IF(calcPackInnovation1=nmPack17,1,IF(calcPackInnovation2=nmPack17,1,0)))</f>
        <v>1</v>
      </c>
      <c r="F42" t="s">
        <v>911</v>
      </c>
    </row>
    <row r="43" spans="1:6">
      <c r="A43" s="13" t="s">
        <v>4424</v>
      </c>
      <c r="E43" s="18">
        <f>IF(obalPack18Avail=1,1,IF(calcPackInnovation1=nmPack18,1,IF(calcPackInnovation2=nmPack18,1,0)))</f>
        <v>0</v>
      </c>
      <c r="F43" t="s">
        <v>912</v>
      </c>
    </row>
    <row r="44" spans="1:6">
      <c r="A44" s="13" t="s">
        <v>4425</v>
      </c>
      <c r="E44" s="18">
        <f>IF(obalPack19Avail=1,1,IF(calcPackInnovation1=nmPack19,1,IF(calcPackInnovation2=nmPack19,1,0)))</f>
        <v>0</v>
      </c>
      <c r="F44" t="s">
        <v>913</v>
      </c>
    </row>
    <row r="45" spans="1:6">
      <c r="A45" s="13" t="s">
        <v>4426</v>
      </c>
      <c r="E45" s="18">
        <f>IF(obalPack20Avail=1,1,IF(calcPackInnovation1=nmPack20,1,IF(calcPackInnovation2=nmPack20,1,0)))</f>
        <v>0</v>
      </c>
      <c r="F45" t="s">
        <v>914</v>
      </c>
    </row>
    <row r="46" spans="1:6">
      <c r="A46" s="13" t="s">
        <v>8369</v>
      </c>
      <c r="E46" s="18">
        <f>IF(obalPack21Avail=1,1,IF(calcPackInnovation1=nmPack21,1,IF(calcPackInnovation2=nmPack21,1,0)))</f>
        <v>0</v>
      </c>
      <c r="F46" t="s">
        <v>915</v>
      </c>
    </row>
    <row r="47" spans="1:6">
      <c r="A47" s="13" t="s">
        <v>4427</v>
      </c>
      <c r="E47" s="18">
        <f>IF(obalPack22Avail=1,1,IF(calcPackInnovation1=nmPack22,1,IF(calcPackInnovation2=nmPack22,1,0)))</f>
        <v>0</v>
      </c>
      <c r="F47" t="s">
        <v>916</v>
      </c>
    </row>
    <row r="48" spans="1:6">
      <c r="A48" s="13" t="s">
        <v>8368</v>
      </c>
      <c r="E48" s="18">
        <f>IF(obalPack23Avail=1,1,IF(calcPackInnovation1=nmPack23,1,IF(calcPackInnovation2=nmPack23,1,0)))</f>
        <v>1</v>
      </c>
      <c r="F48" t="s">
        <v>917</v>
      </c>
    </row>
    <row r="49" spans="1:6">
      <c r="A49" s="13" t="s">
        <v>4428</v>
      </c>
      <c r="E49" s="18">
        <f>IF(obalPack24Avail=1,1,IF(calcPackInnovation1=nmPack24,1,IF(calcPackInnovation2=nmPack24,1,0)))</f>
        <v>0</v>
      </c>
      <c r="F49" t="s">
        <v>918</v>
      </c>
    </row>
    <row r="50" spans="1:6">
      <c r="A50" s="13" t="s">
        <v>4429</v>
      </c>
      <c r="E50" s="18">
        <f>IF(obalPack25Avail=1,1,IF(calcPackInnovation1=nmPack25,1,IF(calcPackInnovation2=nmPack25,1,0)))</f>
        <v>0</v>
      </c>
      <c r="F50" t="s">
        <v>919</v>
      </c>
    </row>
    <row r="51" spans="1:6">
      <c r="A51" s="13" t="s">
        <v>5661</v>
      </c>
      <c r="E51" s="18">
        <f>IF(obalPack26Avail=1,1,IF(calcPackInnovation1=nmPack26,1,IF(calcPackInnovation2=nmPack26,1,0)))</f>
        <v>0</v>
      </c>
      <c r="F51" t="s">
        <v>920</v>
      </c>
    </row>
    <row r="52" spans="1:6">
      <c r="A52" s="13" t="s">
        <v>5661</v>
      </c>
      <c r="E52" s="18">
        <f>IF(obalPack27Avail=1,1,IF(calcPackInnovation1=nmPack27,1,IF(calcPackInnovation2=nmPack27,1,0)))</f>
        <v>0</v>
      </c>
      <c r="F52" t="s">
        <v>921</v>
      </c>
    </row>
    <row r="53" spans="1:6">
      <c r="A53" s="13" t="s">
        <v>5661</v>
      </c>
      <c r="E53" s="18">
        <f>IF(obalPack28Avail=1,1,IF(calcPackInnovation1=nmPack28,1,IF(calcPackInnovation2=nmPack28,1,0)))</f>
        <v>0</v>
      </c>
      <c r="F53" t="s">
        <v>922</v>
      </c>
    </row>
    <row r="54" spans="1:6">
      <c r="A54" s="13" t="s">
        <v>5661</v>
      </c>
      <c r="E54" s="18">
        <f>IF(obalPack29Avail=1,1,IF(calcPackInnovation1=nmPack29,1,IF(calcPackInnovation2=nmPack29,1,0)))</f>
        <v>0</v>
      </c>
      <c r="F54" t="s">
        <v>923</v>
      </c>
    </row>
    <row r="55" spans="1:6">
      <c r="A55" s="13" t="s">
        <v>5661</v>
      </c>
      <c r="E55" s="18">
        <f>IF(obalPack30Avail=1,1,IF(calcPackInnovation1=nmPack30,1,IF(calcPackInnovation2=nmPack30,1,0)))</f>
        <v>0</v>
      </c>
      <c r="F55" t="s">
        <v>924</v>
      </c>
    </row>
    <row r="56" spans="1:6">
      <c r="A56" s="13" t="s">
        <v>5661</v>
      </c>
      <c r="E56" s="18"/>
    </row>
    <row r="57" spans="1:6">
      <c r="A57" s="277" t="s">
        <v>1293</v>
      </c>
      <c r="E57" s="18"/>
    </row>
    <row r="58" spans="1:6">
      <c r="A58" s="13" t="s">
        <v>244</v>
      </c>
      <c r="E58" s="18">
        <f>calcCh1ValDriv1AccEnd</f>
        <v>575400</v>
      </c>
      <c r="F58" t="s">
        <v>3660</v>
      </c>
    </row>
    <row r="59" spans="1:6">
      <c r="A59" s="13" t="s">
        <v>245</v>
      </c>
      <c r="E59" s="18">
        <f>calcCh2ValDriv1AccEnd</f>
        <v>575400</v>
      </c>
      <c r="F59" t="s">
        <v>3661</v>
      </c>
    </row>
    <row r="60" spans="1:6">
      <c r="A60" s="13" t="s">
        <v>5199</v>
      </c>
      <c r="E60" s="18">
        <f>calcCh3ValDriv1AccEnd</f>
        <v>616499.99999999988</v>
      </c>
      <c r="F60" t="s">
        <v>3662</v>
      </c>
    </row>
    <row r="61" spans="1:6">
      <c r="A61" s="13" t="s">
        <v>246</v>
      </c>
      <c r="E61" s="18">
        <f>calcCh4ValDriv1AccEnd</f>
        <v>657599.99999999988</v>
      </c>
      <c r="F61" t="s">
        <v>3663</v>
      </c>
    </row>
    <row r="62" spans="1:6">
      <c r="A62" s="277" t="s">
        <v>1411</v>
      </c>
      <c r="E62" s="18"/>
    </row>
    <row r="63" spans="1:6">
      <c r="A63" s="13" t="s">
        <v>244</v>
      </c>
      <c r="E63" s="18">
        <f>calcCh1ValDriv2AccEnd</f>
        <v>353400</v>
      </c>
      <c r="F63" t="s">
        <v>1525</v>
      </c>
    </row>
    <row r="64" spans="1:6">
      <c r="A64" s="13" t="s">
        <v>245</v>
      </c>
      <c r="E64" s="18">
        <f>calcCh2ValDriv2AccEnd</f>
        <v>353400</v>
      </c>
      <c r="F64" t="s">
        <v>1526</v>
      </c>
    </row>
    <row r="65" spans="1:6">
      <c r="A65" s="13" t="s">
        <v>5199</v>
      </c>
      <c r="E65" s="18">
        <f>calcCh3ValDriv2AccEnd</f>
        <v>394500</v>
      </c>
      <c r="F65" t="s">
        <v>1527</v>
      </c>
    </row>
    <row r="66" spans="1:6">
      <c r="A66" s="13" t="s">
        <v>246</v>
      </c>
      <c r="E66" s="18">
        <f>calcCh4ValDriv2AccEnd</f>
        <v>435600</v>
      </c>
      <c r="F66" t="s">
        <v>1528</v>
      </c>
    </row>
    <row r="67" spans="1:6">
      <c r="A67" s="277" t="s">
        <v>1294</v>
      </c>
      <c r="E67" s="18"/>
    </row>
    <row r="68" spans="1:6">
      <c r="A68" s="13" t="s">
        <v>244</v>
      </c>
      <c r="E68" s="18">
        <f>calcCh1ValDriv3AccEnd</f>
        <v>353400</v>
      </c>
      <c r="F68" t="s">
        <v>1540</v>
      </c>
    </row>
    <row r="69" spans="1:6">
      <c r="A69" s="13" t="s">
        <v>245</v>
      </c>
      <c r="E69" s="18">
        <f>calcCh2ValDriv3AccEnd</f>
        <v>353400</v>
      </c>
      <c r="F69" t="s">
        <v>1541</v>
      </c>
    </row>
    <row r="70" spans="1:6">
      <c r="A70" s="13" t="s">
        <v>5199</v>
      </c>
      <c r="E70" s="18">
        <f>calcCh3ValDriv3AccEnd</f>
        <v>394500</v>
      </c>
      <c r="F70" t="s">
        <v>1542</v>
      </c>
    </row>
    <row r="71" spans="1:6">
      <c r="A71" s="13" t="s">
        <v>246</v>
      </c>
      <c r="E71" s="18">
        <f>calcCh4ValDriv3AccEnd</f>
        <v>435600</v>
      </c>
      <c r="F71" t="s">
        <v>1543</v>
      </c>
    </row>
    <row r="72" spans="1:6" s="800" customFormat="1">
      <c r="A72" s="277" t="s">
        <v>5196</v>
      </c>
      <c r="E72" s="18"/>
    </row>
    <row r="73" spans="1:6" s="800" customFormat="1">
      <c r="A73" s="13" t="s">
        <v>244</v>
      </c>
      <c r="E73" s="18">
        <f>calcCh1ValDriv4AccEnd</f>
        <v>353400</v>
      </c>
      <c r="F73" s="800" t="s">
        <v>8398</v>
      </c>
    </row>
    <row r="74" spans="1:6" s="800" customFormat="1">
      <c r="A74" s="13" t="s">
        <v>245</v>
      </c>
      <c r="E74" s="18">
        <f t="shared" ref="E74:E76" si="0">calcCh1ValDriv4AccEnd</f>
        <v>353400</v>
      </c>
      <c r="F74" s="800" t="s">
        <v>8399</v>
      </c>
    </row>
    <row r="75" spans="1:6" s="800" customFormat="1">
      <c r="A75" s="13" t="s">
        <v>5199</v>
      </c>
      <c r="E75" s="18">
        <f t="shared" si="0"/>
        <v>353400</v>
      </c>
      <c r="F75" s="800" t="s">
        <v>8400</v>
      </c>
    </row>
    <row r="76" spans="1:6" s="800" customFormat="1">
      <c r="A76" s="13" t="s">
        <v>246</v>
      </c>
      <c r="E76" s="18">
        <f t="shared" si="0"/>
        <v>353400</v>
      </c>
      <c r="F76" s="800" t="s">
        <v>8401</v>
      </c>
    </row>
    <row r="77" spans="1:6" s="800" customFormat="1">
      <c r="A77" s="277" t="s">
        <v>812</v>
      </c>
      <c r="E77" s="18"/>
    </row>
    <row r="78" spans="1:6" s="800" customFormat="1">
      <c r="A78" s="13" t="s">
        <v>244</v>
      </c>
      <c r="E78" s="18">
        <f>calcCh1ValDriv5AccEnd</f>
        <v>1767000</v>
      </c>
      <c r="F78" s="800" t="s">
        <v>8402</v>
      </c>
    </row>
    <row r="79" spans="1:6" s="800" customFormat="1">
      <c r="A79" s="13" t="s">
        <v>245</v>
      </c>
      <c r="E79" s="18">
        <f>calcCh2ValDriv5AccEnd</f>
        <v>1767000</v>
      </c>
      <c r="F79" s="800" t="s">
        <v>8403</v>
      </c>
    </row>
    <row r="80" spans="1:6" s="800" customFormat="1">
      <c r="A80" s="13" t="s">
        <v>5199</v>
      </c>
      <c r="E80" s="18">
        <f>calcCh3ValDriv5AccEnd</f>
        <v>1972500</v>
      </c>
      <c r="F80" s="800" t="s">
        <v>8404</v>
      </c>
    </row>
    <row r="81" spans="1:6" s="800" customFormat="1">
      <c r="A81" s="13" t="s">
        <v>246</v>
      </c>
      <c r="E81" s="18">
        <f>calcCh4ValDriv5AccEnd</f>
        <v>2178000</v>
      </c>
      <c r="F81" s="800" t="s">
        <v>8405</v>
      </c>
    </row>
    <row r="82" spans="1:6">
      <c r="A82" s="277" t="s">
        <v>1410</v>
      </c>
      <c r="E82" s="18"/>
    </row>
    <row r="83" spans="1:6">
      <c r="A83" s="13" t="s">
        <v>244</v>
      </c>
      <c r="E83" s="479">
        <f>calcCh1CondShare</f>
        <v>0.32</v>
      </c>
      <c r="F83" t="s">
        <v>3305</v>
      </c>
    </row>
    <row r="84" spans="1:6">
      <c r="A84" s="13" t="s">
        <v>245</v>
      </c>
      <c r="E84" s="479">
        <f>calcCh2CondShare</f>
        <v>0.32</v>
      </c>
      <c r="F84" t="s">
        <v>3306</v>
      </c>
    </row>
    <row r="85" spans="1:6">
      <c r="A85" s="13" t="s">
        <v>5199</v>
      </c>
      <c r="E85" s="479">
        <f>calcCh3CondShare</f>
        <v>0.32</v>
      </c>
      <c r="F85" t="s">
        <v>3307</v>
      </c>
    </row>
    <row r="86" spans="1:6">
      <c r="A86" s="13" t="s">
        <v>246</v>
      </c>
      <c r="E86" s="479">
        <f>calcCh4CondShare</f>
        <v>0.32</v>
      </c>
      <c r="F86" t="s">
        <v>3308</v>
      </c>
    </row>
    <row r="87" spans="1:6">
      <c r="A87" s="277" t="s">
        <v>1427</v>
      </c>
      <c r="E87" s="18"/>
    </row>
    <row r="88" spans="1:6" s="800" customFormat="1">
      <c r="A88" s="13" t="s">
        <v>244</v>
      </c>
      <c r="E88" s="18">
        <f>calcCh1NewSlots+obalCh1Slots</f>
        <v>6</v>
      </c>
      <c r="F88" s="800" t="s">
        <v>13757</v>
      </c>
    </row>
    <row r="89" spans="1:6" s="800" customFormat="1">
      <c r="A89" s="13" t="s">
        <v>245</v>
      </c>
      <c r="E89" s="18">
        <f>calcCh2NewSlots+obalCh2Slots</f>
        <v>4</v>
      </c>
      <c r="F89" s="800" t="s">
        <v>13758</v>
      </c>
    </row>
    <row r="90" spans="1:6" s="800" customFormat="1">
      <c r="A90" s="13" t="s">
        <v>5199</v>
      </c>
      <c r="E90" s="18">
        <f>calcCh3NewSlots+obalCh3Slots</f>
        <v>4</v>
      </c>
      <c r="F90" s="800" t="s">
        <v>13759</v>
      </c>
    </row>
    <row r="91" spans="1:6" s="800" customFormat="1">
      <c r="A91" s="13" t="s">
        <v>246</v>
      </c>
      <c r="E91" s="18">
        <f>calcCh4NewSlots+obalCh4Slots</f>
        <v>4</v>
      </c>
      <c r="F91" s="800" t="s">
        <v>13760</v>
      </c>
    </row>
    <row r="92" spans="1:6">
      <c r="A92" s="277" t="s">
        <v>548</v>
      </c>
      <c r="E92" s="18"/>
    </row>
    <row r="93" spans="1:6">
      <c r="A93" s="882" t="s">
        <v>14062</v>
      </c>
      <c r="E93">
        <v>25</v>
      </c>
      <c r="F93" t="s">
        <v>571</v>
      </c>
    </row>
    <row r="94" spans="1:6" s="800" customFormat="1">
      <c r="A94" s="882" t="s">
        <v>5661</v>
      </c>
    </row>
    <row r="95" spans="1:6" s="800" customFormat="1">
      <c r="A95" s="277" t="s">
        <v>11350</v>
      </c>
    </row>
    <row r="96" spans="1:6" s="800" customFormat="1">
      <c r="A96" s="882" t="s">
        <v>10249</v>
      </c>
      <c r="F96" s="800" t="s">
        <v>11357</v>
      </c>
    </row>
    <row r="97" spans="1:6" s="800" customFormat="1">
      <c r="A97" s="882" t="s">
        <v>10250</v>
      </c>
      <c r="F97" s="800" t="s">
        <v>11358</v>
      </c>
    </row>
    <row r="98" spans="1:6" s="800" customFormat="1">
      <c r="A98" s="882" t="s">
        <v>10251</v>
      </c>
      <c r="F98" s="800" t="s">
        <v>11359</v>
      </c>
    </row>
    <row r="99" spans="1:6" s="800" customFormat="1">
      <c r="A99" s="882" t="s">
        <v>10252</v>
      </c>
      <c r="F99" s="800" t="s">
        <v>11360</v>
      </c>
    </row>
    <row r="100" spans="1:6" s="800" customFormat="1">
      <c r="A100" s="882" t="s">
        <v>10253</v>
      </c>
      <c r="F100" s="800" t="s">
        <v>11361</v>
      </c>
    </row>
    <row r="101" spans="1:6" s="800" customFormat="1">
      <c r="A101" s="882" t="s">
        <v>10254</v>
      </c>
      <c r="F101" s="800" t="s">
        <v>11362</v>
      </c>
    </row>
    <row r="102" spans="1:6">
      <c r="A102" s="882" t="s">
        <v>5661</v>
      </c>
      <c r="E102" s="18"/>
    </row>
    <row r="103" spans="1:6">
      <c r="A103" s="882" t="s">
        <v>749</v>
      </c>
    </row>
    <row r="104" spans="1:6">
      <c r="A104" s="882" t="s">
        <v>755</v>
      </c>
      <c r="E104" s="18">
        <v>100</v>
      </c>
      <c r="F104" t="s">
        <v>572</v>
      </c>
    </row>
    <row r="105" spans="1:6">
      <c r="A105" s="882" t="s">
        <v>5661</v>
      </c>
      <c r="E105" s="18"/>
    </row>
    <row r="106" spans="1:6" s="21" customFormat="1">
      <c r="A106" s="884" t="s">
        <v>1434</v>
      </c>
      <c r="B106" s="883"/>
      <c r="C106" s="883"/>
      <c r="D106" s="883"/>
      <c r="E106" s="883"/>
      <c r="F106" s="883"/>
    </row>
    <row r="107" spans="1:6" s="23" customFormat="1">
      <c r="A107" s="882" t="s">
        <v>5661</v>
      </c>
    </row>
    <row r="108" spans="1:6" s="23" customFormat="1">
      <c r="A108" s="277" t="s">
        <v>244</v>
      </c>
    </row>
    <row r="109" spans="1:6" s="23" customFormat="1">
      <c r="A109" s="277" t="s">
        <v>12868</v>
      </c>
    </row>
    <row r="110" spans="1:6" s="23" customFormat="1">
      <c r="A110" s="882" t="s">
        <v>379</v>
      </c>
      <c r="E110" s="331">
        <f>calcCh1Prod1Slot1Active</f>
        <v>1</v>
      </c>
      <c r="F110" s="23" t="s">
        <v>1619</v>
      </c>
    </row>
    <row r="111" spans="1:6" s="23" customFormat="1">
      <c r="A111" s="882" t="s">
        <v>394</v>
      </c>
      <c r="E111" s="331">
        <f>calcCh1Prod1Slot2Active</f>
        <v>0</v>
      </c>
      <c r="F111" s="23" t="s">
        <v>1620</v>
      </c>
    </row>
    <row r="112" spans="1:6" s="23" customFormat="1">
      <c r="A112" s="882" t="s">
        <v>395</v>
      </c>
      <c r="E112" s="331">
        <f>calcCh1Prod1Slot3Active</f>
        <v>0</v>
      </c>
      <c r="F112" s="23" t="s">
        <v>1621</v>
      </c>
    </row>
    <row r="113" spans="1:6" s="23" customFormat="1" ht="1.5" customHeight="1">
      <c r="A113" s="882" t="s">
        <v>5661</v>
      </c>
      <c r="B113" s="197"/>
      <c r="C113" s="197"/>
      <c r="D113" s="260"/>
      <c r="E113" s="260"/>
    </row>
    <row r="114" spans="1:6" s="23" customFormat="1">
      <c r="A114" s="882" t="s">
        <v>14</v>
      </c>
      <c r="B114" s="373"/>
      <c r="C114" s="373"/>
      <c r="D114" s="374"/>
      <c r="E114" s="374">
        <f>SUM(E110:E113)</f>
        <v>1</v>
      </c>
      <c r="F114" s="23" t="s">
        <v>1622</v>
      </c>
    </row>
    <row r="115" spans="1:6" s="23" customFormat="1">
      <c r="A115" s="882" t="s">
        <v>5661</v>
      </c>
    </row>
    <row r="116" spans="1:6" s="23" customFormat="1">
      <c r="A116" s="277" t="s">
        <v>238</v>
      </c>
      <c r="E116" s="331"/>
    </row>
    <row r="117" spans="1:6" s="23" customFormat="1">
      <c r="A117" s="882" t="s">
        <v>379</v>
      </c>
      <c r="E117" s="331">
        <f>calcCh1Prod2Slot1Active</f>
        <v>1</v>
      </c>
      <c r="F117" s="23" t="s">
        <v>1623</v>
      </c>
    </row>
    <row r="118" spans="1:6" s="23" customFormat="1">
      <c r="A118" s="882" t="s">
        <v>394</v>
      </c>
      <c r="E118" s="331">
        <f>calcCh1Prod2Slot2Active</f>
        <v>1</v>
      </c>
      <c r="F118" s="23" t="s">
        <v>1624</v>
      </c>
    </row>
    <row r="119" spans="1:6" s="23" customFormat="1">
      <c r="A119" s="882" t="s">
        <v>395</v>
      </c>
      <c r="E119" s="331">
        <f>calcCh1Prod2Slot3Active</f>
        <v>0</v>
      </c>
      <c r="F119" s="23" t="s">
        <v>1625</v>
      </c>
    </row>
    <row r="120" spans="1:6" s="23" customFormat="1" ht="1.5" customHeight="1">
      <c r="A120" s="882" t="s">
        <v>5661</v>
      </c>
      <c r="B120" s="197"/>
      <c r="C120" s="197"/>
      <c r="D120" s="260"/>
      <c r="E120" s="260"/>
    </row>
    <row r="121" spans="1:6" s="23" customFormat="1">
      <c r="A121" s="882" t="s">
        <v>14</v>
      </c>
      <c r="B121" s="373"/>
      <c r="C121" s="373"/>
      <c r="D121" s="374"/>
      <c r="E121" s="374">
        <f>SUM(E117:E120)</f>
        <v>2</v>
      </c>
      <c r="F121" s="23" t="s">
        <v>1626</v>
      </c>
    </row>
    <row r="122" spans="1:6" s="23" customFormat="1">
      <c r="A122" s="882" t="s">
        <v>5661</v>
      </c>
    </row>
    <row r="123" spans="1:6" s="23" customFormat="1">
      <c r="A123" s="277" t="s">
        <v>239</v>
      </c>
      <c r="E123" s="331"/>
    </row>
    <row r="124" spans="1:6" s="23" customFormat="1">
      <c r="A124" s="882" t="s">
        <v>379</v>
      </c>
      <c r="E124" s="331">
        <f>calcCh1Prod3Slot1Active</f>
        <v>1</v>
      </c>
      <c r="F124" s="23" t="s">
        <v>1627</v>
      </c>
    </row>
    <row r="125" spans="1:6" s="23" customFormat="1">
      <c r="A125" s="882" t="s">
        <v>394</v>
      </c>
      <c r="E125" s="331">
        <f>calcCh1Prod3Slot2Active</f>
        <v>1</v>
      </c>
      <c r="F125" s="23" t="s">
        <v>1628</v>
      </c>
    </row>
    <row r="126" spans="1:6" s="23" customFormat="1">
      <c r="A126" s="882" t="s">
        <v>395</v>
      </c>
      <c r="E126" s="331">
        <f>calcCh1Prod3Slot3Active</f>
        <v>0</v>
      </c>
      <c r="F126" s="23" t="s">
        <v>1629</v>
      </c>
    </row>
    <row r="127" spans="1:6" s="23" customFormat="1" ht="1.5" customHeight="1">
      <c r="A127" s="882" t="s">
        <v>5661</v>
      </c>
      <c r="B127" s="259"/>
      <c r="C127" s="197"/>
      <c r="D127" s="197"/>
      <c r="E127" s="260"/>
    </row>
    <row r="128" spans="1:6" s="23" customFormat="1">
      <c r="A128" s="882" t="s">
        <v>14</v>
      </c>
      <c r="B128" s="373"/>
      <c r="C128" s="373"/>
      <c r="D128" s="373"/>
      <c r="E128" s="374">
        <f>SUM(E124:E127)</f>
        <v>2</v>
      </c>
      <c r="F128" s="23" t="s">
        <v>1630</v>
      </c>
    </row>
    <row r="129" spans="1:6" s="23" customFormat="1">
      <c r="A129" s="882" t="s">
        <v>5661</v>
      </c>
    </row>
    <row r="130" spans="1:6" s="23" customFormat="1">
      <c r="A130" s="277" t="s">
        <v>240</v>
      </c>
      <c r="E130" s="332"/>
    </row>
    <row r="131" spans="1:6" s="23" customFormat="1">
      <c r="A131" s="882" t="s">
        <v>379</v>
      </c>
      <c r="E131" s="331">
        <f>calcCh1Prod4Slot1Active</f>
        <v>0</v>
      </c>
      <c r="F131" s="23" t="s">
        <v>1631</v>
      </c>
    </row>
    <row r="132" spans="1:6" s="23" customFormat="1">
      <c r="A132" s="882" t="s">
        <v>394</v>
      </c>
      <c r="E132" s="331">
        <f>calcCh1Prod4Slot2Active</f>
        <v>0</v>
      </c>
      <c r="F132" s="23" t="s">
        <v>1632</v>
      </c>
    </row>
    <row r="133" spans="1:6" s="23" customFormat="1">
      <c r="A133" s="882" t="s">
        <v>395</v>
      </c>
      <c r="E133" s="331">
        <f>calcCh1Prod4Slot3Active</f>
        <v>0</v>
      </c>
      <c r="F133" s="23" t="s">
        <v>1633</v>
      </c>
    </row>
    <row r="134" spans="1:6" s="23" customFormat="1" ht="1.5" customHeight="1">
      <c r="A134" s="882" t="s">
        <v>5661</v>
      </c>
      <c r="B134" s="197"/>
      <c r="C134" s="197"/>
      <c r="D134" s="260"/>
      <c r="E134" s="260"/>
    </row>
    <row r="135" spans="1:6" s="23" customFormat="1">
      <c r="A135" s="882" t="s">
        <v>14</v>
      </c>
      <c r="B135" s="373"/>
      <c r="C135" s="373"/>
      <c r="D135" s="374"/>
      <c r="E135" s="374">
        <f>SUM(E131:E134)</f>
        <v>0</v>
      </c>
      <c r="F135" s="23" t="s">
        <v>1634</v>
      </c>
    </row>
    <row r="136" spans="1:6" s="23" customFormat="1">
      <c r="A136" s="882" t="s">
        <v>5661</v>
      </c>
      <c r="E136" s="331"/>
    </row>
    <row r="137" spans="1:6" s="23" customFormat="1">
      <c r="A137" s="277" t="s">
        <v>13819</v>
      </c>
      <c r="B137" s="374"/>
      <c r="C137" s="374"/>
      <c r="D137" s="374"/>
      <c r="E137" s="374">
        <f>cbalCh1Prod1SlotTotActive+cbalCh1Prod2SlotTotActive+cbalCh1Prod3SlotTotActive+cbalCh1Prod4SlotTotActive</f>
        <v>5</v>
      </c>
      <c r="F137" s="23" t="s">
        <v>1635</v>
      </c>
    </row>
    <row r="138" spans="1:6" s="23" customFormat="1">
      <c r="A138" s="882" t="s">
        <v>5661</v>
      </c>
    </row>
    <row r="139" spans="1:6" s="23" customFormat="1">
      <c r="A139" s="277" t="s">
        <v>245</v>
      </c>
    </row>
    <row r="140" spans="1:6" s="23" customFormat="1">
      <c r="A140" s="277" t="s">
        <v>12868</v>
      </c>
    </row>
    <row r="141" spans="1:6" s="23" customFormat="1">
      <c r="A141" s="882" t="s">
        <v>379</v>
      </c>
      <c r="E141" s="331">
        <f>calcCh2Prod1Slot1Active</f>
        <v>1</v>
      </c>
      <c r="F141" s="23" t="s">
        <v>1636</v>
      </c>
    </row>
    <row r="142" spans="1:6" s="23" customFormat="1">
      <c r="A142" s="882" t="s">
        <v>394</v>
      </c>
      <c r="E142" s="331">
        <f>calcCh2Prod1Slot2Active</f>
        <v>0</v>
      </c>
      <c r="F142" s="23" t="s">
        <v>1637</v>
      </c>
    </row>
    <row r="143" spans="1:6" s="23" customFormat="1">
      <c r="A143" s="882" t="s">
        <v>395</v>
      </c>
      <c r="E143" s="331">
        <f>calcCh2Prod1Slot3Active</f>
        <v>0</v>
      </c>
      <c r="F143" s="23" t="s">
        <v>1638</v>
      </c>
    </row>
    <row r="144" spans="1:6" s="23" customFormat="1" ht="1.5" customHeight="1">
      <c r="A144" s="882" t="s">
        <v>5661</v>
      </c>
      <c r="B144" s="197"/>
      <c r="C144" s="197"/>
      <c r="D144" s="260"/>
      <c r="E144" s="260"/>
    </row>
    <row r="145" spans="1:6" s="23" customFormat="1">
      <c r="A145" s="882" t="s">
        <v>14</v>
      </c>
      <c r="B145" s="373"/>
      <c r="C145" s="373"/>
      <c r="D145" s="374"/>
      <c r="E145" s="374">
        <f>SUM(E141:E144)</f>
        <v>1</v>
      </c>
      <c r="F145" s="23" t="s">
        <v>1639</v>
      </c>
    </row>
    <row r="146" spans="1:6" s="23" customFormat="1">
      <c r="A146" s="882" t="s">
        <v>5661</v>
      </c>
    </row>
    <row r="147" spans="1:6" s="23" customFormat="1">
      <c r="A147" s="277" t="s">
        <v>238</v>
      </c>
      <c r="E147" s="331"/>
    </row>
    <row r="148" spans="1:6" s="23" customFormat="1">
      <c r="A148" s="882" t="s">
        <v>379</v>
      </c>
      <c r="E148" s="331">
        <f>calcCh2Prod2Slot1Active</f>
        <v>1</v>
      </c>
      <c r="F148" s="23" t="s">
        <v>1640</v>
      </c>
    </row>
    <row r="149" spans="1:6" s="23" customFormat="1">
      <c r="A149" s="882" t="s">
        <v>394</v>
      </c>
      <c r="E149" s="331">
        <f>calcCh2Prod2Slot2Active</f>
        <v>0</v>
      </c>
      <c r="F149" s="23" t="s">
        <v>1641</v>
      </c>
    </row>
    <row r="150" spans="1:6" s="23" customFormat="1">
      <c r="A150" s="882" t="s">
        <v>395</v>
      </c>
      <c r="E150" s="331">
        <f>calcCh2Prod2Slot3Active</f>
        <v>0</v>
      </c>
      <c r="F150" s="23" t="s">
        <v>1642</v>
      </c>
    </row>
    <row r="151" spans="1:6" s="23" customFormat="1" ht="1.5" customHeight="1">
      <c r="A151" s="882" t="s">
        <v>5661</v>
      </c>
      <c r="B151" s="197"/>
      <c r="C151" s="197"/>
      <c r="D151" s="260"/>
      <c r="E151" s="260"/>
    </row>
    <row r="152" spans="1:6" s="23" customFormat="1">
      <c r="A152" s="882" t="s">
        <v>14</v>
      </c>
      <c r="B152" s="373"/>
      <c r="C152" s="373"/>
      <c r="D152" s="374"/>
      <c r="E152" s="374">
        <f>SUM(E148:E151)</f>
        <v>1</v>
      </c>
      <c r="F152" s="23" t="s">
        <v>1643</v>
      </c>
    </row>
    <row r="153" spans="1:6" s="23" customFormat="1">
      <c r="A153" s="882" t="s">
        <v>5661</v>
      </c>
    </row>
    <row r="154" spans="1:6" s="23" customFormat="1">
      <c r="A154" s="277" t="s">
        <v>239</v>
      </c>
      <c r="E154" s="331"/>
    </row>
    <row r="155" spans="1:6" s="23" customFormat="1">
      <c r="A155" s="882" t="s">
        <v>379</v>
      </c>
      <c r="E155" s="331">
        <f>calcCh2Prod3Slot1Active</f>
        <v>1</v>
      </c>
      <c r="F155" s="23" t="s">
        <v>1644</v>
      </c>
    </row>
    <row r="156" spans="1:6" s="23" customFormat="1">
      <c r="A156" s="882" t="s">
        <v>394</v>
      </c>
      <c r="E156" s="331">
        <f>calcCh2Prod3Slot2Active</f>
        <v>0</v>
      </c>
      <c r="F156" s="23" t="s">
        <v>1645</v>
      </c>
    </row>
    <row r="157" spans="1:6" s="23" customFormat="1">
      <c r="A157" s="882" t="s">
        <v>395</v>
      </c>
      <c r="E157" s="331">
        <f>calcCh2Prod3Slot3Active</f>
        <v>0</v>
      </c>
      <c r="F157" s="23" t="s">
        <v>1646</v>
      </c>
    </row>
    <row r="158" spans="1:6" s="23" customFormat="1" ht="1.5" customHeight="1">
      <c r="A158" s="882" t="s">
        <v>5661</v>
      </c>
      <c r="B158" s="259"/>
      <c r="C158" s="197"/>
      <c r="D158" s="197"/>
      <c r="E158" s="260"/>
    </row>
    <row r="159" spans="1:6" s="23" customFormat="1">
      <c r="A159" s="882" t="s">
        <v>14</v>
      </c>
      <c r="B159" s="373"/>
      <c r="C159" s="373"/>
      <c r="D159" s="373"/>
      <c r="E159" s="374">
        <f>SUM(E155:E158)</f>
        <v>1</v>
      </c>
      <c r="F159" s="23" t="s">
        <v>1647</v>
      </c>
    </row>
    <row r="160" spans="1:6" s="23" customFormat="1">
      <c r="A160" s="882" t="s">
        <v>5661</v>
      </c>
    </row>
    <row r="161" spans="1:6" s="23" customFormat="1">
      <c r="A161" s="277" t="s">
        <v>240</v>
      </c>
      <c r="E161" s="332"/>
    </row>
    <row r="162" spans="1:6" s="23" customFormat="1">
      <c r="A162" s="882" t="s">
        <v>379</v>
      </c>
      <c r="E162" s="331">
        <f>calcCh2Prod4Slot1Active</f>
        <v>0</v>
      </c>
      <c r="F162" s="23" t="s">
        <v>1648</v>
      </c>
    </row>
    <row r="163" spans="1:6" s="23" customFormat="1">
      <c r="A163" s="882" t="s">
        <v>394</v>
      </c>
      <c r="E163" s="331">
        <f>calcCh2Prod4Slot2Active</f>
        <v>0</v>
      </c>
      <c r="F163" s="23" t="s">
        <v>1649</v>
      </c>
    </row>
    <row r="164" spans="1:6" s="23" customFormat="1">
      <c r="A164" s="882" t="s">
        <v>395</v>
      </c>
      <c r="E164" s="331">
        <f>calcCh2Prod4Slot3Active</f>
        <v>0</v>
      </c>
      <c r="F164" s="23" t="s">
        <v>1650</v>
      </c>
    </row>
    <row r="165" spans="1:6" s="23" customFormat="1" ht="1.5" customHeight="1">
      <c r="A165" s="882" t="s">
        <v>5661</v>
      </c>
      <c r="B165" s="197"/>
      <c r="C165" s="197"/>
      <c r="D165" s="260"/>
      <c r="E165" s="260"/>
    </row>
    <row r="166" spans="1:6" s="23" customFormat="1">
      <c r="A166" s="882" t="s">
        <v>14</v>
      </c>
      <c r="B166" s="373"/>
      <c r="C166" s="373"/>
      <c r="D166" s="374"/>
      <c r="E166" s="374">
        <f>SUM(E162:E165)</f>
        <v>0</v>
      </c>
      <c r="F166" s="23" t="s">
        <v>1651</v>
      </c>
    </row>
    <row r="167" spans="1:6" s="23" customFormat="1">
      <c r="A167" s="882" t="s">
        <v>5661</v>
      </c>
      <c r="E167" s="331"/>
    </row>
    <row r="168" spans="1:6" s="23" customFormat="1">
      <c r="A168" s="277" t="s">
        <v>13820</v>
      </c>
      <c r="B168" s="373"/>
      <c r="C168" s="373"/>
      <c r="D168" s="373"/>
      <c r="E168" s="374">
        <f>cbalCh2Prod1SlotTotActive+cbalCh2Prod2SlotTotActive+cbalCh2Prod3SlotTotActive+cbalCh2Prod4SlotTotActive</f>
        <v>3</v>
      </c>
      <c r="F168" s="23" t="s">
        <v>1652</v>
      </c>
    </row>
    <row r="169" spans="1:6" s="23" customFormat="1">
      <c r="A169" s="882" t="s">
        <v>5661</v>
      </c>
      <c r="E169" s="331"/>
    </row>
    <row r="170" spans="1:6" s="23" customFormat="1">
      <c r="A170" s="277" t="s">
        <v>5199</v>
      </c>
    </row>
    <row r="171" spans="1:6" s="23" customFormat="1">
      <c r="A171" s="277" t="s">
        <v>12868</v>
      </c>
    </row>
    <row r="172" spans="1:6" s="23" customFormat="1">
      <c r="A172" s="882" t="s">
        <v>379</v>
      </c>
      <c r="E172" s="331">
        <f>calcCh3Prod1Slot1Active</f>
        <v>1</v>
      </c>
      <c r="F172" s="23" t="s">
        <v>1653</v>
      </c>
    </row>
    <row r="173" spans="1:6" s="23" customFormat="1">
      <c r="A173" s="882" t="s">
        <v>394</v>
      </c>
      <c r="E173" s="331">
        <f>calcCh3Prod1Slot2Active</f>
        <v>0</v>
      </c>
      <c r="F173" s="23" t="s">
        <v>1654</v>
      </c>
    </row>
    <row r="174" spans="1:6" s="23" customFormat="1">
      <c r="A174" s="882" t="s">
        <v>395</v>
      </c>
      <c r="E174" s="331">
        <f>calcCh3Prod1Slot3Active</f>
        <v>0</v>
      </c>
      <c r="F174" s="23" t="s">
        <v>1655</v>
      </c>
    </row>
    <row r="175" spans="1:6" s="23" customFormat="1" ht="1.5" customHeight="1">
      <c r="A175" s="882" t="s">
        <v>5661</v>
      </c>
      <c r="B175" s="197"/>
      <c r="C175" s="197"/>
      <c r="D175" s="260"/>
      <c r="E175" s="260"/>
    </row>
    <row r="176" spans="1:6" s="23" customFormat="1">
      <c r="A176" s="882" t="s">
        <v>14</v>
      </c>
      <c r="B176" s="373"/>
      <c r="C176" s="373"/>
      <c r="D176" s="374"/>
      <c r="E176" s="374">
        <f>SUM(E172:E175)</f>
        <v>1</v>
      </c>
      <c r="F176" s="23" t="s">
        <v>1656</v>
      </c>
    </row>
    <row r="177" spans="1:6" s="23" customFormat="1">
      <c r="A177" s="882" t="s">
        <v>5661</v>
      </c>
    </row>
    <row r="178" spans="1:6" s="23" customFormat="1">
      <c r="A178" s="277" t="s">
        <v>238</v>
      </c>
      <c r="E178" s="331"/>
    </row>
    <row r="179" spans="1:6" s="23" customFormat="1">
      <c r="A179" s="882" t="s">
        <v>379</v>
      </c>
      <c r="E179" s="331">
        <f>calcCh3Prod2Slot1Active</f>
        <v>1</v>
      </c>
      <c r="F179" s="23" t="s">
        <v>1657</v>
      </c>
    </row>
    <row r="180" spans="1:6" s="23" customFormat="1">
      <c r="A180" s="882" t="s">
        <v>394</v>
      </c>
      <c r="E180" s="331">
        <f>calcCh3Prod2Slot2Active</f>
        <v>1</v>
      </c>
      <c r="F180" s="23" t="s">
        <v>1658</v>
      </c>
    </row>
    <row r="181" spans="1:6" s="23" customFormat="1">
      <c r="A181" s="882" t="s">
        <v>395</v>
      </c>
      <c r="E181" s="331">
        <f>calcCh3Prod2Slot3Active</f>
        <v>0</v>
      </c>
      <c r="F181" s="23" t="s">
        <v>1659</v>
      </c>
    </row>
    <row r="182" spans="1:6" s="23" customFormat="1" ht="1.5" customHeight="1">
      <c r="A182" s="882" t="s">
        <v>5661</v>
      </c>
      <c r="B182" s="197"/>
      <c r="C182" s="197"/>
      <c r="D182" s="260"/>
      <c r="E182" s="260"/>
    </row>
    <row r="183" spans="1:6" s="23" customFormat="1">
      <c r="A183" s="882" t="s">
        <v>14</v>
      </c>
      <c r="B183" s="373"/>
      <c r="C183" s="373"/>
      <c r="D183" s="374"/>
      <c r="E183" s="374">
        <f>SUM(E179:E182)</f>
        <v>2</v>
      </c>
      <c r="F183" s="23" t="s">
        <v>1660</v>
      </c>
    </row>
    <row r="184" spans="1:6" s="23" customFormat="1">
      <c r="A184" s="882" t="s">
        <v>5661</v>
      </c>
    </row>
    <row r="185" spans="1:6" s="23" customFormat="1">
      <c r="A185" s="277" t="s">
        <v>239</v>
      </c>
      <c r="E185" s="331"/>
    </row>
    <row r="186" spans="1:6" s="23" customFormat="1">
      <c r="A186" s="882" t="s">
        <v>379</v>
      </c>
      <c r="E186" s="331">
        <f>calcCh3Prod3Slot1Active</f>
        <v>1</v>
      </c>
      <c r="F186" s="23" t="s">
        <v>1661</v>
      </c>
    </row>
    <row r="187" spans="1:6" s="23" customFormat="1">
      <c r="A187" s="882" t="s">
        <v>394</v>
      </c>
      <c r="E187" s="331">
        <f>calcCh3Prod3Slot2Active</f>
        <v>0</v>
      </c>
      <c r="F187" s="23" t="s">
        <v>1662</v>
      </c>
    </row>
    <row r="188" spans="1:6" s="23" customFormat="1">
      <c r="A188" s="882" t="s">
        <v>395</v>
      </c>
      <c r="E188" s="331">
        <f>calcCh3Prod3Slot3Active</f>
        <v>0</v>
      </c>
      <c r="F188" s="23" t="s">
        <v>1663</v>
      </c>
    </row>
    <row r="189" spans="1:6" s="23" customFormat="1" ht="1.5" customHeight="1">
      <c r="A189" s="882" t="s">
        <v>5661</v>
      </c>
      <c r="B189" s="259"/>
      <c r="C189" s="197"/>
      <c r="D189" s="197"/>
      <c r="E189" s="260"/>
    </row>
    <row r="190" spans="1:6" s="23" customFormat="1">
      <c r="A190" s="882" t="s">
        <v>14</v>
      </c>
      <c r="B190" s="373"/>
      <c r="C190" s="373"/>
      <c r="D190" s="373"/>
      <c r="E190" s="374">
        <f>SUM(E186:E189)</f>
        <v>1</v>
      </c>
      <c r="F190" s="23" t="s">
        <v>1664</v>
      </c>
    </row>
    <row r="191" spans="1:6" s="23" customFormat="1">
      <c r="A191" s="882" t="s">
        <v>5661</v>
      </c>
    </row>
    <row r="192" spans="1:6" s="23" customFormat="1">
      <c r="A192" s="277" t="s">
        <v>240</v>
      </c>
      <c r="E192" s="332"/>
    </row>
    <row r="193" spans="1:6" s="23" customFormat="1">
      <c r="A193" s="882" t="s">
        <v>379</v>
      </c>
      <c r="E193" s="331">
        <f>calcCh3Prod4Slot1Active</f>
        <v>0</v>
      </c>
      <c r="F193" s="23" t="s">
        <v>1665</v>
      </c>
    </row>
    <row r="194" spans="1:6" s="23" customFormat="1">
      <c r="A194" s="882" t="s">
        <v>394</v>
      </c>
      <c r="E194" s="331">
        <f>calcCh3Prod4Slot2Active</f>
        <v>0</v>
      </c>
      <c r="F194" s="23" t="s">
        <v>1666</v>
      </c>
    </row>
    <row r="195" spans="1:6" s="23" customFormat="1">
      <c r="A195" s="882" t="s">
        <v>395</v>
      </c>
      <c r="E195" s="331">
        <f>calcCh3Prod4Slot3Active</f>
        <v>0</v>
      </c>
      <c r="F195" s="23" t="s">
        <v>1667</v>
      </c>
    </row>
    <row r="196" spans="1:6" s="23" customFormat="1" ht="1.5" customHeight="1">
      <c r="A196" s="882" t="s">
        <v>5661</v>
      </c>
      <c r="B196" s="197"/>
      <c r="C196" s="197"/>
      <c r="D196" s="260"/>
      <c r="E196" s="260"/>
    </row>
    <row r="197" spans="1:6" s="23" customFormat="1">
      <c r="A197" s="882" t="s">
        <v>14</v>
      </c>
      <c r="B197" s="373"/>
      <c r="C197" s="373"/>
      <c r="D197" s="374"/>
      <c r="E197" s="374">
        <f>SUM(E193:E196)</f>
        <v>0</v>
      </c>
      <c r="F197" s="23" t="s">
        <v>1668</v>
      </c>
    </row>
    <row r="198" spans="1:6" s="23" customFormat="1">
      <c r="A198" s="882" t="s">
        <v>5661</v>
      </c>
      <c r="E198" s="331"/>
    </row>
    <row r="199" spans="1:6" s="23" customFormat="1">
      <c r="A199" s="277" t="s">
        <v>13821</v>
      </c>
      <c r="B199" s="374"/>
      <c r="C199" s="374"/>
      <c r="D199" s="374"/>
      <c r="E199" s="374">
        <f>cbalCh3Prod1SlotTotActive+cbalCh3Prod2SlotTotActive+cbalCh3Prod3SlotTotActive+cbalCh3Prod4SlotTotActive</f>
        <v>4</v>
      </c>
      <c r="F199" s="23" t="s">
        <v>1669</v>
      </c>
    </row>
    <row r="200" spans="1:6" s="23" customFormat="1">
      <c r="A200" s="882" t="s">
        <v>5661</v>
      </c>
      <c r="E200" s="331"/>
    </row>
    <row r="201" spans="1:6" s="23" customFormat="1">
      <c r="A201" s="277" t="s">
        <v>246</v>
      </c>
    </row>
    <row r="202" spans="1:6" s="23" customFormat="1">
      <c r="A202" s="882" t="s">
        <v>12868</v>
      </c>
    </row>
    <row r="203" spans="1:6" s="23" customFormat="1">
      <c r="A203" s="882" t="s">
        <v>379</v>
      </c>
      <c r="E203" s="331">
        <f>calcCh4Prod1Slot1Active</f>
        <v>1</v>
      </c>
      <c r="F203" s="23" t="s">
        <v>1670</v>
      </c>
    </row>
    <row r="204" spans="1:6" s="23" customFormat="1">
      <c r="A204" s="882" t="s">
        <v>394</v>
      </c>
      <c r="E204" s="331">
        <f>calcCh4Prod1Slot2Active</f>
        <v>0</v>
      </c>
      <c r="F204" s="23" t="s">
        <v>1671</v>
      </c>
    </row>
    <row r="205" spans="1:6" s="23" customFormat="1">
      <c r="A205" s="882" t="s">
        <v>395</v>
      </c>
      <c r="E205" s="331">
        <f>calcCh4Prod1Slot3Active</f>
        <v>0</v>
      </c>
      <c r="F205" s="23" t="s">
        <v>1672</v>
      </c>
    </row>
    <row r="206" spans="1:6" s="23" customFormat="1" ht="1.5" customHeight="1">
      <c r="A206" s="882" t="s">
        <v>5661</v>
      </c>
      <c r="B206" s="197"/>
      <c r="C206" s="197"/>
      <c r="D206" s="260"/>
      <c r="E206" s="260"/>
    </row>
    <row r="207" spans="1:6" s="23" customFormat="1">
      <c r="A207" s="882" t="s">
        <v>14</v>
      </c>
      <c r="B207" s="373"/>
      <c r="C207" s="373"/>
      <c r="D207" s="374"/>
      <c r="E207" s="374">
        <f>SUM(E203:E206)</f>
        <v>1</v>
      </c>
      <c r="F207" s="23" t="s">
        <v>1673</v>
      </c>
    </row>
    <row r="208" spans="1:6" s="23" customFormat="1">
      <c r="A208" s="882" t="s">
        <v>5661</v>
      </c>
    </row>
    <row r="209" spans="1:6" s="23" customFormat="1">
      <c r="A209" s="277" t="s">
        <v>238</v>
      </c>
      <c r="E209" s="331"/>
    </row>
    <row r="210" spans="1:6" s="23" customFormat="1">
      <c r="A210" s="882" t="s">
        <v>379</v>
      </c>
      <c r="E210" s="331">
        <f>calcCh4Prod2Slot1Active</f>
        <v>1</v>
      </c>
      <c r="F210" s="23" t="s">
        <v>1674</v>
      </c>
    </row>
    <row r="211" spans="1:6" s="23" customFormat="1">
      <c r="A211" s="882" t="s">
        <v>394</v>
      </c>
      <c r="E211" s="331">
        <f>calcCh4Prod2Slot2Active</f>
        <v>0</v>
      </c>
      <c r="F211" s="23" t="s">
        <v>1675</v>
      </c>
    </row>
    <row r="212" spans="1:6" s="23" customFormat="1">
      <c r="A212" s="882" t="s">
        <v>395</v>
      </c>
      <c r="E212" s="331">
        <f>calcCh4Prod2Slot3Active</f>
        <v>0</v>
      </c>
      <c r="F212" s="23" t="s">
        <v>1676</v>
      </c>
    </row>
    <row r="213" spans="1:6" s="23" customFormat="1" ht="1.5" customHeight="1">
      <c r="A213" s="882" t="s">
        <v>5661</v>
      </c>
      <c r="B213" s="197"/>
      <c r="C213" s="197"/>
      <c r="D213" s="260"/>
      <c r="E213" s="260"/>
    </row>
    <row r="214" spans="1:6" s="23" customFormat="1">
      <c r="A214" s="882" t="s">
        <v>14</v>
      </c>
      <c r="B214" s="373"/>
      <c r="C214" s="373"/>
      <c r="D214" s="374"/>
      <c r="E214" s="374">
        <f>SUM(E210:E213)</f>
        <v>1</v>
      </c>
      <c r="F214" s="23" t="s">
        <v>1677</v>
      </c>
    </row>
    <row r="215" spans="1:6" s="23" customFormat="1">
      <c r="A215" s="882" t="s">
        <v>5661</v>
      </c>
    </row>
    <row r="216" spans="1:6" s="23" customFormat="1">
      <c r="A216" s="277" t="s">
        <v>239</v>
      </c>
      <c r="E216" s="331"/>
    </row>
    <row r="217" spans="1:6" s="23" customFormat="1">
      <c r="A217" s="882" t="s">
        <v>379</v>
      </c>
      <c r="E217" s="331">
        <f>calcCh4Prod3Slot1Active</f>
        <v>1</v>
      </c>
      <c r="F217" s="23" t="s">
        <v>1678</v>
      </c>
    </row>
    <row r="218" spans="1:6" s="23" customFormat="1">
      <c r="A218" s="882" t="s">
        <v>394</v>
      </c>
      <c r="E218" s="331">
        <f>calcCh4Prod3Slot2Active</f>
        <v>0</v>
      </c>
      <c r="F218" s="23" t="s">
        <v>1679</v>
      </c>
    </row>
    <row r="219" spans="1:6" s="23" customFormat="1">
      <c r="A219" s="882" t="s">
        <v>395</v>
      </c>
      <c r="E219" s="331">
        <f>calcCh4Prod3Slot3Active</f>
        <v>0</v>
      </c>
      <c r="F219" s="23" t="s">
        <v>1680</v>
      </c>
    </row>
    <row r="220" spans="1:6" s="23" customFormat="1" ht="1.5" customHeight="1">
      <c r="A220" s="882" t="s">
        <v>5661</v>
      </c>
      <c r="B220" s="259"/>
      <c r="C220" s="197"/>
      <c r="D220" s="197"/>
      <c r="E220" s="260"/>
    </row>
    <row r="221" spans="1:6" s="23" customFormat="1">
      <c r="A221" s="882" t="s">
        <v>14</v>
      </c>
      <c r="B221" s="373"/>
      <c r="C221" s="373"/>
      <c r="D221" s="373"/>
      <c r="E221" s="374">
        <f>SUM(E217:E220)</f>
        <v>1</v>
      </c>
      <c r="F221" s="23" t="s">
        <v>1681</v>
      </c>
    </row>
    <row r="222" spans="1:6" s="23" customFormat="1">
      <c r="A222" s="882" t="s">
        <v>5661</v>
      </c>
    </row>
    <row r="223" spans="1:6" s="23" customFormat="1">
      <c r="A223" s="277" t="s">
        <v>240</v>
      </c>
      <c r="E223" s="332"/>
    </row>
    <row r="224" spans="1:6" s="23" customFormat="1">
      <c r="A224" s="882" t="s">
        <v>379</v>
      </c>
      <c r="E224" s="331">
        <f>calcCh4Prod4Slot1Active</f>
        <v>1</v>
      </c>
      <c r="F224" s="23" t="s">
        <v>1682</v>
      </c>
    </row>
    <row r="225" spans="1:6" s="23" customFormat="1">
      <c r="A225" s="882" t="s">
        <v>394</v>
      </c>
      <c r="E225" s="331">
        <f>calcCh4Prod4Slot2Active</f>
        <v>0</v>
      </c>
      <c r="F225" s="23" t="s">
        <v>1683</v>
      </c>
    </row>
    <row r="226" spans="1:6" s="23" customFormat="1">
      <c r="A226" s="882" t="s">
        <v>395</v>
      </c>
      <c r="E226" s="331">
        <f>calcCh4Prod4Slot3Active</f>
        <v>0</v>
      </c>
      <c r="F226" s="23" t="s">
        <v>1684</v>
      </c>
    </row>
    <row r="227" spans="1:6" s="23" customFormat="1" ht="1.5" customHeight="1">
      <c r="A227" s="882" t="s">
        <v>5661</v>
      </c>
      <c r="B227" s="197"/>
      <c r="C227" s="197"/>
      <c r="D227" s="260"/>
      <c r="E227" s="260"/>
    </row>
    <row r="228" spans="1:6" s="23" customFormat="1">
      <c r="A228" s="882" t="s">
        <v>14</v>
      </c>
      <c r="B228" s="373"/>
      <c r="C228" s="373"/>
      <c r="D228" s="374"/>
      <c r="E228" s="374">
        <f>SUM(E224:E227)</f>
        <v>1</v>
      </c>
      <c r="F228" s="23" t="s">
        <v>1685</v>
      </c>
    </row>
    <row r="229" spans="1:6" s="23" customFormat="1">
      <c r="A229" s="882" t="s">
        <v>5661</v>
      </c>
      <c r="E229" s="331"/>
    </row>
    <row r="230" spans="1:6" s="23" customFormat="1">
      <c r="A230" s="277" t="s">
        <v>13822</v>
      </c>
      <c r="B230" s="374"/>
      <c r="C230" s="374"/>
      <c r="D230" s="374"/>
      <c r="E230" s="374">
        <f>cbalCh4Prod1SlotTotActive+cbalCh4Prod2SlotTotActive+cbalCh4Prod3SlotTotActive+cbalCh4Prod4SlotTotActive</f>
        <v>4</v>
      </c>
      <c r="F230" s="23" t="s">
        <v>1686</v>
      </c>
    </row>
    <row r="231" spans="1:6" s="23" customFormat="1">
      <c r="A231" s="882" t="s">
        <v>5661</v>
      </c>
      <c r="E231" s="331"/>
    </row>
    <row r="232" spans="1:6" s="23" customFormat="1">
      <c r="A232" s="882" t="s">
        <v>5661</v>
      </c>
      <c r="E232" s="331"/>
    </row>
    <row r="233" spans="1:6" s="23" customFormat="1">
      <c r="A233" s="277" t="s">
        <v>1483</v>
      </c>
      <c r="E233" s="331"/>
    </row>
    <row r="234" spans="1:6" s="23" customFormat="1">
      <c r="A234" s="882" t="s">
        <v>12868</v>
      </c>
      <c r="E234" s="331">
        <f>cbalCh1Prod1SlotTotActive+cbalCh2Prod1SlotTotActive+cbalCh3Prod1SlotTotActive+cbalCh4Prod1SlotTotActive</f>
        <v>4</v>
      </c>
      <c r="F234" s="23" t="s">
        <v>1687</v>
      </c>
    </row>
    <row r="235" spans="1:6" s="23" customFormat="1">
      <c r="A235" s="882" t="s">
        <v>238</v>
      </c>
      <c r="E235" s="331">
        <f>cbalCh1Prod2SlotTotActive+cbalCh2Prod2SlotTotActive+cbalCh3Prod2SlotTotActive+cbalCh4Prod2SlotTotActive</f>
        <v>6</v>
      </c>
      <c r="F235" s="23" t="s">
        <v>1688</v>
      </c>
    </row>
    <row r="236" spans="1:6" s="23" customFormat="1">
      <c r="A236" s="882" t="s">
        <v>239</v>
      </c>
      <c r="E236" s="331">
        <f>cbalCh1Prod3SlotTotActive+cbalCh2Prod3SlotTotActive+cbalCh3Prod3SlotTotActive+cbalCh4Prod3SlotTotActive</f>
        <v>5</v>
      </c>
      <c r="F236" s="23" t="s">
        <v>1689</v>
      </c>
    </row>
    <row r="237" spans="1:6" s="23" customFormat="1">
      <c r="A237" s="882" t="s">
        <v>240</v>
      </c>
      <c r="E237" s="331">
        <f>cbalCh1Prod4SlotTotActive+cbalCh2Prod4SlotTotActive+cbalCh3Prod4SlotTotActive+cbalCh4Prod4SlotTotActive</f>
        <v>1</v>
      </c>
      <c r="F237" s="23" t="s">
        <v>1690</v>
      </c>
    </row>
    <row r="238" spans="1:6">
      <c r="A238" s="882" t="s">
        <v>5661</v>
      </c>
      <c r="E238" s="18"/>
    </row>
    <row r="239" spans="1:6" s="646" customFormat="1">
      <c r="A239" s="616" t="s">
        <v>14063</v>
      </c>
      <c r="B239" s="616"/>
      <c r="C239" s="616"/>
      <c r="D239" s="616"/>
      <c r="E239" s="616"/>
      <c r="F239" s="616"/>
    </row>
    <row r="240" spans="1:6" s="800" customFormat="1">
      <c r="A240" s="882" t="s">
        <v>5661</v>
      </c>
      <c r="E240" s="18"/>
    </row>
    <row r="241" spans="1:6" s="800" customFormat="1">
      <c r="A241" s="882" t="s">
        <v>14015</v>
      </c>
      <c r="E241" s="18" t="str">
        <f>decCh1Prod1Slot1Promo1</f>
        <v>TPR 33%</v>
      </c>
      <c r="F241" s="520" t="s">
        <v>12484</v>
      </c>
    </row>
    <row r="242" spans="1:6" s="800" customFormat="1">
      <c r="A242" s="882" t="s">
        <v>14015</v>
      </c>
      <c r="E242" s="18" t="str">
        <f>decCh1Prod1Slot1Promo2</f>
        <v>TPR 20%</v>
      </c>
      <c r="F242" s="520" t="s">
        <v>12461</v>
      </c>
    </row>
    <row r="243" spans="1:6" s="800" customFormat="1">
      <c r="A243" s="882" t="s">
        <v>14016</v>
      </c>
      <c r="E243" s="18" t="str">
        <f>decCh1Prod1Slot2Promo1</f>
        <v>No Promotion</v>
      </c>
      <c r="F243" s="520" t="s">
        <v>12462</v>
      </c>
    </row>
    <row r="244" spans="1:6" s="800" customFormat="1">
      <c r="A244" s="882" t="s">
        <v>14016</v>
      </c>
      <c r="E244" s="18" t="str">
        <f>decCh1Prod1Slot2Promo2</f>
        <v>No Promotion</v>
      </c>
      <c r="F244" s="520" t="s">
        <v>12463</v>
      </c>
    </row>
    <row r="245" spans="1:6" s="800" customFormat="1">
      <c r="A245" s="882" t="s">
        <v>14017</v>
      </c>
      <c r="E245" s="18" t="str">
        <f>decCh1Prod1Slot3Promo1</f>
        <v>No Promotion</v>
      </c>
      <c r="F245" s="520" t="s">
        <v>12464</v>
      </c>
    </row>
    <row r="246" spans="1:6" s="800" customFormat="1">
      <c r="A246" s="882" t="s">
        <v>14017</v>
      </c>
      <c r="E246" s="18" t="str">
        <f>decCh1Prod1Slot3Promo2</f>
        <v>No Promotion</v>
      </c>
      <c r="F246" s="520" t="s">
        <v>12465</v>
      </c>
    </row>
    <row r="247" spans="1:6" s="800" customFormat="1">
      <c r="A247" s="882" t="s">
        <v>14018</v>
      </c>
      <c r="E247" s="18" t="str">
        <f>decCh1Prod2Slot1Promo1</f>
        <v>TPR 33%</v>
      </c>
      <c r="F247" s="520" t="s">
        <v>12466</v>
      </c>
    </row>
    <row r="248" spans="1:6" s="800" customFormat="1">
      <c r="A248" s="882" t="s">
        <v>14018</v>
      </c>
      <c r="E248" s="18" t="str">
        <f>decCh1Prod2Slot1Promo2</f>
        <v>No Promotion</v>
      </c>
      <c r="F248" s="520" t="s">
        <v>12467</v>
      </c>
    </row>
    <row r="249" spans="1:6" s="800" customFormat="1">
      <c r="A249" s="882" t="s">
        <v>14019</v>
      </c>
      <c r="E249" s="18" t="str">
        <f>decCh1Prod2Slot2Promo1</f>
        <v>TPR 20%</v>
      </c>
      <c r="F249" s="520" t="s">
        <v>12468</v>
      </c>
    </row>
    <row r="250" spans="1:6" s="800" customFormat="1">
      <c r="A250" s="882" t="s">
        <v>14019</v>
      </c>
      <c r="E250" s="18" t="str">
        <f>decCh1Prod2Slot2Promo2</f>
        <v>3/2</v>
      </c>
      <c r="F250" s="520" t="s">
        <v>12469</v>
      </c>
    </row>
    <row r="251" spans="1:6" s="800" customFormat="1">
      <c r="A251" s="882" t="s">
        <v>14020</v>
      </c>
      <c r="E251" s="18" t="str">
        <f>decCh1Prod2Slot3Promo1</f>
        <v>No Promotion</v>
      </c>
      <c r="F251" s="520" t="s">
        <v>12470</v>
      </c>
    </row>
    <row r="252" spans="1:6" s="800" customFormat="1">
      <c r="A252" s="882" t="s">
        <v>14020</v>
      </c>
      <c r="E252" s="18" t="str">
        <f>decCh1Prod2Slot3Promo2</f>
        <v>No Promotion</v>
      </c>
      <c r="F252" s="520" t="s">
        <v>12471</v>
      </c>
    </row>
    <row r="253" spans="1:6" s="800" customFormat="1">
      <c r="A253" s="882" t="s">
        <v>14021</v>
      </c>
      <c r="E253" s="18" t="str">
        <f>decCh1Prod3Slot1Promo1</f>
        <v>TPR 33%</v>
      </c>
      <c r="F253" s="520" t="s">
        <v>12472</v>
      </c>
    </row>
    <row r="254" spans="1:6" s="800" customFormat="1">
      <c r="A254" s="882" t="s">
        <v>14021</v>
      </c>
      <c r="E254" s="18" t="str">
        <f>decCh1Prod3Slot1Promo2</f>
        <v>No Promotion</v>
      </c>
      <c r="F254" s="520" t="s">
        <v>12473</v>
      </c>
    </row>
    <row r="255" spans="1:6" s="800" customFormat="1">
      <c r="A255" s="882" t="s">
        <v>14022</v>
      </c>
      <c r="E255" s="18" t="str">
        <f>decCh1Prod3Slot2Promo1</f>
        <v>TPR 20%</v>
      </c>
      <c r="F255" s="520" t="s">
        <v>12474</v>
      </c>
    </row>
    <row r="256" spans="1:6" s="800" customFormat="1">
      <c r="A256" s="882" t="s">
        <v>14022</v>
      </c>
      <c r="E256" s="18" t="str">
        <f>decCh1Prod3Slot2Promo2</f>
        <v>No Promotion</v>
      </c>
      <c r="F256" s="520" t="s">
        <v>12475</v>
      </c>
    </row>
    <row r="257" spans="1:6" s="800" customFormat="1">
      <c r="A257" s="882" t="s">
        <v>14023</v>
      </c>
      <c r="E257" s="18" t="str">
        <f>decCh1Prod3Slot3Promo1</f>
        <v>No Promotion</v>
      </c>
      <c r="F257" s="520" t="s">
        <v>12476</v>
      </c>
    </row>
    <row r="258" spans="1:6" s="800" customFormat="1">
      <c r="A258" s="882" t="s">
        <v>14023</v>
      </c>
      <c r="E258" s="18" t="str">
        <f>decCh1Prod3Slot3Promo2</f>
        <v>No Promotion</v>
      </c>
      <c r="F258" s="520" t="s">
        <v>12477</v>
      </c>
    </row>
    <row r="259" spans="1:6" s="800" customFormat="1">
      <c r="A259" s="882" t="s">
        <v>14024</v>
      </c>
      <c r="E259" s="18" t="str">
        <f>decCh1Prod4Slot1Promo1</f>
        <v>No Promotion</v>
      </c>
      <c r="F259" s="520" t="s">
        <v>12478</v>
      </c>
    </row>
    <row r="260" spans="1:6" s="800" customFormat="1">
      <c r="A260" s="882" t="s">
        <v>14024</v>
      </c>
      <c r="E260" s="18" t="str">
        <f>decCh1Prod4Slot1Promo2</f>
        <v>No Promotion</v>
      </c>
      <c r="F260" s="520" t="s">
        <v>12479</v>
      </c>
    </row>
    <row r="261" spans="1:6" s="800" customFormat="1">
      <c r="A261" s="882" t="s">
        <v>14025</v>
      </c>
      <c r="E261" s="18" t="str">
        <f>decCh1Prod4Slot2Promo1</f>
        <v>No Promotion</v>
      </c>
      <c r="F261" s="520" t="s">
        <v>12480</v>
      </c>
    </row>
    <row r="262" spans="1:6" s="800" customFormat="1">
      <c r="A262" s="882" t="s">
        <v>14025</v>
      </c>
      <c r="E262" s="18" t="str">
        <f>decCh1Prod4Slot2Promo2</f>
        <v>No Promotion</v>
      </c>
      <c r="F262" s="520" t="s">
        <v>12481</v>
      </c>
    </row>
    <row r="263" spans="1:6" s="800" customFormat="1">
      <c r="A263" s="882" t="s">
        <v>14026</v>
      </c>
      <c r="E263" s="18" t="str">
        <f>decCh1Prod4Slot3Promo1</f>
        <v>No Promotion</v>
      </c>
      <c r="F263" s="520" t="s">
        <v>12482</v>
      </c>
    </row>
    <row r="264" spans="1:6" s="800" customFormat="1">
      <c r="A264" s="882" t="s">
        <v>14026</v>
      </c>
      <c r="E264" s="18" t="str">
        <f>decCh1Prod4Slot3Promo2</f>
        <v>No Promotion</v>
      </c>
      <c r="F264" s="520" t="s">
        <v>12483</v>
      </c>
    </row>
    <row r="265" spans="1:6" s="800" customFormat="1">
      <c r="A265" s="882" t="s">
        <v>5661</v>
      </c>
      <c r="E265" s="18"/>
    </row>
    <row r="266" spans="1:6" s="646" customFormat="1">
      <c r="A266" s="616" t="s">
        <v>14064</v>
      </c>
      <c r="B266" s="616"/>
      <c r="C266" s="616"/>
      <c r="D266" s="616"/>
      <c r="E266" s="616"/>
      <c r="F266" s="616"/>
    </row>
    <row r="267" spans="1:6" s="800" customFormat="1">
      <c r="A267" s="882" t="s">
        <v>5661</v>
      </c>
      <c r="E267" s="18"/>
    </row>
    <row r="268" spans="1:6" s="800" customFormat="1">
      <c r="A268" s="882" t="s">
        <v>14015</v>
      </c>
      <c r="E268" s="18" t="str">
        <f>decCh3Prod1Slot1Promo1</f>
        <v>TPR 20%</v>
      </c>
      <c r="F268" s="800" t="s">
        <v>13198</v>
      </c>
    </row>
    <row r="269" spans="1:6" s="800" customFormat="1">
      <c r="A269" s="882" t="s">
        <v>14016</v>
      </c>
      <c r="E269" s="18" t="str">
        <f>decCh3Prod1Slot2Promo1</f>
        <v>No Promotion</v>
      </c>
      <c r="F269" s="800" t="s">
        <v>13199</v>
      </c>
    </row>
    <row r="270" spans="1:6" s="800" customFormat="1">
      <c r="A270" s="882" t="s">
        <v>14017</v>
      </c>
      <c r="E270" s="18" t="str">
        <f>decCh3Prod1Slot3Promo1</f>
        <v>No Promotion</v>
      </c>
      <c r="F270" s="800" t="s">
        <v>13200</v>
      </c>
    </row>
    <row r="271" spans="1:6" s="800" customFormat="1">
      <c r="A271" s="882" t="s">
        <v>14018</v>
      </c>
      <c r="E271" s="18" t="str">
        <f>decCh3Prod2Slot1Promo1</f>
        <v>TPR 33%</v>
      </c>
      <c r="F271" s="800" t="s">
        <v>13201</v>
      </c>
    </row>
    <row r="272" spans="1:6" s="800" customFormat="1">
      <c r="A272" s="882" t="s">
        <v>14019</v>
      </c>
      <c r="E272" s="18" t="str">
        <f>decCh3Prod2Slot2Promo1</f>
        <v>TPR 20%</v>
      </c>
      <c r="F272" s="800" t="s">
        <v>13202</v>
      </c>
    </row>
    <row r="273" spans="1:6" s="800" customFormat="1">
      <c r="A273" s="882" t="s">
        <v>14020</v>
      </c>
      <c r="E273" s="18" t="str">
        <f>decCh3Prod2Slot3Promo1</f>
        <v>No Promotion</v>
      </c>
      <c r="F273" s="800" t="s">
        <v>13203</v>
      </c>
    </row>
    <row r="274" spans="1:6" s="800" customFormat="1">
      <c r="A274" s="882" t="s">
        <v>14021</v>
      </c>
      <c r="E274" s="18" t="str">
        <f>decCh3Prod3Slot1Promo1</f>
        <v>3/2</v>
      </c>
      <c r="F274" s="800" t="s">
        <v>13204</v>
      </c>
    </row>
    <row r="275" spans="1:6" s="800" customFormat="1">
      <c r="A275" s="882" t="s">
        <v>14022</v>
      </c>
      <c r="E275" s="18" t="str">
        <f>decCh3Prod3Slot2Promo1</f>
        <v>No Promotion</v>
      </c>
      <c r="F275" s="800" t="s">
        <v>13205</v>
      </c>
    </row>
    <row r="276" spans="1:6" s="800" customFormat="1">
      <c r="A276" s="882" t="s">
        <v>14023</v>
      </c>
      <c r="E276" s="18" t="str">
        <f>decCh3Prod3Slot3Promo1</f>
        <v>No Promotion</v>
      </c>
      <c r="F276" s="800" t="s">
        <v>13206</v>
      </c>
    </row>
    <row r="277" spans="1:6" s="800" customFormat="1">
      <c r="A277" s="882" t="s">
        <v>14024</v>
      </c>
      <c r="E277" s="18" t="str">
        <f>decCh3Prod4Slot1Promo1</f>
        <v>No Promotion</v>
      </c>
      <c r="F277" s="800" t="s">
        <v>13207</v>
      </c>
    </row>
    <row r="278" spans="1:6" s="800" customFormat="1">
      <c r="A278" s="882" t="s">
        <v>14025</v>
      </c>
      <c r="E278" s="18" t="str">
        <f>decCh3Prod4Slot2Promo1</f>
        <v>No Promotion</v>
      </c>
      <c r="F278" s="800" t="s">
        <v>13208</v>
      </c>
    </row>
    <row r="279" spans="1:6" s="800" customFormat="1">
      <c r="A279" s="882" t="s">
        <v>14026</v>
      </c>
      <c r="E279" s="18" t="str">
        <f>decCh3Prod4Slot3Promo1</f>
        <v>No Promotion</v>
      </c>
      <c r="F279" s="800" t="s">
        <v>13209</v>
      </c>
    </row>
    <row r="280" spans="1:6" s="800" customFormat="1">
      <c r="A280" s="882" t="s">
        <v>5661</v>
      </c>
      <c r="E280" s="18"/>
    </row>
    <row r="281" spans="1:6" s="646" customFormat="1">
      <c r="A281" s="616" t="s">
        <v>14065</v>
      </c>
      <c r="B281" s="616"/>
      <c r="C281" s="616"/>
      <c r="D281" s="616"/>
      <c r="E281" s="616"/>
      <c r="F281" s="616"/>
    </row>
    <row r="282" spans="1:6" s="800" customFormat="1">
      <c r="A282" s="882" t="s">
        <v>5661</v>
      </c>
      <c r="E282" s="18"/>
    </row>
    <row r="283" spans="1:6" s="800" customFormat="1">
      <c r="A283" s="882" t="s">
        <v>14015</v>
      </c>
      <c r="E283" s="18" t="str">
        <f>decCh4Prod1Slot1Promo1</f>
        <v>TPR 20%</v>
      </c>
      <c r="F283" s="800" t="s">
        <v>13210</v>
      </c>
    </row>
    <row r="284" spans="1:6" s="800" customFormat="1">
      <c r="A284" s="882" t="s">
        <v>14016</v>
      </c>
      <c r="E284" s="18" t="str">
        <f>decCh4Prod1Slot2Promo1</f>
        <v>No Promotion</v>
      </c>
      <c r="F284" s="800" t="s">
        <v>13211</v>
      </c>
    </row>
    <row r="285" spans="1:6" s="800" customFormat="1">
      <c r="A285" s="882" t="s">
        <v>14017</v>
      </c>
      <c r="E285" s="18" t="str">
        <f>decCh4Prod1Slot3Promo1</f>
        <v>No Promotion</v>
      </c>
      <c r="F285" s="800" t="s">
        <v>13212</v>
      </c>
    </row>
    <row r="286" spans="1:6" s="800" customFormat="1">
      <c r="A286" s="882" t="s">
        <v>14018</v>
      </c>
      <c r="E286" s="18" t="str">
        <f>decCh4Prod2Slot1Promo1</f>
        <v>TPR 33%</v>
      </c>
      <c r="F286" s="800" t="s">
        <v>13213</v>
      </c>
    </row>
    <row r="287" spans="1:6" s="800" customFormat="1">
      <c r="A287" s="882" t="s">
        <v>14019</v>
      </c>
      <c r="E287" s="18" t="str">
        <f>decCh4Prod2Slot2Promo1</f>
        <v>No Promotion</v>
      </c>
      <c r="F287" s="800" t="s">
        <v>13214</v>
      </c>
    </row>
    <row r="288" spans="1:6" s="800" customFormat="1">
      <c r="A288" s="882" t="s">
        <v>14020</v>
      </c>
      <c r="E288" s="18" t="str">
        <f>decCh4Prod2Slot3Promo1</f>
        <v>No Promotion</v>
      </c>
      <c r="F288" s="800" t="s">
        <v>13215</v>
      </c>
    </row>
    <row r="289" spans="1:6" s="800" customFormat="1">
      <c r="A289" s="882" t="s">
        <v>14021</v>
      </c>
      <c r="E289" s="18" t="str">
        <f>decCh4Prod3Slot1Promo1</f>
        <v>No Promotion</v>
      </c>
      <c r="F289" s="800" t="s">
        <v>13216</v>
      </c>
    </row>
    <row r="290" spans="1:6" s="800" customFormat="1">
      <c r="A290" s="882" t="s">
        <v>14022</v>
      </c>
      <c r="E290" s="18" t="str">
        <f>decCh4Prod3Slot2Promo1</f>
        <v>No Promotion</v>
      </c>
      <c r="F290" s="800" t="s">
        <v>13217</v>
      </c>
    </row>
    <row r="291" spans="1:6" s="800" customFormat="1">
      <c r="A291" s="882" t="s">
        <v>14023</v>
      </c>
      <c r="E291" s="18" t="str">
        <f>decCh4Prod3Slot3Promo1</f>
        <v>No Promotion</v>
      </c>
      <c r="F291" s="800" t="s">
        <v>13218</v>
      </c>
    </row>
    <row r="292" spans="1:6" s="800" customFormat="1">
      <c r="A292" s="882" t="s">
        <v>14024</v>
      </c>
      <c r="E292" s="18" t="str">
        <f>decCh4Prod4Slot1Promo1</f>
        <v>TPR 20%</v>
      </c>
      <c r="F292" s="800" t="s">
        <v>13219</v>
      </c>
    </row>
    <row r="293" spans="1:6" s="800" customFormat="1">
      <c r="A293" s="882" t="s">
        <v>14025</v>
      </c>
      <c r="E293" s="18" t="str">
        <f>decCh4Prod4Slot2Promo1</f>
        <v>No Promotion</v>
      </c>
      <c r="F293" s="800" t="s">
        <v>13220</v>
      </c>
    </row>
    <row r="294" spans="1:6" s="800" customFormat="1">
      <c r="A294" s="882" t="s">
        <v>14026</v>
      </c>
      <c r="E294" s="18" t="str">
        <f>decCh4Prod4Slot3Promo1</f>
        <v>No Promotion</v>
      </c>
      <c r="F294" s="800" t="s">
        <v>13221</v>
      </c>
    </row>
    <row r="295" spans="1:6" s="800" customFormat="1">
      <c r="A295" s="882" t="s">
        <v>5661</v>
      </c>
      <c r="E295" s="18"/>
    </row>
    <row r="296" spans="1:6" s="290" customFormat="1">
      <c r="A296" s="616" t="s">
        <v>5187</v>
      </c>
      <c r="B296" s="81"/>
      <c r="C296" s="81"/>
      <c r="D296" s="81"/>
      <c r="E296" s="81"/>
      <c r="F296" s="81"/>
    </row>
    <row r="297" spans="1:6" s="290" customFormat="1">
      <c r="A297" s="882" t="s">
        <v>5661</v>
      </c>
    </row>
    <row r="298" spans="1:6" s="290" customFormat="1">
      <c r="A298" s="882" t="s">
        <v>4515</v>
      </c>
      <c r="E298" s="712">
        <f>finPNLNetRevTot</f>
        <v>4486395075.5444803</v>
      </c>
      <c r="F298" s="520" t="s">
        <v>4517</v>
      </c>
    </row>
    <row r="299" spans="1:6" s="290" customFormat="1" ht="1.1499999999999999" customHeight="1">
      <c r="A299" s="882" t="s">
        <v>5661</v>
      </c>
      <c r="B299" s="197"/>
      <c r="C299" s="197"/>
      <c r="D299" s="197"/>
      <c r="E299" s="632"/>
      <c r="F299" s="519"/>
    </row>
    <row r="300" spans="1:6" s="290" customFormat="1">
      <c r="A300" s="882" t="s">
        <v>14066</v>
      </c>
      <c r="E300" s="712">
        <f>finPNLCh1NetRev</f>
        <v>1602198766.2592835</v>
      </c>
      <c r="F300" s="520" t="s">
        <v>8437</v>
      </c>
    </row>
    <row r="301" spans="1:6" s="290" customFormat="1">
      <c r="A301" s="882" t="s">
        <v>14067</v>
      </c>
      <c r="E301" s="712">
        <f>finPNLCh2NetRev</f>
        <v>1261063329.5999999</v>
      </c>
      <c r="F301" s="520" t="s">
        <v>8457</v>
      </c>
    </row>
    <row r="302" spans="1:6" s="290" customFormat="1">
      <c r="A302" s="882" t="s">
        <v>14068</v>
      </c>
      <c r="E302" s="712">
        <f>finPNLCh3NetRev</f>
        <v>840122179.51821852</v>
      </c>
      <c r="F302" s="520" t="s">
        <v>8458</v>
      </c>
    </row>
    <row r="303" spans="1:6" s="290" customFormat="1">
      <c r="A303" s="882" t="s">
        <v>14069</v>
      </c>
      <c r="E303" s="712">
        <f>finPNLCh4NetRev</f>
        <v>783010800.16697836</v>
      </c>
      <c r="F303" s="520" t="s">
        <v>8459</v>
      </c>
    </row>
    <row r="304" spans="1:6" s="290" customFormat="1">
      <c r="A304" s="882" t="s">
        <v>5661</v>
      </c>
      <c r="E304" s="532"/>
      <c r="F304" s="646"/>
    </row>
    <row r="305" spans="1:6" s="290" customFormat="1">
      <c r="A305" s="882" t="s">
        <v>5188</v>
      </c>
      <c r="E305" s="712">
        <f>finPNLGPaLTot</f>
        <v>2079588274.6756134</v>
      </c>
      <c r="F305" s="520" t="s">
        <v>5192</v>
      </c>
    </row>
    <row r="306" spans="1:6" s="290" customFormat="1" ht="1.9" customHeight="1">
      <c r="A306" s="882" t="s">
        <v>5661</v>
      </c>
      <c r="B306" s="197"/>
      <c r="C306" s="197"/>
      <c r="D306" s="632"/>
      <c r="E306" s="632"/>
      <c r="F306" s="519"/>
    </row>
    <row r="307" spans="1:6" s="290" customFormat="1">
      <c r="A307" s="882" t="s">
        <v>14070</v>
      </c>
      <c r="E307" s="712">
        <f>finPNLCh1GPaL</f>
        <v>714910724.82424188</v>
      </c>
      <c r="F307" s="520" t="s">
        <v>8438</v>
      </c>
    </row>
    <row r="308" spans="1:6" s="290" customFormat="1">
      <c r="A308" s="882" t="s">
        <v>14071</v>
      </c>
      <c r="E308" s="712">
        <f>finPNLCh2GPaL</f>
        <v>603712529.45458055</v>
      </c>
      <c r="F308" s="520" t="s">
        <v>8460</v>
      </c>
    </row>
    <row r="309" spans="1:6" s="290" customFormat="1">
      <c r="A309" s="882" t="s">
        <v>14072</v>
      </c>
      <c r="E309" s="712">
        <f>finPNLCh3GPaL</f>
        <v>378221863.31588966</v>
      </c>
      <c r="F309" s="520" t="s">
        <v>8461</v>
      </c>
    </row>
    <row r="310" spans="1:6" s="290" customFormat="1">
      <c r="A310" s="882" t="s">
        <v>14073</v>
      </c>
      <c r="E310" s="712">
        <f>finPNLCh4GPaL</f>
        <v>382743157.08090079</v>
      </c>
      <c r="F310" s="520" t="s">
        <v>8462</v>
      </c>
    </row>
    <row r="311" spans="1:6" s="290" customFormat="1">
      <c r="A311" s="882" t="s">
        <v>5661</v>
      </c>
      <c r="E311" s="532"/>
      <c r="F311" s="646"/>
    </row>
    <row r="312" spans="1:6" s="290" customFormat="1">
      <c r="A312" s="882" t="s">
        <v>10568</v>
      </c>
      <c r="E312" s="712">
        <f>finPNLEbitTot</f>
        <v>1042150420.1710732</v>
      </c>
      <c r="F312" s="520" t="s">
        <v>11345</v>
      </c>
    </row>
    <row r="313" spans="1:6" s="290" customFormat="1" ht="1.9" customHeight="1">
      <c r="A313" s="882" t="s">
        <v>5661</v>
      </c>
      <c r="B313" s="197"/>
      <c r="C313" s="197"/>
      <c r="D313" s="632"/>
      <c r="E313" s="632"/>
      <c r="F313" s="519"/>
    </row>
    <row r="314" spans="1:6" s="290" customFormat="1">
      <c r="A314" s="882" t="s">
        <v>14074</v>
      </c>
      <c r="E314" s="712">
        <f>finPNLCh1GCC</f>
        <v>587866571.24650359</v>
      </c>
      <c r="F314" s="520" t="s">
        <v>8439</v>
      </c>
    </row>
    <row r="315" spans="1:6" s="290" customFormat="1">
      <c r="A315" s="882" t="s">
        <v>14075</v>
      </c>
      <c r="E315" s="712">
        <f>finPNLCh2GCC</f>
        <v>503718242.4217633</v>
      </c>
      <c r="F315" s="520" t="s">
        <v>8463</v>
      </c>
    </row>
    <row r="316" spans="1:6" s="290" customFormat="1">
      <c r="A316" s="882" t="s">
        <v>14076</v>
      </c>
      <c r="E316" s="712">
        <f>finPNLCh3GCC</f>
        <v>311605527.41146898</v>
      </c>
      <c r="F316" s="520" t="s">
        <v>8464</v>
      </c>
    </row>
    <row r="317" spans="1:6" s="290" customFormat="1">
      <c r="A317" s="882" t="s">
        <v>14077</v>
      </c>
      <c r="E317" s="712">
        <f>finPNLCh4GCC</f>
        <v>320655389.66756409</v>
      </c>
      <c r="F317" s="520" t="s">
        <v>8465</v>
      </c>
    </row>
    <row r="318" spans="1:6" s="290" customFormat="1">
      <c r="A318" s="882" t="s">
        <v>5661</v>
      </c>
      <c r="E318" s="532"/>
      <c r="F318" s="646"/>
    </row>
    <row r="319" spans="1:6" s="290" customFormat="1">
      <c r="A319" s="882" t="s">
        <v>5190</v>
      </c>
      <c r="E319" s="712">
        <f>calcCustProfitTot</f>
        <v>7437951994.1617088</v>
      </c>
      <c r="F319" s="520" t="s">
        <v>5193</v>
      </c>
    </row>
    <row r="320" spans="1:6" s="290" customFormat="1" ht="1.9" customHeight="1">
      <c r="A320" s="882" t="s">
        <v>5661</v>
      </c>
      <c r="B320" s="197"/>
      <c r="C320" s="197"/>
      <c r="D320" s="632"/>
      <c r="E320" s="632"/>
      <c r="F320" s="519"/>
    </row>
    <row r="321" spans="1:6" s="290" customFormat="1">
      <c r="A321" s="882" t="s">
        <v>14078</v>
      </c>
      <c r="E321" s="712">
        <f>calcCh1CustProfitTot</f>
        <v>639912288.01116467</v>
      </c>
      <c r="F321" s="520" t="s">
        <v>8440</v>
      </c>
    </row>
    <row r="322" spans="1:6" s="290" customFormat="1">
      <c r="A322" s="882" t="s">
        <v>14079</v>
      </c>
      <c r="E322" s="712">
        <f>calcCh2CustProfitTot</f>
        <v>307591591.73999983</v>
      </c>
      <c r="F322" s="520" t="s">
        <v>8466</v>
      </c>
    </row>
    <row r="323" spans="1:6" s="290" customFormat="1">
      <c r="A323" s="882" t="s">
        <v>14080</v>
      </c>
      <c r="E323" s="712">
        <f>calcCh3CustProfitTot</f>
        <v>428756018.9205451</v>
      </c>
      <c r="F323" s="520" t="s">
        <v>8467</v>
      </c>
    </row>
    <row r="324" spans="1:6" s="290" customFormat="1">
      <c r="A324" s="882" t="s">
        <v>14081</v>
      </c>
      <c r="E324" s="712">
        <f>calcCh4CustProfitTot</f>
        <v>6061692095.4899998</v>
      </c>
      <c r="F324" s="520" t="s">
        <v>8468</v>
      </c>
    </row>
    <row r="325" spans="1:6">
      <c r="A325" s="882" t="s">
        <v>5661</v>
      </c>
      <c r="E325" s="18"/>
    </row>
    <row r="326" spans="1:6" s="800" customFormat="1">
      <c r="A326" s="882" t="s">
        <v>1819</v>
      </c>
      <c r="E326" s="712">
        <f>finCalcVolSold</f>
        <v>979253824.24000001</v>
      </c>
      <c r="F326" s="520" t="s">
        <v>13068</v>
      </c>
    </row>
    <row r="327" spans="1:6" s="800" customFormat="1">
      <c r="A327" s="882" t="s">
        <v>5661</v>
      </c>
      <c r="E327" s="18"/>
    </row>
    <row r="328" spans="1:6" s="646" customFormat="1">
      <c r="A328" s="616" t="s">
        <v>14082</v>
      </c>
      <c r="B328" s="616"/>
      <c r="C328" s="616"/>
      <c r="D328" s="616"/>
      <c r="E328" s="616"/>
      <c r="F328" s="616"/>
    </row>
    <row r="329" spans="1:6" s="646" customFormat="1">
      <c r="A329" s="277" t="s">
        <v>12868</v>
      </c>
      <c r="E329" s="532"/>
    </row>
    <row r="330" spans="1:6" s="646" customFormat="1">
      <c r="A330" s="277" t="s">
        <v>3859</v>
      </c>
      <c r="E330" s="870"/>
    </row>
    <row r="331" spans="1:6" s="646" customFormat="1">
      <c r="A331" s="882" t="s">
        <v>8649</v>
      </c>
      <c r="E331" s="532">
        <f>IF(calcCh1Prod1Slot1Active=1,finPNLCh1Prod1Slot1TotalRev,"")</f>
        <v>208374278.46619633</v>
      </c>
      <c r="F331" s="520" t="s">
        <v>8747</v>
      </c>
    </row>
    <row r="332" spans="1:6" s="646" customFormat="1">
      <c r="A332" s="882" t="s">
        <v>521</v>
      </c>
      <c r="E332" s="532">
        <f>IF(calcCh1Prod1Slot1Active=1,finPNLCh1Prod1Slot1GPaL,0)</f>
        <v>64444947.218937032</v>
      </c>
      <c r="F332" s="520" t="s">
        <v>9401</v>
      </c>
    </row>
    <row r="333" spans="1:6" s="646" customFormat="1">
      <c r="A333" s="882" t="s">
        <v>8650</v>
      </c>
      <c r="E333" s="532">
        <f>IF(calcCh1Prod1Slot1Active=1,finCalcCh1Prod1Slot1VolSold,"")</f>
        <v>57998264.240000002</v>
      </c>
      <c r="F333" s="520" t="s">
        <v>8748</v>
      </c>
    </row>
    <row r="334" spans="1:6" s="646" customFormat="1">
      <c r="A334" s="882" t="s">
        <v>9063</v>
      </c>
      <c r="E334" s="885">
        <f>IF(calcCh1Prod1Slot1Active=1,cbalCh1Prod1Slot1NetRev/cbalCh1Prod1Slot1SoldVol,"")</f>
        <v>3.5927674939362344</v>
      </c>
      <c r="F334" s="520" t="s">
        <v>9402</v>
      </c>
    </row>
    <row r="335" spans="1:6" s="646" customFormat="1">
      <c r="A335" s="882" t="s">
        <v>9064</v>
      </c>
      <c r="E335" s="885">
        <f>IF(calcCh1Prod1Slot1Active=1,cbalCh1Prod1Slot1GPaL/cbalCh1Prod1Slot1SoldVol,"")</f>
        <v>1.1111530329987169</v>
      </c>
      <c r="F335" s="520" t="s">
        <v>9403</v>
      </c>
    </row>
    <row r="336" spans="1:6" s="646" customFormat="1">
      <c r="A336" s="882" t="s">
        <v>9068</v>
      </c>
      <c r="E336" s="885">
        <f>IF(calcCh1Prod1Slot1Active=1,calcCh1Prod1Slot1CustPrice,"")</f>
        <v>7.7</v>
      </c>
      <c r="F336" s="520" t="s">
        <v>9404</v>
      </c>
    </row>
    <row r="337" spans="1:6" s="646" customFormat="1">
      <c r="A337" s="882" t="s">
        <v>11554</v>
      </c>
      <c r="E337" s="885">
        <f>IF(calcCh1Prod1Slot1Active=1,calcCh1Prod1Slot1Promo1CustPrice,"")</f>
        <v>5.1589999999999998</v>
      </c>
      <c r="F337" s="520" t="s">
        <v>11570</v>
      </c>
    </row>
    <row r="338" spans="1:6" s="646" customFormat="1">
      <c r="A338" s="882" t="s">
        <v>11561</v>
      </c>
      <c r="E338" s="885">
        <f>IF(calcCh1Prod1Slot1Active=1,calcCh1Prod1Slot1Promo2CustPrice,"")</f>
        <v>6.16</v>
      </c>
      <c r="F338" s="520" t="s">
        <v>11571</v>
      </c>
    </row>
    <row r="339" spans="1:6" s="646" customFormat="1">
      <c r="A339" s="882" t="s">
        <v>4410</v>
      </c>
      <c r="E339" s="885">
        <f>IF(calcCh1Prod1Slot1Active=1,calcCh1Prod1Slot1AvgSalePrice,"")</f>
        <v>6.0676000000000005</v>
      </c>
      <c r="F339" s="520" t="s">
        <v>9405</v>
      </c>
    </row>
    <row r="340" spans="1:6" s="646" customFormat="1">
      <c r="A340" s="882" t="s">
        <v>8607</v>
      </c>
      <c r="E340" s="885">
        <f>IFERROR(IF(calcCh1Prod1Slot1Active=1,(cbalCh1Prod1Slot1Promo1Share*cbalCh1Prod1Slot1Promo1Price+cbalCh1Prod1Slot1Promo2Share*cbalCh1Prod1Slot1Promo2Price)/(cbalCh1Prod1Slot1Promo1Share+cbalCh1Prod1Slot1Promo2Share),""),cbalCh1Prod1Slot1AvgPrice)</f>
        <v>5.6595000000000004</v>
      </c>
      <c r="F340" s="520" t="s">
        <v>12833</v>
      </c>
    </row>
    <row r="341" spans="1:6" s="646" customFormat="1">
      <c r="A341" s="882" t="s">
        <v>3329</v>
      </c>
      <c r="E341" s="532" t="str">
        <f>IF(calcCh1Prod1Slot1Active=1,calcCh1Prod1Slot1Pack,"")</f>
        <v>24 x 33cl Can</v>
      </c>
      <c r="F341" s="520" t="s">
        <v>9406</v>
      </c>
    </row>
    <row r="342" spans="1:6" s="646" customFormat="1">
      <c r="A342" s="882" t="s">
        <v>5912</v>
      </c>
      <c r="E342" s="870">
        <f>IF(calcCh1Prod1Slot1Active=1,calcCh1Prod1Slot1Promo1PlanShare,"")</f>
        <v>0.4</v>
      </c>
      <c r="F342" s="520" t="s">
        <v>11572</v>
      </c>
    </row>
    <row r="343" spans="1:6" s="646" customFormat="1">
      <c r="A343" s="882" t="s">
        <v>5916</v>
      </c>
      <c r="E343" s="870">
        <f>IF(calcCh1Prod1Slot1Active=1,calcCh1Prod1Slot1Promo2PlanShare,"")</f>
        <v>0.4</v>
      </c>
      <c r="F343" s="520" t="s">
        <v>11573</v>
      </c>
    </row>
    <row r="344" spans="1:6" s="646" customFormat="1">
      <c r="A344" s="882" t="s">
        <v>11563</v>
      </c>
      <c r="E344" s="961">
        <f>calcCh1Prod1Slot1Promo1ROI</f>
        <v>-0.38695392849490395</v>
      </c>
      <c r="F344" s="520" t="s">
        <v>11574</v>
      </c>
    </row>
    <row r="345" spans="1:6" s="646" customFormat="1">
      <c r="A345" s="882" t="s">
        <v>11562</v>
      </c>
      <c r="E345" s="961">
        <f>calcCh1Prod1Slot1Promo2ROI</f>
        <v>28.641177323625108</v>
      </c>
      <c r="F345" s="520" t="s">
        <v>11575</v>
      </c>
    </row>
    <row r="346" spans="1:6" s="646" customFormat="1">
      <c r="A346" s="882" t="s">
        <v>3674</v>
      </c>
      <c r="E346" s="961">
        <f>IF(calcCh1Prod1Slot1Active=1,calcCh1Prod1Slot1WD,"")</f>
        <v>0.75357142857142845</v>
      </c>
      <c r="F346" s="520" t="s">
        <v>9407</v>
      </c>
    </row>
    <row r="347" spans="1:6" s="646" customFormat="1">
      <c r="A347" s="882" t="s">
        <v>4413</v>
      </c>
      <c r="E347" s="961">
        <f>calcCh1Prod1Slot1Promo1GPaLUplift</f>
        <v>-5.5430082869130759E-2</v>
      </c>
      <c r="F347" s="520" t="s">
        <v>12581</v>
      </c>
    </row>
    <row r="348" spans="1:6" s="646" customFormat="1">
      <c r="A348" s="882" t="s">
        <v>4413</v>
      </c>
      <c r="E348" s="961">
        <f>calcCh1Prod1Slot1Promo2GPaLUplift</f>
        <v>4.1027696467459842</v>
      </c>
      <c r="F348" s="520" t="s">
        <v>12749</v>
      </c>
    </row>
    <row r="349" spans="1:6" s="646" customFormat="1">
      <c r="A349" s="882" t="s">
        <v>11388</v>
      </c>
      <c r="E349" s="961">
        <f>calcCh1Prod1Slot1Promo1VolUplift</f>
        <v>10.500000000000002</v>
      </c>
      <c r="F349" s="520" t="s">
        <v>12617</v>
      </c>
    </row>
    <row r="350" spans="1:6" s="646" customFormat="1">
      <c r="A350" s="882" t="s">
        <v>11388</v>
      </c>
      <c r="E350" s="961">
        <f>calcCh1Prod1Slot1Promo2VolUplift</f>
        <v>10.500000000000002</v>
      </c>
      <c r="F350" s="520" t="s">
        <v>12750</v>
      </c>
    </row>
    <row r="351" spans="1:6" s="646" customFormat="1">
      <c r="A351" s="882" t="s">
        <v>5195</v>
      </c>
      <c r="E351" s="961">
        <f>calcCh1Prod1Slot1Promo1CustUplift</f>
        <v>6.9110070608080667</v>
      </c>
      <c r="F351" s="520" t="s">
        <v>12062</v>
      </c>
    </row>
    <row r="352" spans="1:6" s="646" customFormat="1">
      <c r="A352" s="882" t="s">
        <v>5195</v>
      </c>
      <c r="E352" s="961">
        <f>calcCh1Prod1Slot1Promo2CustUplift</f>
        <v>8.3030035304040357</v>
      </c>
      <c r="F352" s="520" t="s">
        <v>12063</v>
      </c>
    </row>
    <row r="353" spans="1:6" s="646" customFormat="1">
      <c r="A353" s="882" t="s">
        <v>157</v>
      </c>
      <c r="E353" s="532">
        <f>IF(calcCh1Prod1Slot1Active=1,finPNLCh1Prod1Slot1TotalCOGs,"")</f>
        <v>128940137.73546477</v>
      </c>
      <c r="F353" s="520" t="s">
        <v>10516</v>
      </c>
    </row>
    <row r="354" spans="1:6" s="646" customFormat="1">
      <c r="A354" s="882" t="s">
        <v>10370</v>
      </c>
      <c r="E354" s="885">
        <f>IF(decCh1Prod1Slot1Active=1,finPNLCh1Prod1Slot1TotalCOGs/cbalCh1Prod1Slot1SoldVol,"")</f>
        <v>2.2231723556743592</v>
      </c>
      <c r="F354" s="520" t="s">
        <v>10419</v>
      </c>
    </row>
    <row r="355" spans="1:6" s="646" customFormat="1">
      <c r="A355" s="277" t="s">
        <v>3858</v>
      </c>
      <c r="E355" s="885"/>
    </row>
    <row r="356" spans="1:6" s="646" customFormat="1">
      <c r="A356" s="882" t="s">
        <v>8649</v>
      </c>
      <c r="E356" s="532" t="str">
        <f>IF(calcCh1Prod1Slot2Active=1,finPNLCh1Prod1Slot2TotalRev,"")</f>
        <v/>
      </c>
      <c r="F356" s="520" t="s">
        <v>12248</v>
      </c>
    </row>
    <row r="357" spans="1:6" s="802" customFormat="1">
      <c r="A357" s="882" t="s">
        <v>521</v>
      </c>
      <c r="E357" s="532">
        <f>IF(calcCh1Prod1Slot2Active=1,finPNLCh1Prod1Slot2GPaL,0)</f>
        <v>0</v>
      </c>
      <c r="F357" s="520" t="s">
        <v>12249</v>
      </c>
    </row>
    <row r="358" spans="1:6" s="800" customFormat="1">
      <c r="A358" s="882" t="s">
        <v>8650</v>
      </c>
      <c r="E358" s="532" t="str">
        <f>IF(calcCh1Prod1Slot2Active=1,finCalcCh1Prod1Slot2VolSold,"")</f>
        <v/>
      </c>
      <c r="F358" s="520" t="s">
        <v>12250</v>
      </c>
    </row>
    <row r="359" spans="1:6" s="800" customFormat="1">
      <c r="A359" s="882" t="s">
        <v>9063</v>
      </c>
      <c r="E359" s="885" t="str">
        <f>IF(calcCh1Prod1Slot2Active=1,cbalCh1Prod1Slot2NetRev/cbalCh1Prod1Slot2SoldVol,"")</f>
        <v/>
      </c>
      <c r="F359" s="520" t="s">
        <v>12251</v>
      </c>
    </row>
    <row r="360" spans="1:6" s="800" customFormat="1">
      <c r="A360" s="882" t="s">
        <v>9064</v>
      </c>
      <c r="E360" s="885" t="str">
        <f>IF(calcCh1Prod1Slot2Active=1,cbalCh1Prod1Slot2GPaL/cbalCh1Prod1Slot2SoldVol,"")</f>
        <v/>
      </c>
      <c r="F360" s="520" t="s">
        <v>9408</v>
      </c>
    </row>
    <row r="361" spans="1:6" s="800" customFormat="1">
      <c r="A361" s="882" t="s">
        <v>9068</v>
      </c>
      <c r="E361" s="885" t="str">
        <f>IF(calcCh1Prod1Slot2Active=1,calcCh1Prod1Slot2CustPrice,"")</f>
        <v/>
      </c>
      <c r="F361" s="520" t="s">
        <v>9409</v>
      </c>
    </row>
    <row r="362" spans="1:6" s="800" customFormat="1">
      <c r="A362" s="882" t="s">
        <v>11554</v>
      </c>
      <c r="E362" s="885" t="str">
        <f>IF(calcCh1Prod1Slot2Active=1,calcCh1Prod1Slot2Promo1CustPrice,"")</f>
        <v/>
      </c>
      <c r="F362" s="520" t="s">
        <v>12252</v>
      </c>
    </row>
    <row r="363" spans="1:6" s="800" customFormat="1">
      <c r="A363" s="882" t="s">
        <v>11561</v>
      </c>
      <c r="E363" s="885" t="str">
        <f>IF(calcCh1Prod1Slot2Active=1,calcCh1Prod1Slot2Promo2CustPrice,"")</f>
        <v/>
      </c>
      <c r="F363" s="520" t="s">
        <v>12253</v>
      </c>
    </row>
    <row r="364" spans="1:6" s="800" customFormat="1">
      <c r="A364" s="882" t="s">
        <v>4410</v>
      </c>
      <c r="B364" s="646"/>
      <c r="C364" s="646"/>
      <c r="D364" s="646"/>
      <c r="E364" s="885" t="str">
        <f>IF(calcCh1Prod1Slot2Active=1,calcCh1Prod1Slot2AvgSalePrice,"")</f>
        <v/>
      </c>
      <c r="F364" s="520" t="s">
        <v>9410</v>
      </c>
    </row>
    <row r="365" spans="1:6" s="800" customFormat="1">
      <c r="A365" s="882" t="s">
        <v>8607</v>
      </c>
      <c r="B365" s="646"/>
      <c r="C365" s="646"/>
      <c r="D365" s="646"/>
      <c r="E365" s="885" t="str">
        <f>IFERROR(IF(calcCh1Prod1Slot2Active=1,(cbalCh1Prod1Slot2Promo1Share*cbalCh1Prod1Slot2Promo1Price+cbalCh1Prod1Slot2Promo2Share*cbalCh1Prod1Slot2Promo2Price)/(cbalCh1Prod1Slot2Promo1Share+cbalCh1Prod1Slot2Promo2Share),""),cbalCh1Prod1Slot2AvgPrice)</f>
        <v/>
      </c>
      <c r="F365" s="520" t="s">
        <v>12834</v>
      </c>
    </row>
    <row r="366" spans="1:6" s="800" customFormat="1">
      <c r="A366" s="882" t="s">
        <v>3329</v>
      </c>
      <c r="B366" s="646"/>
      <c r="C366" s="646"/>
      <c r="D366" s="646"/>
      <c r="E366" s="532" t="str">
        <f>IF(calcCh1Prod1Slot2Active=1,calcCh1Prod1Slot2Pack,"")</f>
        <v/>
      </c>
      <c r="F366" s="520" t="s">
        <v>9411</v>
      </c>
    </row>
    <row r="367" spans="1:6" s="800" customFormat="1">
      <c r="A367" s="882" t="s">
        <v>5912</v>
      </c>
      <c r="B367" s="646"/>
      <c r="C367" s="646"/>
      <c r="D367" s="646"/>
      <c r="E367" s="870" t="str">
        <f>IF(calcCh1Prod1Slot2Active=1,calcCh1Prod1Slot2Promo1PlanShare,"")</f>
        <v/>
      </c>
      <c r="F367" s="520" t="s">
        <v>12254</v>
      </c>
    </row>
    <row r="368" spans="1:6" s="646" customFormat="1">
      <c r="A368" s="882" t="s">
        <v>5916</v>
      </c>
      <c r="E368" s="870" t="str">
        <f>IF(calcCh1Prod1Slot2Active=1,calcCh1Prod1Slot2Promo2PlanShare,"")</f>
        <v/>
      </c>
      <c r="F368" s="520" t="s">
        <v>12255</v>
      </c>
    </row>
    <row r="369" spans="1:6" s="800" customFormat="1">
      <c r="A369" s="882" t="s">
        <v>11563</v>
      </c>
      <c r="E369" s="961" t="str">
        <f>calcCh1Prod1Slot2Promo1ROI</f>
        <v/>
      </c>
      <c r="F369" s="520" t="s">
        <v>12256</v>
      </c>
    </row>
    <row r="370" spans="1:6" s="800" customFormat="1">
      <c r="A370" s="882" t="s">
        <v>11562</v>
      </c>
      <c r="E370" s="961" t="str">
        <f>calcCh1Prod1Slot2Promo2ROI</f>
        <v/>
      </c>
      <c r="F370" s="520" t="s">
        <v>12257</v>
      </c>
    </row>
    <row r="371" spans="1:6" s="800" customFormat="1">
      <c r="A371" s="882" t="s">
        <v>3674</v>
      </c>
      <c r="E371" s="961" t="str">
        <f>IF(calcCh1Prod1Slot2Active=1,calcCh1Prod1Slot2WD,"")</f>
        <v/>
      </c>
      <c r="F371" s="520" t="s">
        <v>9412</v>
      </c>
    </row>
    <row r="372" spans="1:6" s="800" customFormat="1">
      <c r="A372" s="882" t="s">
        <v>4413</v>
      </c>
      <c r="E372" s="961" t="str">
        <f>calcCh1Prod1Slot2Promo1GPaLUplift</f>
        <v/>
      </c>
      <c r="F372" s="520" t="s">
        <v>12582</v>
      </c>
    </row>
    <row r="373" spans="1:6" s="800" customFormat="1">
      <c r="A373" s="882" t="s">
        <v>4413</v>
      </c>
      <c r="E373" s="961" t="str">
        <f>calcCh1Prod1Slot2Promo2GPaLUplift</f>
        <v/>
      </c>
      <c r="F373" s="520" t="s">
        <v>12751</v>
      </c>
    </row>
    <row r="374" spans="1:6" s="800" customFormat="1">
      <c r="A374" s="882" t="s">
        <v>11388</v>
      </c>
      <c r="E374" s="961" t="str">
        <f>calcCh1Prod1Slot2Promo1VolUplift</f>
        <v/>
      </c>
      <c r="F374" s="520" t="s">
        <v>12618</v>
      </c>
    </row>
    <row r="375" spans="1:6" s="800" customFormat="1">
      <c r="A375" s="882" t="s">
        <v>11388</v>
      </c>
      <c r="E375" s="961" t="str">
        <f>calcCh1Prod1Slot2Promo2VolUplift</f>
        <v/>
      </c>
      <c r="F375" s="520" t="s">
        <v>12752</v>
      </c>
    </row>
    <row r="376" spans="1:6" s="800" customFormat="1">
      <c r="A376" s="882" t="s">
        <v>5195</v>
      </c>
      <c r="E376" s="961" t="str">
        <f>calcCh1Prod1Slot2Promo1CustUplift</f>
        <v/>
      </c>
      <c r="F376" s="520" t="s">
        <v>12258</v>
      </c>
    </row>
    <row r="377" spans="1:6" s="800" customFormat="1">
      <c r="A377" s="882" t="s">
        <v>5195</v>
      </c>
      <c r="E377" s="961" t="str">
        <f>calcCh1Prod1Slot2Promo2CustUplift</f>
        <v/>
      </c>
      <c r="F377" s="520" t="s">
        <v>12259</v>
      </c>
    </row>
    <row r="378" spans="1:6" s="800" customFormat="1">
      <c r="A378" s="882" t="s">
        <v>157</v>
      </c>
      <c r="E378" s="532" t="str">
        <f>IF(calcCh1Prod1Slot2Active=1,finPNLCh1Prod1Slot2TotalCOGs,"")</f>
        <v/>
      </c>
      <c r="F378" s="520" t="s">
        <v>10517</v>
      </c>
    </row>
    <row r="379" spans="1:6" s="800" customFormat="1">
      <c r="A379" s="882" t="s">
        <v>10370</v>
      </c>
      <c r="E379" s="885" t="str">
        <f>IF(decCh1Prod1Slot2Active=1,finPNLCh1Prod1Slot2TotalCOGs/cbalCh1Prod1Slot2SoldVol,"")</f>
        <v/>
      </c>
      <c r="F379" s="520" t="s">
        <v>10420</v>
      </c>
    </row>
    <row r="380" spans="1:6" s="800" customFormat="1">
      <c r="A380" s="277" t="s">
        <v>3860</v>
      </c>
      <c r="F380" s="646"/>
    </row>
    <row r="381" spans="1:6" s="800" customFormat="1">
      <c r="A381" s="882" t="s">
        <v>8649</v>
      </c>
      <c r="E381" s="532" t="str">
        <f>IF(calcCh1Prod1Slot3Active=1,finPNLCh1Prod1Slot3TotalRev,"")</f>
        <v/>
      </c>
      <c r="F381" s="520" t="s">
        <v>8749</v>
      </c>
    </row>
    <row r="382" spans="1:6" s="800" customFormat="1">
      <c r="A382" s="882" t="s">
        <v>521</v>
      </c>
      <c r="E382" s="532">
        <f>IF(calcCh1Prod1Slot3Active=1,finPNLCh1Prod1Slot3GPaL,0)</f>
        <v>0</v>
      </c>
      <c r="F382" s="520" t="s">
        <v>9413</v>
      </c>
    </row>
    <row r="383" spans="1:6" s="800" customFormat="1">
      <c r="A383" s="882" t="s">
        <v>8650</v>
      </c>
      <c r="E383" s="532" t="str">
        <f>IF(calcCh1Prod1Slot3Active=1,finCalcCh1Prod1Slot3VolSold,"")</f>
        <v/>
      </c>
      <c r="F383" s="520" t="s">
        <v>8750</v>
      </c>
    </row>
    <row r="384" spans="1:6" s="800" customFormat="1">
      <c r="A384" s="882" t="s">
        <v>9063</v>
      </c>
      <c r="B384" s="646"/>
      <c r="C384" s="646"/>
      <c r="D384" s="646"/>
      <c r="E384" s="885" t="str">
        <f>IF(calcCh1Prod1Slot3Active=1,cbalCh1Prod1Slot3NetRev/cbalCh1Prod1Slot3SoldVol,"")</f>
        <v/>
      </c>
      <c r="F384" s="520" t="s">
        <v>9414</v>
      </c>
    </row>
    <row r="385" spans="1:6" s="800" customFormat="1">
      <c r="A385" s="882" t="s">
        <v>9064</v>
      </c>
      <c r="B385" s="646"/>
      <c r="C385" s="646"/>
      <c r="D385" s="646"/>
      <c r="E385" s="885" t="str">
        <f>IF(calcCh1Prod1Slot3Active=1,cbalCh1Prod1Slot3GPaL/cbalCh1Prod1Slot3SoldVol,"")</f>
        <v/>
      </c>
      <c r="F385" s="520" t="s">
        <v>9415</v>
      </c>
    </row>
    <row r="386" spans="1:6" s="800" customFormat="1">
      <c r="A386" s="882" t="s">
        <v>9068</v>
      </c>
      <c r="B386" s="646"/>
      <c r="C386" s="646"/>
      <c r="D386" s="646"/>
      <c r="E386" s="885" t="str">
        <f>IF(calcCh1Prod1Slot3Active=1,calcCh1Prod1Slot3CustPrice,"")</f>
        <v/>
      </c>
      <c r="F386" s="520" t="s">
        <v>9416</v>
      </c>
    </row>
    <row r="387" spans="1:6" s="646" customFormat="1">
      <c r="A387" s="882" t="s">
        <v>11554</v>
      </c>
      <c r="E387" s="885" t="str">
        <f>IF(calcCh1Prod1Slot3Active=1,calcCh1Prod1Slot3Promo1CustPrice,"")</f>
        <v/>
      </c>
      <c r="F387" s="520" t="s">
        <v>12260</v>
      </c>
    </row>
    <row r="388" spans="1:6" s="800" customFormat="1">
      <c r="A388" s="882" t="s">
        <v>11561</v>
      </c>
      <c r="E388" s="885" t="str">
        <f>IF(calcCh1Prod1Slot3Active=1,calcCh1Prod1Slot3Promo2CustPrice,"")</f>
        <v/>
      </c>
      <c r="F388" s="520" t="s">
        <v>12261</v>
      </c>
    </row>
    <row r="389" spans="1:6" s="800" customFormat="1">
      <c r="A389" s="882" t="s">
        <v>4410</v>
      </c>
      <c r="E389" s="885" t="str">
        <f>IF(calcCh1Prod1Slot3Active=1,calcCh1Prod1Slot3AvgSalePrice,"")</f>
        <v/>
      </c>
      <c r="F389" s="520" t="s">
        <v>9417</v>
      </c>
    </row>
    <row r="390" spans="1:6" s="800" customFormat="1">
      <c r="A390" s="882" t="s">
        <v>8607</v>
      </c>
      <c r="E390" s="885" t="str">
        <f>IFERROR(IF(calcCh1Prod1Slot3Active=1,(cbalCh1Prod1Slot3Promo1Share*cbalCh1Prod1Slot3Promo1Price+cbalCh1Prod1Slot3Promo2Share*cbalCh1Prod1Slot3Promo2Price)/(cbalCh1Prod1Slot3Promo1Share+cbalCh1Prod1Slot3Promo2Share),""),cbalCh1Prod1Slot3AvgPrice)</f>
        <v/>
      </c>
      <c r="F390" s="520" t="s">
        <v>12835</v>
      </c>
    </row>
    <row r="391" spans="1:6" s="800" customFormat="1">
      <c r="A391" s="882" t="s">
        <v>3329</v>
      </c>
      <c r="E391" s="532" t="str">
        <f>IF(calcCh1Prod1Slot3Active=1,calcCh1Prod1Slot3Pack,"")</f>
        <v/>
      </c>
      <c r="F391" s="520" t="s">
        <v>9418</v>
      </c>
    </row>
    <row r="392" spans="1:6" s="646" customFormat="1">
      <c r="A392" s="882" t="s">
        <v>5912</v>
      </c>
      <c r="E392" s="870" t="str">
        <f>IF(calcCh1Prod1Slot3Active=1,calcCh1Prod1Slot3Promo1PlanShare,"")</f>
        <v/>
      </c>
      <c r="F392" s="520" t="s">
        <v>12262</v>
      </c>
    </row>
    <row r="393" spans="1:6" s="646" customFormat="1">
      <c r="A393" s="882" t="s">
        <v>5916</v>
      </c>
      <c r="E393" s="870" t="str">
        <f>IF(calcCh1Prod1Slot3Active=1,calcCh1Prod1Slot3Promo2PlanShare,"")</f>
        <v/>
      </c>
      <c r="F393" s="520" t="s">
        <v>12263</v>
      </c>
    </row>
    <row r="394" spans="1:6" s="646" customFormat="1">
      <c r="A394" s="882" t="s">
        <v>11563</v>
      </c>
      <c r="E394" s="961" t="str">
        <f>calcCh1Prod1Slot3Promo1ROI</f>
        <v/>
      </c>
      <c r="F394" s="520" t="s">
        <v>12264</v>
      </c>
    </row>
    <row r="395" spans="1:6" s="646" customFormat="1">
      <c r="A395" s="882" t="s">
        <v>11562</v>
      </c>
      <c r="E395" s="961" t="str">
        <f>calcCh1Prod1Slot3Promo2ROI</f>
        <v/>
      </c>
      <c r="F395" s="520" t="s">
        <v>12265</v>
      </c>
    </row>
    <row r="396" spans="1:6" s="646" customFormat="1">
      <c r="A396" s="882" t="s">
        <v>3674</v>
      </c>
      <c r="E396" s="961" t="str">
        <f>IF(calcCh1Prod1Slot3Active=1,calcCh1Prod1Slot3WD,"")</f>
        <v/>
      </c>
      <c r="F396" s="520" t="s">
        <v>9419</v>
      </c>
    </row>
    <row r="397" spans="1:6" s="646" customFormat="1">
      <c r="A397" s="882" t="s">
        <v>4413</v>
      </c>
      <c r="E397" s="961" t="str">
        <f>calcCh1Prod1Slot3Promo1GPaLUplift</f>
        <v/>
      </c>
      <c r="F397" s="520" t="s">
        <v>12583</v>
      </c>
    </row>
    <row r="398" spans="1:6" s="646" customFormat="1">
      <c r="A398" s="882" t="s">
        <v>4413</v>
      </c>
      <c r="E398" s="961" t="str">
        <f>calcCh1Prod1Slot3Promo2GPaLUplift</f>
        <v/>
      </c>
      <c r="F398" s="520" t="s">
        <v>12753</v>
      </c>
    </row>
    <row r="399" spans="1:6" s="646" customFormat="1">
      <c r="A399" s="882" t="s">
        <v>11388</v>
      </c>
      <c r="E399" s="961" t="str">
        <f>calcCh1Prod1Slot3Promo1VolUplift</f>
        <v/>
      </c>
      <c r="F399" s="520" t="s">
        <v>12619</v>
      </c>
    </row>
    <row r="400" spans="1:6" s="646" customFormat="1">
      <c r="A400" s="882" t="s">
        <v>11388</v>
      </c>
      <c r="E400" s="961" t="str">
        <f>calcCh1Prod1Slot3Promo2VolUplift</f>
        <v/>
      </c>
      <c r="F400" s="520" t="s">
        <v>12754</v>
      </c>
    </row>
    <row r="401" spans="1:6" s="646" customFormat="1">
      <c r="A401" s="882" t="s">
        <v>5195</v>
      </c>
      <c r="E401" s="961" t="str">
        <f>calcCh1Prod1Slot3Promo1CustUplift</f>
        <v/>
      </c>
      <c r="F401" s="520" t="s">
        <v>12266</v>
      </c>
    </row>
    <row r="402" spans="1:6" s="646" customFormat="1">
      <c r="A402" s="882" t="s">
        <v>5195</v>
      </c>
      <c r="E402" s="961" t="str">
        <f>calcCh1Prod1Slot3Promo2CustUplift</f>
        <v/>
      </c>
      <c r="F402" s="520" t="s">
        <v>12267</v>
      </c>
    </row>
    <row r="403" spans="1:6" s="646" customFormat="1">
      <c r="A403" s="882" t="s">
        <v>157</v>
      </c>
      <c r="E403" s="532" t="str">
        <f>IF(calcCh1Prod1Slot3Active=1,finPNLCh1Prod1Slot3TotalCOGs,"")</f>
        <v/>
      </c>
      <c r="F403" s="520" t="s">
        <v>10518</v>
      </c>
    </row>
    <row r="404" spans="1:6" s="646" customFormat="1">
      <c r="A404" s="882" t="s">
        <v>10370</v>
      </c>
      <c r="E404" s="885" t="str">
        <f>IF(decCh1Prod1Slot3Active=1,finPNLCh1Prod1Slot3TotalCOGs/cbalCh1Prod1Slot3SoldVol,"")</f>
        <v/>
      </c>
      <c r="F404" s="520" t="s">
        <v>10421</v>
      </c>
    </row>
    <row r="405" spans="1:6" s="646" customFormat="1">
      <c r="A405" s="882" t="s">
        <v>5661</v>
      </c>
      <c r="E405" s="800"/>
      <c r="F405" s="520"/>
    </row>
    <row r="406" spans="1:6" s="646" customFormat="1">
      <c r="A406" s="277" t="s">
        <v>238</v>
      </c>
      <c r="E406" s="800"/>
    </row>
    <row r="407" spans="1:6" s="646" customFormat="1">
      <c r="A407" s="277" t="s">
        <v>3859</v>
      </c>
      <c r="E407" s="800"/>
    </row>
    <row r="408" spans="1:6" s="646" customFormat="1">
      <c r="A408" s="882" t="s">
        <v>8649</v>
      </c>
      <c r="E408" s="532">
        <f>IF(calcCh1Prod2Slot1Active=1,finPNLCh1Prod2Slot1TotalRev,"")</f>
        <v>429979218.90455031</v>
      </c>
      <c r="F408" s="520" t="s">
        <v>8751</v>
      </c>
    </row>
    <row r="409" spans="1:6" s="646" customFormat="1">
      <c r="A409" s="882" t="s">
        <v>521</v>
      </c>
      <c r="E409" s="532">
        <f>IF(calcCh1Prod2Slot1Active=1,finPNLCh1Prod2Slot1GPaL,0)</f>
        <v>231501475.66579553</v>
      </c>
      <c r="F409" s="520" t="s">
        <v>9420</v>
      </c>
    </row>
    <row r="410" spans="1:6" s="646" customFormat="1">
      <c r="A410" s="882" t="s">
        <v>8650</v>
      </c>
      <c r="E410" s="532">
        <f>IF(calcCh1Prod2Slot1Active=1,finCalcCh1Prod2Slot1VolSold,"")</f>
        <v>82212505.199999988</v>
      </c>
      <c r="F410" s="520" t="s">
        <v>8752</v>
      </c>
    </row>
    <row r="411" spans="1:6" s="646" customFormat="1">
      <c r="A411" s="882" t="s">
        <v>9063</v>
      </c>
      <c r="E411" s="885">
        <f>IF(calcCh1Prod2Slot1Active=1,cbalCh1Prod2Slot1NetRev/cbalCh1Prod2Slot1SoldVol,"")</f>
        <v>5.2300950793134371</v>
      </c>
      <c r="F411" s="520" t="s">
        <v>9421</v>
      </c>
    </row>
    <row r="412" spans="1:6" s="646" customFormat="1">
      <c r="A412" s="882" t="s">
        <v>9064</v>
      </c>
      <c r="E412" s="885">
        <f>IF(calcCh1Prod2Slot1Active=1,cbalCh1Prod2Slot1GPaL/cbalCh1Prod2Slot1SoldVol,"")</f>
        <v>2.8158912698575151</v>
      </c>
      <c r="F412" s="520" t="s">
        <v>9422</v>
      </c>
    </row>
    <row r="413" spans="1:6" s="646" customFormat="1">
      <c r="A413" s="882" t="s">
        <v>9068</v>
      </c>
      <c r="E413" s="885">
        <f>IF(calcCh1Prod2Slot1Active=1,calcCh1Prod2Slot1CustPrice,"")</f>
        <v>7.9</v>
      </c>
      <c r="F413" s="520" t="s">
        <v>9423</v>
      </c>
    </row>
    <row r="414" spans="1:6" s="646" customFormat="1">
      <c r="A414" s="882" t="s">
        <v>11554</v>
      </c>
      <c r="E414" s="885">
        <f>IF(calcCh1Prod2Slot1Active=1,calcCh1Prod2Slot1Promo1CustPrice,"")</f>
        <v>5.2929999999999993</v>
      </c>
      <c r="F414" s="520" t="s">
        <v>12268</v>
      </c>
    </row>
    <row r="415" spans="1:6" s="646" customFormat="1">
      <c r="A415" s="882" t="s">
        <v>11561</v>
      </c>
      <c r="E415" s="885">
        <f>IF(calcCh1Prod2Slot1Active=1,calcCh1Prod2Slot1Promo2CustPrice,"")</f>
        <v>7.9</v>
      </c>
      <c r="F415" s="520" t="s">
        <v>12269</v>
      </c>
    </row>
    <row r="416" spans="1:6" s="646" customFormat="1">
      <c r="A416" s="882" t="s">
        <v>4410</v>
      </c>
      <c r="E416" s="885">
        <f>IF(calcCh1Prod2Slot1Active=1,calcCh1Prod2Slot1AvgSalePrice,"")</f>
        <v>7.6393000000000004</v>
      </c>
      <c r="F416" s="520" t="s">
        <v>9424</v>
      </c>
    </row>
    <row r="417" spans="1:6" s="646" customFormat="1">
      <c r="A417" s="882" t="s">
        <v>8607</v>
      </c>
      <c r="E417" s="885">
        <f>IFERROR(IF(calcCh1Prod2Slot1Active=1,(cbalCh1Prod2Slot1Promo1Share*cbalCh1Prod2Slot1Promo1Price+cbalCh1Prod2Slot1Promo2Share*cbalCh1Prod2Slot1Promo2Price)/(cbalCh1Prod2Slot1Promo1Share+cbalCh1Prod2Slot1Promo2Share),""),cbalCh1Prod2Slot1AvgPrice)</f>
        <v>6.5965000000000007</v>
      </c>
      <c r="F417" s="520" t="s">
        <v>12836</v>
      </c>
    </row>
    <row r="418" spans="1:6" s="802" customFormat="1">
      <c r="A418" s="882" t="s">
        <v>3329</v>
      </c>
      <c r="E418" s="532" t="str">
        <f>IF(calcCh1Prod2Slot1Active=1,calcCh1Prod2Slot1Pack,"")</f>
        <v>33cl Can</v>
      </c>
      <c r="F418" s="520" t="s">
        <v>9425</v>
      </c>
    </row>
    <row r="419" spans="1:6" s="800" customFormat="1">
      <c r="A419" s="882" t="s">
        <v>5912</v>
      </c>
      <c r="E419" s="870">
        <f>IF(calcCh1Prod2Slot1Active=1,calcCh1Prod2Slot1Promo1PlanShare,"")</f>
        <v>0.1</v>
      </c>
      <c r="F419" s="520" t="s">
        <v>12270</v>
      </c>
    </row>
    <row r="420" spans="1:6" s="800" customFormat="1">
      <c r="A420" s="882" t="s">
        <v>5916</v>
      </c>
      <c r="E420" s="870">
        <f>IF(calcCh1Prod2Slot1Active=1,calcCh1Prod2Slot1Promo2PlanShare,"")</f>
        <v>0.1</v>
      </c>
      <c r="F420" s="520" t="s">
        <v>12271</v>
      </c>
    </row>
    <row r="421" spans="1:6" s="800" customFormat="1">
      <c r="A421" s="882" t="s">
        <v>11563</v>
      </c>
      <c r="E421" s="961">
        <f>calcCh1Prod2Slot1Promo1ROI</f>
        <v>-0.96384079093142883</v>
      </c>
      <c r="F421" s="520" t="s">
        <v>12272</v>
      </c>
    </row>
    <row r="422" spans="1:6" s="800" customFormat="1">
      <c r="A422" s="882" t="s">
        <v>11562</v>
      </c>
      <c r="E422" s="961" t="str">
        <f>calcCh1Prod2Slot1Promo2ROI</f>
        <v/>
      </c>
      <c r="F422" s="520" t="s">
        <v>12273</v>
      </c>
    </row>
    <row r="423" spans="1:6" s="800" customFormat="1">
      <c r="A423" s="882" t="s">
        <v>3674</v>
      </c>
      <c r="B423" s="646"/>
      <c r="C423" s="646"/>
      <c r="D423" s="646"/>
      <c r="E423" s="961">
        <f>IF(calcCh1Prod2Slot1Active=1,calcCh1Prod2Slot1WD,"")</f>
        <v>0.75357142857142845</v>
      </c>
      <c r="F423" s="520" t="s">
        <v>9426</v>
      </c>
    </row>
    <row r="424" spans="1:6" s="800" customFormat="1">
      <c r="A424" s="882" t="s">
        <v>4413</v>
      </c>
      <c r="B424" s="646"/>
      <c r="C424" s="646"/>
      <c r="D424" s="646"/>
      <c r="E424" s="961">
        <f>calcCh1Prod2Slot1Promo1GPaLUplift</f>
        <v>-4.2214113345434789E-2</v>
      </c>
      <c r="F424" s="520" t="s">
        <v>12584</v>
      </c>
    </row>
    <row r="425" spans="1:6" s="800" customFormat="1">
      <c r="A425" s="882" t="s">
        <v>4413</v>
      </c>
      <c r="B425" s="646"/>
      <c r="C425" s="646"/>
      <c r="D425" s="646"/>
      <c r="E425" s="961" t="str">
        <f>calcCh1Prod2Slot1Promo2GPaLUplift</f>
        <v/>
      </c>
      <c r="F425" s="520" t="s">
        <v>12755</v>
      </c>
    </row>
    <row r="426" spans="1:6" s="800" customFormat="1">
      <c r="A426" s="882" t="s">
        <v>11388</v>
      </c>
      <c r="B426" s="646"/>
      <c r="C426" s="646"/>
      <c r="D426" s="646"/>
      <c r="E426" s="961">
        <f>calcCh1Prod2Slot1Promo1VolUplift</f>
        <v>5.1728395061728412</v>
      </c>
      <c r="F426" s="520" t="s">
        <v>12620</v>
      </c>
    </row>
    <row r="427" spans="1:6" s="800" customFormat="1">
      <c r="A427" s="882" t="s">
        <v>11388</v>
      </c>
      <c r="B427" s="646"/>
      <c r="C427" s="646"/>
      <c r="D427" s="646"/>
      <c r="E427" s="961" t="str">
        <f>calcCh1Prod2Slot1Promo2VolUplift</f>
        <v/>
      </c>
      <c r="F427" s="520" t="s">
        <v>12756</v>
      </c>
    </row>
    <row r="428" spans="1:6" s="646" customFormat="1">
      <c r="A428" s="882" t="s">
        <v>5195</v>
      </c>
      <c r="E428" s="961">
        <f>calcCh1Prod2Slot1Promo1CustUplift</f>
        <v>3.1700179393365606</v>
      </c>
      <c r="F428" s="520" t="s">
        <v>12274</v>
      </c>
    </row>
    <row r="429" spans="1:6" s="800" customFormat="1">
      <c r="A429" s="882" t="s">
        <v>5195</v>
      </c>
      <c r="E429" s="961" t="str">
        <f>calcCh1Prod2Slot1Promo2CustUplift</f>
        <v/>
      </c>
      <c r="F429" s="520" t="s">
        <v>12275</v>
      </c>
    </row>
    <row r="430" spans="1:6" s="800" customFormat="1">
      <c r="A430" s="882" t="s">
        <v>157</v>
      </c>
      <c r="E430" s="532">
        <f>IF(calcCh1Prod2Slot1Active=1,finPNLCh1Prod2Slot1TotalCOGs,"")</f>
        <v>175859784.96604741</v>
      </c>
      <c r="F430" s="520" t="s">
        <v>10519</v>
      </c>
    </row>
    <row r="431" spans="1:6" s="800" customFormat="1">
      <c r="A431" s="882" t="s">
        <v>10370</v>
      </c>
      <c r="E431" s="885">
        <f>IF(decCh1Prod2Slot1Active=1,finPNLCh1Prod2Slot1TotalCOGs/cbalCh1Prod2Slot1SoldVol,"")</f>
        <v>2.1390880199822377</v>
      </c>
      <c r="F431" s="520" t="s">
        <v>10422</v>
      </c>
    </row>
    <row r="432" spans="1:6" s="800" customFormat="1">
      <c r="A432" s="277" t="s">
        <v>3858</v>
      </c>
      <c r="E432" s="885"/>
      <c r="F432" s="646"/>
    </row>
    <row r="433" spans="1:6" s="800" customFormat="1">
      <c r="A433" s="882" t="s">
        <v>8649</v>
      </c>
      <c r="E433" s="532">
        <f>IF(calcCh1Prod2Slot2Active=1,finPNLCh1Prod2Slot2TotalRev,"")</f>
        <v>395450197.25158</v>
      </c>
      <c r="F433" s="520" t="s">
        <v>8753</v>
      </c>
    </row>
    <row r="434" spans="1:6" s="800" customFormat="1">
      <c r="A434" s="882" t="s">
        <v>521</v>
      </c>
      <c r="E434" s="532">
        <f>IF(calcCh1Prod2Slot2Active=1,finPNLCh1Prod2Slot2GPaL,0)</f>
        <v>151361843.56687698</v>
      </c>
      <c r="F434" s="520" t="s">
        <v>9427</v>
      </c>
    </row>
    <row r="435" spans="1:6" s="800" customFormat="1">
      <c r="A435" s="882" t="s">
        <v>8650</v>
      </c>
      <c r="E435" s="532">
        <f>IF(calcCh1Prod2Slot2Active=1,finCalcCh1Prod2Slot2VolSold,"")</f>
        <v>100481950.80000001</v>
      </c>
      <c r="F435" s="520" t="s">
        <v>8754</v>
      </c>
    </row>
    <row r="436" spans="1:6" s="800" customFormat="1">
      <c r="A436" s="882" t="s">
        <v>9063</v>
      </c>
      <c r="E436" s="885">
        <f>IF(calcCh1Prod2Slot2Active=1,cbalCh1Prod2Slot2NetRev/cbalCh1Prod2Slot2SoldVol,"")</f>
        <v>3.9355346318732094</v>
      </c>
      <c r="F436" s="520" t="s">
        <v>9428</v>
      </c>
    </row>
    <row r="437" spans="1:6" s="800" customFormat="1">
      <c r="A437" s="882" t="s">
        <v>9064</v>
      </c>
      <c r="E437" s="885">
        <f>IF(calcCh1Prod2Slot2Active=1,cbalCh1Prod2Slot2GPaL/cbalCh1Prod2Slot2SoldVol,"")</f>
        <v>1.5063585286888852</v>
      </c>
      <c r="F437" s="520" t="s">
        <v>9429</v>
      </c>
    </row>
    <row r="438" spans="1:6" s="800" customFormat="1">
      <c r="A438" s="882" t="s">
        <v>9068</v>
      </c>
      <c r="E438" s="885">
        <f>IF(calcCh1Prod2Slot2Active=1,calcCh1Prod2Slot2CustPrice,"")</f>
        <v>7.55</v>
      </c>
      <c r="F438" s="520" t="s">
        <v>9430</v>
      </c>
    </row>
    <row r="439" spans="1:6" s="800" customFormat="1">
      <c r="A439" s="882" t="s">
        <v>11554</v>
      </c>
      <c r="E439" s="885">
        <f>IF(calcCh1Prod2Slot2Active=1,calcCh1Prod2Slot2Promo1CustPrice,"")</f>
        <v>6.04</v>
      </c>
      <c r="F439" s="520" t="s">
        <v>12276</v>
      </c>
    </row>
    <row r="440" spans="1:6" s="800" customFormat="1">
      <c r="A440" s="882" t="s">
        <v>11561</v>
      </c>
      <c r="E440" s="885">
        <f>IF(calcCh1Prod2Slot2Active=1,calcCh1Prod2Slot2Promo2CustPrice,"")</f>
        <v>5.0584999999999996</v>
      </c>
      <c r="F440" s="520" t="s">
        <v>12277</v>
      </c>
    </row>
    <row r="441" spans="1:6" s="800" customFormat="1">
      <c r="A441" s="882" t="s">
        <v>4410</v>
      </c>
      <c r="E441" s="885">
        <f>IF(calcCh1Prod2Slot2Active=1,calcCh1Prod2Slot2AvgSalePrice,"")</f>
        <v>6.3495499999999989</v>
      </c>
      <c r="F441" s="520" t="s">
        <v>9431</v>
      </c>
    </row>
    <row r="442" spans="1:6" s="800" customFormat="1">
      <c r="A442" s="882" t="s">
        <v>8607</v>
      </c>
      <c r="E442" s="885">
        <f>IFERROR(IF(calcCh1Prod2Slot2Active=1,(cbalCh1Prod2Slot2Promo1Share*cbalCh1Prod2Slot2Promo1Price+cbalCh1Prod2Slot2Promo2Share*cbalCh1Prod2Slot2Promo2Price)/(cbalCh1Prod2Slot2Promo1Share+cbalCh1Prod2Slot2Promo2Share),""),cbalCh1Prod2Slot2AvgPrice)</f>
        <v>5.5492499999999989</v>
      </c>
      <c r="F442" s="520" t="s">
        <v>12837</v>
      </c>
    </row>
    <row r="443" spans="1:6" s="800" customFormat="1">
      <c r="A443" s="882" t="s">
        <v>3329</v>
      </c>
      <c r="B443" s="646"/>
      <c r="C443" s="646"/>
      <c r="D443" s="646"/>
      <c r="E443" s="532" t="str">
        <f>IF(calcCh1Prod2Slot2Active=1,calcCh1Prod2Slot2Pack,"")</f>
        <v>6 x 33cl Can</v>
      </c>
      <c r="F443" s="520" t="s">
        <v>9432</v>
      </c>
    </row>
    <row r="444" spans="1:6" s="800" customFormat="1">
      <c r="A444" s="882" t="s">
        <v>5912</v>
      </c>
      <c r="B444" s="646"/>
      <c r="C444" s="646"/>
      <c r="D444" s="646"/>
      <c r="E444" s="870">
        <f>IF(calcCh1Prod2Slot2Active=1,calcCh1Prod2Slot2Promo1PlanShare,"")</f>
        <v>0.3</v>
      </c>
      <c r="F444" s="520" t="s">
        <v>12278</v>
      </c>
    </row>
    <row r="445" spans="1:6" s="800" customFormat="1">
      <c r="A445" s="882" t="s">
        <v>5916</v>
      </c>
      <c r="B445" s="646"/>
      <c r="C445" s="646"/>
      <c r="D445" s="646"/>
      <c r="E445" s="870">
        <f>IF(calcCh1Prod2Slot2Active=1,calcCh1Prod2Slot2Promo2PlanShare,"")</f>
        <v>0.3</v>
      </c>
      <c r="F445" s="520" t="s">
        <v>12279</v>
      </c>
    </row>
    <row r="446" spans="1:6" s="646" customFormat="1">
      <c r="A446" s="882" t="s">
        <v>11563</v>
      </c>
      <c r="E446" s="961">
        <f>calcCh1Prod2Slot2Promo1ROI</f>
        <v>97.517410631878121</v>
      </c>
      <c r="F446" s="520" t="s">
        <v>12280</v>
      </c>
    </row>
    <row r="447" spans="1:6" s="800" customFormat="1">
      <c r="A447" s="882" t="s">
        <v>11562</v>
      </c>
      <c r="E447" s="961">
        <f>calcCh1Prod2Slot2Promo2ROI</f>
        <v>13.097131921945596</v>
      </c>
      <c r="F447" s="520" t="s">
        <v>12281</v>
      </c>
    </row>
    <row r="448" spans="1:6" s="800" customFormat="1">
      <c r="A448" s="882" t="s">
        <v>3674</v>
      </c>
      <c r="E448" s="961">
        <f>IF(calcCh1Prod2Slot2Active=1,calcCh1Prod2Slot2WD,"")</f>
        <v>0.85357142857142854</v>
      </c>
      <c r="F448" s="520" t="s">
        <v>9433</v>
      </c>
    </row>
    <row r="449" spans="1:6" s="800" customFormat="1">
      <c r="A449" s="882" t="s">
        <v>4413</v>
      </c>
      <c r="E449" s="961">
        <f>calcCh1Prod2Slot2Promo1GPaLUplift</f>
        <v>7.4509047138243609</v>
      </c>
      <c r="F449" s="520" t="s">
        <v>12585</v>
      </c>
    </row>
    <row r="450" spans="1:6" s="800" customFormat="1">
      <c r="A450" s="882" t="s">
        <v>4413</v>
      </c>
      <c r="E450" s="961">
        <f>calcCh1Prod2Slot2Promo2GPaLUplift</f>
        <v>1.0006980429698116</v>
      </c>
      <c r="F450" s="520" t="s">
        <v>12757</v>
      </c>
    </row>
    <row r="451" spans="1:6" s="800" customFormat="1">
      <c r="A451" s="882" t="s">
        <v>11388</v>
      </c>
      <c r="E451" s="961">
        <f>calcCh1Prod2Slot2Promo1VolUplift</f>
        <v>17.98989898989899</v>
      </c>
      <c r="F451" s="520" t="s">
        <v>12621</v>
      </c>
    </row>
    <row r="452" spans="1:6" s="800" customFormat="1">
      <c r="A452" s="882" t="s">
        <v>11388</v>
      </c>
      <c r="E452" s="961">
        <f>calcCh1Prod2Slot2Promo2VolUplift</f>
        <v>22.737373737373737</v>
      </c>
      <c r="F452" s="520" t="s">
        <v>12758</v>
      </c>
    </row>
    <row r="453" spans="1:6" s="800" customFormat="1">
      <c r="A453" s="882" t="s">
        <v>5195</v>
      </c>
      <c r="E453" s="961">
        <f>calcCh1Prod2Slot2Promo1CustUplift</f>
        <v>14.274523288321268</v>
      </c>
      <c r="F453" s="520" t="s">
        <v>12282</v>
      </c>
    </row>
    <row r="454" spans="1:6" s="646" customFormat="1">
      <c r="A454" s="882" t="s">
        <v>5195</v>
      </c>
      <c r="E454" s="961">
        <f>calcCh1Prod2Slot2Promo2CustUplift</f>
        <v>14.959109801641787</v>
      </c>
      <c r="F454" s="520" t="s">
        <v>12283</v>
      </c>
    </row>
    <row r="455" spans="1:6" s="646" customFormat="1">
      <c r="A455" s="882" t="s">
        <v>157</v>
      </c>
      <c r="E455" s="532">
        <f>IF(calcCh1Prod2Slot2Active=1,finPNLCh1Prod2Slot2TotalCOGs,"")</f>
        <v>218119586.77900195</v>
      </c>
      <c r="F455" s="520" t="s">
        <v>10520</v>
      </c>
    </row>
    <row r="456" spans="1:6" s="646" customFormat="1">
      <c r="A456" s="882" t="s">
        <v>10370</v>
      </c>
      <c r="E456" s="885">
        <f>IF(decCh1Prod2Slot2Active=1,finPNLCh1Prod2Slot2TotalCOGs/cbalCh1Prod2Slot2SoldVol,"")</f>
        <v>2.1707339979211664</v>
      </c>
      <c r="F456" s="520" t="s">
        <v>10423</v>
      </c>
    </row>
    <row r="457" spans="1:6" s="646" customFormat="1">
      <c r="A457" s="277" t="s">
        <v>3860</v>
      </c>
      <c r="E457" s="800"/>
    </row>
    <row r="458" spans="1:6" s="646" customFormat="1">
      <c r="A458" s="882" t="s">
        <v>8649</v>
      </c>
      <c r="E458" s="532" t="str">
        <f>IF(calcCh1Prod2Slot3Active=1,finPNLCh1Prod2Slot3TotalRev,"")</f>
        <v/>
      </c>
      <c r="F458" s="520" t="s">
        <v>8755</v>
      </c>
    </row>
    <row r="459" spans="1:6" s="646" customFormat="1">
      <c r="A459" s="882" t="s">
        <v>521</v>
      </c>
      <c r="E459" s="532">
        <f>IF(calcCh1Prod2Slot3Active=1,finPNLCh1Prod2Slot3GPaL,0)</f>
        <v>0</v>
      </c>
      <c r="F459" s="520" t="s">
        <v>9434</v>
      </c>
    </row>
    <row r="460" spans="1:6" s="646" customFormat="1">
      <c r="A460" s="882" t="s">
        <v>8650</v>
      </c>
      <c r="E460" s="532" t="str">
        <f>IF(calcCh1Prod2Slot3Active=1,finCalcCh1Prod2Slot3VolSold,"")</f>
        <v/>
      </c>
      <c r="F460" s="520" t="s">
        <v>8756</v>
      </c>
    </row>
    <row r="461" spans="1:6" s="646" customFormat="1">
      <c r="A461" s="882" t="s">
        <v>9063</v>
      </c>
      <c r="E461" s="885" t="str">
        <f>IF(calcCh1Prod2Slot3Active=1,cbalCh1Prod2Slot3NetRev/cbalCh1Prod2Slot3SoldVol,"")</f>
        <v/>
      </c>
      <c r="F461" s="520" t="s">
        <v>9435</v>
      </c>
    </row>
    <row r="462" spans="1:6" s="646" customFormat="1">
      <c r="A462" s="882" t="s">
        <v>9064</v>
      </c>
      <c r="E462" s="885" t="str">
        <f>IF(calcCh1Prod2Slot3Active=1,cbalCh1Prod2Slot3GPaL/cbalCh1Prod2Slot3SoldVol,"")</f>
        <v/>
      </c>
      <c r="F462" s="520" t="s">
        <v>9436</v>
      </c>
    </row>
    <row r="463" spans="1:6" s="646" customFormat="1">
      <c r="A463" s="882" t="s">
        <v>9068</v>
      </c>
      <c r="E463" s="885" t="str">
        <f>IF(calcCh1Prod2Slot3Active=1,calcCh1Prod2Slot3CustPrice,"")</f>
        <v/>
      </c>
      <c r="F463" s="520" t="s">
        <v>9437</v>
      </c>
    </row>
    <row r="464" spans="1:6" s="646" customFormat="1">
      <c r="A464" s="882" t="s">
        <v>11554</v>
      </c>
      <c r="E464" s="885" t="str">
        <f>IF(calcCh1Prod2Slot3Active=1,calcCh1Prod2Slot3Promo1CustPrice,"")</f>
        <v/>
      </c>
      <c r="F464" s="520" t="s">
        <v>12284</v>
      </c>
    </row>
    <row r="465" spans="1:6" s="646" customFormat="1">
      <c r="A465" s="882" t="s">
        <v>11561</v>
      </c>
      <c r="E465" s="885" t="str">
        <f>IF(calcCh1Prod2Slot3Active=1,calcCh1Prod2Slot3Promo2CustPrice,"")</f>
        <v/>
      </c>
      <c r="F465" s="520" t="s">
        <v>12285</v>
      </c>
    </row>
    <row r="466" spans="1:6" s="646" customFormat="1">
      <c r="A466" s="882" t="s">
        <v>4410</v>
      </c>
      <c r="E466" s="885" t="str">
        <f>IF(calcCh1Prod2Slot3Active=1,calcCh1Prod2Slot3AvgSalePrice,"")</f>
        <v/>
      </c>
      <c r="F466" s="520" t="s">
        <v>9438</v>
      </c>
    </row>
    <row r="467" spans="1:6" s="646" customFormat="1">
      <c r="A467" s="882" t="s">
        <v>8607</v>
      </c>
      <c r="E467" s="885" t="str">
        <f>IFERROR(IF(calcCh1Prod2Slot3Active=1,(cbalCh1Prod2Slot3Promo1Share*cbalCh1Prod2Slot3Promo1Price+cbalCh1Prod2Slot3Promo2Share*cbalCh1Prod2Slot3Promo2Price)/(cbalCh1Prod2Slot3Promo1Share+cbalCh1Prod2Slot3Promo2Share),""),cbalCh1Prod2Slot3AvgPrice)</f>
        <v/>
      </c>
      <c r="F467" s="520" t="s">
        <v>12838</v>
      </c>
    </row>
    <row r="468" spans="1:6" s="646" customFormat="1">
      <c r="A468" s="882" t="s">
        <v>3329</v>
      </c>
      <c r="E468" s="532" t="str">
        <f>IF(calcCh1Prod2Slot3Active=1,calcCh1Prod2Slot3Pack,"")</f>
        <v/>
      </c>
      <c r="F468" s="520" t="s">
        <v>9439</v>
      </c>
    </row>
    <row r="469" spans="1:6" s="646" customFormat="1">
      <c r="A469" s="882" t="s">
        <v>5912</v>
      </c>
      <c r="E469" s="870" t="str">
        <f>IF(calcCh1Prod2Slot3Active=1,calcCh1Prod2Slot3Promo1PlanShare,"")</f>
        <v/>
      </c>
      <c r="F469" s="520" t="s">
        <v>12286</v>
      </c>
    </row>
    <row r="470" spans="1:6" s="646" customFormat="1">
      <c r="A470" s="882" t="s">
        <v>5916</v>
      </c>
      <c r="E470" s="870" t="str">
        <f>IF(calcCh1Prod2Slot3Active=1,calcCh1Prod2Slot3Promo2PlanShare,"")</f>
        <v/>
      </c>
      <c r="F470" s="520" t="s">
        <v>12287</v>
      </c>
    </row>
    <row r="471" spans="1:6" s="646" customFormat="1">
      <c r="A471" s="882" t="s">
        <v>11563</v>
      </c>
      <c r="E471" s="961" t="str">
        <f>calcCh1Prod2Slot3Promo1ROI</f>
        <v/>
      </c>
      <c r="F471" s="520" t="s">
        <v>12288</v>
      </c>
    </row>
    <row r="472" spans="1:6" s="646" customFormat="1">
      <c r="A472" s="882" t="s">
        <v>11562</v>
      </c>
      <c r="E472" s="961" t="str">
        <f>calcCh1Prod2Slot3Promo2ROI</f>
        <v/>
      </c>
      <c r="F472" s="520" t="s">
        <v>12289</v>
      </c>
    </row>
    <row r="473" spans="1:6" s="646" customFormat="1">
      <c r="A473" s="882" t="s">
        <v>3674</v>
      </c>
      <c r="E473" s="961" t="str">
        <f>IF(calcCh1Prod2Slot3Active=1,calcCh1Prod2Slot3WD,"")</f>
        <v/>
      </c>
      <c r="F473" s="520" t="s">
        <v>9440</v>
      </c>
    </row>
    <row r="474" spans="1:6" s="646" customFormat="1">
      <c r="A474" s="882" t="s">
        <v>4413</v>
      </c>
      <c r="E474" s="961" t="str">
        <f>calcCh1Prod2Slot3Promo1GPaLUplift</f>
        <v/>
      </c>
      <c r="F474" s="520" t="s">
        <v>12586</v>
      </c>
    </row>
    <row r="475" spans="1:6" s="646" customFormat="1">
      <c r="A475" s="882" t="s">
        <v>4413</v>
      </c>
      <c r="E475" s="961" t="str">
        <f>calcCh1Prod2Slot3Promo2GPaLUplift</f>
        <v/>
      </c>
      <c r="F475" s="520" t="s">
        <v>12759</v>
      </c>
    </row>
    <row r="476" spans="1:6" s="646" customFormat="1">
      <c r="A476" s="882" t="s">
        <v>11388</v>
      </c>
      <c r="E476" s="961" t="str">
        <f>calcCh1Prod2Slot3Promo1VolUplift</f>
        <v/>
      </c>
      <c r="F476" s="520" t="s">
        <v>12622</v>
      </c>
    </row>
    <row r="477" spans="1:6" s="646" customFormat="1">
      <c r="A477" s="882" t="s">
        <v>11388</v>
      </c>
      <c r="E477" s="961" t="str">
        <f>calcCh1Prod2Slot3Promo2VolUplift</f>
        <v/>
      </c>
      <c r="F477" s="520" t="s">
        <v>12760</v>
      </c>
    </row>
    <row r="478" spans="1:6" s="646" customFormat="1">
      <c r="A478" s="882" t="s">
        <v>5195</v>
      </c>
      <c r="E478" s="961" t="str">
        <f>calcCh1Prod2Slot3Promo1CustUplift</f>
        <v/>
      </c>
      <c r="F478" s="520" t="s">
        <v>12290</v>
      </c>
    </row>
    <row r="479" spans="1:6" s="646" customFormat="1">
      <c r="A479" s="882" t="s">
        <v>5195</v>
      </c>
      <c r="E479" s="961" t="str">
        <f>calcCh1Prod2Slot3Promo2CustUplift</f>
        <v/>
      </c>
      <c r="F479" s="520" t="s">
        <v>12291</v>
      </c>
    </row>
    <row r="480" spans="1:6" s="802" customFormat="1">
      <c r="A480" s="882" t="s">
        <v>157</v>
      </c>
      <c r="E480" s="532" t="str">
        <f>IF(calcCh1Prod2Slot3Active=1,finPNLCh1Prod2Slot3TotalCOGs,"")</f>
        <v/>
      </c>
      <c r="F480" s="520" t="s">
        <v>10521</v>
      </c>
    </row>
    <row r="481" spans="1:6" s="800" customFormat="1">
      <c r="A481" s="882" t="s">
        <v>10370</v>
      </c>
      <c r="E481" s="885" t="str">
        <f>IF(decCh1Prod2Slot3Active=1,finPNLCh1Prod2Slot3TotalCOGs/cbalCh1Prod2Slot3SoldVol,"")</f>
        <v/>
      </c>
      <c r="F481" s="520" t="s">
        <v>10424</v>
      </c>
    </row>
    <row r="482" spans="1:6" s="800" customFormat="1">
      <c r="A482" s="882" t="s">
        <v>5661</v>
      </c>
      <c r="F482" s="520"/>
    </row>
    <row r="483" spans="1:6" s="800" customFormat="1">
      <c r="A483" s="277" t="s">
        <v>239</v>
      </c>
      <c r="B483" s="646"/>
      <c r="C483" s="646"/>
      <c r="D483" s="646"/>
      <c r="F483" s="646"/>
    </row>
    <row r="484" spans="1:6" s="800" customFormat="1">
      <c r="A484" s="277" t="s">
        <v>3859</v>
      </c>
      <c r="B484" s="646"/>
      <c r="C484" s="646"/>
      <c r="D484" s="646"/>
      <c r="F484" s="646"/>
    </row>
    <row r="485" spans="1:6" s="800" customFormat="1">
      <c r="A485" s="882" t="s">
        <v>8649</v>
      </c>
      <c r="B485" s="646"/>
      <c r="C485" s="646"/>
      <c r="D485" s="646"/>
      <c r="E485" s="532">
        <f>IF(calcCh1Prod3Slot1Active=1,finPNLCh1Prod3Slot1TotalRev,"")</f>
        <v>235649817.34993568</v>
      </c>
      <c r="F485" s="520" t="s">
        <v>8757</v>
      </c>
    </row>
    <row r="486" spans="1:6" s="646" customFormat="1">
      <c r="A486" s="882" t="s">
        <v>521</v>
      </c>
      <c r="E486" s="532">
        <f>IF(calcCh1Prod3Slot1Active=1,finPNLCh1Prod3Slot1GPaL,0)</f>
        <v>112376006.7653951</v>
      </c>
      <c r="F486" s="520" t="s">
        <v>9441</v>
      </c>
    </row>
    <row r="487" spans="1:6" s="800" customFormat="1">
      <c r="A487" s="882" t="s">
        <v>8650</v>
      </c>
      <c r="E487" s="532">
        <f>IF(calcCh1Prod3Slot1Active=1,finCalcCh1Prod3Slot1VolSold,"")</f>
        <v>48718521.600000001</v>
      </c>
      <c r="F487" s="520" t="s">
        <v>8758</v>
      </c>
    </row>
    <row r="488" spans="1:6" s="800" customFormat="1">
      <c r="A488" s="882" t="s">
        <v>9063</v>
      </c>
      <c r="E488" s="885">
        <f>IF(calcCh1Prod3Slot1Active=1,cbalCh1Prod3Slot1NetRev/cbalCh1Prod3Slot1SoldVol,"")</f>
        <v>4.8369656880133176</v>
      </c>
      <c r="F488" s="520" t="s">
        <v>9442</v>
      </c>
    </row>
    <row r="489" spans="1:6" s="800" customFormat="1">
      <c r="A489" s="882" t="s">
        <v>9064</v>
      </c>
      <c r="E489" s="885">
        <f>IF(calcCh1Prod3Slot1Active=1,cbalCh1Prod3Slot1GPaL/cbalCh1Prod3Slot1SoldVol,"")</f>
        <v>2.3066382779028149</v>
      </c>
      <c r="F489" s="520" t="s">
        <v>9443</v>
      </c>
    </row>
    <row r="490" spans="1:6" s="800" customFormat="1">
      <c r="A490" s="882" t="s">
        <v>9068</v>
      </c>
      <c r="E490" s="885">
        <f>IF(calcCh1Prod3Slot1Active=1,calcCh1Prod3Slot1CustPrice,"")</f>
        <v>7.6</v>
      </c>
      <c r="F490" s="520" t="s">
        <v>9444</v>
      </c>
    </row>
    <row r="491" spans="1:6" s="800" customFormat="1">
      <c r="A491" s="882" t="s">
        <v>11554</v>
      </c>
      <c r="E491" s="885">
        <f>IF(calcCh1Prod3Slot1Active=1,calcCh1Prod3Slot1Promo1CustPrice,"")</f>
        <v>5.0919999999999996</v>
      </c>
      <c r="F491" s="520" t="s">
        <v>12292</v>
      </c>
    </row>
    <row r="492" spans="1:6" s="800" customFormat="1">
      <c r="A492" s="882" t="s">
        <v>11561</v>
      </c>
      <c r="E492" s="885">
        <f>IF(calcCh1Prod3Slot1Active=1,calcCh1Prod3Slot1Promo2CustPrice,"")</f>
        <v>7.6</v>
      </c>
      <c r="F492" s="520" t="s">
        <v>12293</v>
      </c>
    </row>
    <row r="493" spans="1:6" s="800" customFormat="1">
      <c r="A493" s="882" t="s">
        <v>4410</v>
      </c>
      <c r="E493" s="885">
        <f>IF(calcCh1Prod3Slot1Active=1,calcCh1Prod3Slot1AvgSalePrice,"")</f>
        <v>7.3491999999999997</v>
      </c>
      <c r="F493" s="520" t="s">
        <v>9445</v>
      </c>
    </row>
    <row r="494" spans="1:6" s="800" customFormat="1">
      <c r="A494" s="882" t="s">
        <v>8607</v>
      </c>
      <c r="E494" s="885">
        <f>IFERROR(IF(calcCh1Prod3Slot1Active=1,(cbalCh1Prod3Slot1Promo1Share*cbalCh1Prod3Slot1Promo1Price+cbalCh1Prod3Slot1Promo2Share*cbalCh1Prod3Slot1Promo2Price)/(cbalCh1Prod3Slot1Promo1Share+cbalCh1Prod3Slot1Promo2Share),""),cbalCh1Prod3Slot1AvgPrice)</f>
        <v>6.3460000000000001</v>
      </c>
      <c r="F494" s="520" t="s">
        <v>12839</v>
      </c>
    </row>
    <row r="495" spans="1:6" s="800" customFormat="1">
      <c r="A495" s="882" t="s">
        <v>3329</v>
      </c>
      <c r="E495" s="532" t="str">
        <f>IF(calcCh1Prod3Slot1Active=1,calcCh1Prod3Slot1Pack,"")</f>
        <v>25cl Can</v>
      </c>
      <c r="F495" s="520" t="s">
        <v>9446</v>
      </c>
    </row>
    <row r="496" spans="1:6" s="800" customFormat="1">
      <c r="A496" s="882" t="s">
        <v>5912</v>
      </c>
      <c r="E496" s="870">
        <f>IF(calcCh1Prod3Slot1Active=1,calcCh1Prod3Slot1Promo1PlanShare,"")</f>
        <v>0.1</v>
      </c>
      <c r="F496" s="520" t="s">
        <v>12294</v>
      </c>
    </row>
    <row r="497" spans="1:6" s="800" customFormat="1">
      <c r="A497" s="882" t="s">
        <v>5916</v>
      </c>
      <c r="E497" s="870">
        <f>IF(calcCh1Prod3Slot1Active=1,calcCh1Prod3Slot1Promo2PlanShare,"")</f>
        <v>0.1</v>
      </c>
      <c r="F497" s="520" t="s">
        <v>12295</v>
      </c>
    </row>
    <row r="498" spans="1:6" s="800" customFormat="1">
      <c r="A498" s="882" t="s">
        <v>11563</v>
      </c>
      <c r="E498" s="961">
        <f>calcCh1Prod3Slot1Promo1ROI</f>
        <v>-9.3892850851292078</v>
      </c>
      <c r="F498" s="520" t="s">
        <v>12296</v>
      </c>
    </row>
    <row r="499" spans="1:6" s="800" customFormat="1">
      <c r="A499" s="882" t="s">
        <v>11562</v>
      </c>
      <c r="E499" s="961" t="str">
        <f>calcCh1Prod3Slot1Promo2ROI</f>
        <v/>
      </c>
      <c r="F499" s="520" t="s">
        <v>12297</v>
      </c>
    </row>
    <row r="500" spans="1:6" s="800" customFormat="1">
      <c r="A500" s="882" t="s">
        <v>3674</v>
      </c>
      <c r="E500" s="961">
        <f>IF(calcCh1Prod3Slot1Active=1,calcCh1Prod3Slot1WD,"")</f>
        <v>0.65357142857142858</v>
      </c>
      <c r="F500" s="520" t="s">
        <v>9447</v>
      </c>
    </row>
    <row r="501" spans="1:6" s="800" customFormat="1">
      <c r="A501" s="882" t="s">
        <v>4413</v>
      </c>
      <c r="B501" s="646"/>
      <c r="C501" s="646"/>
      <c r="D501" s="646"/>
      <c r="E501" s="961">
        <f>calcCh1Prod3Slot1Promo1GPaLUplift</f>
        <v>-0.83333212335387896</v>
      </c>
      <c r="F501" s="520" t="s">
        <v>12587</v>
      </c>
    </row>
    <row r="502" spans="1:6" s="800" customFormat="1">
      <c r="A502" s="882" t="s">
        <v>4413</v>
      </c>
      <c r="B502" s="646"/>
      <c r="C502" s="646"/>
      <c r="D502" s="646"/>
      <c r="E502" s="961" t="str">
        <f>calcCh1Prod3Slot1Promo2GPaLUplift</f>
        <v/>
      </c>
      <c r="F502" s="520" t="s">
        <v>12761</v>
      </c>
    </row>
    <row r="503" spans="1:6" s="800" customFormat="1">
      <c r="A503" s="882" t="s">
        <v>11388</v>
      </c>
      <c r="B503" s="646"/>
      <c r="C503" s="646"/>
      <c r="D503" s="646"/>
      <c r="E503" s="961">
        <f>calcCh1Prod3Slot1Promo1VolUplift</f>
        <v>5.9444444444444438</v>
      </c>
      <c r="F503" s="520" t="s">
        <v>12623</v>
      </c>
    </row>
    <row r="504" spans="1:6" s="800" customFormat="1">
      <c r="A504" s="882" t="s">
        <v>11388</v>
      </c>
      <c r="B504" s="646"/>
      <c r="C504" s="646"/>
      <c r="D504" s="646"/>
      <c r="E504" s="961" t="str">
        <f>calcCh1Prod3Slot1Promo2VolUplift</f>
        <v/>
      </c>
      <c r="F504" s="520" t="s">
        <v>12762</v>
      </c>
    </row>
    <row r="505" spans="1:6" s="800" customFormat="1">
      <c r="A505" s="882" t="s">
        <v>5195</v>
      </c>
      <c r="B505" s="646"/>
      <c r="C505" s="646"/>
      <c r="D505" s="646"/>
      <c r="E505" s="961">
        <f>calcCh1Prod3Slot1Promo1CustUplift</f>
        <v>3.7127955392401275</v>
      </c>
      <c r="F505" s="520" t="s">
        <v>12298</v>
      </c>
    </row>
    <row r="506" spans="1:6" s="646" customFormat="1">
      <c r="A506" s="882" t="s">
        <v>5195</v>
      </c>
      <c r="E506" s="961" t="str">
        <f>calcCh1Prod3Slot1Promo2CustUplift</f>
        <v/>
      </c>
      <c r="F506" s="520" t="s">
        <v>12299</v>
      </c>
    </row>
    <row r="507" spans="1:6" s="800" customFormat="1">
      <c r="A507" s="882" t="s">
        <v>157</v>
      </c>
      <c r="E507" s="532">
        <f>IF(calcCh1Prod3Slot1Active=1,finPNLCh1Prod3Slot1TotalCOGs,"")</f>
        <v>109058258.80820373</v>
      </c>
      <c r="F507" s="520" t="s">
        <v>10522</v>
      </c>
    </row>
    <row r="508" spans="1:6" s="800" customFormat="1">
      <c r="A508" s="882" t="s">
        <v>10370</v>
      </c>
      <c r="E508" s="885">
        <f>IF(decCh1Prod3Slot1Active=1,finPNLCh1Prod3Slot1TotalCOGs/cbalCh1Prod3Slot1SoldVol,"")</f>
        <v>2.2385379364262916</v>
      </c>
      <c r="F508" s="520" t="s">
        <v>10425</v>
      </c>
    </row>
    <row r="509" spans="1:6" s="800" customFormat="1">
      <c r="A509" s="277" t="s">
        <v>3858</v>
      </c>
      <c r="E509" s="885"/>
      <c r="F509" s="646"/>
    </row>
    <row r="510" spans="1:6" s="800" customFormat="1">
      <c r="A510" s="882" t="s">
        <v>8649</v>
      </c>
      <c r="E510" s="532">
        <f>IF(calcCh1Prod3Slot2Active=1,finPNLCh1Prod3Slot2TotalRev,"")</f>
        <v>332745254.28702152</v>
      </c>
      <c r="F510" s="520" t="s">
        <v>8759</v>
      </c>
    </row>
    <row r="511" spans="1:6" s="800" customFormat="1">
      <c r="A511" s="882" t="s">
        <v>521</v>
      </c>
      <c r="E511" s="532">
        <f>IF(calcCh1Prod3Slot2Active=1,finPNLCh1Prod3Slot2GPaL,0)</f>
        <v>155226451.60723752</v>
      </c>
      <c r="F511" s="520" t="s">
        <v>9448</v>
      </c>
    </row>
    <row r="512" spans="1:6" s="800" customFormat="1">
      <c r="A512" s="882" t="s">
        <v>8650</v>
      </c>
      <c r="E512" s="532">
        <f>IF(calcCh1Prod3Slot2Active=1,finCalcCh1Prod3Slot2VolSold,"")</f>
        <v>73077782.399999991</v>
      </c>
      <c r="F512" s="520" t="s">
        <v>8760</v>
      </c>
    </row>
    <row r="513" spans="1:6" s="800" customFormat="1">
      <c r="A513" s="882" t="s">
        <v>9063</v>
      </c>
      <c r="E513" s="885">
        <f>IF(calcCh1Prod3Slot2Active=1,cbalCh1Prod3Slot2NetRev/cbalCh1Prod3Slot2SoldVol,"")</f>
        <v>4.5533025682922412</v>
      </c>
      <c r="F513" s="520" t="s">
        <v>9449</v>
      </c>
    </row>
    <row r="514" spans="1:6" s="646" customFormat="1">
      <c r="A514" s="882" t="s">
        <v>9064</v>
      </c>
      <c r="E514" s="885">
        <f>IF(calcCh1Prod3Slot2Active=1,cbalCh1Prod3Slot2GPaL/cbalCh1Prod3Slot2SoldVol,"")</f>
        <v>2.1241264651079166</v>
      </c>
      <c r="F514" s="520" t="s">
        <v>9450</v>
      </c>
    </row>
    <row r="515" spans="1:6" s="646" customFormat="1">
      <c r="A515" s="882" t="s">
        <v>9068</v>
      </c>
      <c r="E515" s="885">
        <f>IF(calcCh1Prod3Slot2Active=1,calcCh1Prod3Slot2CustPrice,"")</f>
        <v>7.68</v>
      </c>
      <c r="F515" s="520" t="s">
        <v>9451</v>
      </c>
    </row>
    <row r="516" spans="1:6" s="646" customFormat="1">
      <c r="A516" s="882" t="s">
        <v>11554</v>
      </c>
      <c r="E516" s="885">
        <f>IF(calcCh1Prod3Slot2Active=1,calcCh1Prod3Slot2Promo1CustPrice,"")</f>
        <v>6.1440000000000001</v>
      </c>
      <c r="F516" s="520" t="s">
        <v>12300</v>
      </c>
    </row>
    <row r="517" spans="1:6" s="646" customFormat="1">
      <c r="A517" s="882" t="s">
        <v>11561</v>
      </c>
      <c r="E517" s="885">
        <f>IF(calcCh1Prod3Slot2Active=1,calcCh1Prod3Slot2Promo2CustPrice,"")</f>
        <v>7.68</v>
      </c>
      <c r="F517" s="520" t="s">
        <v>12301</v>
      </c>
    </row>
    <row r="518" spans="1:6" s="646" customFormat="1">
      <c r="A518" s="882" t="s">
        <v>4410</v>
      </c>
      <c r="E518" s="885">
        <f>IF(calcCh1Prod3Slot2Active=1,calcCh1Prod3Slot2AvgSalePrice,"")</f>
        <v>7.0655999999999999</v>
      </c>
      <c r="F518" s="520" t="s">
        <v>9452</v>
      </c>
    </row>
    <row r="519" spans="1:6" s="646" customFormat="1">
      <c r="A519" s="882" t="s">
        <v>8607</v>
      </c>
      <c r="E519" s="885">
        <f>IFERROR(IF(calcCh1Prod3Slot2Active=1,(cbalCh1Prod3Slot2Promo1Share*cbalCh1Prod3Slot2Promo1Price+cbalCh1Prod3Slot2Promo2Share*cbalCh1Prod3Slot2Promo2Price)/(cbalCh1Prod3Slot2Promo1Share+cbalCh1Prod3Slot2Promo2Share),""),cbalCh1Prod3Slot2AvgPrice)</f>
        <v>6.9119999999999999</v>
      </c>
      <c r="F519" s="520" t="s">
        <v>12840</v>
      </c>
    </row>
    <row r="520" spans="1:6" s="646" customFormat="1">
      <c r="A520" s="882" t="s">
        <v>3329</v>
      </c>
      <c r="E520" s="532" t="str">
        <f>IF(calcCh1Prod3Slot2Active=1,calcCh1Prod3Slot2Pack,"")</f>
        <v>6 x 33cl Can</v>
      </c>
      <c r="F520" s="520" t="s">
        <v>9453</v>
      </c>
    </row>
    <row r="521" spans="1:6" s="646" customFormat="1">
      <c r="A521" s="882" t="s">
        <v>5912</v>
      </c>
      <c r="E521" s="870">
        <f>IF(calcCh1Prod3Slot2Active=1,calcCh1Prod3Slot2Promo1PlanShare,"")</f>
        <v>0.4</v>
      </c>
      <c r="F521" s="520" t="s">
        <v>12302</v>
      </c>
    </row>
    <row r="522" spans="1:6" s="646" customFormat="1">
      <c r="A522" s="882" t="s">
        <v>5916</v>
      </c>
      <c r="E522" s="870">
        <f>IF(calcCh1Prod3Slot2Active=1,calcCh1Prod3Slot2Promo2PlanShare,"")</f>
        <v>0.4</v>
      </c>
      <c r="F522" s="520" t="s">
        <v>12303</v>
      </c>
    </row>
    <row r="523" spans="1:6" s="646" customFormat="1">
      <c r="A523" s="882" t="s">
        <v>11563</v>
      </c>
      <c r="E523" s="961">
        <f>calcCh1Prod3Slot2Promo1ROI</f>
        <v>86.333108514603225</v>
      </c>
      <c r="F523" s="520" t="s">
        <v>12304</v>
      </c>
    </row>
    <row r="524" spans="1:6" s="646" customFormat="1">
      <c r="A524" s="882" t="s">
        <v>11562</v>
      </c>
      <c r="E524" s="961" t="str">
        <f>calcCh1Prod3Slot2Promo2ROI</f>
        <v/>
      </c>
      <c r="F524" s="520" t="s">
        <v>12305</v>
      </c>
    </row>
    <row r="525" spans="1:6" s="646" customFormat="1">
      <c r="A525" s="882" t="s">
        <v>3674</v>
      </c>
      <c r="E525" s="961">
        <f>IF(calcCh1Prod3Slot2Active=1,calcCh1Prod3Slot2WD,"")</f>
        <v>0.85357142857142854</v>
      </c>
      <c r="F525" s="520" t="s">
        <v>9454</v>
      </c>
    </row>
    <row r="526" spans="1:6" s="646" customFormat="1">
      <c r="A526" s="882" t="s">
        <v>4413</v>
      </c>
      <c r="E526" s="961">
        <f>calcCh1Prod3Slot2Promo1GPaLUplift</f>
        <v>7.0146184853354949</v>
      </c>
      <c r="F526" s="520" t="s">
        <v>12588</v>
      </c>
    </row>
    <row r="527" spans="1:6" s="646" customFormat="1">
      <c r="A527" s="882" t="s">
        <v>4413</v>
      </c>
      <c r="E527" s="961" t="str">
        <f>calcCh1Prod3Slot2Promo2GPaLUplift</f>
        <v/>
      </c>
      <c r="F527" s="520" t="s">
        <v>12763</v>
      </c>
    </row>
    <row r="528" spans="1:6" s="646" customFormat="1">
      <c r="A528" s="882" t="s">
        <v>11388</v>
      </c>
      <c r="E528" s="961">
        <f>calcCh1Prod3Slot2Promo1VolUplift</f>
        <v>17.148148148148152</v>
      </c>
      <c r="F528" s="520" t="s">
        <v>12624</v>
      </c>
    </row>
    <row r="529" spans="1:6" s="646" customFormat="1">
      <c r="A529" s="882" t="s">
        <v>11388</v>
      </c>
      <c r="E529" s="961" t="str">
        <f>calcCh1Prod3Slot2Promo2VolUplift</f>
        <v/>
      </c>
      <c r="F529" s="520" t="s">
        <v>12764</v>
      </c>
    </row>
    <row r="530" spans="1:6" s="646" customFormat="1">
      <c r="A530" s="882" t="s">
        <v>5195</v>
      </c>
      <c r="E530" s="961">
        <f>calcCh1Prod3Slot2Promo1CustUplift</f>
        <v>13.605825605895784</v>
      </c>
      <c r="F530" s="520" t="s">
        <v>12306</v>
      </c>
    </row>
    <row r="531" spans="1:6" s="646" customFormat="1">
      <c r="A531" s="882" t="s">
        <v>5195</v>
      </c>
      <c r="E531" s="961" t="str">
        <f>calcCh1Prod3Slot2Promo2CustUplift</f>
        <v/>
      </c>
      <c r="F531" s="520" t="s">
        <v>12307</v>
      </c>
    </row>
    <row r="532" spans="1:6" s="646" customFormat="1">
      <c r="A532" s="882" t="s">
        <v>157</v>
      </c>
      <c r="E532" s="532">
        <f>IF(calcCh1Prod3Slot2Active=1,finPNLCh1Prod3Slot2TotalCOGs,"")</f>
        <v>158632426.74836504</v>
      </c>
      <c r="F532" s="520" t="s">
        <v>10523</v>
      </c>
    </row>
    <row r="533" spans="1:6" s="646" customFormat="1">
      <c r="A533" s="882" t="s">
        <v>10370</v>
      </c>
      <c r="E533" s="885">
        <f>IF(decCh1Prod3Slot2Active=1,finPNLCh1Prod3Slot2TotalCOGs/cbalCh1Prod3Slot2SoldVol,"")</f>
        <v>2.1707339979211664</v>
      </c>
      <c r="F533" s="520" t="s">
        <v>10426</v>
      </c>
    </row>
    <row r="534" spans="1:6" s="646" customFormat="1">
      <c r="A534" s="277" t="s">
        <v>3860</v>
      </c>
      <c r="E534" s="800"/>
    </row>
    <row r="535" spans="1:6" s="646" customFormat="1">
      <c r="A535" s="882" t="s">
        <v>8649</v>
      </c>
      <c r="E535" s="532" t="str">
        <f>IF(calcCh1Prod3Slot3Active=1,finPNLCh1Prod3Slot3TotalRev,"")</f>
        <v/>
      </c>
      <c r="F535" s="520" t="s">
        <v>8761</v>
      </c>
    </row>
    <row r="536" spans="1:6" s="646" customFormat="1">
      <c r="A536" s="882" t="s">
        <v>521</v>
      </c>
      <c r="E536" s="532">
        <f>IF(calcCh1Prod3Slot3Active=1,finPNLCh1Prod3Slot3GPaL,0)</f>
        <v>0</v>
      </c>
      <c r="F536" s="520" t="s">
        <v>9455</v>
      </c>
    </row>
    <row r="537" spans="1:6" s="646" customFormat="1">
      <c r="A537" s="882" t="s">
        <v>8650</v>
      </c>
      <c r="E537" s="532" t="str">
        <f>IF(calcCh1Prod3Slot3Active=1,finCalcCh1Prod3Slot3VolSold,"")</f>
        <v/>
      </c>
      <c r="F537" s="520" t="s">
        <v>8762</v>
      </c>
    </row>
    <row r="538" spans="1:6" s="646" customFormat="1">
      <c r="A538" s="882" t="s">
        <v>9063</v>
      </c>
      <c r="E538" s="885" t="str">
        <f>IF(calcCh1Prod3Slot3Active=1,cbalCh1Prod3Slot3NetRev/cbalCh1Prod3Slot3SoldVol,"")</f>
        <v/>
      </c>
      <c r="F538" s="520" t="s">
        <v>9456</v>
      </c>
    </row>
    <row r="539" spans="1:6" s="646" customFormat="1">
      <c r="A539" s="882" t="s">
        <v>9064</v>
      </c>
      <c r="E539" s="885" t="str">
        <f>IF(calcCh1Prod3Slot3Active=1,cbalCh1Prod3Slot3GPaL/cbalCh1Prod3Slot3SoldVol,"")</f>
        <v/>
      </c>
      <c r="F539" s="520" t="s">
        <v>9457</v>
      </c>
    </row>
    <row r="540" spans="1:6" s="802" customFormat="1">
      <c r="A540" s="882" t="s">
        <v>9068</v>
      </c>
      <c r="E540" s="885" t="str">
        <f>IF(calcCh1Prod3Slot3Active=1,calcCh1Prod3Slot3CustPrice,"")</f>
        <v/>
      </c>
      <c r="F540" s="520" t="s">
        <v>9458</v>
      </c>
    </row>
    <row r="541" spans="1:6" s="802" customFormat="1">
      <c r="A541" s="882" t="s">
        <v>11554</v>
      </c>
      <c r="B541" s="646"/>
      <c r="C541" s="646"/>
      <c r="D541" s="646"/>
      <c r="E541" s="885" t="str">
        <f>IF(calcCh1Prod3Slot3Active=1,calcCh1Prod3Slot3Promo1CustPrice,"")</f>
        <v/>
      </c>
      <c r="F541" s="520" t="s">
        <v>12308</v>
      </c>
    </row>
    <row r="542" spans="1:6" s="802" customFormat="1">
      <c r="A542" s="882" t="s">
        <v>11561</v>
      </c>
      <c r="B542" s="646"/>
      <c r="C542" s="646"/>
      <c r="D542" s="646"/>
      <c r="E542" s="885" t="str">
        <f>IF(calcCh1Prod3Slot3Active=1,calcCh1Prod3Slot3Promo2CustPrice,"")</f>
        <v/>
      </c>
      <c r="F542" s="520" t="s">
        <v>12309</v>
      </c>
    </row>
    <row r="543" spans="1:6" s="802" customFormat="1">
      <c r="A543" s="882" t="s">
        <v>4410</v>
      </c>
      <c r="B543" s="646"/>
      <c r="C543" s="646"/>
      <c r="D543" s="646"/>
      <c r="E543" s="885" t="str">
        <f>IF(calcCh1Prod3Slot3Active=1,calcCh1Prod3Slot3AvgSalePrice,"")</f>
        <v/>
      </c>
      <c r="F543" s="520" t="s">
        <v>9459</v>
      </c>
    </row>
    <row r="544" spans="1:6" s="802" customFormat="1">
      <c r="A544" s="882" t="s">
        <v>8607</v>
      </c>
      <c r="B544" s="646"/>
      <c r="C544" s="646"/>
      <c r="D544" s="646"/>
      <c r="E544" s="885" t="str">
        <f>IFERROR(IF(calcCh1Prod3Slot3Active=1,(cbalCh1Prod3Slot3Promo1Share*cbalCh1Prod3Slot3Promo1Price+cbalCh1Prod3Slot3Promo2Share*cbalCh1Prod3Slot3Promo2Price)/(cbalCh1Prod3Slot3Promo1Share+cbalCh1Prod3Slot3Promo2Share),""),cbalCh1Prod3Slot3AvgPrice)</f>
        <v/>
      </c>
      <c r="F544" s="520" t="s">
        <v>12841</v>
      </c>
    </row>
    <row r="545" spans="1:6" s="646" customFormat="1">
      <c r="A545" s="882" t="s">
        <v>3329</v>
      </c>
      <c r="E545" s="532" t="str">
        <f>IF(calcCh1Prod3Slot3Active=1,calcCh1Prod3Slot3Pack,"")</f>
        <v/>
      </c>
      <c r="F545" s="520" t="s">
        <v>9460</v>
      </c>
    </row>
    <row r="546" spans="1:6" s="800" customFormat="1">
      <c r="A546" s="882" t="s">
        <v>5912</v>
      </c>
      <c r="E546" s="870" t="str">
        <f>IF(calcCh1Prod3Slot3Active=1,calcCh1Prod3Slot3Promo1PlanShare,"")</f>
        <v/>
      </c>
      <c r="F546" s="520" t="s">
        <v>12310</v>
      </c>
    </row>
    <row r="547" spans="1:6" s="800" customFormat="1">
      <c r="A547" s="882" t="s">
        <v>5916</v>
      </c>
      <c r="E547" s="870" t="str">
        <f>IF(calcCh1Prod3Slot3Active=1,calcCh1Prod3Slot3Promo2PlanShare,"")</f>
        <v/>
      </c>
      <c r="F547" s="520" t="s">
        <v>12311</v>
      </c>
    </row>
    <row r="548" spans="1:6" s="800" customFormat="1">
      <c r="A548" s="882" t="s">
        <v>11563</v>
      </c>
      <c r="E548" s="961" t="str">
        <f>calcCh1Prod3Slot3Promo1ROI</f>
        <v/>
      </c>
      <c r="F548" s="520" t="s">
        <v>12312</v>
      </c>
    </row>
    <row r="549" spans="1:6" s="800" customFormat="1">
      <c r="A549" s="882" t="s">
        <v>11562</v>
      </c>
      <c r="E549" s="961" t="str">
        <f>calcCh1Prod3Slot3Promo2ROI</f>
        <v/>
      </c>
      <c r="F549" s="520" t="s">
        <v>12313</v>
      </c>
    </row>
    <row r="550" spans="1:6" s="800" customFormat="1">
      <c r="A550" s="882" t="s">
        <v>3674</v>
      </c>
      <c r="E550" s="961" t="str">
        <f>IF(calcCh1Prod3Slot3Active=1,calcCh1Prod3Slot3WD,"")</f>
        <v/>
      </c>
      <c r="F550" s="520" t="s">
        <v>9461</v>
      </c>
    </row>
    <row r="551" spans="1:6" s="800" customFormat="1">
      <c r="A551" s="882" t="s">
        <v>4413</v>
      </c>
      <c r="E551" s="961" t="str">
        <f>calcCh1Prod3Slot3Promo1GPaLUplift</f>
        <v/>
      </c>
      <c r="F551" s="520" t="s">
        <v>12589</v>
      </c>
    </row>
    <row r="552" spans="1:6" s="800" customFormat="1">
      <c r="A552" s="882" t="s">
        <v>4413</v>
      </c>
      <c r="E552" s="961" t="str">
        <f>calcCh1Prod3Slot3Promo2GPaLUplift</f>
        <v/>
      </c>
      <c r="F552" s="520" t="s">
        <v>12765</v>
      </c>
    </row>
    <row r="553" spans="1:6" s="800" customFormat="1">
      <c r="A553" s="882" t="s">
        <v>11388</v>
      </c>
      <c r="E553" s="961" t="str">
        <f>calcCh1Prod3Slot3Promo1VolUplift</f>
        <v/>
      </c>
      <c r="F553" s="520" t="s">
        <v>12625</v>
      </c>
    </row>
    <row r="554" spans="1:6" s="800" customFormat="1">
      <c r="A554" s="882" t="s">
        <v>11388</v>
      </c>
      <c r="E554" s="961" t="str">
        <f>calcCh1Prod3Slot3Promo2VolUplift</f>
        <v/>
      </c>
      <c r="F554" s="520" t="s">
        <v>12766</v>
      </c>
    </row>
    <row r="555" spans="1:6" s="800" customFormat="1">
      <c r="A555" s="882" t="s">
        <v>5195</v>
      </c>
      <c r="E555" s="961" t="str">
        <f>calcCh1Prod3Slot3Promo1CustUplift</f>
        <v/>
      </c>
      <c r="F555" s="520" t="s">
        <v>12314</v>
      </c>
    </row>
    <row r="556" spans="1:6" s="800" customFormat="1">
      <c r="A556" s="882" t="s">
        <v>5195</v>
      </c>
      <c r="E556" s="961" t="str">
        <f>calcCh1Prod3Slot3Promo2CustUplift</f>
        <v/>
      </c>
      <c r="F556" s="520" t="s">
        <v>12315</v>
      </c>
    </row>
    <row r="557" spans="1:6" s="800" customFormat="1">
      <c r="A557" s="882" t="s">
        <v>157</v>
      </c>
      <c r="E557" s="532" t="str">
        <f>IF(calcCh1Prod3Slot3Active=1,finPNLCh1Prod3Slot3TotalCOGs,"")</f>
        <v/>
      </c>
      <c r="F557" s="520" t="s">
        <v>10524</v>
      </c>
    </row>
    <row r="558" spans="1:6" s="800" customFormat="1">
      <c r="A558" s="882" t="s">
        <v>10370</v>
      </c>
      <c r="E558" s="885" t="str">
        <f>IF(decCh1Prod3Slot3Active=1,finPNLCh1Prod3Slot3TotalCOGs/cbalCh1Prod3Slot3SoldVol,"")</f>
        <v/>
      </c>
      <c r="F558" s="520" t="s">
        <v>10427</v>
      </c>
    </row>
    <row r="559" spans="1:6" s="800" customFormat="1">
      <c r="A559" s="882" t="s">
        <v>5661</v>
      </c>
      <c r="F559" s="520"/>
    </row>
    <row r="560" spans="1:6" s="800" customFormat="1">
      <c r="A560" s="277" t="s">
        <v>240</v>
      </c>
      <c r="F560" s="646"/>
    </row>
    <row r="561" spans="1:6" s="800" customFormat="1">
      <c r="A561" s="277" t="s">
        <v>3859</v>
      </c>
      <c r="B561" s="646"/>
      <c r="C561" s="646"/>
      <c r="D561" s="646"/>
      <c r="F561" s="646"/>
    </row>
    <row r="562" spans="1:6" s="800" customFormat="1">
      <c r="A562" s="882" t="s">
        <v>8649</v>
      </c>
      <c r="B562" s="646"/>
      <c r="C562" s="646"/>
      <c r="D562" s="646"/>
      <c r="E562" s="532" t="str">
        <f>IF(calcCh1Prod4Slot1Active=1,finPNLCh1Prod4Slot1TotalRev,"")</f>
        <v/>
      </c>
      <c r="F562" s="520" t="s">
        <v>8763</v>
      </c>
    </row>
    <row r="563" spans="1:6" s="800" customFormat="1">
      <c r="A563" s="882" t="s">
        <v>521</v>
      </c>
      <c r="B563" s="646"/>
      <c r="C563" s="646"/>
      <c r="D563" s="646"/>
      <c r="E563" s="532">
        <f>IF(calcCh1Prod4Slot1Active=1,finPNLCh1Prod4Slot1GPaL,0)</f>
        <v>0</v>
      </c>
      <c r="F563" s="520" t="s">
        <v>9462</v>
      </c>
    </row>
    <row r="564" spans="1:6" s="646" customFormat="1">
      <c r="A564" s="882" t="s">
        <v>8650</v>
      </c>
      <c r="E564" s="532" t="str">
        <f>IF(calcCh1Prod4Slot1Active=1,finCalcCh1Prod4Slot1VolSold,"")</f>
        <v/>
      </c>
      <c r="F564" s="520" t="s">
        <v>8764</v>
      </c>
    </row>
    <row r="565" spans="1:6" s="800" customFormat="1">
      <c r="A565" s="882" t="s">
        <v>9063</v>
      </c>
      <c r="B565" s="646"/>
      <c r="C565" s="646"/>
      <c r="D565" s="646"/>
      <c r="E565" s="885" t="str">
        <f>IF(AND(calcCh1Prod4Slot1Active=1,calcCh1Prod4Slot1VolForecastSlot&lt;&gt;0),cbalCh1Prod4Slot1NetRev/cbalCh1Prod4Slot1SoldVol,"")</f>
        <v/>
      </c>
      <c r="F565" s="520" t="s">
        <v>9463</v>
      </c>
    </row>
    <row r="566" spans="1:6" s="800" customFormat="1">
      <c r="A566" s="882" t="s">
        <v>9064</v>
      </c>
      <c r="B566" s="646"/>
      <c r="C566" s="646"/>
      <c r="D566" s="646"/>
      <c r="E566" s="885" t="str">
        <f>IF(AND(calcCh1Prod4Slot1Active=1,calcCh1Prod4Slot1VolForecastSlot&lt;&gt;0),cbalCh1Prod4Slot1GPaL/cbalCh1Prod4Slot1SoldVol,"")</f>
        <v/>
      </c>
      <c r="F566" s="520" t="s">
        <v>9464</v>
      </c>
    </row>
    <row r="567" spans="1:6" s="800" customFormat="1">
      <c r="A567" s="882" t="s">
        <v>9068</v>
      </c>
      <c r="B567" s="646"/>
      <c r="C567" s="646"/>
      <c r="D567" s="646"/>
      <c r="E567" s="885" t="str">
        <f>IF(calcCh1Prod4Slot1Active=1,calcCh1Prod4Slot1CustPrice,"")</f>
        <v/>
      </c>
      <c r="F567" s="520" t="s">
        <v>9465</v>
      </c>
    </row>
    <row r="568" spans="1:6" s="800" customFormat="1">
      <c r="A568" s="882" t="s">
        <v>11554</v>
      </c>
      <c r="B568" s="646"/>
      <c r="C568" s="646"/>
      <c r="D568" s="646"/>
      <c r="E568" s="885" t="str">
        <f>IF(calcCh1Prod4Slot1Active=1,calcCh1Prod4Slot1Promo1CustPrice,"")</f>
        <v/>
      </c>
      <c r="F568" s="520" t="s">
        <v>12316</v>
      </c>
    </row>
    <row r="569" spans="1:6" s="800" customFormat="1">
      <c r="A569" s="882" t="s">
        <v>11561</v>
      </c>
      <c r="B569" s="646"/>
      <c r="C569" s="646"/>
      <c r="D569" s="646"/>
      <c r="E569" s="885" t="str">
        <f>IF(calcCh1Prod4Slot1Active=1,calcCh1Prod4Slot1Promo2CustPrice,"")</f>
        <v/>
      </c>
      <c r="F569" s="520" t="s">
        <v>12317</v>
      </c>
    </row>
    <row r="570" spans="1:6" s="800" customFormat="1">
      <c r="A570" s="882" t="s">
        <v>4410</v>
      </c>
      <c r="B570" s="646"/>
      <c r="C570" s="646"/>
      <c r="D570" s="646"/>
      <c r="E570" s="885" t="str">
        <f>IF(calcCh1Prod4Slot1Active=1,calcCh1Prod4Slot1AvgSalePrice,"")</f>
        <v/>
      </c>
      <c r="F570" s="520" t="s">
        <v>9466</v>
      </c>
    </row>
    <row r="571" spans="1:6" s="800" customFormat="1">
      <c r="A571" s="882" t="s">
        <v>8607</v>
      </c>
      <c r="B571" s="646"/>
      <c r="C571" s="646"/>
      <c r="D571" s="646"/>
      <c r="E571" s="885" t="str">
        <f>IFERROR(IF(calcCh1Prod4Slot1Active=1,(cbalCh1Prod4Slot1Promo1Share*cbalCh1Prod4Slot1Promo1Price+cbalCh1Prod4Slot1Promo2Share*cbalCh1Prod4Slot1Promo2Price)/(cbalCh1Prod4Slot1Promo1Share+cbalCh1Prod4Slot1Promo2Share),""),cbalCh1Prod4Slot1AvgPrice)</f>
        <v/>
      </c>
      <c r="F571" s="520" t="s">
        <v>12842</v>
      </c>
    </row>
    <row r="572" spans="1:6" s="800" customFormat="1">
      <c r="A572" s="882" t="s">
        <v>3329</v>
      </c>
      <c r="B572" s="646"/>
      <c r="C572" s="646"/>
      <c r="D572" s="646"/>
      <c r="E572" s="532" t="str">
        <f>IF(calcCh1Prod4Slot1Active=1,calcCh1Prod4Slot1Pack,"")</f>
        <v/>
      </c>
      <c r="F572" s="520" t="s">
        <v>9467</v>
      </c>
    </row>
    <row r="573" spans="1:6" s="800" customFormat="1">
      <c r="A573" s="882" t="s">
        <v>5912</v>
      </c>
      <c r="B573" s="646"/>
      <c r="C573" s="646"/>
      <c r="D573" s="646"/>
      <c r="E573" s="870" t="str">
        <f>IF(calcCh1Prod4Slot1Active=1,calcCh1Prod4Slot1Promo1PlanShare,"")</f>
        <v/>
      </c>
      <c r="F573" s="520" t="s">
        <v>12318</v>
      </c>
    </row>
    <row r="574" spans="1:6">
      <c r="A574" s="882" t="s">
        <v>5916</v>
      </c>
      <c r="B574" s="646"/>
      <c r="C574" s="646"/>
      <c r="D574" s="646"/>
      <c r="E574" s="870" t="str">
        <f>IF(calcCh1Prod4Slot1Active=1,calcCh1Prod4Slot1Promo2PlanShare,"")</f>
        <v/>
      </c>
      <c r="F574" s="520" t="s">
        <v>12319</v>
      </c>
    </row>
    <row r="575" spans="1:6">
      <c r="A575" s="882" t="s">
        <v>11563</v>
      </c>
      <c r="B575" s="646"/>
      <c r="C575" s="646"/>
      <c r="D575" s="646"/>
      <c r="E575" s="961" t="str">
        <f>calcCh1Prod4Slot1Promo1ROI</f>
        <v/>
      </c>
      <c r="F575" s="520" t="s">
        <v>12320</v>
      </c>
    </row>
    <row r="576" spans="1:6">
      <c r="A576" s="882" t="s">
        <v>11562</v>
      </c>
      <c r="B576" s="646"/>
      <c r="C576" s="646"/>
      <c r="D576" s="646"/>
      <c r="E576" s="961" t="str">
        <f>calcCh1Prod4Slot1Promo2ROI</f>
        <v/>
      </c>
      <c r="F576" s="520" t="s">
        <v>12321</v>
      </c>
    </row>
    <row r="577" spans="1:6">
      <c r="A577" s="882" t="s">
        <v>3674</v>
      </c>
      <c r="B577" s="646"/>
      <c r="C577" s="646"/>
      <c r="D577" s="646"/>
      <c r="E577" s="961" t="str">
        <f>IF(calcCh1Prod4Slot1Active=1,calcCh1Prod4Slot1WD,"")</f>
        <v/>
      </c>
      <c r="F577" s="520" t="s">
        <v>9468</v>
      </c>
    </row>
    <row r="578" spans="1:6" s="800" customFormat="1">
      <c r="A578" s="882" t="s">
        <v>4413</v>
      </c>
      <c r="B578" s="646"/>
      <c r="C578" s="646"/>
      <c r="D578" s="646"/>
      <c r="E578" s="961" t="str">
        <f>calcCh1Prod4Slot1Promo1GPaLUplift</f>
        <v/>
      </c>
      <c r="F578" s="520" t="s">
        <v>12590</v>
      </c>
    </row>
    <row r="579" spans="1:6" s="800" customFormat="1">
      <c r="A579" s="882" t="s">
        <v>4413</v>
      </c>
      <c r="B579" s="646"/>
      <c r="C579" s="646"/>
      <c r="D579" s="646"/>
      <c r="E579" s="961" t="str">
        <f>calcCh1Prod4Slot1Promo2GPaLUplift</f>
        <v/>
      </c>
      <c r="F579" s="520" t="s">
        <v>12767</v>
      </c>
    </row>
    <row r="580" spans="1:6" s="800" customFormat="1">
      <c r="A580" s="882" t="s">
        <v>11388</v>
      </c>
      <c r="B580" s="646"/>
      <c r="C580" s="646"/>
      <c r="D580" s="646"/>
      <c r="E580" s="961" t="str">
        <f>calcCh1Prod4Slot1Promo1VolUplift</f>
        <v/>
      </c>
      <c r="F580" s="520" t="s">
        <v>12626</v>
      </c>
    </row>
    <row r="581" spans="1:6" s="800" customFormat="1">
      <c r="A581" s="882" t="s">
        <v>11388</v>
      </c>
      <c r="B581" s="646"/>
      <c r="C581" s="646"/>
      <c r="D581" s="646"/>
      <c r="E581" s="961" t="str">
        <f>calcCh1Prod4Slot1Promo2VolUplift</f>
        <v/>
      </c>
      <c r="F581" s="520" t="s">
        <v>12768</v>
      </c>
    </row>
    <row r="582" spans="1:6" s="800" customFormat="1">
      <c r="A582" s="882" t="s">
        <v>5195</v>
      </c>
      <c r="B582" s="646"/>
      <c r="C582" s="646"/>
      <c r="D582" s="646"/>
      <c r="E582" s="961" t="str">
        <f>calcCh1Prod4Slot1Promo1CustUplift</f>
        <v/>
      </c>
      <c r="F582" s="520" t="s">
        <v>12322</v>
      </c>
    </row>
    <row r="583" spans="1:6" s="646" customFormat="1">
      <c r="A583" s="882" t="s">
        <v>5195</v>
      </c>
      <c r="E583" s="961" t="str">
        <f>calcCh1Prod4Slot1Promo2CustUplift</f>
        <v/>
      </c>
      <c r="F583" s="520" t="s">
        <v>12323</v>
      </c>
    </row>
    <row r="584" spans="1:6">
      <c r="A584" s="882" t="s">
        <v>157</v>
      </c>
      <c r="B584" s="646"/>
      <c r="C584" s="646"/>
      <c r="D584" s="646"/>
      <c r="E584" s="532" t="str">
        <f>IF(calcCh1Prod4Slot1Active=1,finPNLCh1Prod4Slot1TotalCOGs,"")</f>
        <v/>
      </c>
      <c r="F584" s="520" t="s">
        <v>10525</v>
      </c>
    </row>
    <row r="585" spans="1:6">
      <c r="A585" s="882" t="s">
        <v>10370</v>
      </c>
      <c r="B585" s="646"/>
      <c r="C585" s="646"/>
      <c r="D585" s="646"/>
      <c r="E585" s="885" t="str">
        <f>IF(AND(calcCh1Prod4Slot1Active=1,calcCh1Prod4Slot1VolForecastSlot&lt;&gt;0),finPNLCh1Prod4Slot1TotalCOGs/cbalCh1Prod4Slot1SoldVol,"")</f>
        <v/>
      </c>
      <c r="F585" s="520" t="s">
        <v>10428</v>
      </c>
    </row>
    <row r="586" spans="1:6">
      <c r="A586" s="277" t="s">
        <v>3858</v>
      </c>
      <c r="B586" s="646"/>
      <c r="C586" s="646"/>
      <c r="D586" s="646"/>
      <c r="E586" s="885"/>
      <c r="F586" s="646"/>
    </row>
    <row r="587" spans="1:6">
      <c r="A587" s="882" t="s">
        <v>8649</v>
      </c>
      <c r="B587" s="646"/>
      <c r="C587" s="646"/>
      <c r="D587" s="646"/>
      <c r="E587" s="532" t="str">
        <f>IF(calcCh1Prod4Slot2Active=1,finPNLCh1Prod4Slot2TotalRev,"")</f>
        <v/>
      </c>
      <c r="F587" s="520" t="s">
        <v>8765</v>
      </c>
    </row>
    <row r="588" spans="1:6">
      <c r="A588" s="882" t="s">
        <v>521</v>
      </c>
      <c r="B588" s="646"/>
      <c r="C588" s="646"/>
      <c r="D588" s="646"/>
      <c r="E588" s="532">
        <f>IF(calcCh1Prod4Slot2Active=1,finPNLCh1Prod4Slot2GPaL,0)</f>
        <v>0</v>
      </c>
      <c r="F588" s="520" t="s">
        <v>9469</v>
      </c>
    </row>
    <row r="589" spans="1:6">
      <c r="A589" s="882" t="s">
        <v>8650</v>
      </c>
      <c r="B589" s="646"/>
      <c r="C589" s="646"/>
      <c r="D589" s="646"/>
      <c r="E589" s="532" t="str">
        <f>IF(calcCh1Prod4Slot2Active=1,finCalcCh1Prod4Slot2VolSold,"")</f>
        <v/>
      </c>
      <c r="F589" s="520" t="s">
        <v>8766</v>
      </c>
    </row>
    <row r="590" spans="1:6">
      <c r="A590" s="882" t="s">
        <v>9063</v>
      </c>
      <c r="B590" s="802"/>
      <c r="C590" s="802"/>
      <c r="D590" s="802"/>
      <c r="E590" s="885" t="str">
        <f>IF(AND(calcCh1Prod4Slot2Active=1,calcCh1Prod4Slot2VolForecastSlot&lt;&gt;0),cbalCh1Prod4Slot2NetRev/cbalCh1Prod4Slot2SoldVol,"")</f>
        <v/>
      </c>
      <c r="F590" s="520" t="s">
        <v>9470</v>
      </c>
    </row>
    <row r="591" spans="1:6">
      <c r="A591" s="882" t="s">
        <v>9064</v>
      </c>
      <c r="B591" s="800"/>
      <c r="C591" s="800"/>
      <c r="D591" s="800"/>
      <c r="E591" s="885" t="str">
        <f>IF(AND(calcCh1Prod4Slot2Active=1,calcCh1Prod4Slot2VolForecastSlot&lt;&gt;0),cbalCh1Prod4Slot2GPaL/cbalCh1Prod4Slot2SoldVol,"")</f>
        <v/>
      </c>
      <c r="F591" s="520" t="s">
        <v>9471</v>
      </c>
    </row>
    <row r="592" spans="1:6">
      <c r="A592" s="882" t="s">
        <v>9068</v>
      </c>
      <c r="B592" s="800"/>
      <c r="C592" s="800"/>
      <c r="D592" s="800"/>
      <c r="E592" s="885" t="str">
        <f>IF(calcCh1Prod4Slot2Active=1,calcCh1Prod4Slot2CustPrice,"")</f>
        <v/>
      </c>
      <c r="F592" s="520" t="s">
        <v>9472</v>
      </c>
    </row>
    <row r="593" spans="1:16365" s="800" customFormat="1">
      <c r="A593" s="882" t="s">
        <v>11554</v>
      </c>
      <c r="B593" s="646"/>
      <c r="C593" s="646"/>
      <c r="D593" s="646"/>
      <c r="E593" s="885" t="str">
        <f>IF(calcCh1Prod4Slot2Active=1,calcCh1Prod4Slot2Promo1CustPrice,"")</f>
        <v/>
      </c>
      <c r="F593" s="520" t="s">
        <v>12324</v>
      </c>
    </row>
    <row r="594" spans="1:16365" s="800" customFormat="1">
      <c r="A594" s="882" t="s">
        <v>11561</v>
      </c>
      <c r="B594" s="646"/>
      <c r="C594" s="646"/>
      <c r="D594" s="646"/>
      <c r="E594" s="885" t="str">
        <f>IF(calcCh1Prod4Slot2Active=1,calcCh1Prod4Slot2Promo2CustPrice,"")</f>
        <v/>
      </c>
      <c r="F594" s="520" t="s">
        <v>12325</v>
      </c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  <c r="ALL594"/>
      <c r="ALM594"/>
      <c r="ALN594"/>
      <c r="ALO594"/>
      <c r="ALP594"/>
      <c r="ALQ594"/>
      <c r="ALR594"/>
      <c r="ALS594"/>
      <c r="ALT594"/>
      <c r="ALU594"/>
      <c r="ALV594"/>
      <c r="ALW594"/>
      <c r="ALX594"/>
      <c r="ALY594"/>
      <c r="ALZ594"/>
      <c r="AMA594"/>
      <c r="AMB594"/>
      <c r="AMC594"/>
      <c r="AMD594"/>
      <c r="AME594"/>
      <c r="AMF594"/>
      <c r="AMG594"/>
      <c r="AMH594"/>
      <c r="AMI594"/>
      <c r="AMJ594"/>
      <c r="AMK594"/>
      <c r="AML594"/>
      <c r="AMM594"/>
      <c r="AMN594"/>
      <c r="AMO594"/>
      <c r="AMP594"/>
      <c r="AMQ594"/>
      <c r="AMR594"/>
      <c r="AMS594"/>
      <c r="AMT594"/>
      <c r="AMU594"/>
      <c r="AMV594"/>
      <c r="AMW594"/>
      <c r="AMX594"/>
      <c r="AMY594"/>
      <c r="AMZ594"/>
      <c r="ANA594"/>
      <c r="ANB594"/>
      <c r="ANC594"/>
      <c r="AND594"/>
      <c r="ANE594"/>
      <c r="ANF594"/>
      <c r="ANG594"/>
      <c r="ANH594"/>
      <c r="ANI594"/>
      <c r="ANJ594"/>
      <c r="ANK594"/>
      <c r="ANL594"/>
      <c r="ANM594"/>
      <c r="ANN594"/>
      <c r="ANO594"/>
      <c r="ANP594"/>
      <c r="ANQ594"/>
      <c r="ANR594"/>
      <c r="ANS594"/>
      <c r="ANT594"/>
      <c r="ANU594"/>
      <c r="ANV594"/>
      <c r="ANW594"/>
      <c r="ANX594"/>
      <c r="ANY594"/>
      <c r="ANZ594"/>
      <c r="AOA594"/>
      <c r="AOB594"/>
      <c r="AOC594"/>
      <c r="AOD594"/>
      <c r="AOE594"/>
      <c r="AOF594"/>
      <c r="AOG594"/>
      <c r="AOH594"/>
      <c r="AOI594"/>
      <c r="AOJ594"/>
      <c r="AOK594"/>
      <c r="AOL594"/>
      <c r="AOM594"/>
      <c r="AON594"/>
      <c r="AOO594"/>
      <c r="AOP594"/>
      <c r="AOQ594"/>
      <c r="AOR594"/>
      <c r="AOS594"/>
      <c r="AOT594"/>
      <c r="AOU594"/>
      <c r="AOV594"/>
      <c r="AOW594"/>
      <c r="AOX594"/>
      <c r="AOY594"/>
      <c r="AOZ594"/>
      <c r="APA594"/>
      <c r="APB594"/>
      <c r="APC594"/>
      <c r="APD594"/>
      <c r="APE594"/>
      <c r="APF594"/>
      <c r="APG594"/>
      <c r="APH594"/>
      <c r="API594"/>
      <c r="APJ594"/>
      <c r="APK594"/>
      <c r="APL594"/>
      <c r="APM594"/>
      <c r="APN594"/>
      <c r="APO594"/>
      <c r="APP594"/>
      <c r="APQ594"/>
      <c r="APR594"/>
      <c r="APS594"/>
      <c r="APT594"/>
      <c r="APU594"/>
      <c r="APV594"/>
      <c r="APW594"/>
      <c r="APX594"/>
      <c r="APY594"/>
      <c r="APZ594"/>
      <c r="AQA594"/>
      <c r="AQB594"/>
      <c r="AQC594"/>
      <c r="AQD594"/>
      <c r="AQE594"/>
      <c r="AQF594"/>
      <c r="AQG594"/>
      <c r="AQH594"/>
      <c r="AQI594"/>
      <c r="AQJ594"/>
      <c r="AQK594"/>
      <c r="AQL594"/>
      <c r="AQM594"/>
      <c r="AQN594"/>
      <c r="AQO594"/>
      <c r="AQP594"/>
      <c r="AQQ594"/>
      <c r="AQR594"/>
      <c r="AQS594"/>
      <c r="AQT594"/>
      <c r="AQU594"/>
      <c r="AQV594"/>
      <c r="AQW594"/>
      <c r="AQX594"/>
      <c r="AQY594"/>
      <c r="AQZ594"/>
      <c r="ARA594"/>
      <c r="ARB594"/>
      <c r="ARC594"/>
      <c r="ARD594"/>
      <c r="ARE594"/>
      <c r="ARF594"/>
      <c r="ARG594"/>
      <c r="ARH594"/>
      <c r="ARI594"/>
      <c r="ARJ594"/>
      <c r="ARK594"/>
      <c r="ARL594"/>
      <c r="ARM594"/>
      <c r="ARN594"/>
      <c r="ARO594"/>
      <c r="ARP594"/>
      <c r="ARQ594"/>
      <c r="ARR594"/>
      <c r="ARS594"/>
      <c r="ART594"/>
      <c r="ARU594"/>
      <c r="ARV594"/>
      <c r="ARW594"/>
      <c r="ARX594"/>
      <c r="ARY594"/>
      <c r="ARZ594"/>
      <c r="ASA594"/>
      <c r="ASB594"/>
      <c r="ASC594"/>
      <c r="ASD594"/>
      <c r="ASE594"/>
      <c r="ASF594"/>
      <c r="ASG594"/>
      <c r="ASH594"/>
      <c r="ASI594"/>
      <c r="ASJ594"/>
      <c r="ASK594"/>
      <c r="ASL594"/>
      <c r="ASM594"/>
      <c r="ASN594"/>
      <c r="ASO594"/>
      <c r="ASP594"/>
      <c r="ASQ594"/>
      <c r="ASR594"/>
      <c r="ASS594"/>
      <c r="AST594"/>
      <c r="ASU594"/>
      <c r="ASV594"/>
      <c r="ASW594"/>
      <c r="ASX594"/>
      <c r="ASY594"/>
      <c r="ASZ594"/>
      <c r="ATA594"/>
      <c r="ATB594"/>
      <c r="ATC594"/>
      <c r="ATD594"/>
      <c r="ATE594"/>
      <c r="ATF594"/>
      <c r="ATG594"/>
      <c r="ATH594"/>
      <c r="ATI594"/>
      <c r="ATJ594"/>
      <c r="ATK594"/>
      <c r="ATL594"/>
      <c r="ATM594"/>
      <c r="ATN594"/>
      <c r="ATO594"/>
      <c r="ATP594"/>
      <c r="ATQ594"/>
      <c r="ATR594"/>
      <c r="ATS594"/>
      <c r="ATT594"/>
      <c r="ATU594"/>
      <c r="ATV594"/>
      <c r="ATW594"/>
      <c r="ATX594"/>
      <c r="ATY594"/>
      <c r="ATZ594"/>
      <c r="AUA594"/>
      <c r="AUB594"/>
      <c r="AUC594"/>
      <c r="AUD594"/>
      <c r="AUE594"/>
      <c r="AUF594"/>
      <c r="AUG594"/>
      <c r="AUH594"/>
      <c r="AUI594"/>
      <c r="AUJ594"/>
      <c r="AUK594"/>
      <c r="AUL594"/>
      <c r="AUM594"/>
      <c r="AUN594"/>
      <c r="AUO594"/>
      <c r="AUP594"/>
      <c r="AUQ594"/>
      <c r="AUR594"/>
      <c r="AUS594"/>
      <c r="AUT594"/>
      <c r="AUU594"/>
      <c r="AUV594"/>
      <c r="AUW594"/>
      <c r="AUX594"/>
      <c r="AUY594"/>
      <c r="AUZ594"/>
      <c r="AVA594"/>
      <c r="AVB594"/>
      <c r="AVC594"/>
      <c r="AVD594"/>
      <c r="AVE594"/>
      <c r="AVF594"/>
      <c r="AVG594"/>
      <c r="AVH594"/>
      <c r="AVI594"/>
      <c r="AVJ594"/>
      <c r="AVK594"/>
      <c r="AVL594"/>
      <c r="AVM594"/>
      <c r="AVN594"/>
      <c r="AVO594"/>
      <c r="AVP594"/>
      <c r="AVQ594"/>
      <c r="AVR594"/>
      <c r="AVS594"/>
      <c r="AVT594"/>
      <c r="AVU594"/>
      <c r="AVV594"/>
      <c r="AVW594"/>
      <c r="AVX594"/>
      <c r="AVY594"/>
      <c r="AVZ594"/>
      <c r="AWA594"/>
      <c r="AWB594"/>
      <c r="AWC594"/>
      <c r="AWD594"/>
      <c r="AWE594"/>
      <c r="AWF594"/>
      <c r="AWG594"/>
      <c r="AWH594"/>
      <c r="AWI594"/>
      <c r="AWJ594"/>
      <c r="AWK594"/>
      <c r="AWL594"/>
      <c r="AWM594"/>
      <c r="AWN594"/>
      <c r="AWO594"/>
      <c r="AWP594"/>
      <c r="AWQ594"/>
      <c r="AWR594"/>
      <c r="AWS594"/>
      <c r="AWT594"/>
      <c r="AWU594"/>
      <c r="AWV594"/>
      <c r="AWW594"/>
      <c r="AWX594"/>
      <c r="AWY594"/>
      <c r="AWZ594"/>
      <c r="AXA594"/>
      <c r="AXB594"/>
      <c r="AXC594"/>
      <c r="AXD594"/>
      <c r="AXE594"/>
      <c r="AXF594"/>
      <c r="AXG594"/>
      <c r="AXH594"/>
      <c r="AXI594"/>
      <c r="AXJ594"/>
      <c r="AXK594"/>
      <c r="AXL594"/>
      <c r="AXM594"/>
      <c r="AXN594"/>
      <c r="AXO594"/>
      <c r="AXP594"/>
      <c r="AXQ594"/>
      <c r="AXR594"/>
      <c r="AXS594"/>
      <c r="AXT594"/>
      <c r="AXU594"/>
      <c r="AXV594"/>
      <c r="AXW594"/>
      <c r="AXX594"/>
      <c r="AXY594"/>
      <c r="AXZ594"/>
      <c r="AYA594"/>
      <c r="AYB594"/>
      <c r="AYC594"/>
      <c r="AYD594"/>
      <c r="AYE594"/>
      <c r="AYF594"/>
      <c r="AYG594"/>
      <c r="AYH594"/>
      <c r="AYI594"/>
      <c r="AYJ594"/>
      <c r="AYK594"/>
      <c r="AYL594"/>
      <c r="AYM594"/>
      <c r="AYN594"/>
      <c r="AYO594"/>
      <c r="AYP594"/>
      <c r="AYQ594"/>
      <c r="AYR594"/>
      <c r="AYS594"/>
      <c r="AYT594"/>
      <c r="AYU594"/>
      <c r="AYV594"/>
      <c r="AYW594"/>
      <c r="AYX594"/>
      <c r="AYY594"/>
      <c r="AYZ594"/>
      <c r="AZA594"/>
      <c r="AZB594"/>
      <c r="AZC594"/>
      <c r="AZD594"/>
      <c r="AZE594"/>
      <c r="AZF594"/>
      <c r="AZG594"/>
      <c r="AZH594"/>
      <c r="AZI594"/>
      <c r="AZJ594"/>
      <c r="AZK594"/>
      <c r="AZL594"/>
      <c r="AZM594"/>
      <c r="AZN594"/>
      <c r="AZO594"/>
      <c r="AZP594"/>
      <c r="AZQ594"/>
      <c r="AZR594"/>
      <c r="AZS594"/>
      <c r="AZT594"/>
      <c r="AZU594"/>
      <c r="AZV594"/>
      <c r="AZW594"/>
      <c r="AZX594"/>
      <c r="AZY594"/>
      <c r="AZZ594"/>
      <c r="BAA594"/>
      <c r="BAB594"/>
      <c r="BAC594"/>
      <c r="BAD594"/>
      <c r="BAE594"/>
      <c r="BAF594"/>
      <c r="BAG594"/>
      <c r="BAH594"/>
      <c r="BAI594"/>
      <c r="BAJ594"/>
      <c r="BAK594"/>
      <c r="BAL594"/>
      <c r="BAM594"/>
      <c r="BAN594"/>
      <c r="BAO594"/>
      <c r="BAP594"/>
      <c r="BAQ594"/>
      <c r="BAR594"/>
      <c r="BAS594"/>
      <c r="BAT594"/>
      <c r="BAU594"/>
      <c r="BAV594"/>
      <c r="BAW594"/>
      <c r="BAX594"/>
      <c r="BAY594"/>
      <c r="BAZ594"/>
      <c r="BBA594"/>
      <c r="BBB594"/>
      <c r="BBC594"/>
      <c r="BBD594"/>
      <c r="BBE594"/>
      <c r="BBF594"/>
      <c r="BBG594"/>
      <c r="BBH594"/>
      <c r="BBI594"/>
      <c r="BBJ594"/>
      <c r="BBK594"/>
      <c r="BBL594"/>
      <c r="BBM594"/>
      <c r="BBN594"/>
      <c r="BBO594"/>
      <c r="BBP594"/>
      <c r="BBQ594"/>
      <c r="BBR594"/>
      <c r="BBS594"/>
      <c r="BBT594"/>
      <c r="BBU594"/>
      <c r="BBV594"/>
      <c r="BBW594"/>
      <c r="BBX594"/>
      <c r="BBY594"/>
      <c r="BBZ594"/>
      <c r="BCA594"/>
      <c r="BCB594"/>
      <c r="BCC594"/>
      <c r="BCD594"/>
      <c r="BCE594"/>
      <c r="BCF594"/>
      <c r="BCG594"/>
      <c r="BCH594"/>
      <c r="BCI594"/>
      <c r="BCJ594"/>
      <c r="BCK594"/>
      <c r="BCL594"/>
      <c r="BCM594"/>
      <c r="BCN594"/>
      <c r="BCO594"/>
      <c r="BCP594"/>
      <c r="BCQ594"/>
      <c r="BCR594"/>
      <c r="BCS594"/>
      <c r="BCT594"/>
      <c r="BCU594"/>
      <c r="BCV594"/>
      <c r="BCW594"/>
      <c r="BCX594"/>
      <c r="BCY594"/>
      <c r="BCZ594"/>
      <c r="BDA594"/>
      <c r="BDB594"/>
      <c r="BDC594"/>
      <c r="BDD594"/>
      <c r="BDE594"/>
      <c r="BDF594"/>
      <c r="BDG594"/>
      <c r="BDH594"/>
      <c r="BDI594"/>
      <c r="BDJ594"/>
      <c r="BDK594"/>
      <c r="BDL594"/>
      <c r="BDM594"/>
      <c r="BDN594"/>
      <c r="BDO594"/>
      <c r="BDP594"/>
      <c r="BDQ594"/>
      <c r="BDR594"/>
      <c r="BDS594"/>
      <c r="BDT594"/>
      <c r="BDU594"/>
      <c r="BDV594"/>
      <c r="BDW594"/>
      <c r="BDX594"/>
      <c r="BDY594"/>
      <c r="BDZ594"/>
      <c r="BEA594"/>
      <c r="BEB594"/>
      <c r="BEC594"/>
      <c r="BED594"/>
      <c r="BEE594"/>
      <c r="BEF594"/>
      <c r="BEG594"/>
      <c r="BEH594"/>
      <c r="BEI594"/>
      <c r="BEJ594"/>
      <c r="BEK594"/>
      <c r="BEL594"/>
      <c r="BEM594"/>
      <c r="BEN594"/>
      <c r="BEO594"/>
      <c r="BEP594"/>
      <c r="BEQ594"/>
      <c r="BER594"/>
      <c r="BES594"/>
      <c r="BET594"/>
      <c r="BEU594"/>
      <c r="BEV594"/>
      <c r="BEW594"/>
      <c r="BEX594"/>
      <c r="BEY594"/>
      <c r="BEZ594"/>
      <c r="BFA594"/>
      <c r="BFB594"/>
      <c r="BFC594"/>
      <c r="BFD594"/>
      <c r="BFE594"/>
      <c r="BFF594"/>
      <c r="BFG594"/>
      <c r="BFH594"/>
      <c r="BFI594"/>
      <c r="BFJ594"/>
      <c r="BFK594"/>
      <c r="BFL594"/>
      <c r="BFM594"/>
      <c r="BFN594"/>
      <c r="BFO594"/>
      <c r="BFP594"/>
      <c r="BFQ594"/>
      <c r="BFR594"/>
      <c r="BFS594"/>
      <c r="BFT594"/>
      <c r="BFU594"/>
      <c r="BFV594"/>
      <c r="BFW594"/>
      <c r="BFX594"/>
      <c r="BFY594"/>
      <c r="BFZ594"/>
      <c r="BGA594"/>
      <c r="BGB594"/>
      <c r="BGC594"/>
      <c r="BGD594"/>
      <c r="BGE594"/>
      <c r="BGF594"/>
      <c r="BGG594"/>
      <c r="BGH594"/>
      <c r="BGI594"/>
      <c r="BGJ594"/>
      <c r="BGK594"/>
      <c r="BGL594"/>
      <c r="BGM594"/>
      <c r="BGN594"/>
      <c r="BGO594"/>
      <c r="BGP594"/>
      <c r="BGQ594"/>
      <c r="BGR594"/>
      <c r="BGS594"/>
      <c r="BGT594"/>
      <c r="BGU594"/>
      <c r="BGV594"/>
      <c r="BGW594"/>
      <c r="BGX594"/>
      <c r="BGY594"/>
      <c r="BGZ594"/>
      <c r="BHA594"/>
      <c r="BHB594"/>
      <c r="BHC594"/>
      <c r="BHD594"/>
      <c r="BHE594"/>
      <c r="BHF594"/>
      <c r="BHG594"/>
      <c r="BHH594"/>
      <c r="BHI594"/>
      <c r="BHJ594"/>
      <c r="BHK594"/>
      <c r="BHL594"/>
      <c r="BHM594"/>
      <c r="BHN594"/>
      <c r="BHO594"/>
      <c r="BHP594"/>
      <c r="BHQ594"/>
      <c r="BHR594"/>
      <c r="BHS594"/>
      <c r="BHT594"/>
      <c r="BHU594"/>
      <c r="BHV594"/>
      <c r="BHW594"/>
      <c r="BHX594"/>
      <c r="BHY594"/>
      <c r="BHZ594"/>
      <c r="BIA594"/>
      <c r="BIB594"/>
      <c r="BIC594"/>
      <c r="BID594"/>
      <c r="BIE594"/>
      <c r="BIF594"/>
      <c r="BIG594"/>
      <c r="BIH594"/>
      <c r="BII594"/>
      <c r="BIJ594"/>
      <c r="BIK594"/>
      <c r="BIL594"/>
      <c r="BIM594"/>
      <c r="BIN594"/>
      <c r="BIO594"/>
      <c r="BIP594"/>
      <c r="BIQ594"/>
      <c r="BIR594"/>
      <c r="BIS594"/>
      <c r="BIT594"/>
      <c r="BIU594"/>
      <c r="BIV594"/>
      <c r="BIW594"/>
      <c r="BIX594"/>
      <c r="BIY594"/>
      <c r="BIZ594"/>
      <c r="BJA594"/>
      <c r="BJB594"/>
      <c r="BJC594"/>
      <c r="BJD594"/>
      <c r="BJE594"/>
      <c r="BJF594"/>
      <c r="BJG594"/>
      <c r="BJH594"/>
      <c r="BJI594"/>
      <c r="BJJ594"/>
      <c r="BJK594"/>
      <c r="BJL594"/>
      <c r="BJM594"/>
      <c r="BJN594"/>
      <c r="BJO594"/>
      <c r="BJP594"/>
      <c r="BJQ594"/>
      <c r="BJR594"/>
      <c r="BJS594"/>
      <c r="BJT594"/>
      <c r="BJU594"/>
      <c r="BJV594"/>
      <c r="BJW594"/>
      <c r="BJX594"/>
      <c r="BJY594"/>
      <c r="BJZ594"/>
      <c r="BKA594"/>
      <c r="BKB594"/>
      <c r="BKC594"/>
      <c r="BKD594"/>
      <c r="BKE594"/>
      <c r="BKF594"/>
      <c r="BKG594"/>
      <c r="BKH594"/>
      <c r="BKI594"/>
      <c r="BKJ594"/>
      <c r="BKK594"/>
      <c r="BKL594"/>
      <c r="BKM594"/>
      <c r="BKN594"/>
      <c r="BKO594"/>
      <c r="BKP594"/>
      <c r="BKQ594"/>
      <c r="BKR594"/>
      <c r="BKS594"/>
      <c r="BKT594"/>
      <c r="BKU594"/>
      <c r="BKV594"/>
      <c r="BKW594"/>
      <c r="BKX594"/>
      <c r="BKY594"/>
      <c r="BKZ594"/>
      <c r="BLA594"/>
      <c r="BLB594"/>
      <c r="BLC594"/>
      <c r="BLD594"/>
      <c r="BLE594"/>
      <c r="BLF594"/>
      <c r="BLG594"/>
      <c r="BLH594"/>
      <c r="BLI594"/>
      <c r="BLJ594"/>
      <c r="BLK594"/>
      <c r="BLL594"/>
      <c r="BLM594"/>
      <c r="BLN594"/>
      <c r="BLO594"/>
      <c r="BLP594"/>
      <c r="BLQ594"/>
      <c r="BLR594"/>
      <c r="BLS594"/>
      <c r="BLT594"/>
      <c r="BLU594"/>
      <c r="BLV594"/>
      <c r="BLW594"/>
      <c r="BLX594"/>
      <c r="BLY594"/>
      <c r="BLZ594"/>
      <c r="BMA594"/>
      <c r="BMB594"/>
      <c r="BMC594"/>
      <c r="BMD594"/>
      <c r="BME594"/>
      <c r="BMF594"/>
      <c r="BMG594"/>
      <c r="BMH594"/>
      <c r="BMI594"/>
      <c r="BMJ594"/>
      <c r="BMK594"/>
      <c r="BML594"/>
      <c r="BMM594"/>
      <c r="BMN594"/>
      <c r="BMO594"/>
      <c r="BMP594"/>
      <c r="BMQ594"/>
      <c r="BMR594"/>
      <c r="BMS594"/>
      <c r="BMT594"/>
      <c r="BMU594"/>
      <c r="BMV594"/>
      <c r="BMW594"/>
      <c r="BMX594"/>
      <c r="BMY594"/>
      <c r="BMZ594"/>
      <c r="BNA594"/>
      <c r="BNB594"/>
      <c r="BNC594"/>
      <c r="BND594"/>
      <c r="BNE594"/>
      <c r="BNF594"/>
      <c r="BNG594"/>
      <c r="BNH594"/>
      <c r="BNI594"/>
      <c r="BNJ594"/>
      <c r="BNK594"/>
      <c r="BNL594"/>
      <c r="BNM594"/>
      <c r="BNN594"/>
      <c r="BNO594"/>
      <c r="BNP594"/>
      <c r="BNQ594"/>
      <c r="BNR594"/>
      <c r="BNS594"/>
      <c r="BNT594"/>
      <c r="BNU594"/>
      <c r="BNV594"/>
      <c r="BNW594"/>
      <c r="BNX594"/>
      <c r="BNY594"/>
      <c r="BNZ594"/>
      <c r="BOA594"/>
      <c r="BOB594"/>
      <c r="BOC594"/>
      <c r="BOD594"/>
      <c r="BOE594"/>
      <c r="BOF594"/>
      <c r="BOG594"/>
      <c r="BOH594"/>
      <c r="BOI594"/>
      <c r="BOJ594"/>
      <c r="BOK594"/>
      <c r="BOL594"/>
      <c r="BOM594"/>
      <c r="BON594"/>
      <c r="BOO594"/>
      <c r="BOP594"/>
      <c r="BOQ594"/>
      <c r="BOR594"/>
      <c r="BOS594"/>
      <c r="BOT594"/>
      <c r="BOU594"/>
      <c r="BOV594"/>
      <c r="BOW594"/>
      <c r="BOX594"/>
      <c r="BOY594"/>
      <c r="BOZ594"/>
      <c r="BPA594"/>
      <c r="BPB594"/>
      <c r="BPC594"/>
      <c r="BPD594"/>
      <c r="BPE594"/>
      <c r="BPF594"/>
      <c r="BPG594"/>
      <c r="BPH594"/>
      <c r="BPI594"/>
      <c r="BPJ594"/>
      <c r="BPK594"/>
      <c r="BPL594"/>
      <c r="BPM594"/>
      <c r="BPN594"/>
      <c r="BPO594"/>
      <c r="BPP594"/>
      <c r="BPQ594"/>
      <c r="BPR594"/>
      <c r="BPS594"/>
      <c r="BPT594"/>
      <c r="BPU594"/>
      <c r="BPV594"/>
      <c r="BPW594"/>
      <c r="BPX594"/>
      <c r="BPY594"/>
      <c r="BPZ594"/>
      <c r="BQA594"/>
      <c r="BQB594"/>
      <c r="BQC594"/>
      <c r="BQD594"/>
      <c r="BQE594"/>
      <c r="BQF594"/>
      <c r="BQG594"/>
      <c r="BQH594"/>
      <c r="BQI594"/>
      <c r="BQJ594"/>
      <c r="BQK594"/>
      <c r="BQL594"/>
      <c r="BQM594"/>
      <c r="BQN594"/>
      <c r="BQO594"/>
      <c r="BQP594"/>
      <c r="BQQ594"/>
      <c r="BQR594"/>
      <c r="BQS594"/>
      <c r="BQT594"/>
      <c r="BQU594"/>
      <c r="BQV594"/>
      <c r="BQW594"/>
      <c r="BQX594"/>
      <c r="BQY594"/>
      <c r="BQZ594"/>
      <c r="BRA594"/>
      <c r="BRB594"/>
      <c r="BRC594"/>
      <c r="BRD594"/>
      <c r="BRE594"/>
      <c r="BRF594"/>
      <c r="BRG594"/>
      <c r="BRH594"/>
      <c r="BRI594"/>
      <c r="BRJ594"/>
      <c r="BRK594"/>
      <c r="BRL594"/>
      <c r="BRM594"/>
      <c r="BRN594"/>
      <c r="BRO594"/>
      <c r="BRP594"/>
      <c r="BRQ594"/>
      <c r="BRR594"/>
      <c r="BRS594"/>
      <c r="BRT594"/>
      <c r="BRU594"/>
      <c r="BRV594"/>
      <c r="BRW594"/>
      <c r="BRX594"/>
      <c r="BRY594"/>
      <c r="BRZ594"/>
      <c r="BSA594"/>
      <c r="BSB594"/>
      <c r="BSC594"/>
      <c r="BSD594"/>
      <c r="BSE594"/>
      <c r="BSF594"/>
      <c r="BSG594"/>
      <c r="BSH594"/>
      <c r="BSI594"/>
      <c r="BSJ594"/>
      <c r="BSK594"/>
      <c r="BSL594"/>
      <c r="BSM594"/>
      <c r="BSN594"/>
      <c r="BSO594"/>
      <c r="BSP594"/>
      <c r="BSQ594"/>
      <c r="BSR594"/>
      <c r="BSS594"/>
      <c r="BST594"/>
      <c r="BSU594"/>
      <c r="BSV594"/>
      <c r="BSW594"/>
      <c r="BSX594"/>
      <c r="BSY594"/>
      <c r="BSZ594"/>
      <c r="BTA594"/>
      <c r="BTB594"/>
      <c r="BTC594"/>
      <c r="BTD594"/>
      <c r="BTE594"/>
      <c r="BTF594"/>
      <c r="BTG594"/>
      <c r="BTH594"/>
      <c r="BTI594"/>
      <c r="BTJ594"/>
      <c r="BTK594"/>
      <c r="BTL594"/>
      <c r="BTM594"/>
      <c r="BTN594"/>
      <c r="BTO594"/>
      <c r="BTP594"/>
      <c r="BTQ594"/>
      <c r="BTR594"/>
      <c r="BTS594"/>
      <c r="BTT594"/>
      <c r="BTU594"/>
      <c r="BTV594"/>
      <c r="BTW594"/>
      <c r="BTX594"/>
      <c r="BTY594"/>
      <c r="BTZ594"/>
      <c r="BUA594"/>
      <c r="BUB594"/>
      <c r="BUC594"/>
      <c r="BUD594"/>
      <c r="BUE594"/>
      <c r="BUF594"/>
      <c r="BUG594"/>
      <c r="BUH594"/>
      <c r="BUI594"/>
      <c r="BUJ594"/>
      <c r="BUK594"/>
      <c r="BUL594"/>
      <c r="BUM594"/>
      <c r="BUN594"/>
      <c r="BUO594"/>
      <c r="BUP594"/>
      <c r="BUQ594"/>
      <c r="BUR594"/>
      <c r="BUS594"/>
      <c r="BUT594"/>
      <c r="BUU594"/>
      <c r="BUV594"/>
      <c r="BUW594"/>
      <c r="BUX594"/>
      <c r="BUY594"/>
      <c r="BUZ594"/>
      <c r="BVA594"/>
      <c r="BVB594"/>
      <c r="BVC594"/>
      <c r="BVD594"/>
      <c r="BVE594"/>
      <c r="BVF594"/>
      <c r="BVG594"/>
      <c r="BVH594"/>
      <c r="BVI594"/>
      <c r="BVJ594"/>
      <c r="BVK594"/>
      <c r="BVL594"/>
      <c r="BVM594"/>
      <c r="BVN594"/>
      <c r="BVO594"/>
      <c r="BVP594"/>
      <c r="BVQ594"/>
      <c r="BVR594"/>
      <c r="BVS594"/>
      <c r="BVT594"/>
      <c r="BVU594"/>
      <c r="BVV594"/>
      <c r="BVW594"/>
      <c r="BVX594"/>
      <c r="BVY594"/>
      <c r="BVZ594"/>
      <c r="BWA594"/>
      <c r="BWB594"/>
      <c r="BWC594"/>
      <c r="BWD594"/>
      <c r="BWE594"/>
      <c r="BWF594"/>
      <c r="BWG594"/>
      <c r="BWH594"/>
      <c r="BWI594"/>
      <c r="BWJ594"/>
      <c r="BWK594"/>
      <c r="BWL594"/>
      <c r="BWM594"/>
      <c r="BWN594"/>
      <c r="BWO594"/>
      <c r="BWP594"/>
      <c r="BWQ594"/>
      <c r="BWR594"/>
      <c r="BWS594"/>
      <c r="BWT594"/>
      <c r="BWU594"/>
      <c r="BWV594"/>
      <c r="BWW594"/>
      <c r="BWX594"/>
      <c r="BWY594"/>
      <c r="BWZ594"/>
      <c r="BXA594"/>
      <c r="BXB594"/>
      <c r="BXC594"/>
      <c r="BXD594"/>
      <c r="BXE594"/>
      <c r="BXF594"/>
      <c r="BXG594"/>
      <c r="BXH594"/>
      <c r="BXI594"/>
      <c r="BXJ594"/>
      <c r="BXK594"/>
      <c r="BXL594"/>
      <c r="BXM594"/>
      <c r="BXN594"/>
      <c r="BXO594"/>
      <c r="BXP594"/>
      <c r="BXQ594"/>
      <c r="BXR594"/>
      <c r="BXS594"/>
      <c r="BXT594"/>
      <c r="BXU594"/>
      <c r="BXV594"/>
      <c r="BXW594"/>
      <c r="BXX594"/>
      <c r="BXY594"/>
      <c r="BXZ594"/>
      <c r="BYA594"/>
      <c r="BYB594"/>
      <c r="BYC594"/>
      <c r="BYD594"/>
      <c r="BYE594"/>
      <c r="BYF594"/>
      <c r="BYG594"/>
      <c r="BYH594"/>
      <c r="BYI594"/>
      <c r="BYJ594"/>
      <c r="BYK594"/>
      <c r="BYL594"/>
      <c r="BYM594"/>
      <c r="BYN594"/>
      <c r="BYO594"/>
      <c r="BYP594"/>
      <c r="BYQ594"/>
      <c r="BYR594"/>
      <c r="BYS594"/>
      <c r="BYT594"/>
      <c r="BYU594"/>
      <c r="BYV594"/>
      <c r="BYW594"/>
      <c r="BYX594"/>
      <c r="BYY594"/>
      <c r="BYZ594"/>
      <c r="BZA594"/>
      <c r="BZB594"/>
      <c r="BZC594"/>
      <c r="BZD594"/>
      <c r="BZE594"/>
      <c r="BZF594"/>
      <c r="BZG594"/>
      <c r="BZH594"/>
      <c r="BZI594"/>
      <c r="BZJ594"/>
      <c r="BZK594"/>
      <c r="BZL594"/>
      <c r="BZM594"/>
      <c r="BZN594"/>
      <c r="BZO594"/>
      <c r="BZP594"/>
      <c r="BZQ594"/>
      <c r="BZR594"/>
      <c r="BZS594"/>
      <c r="BZT594"/>
      <c r="BZU594"/>
      <c r="BZV594"/>
      <c r="BZW594"/>
      <c r="BZX594"/>
      <c r="BZY594"/>
      <c r="BZZ594"/>
      <c r="CAA594"/>
      <c r="CAB594"/>
      <c r="CAC594"/>
      <c r="CAD594"/>
      <c r="CAE594"/>
      <c r="CAF594"/>
      <c r="CAG594"/>
      <c r="CAH594"/>
      <c r="CAI594"/>
      <c r="CAJ594"/>
      <c r="CAK594"/>
      <c r="CAL594"/>
      <c r="CAM594"/>
      <c r="CAN594"/>
      <c r="CAO594"/>
      <c r="CAP594"/>
      <c r="CAQ594"/>
      <c r="CAR594"/>
      <c r="CAS594"/>
      <c r="CAT594"/>
      <c r="CAU594"/>
      <c r="CAV594"/>
      <c r="CAW594"/>
      <c r="CAX594"/>
      <c r="CAY594"/>
      <c r="CAZ594"/>
      <c r="CBA594"/>
      <c r="CBB594"/>
      <c r="CBC594"/>
      <c r="CBD594"/>
      <c r="CBE594"/>
      <c r="CBF594"/>
      <c r="CBG594"/>
      <c r="CBH594"/>
      <c r="CBI594"/>
      <c r="CBJ594"/>
      <c r="CBK594"/>
      <c r="CBL594"/>
      <c r="CBM594"/>
      <c r="CBN594"/>
      <c r="CBO594"/>
      <c r="CBP594"/>
      <c r="CBQ594"/>
      <c r="CBR594"/>
      <c r="CBS594"/>
      <c r="CBT594"/>
      <c r="CBU594"/>
      <c r="CBV594"/>
      <c r="CBW594"/>
      <c r="CBX594"/>
      <c r="CBY594"/>
      <c r="CBZ594"/>
      <c r="CCA594"/>
      <c r="CCB594"/>
      <c r="CCC594"/>
      <c r="CCD594"/>
      <c r="CCE594"/>
      <c r="CCF594"/>
      <c r="CCG594"/>
      <c r="CCH594"/>
      <c r="CCI594"/>
      <c r="CCJ594"/>
      <c r="CCK594"/>
      <c r="CCL594"/>
      <c r="CCM594"/>
      <c r="CCN594"/>
      <c r="CCO594"/>
      <c r="CCP594"/>
      <c r="CCQ594"/>
      <c r="CCR594"/>
      <c r="CCS594"/>
      <c r="CCT594"/>
      <c r="CCU594"/>
      <c r="CCV594"/>
      <c r="CCW594"/>
      <c r="CCX594"/>
      <c r="CCY594"/>
      <c r="CCZ594"/>
      <c r="CDA594"/>
      <c r="CDB594"/>
      <c r="CDC594"/>
      <c r="CDD594"/>
      <c r="CDE594"/>
      <c r="CDF594"/>
      <c r="CDG594"/>
      <c r="CDH594"/>
      <c r="CDI594"/>
      <c r="CDJ594"/>
      <c r="CDK594"/>
      <c r="CDL594"/>
      <c r="CDM594"/>
      <c r="CDN594"/>
      <c r="CDO594"/>
      <c r="CDP594"/>
      <c r="CDQ594"/>
      <c r="CDR594"/>
      <c r="CDS594"/>
      <c r="CDT594"/>
      <c r="CDU594"/>
      <c r="CDV594"/>
      <c r="CDW594"/>
      <c r="CDX594"/>
      <c r="CDY594"/>
      <c r="CDZ594"/>
      <c r="CEA594"/>
      <c r="CEB594"/>
      <c r="CEC594"/>
      <c r="CED594"/>
      <c r="CEE594"/>
      <c r="CEF594"/>
      <c r="CEG594"/>
      <c r="CEH594"/>
      <c r="CEI594"/>
      <c r="CEJ594"/>
      <c r="CEK594"/>
      <c r="CEL594"/>
      <c r="CEM594"/>
      <c r="CEN594"/>
      <c r="CEO594"/>
      <c r="CEP594"/>
      <c r="CEQ594"/>
      <c r="CER594"/>
      <c r="CES594"/>
      <c r="CET594"/>
      <c r="CEU594"/>
      <c r="CEV594"/>
      <c r="CEW594"/>
      <c r="CEX594"/>
      <c r="CEY594"/>
      <c r="CEZ594"/>
      <c r="CFA594"/>
      <c r="CFB594"/>
      <c r="CFC594"/>
      <c r="CFD594"/>
      <c r="CFE594"/>
      <c r="CFF594"/>
      <c r="CFG594"/>
      <c r="CFH594"/>
      <c r="CFI594"/>
      <c r="CFJ594"/>
      <c r="CFK594"/>
      <c r="CFL594"/>
      <c r="CFM594"/>
      <c r="CFN594"/>
      <c r="CFO594"/>
      <c r="CFP594"/>
      <c r="CFQ594"/>
      <c r="CFR594"/>
      <c r="CFS594"/>
      <c r="CFT594"/>
      <c r="CFU594"/>
      <c r="CFV594"/>
      <c r="CFW594"/>
      <c r="CFX594"/>
      <c r="CFY594"/>
      <c r="CFZ594"/>
      <c r="CGA594"/>
      <c r="CGB594"/>
      <c r="CGC594"/>
      <c r="CGD594"/>
      <c r="CGE594"/>
      <c r="CGF594"/>
      <c r="CGG594"/>
      <c r="CGH594"/>
      <c r="CGI594"/>
      <c r="CGJ594"/>
      <c r="CGK594"/>
      <c r="CGL594"/>
      <c r="CGM594"/>
      <c r="CGN594"/>
      <c r="CGO594"/>
      <c r="CGP594"/>
      <c r="CGQ594"/>
      <c r="CGR594"/>
      <c r="CGS594"/>
      <c r="CGT594"/>
      <c r="CGU594"/>
      <c r="CGV594"/>
      <c r="CGW594"/>
      <c r="CGX594"/>
      <c r="CGY594"/>
      <c r="CGZ594"/>
      <c r="CHA594"/>
      <c r="CHB594"/>
      <c r="CHC594"/>
      <c r="CHD594"/>
      <c r="CHE594"/>
      <c r="CHF594"/>
      <c r="CHG594"/>
      <c r="CHH594"/>
      <c r="CHI594"/>
      <c r="CHJ594"/>
      <c r="CHK594"/>
      <c r="CHL594"/>
      <c r="CHM594"/>
      <c r="CHN594"/>
      <c r="CHO594"/>
      <c r="CHP594"/>
      <c r="CHQ594"/>
      <c r="CHR594"/>
      <c r="CHS594"/>
      <c r="CHT594"/>
      <c r="CHU594"/>
      <c r="CHV594"/>
      <c r="CHW594"/>
      <c r="CHX594"/>
      <c r="CHY594"/>
      <c r="CHZ594"/>
      <c r="CIA594"/>
      <c r="CIB594"/>
      <c r="CIC594"/>
      <c r="CID594"/>
      <c r="CIE594"/>
      <c r="CIF594"/>
      <c r="CIG594"/>
      <c r="CIH594"/>
      <c r="CII594"/>
      <c r="CIJ594"/>
      <c r="CIK594"/>
      <c r="CIL594"/>
      <c r="CIM594"/>
      <c r="CIN594"/>
      <c r="CIO594"/>
      <c r="CIP594"/>
      <c r="CIQ594"/>
      <c r="CIR594"/>
      <c r="CIS594"/>
      <c r="CIT594"/>
      <c r="CIU594"/>
      <c r="CIV594"/>
      <c r="CIW594"/>
      <c r="CIX594"/>
      <c r="CIY594"/>
      <c r="CIZ594"/>
      <c r="CJA594"/>
      <c r="CJB594"/>
      <c r="CJC594"/>
      <c r="CJD594"/>
      <c r="CJE594"/>
      <c r="CJF594"/>
      <c r="CJG594"/>
      <c r="CJH594"/>
      <c r="CJI594"/>
      <c r="CJJ594"/>
      <c r="CJK594"/>
      <c r="CJL594"/>
      <c r="CJM594"/>
      <c r="CJN594"/>
      <c r="CJO594"/>
      <c r="CJP594"/>
      <c r="CJQ594"/>
      <c r="CJR594"/>
      <c r="CJS594"/>
      <c r="CJT594"/>
      <c r="CJU594"/>
      <c r="CJV594"/>
      <c r="CJW594"/>
      <c r="CJX594"/>
      <c r="CJY594"/>
      <c r="CJZ594"/>
      <c r="CKA594"/>
      <c r="CKB594"/>
      <c r="CKC594"/>
      <c r="CKD594"/>
      <c r="CKE594"/>
      <c r="CKF594"/>
      <c r="CKG594"/>
      <c r="CKH594"/>
      <c r="CKI594"/>
      <c r="CKJ594"/>
      <c r="CKK594"/>
      <c r="CKL594"/>
      <c r="CKM594"/>
      <c r="CKN594"/>
      <c r="CKO594"/>
      <c r="CKP594"/>
      <c r="CKQ594"/>
      <c r="CKR594"/>
      <c r="CKS594"/>
      <c r="CKT594"/>
      <c r="CKU594"/>
      <c r="CKV594"/>
      <c r="CKW594"/>
      <c r="CKX594"/>
      <c r="CKY594"/>
      <c r="CKZ594"/>
      <c r="CLA594"/>
      <c r="CLB594"/>
      <c r="CLC594"/>
      <c r="CLD594"/>
      <c r="CLE594"/>
      <c r="CLF594"/>
      <c r="CLG594"/>
      <c r="CLH594"/>
      <c r="CLI594"/>
      <c r="CLJ594"/>
      <c r="CLK594"/>
      <c r="CLL594"/>
      <c r="CLM594"/>
      <c r="CLN594"/>
      <c r="CLO594"/>
      <c r="CLP594"/>
      <c r="CLQ594"/>
      <c r="CLR594"/>
      <c r="CLS594"/>
      <c r="CLT594"/>
      <c r="CLU594"/>
      <c r="CLV594"/>
      <c r="CLW594"/>
      <c r="CLX594"/>
      <c r="CLY594"/>
      <c r="CLZ594"/>
      <c r="CMA594"/>
      <c r="CMB594"/>
      <c r="CMC594"/>
      <c r="CMD594"/>
      <c r="CME594"/>
      <c r="CMF594"/>
      <c r="CMG594"/>
      <c r="CMH594"/>
      <c r="CMI594"/>
      <c r="CMJ594"/>
      <c r="CMK594"/>
      <c r="CML594"/>
      <c r="CMM594"/>
      <c r="CMN594"/>
      <c r="CMO594"/>
      <c r="CMP594"/>
      <c r="CMQ594"/>
      <c r="CMR594"/>
      <c r="CMS594"/>
      <c r="CMT594"/>
      <c r="CMU594"/>
      <c r="CMV594"/>
      <c r="CMW594"/>
      <c r="CMX594"/>
      <c r="CMY594"/>
      <c r="CMZ594"/>
      <c r="CNA594"/>
      <c r="CNB594"/>
      <c r="CNC594"/>
      <c r="CND594"/>
      <c r="CNE594"/>
      <c r="CNF594"/>
      <c r="CNG594"/>
      <c r="CNH594"/>
      <c r="CNI594"/>
      <c r="CNJ594"/>
      <c r="CNK594"/>
      <c r="CNL594"/>
      <c r="CNM594"/>
      <c r="CNN594"/>
      <c r="CNO594"/>
      <c r="CNP594"/>
      <c r="CNQ594"/>
      <c r="CNR594"/>
      <c r="CNS594"/>
      <c r="CNT594"/>
      <c r="CNU594"/>
      <c r="CNV594"/>
      <c r="CNW594"/>
      <c r="CNX594"/>
      <c r="CNY594"/>
      <c r="CNZ594"/>
      <c r="COA594"/>
      <c r="COB594"/>
      <c r="COC594"/>
      <c r="COD594"/>
      <c r="COE594"/>
      <c r="COF594"/>
      <c r="COG594"/>
      <c r="COH594"/>
      <c r="COI594"/>
      <c r="COJ594"/>
      <c r="COK594"/>
      <c r="COL594"/>
      <c r="COM594"/>
      <c r="CON594"/>
      <c r="COO594"/>
      <c r="COP594"/>
      <c r="COQ594"/>
      <c r="COR594"/>
      <c r="COS594"/>
      <c r="COT594"/>
      <c r="COU594"/>
      <c r="COV594"/>
      <c r="COW594"/>
      <c r="COX594"/>
      <c r="COY594"/>
      <c r="COZ594"/>
      <c r="CPA594"/>
      <c r="CPB594"/>
      <c r="CPC594"/>
      <c r="CPD594"/>
      <c r="CPE594"/>
      <c r="CPF594"/>
      <c r="CPG594"/>
      <c r="CPH594"/>
      <c r="CPI594"/>
      <c r="CPJ594"/>
      <c r="CPK594"/>
      <c r="CPL594"/>
      <c r="CPM594"/>
      <c r="CPN594"/>
      <c r="CPO594"/>
      <c r="CPP594"/>
      <c r="CPQ594"/>
      <c r="CPR594"/>
      <c r="CPS594"/>
      <c r="CPT594"/>
      <c r="CPU594"/>
      <c r="CPV594"/>
      <c r="CPW594"/>
      <c r="CPX594"/>
      <c r="CPY594"/>
      <c r="CPZ594"/>
      <c r="CQA594"/>
      <c r="CQB594"/>
      <c r="CQC594"/>
      <c r="CQD594"/>
      <c r="CQE594"/>
      <c r="CQF594"/>
      <c r="CQG594"/>
      <c r="CQH594"/>
      <c r="CQI594"/>
      <c r="CQJ594"/>
      <c r="CQK594"/>
      <c r="CQL594"/>
      <c r="CQM594"/>
      <c r="CQN594"/>
      <c r="CQO594"/>
      <c r="CQP594"/>
      <c r="CQQ594"/>
      <c r="CQR594"/>
      <c r="CQS594"/>
      <c r="CQT594"/>
      <c r="CQU594"/>
      <c r="CQV594"/>
      <c r="CQW594"/>
      <c r="CQX594"/>
      <c r="CQY594"/>
      <c r="CQZ594"/>
      <c r="CRA594"/>
      <c r="CRB594"/>
      <c r="CRC594"/>
      <c r="CRD594"/>
      <c r="CRE594"/>
      <c r="CRF594"/>
      <c r="CRG594"/>
      <c r="CRH594"/>
      <c r="CRI594"/>
      <c r="CRJ594"/>
      <c r="CRK594"/>
      <c r="CRL594"/>
      <c r="CRM594"/>
      <c r="CRN594"/>
      <c r="CRO594"/>
      <c r="CRP594"/>
      <c r="CRQ594"/>
      <c r="CRR594"/>
      <c r="CRS594"/>
      <c r="CRT594"/>
      <c r="CRU594"/>
      <c r="CRV594"/>
      <c r="CRW594"/>
      <c r="CRX594"/>
      <c r="CRY594"/>
      <c r="CRZ594"/>
      <c r="CSA594"/>
      <c r="CSB594"/>
      <c r="CSC594"/>
      <c r="CSD594"/>
      <c r="CSE594"/>
      <c r="CSF594"/>
      <c r="CSG594"/>
      <c r="CSH594"/>
      <c r="CSI594"/>
      <c r="CSJ594"/>
      <c r="CSK594"/>
      <c r="CSL594"/>
      <c r="CSM594"/>
      <c r="CSN594"/>
      <c r="CSO594"/>
      <c r="CSP594"/>
      <c r="CSQ594"/>
      <c r="CSR594"/>
      <c r="CSS594"/>
      <c r="CST594"/>
      <c r="CSU594"/>
      <c r="CSV594"/>
      <c r="CSW594"/>
      <c r="CSX594"/>
      <c r="CSY594"/>
      <c r="CSZ594"/>
      <c r="CTA594"/>
      <c r="CTB594"/>
      <c r="CTC594"/>
      <c r="CTD594"/>
      <c r="CTE594"/>
      <c r="CTF594"/>
      <c r="CTG594"/>
      <c r="CTH594"/>
      <c r="CTI594"/>
      <c r="CTJ594"/>
      <c r="CTK594"/>
      <c r="CTL594"/>
      <c r="CTM594"/>
      <c r="CTN594"/>
      <c r="CTO594"/>
      <c r="CTP594"/>
      <c r="CTQ594"/>
      <c r="CTR594"/>
      <c r="CTS594"/>
      <c r="CTT594"/>
      <c r="CTU594"/>
      <c r="CTV594"/>
      <c r="CTW594"/>
      <c r="CTX594"/>
      <c r="CTY594"/>
      <c r="CTZ594"/>
      <c r="CUA594"/>
      <c r="CUB594"/>
      <c r="CUC594"/>
      <c r="CUD594"/>
      <c r="CUE594"/>
      <c r="CUF594"/>
      <c r="CUG594"/>
      <c r="CUH594"/>
      <c r="CUI594"/>
      <c r="CUJ594"/>
      <c r="CUK594"/>
      <c r="CUL594"/>
      <c r="CUM594"/>
      <c r="CUN594"/>
      <c r="CUO594"/>
      <c r="CUP594"/>
      <c r="CUQ594"/>
      <c r="CUR594"/>
      <c r="CUS594"/>
      <c r="CUT594"/>
      <c r="CUU594"/>
      <c r="CUV594"/>
      <c r="CUW594"/>
      <c r="CUX594"/>
      <c r="CUY594"/>
      <c r="CUZ594"/>
      <c r="CVA594"/>
      <c r="CVB594"/>
      <c r="CVC594"/>
      <c r="CVD594"/>
      <c r="CVE594"/>
      <c r="CVF594"/>
      <c r="CVG594"/>
      <c r="CVH594"/>
      <c r="CVI594"/>
      <c r="CVJ594"/>
      <c r="CVK594"/>
      <c r="CVL594"/>
      <c r="CVM594"/>
      <c r="CVN594"/>
      <c r="CVO594"/>
      <c r="CVP594"/>
      <c r="CVQ594"/>
      <c r="CVR594"/>
      <c r="CVS594"/>
      <c r="CVT594"/>
      <c r="CVU594"/>
      <c r="CVV594"/>
      <c r="CVW594"/>
      <c r="CVX594"/>
      <c r="CVY594"/>
      <c r="CVZ594"/>
      <c r="CWA594"/>
      <c r="CWB594"/>
      <c r="CWC594"/>
      <c r="CWD594"/>
      <c r="CWE594"/>
      <c r="CWF594"/>
      <c r="CWG594"/>
      <c r="CWH594"/>
      <c r="CWI594"/>
      <c r="CWJ594"/>
      <c r="CWK594"/>
      <c r="CWL594"/>
      <c r="CWM594"/>
      <c r="CWN594"/>
      <c r="CWO594"/>
      <c r="CWP594"/>
      <c r="CWQ594"/>
      <c r="CWR594"/>
      <c r="CWS594"/>
      <c r="CWT594"/>
      <c r="CWU594"/>
      <c r="CWV594"/>
      <c r="CWW594"/>
      <c r="CWX594"/>
      <c r="CWY594"/>
      <c r="CWZ594"/>
      <c r="CXA594"/>
      <c r="CXB594"/>
      <c r="CXC594"/>
      <c r="CXD594"/>
      <c r="CXE594"/>
      <c r="CXF594"/>
      <c r="CXG594"/>
      <c r="CXH594"/>
      <c r="CXI594"/>
      <c r="CXJ594"/>
      <c r="CXK594"/>
      <c r="CXL594"/>
      <c r="CXM594"/>
      <c r="CXN594"/>
      <c r="CXO594"/>
      <c r="CXP594"/>
      <c r="CXQ594"/>
      <c r="CXR594"/>
      <c r="CXS594"/>
      <c r="CXT594"/>
      <c r="CXU594"/>
      <c r="CXV594"/>
      <c r="CXW594"/>
      <c r="CXX594"/>
      <c r="CXY594"/>
      <c r="CXZ594"/>
      <c r="CYA594"/>
      <c r="CYB594"/>
      <c r="CYC594"/>
      <c r="CYD594"/>
      <c r="CYE594"/>
      <c r="CYF594"/>
      <c r="CYG594"/>
      <c r="CYH594"/>
      <c r="CYI594"/>
      <c r="CYJ594"/>
      <c r="CYK594"/>
      <c r="CYL594"/>
      <c r="CYM594"/>
      <c r="CYN594"/>
      <c r="CYO594"/>
      <c r="CYP594"/>
      <c r="CYQ594"/>
      <c r="CYR594"/>
      <c r="CYS594"/>
      <c r="CYT594"/>
      <c r="CYU594"/>
      <c r="CYV594"/>
      <c r="CYW594"/>
      <c r="CYX594"/>
      <c r="CYY594"/>
      <c r="CYZ594"/>
      <c r="CZA594"/>
      <c r="CZB594"/>
      <c r="CZC594"/>
      <c r="CZD594"/>
      <c r="CZE594"/>
      <c r="CZF594"/>
      <c r="CZG594"/>
      <c r="CZH594"/>
      <c r="CZI594"/>
      <c r="CZJ594"/>
      <c r="CZK594"/>
      <c r="CZL594"/>
      <c r="CZM594"/>
      <c r="CZN594"/>
      <c r="CZO594"/>
      <c r="CZP594"/>
      <c r="CZQ594"/>
      <c r="CZR594"/>
      <c r="CZS594"/>
      <c r="CZT594"/>
      <c r="CZU594"/>
      <c r="CZV594"/>
      <c r="CZW594"/>
      <c r="CZX594"/>
      <c r="CZY594"/>
      <c r="CZZ594"/>
      <c r="DAA594"/>
      <c r="DAB594"/>
      <c r="DAC594"/>
      <c r="DAD594"/>
      <c r="DAE594"/>
      <c r="DAF594"/>
      <c r="DAG594"/>
      <c r="DAH594"/>
      <c r="DAI594"/>
      <c r="DAJ594"/>
      <c r="DAK594"/>
      <c r="DAL594"/>
      <c r="DAM594"/>
      <c r="DAN594"/>
      <c r="DAO594"/>
      <c r="DAP594"/>
      <c r="DAQ594"/>
      <c r="DAR594"/>
      <c r="DAS594"/>
      <c r="DAT594"/>
      <c r="DAU594"/>
      <c r="DAV594"/>
      <c r="DAW594"/>
      <c r="DAX594"/>
      <c r="DAY594"/>
      <c r="DAZ594"/>
      <c r="DBA594"/>
      <c r="DBB594"/>
      <c r="DBC594"/>
      <c r="DBD594"/>
      <c r="DBE594"/>
      <c r="DBF594"/>
      <c r="DBG594"/>
      <c r="DBH594"/>
      <c r="DBI594"/>
      <c r="DBJ594"/>
      <c r="DBK594"/>
      <c r="DBL594"/>
      <c r="DBM594"/>
      <c r="DBN594"/>
      <c r="DBO594"/>
      <c r="DBP594"/>
      <c r="DBQ594"/>
      <c r="DBR594"/>
      <c r="DBS594"/>
      <c r="DBT594"/>
      <c r="DBU594"/>
      <c r="DBV594"/>
      <c r="DBW594"/>
      <c r="DBX594"/>
      <c r="DBY594"/>
      <c r="DBZ594"/>
      <c r="DCA594"/>
      <c r="DCB594"/>
      <c r="DCC594"/>
      <c r="DCD594"/>
      <c r="DCE594"/>
      <c r="DCF594"/>
      <c r="DCG594"/>
      <c r="DCH594"/>
      <c r="DCI594"/>
      <c r="DCJ594"/>
      <c r="DCK594"/>
      <c r="DCL594"/>
      <c r="DCM594"/>
      <c r="DCN594"/>
      <c r="DCO594"/>
      <c r="DCP594"/>
      <c r="DCQ594"/>
      <c r="DCR594"/>
      <c r="DCS594"/>
      <c r="DCT594"/>
      <c r="DCU594"/>
      <c r="DCV594"/>
      <c r="DCW594"/>
      <c r="DCX594"/>
      <c r="DCY594"/>
      <c r="DCZ594"/>
      <c r="DDA594"/>
      <c r="DDB594"/>
      <c r="DDC594"/>
      <c r="DDD594"/>
      <c r="DDE594"/>
      <c r="DDF594"/>
      <c r="DDG594"/>
      <c r="DDH594"/>
      <c r="DDI594"/>
      <c r="DDJ594"/>
      <c r="DDK594"/>
      <c r="DDL594"/>
      <c r="DDM594"/>
      <c r="DDN594"/>
      <c r="DDO594"/>
      <c r="DDP594"/>
      <c r="DDQ594"/>
      <c r="DDR594"/>
      <c r="DDS594"/>
      <c r="DDT594"/>
      <c r="DDU594"/>
      <c r="DDV594"/>
      <c r="DDW594"/>
      <c r="DDX594"/>
      <c r="DDY594"/>
      <c r="DDZ594"/>
      <c r="DEA594"/>
      <c r="DEB594"/>
      <c r="DEC594"/>
      <c r="DED594"/>
      <c r="DEE594"/>
      <c r="DEF594"/>
      <c r="DEG594"/>
      <c r="DEH594"/>
      <c r="DEI594"/>
      <c r="DEJ594"/>
      <c r="DEK594"/>
      <c r="DEL594"/>
      <c r="DEM594"/>
      <c r="DEN594"/>
      <c r="DEO594"/>
      <c r="DEP594"/>
      <c r="DEQ594"/>
      <c r="DER594"/>
      <c r="DES594"/>
      <c r="DET594"/>
      <c r="DEU594"/>
      <c r="DEV594"/>
      <c r="DEW594"/>
      <c r="DEX594"/>
      <c r="DEY594"/>
      <c r="DEZ594"/>
      <c r="DFA594"/>
      <c r="DFB594"/>
      <c r="DFC594"/>
      <c r="DFD594"/>
      <c r="DFE594"/>
      <c r="DFF594"/>
      <c r="DFG594"/>
      <c r="DFH594"/>
      <c r="DFI594"/>
      <c r="DFJ594"/>
      <c r="DFK594"/>
      <c r="DFL594"/>
      <c r="DFM594"/>
      <c r="DFN594"/>
      <c r="DFO594"/>
      <c r="DFP594"/>
      <c r="DFQ594"/>
      <c r="DFR594"/>
      <c r="DFS594"/>
      <c r="DFT594"/>
      <c r="DFU594"/>
      <c r="DFV594"/>
      <c r="DFW594"/>
      <c r="DFX594"/>
      <c r="DFY594"/>
      <c r="DFZ594"/>
      <c r="DGA594"/>
      <c r="DGB594"/>
      <c r="DGC594"/>
      <c r="DGD594"/>
      <c r="DGE594"/>
      <c r="DGF594"/>
      <c r="DGG594"/>
      <c r="DGH594"/>
      <c r="DGI594"/>
      <c r="DGJ594"/>
      <c r="DGK594"/>
      <c r="DGL594"/>
      <c r="DGM594"/>
      <c r="DGN594"/>
      <c r="DGO594"/>
      <c r="DGP594"/>
      <c r="DGQ594"/>
      <c r="DGR594"/>
      <c r="DGS594"/>
      <c r="DGT594"/>
      <c r="DGU594"/>
      <c r="DGV594"/>
      <c r="DGW594"/>
      <c r="DGX594"/>
      <c r="DGY594"/>
      <c r="DGZ594"/>
      <c r="DHA594"/>
      <c r="DHB594"/>
      <c r="DHC594"/>
      <c r="DHD594"/>
      <c r="DHE594"/>
      <c r="DHF594"/>
      <c r="DHG594"/>
      <c r="DHH594"/>
      <c r="DHI594"/>
      <c r="DHJ594"/>
      <c r="DHK594"/>
      <c r="DHL594"/>
      <c r="DHM594"/>
      <c r="DHN594"/>
      <c r="DHO594"/>
      <c r="DHP594"/>
      <c r="DHQ594"/>
      <c r="DHR594"/>
      <c r="DHS594"/>
      <c r="DHT594"/>
      <c r="DHU594"/>
      <c r="DHV594"/>
      <c r="DHW594"/>
      <c r="DHX594"/>
      <c r="DHY594"/>
      <c r="DHZ594"/>
      <c r="DIA594"/>
      <c r="DIB594"/>
      <c r="DIC594"/>
      <c r="DID594"/>
      <c r="DIE594"/>
      <c r="DIF594"/>
      <c r="DIG594"/>
      <c r="DIH594"/>
      <c r="DII594"/>
      <c r="DIJ594"/>
      <c r="DIK594"/>
      <c r="DIL594"/>
      <c r="DIM594"/>
      <c r="DIN594"/>
      <c r="DIO594"/>
      <c r="DIP594"/>
      <c r="DIQ594"/>
      <c r="DIR594"/>
      <c r="DIS594"/>
      <c r="DIT594"/>
      <c r="DIU594"/>
      <c r="DIV594"/>
      <c r="DIW594"/>
      <c r="DIX594"/>
      <c r="DIY594"/>
      <c r="DIZ594"/>
      <c r="DJA594"/>
      <c r="DJB594"/>
      <c r="DJC594"/>
      <c r="DJD594"/>
      <c r="DJE594"/>
      <c r="DJF594"/>
      <c r="DJG594"/>
      <c r="DJH594"/>
      <c r="DJI594"/>
      <c r="DJJ594"/>
      <c r="DJK594"/>
      <c r="DJL594"/>
      <c r="DJM594"/>
      <c r="DJN594"/>
      <c r="DJO594"/>
      <c r="DJP594"/>
      <c r="DJQ594"/>
      <c r="DJR594"/>
      <c r="DJS594"/>
      <c r="DJT594"/>
      <c r="DJU594"/>
      <c r="DJV594"/>
      <c r="DJW594"/>
      <c r="DJX594"/>
      <c r="DJY594"/>
      <c r="DJZ594"/>
      <c r="DKA594"/>
      <c r="DKB594"/>
      <c r="DKC594"/>
      <c r="DKD594"/>
      <c r="DKE594"/>
      <c r="DKF594"/>
      <c r="DKG594"/>
      <c r="DKH594"/>
      <c r="DKI594"/>
      <c r="DKJ594"/>
      <c r="DKK594"/>
      <c r="DKL594"/>
      <c r="DKM594"/>
      <c r="DKN594"/>
      <c r="DKO594"/>
      <c r="DKP594"/>
      <c r="DKQ594"/>
      <c r="DKR594"/>
      <c r="DKS594"/>
      <c r="DKT594"/>
      <c r="DKU594"/>
      <c r="DKV594"/>
      <c r="DKW594"/>
      <c r="DKX594"/>
      <c r="DKY594"/>
      <c r="DKZ594"/>
      <c r="DLA594"/>
      <c r="DLB594"/>
      <c r="DLC594"/>
      <c r="DLD594"/>
      <c r="DLE594"/>
      <c r="DLF594"/>
      <c r="DLG594"/>
      <c r="DLH594"/>
      <c r="DLI594"/>
      <c r="DLJ594"/>
      <c r="DLK594"/>
      <c r="DLL594"/>
      <c r="DLM594"/>
      <c r="DLN594"/>
      <c r="DLO594"/>
      <c r="DLP594"/>
      <c r="DLQ594"/>
      <c r="DLR594"/>
      <c r="DLS594"/>
      <c r="DLT594"/>
      <c r="DLU594"/>
      <c r="DLV594"/>
      <c r="DLW594"/>
      <c r="DLX594"/>
      <c r="DLY594"/>
      <c r="DLZ594"/>
      <c r="DMA594"/>
      <c r="DMB594"/>
      <c r="DMC594"/>
      <c r="DMD594"/>
      <c r="DME594"/>
      <c r="DMF594"/>
      <c r="DMG594"/>
      <c r="DMH594"/>
      <c r="DMI594"/>
      <c r="DMJ594"/>
      <c r="DMK594"/>
      <c r="DML594"/>
      <c r="DMM594"/>
      <c r="DMN594"/>
      <c r="DMO594"/>
      <c r="DMP594"/>
      <c r="DMQ594"/>
      <c r="DMR594"/>
      <c r="DMS594"/>
      <c r="DMT594"/>
      <c r="DMU594"/>
      <c r="DMV594"/>
      <c r="DMW594"/>
      <c r="DMX594"/>
      <c r="DMY594"/>
      <c r="DMZ594"/>
      <c r="DNA594"/>
      <c r="DNB594"/>
      <c r="DNC594"/>
      <c r="DND594"/>
      <c r="DNE594"/>
      <c r="DNF594"/>
      <c r="DNG594"/>
      <c r="DNH594"/>
      <c r="DNI594"/>
      <c r="DNJ594"/>
      <c r="DNK594"/>
      <c r="DNL594"/>
      <c r="DNM594"/>
      <c r="DNN594"/>
      <c r="DNO594"/>
      <c r="DNP594"/>
      <c r="DNQ594"/>
      <c r="DNR594"/>
      <c r="DNS594"/>
      <c r="DNT594"/>
      <c r="DNU594"/>
      <c r="DNV594"/>
      <c r="DNW594"/>
      <c r="DNX594"/>
      <c r="DNY594"/>
      <c r="DNZ594"/>
      <c r="DOA594"/>
      <c r="DOB594"/>
      <c r="DOC594"/>
      <c r="DOD594"/>
      <c r="DOE594"/>
      <c r="DOF594"/>
      <c r="DOG594"/>
      <c r="DOH594"/>
      <c r="DOI594"/>
      <c r="DOJ594"/>
      <c r="DOK594"/>
      <c r="DOL594"/>
      <c r="DOM594"/>
      <c r="DON594"/>
      <c r="DOO594"/>
      <c r="DOP594"/>
      <c r="DOQ594"/>
      <c r="DOR594"/>
      <c r="DOS594"/>
      <c r="DOT594"/>
      <c r="DOU594"/>
      <c r="DOV594"/>
      <c r="DOW594"/>
      <c r="DOX594"/>
      <c r="DOY594"/>
      <c r="DOZ594"/>
      <c r="DPA594"/>
      <c r="DPB594"/>
      <c r="DPC594"/>
      <c r="DPD594"/>
      <c r="DPE594"/>
      <c r="DPF594"/>
      <c r="DPG594"/>
      <c r="DPH594"/>
      <c r="DPI594"/>
      <c r="DPJ594"/>
      <c r="DPK594"/>
      <c r="DPL594"/>
      <c r="DPM594"/>
      <c r="DPN594"/>
      <c r="DPO594"/>
      <c r="DPP594"/>
      <c r="DPQ594"/>
      <c r="DPR594"/>
      <c r="DPS594"/>
      <c r="DPT594"/>
      <c r="DPU594"/>
      <c r="DPV594"/>
      <c r="DPW594"/>
      <c r="DPX594"/>
      <c r="DPY594"/>
      <c r="DPZ594"/>
      <c r="DQA594"/>
      <c r="DQB594"/>
      <c r="DQC594"/>
      <c r="DQD594"/>
      <c r="DQE594"/>
      <c r="DQF594"/>
      <c r="DQG594"/>
      <c r="DQH594"/>
      <c r="DQI594"/>
      <c r="DQJ594"/>
      <c r="DQK594"/>
      <c r="DQL594"/>
      <c r="DQM594"/>
      <c r="DQN594"/>
      <c r="DQO594"/>
      <c r="DQP594"/>
      <c r="DQQ594"/>
      <c r="DQR594"/>
      <c r="DQS594"/>
      <c r="DQT594"/>
      <c r="DQU594"/>
      <c r="DQV594"/>
      <c r="DQW594"/>
      <c r="DQX594"/>
      <c r="DQY594"/>
      <c r="DQZ594"/>
      <c r="DRA594"/>
      <c r="DRB594"/>
      <c r="DRC594"/>
      <c r="DRD594"/>
      <c r="DRE594"/>
      <c r="DRF594"/>
      <c r="DRG594"/>
      <c r="DRH594"/>
      <c r="DRI594"/>
      <c r="DRJ594"/>
      <c r="DRK594"/>
      <c r="DRL594"/>
      <c r="DRM594"/>
      <c r="DRN594"/>
      <c r="DRO594"/>
      <c r="DRP594"/>
      <c r="DRQ594"/>
      <c r="DRR594"/>
      <c r="DRS594"/>
      <c r="DRT594"/>
      <c r="DRU594"/>
      <c r="DRV594"/>
      <c r="DRW594"/>
      <c r="DRX594"/>
      <c r="DRY594"/>
      <c r="DRZ594"/>
      <c r="DSA594"/>
      <c r="DSB594"/>
      <c r="DSC594"/>
      <c r="DSD594"/>
      <c r="DSE594"/>
      <c r="DSF594"/>
      <c r="DSG594"/>
      <c r="DSH594"/>
      <c r="DSI594"/>
      <c r="DSJ594"/>
      <c r="DSK594"/>
      <c r="DSL594"/>
      <c r="DSM594"/>
      <c r="DSN594"/>
      <c r="DSO594"/>
      <c r="DSP594"/>
      <c r="DSQ594"/>
      <c r="DSR594"/>
      <c r="DSS594"/>
      <c r="DST594"/>
      <c r="DSU594"/>
      <c r="DSV594"/>
      <c r="DSW594"/>
      <c r="DSX594"/>
      <c r="DSY594"/>
      <c r="DSZ594"/>
      <c r="DTA594"/>
      <c r="DTB594"/>
      <c r="DTC594"/>
      <c r="DTD594"/>
      <c r="DTE594"/>
      <c r="DTF594"/>
      <c r="DTG594"/>
      <c r="DTH594"/>
      <c r="DTI594"/>
      <c r="DTJ594"/>
      <c r="DTK594"/>
      <c r="DTL594"/>
      <c r="DTM594"/>
      <c r="DTN594"/>
      <c r="DTO594"/>
      <c r="DTP594"/>
      <c r="DTQ594"/>
      <c r="DTR594"/>
      <c r="DTS594"/>
      <c r="DTT594"/>
      <c r="DTU594"/>
      <c r="DTV594"/>
      <c r="DTW594"/>
      <c r="DTX594"/>
      <c r="DTY594"/>
      <c r="DTZ594"/>
      <c r="DUA594"/>
      <c r="DUB594"/>
      <c r="DUC594"/>
      <c r="DUD594"/>
      <c r="DUE594"/>
      <c r="DUF594"/>
      <c r="DUG594"/>
      <c r="DUH594"/>
      <c r="DUI594"/>
      <c r="DUJ594"/>
      <c r="DUK594"/>
      <c r="DUL594"/>
      <c r="DUM594"/>
      <c r="DUN594"/>
      <c r="DUO594"/>
      <c r="DUP594"/>
      <c r="DUQ594"/>
      <c r="DUR594"/>
      <c r="DUS594"/>
      <c r="DUT594"/>
      <c r="DUU594"/>
      <c r="DUV594"/>
      <c r="DUW594"/>
      <c r="DUX594"/>
      <c r="DUY594"/>
      <c r="DUZ594"/>
      <c r="DVA594"/>
      <c r="DVB594"/>
      <c r="DVC594"/>
      <c r="DVD594"/>
      <c r="DVE594"/>
      <c r="DVF594"/>
      <c r="DVG594"/>
      <c r="DVH594"/>
      <c r="DVI594"/>
      <c r="DVJ594"/>
      <c r="DVK594"/>
      <c r="DVL594"/>
      <c r="DVM594"/>
      <c r="DVN594"/>
      <c r="DVO594"/>
      <c r="DVP594"/>
      <c r="DVQ594"/>
      <c r="DVR594"/>
      <c r="DVS594"/>
      <c r="DVT594"/>
      <c r="DVU594"/>
      <c r="DVV594"/>
      <c r="DVW594"/>
      <c r="DVX594"/>
      <c r="DVY594"/>
      <c r="DVZ594"/>
      <c r="DWA594"/>
      <c r="DWB594"/>
      <c r="DWC594"/>
      <c r="DWD594"/>
      <c r="DWE594"/>
      <c r="DWF594"/>
      <c r="DWG594"/>
      <c r="DWH594"/>
      <c r="DWI594"/>
      <c r="DWJ594"/>
      <c r="DWK594"/>
      <c r="DWL594"/>
      <c r="DWM594"/>
      <c r="DWN594"/>
      <c r="DWO594"/>
      <c r="DWP594"/>
      <c r="DWQ594"/>
      <c r="DWR594"/>
      <c r="DWS594"/>
      <c r="DWT594"/>
      <c r="DWU594"/>
      <c r="DWV594"/>
      <c r="DWW594"/>
      <c r="DWX594"/>
      <c r="DWY594"/>
      <c r="DWZ594"/>
      <c r="DXA594"/>
      <c r="DXB594"/>
      <c r="DXC594"/>
      <c r="DXD594"/>
      <c r="DXE594"/>
      <c r="DXF594"/>
      <c r="DXG594"/>
      <c r="DXH594"/>
      <c r="DXI594"/>
      <c r="DXJ594"/>
      <c r="DXK594"/>
      <c r="DXL594"/>
      <c r="DXM594"/>
      <c r="DXN594"/>
      <c r="DXO594"/>
      <c r="DXP594"/>
      <c r="DXQ594"/>
      <c r="DXR594"/>
      <c r="DXS594"/>
      <c r="DXT594"/>
      <c r="DXU594"/>
      <c r="DXV594"/>
      <c r="DXW594"/>
      <c r="DXX594"/>
      <c r="DXY594"/>
      <c r="DXZ594"/>
      <c r="DYA594"/>
      <c r="DYB594"/>
      <c r="DYC594"/>
      <c r="DYD594"/>
      <c r="DYE594"/>
      <c r="DYF594"/>
      <c r="DYG594"/>
      <c r="DYH594"/>
      <c r="DYI594"/>
      <c r="DYJ594"/>
      <c r="DYK594"/>
      <c r="DYL594"/>
      <c r="DYM594"/>
      <c r="DYN594"/>
      <c r="DYO594"/>
      <c r="DYP594"/>
      <c r="DYQ594"/>
      <c r="DYR594"/>
      <c r="DYS594"/>
      <c r="DYT594"/>
      <c r="DYU594"/>
      <c r="DYV594"/>
      <c r="DYW594"/>
      <c r="DYX594"/>
      <c r="DYY594"/>
      <c r="DYZ594"/>
      <c r="DZA594"/>
      <c r="DZB594"/>
      <c r="DZC594"/>
      <c r="DZD594"/>
      <c r="DZE594"/>
      <c r="DZF594"/>
      <c r="DZG594"/>
      <c r="DZH594"/>
      <c r="DZI594"/>
      <c r="DZJ594"/>
      <c r="DZK594"/>
      <c r="DZL594"/>
      <c r="DZM594"/>
      <c r="DZN594"/>
      <c r="DZO594"/>
      <c r="DZP594"/>
      <c r="DZQ594"/>
      <c r="DZR594"/>
      <c r="DZS594"/>
      <c r="DZT594"/>
      <c r="DZU594"/>
      <c r="DZV594"/>
      <c r="DZW594"/>
      <c r="DZX594"/>
      <c r="DZY594"/>
      <c r="DZZ594"/>
      <c r="EAA594"/>
      <c r="EAB594"/>
      <c r="EAC594"/>
      <c r="EAD594"/>
      <c r="EAE594"/>
      <c r="EAF594"/>
      <c r="EAG594"/>
      <c r="EAH594"/>
      <c r="EAI594"/>
      <c r="EAJ594"/>
      <c r="EAK594"/>
      <c r="EAL594"/>
      <c r="EAM594"/>
      <c r="EAN594"/>
      <c r="EAO594"/>
      <c r="EAP594"/>
      <c r="EAQ594"/>
      <c r="EAR594"/>
      <c r="EAS594"/>
      <c r="EAT594"/>
      <c r="EAU594"/>
      <c r="EAV594"/>
      <c r="EAW594"/>
      <c r="EAX594"/>
      <c r="EAY594"/>
      <c r="EAZ594"/>
      <c r="EBA594"/>
      <c r="EBB594"/>
      <c r="EBC594"/>
      <c r="EBD594"/>
      <c r="EBE594"/>
      <c r="EBF594"/>
      <c r="EBG594"/>
      <c r="EBH594"/>
      <c r="EBI594"/>
      <c r="EBJ594"/>
      <c r="EBK594"/>
      <c r="EBL594"/>
      <c r="EBM594"/>
      <c r="EBN594"/>
      <c r="EBO594"/>
      <c r="EBP594"/>
      <c r="EBQ594"/>
      <c r="EBR594"/>
      <c r="EBS594"/>
      <c r="EBT594"/>
      <c r="EBU594"/>
      <c r="EBV594"/>
      <c r="EBW594"/>
      <c r="EBX594"/>
      <c r="EBY594"/>
      <c r="EBZ594"/>
      <c r="ECA594"/>
      <c r="ECB594"/>
      <c r="ECC594"/>
      <c r="ECD594"/>
      <c r="ECE594"/>
      <c r="ECF594"/>
      <c r="ECG594"/>
      <c r="ECH594"/>
      <c r="ECI594"/>
      <c r="ECJ594"/>
      <c r="ECK594"/>
      <c r="ECL594"/>
      <c r="ECM594"/>
      <c r="ECN594"/>
      <c r="ECO594"/>
      <c r="ECP594"/>
      <c r="ECQ594"/>
      <c r="ECR594"/>
      <c r="ECS594"/>
      <c r="ECT594"/>
      <c r="ECU594"/>
      <c r="ECV594"/>
      <c r="ECW594"/>
      <c r="ECX594"/>
      <c r="ECY594"/>
      <c r="ECZ594"/>
      <c r="EDA594"/>
      <c r="EDB594"/>
      <c r="EDC594"/>
      <c r="EDD594"/>
      <c r="EDE594"/>
      <c r="EDF594"/>
      <c r="EDG594"/>
      <c r="EDH594"/>
      <c r="EDI594"/>
      <c r="EDJ594"/>
      <c r="EDK594"/>
      <c r="EDL594"/>
      <c r="EDM594"/>
      <c r="EDN594"/>
      <c r="EDO594"/>
      <c r="EDP594"/>
      <c r="EDQ594"/>
      <c r="EDR594"/>
      <c r="EDS594"/>
      <c r="EDT594"/>
      <c r="EDU594"/>
      <c r="EDV594"/>
      <c r="EDW594"/>
      <c r="EDX594"/>
      <c r="EDY594"/>
      <c r="EDZ594"/>
      <c r="EEA594"/>
      <c r="EEB594"/>
      <c r="EEC594"/>
      <c r="EED594"/>
      <c r="EEE594"/>
      <c r="EEF594"/>
      <c r="EEG594"/>
      <c r="EEH594"/>
      <c r="EEI594"/>
      <c r="EEJ594"/>
      <c r="EEK594"/>
      <c r="EEL594"/>
      <c r="EEM594"/>
      <c r="EEN594"/>
      <c r="EEO594"/>
      <c r="EEP594"/>
      <c r="EEQ594"/>
      <c r="EER594"/>
      <c r="EES594"/>
      <c r="EET594"/>
      <c r="EEU594"/>
      <c r="EEV594"/>
      <c r="EEW594"/>
      <c r="EEX594"/>
      <c r="EEY594"/>
      <c r="EEZ594"/>
      <c r="EFA594"/>
      <c r="EFB594"/>
      <c r="EFC594"/>
      <c r="EFD594"/>
      <c r="EFE594"/>
      <c r="EFF594"/>
      <c r="EFG594"/>
      <c r="EFH594"/>
      <c r="EFI594"/>
      <c r="EFJ594"/>
      <c r="EFK594"/>
      <c r="EFL594"/>
      <c r="EFM594"/>
      <c r="EFN594"/>
      <c r="EFO594"/>
      <c r="EFP594"/>
      <c r="EFQ594"/>
      <c r="EFR594"/>
      <c r="EFS594"/>
      <c r="EFT594"/>
      <c r="EFU594"/>
      <c r="EFV594"/>
      <c r="EFW594"/>
      <c r="EFX594"/>
      <c r="EFY594"/>
      <c r="EFZ594"/>
      <c r="EGA594"/>
      <c r="EGB594"/>
      <c r="EGC594"/>
      <c r="EGD594"/>
      <c r="EGE594"/>
      <c r="EGF594"/>
      <c r="EGG594"/>
      <c r="EGH594"/>
      <c r="EGI594"/>
      <c r="EGJ594"/>
      <c r="EGK594"/>
      <c r="EGL594"/>
      <c r="EGM594"/>
      <c r="EGN594"/>
      <c r="EGO594"/>
      <c r="EGP594"/>
      <c r="EGQ594"/>
      <c r="EGR594"/>
      <c r="EGS594"/>
      <c r="EGT594"/>
      <c r="EGU594"/>
      <c r="EGV594"/>
      <c r="EGW594"/>
      <c r="EGX594"/>
      <c r="EGY594"/>
      <c r="EGZ594"/>
      <c r="EHA594"/>
      <c r="EHB594"/>
      <c r="EHC594"/>
      <c r="EHD594"/>
      <c r="EHE594"/>
      <c r="EHF594"/>
      <c r="EHG594"/>
      <c r="EHH594"/>
      <c r="EHI594"/>
      <c r="EHJ594"/>
      <c r="EHK594"/>
      <c r="EHL594"/>
      <c r="EHM594"/>
      <c r="EHN594"/>
      <c r="EHO594"/>
      <c r="EHP594"/>
      <c r="EHQ594"/>
      <c r="EHR594"/>
      <c r="EHS594"/>
      <c r="EHT594"/>
      <c r="EHU594"/>
      <c r="EHV594"/>
      <c r="EHW594"/>
      <c r="EHX594"/>
      <c r="EHY594"/>
      <c r="EHZ594"/>
      <c r="EIA594"/>
      <c r="EIB594"/>
      <c r="EIC594"/>
      <c r="EID594"/>
      <c r="EIE594"/>
      <c r="EIF594"/>
      <c r="EIG594"/>
      <c r="EIH594"/>
      <c r="EII594"/>
      <c r="EIJ594"/>
      <c r="EIK594"/>
      <c r="EIL594"/>
      <c r="EIM594"/>
      <c r="EIN594"/>
      <c r="EIO594"/>
      <c r="EIP594"/>
      <c r="EIQ594"/>
      <c r="EIR594"/>
      <c r="EIS594"/>
      <c r="EIT594"/>
      <c r="EIU594"/>
      <c r="EIV594"/>
      <c r="EIW594"/>
      <c r="EIX594"/>
      <c r="EIY594"/>
      <c r="EIZ594"/>
      <c r="EJA594"/>
      <c r="EJB594"/>
      <c r="EJC594"/>
      <c r="EJD594"/>
      <c r="EJE594"/>
      <c r="EJF594"/>
      <c r="EJG594"/>
      <c r="EJH594"/>
      <c r="EJI594"/>
      <c r="EJJ594"/>
      <c r="EJK594"/>
      <c r="EJL594"/>
      <c r="EJM594"/>
      <c r="EJN594"/>
      <c r="EJO594"/>
      <c r="EJP594"/>
      <c r="EJQ594"/>
      <c r="EJR594"/>
      <c r="EJS594"/>
      <c r="EJT594"/>
      <c r="EJU594"/>
      <c r="EJV594"/>
      <c r="EJW594"/>
      <c r="EJX594"/>
      <c r="EJY594"/>
      <c r="EJZ594"/>
      <c r="EKA594"/>
      <c r="EKB594"/>
      <c r="EKC594"/>
      <c r="EKD594"/>
      <c r="EKE594"/>
      <c r="EKF594"/>
      <c r="EKG594"/>
      <c r="EKH594"/>
      <c r="EKI594"/>
      <c r="EKJ594"/>
      <c r="EKK594"/>
      <c r="EKL594"/>
      <c r="EKM594"/>
      <c r="EKN594"/>
      <c r="EKO594"/>
      <c r="EKP594"/>
      <c r="EKQ594"/>
      <c r="EKR594"/>
      <c r="EKS594"/>
      <c r="EKT594"/>
      <c r="EKU594"/>
      <c r="EKV594"/>
      <c r="EKW594"/>
      <c r="EKX594"/>
      <c r="EKY594"/>
      <c r="EKZ594"/>
      <c r="ELA594"/>
      <c r="ELB594"/>
      <c r="ELC594"/>
      <c r="ELD594"/>
      <c r="ELE594"/>
      <c r="ELF594"/>
      <c r="ELG594"/>
      <c r="ELH594"/>
      <c r="ELI594"/>
      <c r="ELJ594"/>
      <c r="ELK594"/>
      <c r="ELL594"/>
      <c r="ELM594"/>
      <c r="ELN594"/>
      <c r="ELO594"/>
      <c r="ELP594"/>
      <c r="ELQ594"/>
      <c r="ELR594"/>
      <c r="ELS594"/>
      <c r="ELT594"/>
      <c r="ELU594"/>
      <c r="ELV594"/>
      <c r="ELW594"/>
      <c r="ELX594"/>
      <c r="ELY594"/>
      <c r="ELZ594"/>
      <c r="EMA594"/>
      <c r="EMB594"/>
      <c r="EMC594"/>
      <c r="EMD594"/>
      <c r="EME594"/>
      <c r="EMF594"/>
      <c r="EMG594"/>
      <c r="EMH594"/>
      <c r="EMI594"/>
      <c r="EMJ594"/>
      <c r="EMK594"/>
      <c r="EML594"/>
      <c r="EMM594"/>
      <c r="EMN594"/>
      <c r="EMO594"/>
      <c r="EMP594"/>
      <c r="EMQ594"/>
      <c r="EMR594"/>
      <c r="EMS594"/>
      <c r="EMT594"/>
      <c r="EMU594"/>
      <c r="EMV594"/>
      <c r="EMW594"/>
      <c r="EMX594"/>
      <c r="EMY594"/>
      <c r="EMZ594"/>
      <c r="ENA594"/>
      <c r="ENB594"/>
      <c r="ENC594"/>
      <c r="END594"/>
      <c r="ENE594"/>
      <c r="ENF594"/>
      <c r="ENG594"/>
      <c r="ENH594"/>
      <c r="ENI594"/>
      <c r="ENJ594"/>
      <c r="ENK594"/>
      <c r="ENL594"/>
      <c r="ENM594"/>
      <c r="ENN594"/>
      <c r="ENO594"/>
      <c r="ENP594"/>
      <c r="ENQ594"/>
      <c r="ENR594"/>
      <c r="ENS594"/>
      <c r="ENT594"/>
      <c r="ENU594"/>
      <c r="ENV594"/>
      <c r="ENW594"/>
      <c r="ENX594"/>
      <c r="ENY594"/>
      <c r="ENZ594"/>
      <c r="EOA594"/>
      <c r="EOB594"/>
      <c r="EOC594"/>
      <c r="EOD594"/>
      <c r="EOE594"/>
      <c r="EOF594"/>
      <c r="EOG594"/>
      <c r="EOH594"/>
      <c r="EOI594"/>
      <c r="EOJ594"/>
      <c r="EOK594"/>
      <c r="EOL594"/>
      <c r="EOM594"/>
      <c r="EON594"/>
      <c r="EOO594"/>
      <c r="EOP594"/>
      <c r="EOQ594"/>
      <c r="EOR594"/>
      <c r="EOS594"/>
      <c r="EOT594"/>
      <c r="EOU594"/>
      <c r="EOV594"/>
      <c r="EOW594"/>
      <c r="EOX594"/>
      <c r="EOY594"/>
      <c r="EOZ594"/>
      <c r="EPA594"/>
      <c r="EPB594"/>
      <c r="EPC594"/>
      <c r="EPD594"/>
      <c r="EPE594"/>
      <c r="EPF594"/>
      <c r="EPG594"/>
      <c r="EPH594"/>
      <c r="EPI594"/>
      <c r="EPJ594"/>
      <c r="EPK594"/>
      <c r="EPL594"/>
      <c r="EPM594"/>
      <c r="EPN594"/>
      <c r="EPO594"/>
      <c r="EPP594"/>
      <c r="EPQ594"/>
      <c r="EPR594"/>
      <c r="EPS594"/>
      <c r="EPT594"/>
      <c r="EPU594"/>
      <c r="EPV594"/>
      <c r="EPW594"/>
      <c r="EPX594"/>
      <c r="EPY594"/>
      <c r="EPZ594"/>
      <c r="EQA594"/>
      <c r="EQB594"/>
      <c r="EQC594"/>
      <c r="EQD594"/>
      <c r="EQE594"/>
      <c r="EQF594"/>
      <c r="EQG594"/>
      <c r="EQH594"/>
      <c r="EQI594"/>
      <c r="EQJ594"/>
      <c r="EQK594"/>
      <c r="EQL594"/>
      <c r="EQM594"/>
      <c r="EQN594"/>
      <c r="EQO594"/>
      <c r="EQP594"/>
      <c r="EQQ594"/>
      <c r="EQR594"/>
      <c r="EQS594"/>
      <c r="EQT594"/>
      <c r="EQU594"/>
      <c r="EQV594"/>
      <c r="EQW594"/>
      <c r="EQX594"/>
      <c r="EQY594"/>
      <c r="EQZ594"/>
      <c r="ERA594"/>
      <c r="ERB594"/>
      <c r="ERC594"/>
      <c r="ERD594"/>
      <c r="ERE594"/>
      <c r="ERF594"/>
      <c r="ERG594"/>
      <c r="ERH594"/>
      <c r="ERI594"/>
      <c r="ERJ594"/>
      <c r="ERK594"/>
      <c r="ERL594"/>
      <c r="ERM594"/>
      <c r="ERN594"/>
      <c r="ERO594"/>
      <c r="ERP594"/>
      <c r="ERQ594"/>
      <c r="ERR594"/>
      <c r="ERS594"/>
      <c r="ERT594"/>
      <c r="ERU594"/>
      <c r="ERV594"/>
      <c r="ERW594"/>
      <c r="ERX594"/>
      <c r="ERY594"/>
      <c r="ERZ594"/>
      <c r="ESA594"/>
      <c r="ESB594"/>
      <c r="ESC594"/>
      <c r="ESD594"/>
      <c r="ESE594"/>
      <c r="ESF594"/>
      <c r="ESG594"/>
      <c r="ESH594"/>
      <c r="ESI594"/>
      <c r="ESJ594"/>
      <c r="ESK594"/>
      <c r="ESL594"/>
      <c r="ESM594"/>
      <c r="ESN594"/>
      <c r="ESO594"/>
      <c r="ESP594"/>
      <c r="ESQ594"/>
      <c r="ESR594"/>
      <c r="ESS594"/>
      <c r="EST594"/>
      <c r="ESU594"/>
      <c r="ESV594"/>
      <c r="ESW594"/>
      <c r="ESX594"/>
      <c r="ESY594"/>
      <c r="ESZ594"/>
      <c r="ETA594"/>
      <c r="ETB594"/>
      <c r="ETC594"/>
      <c r="ETD594"/>
      <c r="ETE594"/>
      <c r="ETF594"/>
      <c r="ETG594"/>
      <c r="ETH594"/>
      <c r="ETI594"/>
      <c r="ETJ594"/>
      <c r="ETK594"/>
      <c r="ETL594"/>
      <c r="ETM594"/>
      <c r="ETN594"/>
      <c r="ETO594"/>
      <c r="ETP594"/>
      <c r="ETQ594"/>
      <c r="ETR594"/>
      <c r="ETS594"/>
      <c r="ETT594"/>
      <c r="ETU594"/>
      <c r="ETV594"/>
      <c r="ETW594"/>
      <c r="ETX594"/>
      <c r="ETY594"/>
      <c r="ETZ594"/>
      <c r="EUA594"/>
      <c r="EUB594"/>
      <c r="EUC594"/>
      <c r="EUD594"/>
      <c r="EUE594"/>
      <c r="EUF594"/>
      <c r="EUG594"/>
      <c r="EUH594"/>
      <c r="EUI594"/>
      <c r="EUJ594"/>
      <c r="EUK594"/>
      <c r="EUL594"/>
      <c r="EUM594"/>
      <c r="EUN594"/>
      <c r="EUO594"/>
      <c r="EUP594"/>
      <c r="EUQ594"/>
      <c r="EUR594"/>
      <c r="EUS594"/>
      <c r="EUT594"/>
      <c r="EUU594"/>
      <c r="EUV594"/>
      <c r="EUW594"/>
      <c r="EUX594"/>
      <c r="EUY594"/>
      <c r="EUZ594"/>
      <c r="EVA594"/>
      <c r="EVB594"/>
      <c r="EVC594"/>
      <c r="EVD594"/>
      <c r="EVE594"/>
      <c r="EVF594"/>
      <c r="EVG594"/>
      <c r="EVH594"/>
      <c r="EVI594"/>
      <c r="EVJ594"/>
      <c r="EVK594"/>
      <c r="EVL594"/>
      <c r="EVM594"/>
      <c r="EVN594"/>
      <c r="EVO594"/>
      <c r="EVP594"/>
      <c r="EVQ594"/>
      <c r="EVR594"/>
      <c r="EVS594"/>
      <c r="EVT594"/>
      <c r="EVU594"/>
      <c r="EVV594"/>
      <c r="EVW594"/>
      <c r="EVX594"/>
      <c r="EVY594"/>
      <c r="EVZ594"/>
      <c r="EWA594"/>
      <c r="EWB594"/>
      <c r="EWC594"/>
      <c r="EWD594"/>
      <c r="EWE594"/>
      <c r="EWF594"/>
      <c r="EWG594"/>
      <c r="EWH594"/>
      <c r="EWI594"/>
      <c r="EWJ594"/>
      <c r="EWK594"/>
      <c r="EWL594"/>
      <c r="EWM594"/>
      <c r="EWN594"/>
      <c r="EWO594"/>
      <c r="EWP594"/>
      <c r="EWQ594"/>
      <c r="EWR594"/>
      <c r="EWS594"/>
      <c r="EWT594"/>
      <c r="EWU594"/>
      <c r="EWV594"/>
      <c r="EWW594"/>
      <c r="EWX594"/>
      <c r="EWY594"/>
      <c r="EWZ594"/>
      <c r="EXA594"/>
      <c r="EXB594"/>
      <c r="EXC594"/>
      <c r="EXD594"/>
      <c r="EXE594"/>
      <c r="EXF594"/>
      <c r="EXG594"/>
      <c r="EXH594"/>
      <c r="EXI594"/>
      <c r="EXJ594"/>
      <c r="EXK594"/>
      <c r="EXL594"/>
      <c r="EXM594"/>
      <c r="EXN594"/>
      <c r="EXO594"/>
      <c r="EXP594"/>
      <c r="EXQ594"/>
      <c r="EXR594"/>
      <c r="EXS594"/>
      <c r="EXT594"/>
      <c r="EXU594"/>
      <c r="EXV594"/>
      <c r="EXW594"/>
      <c r="EXX594"/>
      <c r="EXY594"/>
      <c r="EXZ594"/>
      <c r="EYA594"/>
      <c r="EYB594"/>
      <c r="EYC594"/>
      <c r="EYD594"/>
      <c r="EYE594"/>
      <c r="EYF594"/>
      <c r="EYG594"/>
      <c r="EYH594"/>
      <c r="EYI594"/>
      <c r="EYJ594"/>
      <c r="EYK594"/>
      <c r="EYL594"/>
      <c r="EYM594"/>
      <c r="EYN594"/>
      <c r="EYO594"/>
      <c r="EYP594"/>
      <c r="EYQ594"/>
      <c r="EYR594"/>
      <c r="EYS594"/>
      <c r="EYT594"/>
      <c r="EYU594"/>
      <c r="EYV594"/>
      <c r="EYW594"/>
      <c r="EYX594"/>
      <c r="EYY594"/>
      <c r="EYZ594"/>
      <c r="EZA594"/>
      <c r="EZB594"/>
      <c r="EZC594"/>
      <c r="EZD594"/>
      <c r="EZE594"/>
      <c r="EZF594"/>
      <c r="EZG594"/>
      <c r="EZH594"/>
      <c r="EZI594"/>
      <c r="EZJ594"/>
      <c r="EZK594"/>
      <c r="EZL594"/>
      <c r="EZM594"/>
      <c r="EZN594"/>
      <c r="EZO594"/>
      <c r="EZP594"/>
      <c r="EZQ594"/>
      <c r="EZR594"/>
      <c r="EZS594"/>
      <c r="EZT594"/>
      <c r="EZU594"/>
      <c r="EZV594"/>
      <c r="EZW594"/>
      <c r="EZX594"/>
      <c r="EZY594"/>
      <c r="EZZ594"/>
      <c r="FAA594"/>
      <c r="FAB594"/>
      <c r="FAC594"/>
      <c r="FAD594"/>
      <c r="FAE594"/>
      <c r="FAF594"/>
      <c r="FAG594"/>
      <c r="FAH594"/>
      <c r="FAI594"/>
      <c r="FAJ594"/>
      <c r="FAK594"/>
      <c r="FAL594"/>
      <c r="FAM594"/>
      <c r="FAN594"/>
      <c r="FAO594"/>
      <c r="FAP594"/>
      <c r="FAQ594"/>
      <c r="FAR594"/>
      <c r="FAS594"/>
      <c r="FAT594"/>
      <c r="FAU594"/>
      <c r="FAV594"/>
      <c r="FAW594"/>
      <c r="FAX594"/>
      <c r="FAY594"/>
      <c r="FAZ594"/>
      <c r="FBA594"/>
      <c r="FBB594"/>
      <c r="FBC594"/>
      <c r="FBD594"/>
      <c r="FBE594"/>
      <c r="FBF594"/>
      <c r="FBG594"/>
      <c r="FBH594"/>
      <c r="FBI594"/>
      <c r="FBJ594"/>
      <c r="FBK594"/>
      <c r="FBL594"/>
      <c r="FBM594"/>
      <c r="FBN594"/>
      <c r="FBO594"/>
      <c r="FBP594"/>
      <c r="FBQ594"/>
      <c r="FBR594"/>
      <c r="FBS594"/>
      <c r="FBT594"/>
      <c r="FBU594"/>
      <c r="FBV594"/>
      <c r="FBW594"/>
      <c r="FBX594"/>
      <c r="FBY594"/>
      <c r="FBZ594"/>
      <c r="FCA594"/>
      <c r="FCB594"/>
      <c r="FCC594"/>
      <c r="FCD594"/>
      <c r="FCE594"/>
      <c r="FCF594"/>
      <c r="FCG594"/>
      <c r="FCH594"/>
      <c r="FCI594"/>
      <c r="FCJ594"/>
      <c r="FCK594"/>
      <c r="FCL594"/>
      <c r="FCM594"/>
      <c r="FCN594"/>
      <c r="FCO594"/>
      <c r="FCP594"/>
      <c r="FCQ594"/>
      <c r="FCR594"/>
      <c r="FCS594"/>
      <c r="FCT594"/>
      <c r="FCU594"/>
      <c r="FCV594"/>
      <c r="FCW594"/>
      <c r="FCX594"/>
      <c r="FCY594"/>
      <c r="FCZ594"/>
      <c r="FDA594"/>
      <c r="FDB594"/>
      <c r="FDC594"/>
      <c r="FDD594"/>
      <c r="FDE594"/>
      <c r="FDF594"/>
      <c r="FDG594"/>
      <c r="FDH594"/>
      <c r="FDI594"/>
      <c r="FDJ594"/>
      <c r="FDK594"/>
      <c r="FDL594"/>
      <c r="FDM594"/>
      <c r="FDN594"/>
      <c r="FDO594"/>
      <c r="FDP594"/>
      <c r="FDQ594"/>
      <c r="FDR594"/>
      <c r="FDS594"/>
      <c r="FDT594"/>
      <c r="FDU594"/>
      <c r="FDV594"/>
      <c r="FDW594"/>
      <c r="FDX594"/>
      <c r="FDY594"/>
      <c r="FDZ594"/>
      <c r="FEA594"/>
      <c r="FEB594"/>
      <c r="FEC594"/>
      <c r="FED594"/>
      <c r="FEE594"/>
      <c r="FEF594"/>
      <c r="FEG594"/>
      <c r="FEH594"/>
      <c r="FEI594"/>
      <c r="FEJ594"/>
      <c r="FEK594"/>
      <c r="FEL594"/>
      <c r="FEM594"/>
      <c r="FEN594"/>
      <c r="FEO594"/>
      <c r="FEP594"/>
      <c r="FEQ594"/>
      <c r="FER594"/>
      <c r="FES594"/>
      <c r="FET594"/>
      <c r="FEU594"/>
      <c r="FEV594"/>
      <c r="FEW594"/>
      <c r="FEX594"/>
      <c r="FEY594"/>
      <c r="FEZ594"/>
      <c r="FFA594"/>
      <c r="FFB594"/>
      <c r="FFC594"/>
      <c r="FFD594"/>
      <c r="FFE594"/>
      <c r="FFF594"/>
      <c r="FFG594"/>
      <c r="FFH594"/>
      <c r="FFI594"/>
      <c r="FFJ594"/>
      <c r="FFK594"/>
      <c r="FFL594"/>
      <c r="FFM594"/>
      <c r="FFN594"/>
      <c r="FFO594"/>
      <c r="FFP594"/>
      <c r="FFQ594"/>
      <c r="FFR594"/>
      <c r="FFS594"/>
      <c r="FFT594"/>
      <c r="FFU594"/>
      <c r="FFV594"/>
      <c r="FFW594"/>
      <c r="FFX594"/>
      <c r="FFY594"/>
      <c r="FFZ594"/>
      <c r="FGA594"/>
      <c r="FGB594"/>
      <c r="FGC594"/>
      <c r="FGD594"/>
      <c r="FGE594"/>
      <c r="FGF594"/>
      <c r="FGG594"/>
      <c r="FGH594"/>
      <c r="FGI594"/>
      <c r="FGJ594"/>
      <c r="FGK594"/>
      <c r="FGL594"/>
      <c r="FGM594"/>
      <c r="FGN594"/>
      <c r="FGO594"/>
      <c r="FGP594"/>
      <c r="FGQ594"/>
      <c r="FGR594"/>
      <c r="FGS594"/>
      <c r="FGT594"/>
      <c r="FGU594"/>
      <c r="FGV594"/>
      <c r="FGW594"/>
      <c r="FGX594"/>
      <c r="FGY594"/>
      <c r="FGZ594"/>
      <c r="FHA594"/>
      <c r="FHB594"/>
      <c r="FHC594"/>
      <c r="FHD594"/>
      <c r="FHE594"/>
      <c r="FHF594"/>
      <c r="FHG594"/>
      <c r="FHH594"/>
      <c r="FHI594"/>
      <c r="FHJ594"/>
      <c r="FHK594"/>
      <c r="FHL594"/>
      <c r="FHM594"/>
      <c r="FHN594"/>
      <c r="FHO594"/>
      <c r="FHP594"/>
      <c r="FHQ594"/>
      <c r="FHR594"/>
      <c r="FHS594"/>
      <c r="FHT594"/>
      <c r="FHU594"/>
      <c r="FHV594"/>
      <c r="FHW594"/>
      <c r="FHX594"/>
      <c r="FHY594"/>
      <c r="FHZ594"/>
      <c r="FIA594"/>
      <c r="FIB594"/>
      <c r="FIC594"/>
      <c r="FID594"/>
      <c r="FIE594"/>
      <c r="FIF594"/>
      <c r="FIG594"/>
      <c r="FIH594"/>
      <c r="FII594"/>
      <c r="FIJ594"/>
      <c r="FIK594"/>
      <c r="FIL594"/>
      <c r="FIM594"/>
      <c r="FIN594"/>
      <c r="FIO594"/>
      <c r="FIP594"/>
      <c r="FIQ594"/>
      <c r="FIR594"/>
      <c r="FIS594"/>
      <c r="FIT594"/>
      <c r="FIU594"/>
      <c r="FIV594"/>
      <c r="FIW594"/>
      <c r="FIX594"/>
      <c r="FIY594"/>
      <c r="FIZ594"/>
      <c r="FJA594"/>
      <c r="FJB594"/>
      <c r="FJC594"/>
      <c r="FJD594"/>
      <c r="FJE594"/>
      <c r="FJF594"/>
      <c r="FJG594"/>
      <c r="FJH594"/>
      <c r="FJI594"/>
      <c r="FJJ594"/>
      <c r="FJK594"/>
      <c r="FJL594"/>
      <c r="FJM594"/>
      <c r="FJN594"/>
      <c r="FJO594"/>
      <c r="FJP594"/>
      <c r="FJQ594"/>
      <c r="FJR594"/>
      <c r="FJS594"/>
      <c r="FJT594"/>
      <c r="FJU594"/>
      <c r="FJV594"/>
      <c r="FJW594"/>
      <c r="FJX594"/>
      <c r="FJY594"/>
      <c r="FJZ594"/>
      <c r="FKA594"/>
      <c r="FKB594"/>
      <c r="FKC594"/>
      <c r="FKD594"/>
      <c r="FKE594"/>
      <c r="FKF594"/>
      <c r="FKG594"/>
      <c r="FKH594"/>
      <c r="FKI594"/>
      <c r="FKJ594"/>
      <c r="FKK594"/>
      <c r="FKL594"/>
      <c r="FKM594"/>
      <c r="FKN594"/>
      <c r="FKO594"/>
      <c r="FKP594"/>
      <c r="FKQ594"/>
      <c r="FKR594"/>
      <c r="FKS594"/>
      <c r="FKT594"/>
      <c r="FKU594"/>
      <c r="FKV594"/>
      <c r="FKW594"/>
      <c r="FKX594"/>
      <c r="FKY594"/>
      <c r="FKZ594"/>
      <c r="FLA594"/>
      <c r="FLB594"/>
      <c r="FLC594"/>
      <c r="FLD594"/>
      <c r="FLE594"/>
      <c r="FLF594"/>
      <c r="FLG594"/>
      <c r="FLH594"/>
      <c r="FLI594"/>
      <c r="FLJ594"/>
      <c r="FLK594"/>
      <c r="FLL594"/>
      <c r="FLM594"/>
      <c r="FLN594"/>
      <c r="FLO594"/>
      <c r="FLP594"/>
      <c r="FLQ594"/>
      <c r="FLR594"/>
      <c r="FLS594"/>
      <c r="FLT594"/>
      <c r="FLU594"/>
      <c r="FLV594"/>
      <c r="FLW594"/>
      <c r="FLX594"/>
      <c r="FLY594"/>
      <c r="FLZ594"/>
      <c r="FMA594"/>
      <c r="FMB594"/>
      <c r="FMC594"/>
      <c r="FMD594"/>
      <c r="FME594"/>
      <c r="FMF594"/>
      <c r="FMG594"/>
      <c r="FMH594"/>
      <c r="FMI594"/>
      <c r="FMJ594"/>
      <c r="FMK594"/>
      <c r="FML594"/>
      <c r="FMM594"/>
      <c r="FMN594"/>
      <c r="FMO594"/>
      <c r="FMP594"/>
      <c r="FMQ594"/>
      <c r="FMR594"/>
      <c r="FMS594"/>
      <c r="FMT594"/>
      <c r="FMU594"/>
      <c r="FMV594"/>
      <c r="FMW594"/>
      <c r="FMX594"/>
      <c r="FMY594"/>
      <c r="FMZ594"/>
      <c r="FNA594"/>
      <c r="FNB594"/>
      <c r="FNC594"/>
      <c r="FND594"/>
      <c r="FNE594"/>
      <c r="FNF594"/>
      <c r="FNG594"/>
      <c r="FNH594"/>
      <c r="FNI594"/>
      <c r="FNJ594"/>
      <c r="FNK594"/>
      <c r="FNL594"/>
      <c r="FNM594"/>
      <c r="FNN594"/>
      <c r="FNO594"/>
      <c r="FNP594"/>
      <c r="FNQ594"/>
      <c r="FNR594"/>
      <c r="FNS594"/>
      <c r="FNT594"/>
      <c r="FNU594"/>
      <c r="FNV594"/>
      <c r="FNW594"/>
      <c r="FNX594"/>
      <c r="FNY594"/>
      <c r="FNZ594"/>
      <c r="FOA594"/>
      <c r="FOB594"/>
      <c r="FOC594"/>
      <c r="FOD594"/>
      <c r="FOE594"/>
      <c r="FOF594"/>
      <c r="FOG594"/>
      <c r="FOH594"/>
      <c r="FOI594"/>
      <c r="FOJ594"/>
      <c r="FOK594"/>
      <c r="FOL594"/>
      <c r="FOM594"/>
      <c r="FON594"/>
      <c r="FOO594"/>
      <c r="FOP594"/>
      <c r="FOQ594"/>
      <c r="FOR594"/>
      <c r="FOS594"/>
      <c r="FOT594"/>
      <c r="FOU594"/>
      <c r="FOV594"/>
      <c r="FOW594"/>
      <c r="FOX594"/>
      <c r="FOY594"/>
      <c r="FOZ594"/>
      <c r="FPA594"/>
      <c r="FPB594"/>
      <c r="FPC594"/>
      <c r="FPD594"/>
      <c r="FPE594"/>
      <c r="FPF594"/>
      <c r="FPG594"/>
      <c r="FPH594"/>
      <c r="FPI594"/>
      <c r="FPJ594"/>
      <c r="FPK594"/>
      <c r="FPL594"/>
      <c r="FPM594"/>
      <c r="FPN594"/>
      <c r="FPO594"/>
      <c r="FPP594"/>
      <c r="FPQ594"/>
      <c r="FPR594"/>
      <c r="FPS594"/>
      <c r="FPT594"/>
      <c r="FPU594"/>
      <c r="FPV594"/>
      <c r="FPW594"/>
      <c r="FPX594"/>
      <c r="FPY594"/>
      <c r="FPZ594"/>
      <c r="FQA594"/>
      <c r="FQB594"/>
      <c r="FQC594"/>
      <c r="FQD594"/>
      <c r="FQE594"/>
      <c r="FQF594"/>
      <c r="FQG594"/>
      <c r="FQH594"/>
      <c r="FQI594"/>
      <c r="FQJ594"/>
      <c r="FQK594"/>
      <c r="FQL594"/>
      <c r="FQM594"/>
      <c r="FQN594"/>
      <c r="FQO594"/>
      <c r="FQP594"/>
      <c r="FQQ594"/>
      <c r="FQR594"/>
      <c r="FQS594"/>
      <c r="FQT594"/>
      <c r="FQU594"/>
      <c r="FQV594"/>
      <c r="FQW594"/>
      <c r="FQX594"/>
      <c r="FQY594"/>
      <c r="FQZ594"/>
      <c r="FRA594"/>
      <c r="FRB594"/>
      <c r="FRC594"/>
      <c r="FRD594"/>
      <c r="FRE594"/>
      <c r="FRF594"/>
      <c r="FRG594"/>
      <c r="FRH594"/>
      <c r="FRI594"/>
      <c r="FRJ594"/>
      <c r="FRK594"/>
      <c r="FRL594"/>
      <c r="FRM594"/>
      <c r="FRN594"/>
      <c r="FRO594"/>
      <c r="FRP594"/>
      <c r="FRQ594"/>
      <c r="FRR594"/>
      <c r="FRS594"/>
      <c r="FRT594"/>
      <c r="FRU594"/>
      <c r="FRV594"/>
      <c r="FRW594"/>
      <c r="FRX594"/>
      <c r="FRY594"/>
      <c r="FRZ594"/>
      <c r="FSA594"/>
      <c r="FSB594"/>
      <c r="FSC594"/>
      <c r="FSD594"/>
      <c r="FSE594"/>
      <c r="FSF594"/>
      <c r="FSG594"/>
      <c r="FSH594"/>
      <c r="FSI594"/>
      <c r="FSJ594"/>
      <c r="FSK594"/>
      <c r="FSL594"/>
      <c r="FSM594"/>
      <c r="FSN594"/>
      <c r="FSO594"/>
      <c r="FSP594"/>
      <c r="FSQ594"/>
      <c r="FSR594"/>
      <c r="FSS594"/>
      <c r="FST594"/>
      <c r="FSU594"/>
      <c r="FSV594"/>
      <c r="FSW594"/>
      <c r="FSX594"/>
      <c r="FSY594"/>
      <c r="FSZ594"/>
      <c r="FTA594"/>
      <c r="FTB594"/>
      <c r="FTC594"/>
      <c r="FTD594"/>
      <c r="FTE594"/>
      <c r="FTF594"/>
      <c r="FTG594"/>
      <c r="FTH594"/>
      <c r="FTI594"/>
      <c r="FTJ594"/>
      <c r="FTK594"/>
      <c r="FTL594"/>
      <c r="FTM594"/>
      <c r="FTN594"/>
      <c r="FTO594"/>
      <c r="FTP594"/>
      <c r="FTQ594"/>
      <c r="FTR594"/>
      <c r="FTS594"/>
      <c r="FTT594"/>
      <c r="FTU594"/>
      <c r="FTV594"/>
      <c r="FTW594"/>
      <c r="FTX594"/>
      <c r="FTY594"/>
      <c r="FTZ594"/>
      <c r="FUA594"/>
      <c r="FUB594"/>
      <c r="FUC594"/>
      <c r="FUD594"/>
      <c r="FUE594"/>
      <c r="FUF594"/>
      <c r="FUG594"/>
      <c r="FUH594"/>
      <c r="FUI594"/>
      <c r="FUJ594"/>
      <c r="FUK594"/>
      <c r="FUL594"/>
      <c r="FUM594"/>
      <c r="FUN594"/>
      <c r="FUO594"/>
      <c r="FUP594"/>
      <c r="FUQ594"/>
      <c r="FUR594"/>
      <c r="FUS594"/>
      <c r="FUT594"/>
      <c r="FUU594"/>
      <c r="FUV594"/>
      <c r="FUW594"/>
      <c r="FUX594"/>
      <c r="FUY594"/>
      <c r="FUZ594"/>
      <c r="FVA594"/>
      <c r="FVB594"/>
      <c r="FVC594"/>
      <c r="FVD594"/>
      <c r="FVE594"/>
      <c r="FVF594"/>
      <c r="FVG594"/>
      <c r="FVH594"/>
      <c r="FVI594"/>
      <c r="FVJ594"/>
      <c r="FVK594"/>
      <c r="FVL594"/>
      <c r="FVM594"/>
      <c r="FVN594"/>
      <c r="FVO594"/>
      <c r="FVP594"/>
      <c r="FVQ594"/>
      <c r="FVR594"/>
      <c r="FVS594"/>
      <c r="FVT594"/>
      <c r="FVU594"/>
      <c r="FVV594"/>
      <c r="FVW594"/>
      <c r="FVX594"/>
      <c r="FVY594"/>
      <c r="FVZ594"/>
      <c r="FWA594"/>
      <c r="FWB594"/>
      <c r="FWC594"/>
      <c r="FWD594"/>
      <c r="FWE594"/>
      <c r="FWF594"/>
      <c r="FWG594"/>
      <c r="FWH594"/>
      <c r="FWI594"/>
      <c r="FWJ594"/>
      <c r="FWK594"/>
      <c r="FWL594"/>
      <c r="FWM594"/>
      <c r="FWN594"/>
      <c r="FWO594"/>
      <c r="FWP594"/>
      <c r="FWQ594"/>
      <c r="FWR594"/>
      <c r="FWS594"/>
      <c r="FWT594"/>
      <c r="FWU594"/>
      <c r="FWV594"/>
      <c r="FWW594"/>
      <c r="FWX594"/>
      <c r="FWY594"/>
      <c r="FWZ594"/>
      <c r="FXA594"/>
      <c r="FXB594"/>
      <c r="FXC594"/>
      <c r="FXD594"/>
      <c r="FXE594"/>
      <c r="FXF594"/>
      <c r="FXG594"/>
      <c r="FXH594"/>
      <c r="FXI594"/>
      <c r="FXJ594"/>
      <c r="FXK594"/>
      <c r="FXL594"/>
      <c r="FXM594"/>
      <c r="FXN594"/>
      <c r="FXO594"/>
      <c r="FXP594"/>
      <c r="FXQ594"/>
      <c r="FXR594"/>
      <c r="FXS594"/>
      <c r="FXT594"/>
      <c r="FXU594"/>
      <c r="FXV594"/>
      <c r="FXW594"/>
      <c r="FXX594"/>
      <c r="FXY594"/>
      <c r="FXZ594"/>
      <c r="FYA594"/>
      <c r="FYB594"/>
      <c r="FYC594"/>
      <c r="FYD594"/>
      <c r="FYE594"/>
      <c r="FYF594"/>
      <c r="FYG594"/>
      <c r="FYH594"/>
      <c r="FYI594"/>
      <c r="FYJ594"/>
      <c r="FYK594"/>
      <c r="FYL594"/>
      <c r="FYM594"/>
      <c r="FYN594"/>
      <c r="FYO594"/>
      <c r="FYP594"/>
      <c r="FYQ594"/>
      <c r="FYR594"/>
      <c r="FYS594"/>
      <c r="FYT594"/>
      <c r="FYU594"/>
      <c r="FYV594"/>
      <c r="FYW594"/>
      <c r="FYX594"/>
      <c r="FYY594"/>
      <c r="FYZ594"/>
      <c r="FZA594"/>
      <c r="FZB594"/>
      <c r="FZC594"/>
      <c r="FZD594"/>
      <c r="FZE594"/>
      <c r="FZF594"/>
      <c r="FZG594"/>
      <c r="FZH594"/>
      <c r="FZI594"/>
      <c r="FZJ594"/>
      <c r="FZK594"/>
      <c r="FZL594"/>
      <c r="FZM594"/>
      <c r="FZN594"/>
      <c r="FZO594"/>
      <c r="FZP594"/>
      <c r="FZQ594"/>
      <c r="FZR594"/>
      <c r="FZS594"/>
      <c r="FZT594"/>
      <c r="FZU594"/>
      <c r="FZV594"/>
      <c r="FZW594"/>
      <c r="FZX594"/>
      <c r="FZY594"/>
      <c r="FZZ594"/>
      <c r="GAA594"/>
      <c r="GAB594"/>
      <c r="GAC594"/>
      <c r="GAD594"/>
      <c r="GAE594"/>
      <c r="GAF594"/>
      <c r="GAG594"/>
      <c r="GAH594"/>
      <c r="GAI594"/>
      <c r="GAJ594"/>
      <c r="GAK594"/>
      <c r="GAL594"/>
      <c r="GAM594"/>
      <c r="GAN594"/>
      <c r="GAO594"/>
      <c r="GAP594"/>
      <c r="GAQ594"/>
      <c r="GAR594"/>
      <c r="GAS594"/>
      <c r="GAT594"/>
      <c r="GAU594"/>
      <c r="GAV594"/>
      <c r="GAW594"/>
      <c r="GAX594"/>
      <c r="GAY594"/>
      <c r="GAZ594"/>
      <c r="GBA594"/>
      <c r="GBB594"/>
      <c r="GBC594"/>
      <c r="GBD594"/>
      <c r="GBE594"/>
      <c r="GBF594"/>
      <c r="GBG594"/>
      <c r="GBH594"/>
      <c r="GBI594"/>
      <c r="GBJ594"/>
      <c r="GBK594"/>
      <c r="GBL594"/>
      <c r="GBM594"/>
      <c r="GBN594"/>
      <c r="GBO594"/>
      <c r="GBP594"/>
      <c r="GBQ594"/>
      <c r="GBR594"/>
      <c r="GBS594"/>
      <c r="GBT594"/>
      <c r="GBU594"/>
      <c r="GBV594"/>
      <c r="GBW594"/>
      <c r="GBX594"/>
      <c r="GBY594"/>
      <c r="GBZ594"/>
      <c r="GCA594"/>
      <c r="GCB594"/>
      <c r="GCC594"/>
      <c r="GCD594"/>
      <c r="GCE594"/>
      <c r="GCF594"/>
      <c r="GCG594"/>
      <c r="GCH594"/>
      <c r="GCI594"/>
      <c r="GCJ594"/>
      <c r="GCK594"/>
      <c r="GCL594"/>
      <c r="GCM594"/>
      <c r="GCN594"/>
      <c r="GCO594"/>
      <c r="GCP594"/>
      <c r="GCQ594"/>
      <c r="GCR594"/>
      <c r="GCS594"/>
      <c r="GCT594"/>
      <c r="GCU594"/>
      <c r="GCV594"/>
      <c r="GCW594"/>
      <c r="GCX594"/>
      <c r="GCY594"/>
      <c r="GCZ594"/>
      <c r="GDA594"/>
      <c r="GDB594"/>
      <c r="GDC594"/>
      <c r="GDD594"/>
      <c r="GDE594"/>
      <c r="GDF594"/>
      <c r="GDG594"/>
      <c r="GDH594"/>
      <c r="GDI594"/>
      <c r="GDJ594"/>
      <c r="GDK594"/>
      <c r="GDL594"/>
      <c r="GDM594"/>
      <c r="GDN594"/>
      <c r="GDO594"/>
      <c r="GDP594"/>
      <c r="GDQ594"/>
      <c r="GDR594"/>
      <c r="GDS594"/>
      <c r="GDT594"/>
      <c r="GDU594"/>
      <c r="GDV594"/>
      <c r="GDW594"/>
      <c r="GDX594"/>
      <c r="GDY594"/>
      <c r="GDZ594"/>
      <c r="GEA594"/>
      <c r="GEB594"/>
      <c r="GEC594"/>
      <c r="GED594"/>
      <c r="GEE594"/>
      <c r="GEF594"/>
      <c r="GEG594"/>
      <c r="GEH594"/>
      <c r="GEI594"/>
      <c r="GEJ594"/>
      <c r="GEK594"/>
      <c r="GEL594"/>
      <c r="GEM594"/>
      <c r="GEN594"/>
      <c r="GEO594"/>
      <c r="GEP594"/>
      <c r="GEQ594"/>
      <c r="GER594"/>
      <c r="GES594"/>
      <c r="GET594"/>
      <c r="GEU594"/>
      <c r="GEV594"/>
      <c r="GEW594"/>
      <c r="GEX594"/>
      <c r="GEY594"/>
      <c r="GEZ594"/>
      <c r="GFA594"/>
      <c r="GFB594"/>
      <c r="GFC594"/>
      <c r="GFD594"/>
      <c r="GFE594"/>
      <c r="GFF594"/>
      <c r="GFG594"/>
      <c r="GFH594"/>
      <c r="GFI594"/>
      <c r="GFJ594"/>
      <c r="GFK594"/>
      <c r="GFL594"/>
      <c r="GFM594"/>
      <c r="GFN594"/>
      <c r="GFO594"/>
      <c r="GFP594"/>
      <c r="GFQ594"/>
      <c r="GFR594"/>
      <c r="GFS594"/>
      <c r="GFT594"/>
      <c r="GFU594"/>
      <c r="GFV594"/>
      <c r="GFW594"/>
      <c r="GFX594"/>
      <c r="GFY594"/>
      <c r="GFZ594"/>
      <c r="GGA594"/>
      <c r="GGB594"/>
      <c r="GGC594"/>
      <c r="GGD594"/>
      <c r="GGE594"/>
      <c r="GGF594"/>
      <c r="GGG594"/>
      <c r="GGH594"/>
      <c r="GGI594"/>
      <c r="GGJ594"/>
      <c r="GGK594"/>
      <c r="GGL594"/>
      <c r="GGM594"/>
      <c r="GGN594"/>
      <c r="GGO594"/>
      <c r="GGP594"/>
      <c r="GGQ594"/>
      <c r="GGR594"/>
      <c r="GGS594"/>
      <c r="GGT594"/>
      <c r="GGU594"/>
      <c r="GGV594"/>
      <c r="GGW594"/>
      <c r="GGX594"/>
      <c r="GGY594"/>
      <c r="GGZ594"/>
      <c r="GHA594"/>
      <c r="GHB594"/>
      <c r="GHC594"/>
      <c r="GHD594"/>
      <c r="GHE594"/>
      <c r="GHF594"/>
      <c r="GHG594"/>
      <c r="GHH594"/>
      <c r="GHI594"/>
      <c r="GHJ594"/>
      <c r="GHK594"/>
      <c r="GHL594"/>
      <c r="GHM594"/>
      <c r="GHN594"/>
      <c r="GHO594"/>
      <c r="GHP594"/>
      <c r="GHQ594"/>
      <c r="GHR594"/>
      <c r="GHS594"/>
      <c r="GHT594"/>
      <c r="GHU594"/>
      <c r="GHV594"/>
      <c r="GHW594"/>
      <c r="GHX594"/>
      <c r="GHY594"/>
      <c r="GHZ594"/>
      <c r="GIA594"/>
      <c r="GIB594"/>
      <c r="GIC594"/>
      <c r="GID594"/>
      <c r="GIE594"/>
      <c r="GIF594"/>
      <c r="GIG594"/>
      <c r="GIH594"/>
      <c r="GII594"/>
      <c r="GIJ594"/>
      <c r="GIK594"/>
      <c r="GIL594"/>
      <c r="GIM594"/>
      <c r="GIN594"/>
      <c r="GIO594"/>
      <c r="GIP594"/>
      <c r="GIQ594"/>
      <c r="GIR594"/>
      <c r="GIS594"/>
      <c r="GIT594"/>
      <c r="GIU594"/>
      <c r="GIV594"/>
      <c r="GIW594"/>
      <c r="GIX594"/>
      <c r="GIY594"/>
      <c r="GIZ594"/>
      <c r="GJA594"/>
      <c r="GJB594"/>
      <c r="GJC594"/>
      <c r="GJD594"/>
      <c r="GJE594"/>
      <c r="GJF594"/>
      <c r="GJG594"/>
      <c r="GJH594"/>
      <c r="GJI594"/>
      <c r="GJJ594"/>
      <c r="GJK594"/>
      <c r="GJL594"/>
      <c r="GJM594"/>
      <c r="GJN594"/>
      <c r="GJO594"/>
      <c r="GJP594"/>
      <c r="GJQ594"/>
      <c r="GJR594"/>
      <c r="GJS594"/>
      <c r="GJT594"/>
      <c r="GJU594"/>
      <c r="GJV594"/>
      <c r="GJW594"/>
      <c r="GJX594"/>
      <c r="GJY594"/>
      <c r="GJZ594"/>
      <c r="GKA594"/>
      <c r="GKB594"/>
      <c r="GKC594"/>
      <c r="GKD594"/>
      <c r="GKE594"/>
      <c r="GKF594"/>
      <c r="GKG594"/>
      <c r="GKH594"/>
      <c r="GKI594"/>
      <c r="GKJ594"/>
      <c r="GKK594"/>
      <c r="GKL594"/>
      <c r="GKM594"/>
      <c r="GKN594"/>
      <c r="GKO594"/>
      <c r="GKP594"/>
      <c r="GKQ594"/>
      <c r="GKR594"/>
      <c r="GKS594"/>
      <c r="GKT594"/>
      <c r="GKU594"/>
      <c r="GKV594"/>
      <c r="GKW594"/>
      <c r="GKX594"/>
      <c r="GKY594"/>
      <c r="GKZ594"/>
      <c r="GLA594"/>
      <c r="GLB594"/>
      <c r="GLC594"/>
      <c r="GLD594"/>
      <c r="GLE594"/>
      <c r="GLF594"/>
      <c r="GLG594"/>
      <c r="GLH594"/>
      <c r="GLI594"/>
      <c r="GLJ594"/>
      <c r="GLK594"/>
      <c r="GLL594"/>
      <c r="GLM594"/>
      <c r="GLN594"/>
      <c r="GLO594"/>
      <c r="GLP594"/>
      <c r="GLQ594"/>
      <c r="GLR594"/>
      <c r="GLS594"/>
      <c r="GLT594"/>
      <c r="GLU594"/>
      <c r="GLV594"/>
      <c r="GLW594"/>
      <c r="GLX594"/>
      <c r="GLY594"/>
      <c r="GLZ594"/>
      <c r="GMA594"/>
      <c r="GMB594"/>
      <c r="GMC594"/>
      <c r="GMD594"/>
      <c r="GME594"/>
      <c r="GMF594"/>
      <c r="GMG594"/>
      <c r="GMH594"/>
      <c r="GMI594"/>
      <c r="GMJ594"/>
      <c r="GMK594"/>
      <c r="GML594"/>
      <c r="GMM594"/>
      <c r="GMN594"/>
      <c r="GMO594"/>
      <c r="GMP594"/>
      <c r="GMQ594"/>
      <c r="GMR594"/>
      <c r="GMS594"/>
      <c r="GMT594"/>
      <c r="GMU594"/>
      <c r="GMV594"/>
      <c r="GMW594"/>
      <c r="GMX594"/>
      <c r="GMY594"/>
      <c r="GMZ594"/>
      <c r="GNA594"/>
      <c r="GNB594"/>
      <c r="GNC594"/>
      <c r="GND594"/>
      <c r="GNE594"/>
      <c r="GNF594"/>
      <c r="GNG594"/>
      <c r="GNH594"/>
      <c r="GNI594"/>
      <c r="GNJ594"/>
      <c r="GNK594"/>
      <c r="GNL594"/>
      <c r="GNM594"/>
      <c r="GNN594"/>
      <c r="GNO594"/>
      <c r="GNP594"/>
      <c r="GNQ594"/>
      <c r="GNR594"/>
      <c r="GNS594"/>
      <c r="GNT594"/>
      <c r="GNU594"/>
      <c r="GNV594"/>
      <c r="GNW594"/>
      <c r="GNX594"/>
      <c r="GNY594"/>
      <c r="GNZ594"/>
      <c r="GOA594"/>
      <c r="GOB594"/>
      <c r="GOC594"/>
      <c r="GOD594"/>
      <c r="GOE594"/>
      <c r="GOF594"/>
      <c r="GOG594"/>
      <c r="GOH594"/>
      <c r="GOI594"/>
      <c r="GOJ594"/>
      <c r="GOK594"/>
      <c r="GOL594"/>
      <c r="GOM594"/>
      <c r="GON594"/>
      <c r="GOO594"/>
      <c r="GOP594"/>
      <c r="GOQ594"/>
      <c r="GOR594"/>
      <c r="GOS594"/>
      <c r="GOT594"/>
      <c r="GOU594"/>
      <c r="GOV594"/>
      <c r="GOW594"/>
      <c r="GOX594"/>
      <c r="GOY594"/>
      <c r="GOZ594"/>
      <c r="GPA594"/>
      <c r="GPB594"/>
      <c r="GPC594"/>
      <c r="GPD594"/>
      <c r="GPE594"/>
      <c r="GPF594"/>
      <c r="GPG594"/>
      <c r="GPH594"/>
      <c r="GPI594"/>
      <c r="GPJ594"/>
      <c r="GPK594"/>
      <c r="GPL594"/>
      <c r="GPM594"/>
      <c r="GPN594"/>
      <c r="GPO594"/>
      <c r="GPP594"/>
      <c r="GPQ594"/>
      <c r="GPR594"/>
      <c r="GPS594"/>
      <c r="GPT594"/>
      <c r="GPU594"/>
      <c r="GPV594"/>
      <c r="GPW594"/>
      <c r="GPX594"/>
      <c r="GPY594"/>
      <c r="GPZ594"/>
      <c r="GQA594"/>
      <c r="GQB594"/>
      <c r="GQC594"/>
      <c r="GQD594"/>
      <c r="GQE594"/>
      <c r="GQF594"/>
      <c r="GQG594"/>
      <c r="GQH594"/>
      <c r="GQI594"/>
      <c r="GQJ594"/>
      <c r="GQK594"/>
      <c r="GQL594"/>
      <c r="GQM594"/>
      <c r="GQN594"/>
      <c r="GQO594"/>
      <c r="GQP594"/>
      <c r="GQQ594"/>
      <c r="GQR594"/>
      <c r="GQS594"/>
      <c r="GQT594"/>
      <c r="GQU594"/>
      <c r="GQV594"/>
      <c r="GQW594"/>
      <c r="GQX594"/>
      <c r="GQY594"/>
      <c r="GQZ594"/>
      <c r="GRA594"/>
      <c r="GRB594"/>
      <c r="GRC594"/>
      <c r="GRD594"/>
      <c r="GRE594"/>
      <c r="GRF594"/>
      <c r="GRG594"/>
      <c r="GRH594"/>
      <c r="GRI594"/>
      <c r="GRJ594"/>
      <c r="GRK594"/>
      <c r="GRL594"/>
      <c r="GRM594"/>
      <c r="GRN594"/>
      <c r="GRO594"/>
      <c r="GRP594"/>
      <c r="GRQ594"/>
      <c r="GRR594"/>
      <c r="GRS594"/>
      <c r="GRT594"/>
      <c r="GRU594"/>
      <c r="GRV594"/>
      <c r="GRW594"/>
      <c r="GRX594"/>
      <c r="GRY594"/>
      <c r="GRZ594"/>
      <c r="GSA594"/>
      <c r="GSB594"/>
      <c r="GSC594"/>
      <c r="GSD594"/>
      <c r="GSE594"/>
      <c r="GSF594"/>
      <c r="GSG594"/>
      <c r="GSH594"/>
      <c r="GSI594"/>
      <c r="GSJ594"/>
      <c r="GSK594"/>
      <c r="GSL594"/>
      <c r="GSM594"/>
      <c r="GSN594"/>
      <c r="GSO594"/>
      <c r="GSP594"/>
      <c r="GSQ594"/>
      <c r="GSR594"/>
      <c r="GSS594"/>
      <c r="GST594"/>
      <c r="GSU594"/>
      <c r="GSV594"/>
      <c r="GSW594"/>
      <c r="GSX594"/>
      <c r="GSY594"/>
      <c r="GSZ594"/>
      <c r="GTA594"/>
      <c r="GTB594"/>
      <c r="GTC594"/>
      <c r="GTD594"/>
      <c r="GTE594"/>
      <c r="GTF594"/>
      <c r="GTG594"/>
      <c r="GTH594"/>
      <c r="GTI594"/>
      <c r="GTJ594"/>
      <c r="GTK594"/>
      <c r="GTL594"/>
      <c r="GTM594"/>
      <c r="GTN594"/>
      <c r="GTO594"/>
      <c r="GTP594"/>
      <c r="GTQ594"/>
      <c r="GTR594"/>
      <c r="GTS594"/>
      <c r="GTT594"/>
      <c r="GTU594"/>
      <c r="GTV594"/>
      <c r="GTW594"/>
      <c r="GTX594"/>
      <c r="GTY594"/>
      <c r="GTZ594"/>
      <c r="GUA594"/>
      <c r="GUB594"/>
      <c r="GUC594"/>
      <c r="GUD594"/>
      <c r="GUE594"/>
      <c r="GUF594"/>
      <c r="GUG594"/>
      <c r="GUH594"/>
      <c r="GUI594"/>
      <c r="GUJ594"/>
      <c r="GUK594"/>
      <c r="GUL594"/>
      <c r="GUM594"/>
      <c r="GUN594"/>
      <c r="GUO594"/>
      <c r="GUP594"/>
      <c r="GUQ594"/>
      <c r="GUR594"/>
      <c r="GUS594"/>
      <c r="GUT594"/>
      <c r="GUU594"/>
      <c r="GUV594"/>
      <c r="GUW594"/>
      <c r="GUX594"/>
      <c r="GUY594"/>
      <c r="GUZ594"/>
      <c r="GVA594"/>
      <c r="GVB594"/>
      <c r="GVC594"/>
      <c r="GVD594"/>
      <c r="GVE594"/>
      <c r="GVF594"/>
      <c r="GVG594"/>
      <c r="GVH594"/>
      <c r="GVI594"/>
      <c r="GVJ594"/>
      <c r="GVK594"/>
      <c r="GVL594"/>
      <c r="GVM594"/>
      <c r="GVN594"/>
      <c r="GVO594"/>
      <c r="GVP594"/>
      <c r="GVQ594"/>
      <c r="GVR594"/>
      <c r="GVS594"/>
      <c r="GVT594"/>
      <c r="GVU594"/>
      <c r="GVV594"/>
      <c r="GVW594"/>
      <c r="GVX594"/>
      <c r="GVY594"/>
      <c r="GVZ594"/>
      <c r="GWA594"/>
      <c r="GWB594"/>
      <c r="GWC594"/>
      <c r="GWD594"/>
      <c r="GWE594"/>
      <c r="GWF594"/>
      <c r="GWG594"/>
      <c r="GWH594"/>
      <c r="GWI594"/>
      <c r="GWJ594"/>
      <c r="GWK594"/>
      <c r="GWL594"/>
      <c r="GWM594"/>
      <c r="GWN594"/>
      <c r="GWO594"/>
      <c r="GWP594"/>
      <c r="GWQ594"/>
      <c r="GWR594"/>
      <c r="GWS594"/>
      <c r="GWT594"/>
      <c r="GWU594"/>
      <c r="GWV594"/>
      <c r="GWW594"/>
      <c r="GWX594"/>
      <c r="GWY594"/>
      <c r="GWZ594"/>
      <c r="GXA594"/>
      <c r="GXB594"/>
      <c r="GXC594"/>
      <c r="GXD594"/>
      <c r="GXE594"/>
      <c r="GXF594"/>
      <c r="GXG594"/>
      <c r="GXH594"/>
      <c r="GXI594"/>
      <c r="GXJ594"/>
      <c r="GXK594"/>
      <c r="GXL594"/>
      <c r="GXM594"/>
      <c r="GXN594"/>
      <c r="GXO594"/>
      <c r="GXP594"/>
      <c r="GXQ594"/>
      <c r="GXR594"/>
      <c r="GXS594"/>
      <c r="GXT594"/>
      <c r="GXU594"/>
      <c r="GXV594"/>
      <c r="GXW594"/>
      <c r="GXX594"/>
      <c r="GXY594"/>
      <c r="GXZ594"/>
      <c r="GYA594"/>
      <c r="GYB594"/>
      <c r="GYC594"/>
      <c r="GYD594"/>
      <c r="GYE594"/>
      <c r="GYF594"/>
      <c r="GYG594"/>
      <c r="GYH594"/>
      <c r="GYI594"/>
      <c r="GYJ594"/>
      <c r="GYK594"/>
      <c r="GYL594"/>
      <c r="GYM594"/>
      <c r="GYN594"/>
      <c r="GYO594"/>
      <c r="GYP594"/>
      <c r="GYQ594"/>
      <c r="GYR594"/>
      <c r="GYS594"/>
      <c r="GYT594"/>
      <c r="GYU594"/>
      <c r="GYV594"/>
      <c r="GYW594"/>
      <c r="GYX594"/>
      <c r="GYY594"/>
      <c r="GYZ594"/>
      <c r="GZA594"/>
      <c r="GZB594"/>
      <c r="GZC594"/>
      <c r="GZD594"/>
      <c r="GZE594"/>
      <c r="GZF594"/>
      <c r="GZG594"/>
      <c r="GZH594"/>
      <c r="GZI594"/>
      <c r="GZJ594"/>
      <c r="GZK594"/>
      <c r="GZL594"/>
      <c r="GZM594"/>
      <c r="GZN594"/>
      <c r="GZO594"/>
      <c r="GZP594"/>
      <c r="GZQ594"/>
      <c r="GZR594"/>
      <c r="GZS594"/>
      <c r="GZT594"/>
      <c r="GZU594"/>
      <c r="GZV594"/>
      <c r="GZW594"/>
      <c r="GZX594"/>
      <c r="GZY594"/>
      <c r="GZZ594"/>
      <c r="HAA594"/>
      <c r="HAB594"/>
      <c r="HAC594"/>
      <c r="HAD594"/>
      <c r="HAE594"/>
      <c r="HAF594"/>
      <c r="HAG594"/>
      <c r="HAH594"/>
      <c r="HAI594"/>
      <c r="HAJ594"/>
      <c r="HAK594"/>
      <c r="HAL594"/>
      <c r="HAM594"/>
      <c r="HAN594"/>
      <c r="HAO594"/>
      <c r="HAP594"/>
      <c r="HAQ594"/>
      <c r="HAR594"/>
      <c r="HAS594"/>
      <c r="HAT594"/>
      <c r="HAU594"/>
      <c r="HAV594"/>
      <c r="HAW594"/>
      <c r="HAX594"/>
      <c r="HAY594"/>
      <c r="HAZ594"/>
      <c r="HBA594"/>
      <c r="HBB594"/>
      <c r="HBC594"/>
      <c r="HBD594"/>
      <c r="HBE594"/>
      <c r="HBF594"/>
      <c r="HBG594"/>
      <c r="HBH594"/>
      <c r="HBI594"/>
      <c r="HBJ594"/>
      <c r="HBK594"/>
      <c r="HBL594"/>
      <c r="HBM594"/>
      <c r="HBN594"/>
      <c r="HBO594"/>
      <c r="HBP594"/>
      <c r="HBQ594"/>
      <c r="HBR594"/>
      <c r="HBS594"/>
      <c r="HBT594"/>
      <c r="HBU594"/>
      <c r="HBV594"/>
      <c r="HBW594"/>
      <c r="HBX594"/>
      <c r="HBY594"/>
      <c r="HBZ594"/>
      <c r="HCA594"/>
      <c r="HCB594"/>
      <c r="HCC594"/>
      <c r="HCD594"/>
      <c r="HCE594"/>
      <c r="HCF594"/>
      <c r="HCG594"/>
      <c r="HCH594"/>
      <c r="HCI594"/>
      <c r="HCJ594"/>
      <c r="HCK594"/>
      <c r="HCL594"/>
      <c r="HCM594"/>
      <c r="HCN594"/>
      <c r="HCO594"/>
      <c r="HCP594"/>
      <c r="HCQ594"/>
      <c r="HCR594"/>
      <c r="HCS594"/>
      <c r="HCT594"/>
      <c r="HCU594"/>
      <c r="HCV594"/>
      <c r="HCW594"/>
      <c r="HCX594"/>
      <c r="HCY594"/>
      <c r="HCZ594"/>
      <c r="HDA594"/>
      <c r="HDB594"/>
      <c r="HDC594"/>
      <c r="HDD594"/>
      <c r="HDE594"/>
      <c r="HDF594"/>
      <c r="HDG594"/>
      <c r="HDH594"/>
      <c r="HDI594"/>
      <c r="HDJ594"/>
      <c r="HDK594"/>
      <c r="HDL594"/>
      <c r="HDM594"/>
      <c r="HDN594"/>
      <c r="HDO594"/>
      <c r="HDP594"/>
      <c r="HDQ594"/>
      <c r="HDR594"/>
      <c r="HDS594"/>
      <c r="HDT594"/>
      <c r="HDU594"/>
      <c r="HDV594"/>
      <c r="HDW594"/>
      <c r="HDX594"/>
      <c r="HDY594"/>
      <c r="HDZ594"/>
      <c r="HEA594"/>
      <c r="HEB594"/>
      <c r="HEC594"/>
      <c r="HED594"/>
      <c r="HEE594"/>
      <c r="HEF594"/>
      <c r="HEG594"/>
      <c r="HEH594"/>
      <c r="HEI594"/>
      <c r="HEJ594"/>
      <c r="HEK594"/>
      <c r="HEL594"/>
      <c r="HEM594"/>
      <c r="HEN594"/>
      <c r="HEO594"/>
      <c r="HEP594"/>
      <c r="HEQ594"/>
      <c r="HER594"/>
      <c r="HES594"/>
      <c r="HET594"/>
      <c r="HEU594"/>
      <c r="HEV594"/>
      <c r="HEW594"/>
      <c r="HEX594"/>
      <c r="HEY594"/>
      <c r="HEZ594"/>
      <c r="HFA594"/>
      <c r="HFB594"/>
      <c r="HFC594"/>
      <c r="HFD594"/>
      <c r="HFE594"/>
      <c r="HFF594"/>
      <c r="HFG594"/>
      <c r="HFH594"/>
      <c r="HFI594"/>
      <c r="HFJ594"/>
      <c r="HFK594"/>
      <c r="HFL594"/>
      <c r="HFM594"/>
      <c r="HFN594"/>
      <c r="HFO594"/>
      <c r="HFP594"/>
      <c r="HFQ594"/>
      <c r="HFR594"/>
      <c r="HFS594"/>
      <c r="HFT594"/>
      <c r="HFU594"/>
      <c r="HFV594"/>
      <c r="HFW594"/>
      <c r="HFX594"/>
      <c r="HFY594"/>
      <c r="HFZ594"/>
      <c r="HGA594"/>
      <c r="HGB594"/>
      <c r="HGC594"/>
      <c r="HGD594"/>
      <c r="HGE594"/>
      <c r="HGF594"/>
      <c r="HGG594"/>
      <c r="HGH594"/>
      <c r="HGI594"/>
      <c r="HGJ594"/>
      <c r="HGK594"/>
      <c r="HGL594"/>
      <c r="HGM594"/>
      <c r="HGN594"/>
      <c r="HGO594"/>
      <c r="HGP594"/>
      <c r="HGQ594"/>
      <c r="HGR594"/>
      <c r="HGS594"/>
      <c r="HGT594"/>
      <c r="HGU594"/>
      <c r="HGV594"/>
      <c r="HGW594"/>
      <c r="HGX594"/>
      <c r="HGY594"/>
      <c r="HGZ594"/>
      <c r="HHA594"/>
      <c r="HHB594"/>
      <c r="HHC594"/>
      <c r="HHD594"/>
      <c r="HHE594"/>
      <c r="HHF594"/>
      <c r="HHG594"/>
      <c r="HHH594"/>
      <c r="HHI594"/>
      <c r="HHJ594"/>
      <c r="HHK594"/>
      <c r="HHL594"/>
      <c r="HHM594"/>
      <c r="HHN594"/>
      <c r="HHO594"/>
      <c r="HHP594"/>
      <c r="HHQ594"/>
      <c r="HHR594"/>
      <c r="HHS594"/>
      <c r="HHT594"/>
      <c r="HHU594"/>
      <c r="HHV594"/>
      <c r="HHW594"/>
      <c r="HHX594"/>
      <c r="HHY594"/>
      <c r="HHZ594"/>
      <c r="HIA594"/>
      <c r="HIB594"/>
      <c r="HIC594"/>
      <c r="HID594"/>
      <c r="HIE594"/>
      <c r="HIF594"/>
      <c r="HIG594"/>
      <c r="HIH594"/>
      <c r="HII594"/>
      <c r="HIJ594"/>
      <c r="HIK594"/>
      <c r="HIL594"/>
      <c r="HIM594"/>
      <c r="HIN594"/>
      <c r="HIO594"/>
      <c r="HIP594"/>
      <c r="HIQ594"/>
      <c r="HIR594"/>
      <c r="HIS594"/>
      <c r="HIT594"/>
      <c r="HIU594"/>
      <c r="HIV594"/>
      <c r="HIW594"/>
      <c r="HIX594"/>
      <c r="HIY594"/>
      <c r="HIZ594"/>
      <c r="HJA594"/>
      <c r="HJB594"/>
      <c r="HJC594"/>
      <c r="HJD594"/>
      <c r="HJE594"/>
      <c r="HJF594"/>
      <c r="HJG594"/>
      <c r="HJH594"/>
      <c r="HJI594"/>
      <c r="HJJ594"/>
      <c r="HJK594"/>
      <c r="HJL594"/>
      <c r="HJM594"/>
      <c r="HJN594"/>
      <c r="HJO594"/>
      <c r="HJP594"/>
      <c r="HJQ594"/>
      <c r="HJR594"/>
      <c r="HJS594"/>
      <c r="HJT594"/>
      <c r="HJU594"/>
      <c r="HJV594"/>
      <c r="HJW594"/>
      <c r="HJX594"/>
      <c r="HJY594"/>
      <c r="HJZ594"/>
      <c r="HKA594"/>
      <c r="HKB594"/>
      <c r="HKC594"/>
      <c r="HKD594"/>
      <c r="HKE594"/>
      <c r="HKF594"/>
      <c r="HKG594"/>
      <c r="HKH594"/>
      <c r="HKI594"/>
      <c r="HKJ594"/>
      <c r="HKK594"/>
      <c r="HKL594"/>
      <c r="HKM594"/>
      <c r="HKN594"/>
      <c r="HKO594"/>
      <c r="HKP594"/>
      <c r="HKQ594"/>
      <c r="HKR594"/>
      <c r="HKS594"/>
      <c r="HKT594"/>
      <c r="HKU594"/>
      <c r="HKV594"/>
      <c r="HKW594"/>
      <c r="HKX594"/>
      <c r="HKY594"/>
      <c r="HKZ594"/>
      <c r="HLA594"/>
      <c r="HLB594"/>
      <c r="HLC594"/>
      <c r="HLD594"/>
      <c r="HLE594"/>
      <c r="HLF594"/>
      <c r="HLG594"/>
      <c r="HLH594"/>
      <c r="HLI594"/>
      <c r="HLJ594"/>
      <c r="HLK594"/>
      <c r="HLL594"/>
      <c r="HLM594"/>
      <c r="HLN594"/>
      <c r="HLO594"/>
      <c r="HLP594"/>
      <c r="HLQ594"/>
      <c r="HLR594"/>
      <c r="HLS594"/>
      <c r="HLT594"/>
      <c r="HLU594"/>
      <c r="HLV594"/>
      <c r="HLW594"/>
      <c r="HLX594"/>
      <c r="HLY594"/>
      <c r="HLZ594"/>
      <c r="HMA594"/>
      <c r="HMB594"/>
      <c r="HMC594"/>
      <c r="HMD594"/>
      <c r="HME594"/>
      <c r="HMF594"/>
      <c r="HMG594"/>
      <c r="HMH594"/>
      <c r="HMI594"/>
      <c r="HMJ594"/>
      <c r="HMK594"/>
      <c r="HML594"/>
      <c r="HMM594"/>
      <c r="HMN594"/>
      <c r="HMO594"/>
      <c r="HMP594"/>
      <c r="HMQ594"/>
      <c r="HMR594"/>
      <c r="HMS594"/>
      <c r="HMT594"/>
      <c r="HMU594"/>
      <c r="HMV594"/>
      <c r="HMW594"/>
      <c r="HMX594"/>
      <c r="HMY594"/>
      <c r="HMZ594"/>
      <c r="HNA594"/>
      <c r="HNB594"/>
      <c r="HNC594"/>
      <c r="HND594"/>
      <c r="HNE594"/>
      <c r="HNF594"/>
      <c r="HNG594"/>
      <c r="HNH594"/>
      <c r="HNI594"/>
      <c r="HNJ594"/>
      <c r="HNK594"/>
      <c r="HNL594"/>
      <c r="HNM594"/>
      <c r="HNN594"/>
      <c r="HNO594"/>
      <c r="HNP594"/>
      <c r="HNQ594"/>
      <c r="HNR594"/>
      <c r="HNS594"/>
      <c r="HNT594"/>
      <c r="HNU594"/>
      <c r="HNV594"/>
      <c r="HNW594"/>
      <c r="HNX594"/>
      <c r="HNY594"/>
      <c r="HNZ594"/>
      <c r="HOA594"/>
      <c r="HOB594"/>
      <c r="HOC594"/>
      <c r="HOD594"/>
      <c r="HOE594"/>
      <c r="HOF594"/>
      <c r="HOG594"/>
      <c r="HOH594"/>
      <c r="HOI594"/>
      <c r="HOJ594"/>
      <c r="HOK594"/>
      <c r="HOL594"/>
      <c r="HOM594"/>
      <c r="HON594"/>
      <c r="HOO594"/>
      <c r="HOP594"/>
      <c r="HOQ594"/>
      <c r="HOR594"/>
      <c r="HOS594"/>
      <c r="HOT594"/>
      <c r="HOU594"/>
      <c r="HOV594"/>
      <c r="HOW594"/>
      <c r="HOX594"/>
      <c r="HOY594"/>
      <c r="HOZ594"/>
      <c r="HPA594"/>
      <c r="HPB594"/>
      <c r="HPC594"/>
      <c r="HPD594"/>
      <c r="HPE594"/>
      <c r="HPF594"/>
      <c r="HPG594"/>
      <c r="HPH594"/>
      <c r="HPI594"/>
      <c r="HPJ594"/>
      <c r="HPK594"/>
      <c r="HPL594"/>
      <c r="HPM594"/>
      <c r="HPN594"/>
      <c r="HPO594"/>
      <c r="HPP594"/>
      <c r="HPQ594"/>
      <c r="HPR594"/>
      <c r="HPS594"/>
      <c r="HPT594"/>
      <c r="HPU594"/>
      <c r="HPV594"/>
      <c r="HPW594"/>
      <c r="HPX594"/>
      <c r="HPY594"/>
      <c r="HPZ594"/>
      <c r="HQA594"/>
      <c r="HQB594"/>
      <c r="HQC594"/>
      <c r="HQD594"/>
      <c r="HQE594"/>
      <c r="HQF594"/>
      <c r="HQG594"/>
      <c r="HQH594"/>
      <c r="HQI594"/>
      <c r="HQJ594"/>
      <c r="HQK594"/>
      <c r="HQL594"/>
      <c r="HQM594"/>
      <c r="HQN594"/>
      <c r="HQO594"/>
      <c r="HQP594"/>
      <c r="HQQ594"/>
      <c r="HQR594"/>
      <c r="HQS594"/>
      <c r="HQT594"/>
      <c r="HQU594"/>
      <c r="HQV594"/>
      <c r="HQW594"/>
      <c r="HQX594"/>
      <c r="HQY594"/>
      <c r="HQZ594"/>
      <c r="HRA594"/>
      <c r="HRB594"/>
      <c r="HRC594"/>
      <c r="HRD594"/>
      <c r="HRE594"/>
      <c r="HRF594"/>
      <c r="HRG594"/>
      <c r="HRH594"/>
      <c r="HRI594"/>
      <c r="HRJ594"/>
      <c r="HRK594"/>
      <c r="HRL594"/>
      <c r="HRM594"/>
      <c r="HRN594"/>
      <c r="HRO594"/>
      <c r="HRP594"/>
      <c r="HRQ594"/>
      <c r="HRR594"/>
      <c r="HRS594"/>
      <c r="HRT594"/>
      <c r="HRU594"/>
      <c r="HRV594"/>
      <c r="HRW594"/>
      <c r="HRX594"/>
      <c r="HRY594"/>
      <c r="HRZ594"/>
      <c r="HSA594"/>
      <c r="HSB594"/>
      <c r="HSC594"/>
      <c r="HSD594"/>
      <c r="HSE594"/>
      <c r="HSF594"/>
      <c r="HSG594"/>
      <c r="HSH594"/>
      <c r="HSI594"/>
      <c r="HSJ594"/>
      <c r="HSK594"/>
      <c r="HSL594"/>
      <c r="HSM594"/>
      <c r="HSN594"/>
      <c r="HSO594"/>
      <c r="HSP594"/>
      <c r="HSQ594"/>
      <c r="HSR594"/>
      <c r="HSS594"/>
      <c r="HST594"/>
      <c r="HSU594"/>
      <c r="HSV594"/>
      <c r="HSW594"/>
      <c r="HSX594"/>
      <c r="HSY594"/>
      <c r="HSZ594"/>
      <c r="HTA594"/>
      <c r="HTB594"/>
      <c r="HTC594"/>
      <c r="HTD594"/>
      <c r="HTE594"/>
      <c r="HTF594"/>
      <c r="HTG594"/>
      <c r="HTH594"/>
      <c r="HTI594"/>
      <c r="HTJ594"/>
      <c r="HTK594"/>
      <c r="HTL594"/>
      <c r="HTM594"/>
      <c r="HTN594"/>
      <c r="HTO594"/>
      <c r="HTP594"/>
      <c r="HTQ594"/>
      <c r="HTR594"/>
      <c r="HTS594"/>
      <c r="HTT594"/>
      <c r="HTU594"/>
      <c r="HTV594"/>
      <c r="HTW594"/>
      <c r="HTX594"/>
      <c r="HTY594"/>
      <c r="HTZ594"/>
      <c r="HUA594"/>
      <c r="HUB594"/>
      <c r="HUC594"/>
      <c r="HUD594"/>
      <c r="HUE594"/>
      <c r="HUF594"/>
      <c r="HUG594"/>
      <c r="HUH594"/>
      <c r="HUI594"/>
      <c r="HUJ594"/>
      <c r="HUK594"/>
      <c r="HUL594"/>
      <c r="HUM594"/>
      <c r="HUN594"/>
      <c r="HUO594"/>
      <c r="HUP594"/>
      <c r="HUQ594"/>
      <c r="HUR594"/>
      <c r="HUS594"/>
      <c r="HUT594"/>
      <c r="HUU594"/>
      <c r="HUV594"/>
      <c r="HUW594"/>
      <c r="HUX594"/>
      <c r="HUY594"/>
      <c r="HUZ594"/>
      <c r="HVA594"/>
      <c r="HVB594"/>
      <c r="HVC594"/>
      <c r="HVD594"/>
      <c r="HVE594"/>
      <c r="HVF594"/>
      <c r="HVG594"/>
      <c r="HVH594"/>
      <c r="HVI594"/>
      <c r="HVJ594"/>
      <c r="HVK594"/>
      <c r="HVL594"/>
      <c r="HVM594"/>
      <c r="HVN594"/>
      <c r="HVO594"/>
      <c r="HVP594"/>
      <c r="HVQ594"/>
      <c r="HVR594"/>
      <c r="HVS594"/>
      <c r="HVT594"/>
      <c r="HVU594"/>
      <c r="HVV594"/>
      <c r="HVW594"/>
      <c r="HVX594"/>
      <c r="HVY594"/>
      <c r="HVZ594"/>
      <c r="HWA594"/>
      <c r="HWB594"/>
      <c r="HWC594"/>
      <c r="HWD594"/>
      <c r="HWE594"/>
      <c r="HWF594"/>
      <c r="HWG594"/>
      <c r="HWH594"/>
      <c r="HWI594"/>
      <c r="HWJ594"/>
      <c r="HWK594"/>
      <c r="HWL594"/>
      <c r="HWM594"/>
      <c r="HWN594"/>
      <c r="HWO594"/>
      <c r="HWP594"/>
      <c r="HWQ594"/>
      <c r="HWR594"/>
      <c r="HWS594"/>
      <c r="HWT594"/>
      <c r="HWU594"/>
      <c r="HWV594"/>
      <c r="HWW594"/>
      <c r="HWX594"/>
      <c r="HWY594"/>
      <c r="HWZ594"/>
      <c r="HXA594"/>
      <c r="HXB594"/>
      <c r="HXC594"/>
      <c r="HXD594"/>
      <c r="HXE594"/>
      <c r="HXF594"/>
      <c r="HXG594"/>
      <c r="HXH594"/>
      <c r="HXI594"/>
      <c r="HXJ594"/>
      <c r="HXK594"/>
      <c r="HXL594"/>
      <c r="HXM594"/>
      <c r="HXN594"/>
      <c r="HXO594"/>
      <c r="HXP594"/>
      <c r="HXQ594"/>
      <c r="HXR594"/>
      <c r="HXS594"/>
      <c r="HXT594"/>
      <c r="HXU594"/>
      <c r="HXV594"/>
      <c r="HXW594"/>
      <c r="HXX594"/>
      <c r="HXY594"/>
      <c r="HXZ594"/>
      <c r="HYA594"/>
      <c r="HYB594"/>
      <c r="HYC594"/>
      <c r="HYD594"/>
      <c r="HYE594"/>
      <c r="HYF594"/>
      <c r="HYG594"/>
      <c r="HYH594"/>
      <c r="HYI594"/>
      <c r="HYJ594"/>
      <c r="HYK594"/>
      <c r="HYL594"/>
      <c r="HYM594"/>
      <c r="HYN594"/>
      <c r="HYO594"/>
      <c r="HYP594"/>
      <c r="HYQ594"/>
      <c r="HYR594"/>
      <c r="HYS594"/>
      <c r="HYT594"/>
      <c r="HYU594"/>
      <c r="HYV594"/>
      <c r="HYW594"/>
      <c r="HYX594"/>
      <c r="HYY594"/>
      <c r="HYZ594"/>
      <c r="HZA594"/>
      <c r="HZB594"/>
      <c r="HZC594"/>
      <c r="HZD594"/>
      <c r="HZE594"/>
      <c r="HZF594"/>
      <c r="HZG594"/>
      <c r="HZH594"/>
      <c r="HZI594"/>
      <c r="HZJ594"/>
      <c r="HZK594"/>
      <c r="HZL594"/>
      <c r="HZM594"/>
      <c r="HZN594"/>
      <c r="HZO594"/>
      <c r="HZP594"/>
      <c r="HZQ594"/>
      <c r="HZR594"/>
      <c r="HZS594"/>
      <c r="HZT594"/>
      <c r="HZU594"/>
      <c r="HZV594"/>
      <c r="HZW594"/>
      <c r="HZX594"/>
      <c r="HZY594"/>
      <c r="HZZ594"/>
      <c r="IAA594"/>
      <c r="IAB594"/>
      <c r="IAC594"/>
      <c r="IAD594"/>
      <c r="IAE594"/>
      <c r="IAF594"/>
      <c r="IAG594"/>
      <c r="IAH594"/>
      <c r="IAI594"/>
      <c r="IAJ594"/>
      <c r="IAK594"/>
      <c r="IAL594"/>
      <c r="IAM594"/>
      <c r="IAN594"/>
      <c r="IAO594"/>
      <c r="IAP594"/>
      <c r="IAQ594"/>
      <c r="IAR594"/>
      <c r="IAS594"/>
      <c r="IAT594"/>
      <c r="IAU594"/>
      <c r="IAV594"/>
      <c r="IAW594"/>
      <c r="IAX594"/>
      <c r="IAY594"/>
      <c r="IAZ594"/>
      <c r="IBA594"/>
      <c r="IBB594"/>
      <c r="IBC594"/>
      <c r="IBD594"/>
      <c r="IBE594"/>
      <c r="IBF594"/>
      <c r="IBG594"/>
      <c r="IBH594"/>
      <c r="IBI594"/>
      <c r="IBJ594"/>
      <c r="IBK594"/>
      <c r="IBL594"/>
      <c r="IBM594"/>
      <c r="IBN594"/>
      <c r="IBO594"/>
      <c r="IBP594"/>
      <c r="IBQ594"/>
      <c r="IBR594"/>
      <c r="IBS594"/>
      <c r="IBT594"/>
      <c r="IBU594"/>
      <c r="IBV594"/>
      <c r="IBW594"/>
      <c r="IBX594"/>
      <c r="IBY594"/>
      <c r="IBZ594"/>
      <c r="ICA594"/>
      <c r="ICB594"/>
      <c r="ICC594"/>
      <c r="ICD594"/>
      <c r="ICE594"/>
      <c r="ICF594"/>
      <c r="ICG594"/>
      <c r="ICH594"/>
      <c r="ICI594"/>
      <c r="ICJ594"/>
      <c r="ICK594"/>
      <c r="ICL594"/>
      <c r="ICM594"/>
      <c r="ICN594"/>
      <c r="ICO594"/>
      <c r="ICP594"/>
      <c r="ICQ594"/>
      <c r="ICR594"/>
      <c r="ICS594"/>
      <c r="ICT594"/>
      <c r="ICU594"/>
      <c r="ICV594"/>
      <c r="ICW594"/>
      <c r="ICX594"/>
      <c r="ICY594"/>
      <c r="ICZ594"/>
      <c r="IDA594"/>
      <c r="IDB594"/>
      <c r="IDC594"/>
      <c r="IDD594"/>
      <c r="IDE594"/>
      <c r="IDF594"/>
      <c r="IDG594"/>
      <c r="IDH594"/>
      <c r="IDI594"/>
      <c r="IDJ594"/>
      <c r="IDK594"/>
      <c r="IDL594"/>
      <c r="IDM594"/>
      <c r="IDN594"/>
      <c r="IDO594"/>
      <c r="IDP594"/>
      <c r="IDQ594"/>
      <c r="IDR594"/>
      <c r="IDS594"/>
      <c r="IDT594"/>
      <c r="IDU594"/>
      <c r="IDV594"/>
      <c r="IDW594"/>
      <c r="IDX594"/>
      <c r="IDY594"/>
      <c r="IDZ594"/>
      <c r="IEA594"/>
      <c r="IEB594"/>
      <c r="IEC594"/>
      <c r="IED594"/>
      <c r="IEE594"/>
      <c r="IEF594"/>
      <c r="IEG594"/>
      <c r="IEH594"/>
      <c r="IEI594"/>
      <c r="IEJ594"/>
      <c r="IEK594"/>
      <c r="IEL594"/>
      <c r="IEM594"/>
      <c r="IEN594"/>
      <c r="IEO594"/>
      <c r="IEP594"/>
      <c r="IEQ594"/>
      <c r="IER594"/>
      <c r="IES594"/>
      <c r="IET594"/>
      <c r="IEU594"/>
      <c r="IEV594"/>
      <c r="IEW594"/>
      <c r="IEX594"/>
      <c r="IEY594"/>
      <c r="IEZ594"/>
      <c r="IFA594"/>
      <c r="IFB594"/>
      <c r="IFC594"/>
      <c r="IFD594"/>
      <c r="IFE594"/>
      <c r="IFF594"/>
      <c r="IFG594"/>
      <c r="IFH594"/>
      <c r="IFI594"/>
      <c r="IFJ594"/>
      <c r="IFK594"/>
      <c r="IFL594"/>
      <c r="IFM594"/>
      <c r="IFN594"/>
      <c r="IFO594"/>
      <c r="IFP594"/>
      <c r="IFQ594"/>
      <c r="IFR594"/>
      <c r="IFS594"/>
      <c r="IFT594"/>
      <c r="IFU594"/>
      <c r="IFV594"/>
      <c r="IFW594"/>
      <c r="IFX594"/>
      <c r="IFY594"/>
      <c r="IFZ594"/>
      <c r="IGA594"/>
      <c r="IGB594"/>
      <c r="IGC594"/>
      <c r="IGD594"/>
      <c r="IGE594"/>
      <c r="IGF594"/>
      <c r="IGG594"/>
      <c r="IGH594"/>
      <c r="IGI594"/>
      <c r="IGJ594"/>
      <c r="IGK594"/>
      <c r="IGL594"/>
      <c r="IGM594"/>
      <c r="IGN594"/>
      <c r="IGO594"/>
      <c r="IGP594"/>
      <c r="IGQ594"/>
      <c r="IGR594"/>
      <c r="IGS594"/>
      <c r="IGT594"/>
      <c r="IGU594"/>
      <c r="IGV594"/>
      <c r="IGW594"/>
      <c r="IGX594"/>
      <c r="IGY594"/>
      <c r="IGZ594"/>
      <c r="IHA594"/>
      <c r="IHB594"/>
      <c r="IHC594"/>
      <c r="IHD594"/>
      <c r="IHE594"/>
      <c r="IHF594"/>
      <c r="IHG594"/>
      <c r="IHH594"/>
      <c r="IHI594"/>
      <c r="IHJ594"/>
      <c r="IHK594"/>
      <c r="IHL594"/>
      <c r="IHM594"/>
      <c r="IHN594"/>
      <c r="IHO594"/>
      <c r="IHP594"/>
      <c r="IHQ594"/>
      <c r="IHR594"/>
      <c r="IHS594"/>
      <c r="IHT594"/>
      <c r="IHU594"/>
      <c r="IHV594"/>
      <c r="IHW594"/>
      <c r="IHX594"/>
      <c r="IHY594"/>
      <c r="IHZ594"/>
      <c r="IIA594"/>
      <c r="IIB594"/>
      <c r="IIC594"/>
      <c r="IID594"/>
      <c r="IIE594"/>
      <c r="IIF594"/>
      <c r="IIG594"/>
      <c r="IIH594"/>
      <c r="III594"/>
      <c r="IIJ594"/>
      <c r="IIK594"/>
      <c r="IIL594"/>
      <c r="IIM594"/>
      <c r="IIN594"/>
      <c r="IIO594"/>
      <c r="IIP594"/>
      <c r="IIQ594"/>
      <c r="IIR594"/>
      <c r="IIS594"/>
      <c r="IIT594"/>
      <c r="IIU594"/>
      <c r="IIV594"/>
      <c r="IIW594"/>
      <c r="IIX594"/>
      <c r="IIY594"/>
      <c r="IIZ594"/>
      <c r="IJA594"/>
      <c r="IJB594"/>
      <c r="IJC594"/>
      <c r="IJD594"/>
      <c r="IJE594"/>
      <c r="IJF594"/>
      <c r="IJG594"/>
      <c r="IJH594"/>
      <c r="IJI594"/>
      <c r="IJJ594"/>
      <c r="IJK594"/>
      <c r="IJL594"/>
      <c r="IJM594"/>
      <c r="IJN594"/>
      <c r="IJO594"/>
      <c r="IJP594"/>
      <c r="IJQ594"/>
      <c r="IJR594"/>
      <c r="IJS594"/>
      <c r="IJT594"/>
      <c r="IJU594"/>
      <c r="IJV594"/>
      <c r="IJW594"/>
      <c r="IJX594"/>
      <c r="IJY594"/>
      <c r="IJZ594"/>
      <c r="IKA594"/>
      <c r="IKB594"/>
      <c r="IKC594"/>
      <c r="IKD594"/>
      <c r="IKE594"/>
      <c r="IKF594"/>
      <c r="IKG594"/>
      <c r="IKH594"/>
      <c r="IKI594"/>
      <c r="IKJ594"/>
      <c r="IKK594"/>
      <c r="IKL594"/>
      <c r="IKM594"/>
      <c r="IKN594"/>
      <c r="IKO594"/>
      <c r="IKP594"/>
      <c r="IKQ594"/>
      <c r="IKR594"/>
      <c r="IKS594"/>
      <c r="IKT594"/>
      <c r="IKU594"/>
      <c r="IKV594"/>
      <c r="IKW594"/>
      <c r="IKX594"/>
      <c r="IKY594"/>
      <c r="IKZ594"/>
      <c r="ILA594"/>
      <c r="ILB594"/>
      <c r="ILC594"/>
      <c r="ILD594"/>
      <c r="ILE594"/>
      <c r="ILF594"/>
      <c r="ILG594"/>
      <c r="ILH594"/>
      <c r="ILI594"/>
      <c r="ILJ594"/>
      <c r="ILK594"/>
      <c r="ILL594"/>
      <c r="ILM594"/>
      <c r="ILN594"/>
      <c r="ILO594"/>
      <c r="ILP594"/>
      <c r="ILQ594"/>
      <c r="ILR594"/>
      <c r="ILS594"/>
      <c r="ILT594"/>
      <c r="ILU594"/>
      <c r="ILV594"/>
      <c r="ILW594"/>
      <c r="ILX594"/>
      <c r="ILY594"/>
      <c r="ILZ594"/>
      <c r="IMA594"/>
      <c r="IMB594"/>
      <c r="IMC594"/>
      <c r="IMD594"/>
      <c r="IME594"/>
      <c r="IMF594"/>
      <c r="IMG594"/>
      <c r="IMH594"/>
      <c r="IMI594"/>
      <c r="IMJ594"/>
      <c r="IMK594"/>
      <c r="IML594"/>
      <c r="IMM594"/>
      <c r="IMN594"/>
      <c r="IMO594"/>
      <c r="IMP594"/>
      <c r="IMQ594"/>
      <c r="IMR594"/>
      <c r="IMS594"/>
      <c r="IMT594"/>
      <c r="IMU594"/>
      <c r="IMV594"/>
      <c r="IMW594"/>
      <c r="IMX594"/>
      <c r="IMY594"/>
      <c r="IMZ594"/>
      <c r="INA594"/>
      <c r="INB594"/>
      <c r="INC594"/>
      <c r="IND594"/>
      <c r="INE594"/>
      <c r="INF594"/>
      <c r="ING594"/>
      <c r="INH594"/>
      <c r="INI594"/>
      <c r="INJ594"/>
      <c r="INK594"/>
      <c r="INL594"/>
      <c r="INM594"/>
      <c r="INN594"/>
      <c r="INO594"/>
      <c r="INP594"/>
      <c r="INQ594"/>
      <c r="INR594"/>
      <c r="INS594"/>
      <c r="INT594"/>
      <c r="INU594"/>
      <c r="INV594"/>
      <c r="INW594"/>
      <c r="INX594"/>
      <c r="INY594"/>
      <c r="INZ594"/>
      <c r="IOA594"/>
      <c r="IOB594"/>
      <c r="IOC594"/>
      <c r="IOD594"/>
      <c r="IOE594"/>
      <c r="IOF594"/>
      <c r="IOG594"/>
      <c r="IOH594"/>
      <c r="IOI594"/>
      <c r="IOJ594"/>
      <c r="IOK594"/>
      <c r="IOL594"/>
      <c r="IOM594"/>
      <c r="ION594"/>
      <c r="IOO594"/>
      <c r="IOP594"/>
      <c r="IOQ594"/>
      <c r="IOR594"/>
      <c r="IOS594"/>
      <c r="IOT594"/>
      <c r="IOU594"/>
      <c r="IOV594"/>
      <c r="IOW594"/>
      <c r="IOX594"/>
      <c r="IOY594"/>
      <c r="IOZ594"/>
      <c r="IPA594"/>
      <c r="IPB594"/>
      <c r="IPC594"/>
      <c r="IPD594"/>
      <c r="IPE594"/>
      <c r="IPF594"/>
      <c r="IPG594"/>
      <c r="IPH594"/>
      <c r="IPI594"/>
      <c r="IPJ594"/>
      <c r="IPK594"/>
      <c r="IPL594"/>
      <c r="IPM594"/>
      <c r="IPN594"/>
      <c r="IPO594"/>
      <c r="IPP594"/>
      <c r="IPQ594"/>
      <c r="IPR594"/>
      <c r="IPS594"/>
      <c r="IPT594"/>
      <c r="IPU594"/>
      <c r="IPV594"/>
      <c r="IPW594"/>
      <c r="IPX594"/>
      <c r="IPY594"/>
      <c r="IPZ594"/>
      <c r="IQA594"/>
      <c r="IQB594"/>
      <c r="IQC594"/>
      <c r="IQD594"/>
      <c r="IQE594"/>
      <c r="IQF594"/>
      <c r="IQG594"/>
      <c r="IQH594"/>
      <c r="IQI594"/>
      <c r="IQJ594"/>
      <c r="IQK594"/>
      <c r="IQL594"/>
      <c r="IQM594"/>
      <c r="IQN594"/>
      <c r="IQO594"/>
      <c r="IQP594"/>
      <c r="IQQ594"/>
      <c r="IQR594"/>
      <c r="IQS594"/>
      <c r="IQT594"/>
      <c r="IQU594"/>
      <c r="IQV594"/>
      <c r="IQW594"/>
      <c r="IQX594"/>
      <c r="IQY594"/>
      <c r="IQZ594"/>
      <c r="IRA594"/>
      <c r="IRB594"/>
      <c r="IRC594"/>
      <c r="IRD594"/>
      <c r="IRE594"/>
      <c r="IRF594"/>
      <c r="IRG594"/>
      <c r="IRH594"/>
      <c r="IRI594"/>
      <c r="IRJ594"/>
      <c r="IRK594"/>
      <c r="IRL594"/>
      <c r="IRM594"/>
      <c r="IRN594"/>
      <c r="IRO594"/>
      <c r="IRP594"/>
      <c r="IRQ594"/>
      <c r="IRR594"/>
      <c r="IRS594"/>
      <c r="IRT594"/>
      <c r="IRU594"/>
      <c r="IRV594"/>
      <c r="IRW594"/>
      <c r="IRX594"/>
      <c r="IRY594"/>
      <c r="IRZ594"/>
      <c r="ISA594"/>
      <c r="ISB594"/>
      <c r="ISC594"/>
      <c r="ISD594"/>
      <c r="ISE594"/>
      <c r="ISF594"/>
      <c r="ISG594"/>
      <c r="ISH594"/>
      <c r="ISI594"/>
      <c r="ISJ594"/>
      <c r="ISK594"/>
      <c r="ISL594"/>
      <c r="ISM594"/>
      <c r="ISN594"/>
      <c r="ISO594"/>
      <c r="ISP594"/>
      <c r="ISQ594"/>
      <c r="ISR594"/>
      <c r="ISS594"/>
      <c r="IST594"/>
      <c r="ISU594"/>
      <c r="ISV594"/>
      <c r="ISW594"/>
      <c r="ISX594"/>
      <c r="ISY594"/>
      <c r="ISZ594"/>
      <c r="ITA594"/>
      <c r="ITB594"/>
      <c r="ITC594"/>
      <c r="ITD594"/>
      <c r="ITE594"/>
      <c r="ITF594"/>
      <c r="ITG594"/>
      <c r="ITH594"/>
      <c r="ITI594"/>
      <c r="ITJ594"/>
      <c r="ITK594"/>
      <c r="ITL594"/>
      <c r="ITM594"/>
      <c r="ITN594"/>
      <c r="ITO594"/>
      <c r="ITP594"/>
      <c r="ITQ594"/>
      <c r="ITR594"/>
      <c r="ITS594"/>
      <c r="ITT594"/>
      <c r="ITU594"/>
      <c r="ITV594"/>
      <c r="ITW594"/>
      <c r="ITX594"/>
      <c r="ITY594"/>
      <c r="ITZ594"/>
      <c r="IUA594"/>
      <c r="IUB594"/>
      <c r="IUC594"/>
      <c r="IUD594"/>
      <c r="IUE594"/>
      <c r="IUF594"/>
      <c r="IUG594"/>
      <c r="IUH594"/>
      <c r="IUI594"/>
      <c r="IUJ594"/>
      <c r="IUK594"/>
      <c r="IUL594"/>
      <c r="IUM594"/>
      <c r="IUN594"/>
      <c r="IUO594"/>
      <c r="IUP594"/>
      <c r="IUQ594"/>
      <c r="IUR594"/>
      <c r="IUS594"/>
      <c r="IUT594"/>
      <c r="IUU594"/>
      <c r="IUV594"/>
      <c r="IUW594"/>
      <c r="IUX594"/>
      <c r="IUY594"/>
      <c r="IUZ594"/>
      <c r="IVA594"/>
      <c r="IVB594"/>
      <c r="IVC594"/>
      <c r="IVD594"/>
      <c r="IVE594"/>
      <c r="IVF594"/>
      <c r="IVG594"/>
      <c r="IVH594"/>
      <c r="IVI594"/>
      <c r="IVJ594"/>
      <c r="IVK594"/>
      <c r="IVL594"/>
      <c r="IVM594"/>
      <c r="IVN594"/>
      <c r="IVO594"/>
      <c r="IVP594"/>
      <c r="IVQ594"/>
      <c r="IVR594"/>
      <c r="IVS594"/>
      <c r="IVT594"/>
      <c r="IVU594"/>
      <c r="IVV594"/>
      <c r="IVW594"/>
      <c r="IVX594"/>
      <c r="IVY594"/>
      <c r="IVZ594"/>
      <c r="IWA594"/>
      <c r="IWB594"/>
      <c r="IWC594"/>
      <c r="IWD594"/>
      <c r="IWE594"/>
      <c r="IWF594"/>
      <c r="IWG594"/>
      <c r="IWH594"/>
      <c r="IWI594"/>
      <c r="IWJ594"/>
      <c r="IWK594"/>
      <c r="IWL594"/>
      <c r="IWM594"/>
      <c r="IWN594"/>
      <c r="IWO594"/>
      <c r="IWP594"/>
      <c r="IWQ594"/>
      <c r="IWR594"/>
      <c r="IWS594"/>
      <c r="IWT594"/>
      <c r="IWU594"/>
      <c r="IWV594"/>
      <c r="IWW594"/>
      <c r="IWX594"/>
      <c r="IWY594"/>
      <c r="IWZ594"/>
      <c r="IXA594"/>
      <c r="IXB594"/>
      <c r="IXC594"/>
      <c r="IXD594"/>
      <c r="IXE594"/>
      <c r="IXF594"/>
      <c r="IXG594"/>
      <c r="IXH594"/>
      <c r="IXI594"/>
      <c r="IXJ594"/>
      <c r="IXK594"/>
      <c r="IXL594"/>
      <c r="IXM594"/>
      <c r="IXN594"/>
      <c r="IXO594"/>
      <c r="IXP594"/>
      <c r="IXQ594"/>
      <c r="IXR594"/>
      <c r="IXS594"/>
      <c r="IXT594"/>
      <c r="IXU594"/>
      <c r="IXV594"/>
      <c r="IXW594"/>
      <c r="IXX594"/>
      <c r="IXY594"/>
      <c r="IXZ594"/>
      <c r="IYA594"/>
      <c r="IYB594"/>
      <c r="IYC594"/>
      <c r="IYD594"/>
      <c r="IYE594"/>
      <c r="IYF594"/>
      <c r="IYG594"/>
      <c r="IYH594"/>
      <c r="IYI594"/>
      <c r="IYJ594"/>
      <c r="IYK594"/>
      <c r="IYL594"/>
      <c r="IYM594"/>
      <c r="IYN594"/>
      <c r="IYO594"/>
      <c r="IYP594"/>
      <c r="IYQ594"/>
      <c r="IYR594"/>
      <c r="IYS594"/>
      <c r="IYT594"/>
      <c r="IYU594"/>
      <c r="IYV594"/>
      <c r="IYW594"/>
      <c r="IYX594"/>
      <c r="IYY594"/>
      <c r="IYZ594"/>
      <c r="IZA594"/>
      <c r="IZB594"/>
      <c r="IZC594"/>
      <c r="IZD594"/>
      <c r="IZE594"/>
      <c r="IZF594"/>
      <c r="IZG594"/>
      <c r="IZH594"/>
      <c r="IZI594"/>
      <c r="IZJ594"/>
      <c r="IZK594"/>
      <c r="IZL594"/>
      <c r="IZM594"/>
      <c r="IZN594"/>
      <c r="IZO594"/>
      <c r="IZP594"/>
      <c r="IZQ594"/>
      <c r="IZR594"/>
      <c r="IZS594"/>
      <c r="IZT594"/>
      <c r="IZU594"/>
      <c r="IZV594"/>
      <c r="IZW594"/>
      <c r="IZX594"/>
      <c r="IZY594"/>
      <c r="IZZ594"/>
      <c r="JAA594"/>
      <c r="JAB594"/>
      <c r="JAC594"/>
      <c r="JAD594"/>
      <c r="JAE594"/>
      <c r="JAF594"/>
      <c r="JAG594"/>
      <c r="JAH594"/>
      <c r="JAI594"/>
      <c r="JAJ594"/>
      <c r="JAK594"/>
      <c r="JAL594"/>
      <c r="JAM594"/>
      <c r="JAN594"/>
      <c r="JAO594"/>
      <c r="JAP594"/>
      <c r="JAQ594"/>
      <c r="JAR594"/>
      <c r="JAS594"/>
      <c r="JAT594"/>
      <c r="JAU594"/>
      <c r="JAV594"/>
      <c r="JAW594"/>
      <c r="JAX594"/>
      <c r="JAY594"/>
      <c r="JAZ594"/>
      <c r="JBA594"/>
      <c r="JBB594"/>
      <c r="JBC594"/>
      <c r="JBD594"/>
      <c r="JBE594"/>
      <c r="JBF594"/>
      <c r="JBG594"/>
      <c r="JBH594"/>
      <c r="JBI594"/>
      <c r="JBJ594"/>
      <c r="JBK594"/>
      <c r="JBL594"/>
      <c r="JBM594"/>
      <c r="JBN594"/>
      <c r="JBO594"/>
      <c r="JBP594"/>
      <c r="JBQ594"/>
      <c r="JBR594"/>
      <c r="JBS594"/>
      <c r="JBT594"/>
      <c r="JBU594"/>
      <c r="JBV594"/>
      <c r="JBW594"/>
      <c r="JBX594"/>
      <c r="JBY594"/>
      <c r="JBZ594"/>
      <c r="JCA594"/>
      <c r="JCB594"/>
      <c r="JCC594"/>
      <c r="JCD594"/>
      <c r="JCE594"/>
      <c r="JCF594"/>
      <c r="JCG594"/>
      <c r="JCH594"/>
      <c r="JCI594"/>
      <c r="JCJ594"/>
      <c r="JCK594"/>
      <c r="JCL594"/>
      <c r="JCM594"/>
      <c r="JCN594"/>
      <c r="JCO594"/>
      <c r="JCP594"/>
      <c r="JCQ594"/>
      <c r="JCR594"/>
      <c r="JCS594"/>
      <c r="JCT594"/>
      <c r="JCU594"/>
      <c r="JCV594"/>
      <c r="JCW594"/>
      <c r="JCX594"/>
      <c r="JCY594"/>
      <c r="JCZ594"/>
      <c r="JDA594"/>
      <c r="JDB594"/>
      <c r="JDC594"/>
      <c r="JDD594"/>
      <c r="JDE594"/>
      <c r="JDF594"/>
      <c r="JDG594"/>
      <c r="JDH594"/>
      <c r="JDI594"/>
      <c r="JDJ594"/>
      <c r="JDK594"/>
      <c r="JDL594"/>
      <c r="JDM594"/>
      <c r="JDN594"/>
      <c r="JDO594"/>
      <c r="JDP594"/>
      <c r="JDQ594"/>
      <c r="JDR594"/>
      <c r="JDS594"/>
      <c r="JDT594"/>
      <c r="JDU594"/>
      <c r="JDV594"/>
      <c r="JDW594"/>
      <c r="JDX594"/>
      <c r="JDY594"/>
      <c r="JDZ594"/>
      <c r="JEA594"/>
      <c r="JEB594"/>
      <c r="JEC594"/>
      <c r="JED594"/>
      <c r="JEE594"/>
      <c r="JEF594"/>
      <c r="JEG594"/>
      <c r="JEH594"/>
      <c r="JEI594"/>
      <c r="JEJ594"/>
      <c r="JEK594"/>
      <c r="JEL594"/>
      <c r="JEM594"/>
      <c r="JEN594"/>
      <c r="JEO594"/>
      <c r="JEP594"/>
      <c r="JEQ594"/>
      <c r="JER594"/>
      <c r="JES594"/>
      <c r="JET594"/>
      <c r="JEU594"/>
      <c r="JEV594"/>
      <c r="JEW594"/>
      <c r="JEX594"/>
      <c r="JEY594"/>
      <c r="JEZ594"/>
      <c r="JFA594"/>
      <c r="JFB594"/>
      <c r="JFC594"/>
      <c r="JFD594"/>
      <c r="JFE594"/>
      <c r="JFF594"/>
      <c r="JFG594"/>
      <c r="JFH594"/>
      <c r="JFI594"/>
      <c r="JFJ594"/>
      <c r="JFK594"/>
      <c r="JFL594"/>
      <c r="JFM594"/>
      <c r="JFN594"/>
      <c r="JFO594"/>
      <c r="JFP594"/>
      <c r="JFQ594"/>
      <c r="JFR594"/>
      <c r="JFS594"/>
      <c r="JFT594"/>
      <c r="JFU594"/>
      <c r="JFV594"/>
      <c r="JFW594"/>
      <c r="JFX594"/>
      <c r="JFY594"/>
      <c r="JFZ594"/>
      <c r="JGA594"/>
      <c r="JGB594"/>
      <c r="JGC594"/>
      <c r="JGD594"/>
      <c r="JGE594"/>
      <c r="JGF594"/>
      <c r="JGG594"/>
      <c r="JGH594"/>
      <c r="JGI594"/>
      <c r="JGJ594"/>
      <c r="JGK594"/>
      <c r="JGL594"/>
      <c r="JGM594"/>
      <c r="JGN594"/>
      <c r="JGO594"/>
      <c r="JGP594"/>
      <c r="JGQ594"/>
      <c r="JGR594"/>
      <c r="JGS594"/>
      <c r="JGT594"/>
      <c r="JGU594"/>
      <c r="JGV594"/>
      <c r="JGW594"/>
      <c r="JGX594"/>
      <c r="JGY594"/>
      <c r="JGZ594"/>
      <c r="JHA594"/>
      <c r="JHB594"/>
      <c r="JHC594"/>
      <c r="JHD594"/>
      <c r="JHE594"/>
      <c r="JHF594"/>
      <c r="JHG594"/>
      <c r="JHH594"/>
      <c r="JHI594"/>
      <c r="JHJ594"/>
      <c r="JHK594"/>
      <c r="JHL594"/>
      <c r="JHM594"/>
      <c r="JHN594"/>
      <c r="JHO594"/>
      <c r="JHP594"/>
      <c r="JHQ594"/>
      <c r="JHR594"/>
      <c r="JHS594"/>
      <c r="JHT594"/>
      <c r="JHU594"/>
      <c r="JHV594"/>
      <c r="JHW594"/>
      <c r="JHX594"/>
      <c r="JHY594"/>
      <c r="JHZ594"/>
      <c r="JIA594"/>
      <c r="JIB594"/>
      <c r="JIC594"/>
      <c r="JID594"/>
      <c r="JIE594"/>
      <c r="JIF594"/>
      <c r="JIG594"/>
      <c r="JIH594"/>
      <c r="JII594"/>
      <c r="JIJ594"/>
      <c r="JIK594"/>
      <c r="JIL594"/>
      <c r="JIM594"/>
      <c r="JIN594"/>
      <c r="JIO594"/>
      <c r="JIP594"/>
      <c r="JIQ594"/>
      <c r="JIR594"/>
      <c r="JIS594"/>
      <c r="JIT594"/>
      <c r="JIU594"/>
      <c r="JIV594"/>
      <c r="JIW594"/>
      <c r="JIX594"/>
      <c r="JIY594"/>
      <c r="JIZ594"/>
      <c r="JJA594"/>
      <c r="JJB594"/>
      <c r="JJC594"/>
      <c r="JJD594"/>
      <c r="JJE594"/>
      <c r="JJF594"/>
      <c r="JJG594"/>
      <c r="JJH594"/>
      <c r="JJI594"/>
      <c r="JJJ594"/>
      <c r="JJK594"/>
      <c r="JJL594"/>
      <c r="JJM594"/>
      <c r="JJN594"/>
      <c r="JJO594"/>
      <c r="JJP594"/>
      <c r="JJQ594"/>
      <c r="JJR594"/>
      <c r="JJS594"/>
      <c r="JJT594"/>
      <c r="JJU594"/>
      <c r="JJV594"/>
      <c r="JJW594"/>
      <c r="JJX594"/>
      <c r="JJY594"/>
      <c r="JJZ594"/>
      <c r="JKA594"/>
      <c r="JKB594"/>
      <c r="JKC594"/>
      <c r="JKD594"/>
      <c r="JKE594"/>
      <c r="JKF594"/>
      <c r="JKG594"/>
      <c r="JKH594"/>
      <c r="JKI594"/>
      <c r="JKJ594"/>
      <c r="JKK594"/>
      <c r="JKL594"/>
      <c r="JKM594"/>
      <c r="JKN594"/>
      <c r="JKO594"/>
      <c r="JKP594"/>
      <c r="JKQ594"/>
      <c r="JKR594"/>
      <c r="JKS594"/>
      <c r="JKT594"/>
      <c r="JKU594"/>
      <c r="JKV594"/>
      <c r="JKW594"/>
      <c r="JKX594"/>
      <c r="JKY594"/>
      <c r="JKZ594"/>
      <c r="JLA594"/>
      <c r="JLB594"/>
      <c r="JLC594"/>
      <c r="JLD594"/>
      <c r="JLE594"/>
      <c r="JLF594"/>
      <c r="JLG594"/>
      <c r="JLH594"/>
      <c r="JLI594"/>
      <c r="JLJ594"/>
      <c r="JLK594"/>
      <c r="JLL594"/>
      <c r="JLM594"/>
      <c r="JLN594"/>
      <c r="JLO594"/>
      <c r="JLP594"/>
      <c r="JLQ594"/>
      <c r="JLR594"/>
      <c r="JLS594"/>
      <c r="JLT594"/>
      <c r="JLU594"/>
      <c r="JLV594"/>
      <c r="JLW594"/>
      <c r="JLX594"/>
      <c r="JLY594"/>
      <c r="JLZ594"/>
      <c r="JMA594"/>
      <c r="JMB594"/>
      <c r="JMC594"/>
      <c r="JMD594"/>
      <c r="JME594"/>
      <c r="JMF594"/>
      <c r="JMG594"/>
      <c r="JMH594"/>
      <c r="JMI594"/>
      <c r="JMJ594"/>
      <c r="JMK594"/>
      <c r="JML594"/>
      <c r="JMM594"/>
      <c r="JMN594"/>
      <c r="JMO594"/>
      <c r="JMP594"/>
      <c r="JMQ594"/>
      <c r="JMR594"/>
      <c r="JMS594"/>
      <c r="JMT594"/>
      <c r="JMU594"/>
      <c r="JMV594"/>
      <c r="JMW594"/>
      <c r="JMX594"/>
      <c r="JMY594"/>
      <c r="JMZ594"/>
      <c r="JNA594"/>
      <c r="JNB594"/>
      <c r="JNC594"/>
      <c r="JND594"/>
      <c r="JNE594"/>
      <c r="JNF594"/>
      <c r="JNG594"/>
      <c r="JNH594"/>
      <c r="JNI594"/>
      <c r="JNJ594"/>
      <c r="JNK594"/>
      <c r="JNL594"/>
      <c r="JNM594"/>
      <c r="JNN594"/>
      <c r="JNO594"/>
      <c r="JNP594"/>
      <c r="JNQ594"/>
      <c r="JNR594"/>
      <c r="JNS594"/>
      <c r="JNT594"/>
      <c r="JNU594"/>
      <c r="JNV594"/>
      <c r="JNW594"/>
      <c r="JNX594"/>
      <c r="JNY594"/>
      <c r="JNZ594"/>
      <c r="JOA594"/>
      <c r="JOB594"/>
      <c r="JOC594"/>
      <c r="JOD594"/>
      <c r="JOE594"/>
      <c r="JOF594"/>
      <c r="JOG594"/>
      <c r="JOH594"/>
      <c r="JOI594"/>
      <c r="JOJ594"/>
      <c r="JOK594"/>
      <c r="JOL594"/>
      <c r="JOM594"/>
      <c r="JON594"/>
      <c r="JOO594"/>
      <c r="JOP594"/>
      <c r="JOQ594"/>
      <c r="JOR594"/>
      <c r="JOS594"/>
      <c r="JOT594"/>
      <c r="JOU594"/>
      <c r="JOV594"/>
      <c r="JOW594"/>
      <c r="JOX594"/>
      <c r="JOY594"/>
      <c r="JOZ594"/>
      <c r="JPA594"/>
      <c r="JPB594"/>
      <c r="JPC594"/>
      <c r="JPD594"/>
      <c r="JPE594"/>
      <c r="JPF594"/>
      <c r="JPG594"/>
      <c r="JPH594"/>
      <c r="JPI594"/>
      <c r="JPJ594"/>
      <c r="JPK594"/>
      <c r="JPL594"/>
      <c r="JPM594"/>
      <c r="JPN594"/>
      <c r="JPO594"/>
      <c r="JPP594"/>
      <c r="JPQ594"/>
      <c r="JPR594"/>
      <c r="JPS594"/>
      <c r="JPT594"/>
      <c r="JPU594"/>
      <c r="JPV594"/>
      <c r="JPW594"/>
      <c r="JPX594"/>
      <c r="JPY594"/>
      <c r="JPZ594"/>
      <c r="JQA594"/>
      <c r="JQB594"/>
      <c r="JQC594"/>
      <c r="JQD594"/>
      <c r="JQE594"/>
      <c r="JQF594"/>
      <c r="JQG594"/>
      <c r="JQH594"/>
      <c r="JQI594"/>
      <c r="JQJ594"/>
      <c r="JQK594"/>
      <c r="JQL594"/>
      <c r="JQM594"/>
      <c r="JQN594"/>
      <c r="JQO594"/>
      <c r="JQP594"/>
      <c r="JQQ594"/>
      <c r="JQR594"/>
      <c r="JQS594"/>
      <c r="JQT594"/>
      <c r="JQU594"/>
      <c r="JQV594"/>
      <c r="JQW594"/>
      <c r="JQX594"/>
      <c r="JQY594"/>
      <c r="JQZ594"/>
      <c r="JRA594"/>
      <c r="JRB594"/>
      <c r="JRC594"/>
      <c r="JRD594"/>
      <c r="JRE594"/>
      <c r="JRF594"/>
      <c r="JRG594"/>
      <c r="JRH594"/>
      <c r="JRI594"/>
      <c r="JRJ594"/>
      <c r="JRK594"/>
      <c r="JRL594"/>
      <c r="JRM594"/>
      <c r="JRN594"/>
      <c r="JRO594"/>
      <c r="JRP594"/>
      <c r="JRQ594"/>
      <c r="JRR594"/>
      <c r="JRS594"/>
      <c r="JRT594"/>
      <c r="JRU594"/>
      <c r="JRV594"/>
      <c r="JRW594"/>
      <c r="JRX594"/>
      <c r="JRY594"/>
      <c r="JRZ594"/>
      <c r="JSA594"/>
      <c r="JSB594"/>
      <c r="JSC594"/>
      <c r="JSD594"/>
      <c r="JSE594"/>
      <c r="JSF594"/>
      <c r="JSG594"/>
      <c r="JSH594"/>
      <c r="JSI594"/>
      <c r="JSJ594"/>
      <c r="JSK594"/>
      <c r="JSL594"/>
      <c r="JSM594"/>
      <c r="JSN594"/>
      <c r="JSO594"/>
      <c r="JSP594"/>
      <c r="JSQ594"/>
      <c r="JSR594"/>
      <c r="JSS594"/>
      <c r="JST594"/>
      <c r="JSU594"/>
      <c r="JSV594"/>
      <c r="JSW594"/>
      <c r="JSX594"/>
      <c r="JSY594"/>
      <c r="JSZ594"/>
      <c r="JTA594"/>
      <c r="JTB594"/>
      <c r="JTC594"/>
      <c r="JTD594"/>
      <c r="JTE594"/>
      <c r="JTF594"/>
      <c r="JTG594"/>
      <c r="JTH594"/>
      <c r="JTI594"/>
      <c r="JTJ594"/>
      <c r="JTK594"/>
      <c r="JTL594"/>
      <c r="JTM594"/>
      <c r="JTN594"/>
      <c r="JTO594"/>
      <c r="JTP594"/>
      <c r="JTQ594"/>
      <c r="JTR594"/>
      <c r="JTS594"/>
      <c r="JTT594"/>
      <c r="JTU594"/>
      <c r="JTV594"/>
      <c r="JTW594"/>
      <c r="JTX594"/>
      <c r="JTY594"/>
      <c r="JTZ594"/>
      <c r="JUA594"/>
      <c r="JUB594"/>
      <c r="JUC594"/>
      <c r="JUD594"/>
      <c r="JUE594"/>
      <c r="JUF594"/>
      <c r="JUG594"/>
      <c r="JUH594"/>
      <c r="JUI594"/>
      <c r="JUJ594"/>
      <c r="JUK594"/>
      <c r="JUL594"/>
      <c r="JUM594"/>
      <c r="JUN594"/>
      <c r="JUO594"/>
      <c r="JUP594"/>
      <c r="JUQ594"/>
      <c r="JUR594"/>
      <c r="JUS594"/>
      <c r="JUT594"/>
      <c r="JUU594"/>
      <c r="JUV594"/>
      <c r="JUW594"/>
      <c r="JUX594"/>
      <c r="JUY594"/>
      <c r="JUZ594"/>
      <c r="JVA594"/>
      <c r="JVB594"/>
      <c r="JVC594"/>
      <c r="JVD594"/>
      <c r="JVE594"/>
      <c r="JVF594"/>
      <c r="JVG594"/>
      <c r="JVH594"/>
      <c r="JVI594"/>
      <c r="JVJ594"/>
      <c r="JVK594"/>
      <c r="JVL594"/>
      <c r="JVM594"/>
      <c r="JVN594"/>
      <c r="JVO594"/>
      <c r="JVP594"/>
      <c r="JVQ594"/>
      <c r="JVR594"/>
      <c r="JVS594"/>
      <c r="JVT594"/>
      <c r="JVU594"/>
      <c r="JVV594"/>
      <c r="JVW594"/>
      <c r="JVX594"/>
      <c r="JVY594"/>
      <c r="JVZ594"/>
      <c r="JWA594"/>
      <c r="JWB594"/>
      <c r="JWC594"/>
      <c r="JWD594"/>
      <c r="JWE594"/>
      <c r="JWF594"/>
      <c r="JWG594"/>
      <c r="JWH594"/>
      <c r="JWI594"/>
      <c r="JWJ594"/>
      <c r="JWK594"/>
      <c r="JWL594"/>
      <c r="JWM594"/>
      <c r="JWN594"/>
      <c r="JWO594"/>
      <c r="JWP594"/>
      <c r="JWQ594"/>
      <c r="JWR594"/>
      <c r="JWS594"/>
      <c r="JWT594"/>
      <c r="JWU594"/>
      <c r="JWV594"/>
      <c r="JWW594"/>
      <c r="JWX594"/>
      <c r="JWY594"/>
      <c r="JWZ594"/>
      <c r="JXA594"/>
      <c r="JXB594"/>
      <c r="JXC594"/>
      <c r="JXD594"/>
      <c r="JXE594"/>
      <c r="JXF594"/>
      <c r="JXG594"/>
      <c r="JXH594"/>
      <c r="JXI594"/>
      <c r="JXJ594"/>
      <c r="JXK594"/>
      <c r="JXL594"/>
      <c r="JXM594"/>
      <c r="JXN594"/>
      <c r="JXO594"/>
      <c r="JXP594"/>
      <c r="JXQ594"/>
      <c r="JXR594"/>
      <c r="JXS594"/>
      <c r="JXT594"/>
      <c r="JXU594"/>
      <c r="JXV594"/>
      <c r="JXW594"/>
      <c r="JXX594"/>
      <c r="JXY594"/>
      <c r="JXZ594"/>
      <c r="JYA594"/>
      <c r="JYB594"/>
      <c r="JYC594"/>
      <c r="JYD594"/>
      <c r="JYE594"/>
      <c r="JYF594"/>
      <c r="JYG594"/>
      <c r="JYH594"/>
      <c r="JYI594"/>
      <c r="JYJ594"/>
      <c r="JYK594"/>
      <c r="JYL594"/>
      <c r="JYM594"/>
      <c r="JYN594"/>
      <c r="JYO594"/>
      <c r="JYP594"/>
      <c r="JYQ594"/>
      <c r="JYR594"/>
      <c r="JYS594"/>
      <c r="JYT594"/>
      <c r="JYU594"/>
      <c r="JYV594"/>
      <c r="JYW594"/>
      <c r="JYX594"/>
      <c r="JYY594"/>
      <c r="JYZ594"/>
      <c r="JZA594"/>
      <c r="JZB594"/>
      <c r="JZC594"/>
      <c r="JZD594"/>
      <c r="JZE594"/>
      <c r="JZF594"/>
      <c r="JZG594"/>
      <c r="JZH594"/>
      <c r="JZI594"/>
      <c r="JZJ594"/>
      <c r="JZK594"/>
      <c r="JZL594"/>
      <c r="JZM594"/>
      <c r="JZN594"/>
      <c r="JZO594"/>
      <c r="JZP594"/>
      <c r="JZQ594"/>
      <c r="JZR594"/>
      <c r="JZS594"/>
      <c r="JZT594"/>
      <c r="JZU594"/>
      <c r="JZV594"/>
      <c r="JZW594"/>
      <c r="JZX594"/>
      <c r="JZY594"/>
      <c r="JZZ594"/>
      <c r="KAA594"/>
      <c r="KAB594"/>
      <c r="KAC594"/>
      <c r="KAD594"/>
      <c r="KAE594"/>
      <c r="KAF594"/>
      <c r="KAG594"/>
      <c r="KAH594"/>
      <c r="KAI594"/>
      <c r="KAJ594"/>
      <c r="KAK594"/>
      <c r="KAL594"/>
      <c r="KAM594"/>
      <c r="KAN594"/>
      <c r="KAO594"/>
      <c r="KAP594"/>
      <c r="KAQ594"/>
      <c r="KAR594"/>
      <c r="KAS594"/>
      <c r="KAT594"/>
      <c r="KAU594"/>
      <c r="KAV594"/>
      <c r="KAW594"/>
      <c r="KAX594"/>
      <c r="KAY594"/>
      <c r="KAZ594"/>
      <c r="KBA594"/>
      <c r="KBB594"/>
      <c r="KBC594"/>
      <c r="KBD594"/>
      <c r="KBE594"/>
      <c r="KBF594"/>
      <c r="KBG594"/>
      <c r="KBH594"/>
      <c r="KBI594"/>
      <c r="KBJ594"/>
      <c r="KBK594"/>
      <c r="KBL594"/>
      <c r="KBM594"/>
      <c r="KBN594"/>
      <c r="KBO594"/>
      <c r="KBP594"/>
      <c r="KBQ594"/>
      <c r="KBR594"/>
      <c r="KBS594"/>
      <c r="KBT594"/>
      <c r="KBU594"/>
      <c r="KBV594"/>
      <c r="KBW594"/>
      <c r="KBX594"/>
      <c r="KBY594"/>
      <c r="KBZ594"/>
      <c r="KCA594"/>
      <c r="KCB594"/>
      <c r="KCC594"/>
      <c r="KCD594"/>
      <c r="KCE594"/>
      <c r="KCF594"/>
      <c r="KCG594"/>
      <c r="KCH594"/>
      <c r="KCI594"/>
      <c r="KCJ594"/>
      <c r="KCK594"/>
      <c r="KCL594"/>
      <c r="KCM594"/>
      <c r="KCN594"/>
      <c r="KCO594"/>
      <c r="KCP594"/>
      <c r="KCQ594"/>
      <c r="KCR594"/>
      <c r="KCS594"/>
      <c r="KCT594"/>
      <c r="KCU594"/>
      <c r="KCV594"/>
      <c r="KCW594"/>
      <c r="KCX594"/>
      <c r="KCY594"/>
      <c r="KCZ594"/>
      <c r="KDA594"/>
      <c r="KDB594"/>
      <c r="KDC594"/>
      <c r="KDD594"/>
      <c r="KDE594"/>
      <c r="KDF594"/>
      <c r="KDG594"/>
      <c r="KDH594"/>
      <c r="KDI594"/>
      <c r="KDJ594"/>
      <c r="KDK594"/>
      <c r="KDL594"/>
      <c r="KDM594"/>
      <c r="KDN594"/>
      <c r="KDO594"/>
      <c r="KDP594"/>
      <c r="KDQ594"/>
      <c r="KDR594"/>
      <c r="KDS594"/>
      <c r="KDT594"/>
      <c r="KDU594"/>
      <c r="KDV594"/>
      <c r="KDW594"/>
      <c r="KDX594"/>
      <c r="KDY594"/>
      <c r="KDZ594"/>
      <c r="KEA594"/>
      <c r="KEB594"/>
      <c r="KEC594"/>
      <c r="KED594"/>
      <c r="KEE594"/>
      <c r="KEF594"/>
      <c r="KEG594"/>
      <c r="KEH594"/>
      <c r="KEI594"/>
      <c r="KEJ594"/>
      <c r="KEK594"/>
      <c r="KEL594"/>
      <c r="KEM594"/>
      <c r="KEN594"/>
      <c r="KEO594"/>
      <c r="KEP594"/>
      <c r="KEQ594"/>
      <c r="KER594"/>
      <c r="KES594"/>
      <c r="KET594"/>
      <c r="KEU594"/>
      <c r="KEV594"/>
      <c r="KEW594"/>
      <c r="KEX594"/>
      <c r="KEY594"/>
      <c r="KEZ594"/>
      <c r="KFA594"/>
      <c r="KFB594"/>
      <c r="KFC594"/>
      <c r="KFD594"/>
      <c r="KFE594"/>
      <c r="KFF594"/>
      <c r="KFG594"/>
      <c r="KFH594"/>
      <c r="KFI594"/>
      <c r="KFJ594"/>
      <c r="KFK594"/>
      <c r="KFL594"/>
      <c r="KFM594"/>
      <c r="KFN594"/>
      <c r="KFO594"/>
      <c r="KFP594"/>
      <c r="KFQ594"/>
      <c r="KFR594"/>
      <c r="KFS594"/>
      <c r="KFT594"/>
      <c r="KFU594"/>
      <c r="KFV594"/>
      <c r="KFW594"/>
      <c r="KFX594"/>
      <c r="KFY594"/>
      <c r="KFZ594"/>
      <c r="KGA594"/>
      <c r="KGB594"/>
      <c r="KGC594"/>
      <c r="KGD594"/>
      <c r="KGE594"/>
      <c r="KGF594"/>
      <c r="KGG594"/>
      <c r="KGH594"/>
      <c r="KGI594"/>
      <c r="KGJ594"/>
      <c r="KGK594"/>
      <c r="KGL594"/>
      <c r="KGM594"/>
      <c r="KGN594"/>
      <c r="KGO594"/>
      <c r="KGP594"/>
      <c r="KGQ594"/>
      <c r="KGR594"/>
      <c r="KGS594"/>
      <c r="KGT594"/>
      <c r="KGU594"/>
      <c r="KGV594"/>
      <c r="KGW594"/>
      <c r="KGX594"/>
      <c r="KGY594"/>
      <c r="KGZ594"/>
      <c r="KHA594"/>
      <c r="KHB594"/>
      <c r="KHC594"/>
      <c r="KHD594"/>
      <c r="KHE594"/>
      <c r="KHF594"/>
      <c r="KHG594"/>
      <c r="KHH594"/>
      <c r="KHI594"/>
      <c r="KHJ594"/>
      <c r="KHK594"/>
      <c r="KHL594"/>
      <c r="KHM594"/>
      <c r="KHN594"/>
      <c r="KHO594"/>
      <c r="KHP594"/>
      <c r="KHQ594"/>
      <c r="KHR594"/>
      <c r="KHS594"/>
      <c r="KHT594"/>
      <c r="KHU594"/>
      <c r="KHV594"/>
      <c r="KHW594"/>
      <c r="KHX594"/>
      <c r="KHY594"/>
      <c r="KHZ594"/>
      <c r="KIA594"/>
      <c r="KIB594"/>
      <c r="KIC594"/>
      <c r="KID594"/>
      <c r="KIE594"/>
      <c r="KIF594"/>
      <c r="KIG594"/>
      <c r="KIH594"/>
      <c r="KII594"/>
      <c r="KIJ594"/>
      <c r="KIK594"/>
      <c r="KIL594"/>
      <c r="KIM594"/>
      <c r="KIN594"/>
      <c r="KIO594"/>
      <c r="KIP594"/>
      <c r="KIQ594"/>
      <c r="KIR594"/>
      <c r="KIS594"/>
      <c r="KIT594"/>
      <c r="KIU594"/>
      <c r="KIV594"/>
      <c r="KIW594"/>
      <c r="KIX594"/>
      <c r="KIY594"/>
      <c r="KIZ594"/>
      <c r="KJA594"/>
      <c r="KJB594"/>
      <c r="KJC594"/>
      <c r="KJD594"/>
      <c r="KJE594"/>
      <c r="KJF594"/>
      <c r="KJG594"/>
      <c r="KJH594"/>
      <c r="KJI594"/>
      <c r="KJJ594"/>
      <c r="KJK594"/>
      <c r="KJL594"/>
      <c r="KJM594"/>
      <c r="KJN594"/>
      <c r="KJO594"/>
      <c r="KJP594"/>
      <c r="KJQ594"/>
      <c r="KJR594"/>
      <c r="KJS594"/>
      <c r="KJT594"/>
      <c r="KJU594"/>
      <c r="KJV594"/>
      <c r="KJW594"/>
      <c r="KJX594"/>
      <c r="KJY594"/>
      <c r="KJZ594"/>
      <c r="KKA594"/>
      <c r="KKB594"/>
      <c r="KKC594"/>
      <c r="KKD594"/>
      <c r="KKE594"/>
      <c r="KKF594"/>
      <c r="KKG594"/>
      <c r="KKH594"/>
      <c r="KKI594"/>
      <c r="KKJ594"/>
      <c r="KKK594"/>
      <c r="KKL594"/>
      <c r="KKM594"/>
      <c r="KKN594"/>
      <c r="KKO594"/>
      <c r="KKP594"/>
      <c r="KKQ594"/>
      <c r="KKR594"/>
      <c r="KKS594"/>
      <c r="KKT594"/>
      <c r="KKU594"/>
      <c r="KKV594"/>
      <c r="KKW594"/>
      <c r="KKX594"/>
      <c r="KKY594"/>
      <c r="KKZ594"/>
      <c r="KLA594"/>
      <c r="KLB594"/>
      <c r="KLC594"/>
      <c r="KLD594"/>
      <c r="KLE594"/>
      <c r="KLF594"/>
      <c r="KLG594"/>
      <c r="KLH594"/>
      <c r="KLI594"/>
      <c r="KLJ594"/>
      <c r="KLK594"/>
      <c r="KLL594"/>
      <c r="KLM594"/>
      <c r="KLN594"/>
      <c r="KLO594"/>
      <c r="KLP594"/>
      <c r="KLQ594"/>
      <c r="KLR594"/>
      <c r="KLS594"/>
      <c r="KLT594"/>
      <c r="KLU594"/>
      <c r="KLV594"/>
      <c r="KLW594"/>
      <c r="KLX594"/>
      <c r="KLY594"/>
      <c r="KLZ594"/>
      <c r="KMA594"/>
      <c r="KMB594"/>
      <c r="KMC594"/>
      <c r="KMD594"/>
      <c r="KME594"/>
      <c r="KMF594"/>
      <c r="KMG594"/>
      <c r="KMH594"/>
      <c r="KMI594"/>
      <c r="KMJ594"/>
      <c r="KMK594"/>
      <c r="KML594"/>
      <c r="KMM594"/>
      <c r="KMN594"/>
      <c r="KMO594"/>
      <c r="KMP594"/>
      <c r="KMQ594"/>
      <c r="KMR594"/>
      <c r="KMS594"/>
      <c r="KMT594"/>
      <c r="KMU594"/>
      <c r="KMV594"/>
      <c r="KMW594"/>
      <c r="KMX594"/>
      <c r="KMY594"/>
      <c r="KMZ594"/>
      <c r="KNA594"/>
      <c r="KNB594"/>
      <c r="KNC594"/>
      <c r="KND594"/>
      <c r="KNE594"/>
      <c r="KNF594"/>
      <c r="KNG594"/>
      <c r="KNH594"/>
      <c r="KNI594"/>
      <c r="KNJ594"/>
      <c r="KNK594"/>
      <c r="KNL594"/>
      <c r="KNM594"/>
      <c r="KNN594"/>
      <c r="KNO594"/>
      <c r="KNP594"/>
      <c r="KNQ594"/>
      <c r="KNR594"/>
      <c r="KNS594"/>
      <c r="KNT594"/>
      <c r="KNU594"/>
      <c r="KNV594"/>
      <c r="KNW594"/>
      <c r="KNX594"/>
      <c r="KNY594"/>
      <c r="KNZ594"/>
      <c r="KOA594"/>
      <c r="KOB594"/>
      <c r="KOC594"/>
      <c r="KOD594"/>
      <c r="KOE594"/>
      <c r="KOF594"/>
      <c r="KOG594"/>
      <c r="KOH594"/>
      <c r="KOI594"/>
      <c r="KOJ594"/>
      <c r="KOK594"/>
      <c r="KOL594"/>
      <c r="KOM594"/>
      <c r="KON594"/>
      <c r="KOO594"/>
      <c r="KOP594"/>
      <c r="KOQ594"/>
      <c r="KOR594"/>
      <c r="KOS594"/>
      <c r="KOT594"/>
      <c r="KOU594"/>
      <c r="KOV594"/>
      <c r="KOW594"/>
      <c r="KOX594"/>
      <c r="KOY594"/>
      <c r="KOZ594"/>
      <c r="KPA594"/>
      <c r="KPB594"/>
      <c r="KPC594"/>
      <c r="KPD594"/>
      <c r="KPE594"/>
      <c r="KPF594"/>
      <c r="KPG594"/>
      <c r="KPH594"/>
      <c r="KPI594"/>
      <c r="KPJ594"/>
      <c r="KPK594"/>
      <c r="KPL594"/>
      <c r="KPM594"/>
      <c r="KPN594"/>
      <c r="KPO594"/>
      <c r="KPP594"/>
      <c r="KPQ594"/>
      <c r="KPR594"/>
      <c r="KPS594"/>
      <c r="KPT594"/>
      <c r="KPU594"/>
      <c r="KPV594"/>
      <c r="KPW594"/>
      <c r="KPX594"/>
      <c r="KPY594"/>
      <c r="KPZ594"/>
      <c r="KQA594"/>
      <c r="KQB594"/>
      <c r="KQC594"/>
      <c r="KQD594"/>
      <c r="KQE594"/>
      <c r="KQF594"/>
      <c r="KQG594"/>
      <c r="KQH594"/>
      <c r="KQI594"/>
      <c r="KQJ594"/>
      <c r="KQK594"/>
      <c r="KQL594"/>
      <c r="KQM594"/>
      <c r="KQN594"/>
      <c r="KQO594"/>
      <c r="KQP594"/>
      <c r="KQQ594"/>
      <c r="KQR594"/>
      <c r="KQS594"/>
      <c r="KQT594"/>
      <c r="KQU594"/>
      <c r="KQV594"/>
      <c r="KQW594"/>
      <c r="KQX594"/>
      <c r="KQY594"/>
      <c r="KQZ594"/>
      <c r="KRA594"/>
      <c r="KRB594"/>
      <c r="KRC594"/>
      <c r="KRD594"/>
      <c r="KRE594"/>
      <c r="KRF594"/>
      <c r="KRG594"/>
      <c r="KRH594"/>
      <c r="KRI594"/>
      <c r="KRJ594"/>
      <c r="KRK594"/>
      <c r="KRL594"/>
      <c r="KRM594"/>
      <c r="KRN594"/>
      <c r="KRO594"/>
      <c r="KRP594"/>
      <c r="KRQ594"/>
      <c r="KRR594"/>
      <c r="KRS594"/>
      <c r="KRT594"/>
      <c r="KRU594"/>
      <c r="KRV594"/>
      <c r="KRW594"/>
      <c r="KRX594"/>
      <c r="KRY594"/>
      <c r="KRZ594"/>
      <c r="KSA594"/>
      <c r="KSB594"/>
      <c r="KSC594"/>
      <c r="KSD594"/>
      <c r="KSE594"/>
      <c r="KSF594"/>
      <c r="KSG594"/>
      <c r="KSH594"/>
      <c r="KSI594"/>
      <c r="KSJ594"/>
      <c r="KSK594"/>
      <c r="KSL594"/>
      <c r="KSM594"/>
      <c r="KSN594"/>
      <c r="KSO594"/>
      <c r="KSP594"/>
      <c r="KSQ594"/>
      <c r="KSR594"/>
      <c r="KSS594"/>
      <c r="KST594"/>
      <c r="KSU594"/>
      <c r="KSV594"/>
      <c r="KSW594"/>
      <c r="KSX594"/>
      <c r="KSY594"/>
      <c r="KSZ594"/>
      <c r="KTA594"/>
      <c r="KTB594"/>
      <c r="KTC594"/>
      <c r="KTD594"/>
      <c r="KTE594"/>
      <c r="KTF594"/>
      <c r="KTG594"/>
      <c r="KTH594"/>
      <c r="KTI594"/>
      <c r="KTJ594"/>
      <c r="KTK594"/>
      <c r="KTL594"/>
      <c r="KTM594"/>
      <c r="KTN594"/>
      <c r="KTO594"/>
      <c r="KTP594"/>
      <c r="KTQ594"/>
      <c r="KTR594"/>
      <c r="KTS594"/>
      <c r="KTT594"/>
      <c r="KTU594"/>
      <c r="KTV594"/>
      <c r="KTW594"/>
      <c r="KTX594"/>
      <c r="KTY594"/>
      <c r="KTZ594"/>
      <c r="KUA594"/>
      <c r="KUB594"/>
      <c r="KUC594"/>
      <c r="KUD594"/>
      <c r="KUE594"/>
      <c r="KUF594"/>
      <c r="KUG594"/>
      <c r="KUH594"/>
      <c r="KUI594"/>
      <c r="KUJ594"/>
      <c r="KUK594"/>
      <c r="KUL594"/>
      <c r="KUM594"/>
      <c r="KUN594"/>
      <c r="KUO594"/>
      <c r="KUP594"/>
      <c r="KUQ594"/>
      <c r="KUR594"/>
      <c r="KUS594"/>
      <c r="KUT594"/>
      <c r="KUU594"/>
      <c r="KUV594"/>
      <c r="KUW594"/>
      <c r="KUX594"/>
      <c r="KUY594"/>
      <c r="KUZ594"/>
      <c r="KVA594"/>
      <c r="KVB594"/>
      <c r="KVC594"/>
      <c r="KVD594"/>
      <c r="KVE594"/>
      <c r="KVF594"/>
      <c r="KVG594"/>
      <c r="KVH594"/>
      <c r="KVI594"/>
      <c r="KVJ594"/>
      <c r="KVK594"/>
      <c r="KVL594"/>
      <c r="KVM594"/>
      <c r="KVN594"/>
      <c r="KVO594"/>
      <c r="KVP594"/>
      <c r="KVQ594"/>
      <c r="KVR594"/>
      <c r="KVS594"/>
      <c r="KVT594"/>
      <c r="KVU594"/>
      <c r="KVV594"/>
      <c r="KVW594"/>
      <c r="KVX594"/>
      <c r="KVY594"/>
      <c r="KVZ594"/>
      <c r="KWA594"/>
      <c r="KWB594"/>
      <c r="KWC594"/>
      <c r="KWD594"/>
      <c r="KWE594"/>
      <c r="KWF594"/>
      <c r="KWG594"/>
      <c r="KWH594"/>
      <c r="KWI594"/>
      <c r="KWJ594"/>
      <c r="KWK594"/>
      <c r="KWL594"/>
      <c r="KWM594"/>
      <c r="KWN594"/>
      <c r="KWO594"/>
      <c r="KWP594"/>
      <c r="KWQ594"/>
      <c r="KWR594"/>
      <c r="KWS594"/>
      <c r="KWT594"/>
      <c r="KWU594"/>
      <c r="KWV594"/>
      <c r="KWW594"/>
      <c r="KWX594"/>
      <c r="KWY594"/>
      <c r="KWZ594"/>
      <c r="KXA594"/>
      <c r="KXB594"/>
      <c r="KXC594"/>
      <c r="KXD594"/>
      <c r="KXE594"/>
      <c r="KXF594"/>
      <c r="KXG594"/>
      <c r="KXH594"/>
      <c r="KXI594"/>
      <c r="KXJ594"/>
      <c r="KXK594"/>
      <c r="KXL594"/>
      <c r="KXM594"/>
      <c r="KXN594"/>
      <c r="KXO594"/>
      <c r="KXP594"/>
      <c r="KXQ594"/>
      <c r="KXR594"/>
      <c r="KXS594"/>
      <c r="KXT594"/>
      <c r="KXU594"/>
      <c r="KXV594"/>
      <c r="KXW594"/>
      <c r="KXX594"/>
      <c r="KXY594"/>
      <c r="KXZ594"/>
      <c r="KYA594"/>
      <c r="KYB594"/>
      <c r="KYC594"/>
      <c r="KYD594"/>
      <c r="KYE594"/>
      <c r="KYF594"/>
      <c r="KYG594"/>
      <c r="KYH594"/>
      <c r="KYI594"/>
      <c r="KYJ594"/>
      <c r="KYK594"/>
      <c r="KYL594"/>
      <c r="KYM594"/>
      <c r="KYN594"/>
      <c r="KYO594"/>
      <c r="KYP594"/>
      <c r="KYQ594"/>
      <c r="KYR594"/>
      <c r="KYS594"/>
      <c r="KYT594"/>
      <c r="KYU594"/>
      <c r="KYV594"/>
      <c r="KYW594"/>
      <c r="KYX594"/>
      <c r="KYY594"/>
      <c r="KYZ594"/>
      <c r="KZA594"/>
      <c r="KZB594"/>
      <c r="KZC594"/>
      <c r="KZD594"/>
      <c r="KZE594"/>
      <c r="KZF594"/>
      <c r="KZG594"/>
      <c r="KZH594"/>
      <c r="KZI594"/>
      <c r="KZJ594"/>
      <c r="KZK594"/>
      <c r="KZL594"/>
      <c r="KZM594"/>
      <c r="KZN594"/>
      <c r="KZO594"/>
      <c r="KZP594"/>
      <c r="KZQ594"/>
      <c r="KZR594"/>
      <c r="KZS594"/>
      <c r="KZT594"/>
      <c r="KZU594"/>
      <c r="KZV594"/>
      <c r="KZW594"/>
      <c r="KZX594"/>
      <c r="KZY594"/>
      <c r="KZZ594"/>
      <c r="LAA594"/>
      <c r="LAB594"/>
      <c r="LAC594"/>
      <c r="LAD594"/>
      <c r="LAE594"/>
      <c r="LAF594"/>
      <c r="LAG594"/>
      <c r="LAH594"/>
      <c r="LAI594"/>
      <c r="LAJ594"/>
      <c r="LAK594"/>
      <c r="LAL594"/>
      <c r="LAM594"/>
      <c r="LAN594"/>
      <c r="LAO594"/>
      <c r="LAP594"/>
      <c r="LAQ594"/>
      <c r="LAR594"/>
      <c r="LAS594"/>
      <c r="LAT594"/>
      <c r="LAU594"/>
      <c r="LAV594"/>
      <c r="LAW594"/>
      <c r="LAX594"/>
      <c r="LAY594"/>
      <c r="LAZ594"/>
      <c r="LBA594"/>
      <c r="LBB594"/>
      <c r="LBC594"/>
      <c r="LBD594"/>
      <c r="LBE594"/>
      <c r="LBF594"/>
      <c r="LBG594"/>
      <c r="LBH594"/>
      <c r="LBI594"/>
      <c r="LBJ594"/>
      <c r="LBK594"/>
      <c r="LBL594"/>
      <c r="LBM594"/>
      <c r="LBN594"/>
      <c r="LBO594"/>
      <c r="LBP594"/>
      <c r="LBQ594"/>
      <c r="LBR594"/>
      <c r="LBS594"/>
      <c r="LBT594"/>
      <c r="LBU594"/>
      <c r="LBV594"/>
      <c r="LBW594"/>
      <c r="LBX594"/>
      <c r="LBY594"/>
      <c r="LBZ594"/>
      <c r="LCA594"/>
      <c r="LCB594"/>
      <c r="LCC594"/>
      <c r="LCD594"/>
      <c r="LCE594"/>
      <c r="LCF594"/>
      <c r="LCG594"/>
      <c r="LCH594"/>
      <c r="LCI594"/>
      <c r="LCJ594"/>
      <c r="LCK594"/>
      <c r="LCL594"/>
      <c r="LCM594"/>
      <c r="LCN594"/>
      <c r="LCO594"/>
      <c r="LCP594"/>
      <c r="LCQ594"/>
      <c r="LCR594"/>
      <c r="LCS594"/>
      <c r="LCT594"/>
      <c r="LCU594"/>
      <c r="LCV594"/>
      <c r="LCW594"/>
      <c r="LCX594"/>
      <c r="LCY594"/>
      <c r="LCZ594"/>
      <c r="LDA594"/>
      <c r="LDB594"/>
      <c r="LDC594"/>
      <c r="LDD594"/>
      <c r="LDE594"/>
      <c r="LDF594"/>
      <c r="LDG594"/>
      <c r="LDH594"/>
      <c r="LDI594"/>
      <c r="LDJ594"/>
      <c r="LDK594"/>
      <c r="LDL594"/>
      <c r="LDM594"/>
      <c r="LDN594"/>
      <c r="LDO594"/>
      <c r="LDP594"/>
      <c r="LDQ594"/>
      <c r="LDR594"/>
      <c r="LDS594"/>
      <c r="LDT594"/>
      <c r="LDU594"/>
      <c r="LDV594"/>
      <c r="LDW594"/>
      <c r="LDX594"/>
      <c r="LDY594"/>
      <c r="LDZ594"/>
      <c r="LEA594"/>
      <c r="LEB594"/>
      <c r="LEC594"/>
      <c r="LED594"/>
      <c r="LEE594"/>
      <c r="LEF594"/>
      <c r="LEG594"/>
      <c r="LEH594"/>
      <c r="LEI594"/>
      <c r="LEJ594"/>
      <c r="LEK594"/>
      <c r="LEL594"/>
      <c r="LEM594"/>
      <c r="LEN594"/>
      <c r="LEO594"/>
      <c r="LEP594"/>
      <c r="LEQ594"/>
      <c r="LER594"/>
      <c r="LES594"/>
      <c r="LET594"/>
      <c r="LEU594"/>
      <c r="LEV594"/>
      <c r="LEW594"/>
      <c r="LEX594"/>
      <c r="LEY594"/>
      <c r="LEZ594"/>
      <c r="LFA594"/>
      <c r="LFB594"/>
      <c r="LFC594"/>
      <c r="LFD594"/>
      <c r="LFE594"/>
      <c r="LFF594"/>
      <c r="LFG594"/>
      <c r="LFH594"/>
      <c r="LFI594"/>
      <c r="LFJ594"/>
      <c r="LFK594"/>
      <c r="LFL594"/>
      <c r="LFM594"/>
      <c r="LFN594"/>
      <c r="LFO594"/>
      <c r="LFP594"/>
      <c r="LFQ594"/>
      <c r="LFR594"/>
      <c r="LFS594"/>
      <c r="LFT594"/>
      <c r="LFU594"/>
      <c r="LFV594"/>
      <c r="LFW594"/>
      <c r="LFX594"/>
      <c r="LFY594"/>
      <c r="LFZ594"/>
      <c r="LGA594"/>
      <c r="LGB594"/>
      <c r="LGC594"/>
      <c r="LGD594"/>
      <c r="LGE594"/>
      <c r="LGF594"/>
      <c r="LGG594"/>
      <c r="LGH594"/>
      <c r="LGI594"/>
      <c r="LGJ594"/>
      <c r="LGK594"/>
      <c r="LGL594"/>
      <c r="LGM594"/>
      <c r="LGN594"/>
      <c r="LGO594"/>
      <c r="LGP594"/>
      <c r="LGQ594"/>
      <c r="LGR594"/>
      <c r="LGS594"/>
      <c r="LGT594"/>
      <c r="LGU594"/>
      <c r="LGV594"/>
      <c r="LGW594"/>
      <c r="LGX594"/>
      <c r="LGY594"/>
      <c r="LGZ594"/>
      <c r="LHA594"/>
      <c r="LHB594"/>
      <c r="LHC594"/>
      <c r="LHD594"/>
      <c r="LHE594"/>
      <c r="LHF594"/>
      <c r="LHG594"/>
      <c r="LHH594"/>
      <c r="LHI594"/>
      <c r="LHJ594"/>
      <c r="LHK594"/>
      <c r="LHL594"/>
      <c r="LHM594"/>
      <c r="LHN594"/>
      <c r="LHO594"/>
      <c r="LHP594"/>
      <c r="LHQ594"/>
      <c r="LHR594"/>
      <c r="LHS594"/>
      <c r="LHT594"/>
      <c r="LHU594"/>
      <c r="LHV594"/>
      <c r="LHW594"/>
      <c r="LHX594"/>
      <c r="LHY594"/>
      <c r="LHZ594"/>
      <c r="LIA594"/>
      <c r="LIB594"/>
      <c r="LIC594"/>
      <c r="LID594"/>
      <c r="LIE594"/>
      <c r="LIF594"/>
      <c r="LIG594"/>
      <c r="LIH594"/>
      <c r="LII594"/>
      <c r="LIJ594"/>
      <c r="LIK594"/>
      <c r="LIL594"/>
      <c r="LIM594"/>
      <c r="LIN594"/>
      <c r="LIO594"/>
      <c r="LIP594"/>
      <c r="LIQ594"/>
      <c r="LIR594"/>
      <c r="LIS594"/>
      <c r="LIT594"/>
      <c r="LIU594"/>
      <c r="LIV594"/>
      <c r="LIW594"/>
      <c r="LIX594"/>
      <c r="LIY594"/>
      <c r="LIZ594"/>
      <c r="LJA594"/>
      <c r="LJB594"/>
      <c r="LJC594"/>
      <c r="LJD594"/>
      <c r="LJE594"/>
      <c r="LJF594"/>
      <c r="LJG594"/>
      <c r="LJH594"/>
      <c r="LJI594"/>
      <c r="LJJ594"/>
      <c r="LJK594"/>
      <c r="LJL594"/>
      <c r="LJM594"/>
      <c r="LJN594"/>
      <c r="LJO594"/>
      <c r="LJP594"/>
      <c r="LJQ594"/>
      <c r="LJR594"/>
      <c r="LJS594"/>
      <c r="LJT594"/>
      <c r="LJU594"/>
      <c r="LJV594"/>
      <c r="LJW594"/>
      <c r="LJX594"/>
      <c r="LJY594"/>
      <c r="LJZ594"/>
      <c r="LKA594"/>
      <c r="LKB594"/>
      <c r="LKC594"/>
      <c r="LKD594"/>
      <c r="LKE594"/>
      <c r="LKF594"/>
      <c r="LKG594"/>
      <c r="LKH594"/>
      <c r="LKI594"/>
      <c r="LKJ594"/>
      <c r="LKK594"/>
      <c r="LKL594"/>
      <c r="LKM594"/>
      <c r="LKN594"/>
      <c r="LKO594"/>
      <c r="LKP594"/>
      <c r="LKQ594"/>
      <c r="LKR594"/>
      <c r="LKS594"/>
      <c r="LKT594"/>
      <c r="LKU594"/>
      <c r="LKV594"/>
      <c r="LKW594"/>
      <c r="LKX594"/>
      <c r="LKY594"/>
      <c r="LKZ594"/>
      <c r="LLA594"/>
      <c r="LLB594"/>
      <c r="LLC594"/>
      <c r="LLD594"/>
      <c r="LLE594"/>
      <c r="LLF594"/>
      <c r="LLG594"/>
      <c r="LLH594"/>
      <c r="LLI594"/>
      <c r="LLJ594"/>
      <c r="LLK594"/>
      <c r="LLL594"/>
      <c r="LLM594"/>
      <c r="LLN594"/>
      <c r="LLO594"/>
      <c r="LLP594"/>
      <c r="LLQ594"/>
      <c r="LLR594"/>
      <c r="LLS594"/>
      <c r="LLT594"/>
      <c r="LLU594"/>
      <c r="LLV594"/>
      <c r="LLW594"/>
      <c r="LLX594"/>
      <c r="LLY594"/>
      <c r="LLZ594"/>
      <c r="LMA594"/>
      <c r="LMB594"/>
      <c r="LMC594"/>
      <c r="LMD594"/>
      <c r="LME594"/>
      <c r="LMF594"/>
      <c r="LMG594"/>
      <c r="LMH594"/>
      <c r="LMI594"/>
      <c r="LMJ594"/>
      <c r="LMK594"/>
      <c r="LML594"/>
      <c r="LMM594"/>
      <c r="LMN594"/>
      <c r="LMO594"/>
      <c r="LMP594"/>
      <c r="LMQ594"/>
      <c r="LMR594"/>
      <c r="LMS594"/>
      <c r="LMT594"/>
      <c r="LMU594"/>
      <c r="LMV594"/>
      <c r="LMW594"/>
      <c r="LMX594"/>
      <c r="LMY594"/>
      <c r="LMZ594"/>
      <c r="LNA594"/>
      <c r="LNB594"/>
      <c r="LNC594"/>
      <c r="LND594"/>
      <c r="LNE594"/>
      <c r="LNF594"/>
      <c r="LNG594"/>
      <c r="LNH594"/>
      <c r="LNI594"/>
      <c r="LNJ594"/>
      <c r="LNK594"/>
      <c r="LNL594"/>
      <c r="LNM594"/>
      <c r="LNN594"/>
      <c r="LNO594"/>
      <c r="LNP594"/>
      <c r="LNQ594"/>
      <c r="LNR594"/>
      <c r="LNS594"/>
      <c r="LNT594"/>
      <c r="LNU594"/>
      <c r="LNV594"/>
      <c r="LNW594"/>
      <c r="LNX594"/>
      <c r="LNY594"/>
      <c r="LNZ594"/>
      <c r="LOA594"/>
      <c r="LOB594"/>
      <c r="LOC594"/>
      <c r="LOD594"/>
      <c r="LOE594"/>
      <c r="LOF594"/>
      <c r="LOG594"/>
      <c r="LOH594"/>
      <c r="LOI594"/>
      <c r="LOJ594"/>
      <c r="LOK594"/>
      <c r="LOL594"/>
      <c r="LOM594"/>
      <c r="LON594"/>
      <c r="LOO594"/>
      <c r="LOP594"/>
      <c r="LOQ594"/>
      <c r="LOR594"/>
      <c r="LOS594"/>
      <c r="LOT594"/>
      <c r="LOU594"/>
      <c r="LOV594"/>
      <c r="LOW594"/>
      <c r="LOX594"/>
      <c r="LOY594"/>
      <c r="LOZ594"/>
      <c r="LPA594"/>
      <c r="LPB594"/>
      <c r="LPC594"/>
      <c r="LPD594"/>
      <c r="LPE594"/>
      <c r="LPF594"/>
      <c r="LPG594"/>
      <c r="LPH594"/>
      <c r="LPI594"/>
      <c r="LPJ594"/>
      <c r="LPK594"/>
      <c r="LPL594"/>
      <c r="LPM594"/>
      <c r="LPN594"/>
      <c r="LPO594"/>
      <c r="LPP594"/>
      <c r="LPQ594"/>
      <c r="LPR594"/>
      <c r="LPS594"/>
      <c r="LPT594"/>
      <c r="LPU594"/>
      <c r="LPV594"/>
      <c r="LPW594"/>
      <c r="LPX594"/>
      <c r="LPY594"/>
      <c r="LPZ594"/>
      <c r="LQA594"/>
      <c r="LQB594"/>
      <c r="LQC594"/>
      <c r="LQD594"/>
      <c r="LQE594"/>
      <c r="LQF594"/>
      <c r="LQG594"/>
      <c r="LQH594"/>
      <c r="LQI594"/>
      <c r="LQJ594"/>
      <c r="LQK594"/>
      <c r="LQL594"/>
      <c r="LQM594"/>
      <c r="LQN594"/>
      <c r="LQO594"/>
      <c r="LQP594"/>
      <c r="LQQ594"/>
      <c r="LQR594"/>
      <c r="LQS594"/>
      <c r="LQT594"/>
      <c r="LQU594"/>
      <c r="LQV594"/>
      <c r="LQW594"/>
      <c r="LQX594"/>
      <c r="LQY594"/>
      <c r="LQZ594"/>
      <c r="LRA594"/>
      <c r="LRB594"/>
      <c r="LRC594"/>
      <c r="LRD594"/>
      <c r="LRE594"/>
      <c r="LRF594"/>
      <c r="LRG594"/>
      <c r="LRH594"/>
      <c r="LRI594"/>
      <c r="LRJ594"/>
      <c r="LRK594"/>
      <c r="LRL594"/>
      <c r="LRM594"/>
      <c r="LRN594"/>
      <c r="LRO594"/>
      <c r="LRP594"/>
      <c r="LRQ594"/>
      <c r="LRR594"/>
      <c r="LRS594"/>
      <c r="LRT594"/>
      <c r="LRU594"/>
      <c r="LRV594"/>
      <c r="LRW594"/>
      <c r="LRX594"/>
      <c r="LRY594"/>
      <c r="LRZ594"/>
      <c r="LSA594"/>
      <c r="LSB594"/>
      <c r="LSC594"/>
      <c r="LSD594"/>
      <c r="LSE594"/>
      <c r="LSF594"/>
      <c r="LSG594"/>
      <c r="LSH594"/>
      <c r="LSI594"/>
      <c r="LSJ594"/>
      <c r="LSK594"/>
      <c r="LSL594"/>
      <c r="LSM594"/>
      <c r="LSN594"/>
      <c r="LSO594"/>
      <c r="LSP594"/>
      <c r="LSQ594"/>
      <c r="LSR594"/>
      <c r="LSS594"/>
      <c r="LST594"/>
      <c r="LSU594"/>
      <c r="LSV594"/>
      <c r="LSW594"/>
      <c r="LSX594"/>
      <c r="LSY594"/>
      <c r="LSZ594"/>
      <c r="LTA594"/>
      <c r="LTB594"/>
      <c r="LTC594"/>
      <c r="LTD594"/>
      <c r="LTE594"/>
      <c r="LTF594"/>
      <c r="LTG594"/>
      <c r="LTH594"/>
      <c r="LTI594"/>
      <c r="LTJ594"/>
      <c r="LTK594"/>
      <c r="LTL594"/>
      <c r="LTM594"/>
      <c r="LTN594"/>
      <c r="LTO594"/>
      <c r="LTP594"/>
      <c r="LTQ594"/>
      <c r="LTR594"/>
      <c r="LTS594"/>
      <c r="LTT594"/>
      <c r="LTU594"/>
      <c r="LTV594"/>
      <c r="LTW594"/>
      <c r="LTX594"/>
      <c r="LTY594"/>
      <c r="LTZ594"/>
      <c r="LUA594"/>
      <c r="LUB594"/>
      <c r="LUC594"/>
      <c r="LUD594"/>
      <c r="LUE594"/>
      <c r="LUF594"/>
      <c r="LUG594"/>
      <c r="LUH594"/>
      <c r="LUI594"/>
      <c r="LUJ594"/>
      <c r="LUK594"/>
      <c r="LUL594"/>
      <c r="LUM594"/>
      <c r="LUN594"/>
      <c r="LUO594"/>
      <c r="LUP594"/>
      <c r="LUQ594"/>
      <c r="LUR594"/>
      <c r="LUS594"/>
      <c r="LUT594"/>
      <c r="LUU594"/>
      <c r="LUV594"/>
      <c r="LUW594"/>
      <c r="LUX594"/>
      <c r="LUY594"/>
      <c r="LUZ594"/>
      <c r="LVA594"/>
      <c r="LVB594"/>
      <c r="LVC594"/>
      <c r="LVD594"/>
      <c r="LVE594"/>
      <c r="LVF594"/>
      <c r="LVG594"/>
      <c r="LVH594"/>
      <c r="LVI594"/>
      <c r="LVJ594"/>
      <c r="LVK594"/>
      <c r="LVL594"/>
      <c r="LVM594"/>
      <c r="LVN594"/>
      <c r="LVO594"/>
      <c r="LVP594"/>
      <c r="LVQ594"/>
      <c r="LVR594"/>
      <c r="LVS594"/>
      <c r="LVT594"/>
      <c r="LVU594"/>
      <c r="LVV594"/>
      <c r="LVW594"/>
      <c r="LVX594"/>
      <c r="LVY594"/>
      <c r="LVZ594"/>
      <c r="LWA594"/>
      <c r="LWB594"/>
      <c r="LWC594"/>
      <c r="LWD594"/>
      <c r="LWE594"/>
      <c r="LWF594"/>
      <c r="LWG594"/>
      <c r="LWH594"/>
      <c r="LWI594"/>
      <c r="LWJ594"/>
      <c r="LWK594"/>
      <c r="LWL594"/>
      <c r="LWM594"/>
      <c r="LWN594"/>
      <c r="LWO594"/>
      <c r="LWP594"/>
      <c r="LWQ594"/>
      <c r="LWR594"/>
      <c r="LWS594"/>
      <c r="LWT594"/>
      <c r="LWU594"/>
      <c r="LWV594"/>
      <c r="LWW594"/>
      <c r="LWX594"/>
      <c r="LWY594"/>
      <c r="LWZ594"/>
      <c r="LXA594"/>
      <c r="LXB594"/>
      <c r="LXC594"/>
      <c r="LXD594"/>
      <c r="LXE594"/>
      <c r="LXF594"/>
      <c r="LXG594"/>
      <c r="LXH594"/>
      <c r="LXI594"/>
      <c r="LXJ594"/>
      <c r="LXK594"/>
      <c r="LXL594"/>
      <c r="LXM594"/>
      <c r="LXN594"/>
      <c r="LXO594"/>
      <c r="LXP594"/>
      <c r="LXQ594"/>
      <c r="LXR594"/>
      <c r="LXS594"/>
      <c r="LXT594"/>
      <c r="LXU594"/>
      <c r="LXV594"/>
      <c r="LXW594"/>
      <c r="LXX594"/>
      <c r="LXY594"/>
      <c r="LXZ594"/>
      <c r="LYA594"/>
      <c r="LYB594"/>
      <c r="LYC594"/>
      <c r="LYD594"/>
      <c r="LYE594"/>
      <c r="LYF594"/>
      <c r="LYG594"/>
      <c r="LYH594"/>
      <c r="LYI594"/>
      <c r="LYJ594"/>
      <c r="LYK594"/>
      <c r="LYL594"/>
      <c r="LYM594"/>
      <c r="LYN594"/>
      <c r="LYO594"/>
      <c r="LYP594"/>
      <c r="LYQ594"/>
      <c r="LYR594"/>
      <c r="LYS594"/>
      <c r="LYT594"/>
      <c r="LYU594"/>
      <c r="LYV594"/>
      <c r="LYW594"/>
      <c r="LYX594"/>
      <c r="LYY594"/>
      <c r="LYZ594"/>
      <c r="LZA594"/>
      <c r="LZB594"/>
      <c r="LZC594"/>
      <c r="LZD594"/>
      <c r="LZE594"/>
      <c r="LZF594"/>
      <c r="LZG594"/>
      <c r="LZH594"/>
      <c r="LZI594"/>
      <c r="LZJ594"/>
      <c r="LZK594"/>
      <c r="LZL594"/>
      <c r="LZM594"/>
      <c r="LZN594"/>
      <c r="LZO594"/>
      <c r="LZP594"/>
      <c r="LZQ594"/>
      <c r="LZR594"/>
      <c r="LZS594"/>
      <c r="LZT594"/>
      <c r="LZU594"/>
      <c r="LZV594"/>
      <c r="LZW594"/>
      <c r="LZX594"/>
      <c r="LZY594"/>
      <c r="LZZ594"/>
      <c r="MAA594"/>
      <c r="MAB594"/>
      <c r="MAC594"/>
      <c r="MAD594"/>
      <c r="MAE594"/>
      <c r="MAF594"/>
      <c r="MAG594"/>
      <c r="MAH594"/>
      <c r="MAI594"/>
      <c r="MAJ594"/>
      <c r="MAK594"/>
      <c r="MAL594"/>
      <c r="MAM594"/>
      <c r="MAN594"/>
      <c r="MAO594"/>
      <c r="MAP594"/>
      <c r="MAQ594"/>
      <c r="MAR594"/>
      <c r="MAS594"/>
      <c r="MAT594"/>
      <c r="MAU594"/>
      <c r="MAV594"/>
      <c r="MAW594"/>
      <c r="MAX594"/>
      <c r="MAY594"/>
      <c r="MAZ594"/>
      <c r="MBA594"/>
      <c r="MBB594"/>
      <c r="MBC594"/>
      <c r="MBD594"/>
      <c r="MBE594"/>
      <c r="MBF594"/>
      <c r="MBG594"/>
      <c r="MBH594"/>
      <c r="MBI594"/>
      <c r="MBJ594"/>
      <c r="MBK594"/>
      <c r="MBL594"/>
      <c r="MBM594"/>
      <c r="MBN594"/>
      <c r="MBO594"/>
      <c r="MBP594"/>
      <c r="MBQ594"/>
      <c r="MBR594"/>
      <c r="MBS594"/>
      <c r="MBT594"/>
      <c r="MBU594"/>
      <c r="MBV594"/>
      <c r="MBW594"/>
      <c r="MBX594"/>
      <c r="MBY594"/>
      <c r="MBZ594"/>
      <c r="MCA594"/>
      <c r="MCB594"/>
      <c r="MCC594"/>
      <c r="MCD594"/>
      <c r="MCE594"/>
      <c r="MCF594"/>
      <c r="MCG594"/>
      <c r="MCH594"/>
      <c r="MCI594"/>
      <c r="MCJ594"/>
      <c r="MCK594"/>
      <c r="MCL594"/>
      <c r="MCM594"/>
      <c r="MCN594"/>
      <c r="MCO594"/>
      <c r="MCP594"/>
      <c r="MCQ594"/>
      <c r="MCR594"/>
      <c r="MCS594"/>
      <c r="MCT594"/>
      <c r="MCU594"/>
      <c r="MCV594"/>
      <c r="MCW594"/>
      <c r="MCX594"/>
      <c r="MCY594"/>
      <c r="MCZ594"/>
      <c r="MDA594"/>
      <c r="MDB594"/>
      <c r="MDC594"/>
      <c r="MDD594"/>
      <c r="MDE594"/>
      <c r="MDF594"/>
      <c r="MDG594"/>
      <c r="MDH594"/>
      <c r="MDI594"/>
      <c r="MDJ594"/>
      <c r="MDK594"/>
      <c r="MDL594"/>
      <c r="MDM594"/>
      <c r="MDN594"/>
      <c r="MDO594"/>
      <c r="MDP594"/>
      <c r="MDQ594"/>
      <c r="MDR594"/>
      <c r="MDS594"/>
      <c r="MDT594"/>
      <c r="MDU594"/>
      <c r="MDV594"/>
      <c r="MDW594"/>
      <c r="MDX594"/>
      <c r="MDY594"/>
      <c r="MDZ594"/>
      <c r="MEA594"/>
      <c r="MEB594"/>
      <c r="MEC594"/>
      <c r="MED594"/>
      <c r="MEE594"/>
      <c r="MEF594"/>
      <c r="MEG594"/>
      <c r="MEH594"/>
      <c r="MEI594"/>
      <c r="MEJ594"/>
      <c r="MEK594"/>
      <c r="MEL594"/>
      <c r="MEM594"/>
      <c r="MEN594"/>
      <c r="MEO594"/>
      <c r="MEP594"/>
      <c r="MEQ594"/>
      <c r="MER594"/>
      <c r="MES594"/>
      <c r="MET594"/>
      <c r="MEU594"/>
      <c r="MEV594"/>
      <c r="MEW594"/>
      <c r="MEX594"/>
      <c r="MEY594"/>
      <c r="MEZ594"/>
      <c r="MFA594"/>
      <c r="MFB594"/>
      <c r="MFC594"/>
      <c r="MFD594"/>
      <c r="MFE594"/>
      <c r="MFF594"/>
      <c r="MFG594"/>
      <c r="MFH594"/>
      <c r="MFI594"/>
      <c r="MFJ594"/>
      <c r="MFK594"/>
      <c r="MFL594"/>
      <c r="MFM594"/>
      <c r="MFN594"/>
      <c r="MFO594"/>
      <c r="MFP594"/>
      <c r="MFQ594"/>
      <c r="MFR594"/>
      <c r="MFS594"/>
      <c r="MFT594"/>
      <c r="MFU594"/>
      <c r="MFV594"/>
      <c r="MFW594"/>
      <c r="MFX594"/>
      <c r="MFY594"/>
      <c r="MFZ594"/>
      <c r="MGA594"/>
      <c r="MGB594"/>
      <c r="MGC594"/>
      <c r="MGD594"/>
      <c r="MGE594"/>
      <c r="MGF594"/>
      <c r="MGG594"/>
      <c r="MGH594"/>
      <c r="MGI594"/>
      <c r="MGJ594"/>
      <c r="MGK594"/>
      <c r="MGL594"/>
      <c r="MGM594"/>
      <c r="MGN594"/>
      <c r="MGO594"/>
      <c r="MGP594"/>
      <c r="MGQ594"/>
      <c r="MGR594"/>
      <c r="MGS594"/>
      <c r="MGT594"/>
      <c r="MGU594"/>
      <c r="MGV594"/>
      <c r="MGW594"/>
      <c r="MGX594"/>
      <c r="MGY594"/>
      <c r="MGZ594"/>
      <c r="MHA594"/>
      <c r="MHB594"/>
      <c r="MHC594"/>
      <c r="MHD594"/>
      <c r="MHE594"/>
      <c r="MHF594"/>
      <c r="MHG594"/>
      <c r="MHH594"/>
      <c r="MHI594"/>
      <c r="MHJ594"/>
      <c r="MHK594"/>
      <c r="MHL594"/>
      <c r="MHM594"/>
      <c r="MHN594"/>
      <c r="MHO594"/>
      <c r="MHP594"/>
      <c r="MHQ594"/>
      <c r="MHR594"/>
      <c r="MHS594"/>
      <c r="MHT594"/>
      <c r="MHU594"/>
      <c r="MHV594"/>
      <c r="MHW594"/>
      <c r="MHX594"/>
      <c r="MHY594"/>
      <c r="MHZ594"/>
      <c r="MIA594"/>
      <c r="MIB594"/>
      <c r="MIC594"/>
      <c r="MID594"/>
      <c r="MIE594"/>
      <c r="MIF594"/>
      <c r="MIG594"/>
      <c r="MIH594"/>
      <c r="MII594"/>
      <c r="MIJ594"/>
      <c r="MIK594"/>
      <c r="MIL594"/>
      <c r="MIM594"/>
      <c r="MIN594"/>
      <c r="MIO594"/>
      <c r="MIP594"/>
      <c r="MIQ594"/>
      <c r="MIR594"/>
      <c r="MIS594"/>
      <c r="MIT594"/>
      <c r="MIU594"/>
      <c r="MIV594"/>
      <c r="MIW594"/>
      <c r="MIX594"/>
      <c r="MIY594"/>
      <c r="MIZ594"/>
      <c r="MJA594"/>
      <c r="MJB594"/>
      <c r="MJC594"/>
      <c r="MJD594"/>
      <c r="MJE594"/>
      <c r="MJF594"/>
      <c r="MJG594"/>
      <c r="MJH594"/>
      <c r="MJI594"/>
      <c r="MJJ594"/>
      <c r="MJK594"/>
      <c r="MJL594"/>
      <c r="MJM594"/>
      <c r="MJN594"/>
      <c r="MJO594"/>
      <c r="MJP594"/>
      <c r="MJQ594"/>
      <c r="MJR594"/>
      <c r="MJS594"/>
      <c r="MJT594"/>
      <c r="MJU594"/>
      <c r="MJV594"/>
      <c r="MJW594"/>
      <c r="MJX594"/>
      <c r="MJY594"/>
      <c r="MJZ594"/>
      <c r="MKA594"/>
      <c r="MKB594"/>
      <c r="MKC594"/>
      <c r="MKD594"/>
      <c r="MKE594"/>
      <c r="MKF594"/>
      <c r="MKG594"/>
      <c r="MKH594"/>
      <c r="MKI594"/>
      <c r="MKJ594"/>
      <c r="MKK594"/>
      <c r="MKL594"/>
      <c r="MKM594"/>
      <c r="MKN594"/>
      <c r="MKO594"/>
      <c r="MKP594"/>
      <c r="MKQ594"/>
      <c r="MKR594"/>
      <c r="MKS594"/>
      <c r="MKT594"/>
      <c r="MKU594"/>
      <c r="MKV594"/>
      <c r="MKW594"/>
      <c r="MKX594"/>
      <c r="MKY594"/>
      <c r="MKZ594"/>
      <c r="MLA594"/>
      <c r="MLB594"/>
      <c r="MLC594"/>
      <c r="MLD594"/>
      <c r="MLE594"/>
      <c r="MLF594"/>
      <c r="MLG594"/>
      <c r="MLH594"/>
      <c r="MLI594"/>
      <c r="MLJ594"/>
      <c r="MLK594"/>
      <c r="MLL594"/>
      <c r="MLM594"/>
      <c r="MLN594"/>
      <c r="MLO594"/>
      <c r="MLP594"/>
      <c r="MLQ594"/>
      <c r="MLR594"/>
      <c r="MLS594"/>
      <c r="MLT594"/>
      <c r="MLU594"/>
      <c r="MLV594"/>
      <c r="MLW594"/>
      <c r="MLX594"/>
      <c r="MLY594"/>
      <c r="MLZ594"/>
      <c r="MMA594"/>
      <c r="MMB594"/>
      <c r="MMC594"/>
      <c r="MMD594"/>
      <c r="MME594"/>
      <c r="MMF594"/>
      <c r="MMG594"/>
      <c r="MMH594"/>
      <c r="MMI594"/>
      <c r="MMJ594"/>
      <c r="MMK594"/>
      <c r="MML594"/>
      <c r="MMM594"/>
      <c r="MMN594"/>
      <c r="MMO594"/>
      <c r="MMP594"/>
      <c r="MMQ594"/>
      <c r="MMR594"/>
      <c r="MMS594"/>
      <c r="MMT594"/>
      <c r="MMU594"/>
      <c r="MMV594"/>
      <c r="MMW594"/>
      <c r="MMX594"/>
      <c r="MMY594"/>
      <c r="MMZ594"/>
      <c r="MNA594"/>
      <c r="MNB594"/>
      <c r="MNC594"/>
      <c r="MND594"/>
      <c r="MNE594"/>
      <c r="MNF594"/>
      <c r="MNG594"/>
      <c r="MNH594"/>
      <c r="MNI594"/>
      <c r="MNJ594"/>
      <c r="MNK594"/>
      <c r="MNL594"/>
      <c r="MNM594"/>
      <c r="MNN594"/>
      <c r="MNO594"/>
      <c r="MNP594"/>
      <c r="MNQ594"/>
      <c r="MNR594"/>
      <c r="MNS594"/>
      <c r="MNT594"/>
      <c r="MNU594"/>
      <c r="MNV594"/>
      <c r="MNW594"/>
      <c r="MNX594"/>
      <c r="MNY594"/>
      <c r="MNZ594"/>
      <c r="MOA594"/>
      <c r="MOB594"/>
      <c r="MOC594"/>
      <c r="MOD594"/>
      <c r="MOE594"/>
      <c r="MOF594"/>
      <c r="MOG594"/>
      <c r="MOH594"/>
      <c r="MOI594"/>
      <c r="MOJ594"/>
      <c r="MOK594"/>
      <c r="MOL594"/>
      <c r="MOM594"/>
      <c r="MON594"/>
      <c r="MOO594"/>
      <c r="MOP594"/>
      <c r="MOQ594"/>
      <c r="MOR594"/>
      <c r="MOS594"/>
      <c r="MOT594"/>
      <c r="MOU594"/>
      <c r="MOV594"/>
      <c r="MOW594"/>
      <c r="MOX594"/>
      <c r="MOY594"/>
      <c r="MOZ594"/>
      <c r="MPA594"/>
      <c r="MPB594"/>
      <c r="MPC594"/>
      <c r="MPD594"/>
      <c r="MPE594"/>
      <c r="MPF594"/>
      <c r="MPG594"/>
      <c r="MPH594"/>
      <c r="MPI594"/>
      <c r="MPJ594"/>
      <c r="MPK594"/>
      <c r="MPL594"/>
      <c r="MPM594"/>
      <c r="MPN594"/>
      <c r="MPO594"/>
      <c r="MPP594"/>
      <c r="MPQ594"/>
      <c r="MPR594"/>
      <c r="MPS594"/>
      <c r="MPT594"/>
      <c r="MPU594"/>
      <c r="MPV594"/>
      <c r="MPW594"/>
      <c r="MPX594"/>
      <c r="MPY594"/>
      <c r="MPZ594"/>
      <c r="MQA594"/>
      <c r="MQB594"/>
      <c r="MQC594"/>
      <c r="MQD594"/>
      <c r="MQE594"/>
      <c r="MQF594"/>
      <c r="MQG594"/>
      <c r="MQH594"/>
      <c r="MQI594"/>
      <c r="MQJ594"/>
      <c r="MQK594"/>
      <c r="MQL594"/>
      <c r="MQM594"/>
      <c r="MQN594"/>
      <c r="MQO594"/>
      <c r="MQP594"/>
      <c r="MQQ594"/>
      <c r="MQR594"/>
      <c r="MQS594"/>
      <c r="MQT594"/>
      <c r="MQU594"/>
      <c r="MQV594"/>
      <c r="MQW594"/>
      <c r="MQX594"/>
      <c r="MQY594"/>
      <c r="MQZ594"/>
      <c r="MRA594"/>
      <c r="MRB594"/>
      <c r="MRC594"/>
      <c r="MRD594"/>
      <c r="MRE594"/>
      <c r="MRF594"/>
      <c r="MRG594"/>
      <c r="MRH594"/>
      <c r="MRI594"/>
      <c r="MRJ594"/>
      <c r="MRK594"/>
      <c r="MRL594"/>
      <c r="MRM594"/>
      <c r="MRN594"/>
      <c r="MRO594"/>
      <c r="MRP594"/>
      <c r="MRQ594"/>
      <c r="MRR594"/>
      <c r="MRS594"/>
      <c r="MRT594"/>
      <c r="MRU594"/>
      <c r="MRV594"/>
      <c r="MRW594"/>
      <c r="MRX594"/>
      <c r="MRY594"/>
      <c r="MRZ594"/>
      <c r="MSA594"/>
      <c r="MSB594"/>
      <c r="MSC594"/>
      <c r="MSD594"/>
      <c r="MSE594"/>
      <c r="MSF594"/>
      <c r="MSG594"/>
      <c r="MSH594"/>
      <c r="MSI594"/>
      <c r="MSJ594"/>
      <c r="MSK594"/>
      <c r="MSL594"/>
      <c r="MSM594"/>
      <c r="MSN594"/>
      <c r="MSO594"/>
      <c r="MSP594"/>
      <c r="MSQ594"/>
      <c r="MSR594"/>
      <c r="MSS594"/>
      <c r="MST594"/>
      <c r="MSU594"/>
      <c r="MSV594"/>
      <c r="MSW594"/>
      <c r="MSX594"/>
      <c r="MSY594"/>
      <c r="MSZ594"/>
      <c r="MTA594"/>
      <c r="MTB594"/>
      <c r="MTC594"/>
      <c r="MTD594"/>
      <c r="MTE594"/>
      <c r="MTF594"/>
      <c r="MTG594"/>
      <c r="MTH594"/>
      <c r="MTI594"/>
      <c r="MTJ594"/>
      <c r="MTK594"/>
      <c r="MTL594"/>
      <c r="MTM594"/>
      <c r="MTN594"/>
      <c r="MTO594"/>
      <c r="MTP594"/>
      <c r="MTQ594"/>
      <c r="MTR594"/>
      <c r="MTS594"/>
      <c r="MTT594"/>
      <c r="MTU594"/>
      <c r="MTV594"/>
      <c r="MTW594"/>
      <c r="MTX594"/>
      <c r="MTY594"/>
      <c r="MTZ594"/>
      <c r="MUA594"/>
      <c r="MUB594"/>
      <c r="MUC594"/>
      <c r="MUD594"/>
      <c r="MUE594"/>
      <c r="MUF594"/>
      <c r="MUG594"/>
      <c r="MUH594"/>
      <c r="MUI594"/>
      <c r="MUJ594"/>
      <c r="MUK594"/>
      <c r="MUL594"/>
      <c r="MUM594"/>
      <c r="MUN594"/>
      <c r="MUO594"/>
      <c r="MUP594"/>
      <c r="MUQ594"/>
      <c r="MUR594"/>
      <c r="MUS594"/>
      <c r="MUT594"/>
      <c r="MUU594"/>
      <c r="MUV594"/>
      <c r="MUW594"/>
      <c r="MUX594"/>
      <c r="MUY594"/>
      <c r="MUZ594"/>
      <c r="MVA594"/>
      <c r="MVB594"/>
      <c r="MVC594"/>
      <c r="MVD594"/>
      <c r="MVE594"/>
      <c r="MVF594"/>
      <c r="MVG594"/>
      <c r="MVH594"/>
      <c r="MVI594"/>
      <c r="MVJ594"/>
      <c r="MVK594"/>
      <c r="MVL594"/>
      <c r="MVM594"/>
      <c r="MVN594"/>
      <c r="MVO594"/>
      <c r="MVP594"/>
      <c r="MVQ594"/>
      <c r="MVR594"/>
      <c r="MVS594"/>
      <c r="MVT594"/>
      <c r="MVU594"/>
      <c r="MVV594"/>
      <c r="MVW594"/>
      <c r="MVX594"/>
      <c r="MVY594"/>
      <c r="MVZ594"/>
      <c r="MWA594"/>
      <c r="MWB594"/>
      <c r="MWC594"/>
      <c r="MWD594"/>
      <c r="MWE594"/>
      <c r="MWF594"/>
      <c r="MWG594"/>
      <c r="MWH594"/>
      <c r="MWI594"/>
      <c r="MWJ594"/>
      <c r="MWK594"/>
      <c r="MWL594"/>
      <c r="MWM594"/>
      <c r="MWN594"/>
      <c r="MWO594"/>
      <c r="MWP594"/>
      <c r="MWQ594"/>
      <c r="MWR594"/>
      <c r="MWS594"/>
      <c r="MWT594"/>
      <c r="MWU594"/>
      <c r="MWV594"/>
      <c r="MWW594"/>
      <c r="MWX594"/>
      <c r="MWY594"/>
      <c r="MWZ594"/>
      <c r="MXA594"/>
      <c r="MXB594"/>
      <c r="MXC594"/>
      <c r="MXD594"/>
      <c r="MXE594"/>
      <c r="MXF594"/>
      <c r="MXG594"/>
      <c r="MXH594"/>
      <c r="MXI594"/>
      <c r="MXJ594"/>
      <c r="MXK594"/>
      <c r="MXL594"/>
      <c r="MXM594"/>
      <c r="MXN594"/>
      <c r="MXO594"/>
      <c r="MXP594"/>
      <c r="MXQ594"/>
      <c r="MXR594"/>
      <c r="MXS594"/>
      <c r="MXT594"/>
      <c r="MXU594"/>
      <c r="MXV594"/>
      <c r="MXW594"/>
      <c r="MXX594"/>
      <c r="MXY594"/>
      <c r="MXZ594"/>
      <c r="MYA594"/>
      <c r="MYB594"/>
      <c r="MYC594"/>
      <c r="MYD594"/>
      <c r="MYE594"/>
      <c r="MYF594"/>
      <c r="MYG594"/>
      <c r="MYH594"/>
      <c r="MYI594"/>
      <c r="MYJ594"/>
      <c r="MYK594"/>
      <c r="MYL594"/>
      <c r="MYM594"/>
      <c r="MYN594"/>
      <c r="MYO594"/>
      <c r="MYP594"/>
      <c r="MYQ594"/>
      <c r="MYR594"/>
      <c r="MYS594"/>
      <c r="MYT594"/>
      <c r="MYU594"/>
      <c r="MYV594"/>
      <c r="MYW594"/>
      <c r="MYX594"/>
      <c r="MYY594"/>
      <c r="MYZ594"/>
      <c r="MZA594"/>
      <c r="MZB594"/>
      <c r="MZC594"/>
      <c r="MZD594"/>
      <c r="MZE594"/>
      <c r="MZF594"/>
      <c r="MZG594"/>
      <c r="MZH594"/>
      <c r="MZI594"/>
      <c r="MZJ594"/>
      <c r="MZK594"/>
      <c r="MZL594"/>
      <c r="MZM594"/>
      <c r="MZN594"/>
      <c r="MZO594"/>
      <c r="MZP594"/>
      <c r="MZQ594"/>
      <c r="MZR594"/>
      <c r="MZS594"/>
      <c r="MZT594"/>
      <c r="MZU594"/>
      <c r="MZV594"/>
      <c r="MZW594"/>
      <c r="MZX594"/>
      <c r="MZY594"/>
      <c r="MZZ594"/>
      <c r="NAA594"/>
      <c r="NAB594"/>
      <c r="NAC594"/>
      <c r="NAD594"/>
      <c r="NAE594"/>
      <c r="NAF594"/>
      <c r="NAG594"/>
      <c r="NAH594"/>
      <c r="NAI594"/>
      <c r="NAJ594"/>
      <c r="NAK594"/>
      <c r="NAL594"/>
      <c r="NAM594"/>
      <c r="NAN594"/>
      <c r="NAO594"/>
      <c r="NAP594"/>
      <c r="NAQ594"/>
      <c r="NAR594"/>
      <c r="NAS594"/>
      <c r="NAT594"/>
      <c r="NAU594"/>
      <c r="NAV594"/>
      <c r="NAW594"/>
      <c r="NAX594"/>
      <c r="NAY594"/>
      <c r="NAZ594"/>
      <c r="NBA594"/>
      <c r="NBB594"/>
      <c r="NBC594"/>
      <c r="NBD594"/>
      <c r="NBE594"/>
      <c r="NBF594"/>
      <c r="NBG594"/>
      <c r="NBH594"/>
      <c r="NBI594"/>
      <c r="NBJ594"/>
      <c r="NBK594"/>
      <c r="NBL594"/>
      <c r="NBM594"/>
      <c r="NBN594"/>
      <c r="NBO594"/>
      <c r="NBP594"/>
      <c r="NBQ594"/>
      <c r="NBR594"/>
      <c r="NBS594"/>
      <c r="NBT594"/>
      <c r="NBU594"/>
      <c r="NBV594"/>
      <c r="NBW594"/>
      <c r="NBX594"/>
      <c r="NBY594"/>
      <c r="NBZ594"/>
      <c r="NCA594"/>
      <c r="NCB594"/>
      <c r="NCC594"/>
      <c r="NCD594"/>
      <c r="NCE594"/>
      <c r="NCF594"/>
      <c r="NCG594"/>
      <c r="NCH594"/>
      <c r="NCI594"/>
      <c r="NCJ594"/>
      <c r="NCK594"/>
      <c r="NCL594"/>
      <c r="NCM594"/>
      <c r="NCN594"/>
      <c r="NCO594"/>
      <c r="NCP594"/>
      <c r="NCQ594"/>
      <c r="NCR594"/>
      <c r="NCS594"/>
      <c r="NCT594"/>
      <c r="NCU594"/>
      <c r="NCV594"/>
      <c r="NCW594"/>
      <c r="NCX594"/>
      <c r="NCY594"/>
      <c r="NCZ594"/>
      <c r="NDA594"/>
      <c r="NDB594"/>
      <c r="NDC594"/>
      <c r="NDD594"/>
      <c r="NDE594"/>
      <c r="NDF594"/>
      <c r="NDG594"/>
      <c r="NDH594"/>
      <c r="NDI594"/>
      <c r="NDJ594"/>
      <c r="NDK594"/>
      <c r="NDL594"/>
      <c r="NDM594"/>
      <c r="NDN594"/>
      <c r="NDO594"/>
      <c r="NDP594"/>
      <c r="NDQ594"/>
      <c r="NDR594"/>
      <c r="NDS594"/>
      <c r="NDT594"/>
      <c r="NDU594"/>
      <c r="NDV594"/>
      <c r="NDW594"/>
      <c r="NDX594"/>
      <c r="NDY594"/>
      <c r="NDZ594"/>
      <c r="NEA594"/>
      <c r="NEB594"/>
      <c r="NEC594"/>
      <c r="NED594"/>
      <c r="NEE594"/>
      <c r="NEF594"/>
      <c r="NEG594"/>
      <c r="NEH594"/>
      <c r="NEI594"/>
      <c r="NEJ594"/>
      <c r="NEK594"/>
      <c r="NEL594"/>
      <c r="NEM594"/>
      <c r="NEN594"/>
      <c r="NEO594"/>
      <c r="NEP594"/>
      <c r="NEQ594"/>
      <c r="NER594"/>
      <c r="NES594"/>
      <c r="NET594"/>
      <c r="NEU594"/>
      <c r="NEV594"/>
      <c r="NEW594"/>
      <c r="NEX594"/>
      <c r="NEY594"/>
      <c r="NEZ594"/>
      <c r="NFA594"/>
      <c r="NFB594"/>
      <c r="NFC594"/>
      <c r="NFD594"/>
      <c r="NFE594"/>
      <c r="NFF594"/>
      <c r="NFG594"/>
      <c r="NFH594"/>
      <c r="NFI594"/>
      <c r="NFJ594"/>
      <c r="NFK594"/>
      <c r="NFL594"/>
      <c r="NFM594"/>
      <c r="NFN594"/>
      <c r="NFO594"/>
      <c r="NFP594"/>
      <c r="NFQ594"/>
      <c r="NFR594"/>
      <c r="NFS594"/>
      <c r="NFT594"/>
      <c r="NFU594"/>
      <c r="NFV594"/>
      <c r="NFW594"/>
      <c r="NFX594"/>
      <c r="NFY594"/>
      <c r="NFZ594"/>
      <c r="NGA594"/>
      <c r="NGB594"/>
      <c r="NGC594"/>
      <c r="NGD594"/>
      <c r="NGE594"/>
      <c r="NGF594"/>
      <c r="NGG594"/>
      <c r="NGH594"/>
      <c r="NGI594"/>
      <c r="NGJ594"/>
      <c r="NGK594"/>
      <c r="NGL594"/>
      <c r="NGM594"/>
      <c r="NGN594"/>
      <c r="NGO594"/>
      <c r="NGP594"/>
      <c r="NGQ594"/>
      <c r="NGR594"/>
      <c r="NGS594"/>
      <c r="NGT594"/>
      <c r="NGU594"/>
      <c r="NGV594"/>
      <c r="NGW594"/>
      <c r="NGX594"/>
      <c r="NGY594"/>
      <c r="NGZ594"/>
      <c r="NHA594"/>
      <c r="NHB594"/>
      <c r="NHC594"/>
      <c r="NHD594"/>
      <c r="NHE594"/>
      <c r="NHF594"/>
      <c r="NHG594"/>
      <c r="NHH594"/>
      <c r="NHI594"/>
      <c r="NHJ594"/>
      <c r="NHK594"/>
      <c r="NHL594"/>
      <c r="NHM594"/>
      <c r="NHN594"/>
      <c r="NHO594"/>
      <c r="NHP594"/>
      <c r="NHQ594"/>
      <c r="NHR594"/>
      <c r="NHS594"/>
      <c r="NHT594"/>
      <c r="NHU594"/>
      <c r="NHV594"/>
      <c r="NHW594"/>
      <c r="NHX594"/>
      <c r="NHY594"/>
      <c r="NHZ594"/>
      <c r="NIA594"/>
      <c r="NIB594"/>
      <c r="NIC594"/>
      <c r="NID594"/>
      <c r="NIE594"/>
      <c r="NIF594"/>
      <c r="NIG594"/>
      <c r="NIH594"/>
      <c r="NII594"/>
      <c r="NIJ594"/>
      <c r="NIK594"/>
      <c r="NIL594"/>
      <c r="NIM594"/>
      <c r="NIN594"/>
      <c r="NIO594"/>
      <c r="NIP594"/>
      <c r="NIQ594"/>
      <c r="NIR594"/>
      <c r="NIS594"/>
      <c r="NIT594"/>
      <c r="NIU594"/>
      <c r="NIV594"/>
      <c r="NIW594"/>
      <c r="NIX594"/>
      <c r="NIY594"/>
      <c r="NIZ594"/>
      <c r="NJA594"/>
      <c r="NJB594"/>
      <c r="NJC594"/>
      <c r="NJD594"/>
      <c r="NJE594"/>
      <c r="NJF594"/>
      <c r="NJG594"/>
      <c r="NJH594"/>
      <c r="NJI594"/>
      <c r="NJJ594"/>
      <c r="NJK594"/>
      <c r="NJL594"/>
      <c r="NJM594"/>
      <c r="NJN594"/>
      <c r="NJO594"/>
      <c r="NJP594"/>
      <c r="NJQ594"/>
      <c r="NJR594"/>
      <c r="NJS594"/>
      <c r="NJT594"/>
      <c r="NJU594"/>
      <c r="NJV594"/>
      <c r="NJW594"/>
      <c r="NJX594"/>
      <c r="NJY594"/>
      <c r="NJZ594"/>
      <c r="NKA594"/>
      <c r="NKB594"/>
      <c r="NKC594"/>
      <c r="NKD594"/>
      <c r="NKE594"/>
      <c r="NKF594"/>
      <c r="NKG594"/>
      <c r="NKH594"/>
      <c r="NKI594"/>
      <c r="NKJ594"/>
      <c r="NKK594"/>
      <c r="NKL594"/>
      <c r="NKM594"/>
      <c r="NKN594"/>
      <c r="NKO594"/>
      <c r="NKP594"/>
      <c r="NKQ594"/>
      <c r="NKR594"/>
      <c r="NKS594"/>
      <c r="NKT594"/>
      <c r="NKU594"/>
      <c r="NKV594"/>
      <c r="NKW594"/>
      <c r="NKX594"/>
      <c r="NKY594"/>
      <c r="NKZ594"/>
      <c r="NLA594"/>
      <c r="NLB594"/>
      <c r="NLC594"/>
      <c r="NLD594"/>
      <c r="NLE594"/>
      <c r="NLF594"/>
      <c r="NLG594"/>
      <c r="NLH594"/>
      <c r="NLI594"/>
      <c r="NLJ594"/>
      <c r="NLK594"/>
      <c r="NLL594"/>
      <c r="NLM594"/>
      <c r="NLN594"/>
      <c r="NLO594"/>
      <c r="NLP594"/>
      <c r="NLQ594"/>
      <c r="NLR594"/>
      <c r="NLS594"/>
      <c r="NLT594"/>
      <c r="NLU594"/>
      <c r="NLV594"/>
      <c r="NLW594"/>
      <c r="NLX594"/>
      <c r="NLY594"/>
      <c r="NLZ594"/>
      <c r="NMA594"/>
      <c r="NMB594"/>
      <c r="NMC594"/>
      <c r="NMD594"/>
      <c r="NME594"/>
      <c r="NMF594"/>
      <c r="NMG594"/>
      <c r="NMH594"/>
      <c r="NMI594"/>
      <c r="NMJ594"/>
      <c r="NMK594"/>
      <c r="NML594"/>
      <c r="NMM594"/>
      <c r="NMN594"/>
      <c r="NMO594"/>
      <c r="NMP594"/>
      <c r="NMQ594"/>
      <c r="NMR594"/>
      <c r="NMS594"/>
      <c r="NMT594"/>
      <c r="NMU594"/>
      <c r="NMV594"/>
      <c r="NMW594"/>
      <c r="NMX594"/>
      <c r="NMY594"/>
      <c r="NMZ594"/>
      <c r="NNA594"/>
      <c r="NNB594"/>
      <c r="NNC594"/>
      <c r="NND594"/>
      <c r="NNE594"/>
      <c r="NNF594"/>
      <c r="NNG594"/>
      <c r="NNH594"/>
      <c r="NNI594"/>
      <c r="NNJ594"/>
      <c r="NNK594"/>
      <c r="NNL594"/>
      <c r="NNM594"/>
      <c r="NNN594"/>
      <c r="NNO594"/>
      <c r="NNP594"/>
      <c r="NNQ594"/>
      <c r="NNR594"/>
      <c r="NNS594"/>
      <c r="NNT594"/>
      <c r="NNU594"/>
      <c r="NNV594"/>
      <c r="NNW594"/>
      <c r="NNX594"/>
      <c r="NNY594"/>
      <c r="NNZ594"/>
      <c r="NOA594"/>
      <c r="NOB594"/>
      <c r="NOC594"/>
      <c r="NOD594"/>
      <c r="NOE594"/>
      <c r="NOF594"/>
      <c r="NOG594"/>
      <c r="NOH594"/>
      <c r="NOI594"/>
      <c r="NOJ594"/>
      <c r="NOK594"/>
      <c r="NOL594"/>
      <c r="NOM594"/>
      <c r="NON594"/>
      <c r="NOO594"/>
      <c r="NOP594"/>
      <c r="NOQ594"/>
      <c r="NOR594"/>
      <c r="NOS594"/>
      <c r="NOT594"/>
      <c r="NOU594"/>
      <c r="NOV594"/>
      <c r="NOW594"/>
      <c r="NOX594"/>
      <c r="NOY594"/>
      <c r="NOZ594"/>
      <c r="NPA594"/>
      <c r="NPB594"/>
      <c r="NPC594"/>
      <c r="NPD594"/>
      <c r="NPE594"/>
      <c r="NPF594"/>
      <c r="NPG594"/>
      <c r="NPH594"/>
      <c r="NPI594"/>
      <c r="NPJ594"/>
      <c r="NPK594"/>
      <c r="NPL594"/>
      <c r="NPM594"/>
      <c r="NPN594"/>
      <c r="NPO594"/>
      <c r="NPP594"/>
      <c r="NPQ594"/>
      <c r="NPR594"/>
      <c r="NPS594"/>
      <c r="NPT594"/>
      <c r="NPU594"/>
      <c r="NPV594"/>
      <c r="NPW594"/>
      <c r="NPX594"/>
      <c r="NPY594"/>
      <c r="NPZ594"/>
      <c r="NQA594"/>
      <c r="NQB594"/>
      <c r="NQC594"/>
      <c r="NQD594"/>
      <c r="NQE594"/>
      <c r="NQF594"/>
      <c r="NQG594"/>
      <c r="NQH594"/>
      <c r="NQI594"/>
      <c r="NQJ594"/>
      <c r="NQK594"/>
      <c r="NQL594"/>
      <c r="NQM594"/>
      <c r="NQN594"/>
      <c r="NQO594"/>
      <c r="NQP594"/>
      <c r="NQQ594"/>
      <c r="NQR594"/>
      <c r="NQS594"/>
      <c r="NQT594"/>
      <c r="NQU594"/>
      <c r="NQV594"/>
      <c r="NQW594"/>
      <c r="NQX594"/>
      <c r="NQY594"/>
      <c r="NQZ594"/>
      <c r="NRA594"/>
      <c r="NRB594"/>
      <c r="NRC594"/>
      <c r="NRD594"/>
      <c r="NRE594"/>
      <c r="NRF594"/>
      <c r="NRG594"/>
      <c r="NRH594"/>
      <c r="NRI594"/>
      <c r="NRJ594"/>
      <c r="NRK594"/>
      <c r="NRL594"/>
      <c r="NRM594"/>
      <c r="NRN594"/>
      <c r="NRO594"/>
      <c r="NRP594"/>
      <c r="NRQ594"/>
      <c r="NRR594"/>
      <c r="NRS594"/>
      <c r="NRT594"/>
      <c r="NRU594"/>
      <c r="NRV594"/>
      <c r="NRW594"/>
      <c r="NRX594"/>
      <c r="NRY594"/>
      <c r="NRZ594"/>
      <c r="NSA594"/>
      <c r="NSB594"/>
      <c r="NSC594"/>
      <c r="NSD594"/>
      <c r="NSE594"/>
      <c r="NSF594"/>
      <c r="NSG594"/>
      <c r="NSH594"/>
      <c r="NSI594"/>
      <c r="NSJ594"/>
      <c r="NSK594"/>
      <c r="NSL594"/>
      <c r="NSM594"/>
      <c r="NSN594"/>
      <c r="NSO594"/>
      <c r="NSP594"/>
      <c r="NSQ594"/>
      <c r="NSR594"/>
      <c r="NSS594"/>
      <c r="NST594"/>
      <c r="NSU594"/>
      <c r="NSV594"/>
      <c r="NSW594"/>
      <c r="NSX594"/>
      <c r="NSY594"/>
      <c r="NSZ594"/>
      <c r="NTA594"/>
      <c r="NTB594"/>
      <c r="NTC594"/>
      <c r="NTD594"/>
      <c r="NTE594"/>
      <c r="NTF594"/>
      <c r="NTG594"/>
      <c r="NTH594"/>
      <c r="NTI594"/>
      <c r="NTJ594"/>
      <c r="NTK594"/>
      <c r="NTL594"/>
      <c r="NTM594"/>
      <c r="NTN594"/>
      <c r="NTO594"/>
      <c r="NTP594"/>
      <c r="NTQ594"/>
      <c r="NTR594"/>
      <c r="NTS594"/>
      <c r="NTT594"/>
      <c r="NTU594"/>
      <c r="NTV594"/>
      <c r="NTW594"/>
      <c r="NTX594"/>
      <c r="NTY594"/>
      <c r="NTZ594"/>
      <c r="NUA594"/>
      <c r="NUB594"/>
      <c r="NUC594"/>
      <c r="NUD594"/>
      <c r="NUE594"/>
      <c r="NUF594"/>
      <c r="NUG594"/>
      <c r="NUH594"/>
      <c r="NUI594"/>
      <c r="NUJ594"/>
      <c r="NUK594"/>
      <c r="NUL594"/>
      <c r="NUM594"/>
      <c r="NUN594"/>
      <c r="NUO594"/>
      <c r="NUP594"/>
      <c r="NUQ594"/>
      <c r="NUR594"/>
      <c r="NUS594"/>
      <c r="NUT594"/>
      <c r="NUU594"/>
      <c r="NUV594"/>
      <c r="NUW594"/>
      <c r="NUX594"/>
      <c r="NUY594"/>
      <c r="NUZ594"/>
      <c r="NVA594"/>
      <c r="NVB594"/>
      <c r="NVC594"/>
      <c r="NVD594"/>
      <c r="NVE594"/>
      <c r="NVF594"/>
      <c r="NVG594"/>
      <c r="NVH594"/>
      <c r="NVI594"/>
      <c r="NVJ594"/>
      <c r="NVK594"/>
      <c r="NVL594"/>
      <c r="NVM594"/>
      <c r="NVN594"/>
      <c r="NVO594"/>
      <c r="NVP594"/>
      <c r="NVQ594"/>
      <c r="NVR594"/>
      <c r="NVS594"/>
      <c r="NVT594"/>
      <c r="NVU594"/>
      <c r="NVV594"/>
      <c r="NVW594"/>
      <c r="NVX594"/>
      <c r="NVY594"/>
      <c r="NVZ594"/>
      <c r="NWA594"/>
      <c r="NWB594"/>
      <c r="NWC594"/>
      <c r="NWD594"/>
      <c r="NWE594"/>
      <c r="NWF594"/>
      <c r="NWG594"/>
      <c r="NWH594"/>
      <c r="NWI594"/>
      <c r="NWJ594"/>
      <c r="NWK594"/>
      <c r="NWL594"/>
      <c r="NWM594"/>
      <c r="NWN594"/>
      <c r="NWO594"/>
      <c r="NWP594"/>
      <c r="NWQ594"/>
      <c r="NWR594"/>
      <c r="NWS594"/>
      <c r="NWT594"/>
      <c r="NWU594"/>
      <c r="NWV594"/>
      <c r="NWW594"/>
      <c r="NWX594"/>
      <c r="NWY594"/>
      <c r="NWZ594"/>
      <c r="NXA594"/>
      <c r="NXB594"/>
      <c r="NXC594"/>
      <c r="NXD594"/>
      <c r="NXE594"/>
      <c r="NXF594"/>
      <c r="NXG594"/>
      <c r="NXH594"/>
      <c r="NXI594"/>
      <c r="NXJ594"/>
      <c r="NXK594"/>
      <c r="NXL594"/>
      <c r="NXM594"/>
      <c r="NXN594"/>
      <c r="NXO594"/>
      <c r="NXP594"/>
      <c r="NXQ594"/>
      <c r="NXR594"/>
      <c r="NXS594"/>
      <c r="NXT594"/>
      <c r="NXU594"/>
      <c r="NXV594"/>
      <c r="NXW594"/>
      <c r="NXX594"/>
      <c r="NXY594"/>
      <c r="NXZ594"/>
      <c r="NYA594"/>
      <c r="NYB594"/>
      <c r="NYC594"/>
      <c r="NYD594"/>
      <c r="NYE594"/>
      <c r="NYF594"/>
      <c r="NYG594"/>
      <c r="NYH594"/>
      <c r="NYI594"/>
      <c r="NYJ594"/>
      <c r="NYK594"/>
      <c r="NYL594"/>
      <c r="NYM594"/>
      <c r="NYN594"/>
      <c r="NYO594"/>
      <c r="NYP594"/>
      <c r="NYQ594"/>
      <c r="NYR594"/>
      <c r="NYS594"/>
      <c r="NYT594"/>
      <c r="NYU594"/>
      <c r="NYV594"/>
      <c r="NYW594"/>
      <c r="NYX594"/>
      <c r="NYY594"/>
      <c r="NYZ594"/>
      <c r="NZA594"/>
      <c r="NZB594"/>
      <c r="NZC594"/>
      <c r="NZD594"/>
      <c r="NZE594"/>
      <c r="NZF594"/>
      <c r="NZG594"/>
      <c r="NZH594"/>
      <c r="NZI594"/>
      <c r="NZJ594"/>
      <c r="NZK594"/>
      <c r="NZL594"/>
      <c r="NZM594"/>
      <c r="NZN594"/>
      <c r="NZO594"/>
      <c r="NZP594"/>
      <c r="NZQ594"/>
      <c r="NZR594"/>
      <c r="NZS594"/>
      <c r="NZT594"/>
      <c r="NZU594"/>
      <c r="NZV594"/>
      <c r="NZW594"/>
      <c r="NZX594"/>
      <c r="NZY594"/>
      <c r="NZZ594"/>
      <c r="OAA594"/>
      <c r="OAB594"/>
      <c r="OAC594"/>
      <c r="OAD594"/>
      <c r="OAE594"/>
      <c r="OAF594"/>
      <c r="OAG594"/>
      <c r="OAH594"/>
      <c r="OAI594"/>
      <c r="OAJ594"/>
      <c r="OAK594"/>
      <c r="OAL594"/>
      <c r="OAM594"/>
      <c r="OAN594"/>
      <c r="OAO594"/>
      <c r="OAP594"/>
      <c r="OAQ594"/>
      <c r="OAR594"/>
      <c r="OAS594"/>
      <c r="OAT594"/>
      <c r="OAU594"/>
      <c r="OAV594"/>
      <c r="OAW594"/>
      <c r="OAX594"/>
      <c r="OAY594"/>
      <c r="OAZ594"/>
      <c r="OBA594"/>
      <c r="OBB594"/>
      <c r="OBC594"/>
      <c r="OBD594"/>
      <c r="OBE594"/>
      <c r="OBF594"/>
      <c r="OBG594"/>
      <c r="OBH594"/>
      <c r="OBI594"/>
      <c r="OBJ594"/>
      <c r="OBK594"/>
      <c r="OBL594"/>
      <c r="OBM594"/>
      <c r="OBN594"/>
      <c r="OBO594"/>
      <c r="OBP594"/>
      <c r="OBQ594"/>
      <c r="OBR594"/>
      <c r="OBS594"/>
      <c r="OBT594"/>
      <c r="OBU594"/>
      <c r="OBV594"/>
      <c r="OBW594"/>
      <c r="OBX594"/>
      <c r="OBY594"/>
      <c r="OBZ594"/>
      <c r="OCA594"/>
      <c r="OCB594"/>
      <c r="OCC594"/>
      <c r="OCD594"/>
      <c r="OCE594"/>
      <c r="OCF594"/>
      <c r="OCG594"/>
      <c r="OCH594"/>
      <c r="OCI594"/>
      <c r="OCJ594"/>
      <c r="OCK594"/>
      <c r="OCL594"/>
      <c r="OCM594"/>
      <c r="OCN594"/>
      <c r="OCO594"/>
      <c r="OCP594"/>
      <c r="OCQ594"/>
      <c r="OCR594"/>
      <c r="OCS594"/>
      <c r="OCT594"/>
      <c r="OCU594"/>
      <c r="OCV594"/>
      <c r="OCW594"/>
      <c r="OCX594"/>
      <c r="OCY594"/>
      <c r="OCZ594"/>
      <c r="ODA594"/>
      <c r="ODB594"/>
      <c r="ODC594"/>
      <c r="ODD594"/>
      <c r="ODE594"/>
      <c r="ODF594"/>
      <c r="ODG594"/>
      <c r="ODH594"/>
      <c r="ODI594"/>
      <c r="ODJ594"/>
      <c r="ODK594"/>
      <c r="ODL594"/>
      <c r="ODM594"/>
      <c r="ODN594"/>
      <c r="ODO594"/>
      <c r="ODP594"/>
      <c r="ODQ594"/>
      <c r="ODR594"/>
      <c r="ODS594"/>
      <c r="ODT594"/>
      <c r="ODU594"/>
      <c r="ODV594"/>
      <c r="ODW594"/>
      <c r="ODX594"/>
      <c r="ODY594"/>
      <c r="ODZ594"/>
      <c r="OEA594"/>
      <c r="OEB594"/>
      <c r="OEC594"/>
      <c r="OED594"/>
      <c r="OEE594"/>
      <c r="OEF594"/>
      <c r="OEG594"/>
      <c r="OEH594"/>
      <c r="OEI594"/>
      <c r="OEJ594"/>
      <c r="OEK594"/>
      <c r="OEL594"/>
      <c r="OEM594"/>
      <c r="OEN594"/>
      <c r="OEO594"/>
      <c r="OEP594"/>
      <c r="OEQ594"/>
      <c r="OER594"/>
      <c r="OES594"/>
      <c r="OET594"/>
      <c r="OEU594"/>
      <c r="OEV594"/>
      <c r="OEW594"/>
      <c r="OEX594"/>
      <c r="OEY594"/>
      <c r="OEZ594"/>
      <c r="OFA594"/>
      <c r="OFB594"/>
      <c r="OFC594"/>
      <c r="OFD594"/>
      <c r="OFE594"/>
      <c r="OFF594"/>
      <c r="OFG594"/>
      <c r="OFH594"/>
      <c r="OFI594"/>
      <c r="OFJ594"/>
      <c r="OFK594"/>
      <c r="OFL594"/>
      <c r="OFM594"/>
      <c r="OFN594"/>
      <c r="OFO594"/>
      <c r="OFP594"/>
      <c r="OFQ594"/>
      <c r="OFR594"/>
      <c r="OFS594"/>
      <c r="OFT594"/>
      <c r="OFU594"/>
      <c r="OFV594"/>
      <c r="OFW594"/>
      <c r="OFX594"/>
      <c r="OFY594"/>
      <c r="OFZ594"/>
      <c r="OGA594"/>
      <c r="OGB594"/>
      <c r="OGC594"/>
      <c r="OGD594"/>
      <c r="OGE594"/>
      <c r="OGF594"/>
      <c r="OGG594"/>
      <c r="OGH594"/>
      <c r="OGI594"/>
      <c r="OGJ594"/>
      <c r="OGK594"/>
      <c r="OGL594"/>
      <c r="OGM594"/>
      <c r="OGN594"/>
      <c r="OGO594"/>
      <c r="OGP594"/>
      <c r="OGQ594"/>
      <c r="OGR594"/>
      <c r="OGS594"/>
      <c r="OGT594"/>
      <c r="OGU594"/>
      <c r="OGV594"/>
      <c r="OGW594"/>
      <c r="OGX594"/>
      <c r="OGY594"/>
      <c r="OGZ594"/>
      <c r="OHA594"/>
      <c r="OHB594"/>
      <c r="OHC594"/>
      <c r="OHD594"/>
      <c r="OHE594"/>
      <c r="OHF594"/>
      <c r="OHG594"/>
      <c r="OHH594"/>
      <c r="OHI594"/>
      <c r="OHJ594"/>
      <c r="OHK594"/>
      <c r="OHL594"/>
      <c r="OHM594"/>
      <c r="OHN594"/>
      <c r="OHO594"/>
      <c r="OHP594"/>
      <c r="OHQ594"/>
      <c r="OHR594"/>
      <c r="OHS594"/>
      <c r="OHT594"/>
      <c r="OHU594"/>
      <c r="OHV594"/>
      <c r="OHW594"/>
      <c r="OHX594"/>
      <c r="OHY594"/>
      <c r="OHZ594"/>
      <c r="OIA594"/>
      <c r="OIB594"/>
      <c r="OIC594"/>
      <c r="OID594"/>
      <c r="OIE594"/>
      <c r="OIF594"/>
      <c r="OIG594"/>
      <c r="OIH594"/>
      <c r="OII594"/>
      <c r="OIJ594"/>
      <c r="OIK594"/>
      <c r="OIL594"/>
      <c r="OIM594"/>
      <c r="OIN594"/>
      <c r="OIO594"/>
      <c r="OIP594"/>
      <c r="OIQ594"/>
      <c r="OIR594"/>
      <c r="OIS594"/>
      <c r="OIT594"/>
      <c r="OIU594"/>
      <c r="OIV594"/>
      <c r="OIW594"/>
      <c r="OIX594"/>
      <c r="OIY594"/>
      <c r="OIZ594"/>
      <c r="OJA594"/>
      <c r="OJB594"/>
      <c r="OJC594"/>
      <c r="OJD594"/>
      <c r="OJE594"/>
      <c r="OJF594"/>
      <c r="OJG594"/>
      <c r="OJH594"/>
      <c r="OJI594"/>
      <c r="OJJ594"/>
      <c r="OJK594"/>
      <c r="OJL594"/>
      <c r="OJM594"/>
      <c r="OJN594"/>
      <c r="OJO594"/>
      <c r="OJP594"/>
      <c r="OJQ594"/>
      <c r="OJR594"/>
      <c r="OJS594"/>
      <c r="OJT594"/>
      <c r="OJU594"/>
      <c r="OJV594"/>
      <c r="OJW594"/>
      <c r="OJX594"/>
      <c r="OJY594"/>
      <c r="OJZ594"/>
      <c r="OKA594"/>
      <c r="OKB594"/>
      <c r="OKC594"/>
      <c r="OKD594"/>
      <c r="OKE594"/>
      <c r="OKF594"/>
      <c r="OKG594"/>
      <c r="OKH594"/>
      <c r="OKI594"/>
      <c r="OKJ594"/>
      <c r="OKK594"/>
      <c r="OKL594"/>
      <c r="OKM594"/>
      <c r="OKN594"/>
      <c r="OKO594"/>
      <c r="OKP594"/>
      <c r="OKQ594"/>
      <c r="OKR594"/>
      <c r="OKS594"/>
      <c r="OKT594"/>
      <c r="OKU594"/>
      <c r="OKV594"/>
      <c r="OKW594"/>
      <c r="OKX594"/>
      <c r="OKY594"/>
      <c r="OKZ594"/>
      <c r="OLA594"/>
      <c r="OLB594"/>
      <c r="OLC594"/>
      <c r="OLD594"/>
      <c r="OLE594"/>
      <c r="OLF594"/>
      <c r="OLG594"/>
      <c r="OLH594"/>
      <c r="OLI594"/>
      <c r="OLJ594"/>
      <c r="OLK594"/>
      <c r="OLL594"/>
      <c r="OLM594"/>
      <c r="OLN594"/>
      <c r="OLO594"/>
      <c r="OLP594"/>
      <c r="OLQ594"/>
      <c r="OLR594"/>
      <c r="OLS594"/>
      <c r="OLT594"/>
      <c r="OLU594"/>
      <c r="OLV594"/>
      <c r="OLW594"/>
      <c r="OLX594"/>
      <c r="OLY594"/>
      <c r="OLZ594"/>
      <c r="OMA594"/>
      <c r="OMB594"/>
      <c r="OMC594"/>
      <c r="OMD594"/>
      <c r="OME594"/>
      <c r="OMF594"/>
      <c r="OMG594"/>
      <c r="OMH594"/>
      <c r="OMI594"/>
      <c r="OMJ594"/>
      <c r="OMK594"/>
      <c r="OML594"/>
      <c r="OMM594"/>
      <c r="OMN594"/>
      <c r="OMO594"/>
      <c r="OMP594"/>
      <c r="OMQ594"/>
      <c r="OMR594"/>
      <c r="OMS594"/>
      <c r="OMT594"/>
      <c r="OMU594"/>
      <c r="OMV594"/>
      <c r="OMW594"/>
      <c r="OMX594"/>
      <c r="OMY594"/>
      <c r="OMZ594"/>
      <c r="ONA594"/>
      <c r="ONB594"/>
      <c r="ONC594"/>
      <c r="OND594"/>
      <c r="ONE594"/>
      <c r="ONF594"/>
      <c r="ONG594"/>
      <c r="ONH594"/>
      <c r="ONI594"/>
      <c r="ONJ594"/>
      <c r="ONK594"/>
      <c r="ONL594"/>
      <c r="ONM594"/>
      <c r="ONN594"/>
      <c r="ONO594"/>
      <c r="ONP594"/>
      <c r="ONQ594"/>
      <c r="ONR594"/>
      <c r="ONS594"/>
      <c r="ONT594"/>
      <c r="ONU594"/>
      <c r="ONV594"/>
      <c r="ONW594"/>
      <c r="ONX594"/>
      <c r="ONY594"/>
      <c r="ONZ594"/>
      <c r="OOA594"/>
      <c r="OOB594"/>
      <c r="OOC594"/>
      <c r="OOD594"/>
      <c r="OOE594"/>
      <c r="OOF594"/>
      <c r="OOG594"/>
      <c r="OOH594"/>
      <c r="OOI594"/>
      <c r="OOJ594"/>
      <c r="OOK594"/>
      <c r="OOL594"/>
      <c r="OOM594"/>
      <c r="OON594"/>
      <c r="OOO594"/>
      <c r="OOP594"/>
      <c r="OOQ594"/>
      <c r="OOR594"/>
      <c r="OOS594"/>
      <c r="OOT594"/>
      <c r="OOU594"/>
      <c r="OOV594"/>
      <c r="OOW594"/>
      <c r="OOX594"/>
      <c r="OOY594"/>
      <c r="OOZ594"/>
      <c r="OPA594"/>
      <c r="OPB594"/>
      <c r="OPC594"/>
      <c r="OPD594"/>
      <c r="OPE594"/>
      <c r="OPF594"/>
      <c r="OPG594"/>
      <c r="OPH594"/>
      <c r="OPI594"/>
      <c r="OPJ594"/>
      <c r="OPK594"/>
      <c r="OPL594"/>
      <c r="OPM594"/>
      <c r="OPN594"/>
      <c r="OPO594"/>
      <c r="OPP594"/>
      <c r="OPQ594"/>
      <c r="OPR594"/>
      <c r="OPS594"/>
      <c r="OPT594"/>
      <c r="OPU594"/>
      <c r="OPV594"/>
      <c r="OPW594"/>
      <c r="OPX594"/>
      <c r="OPY594"/>
      <c r="OPZ594"/>
      <c r="OQA594"/>
      <c r="OQB594"/>
      <c r="OQC594"/>
      <c r="OQD594"/>
      <c r="OQE594"/>
      <c r="OQF594"/>
      <c r="OQG594"/>
      <c r="OQH594"/>
      <c r="OQI594"/>
      <c r="OQJ594"/>
      <c r="OQK594"/>
      <c r="OQL594"/>
      <c r="OQM594"/>
      <c r="OQN594"/>
      <c r="OQO594"/>
      <c r="OQP594"/>
      <c r="OQQ594"/>
      <c r="OQR594"/>
      <c r="OQS594"/>
      <c r="OQT594"/>
      <c r="OQU594"/>
      <c r="OQV594"/>
      <c r="OQW594"/>
      <c r="OQX594"/>
      <c r="OQY594"/>
      <c r="OQZ594"/>
      <c r="ORA594"/>
      <c r="ORB594"/>
      <c r="ORC594"/>
      <c r="ORD594"/>
      <c r="ORE594"/>
      <c r="ORF594"/>
      <c r="ORG594"/>
      <c r="ORH594"/>
      <c r="ORI594"/>
      <c r="ORJ594"/>
      <c r="ORK594"/>
      <c r="ORL594"/>
      <c r="ORM594"/>
      <c r="ORN594"/>
      <c r="ORO594"/>
      <c r="ORP594"/>
      <c r="ORQ594"/>
      <c r="ORR594"/>
      <c r="ORS594"/>
      <c r="ORT594"/>
      <c r="ORU594"/>
      <c r="ORV594"/>
      <c r="ORW594"/>
      <c r="ORX594"/>
      <c r="ORY594"/>
      <c r="ORZ594"/>
      <c r="OSA594"/>
      <c r="OSB594"/>
      <c r="OSC594"/>
      <c r="OSD594"/>
      <c r="OSE594"/>
      <c r="OSF594"/>
      <c r="OSG594"/>
      <c r="OSH594"/>
      <c r="OSI594"/>
      <c r="OSJ594"/>
      <c r="OSK594"/>
      <c r="OSL594"/>
      <c r="OSM594"/>
      <c r="OSN594"/>
      <c r="OSO594"/>
      <c r="OSP594"/>
      <c r="OSQ594"/>
      <c r="OSR594"/>
      <c r="OSS594"/>
      <c r="OST594"/>
      <c r="OSU594"/>
      <c r="OSV594"/>
      <c r="OSW594"/>
      <c r="OSX594"/>
      <c r="OSY594"/>
      <c r="OSZ594"/>
      <c r="OTA594"/>
      <c r="OTB594"/>
      <c r="OTC594"/>
      <c r="OTD594"/>
      <c r="OTE594"/>
      <c r="OTF594"/>
      <c r="OTG594"/>
      <c r="OTH594"/>
      <c r="OTI594"/>
      <c r="OTJ594"/>
      <c r="OTK594"/>
      <c r="OTL594"/>
      <c r="OTM594"/>
      <c r="OTN594"/>
      <c r="OTO594"/>
      <c r="OTP594"/>
      <c r="OTQ594"/>
      <c r="OTR594"/>
      <c r="OTS594"/>
      <c r="OTT594"/>
      <c r="OTU594"/>
      <c r="OTV594"/>
      <c r="OTW594"/>
      <c r="OTX594"/>
      <c r="OTY594"/>
      <c r="OTZ594"/>
      <c r="OUA594"/>
      <c r="OUB594"/>
      <c r="OUC594"/>
      <c r="OUD594"/>
      <c r="OUE594"/>
      <c r="OUF594"/>
      <c r="OUG594"/>
      <c r="OUH594"/>
      <c r="OUI594"/>
      <c r="OUJ594"/>
      <c r="OUK594"/>
      <c r="OUL594"/>
      <c r="OUM594"/>
      <c r="OUN594"/>
      <c r="OUO594"/>
      <c r="OUP594"/>
      <c r="OUQ594"/>
      <c r="OUR594"/>
      <c r="OUS594"/>
      <c r="OUT594"/>
      <c r="OUU594"/>
      <c r="OUV594"/>
      <c r="OUW594"/>
      <c r="OUX594"/>
      <c r="OUY594"/>
      <c r="OUZ594"/>
      <c r="OVA594"/>
      <c r="OVB594"/>
      <c r="OVC594"/>
      <c r="OVD594"/>
      <c r="OVE594"/>
      <c r="OVF594"/>
      <c r="OVG594"/>
      <c r="OVH594"/>
      <c r="OVI594"/>
      <c r="OVJ594"/>
      <c r="OVK594"/>
      <c r="OVL594"/>
      <c r="OVM594"/>
      <c r="OVN594"/>
      <c r="OVO594"/>
      <c r="OVP594"/>
      <c r="OVQ594"/>
      <c r="OVR594"/>
      <c r="OVS594"/>
      <c r="OVT594"/>
      <c r="OVU594"/>
      <c r="OVV594"/>
      <c r="OVW594"/>
      <c r="OVX594"/>
      <c r="OVY594"/>
      <c r="OVZ594"/>
      <c r="OWA594"/>
      <c r="OWB594"/>
      <c r="OWC594"/>
      <c r="OWD594"/>
      <c r="OWE594"/>
      <c r="OWF594"/>
      <c r="OWG594"/>
      <c r="OWH594"/>
      <c r="OWI594"/>
      <c r="OWJ594"/>
      <c r="OWK594"/>
      <c r="OWL594"/>
      <c r="OWM594"/>
      <c r="OWN594"/>
      <c r="OWO594"/>
      <c r="OWP594"/>
      <c r="OWQ594"/>
      <c r="OWR594"/>
      <c r="OWS594"/>
      <c r="OWT594"/>
      <c r="OWU594"/>
      <c r="OWV594"/>
      <c r="OWW594"/>
      <c r="OWX594"/>
      <c r="OWY594"/>
      <c r="OWZ594"/>
      <c r="OXA594"/>
      <c r="OXB594"/>
      <c r="OXC594"/>
      <c r="OXD594"/>
      <c r="OXE594"/>
      <c r="OXF594"/>
      <c r="OXG594"/>
      <c r="OXH594"/>
      <c r="OXI594"/>
      <c r="OXJ594"/>
      <c r="OXK594"/>
      <c r="OXL594"/>
      <c r="OXM594"/>
      <c r="OXN594"/>
      <c r="OXO594"/>
      <c r="OXP594"/>
      <c r="OXQ594"/>
      <c r="OXR594"/>
      <c r="OXS594"/>
      <c r="OXT594"/>
      <c r="OXU594"/>
      <c r="OXV594"/>
      <c r="OXW594"/>
      <c r="OXX594"/>
      <c r="OXY594"/>
      <c r="OXZ594"/>
      <c r="OYA594"/>
      <c r="OYB594"/>
      <c r="OYC594"/>
      <c r="OYD594"/>
      <c r="OYE594"/>
      <c r="OYF594"/>
      <c r="OYG594"/>
      <c r="OYH594"/>
      <c r="OYI594"/>
      <c r="OYJ594"/>
      <c r="OYK594"/>
      <c r="OYL594"/>
      <c r="OYM594"/>
      <c r="OYN594"/>
      <c r="OYO594"/>
      <c r="OYP594"/>
      <c r="OYQ594"/>
      <c r="OYR594"/>
      <c r="OYS594"/>
      <c r="OYT594"/>
      <c r="OYU594"/>
      <c r="OYV594"/>
      <c r="OYW594"/>
      <c r="OYX594"/>
      <c r="OYY594"/>
      <c r="OYZ594"/>
      <c r="OZA594"/>
      <c r="OZB594"/>
      <c r="OZC594"/>
      <c r="OZD594"/>
      <c r="OZE594"/>
      <c r="OZF594"/>
      <c r="OZG594"/>
      <c r="OZH594"/>
      <c r="OZI594"/>
      <c r="OZJ594"/>
      <c r="OZK594"/>
      <c r="OZL594"/>
      <c r="OZM594"/>
      <c r="OZN594"/>
      <c r="OZO594"/>
      <c r="OZP594"/>
      <c r="OZQ594"/>
      <c r="OZR594"/>
      <c r="OZS594"/>
      <c r="OZT594"/>
      <c r="OZU594"/>
      <c r="OZV594"/>
      <c r="OZW594"/>
      <c r="OZX594"/>
      <c r="OZY594"/>
      <c r="OZZ594"/>
      <c r="PAA594"/>
      <c r="PAB594"/>
      <c r="PAC594"/>
      <c r="PAD594"/>
      <c r="PAE594"/>
      <c r="PAF594"/>
      <c r="PAG594"/>
      <c r="PAH594"/>
      <c r="PAI594"/>
      <c r="PAJ594"/>
      <c r="PAK594"/>
      <c r="PAL594"/>
      <c r="PAM594"/>
      <c r="PAN594"/>
      <c r="PAO594"/>
      <c r="PAP594"/>
      <c r="PAQ594"/>
      <c r="PAR594"/>
      <c r="PAS594"/>
      <c r="PAT594"/>
      <c r="PAU594"/>
      <c r="PAV594"/>
      <c r="PAW594"/>
      <c r="PAX594"/>
      <c r="PAY594"/>
      <c r="PAZ594"/>
      <c r="PBA594"/>
      <c r="PBB594"/>
      <c r="PBC594"/>
      <c r="PBD594"/>
      <c r="PBE594"/>
      <c r="PBF594"/>
      <c r="PBG594"/>
      <c r="PBH594"/>
      <c r="PBI594"/>
      <c r="PBJ594"/>
      <c r="PBK594"/>
      <c r="PBL594"/>
      <c r="PBM594"/>
      <c r="PBN594"/>
      <c r="PBO594"/>
      <c r="PBP594"/>
      <c r="PBQ594"/>
      <c r="PBR594"/>
      <c r="PBS594"/>
      <c r="PBT594"/>
      <c r="PBU594"/>
      <c r="PBV594"/>
      <c r="PBW594"/>
      <c r="PBX594"/>
      <c r="PBY594"/>
      <c r="PBZ594"/>
      <c r="PCA594"/>
      <c r="PCB594"/>
      <c r="PCC594"/>
      <c r="PCD594"/>
      <c r="PCE594"/>
      <c r="PCF594"/>
      <c r="PCG594"/>
      <c r="PCH594"/>
      <c r="PCI594"/>
      <c r="PCJ594"/>
      <c r="PCK594"/>
      <c r="PCL594"/>
      <c r="PCM594"/>
      <c r="PCN594"/>
      <c r="PCO594"/>
      <c r="PCP594"/>
      <c r="PCQ594"/>
      <c r="PCR594"/>
      <c r="PCS594"/>
      <c r="PCT594"/>
      <c r="PCU594"/>
      <c r="PCV594"/>
      <c r="PCW594"/>
      <c r="PCX594"/>
      <c r="PCY594"/>
      <c r="PCZ594"/>
      <c r="PDA594"/>
      <c r="PDB594"/>
      <c r="PDC594"/>
      <c r="PDD594"/>
      <c r="PDE594"/>
      <c r="PDF594"/>
      <c r="PDG594"/>
      <c r="PDH594"/>
      <c r="PDI594"/>
      <c r="PDJ594"/>
      <c r="PDK594"/>
      <c r="PDL594"/>
      <c r="PDM594"/>
      <c r="PDN594"/>
      <c r="PDO594"/>
      <c r="PDP594"/>
      <c r="PDQ594"/>
      <c r="PDR594"/>
      <c r="PDS594"/>
      <c r="PDT594"/>
      <c r="PDU594"/>
      <c r="PDV594"/>
      <c r="PDW594"/>
      <c r="PDX594"/>
      <c r="PDY594"/>
      <c r="PDZ594"/>
      <c r="PEA594"/>
      <c r="PEB594"/>
      <c r="PEC594"/>
      <c r="PED594"/>
      <c r="PEE594"/>
      <c r="PEF594"/>
      <c r="PEG594"/>
      <c r="PEH594"/>
      <c r="PEI594"/>
      <c r="PEJ594"/>
      <c r="PEK594"/>
      <c r="PEL594"/>
      <c r="PEM594"/>
      <c r="PEN594"/>
      <c r="PEO594"/>
      <c r="PEP594"/>
      <c r="PEQ594"/>
      <c r="PER594"/>
      <c r="PES594"/>
      <c r="PET594"/>
      <c r="PEU594"/>
      <c r="PEV594"/>
      <c r="PEW594"/>
      <c r="PEX594"/>
      <c r="PEY594"/>
      <c r="PEZ594"/>
      <c r="PFA594"/>
      <c r="PFB594"/>
      <c r="PFC594"/>
      <c r="PFD594"/>
      <c r="PFE594"/>
      <c r="PFF594"/>
      <c r="PFG594"/>
      <c r="PFH594"/>
      <c r="PFI594"/>
      <c r="PFJ594"/>
      <c r="PFK594"/>
      <c r="PFL594"/>
      <c r="PFM594"/>
      <c r="PFN594"/>
      <c r="PFO594"/>
      <c r="PFP594"/>
      <c r="PFQ594"/>
      <c r="PFR594"/>
      <c r="PFS594"/>
      <c r="PFT594"/>
      <c r="PFU594"/>
      <c r="PFV594"/>
      <c r="PFW594"/>
      <c r="PFX594"/>
      <c r="PFY594"/>
      <c r="PFZ594"/>
      <c r="PGA594"/>
      <c r="PGB594"/>
      <c r="PGC594"/>
      <c r="PGD594"/>
      <c r="PGE594"/>
      <c r="PGF594"/>
      <c r="PGG594"/>
      <c r="PGH594"/>
      <c r="PGI594"/>
      <c r="PGJ594"/>
      <c r="PGK594"/>
      <c r="PGL594"/>
      <c r="PGM594"/>
      <c r="PGN594"/>
      <c r="PGO594"/>
      <c r="PGP594"/>
      <c r="PGQ594"/>
      <c r="PGR594"/>
      <c r="PGS594"/>
      <c r="PGT594"/>
      <c r="PGU594"/>
      <c r="PGV594"/>
      <c r="PGW594"/>
      <c r="PGX594"/>
      <c r="PGY594"/>
      <c r="PGZ594"/>
      <c r="PHA594"/>
      <c r="PHB594"/>
      <c r="PHC594"/>
      <c r="PHD594"/>
      <c r="PHE594"/>
      <c r="PHF594"/>
      <c r="PHG594"/>
      <c r="PHH594"/>
      <c r="PHI594"/>
      <c r="PHJ594"/>
      <c r="PHK594"/>
      <c r="PHL594"/>
      <c r="PHM594"/>
      <c r="PHN594"/>
      <c r="PHO594"/>
      <c r="PHP594"/>
      <c r="PHQ594"/>
      <c r="PHR594"/>
      <c r="PHS594"/>
      <c r="PHT594"/>
      <c r="PHU594"/>
      <c r="PHV594"/>
      <c r="PHW594"/>
      <c r="PHX594"/>
      <c r="PHY594"/>
      <c r="PHZ594"/>
      <c r="PIA594"/>
      <c r="PIB594"/>
      <c r="PIC594"/>
      <c r="PID594"/>
      <c r="PIE594"/>
      <c r="PIF594"/>
      <c r="PIG594"/>
      <c r="PIH594"/>
      <c r="PII594"/>
      <c r="PIJ594"/>
      <c r="PIK594"/>
      <c r="PIL594"/>
      <c r="PIM594"/>
      <c r="PIN594"/>
      <c r="PIO594"/>
      <c r="PIP594"/>
      <c r="PIQ594"/>
      <c r="PIR594"/>
      <c r="PIS594"/>
      <c r="PIT594"/>
      <c r="PIU594"/>
      <c r="PIV594"/>
      <c r="PIW594"/>
      <c r="PIX594"/>
      <c r="PIY594"/>
      <c r="PIZ594"/>
      <c r="PJA594"/>
      <c r="PJB594"/>
      <c r="PJC594"/>
      <c r="PJD594"/>
      <c r="PJE594"/>
      <c r="PJF594"/>
      <c r="PJG594"/>
      <c r="PJH594"/>
      <c r="PJI594"/>
      <c r="PJJ594"/>
      <c r="PJK594"/>
      <c r="PJL594"/>
      <c r="PJM594"/>
      <c r="PJN594"/>
      <c r="PJO594"/>
      <c r="PJP594"/>
      <c r="PJQ594"/>
      <c r="PJR594"/>
      <c r="PJS594"/>
      <c r="PJT594"/>
      <c r="PJU594"/>
      <c r="PJV594"/>
      <c r="PJW594"/>
      <c r="PJX594"/>
      <c r="PJY594"/>
      <c r="PJZ594"/>
      <c r="PKA594"/>
      <c r="PKB594"/>
      <c r="PKC594"/>
      <c r="PKD594"/>
      <c r="PKE594"/>
      <c r="PKF594"/>
      <c r="PKG594"/>
      <c r="PKH594"/>
      <c r="PKI594"/>
      <c r="PKJ594"/>
      <c r="PKK594"/>
      <c r="PKL594"/>
      <c r="PKM594"/>
      <c r="PKN594"/>
      <c r="PKO594"/>
      <c r="PKP594"/>
      <c r="PKQ594"/>
      <c r="PKR594"/>
      <c r="PKS594"/>
      <c r="PKT594"/>
      <c r="PKU594"/>
      <c r="PKV594"/>
      <c r="PKW594"/>
      <c r="PKX594"/>
      <c r="PKY594"/>
      <c r="PKZ594"/>
      <c r="PLA594"/>
      <c r="PLB594"/>
      <c r="PLC594"/>
      <c r="PLD594"/>
      <c r="PLE594"/>
      <c r="PLF594"/>
      <c r="PLG594"/>
      <c r="PLH594"/>
      <c r="PLI594"/>
      <c r="PLJ594"/>
      <c r="PLK594"/>
      <c r="PLL594"/>
      <c r="PLM594"/>
      <c r="PLN594"/>
      <c r="PLO594"/>
      <c r="PLP594"/>
      <c r="PLQ594"/>
      <c r="PLR594"/>
      <c r="PLS594"/>
      <c r="PLT594"/>
      <c r="PLU594"/>
      <c r="PLV594"/>
      <c r="PLW594"/>
      <c r="PLX594"/>
      <c r="PLY594"/>
      <c r="PLZ594"/>
      <c r="PMA594"/>
      <c r="PMB594"/>
      <c r="PMC594"/>
      <c r="PMD594"/>
      <c r="PME594"/>
      <c r="PMF594"/>
      <c r="PMG594"/>
      <c r="PMH594"/>
      <c r="PMI594"/>
      <c r="PMJ594"/>
      <c r="PMK594"/>
      <c r="PML594"/>
      <c r="PMM594"/>
      <c r="PMN594"/>
      <c r="PMO594"/>
      <c r="PMP594"/>
      <c r="PMQ594"/>
      <c r="PMR594"/>
      <c r="PMS594"/>
      <c r="PMT594"/>
      <c r="PMU594"/>
      <c r="PMV594"/>
      <c r="PMW594"/>
      <c r="PMX594"/>
      <c r="PMY594"/>
      <c r="PMZ594"/>
      <c r="PNA594"/>
      <c r="PNB594"/>
      <c r="PNC594"/>
      <c r="PND594"/>
      <c r="PNE594"/>
      <c r="PNF594"/>
      <c r="PNG594"/>
      <c r="PNH594"/>
      <c r="PNI594"/>
      <c r="PNJ594"/>
      <c r="PNK594"/>
      <c r="PNL594"/>
      <c r="PNM594"/>
      <c r="PNN594"/>
      <c r="PNO594"/>
      <c r="PNP594"/>
      <c r="PNQ594"/>
      <c r="PNR594"/>
      <c r="PNS594"/>
      <c r="PNT594"/>
      <c r="PNU594"/>
      <c r="PNV594"/>
      <c r="PNW594"/>
      <c r="PNX594"/>
      <c r="PNY594"/>
      <c r="PNZ594"/>
      <c r="POA594"/>
      <c r="POB594"/>
      <c r="POC594"/>
      <c r="POD594"/>
      <c r="POE594"/>
      <c r="POF594"/>
      <c r="POG594"/>
      <c r="POH594"/>
      <c r="POI594"/>
      <c r="POJ594"/>
      <c r="POK594"/>
      <c r="POL594"/>
      <c r="POM594"/>
      <c r="PON594"/>
      <c r="POO594"/>
      <c r="POP594"/>
      <c r="POQ594"/>
      <c r="POR594"/>
      <c r="POS594"/>
      <c r="POT594"/>
      <c r="POU594"/>
      <c r="POV594"/>
      <c r="POW594"/>
      <c r="POX594"/>
      <c r="POY594"/>
      <c r="POZ594"/>
      <c r="PPA594"/>
      <c r="PPB594"/>
      <c r="PPC594"/>
      <c r="PPD594"/>
      <c r="PPE594"/>
      <c r="PPF594"/>
      <c r="PPG594"/>
      <c r="PPH594"/>
      <c r="PPI594"/>
      <c r="PPJ594"/>
      <c r="PPK594"/>
      <c r="PPL594"/>
      <c r="PPM594"/>
      <c r="PPN594"/>
      <c r="PPO594"/>
      <c r="PPP594"/>
      <c r="PPQ594"/>
      <c r="PPR594"/>
      <c r="PPS594"/>
      <c r="PPT594"/>
      <c r="PPU594"/>
      <c r="PPV594"/>
      <c r="PPW594"/>
      <c r="PPX594"/>
      <c r="PPY594"/>
      <c r="PPZ594"/>
      <c r="PQA594"/>
      <c r="PQB594"/>
      <c r="PQC594"/>
      <c r="PQD594"/>
      <c r="PQE594"/>
      <c r="PQF594"/>
      <c r="PQG594"/>
      <c r="PQH594"/>
      <c r="PQI594"/>
      <c r="PQJ594"/>
      <c r="PQK594"/>
      <c r="PQL594"/>
      <c r="PQM594"/>
      <c r="PQN594"/>
      <c r="PQO594"/>
      <c r="PQP594"/>
      <c r="PQQ594"/>
      <c r="PQR594"/>
      <c r="PQS594"/>
      <c r="PQT594"/>
      <c r="PQU594"/>
      <c r="PQV594"/>
      <c r="PQW594"/>
      <c r="PQX594"/>
      <c r="PQY594"/>
      <c r="PQZ594"/>
      <c r="PRA594"/>
      <c r="PRB594"/>
      <c r="PRC594"/>
      <c r="PRD594"/>
      <c r="PRE594"/>
      <c r="PRF594"/>
      <c r="PRG594"/>
      <c r="PRH594"/>
      <c r="PRI594"/>
      <c r="PRJ594"/>
      <c r="PRK594"/>
      <c r="PRL594"/>
      <c r="PRM594"/>
      <c r="PRN594"/>
      <c r="PRO594"/>
      <c r="PRP594"/>
      <c r="PRQ594"/>
      <c r="PRR594"/>
      <c r="PRS594"/>
      <c r="PRT594"/>
      <c r="PRU594"/>
      <c r="PRV594"/>
      <c r="PRW594"/>
      <c r="PRX594"/>
      <c r="PRY594"/>
      <c r="PRZ594"/>
      <c r="PSA594"/>
      <c r="PSB594"/>
      <c r="PSC594"/>
      <c r="PSD594"/>
      <c r="PSE594"/>
      <c r="PSF594"/>
      <c r="PSG594"/>
      <c r="PSH594"/>
      <c r="PSI594"/>
      <c r="PSJ594"/>
      <c r="PSK594"/>
      <c r="PSL594"/>
      <c r="PSM594"/>
      <c r="PSN594"/>
      <c r="PSO594"/>
      <c r="PSP594"/>
      <c r="PSQ594"/>
      <c r="PSR594"/>
      <c r="PSS594"/>
      <c r="PST594"/>
      <c r="PSU594"/>
      <c r="PSV594"/>
      <c r="PSW594"/>
      <c r="PSX594"/>
      <c r="PSY594"/>
      <c r="PSZ594"/>
      <c r="PTA594"/>
      <c r="PTB594"/>
      <c r="PTC594"/>
      <c r="PTD594"/>
      <c r="PTE594"/>
      <c r="PTF594"/>
      <c r="PTG594"/>
      <c r="PTH594"/>
      <c r="PTI594"/>
      <c r="PTJ594"/>
      <c r="PTK594"/>
      <c r="PTL594"/>
      <c r="PTM594"/>
      <c r="PTN594"/>
      <c r="PTO594"/>
      <c r="PTP594"/>
      <c r="PTQ594"/>
      <c r="PTR594"/>
      <c r="PTS594"/>
      <c r="PTT594"/>
      <c r="PTU594"/>
      <c r="PTV594"/>
      <c r="PTW594"/>
      <c r="PTX594"/>
      <c r="PTY594"/>
      <c r="PTZ594"/>
      <c r="PUA594"/>
      <c r="PUB594"/>
      <c r="PUC594"/>
      <c r="PUD594"/>
      <c r="PUE594"/>
      <c r="PUF594"/>
      <c r="PUG594"/>
      <c r="PUH594"/>
      <c r="PUI594"/>
      <c r="PUJ594"/>
      <c r="PUK594"/>
      <c r="PUL594"/>
      <c r="PUM594"/>
      <c r="PUN594"/>
      <c r="PUO594"/>
      <c r="PUP594"/>
      <c r="PUQ594"/>
      <c r="PUR594"/>
      <c r="PUS594"/>
      <c r="PUT594"/>
      <c r="PUU594"/>
      <c r="PUV594"/>
      <c r="PUW594"/>
      <c r="PUX594"/>
      <c r="PUY594"/>
      <c r="PUZ594"/>
      <c r="PVA594"/>
      <c r="PVB594"/>
      <c r="PVC594"/>
      <c r="PVD594"/>
      <c r="PVE594"/>
      <c r="PVF594"/>
      <c r="PVG594"/>
      <c r="PVH594"/>
      <c r="PVI594"/>
      <c r="PVJ594"/>
      <c r="PVK594"/>
      <c r="PVL594"/>
      <c r="PVM594"/>
      <c r="PVN594"/>
      <c r="PVO594"/>
      <c r="PVP594"/>
      <c r="PVQ594"/>
      <c r="PVR594"/>
      <c r="PVS594"/>
      <c r="PVT594"/>
      <c r="PVU594"/>
      <c r="PVV594"/>
      <c r="PVW594"/>
      <c r="PVX594"/>
      <c r="PVY594"/>
      <c r="PVZ594"/>
      <c r="PWA594"/>
      <c r="PWB594"/>
      <c r="PWC594"/>
      <c r="PWD594"/>
      <c r="PWE594"/>
      <c r="PWF594"/>
      <c r="PWG594"/>
      <c r="PWH594"/>
      <c r="PWI594"/>
      <c r="PWJ594"/>
      <c r="PWK594"/>
      <c r="PWL594"/>
      <c r="PWM594"/>
      <c r="PWN594"/>
      <c r="PWO594"/>
      <c r="PWP594"/>
      <c r="PWQ594"/>
      <c r="PWR594"/>
      <c r="PWS594"/>
      <c r="PWT594"/>
      <c r="PWU594"/>
      <c r="PWV594"/>
      <c r="PWW594"/>
      <c r="PWX594"/>
      <c r="PWY594"/>
      <c r="PWZ594"/>
      <c r="PXA594"/>
      <c r="PXB594"/>
      <c r="PXC594"/>
      <c r="PXD594"/>
      <c r="PXE594"/>
      <c r="PXF594"/>
      <c r="PXG594"/>
      <c r="PXH594"/>
      <c r="PXI594"/>
      <c r="PXJ594"/>
      <c r="PXK594"/>
      <c r="PXL594"/>
      <c r="PXM594"/>
      <c r="PXN594"/>
      <c r="PXO594"/>
      <c r="PXP594"/>
      <c r="PXQ594"/>
      <c r="PXR594"/>
      <c r="PXS594"/>
      <c r="PXT594"/>
      <c r="PXU594"/>
      <c r="PXV594"/>
      <c r="PXW594"/>
      <c r="PXX594"/>
      <c r="PXY594"/>
      <c r="PXZ594"/>
      <c r="PYA594"/>
      <c r="PYB594"/>
      <c r="PYC594"/>
      <c r="PYD594"/>
      <c r="PYE594"/>
      <c r="PYF594"/>
      <c r="PYG594"/>
      <c r="PYH594"/>
      <c r="PYI594"/>
      <c r="PYJ594"/>
      <c r="PYK594"/>
      <c r="PYL594"/>
      <c r="PYM594"/>
      <c r="PYN594"/>
      <c r="PYO594"/>
      <c r="PYP594"/>
      <c r="PYQ594"/>
      <c r="PYR594"/>
      <c r="PYS594"/>
      <c r="PYT594"/>
      <c r="PYU594"/>
      <c r="PYV594"/>
      <c r="PYW594"/>
      <c r="PYX594"/>
      <c r="PYY594"/>
      <c r="PYZ594"/>
      <c r="PZA594"/>
      <c r="PZB594"/>
      <c r="PZC594"/>
      <c r="PZD594"/>
      <c r="PZE594"/>
      <c r="PZF594"/>
      <c r="PZG594"/>
      <c r="PZH594"/>
      <c r="PZI594"/>
      <c r="PZJ594"/>
      <c r="PZK594"/>
      <c r="PZL594"/>
      <c r="PZM594"/>
      <c r="PZN594"/>
      <c r="PZO594"/>
      <c r="PZP594"/>
      <c r="PZQ594"/>
      <c r="PZR594"/>
      <c r="PZS594"/>
      <c r="PZT594"/>
      <c r="PZU594"/>
      <c r="PZV594"/>
      <c r="PZW594"/>
      <c r="PZX594"/>
      <c r="PZY594"/>
      <c r="PZZ594"/>
      <c r="QAA594"/>
      <c r="QAB594"/>
      <c r="QAC594"/>
      <c r="QAD594"/>
      <c r="QAE594"/>
      <c r="QAF594"/>
      <c r="QAG594"/>
      <c r="QAH594"/>
      <c r="QAI594"/>
      <c r="QAJ594"/>
      <c r="QAK594"/>
      <c r="QAL594"/>
      <c r="QAM594"/>
      <c r="QAN594"/>
      <c r="QAO594"/>
      <c r="QAP594"/>
      <c r="QAQ594"/>
      <c r="QAR594"/>
      <c r="QAS594"/>
      <c r="QAT594"/>
      <c r="QAU594"/>
      <c r="QAV594"/>
      <c r="QAW594"/>
      <c r="QAX594"/>
      <c r="QAY594"/>
      <c r="QAZ594"/>
      <c r="QBA594"/>
      <c r="QBB594"/>
      <c r="QBC594"/>
      <c r="QBD594"/>
      <c r="QBE594"/>
      <c r="QBF594"/>
      <c r="QBG594"/>
      <c r="QBH594"/>
      <c r="QBI594"/>
      <c r="QBJ594"/>
      <c r="QBK594"/>
      <c r="QBL594"/>
      <c r="QBM594"/>
      <c r="QBN594"/>
      <c r="QBO594"/>
      <c r="QBP594"/>
      <c r="QBQ594"/>
      <c r="QBR594"/>
      <c r="QBS594"/>
      <c r="QBT594"/>
      <c r="QBU594"/>
      <c r="QBV594"/>
      <c r="QBW594"/>
      <c r="QBX594"/>
      <c r="QBY594"/>
      <c r="QBZ594"/>
      <c r="QCA594"/>
      <c r="QCB594"/>
      <c r="QCC594"/>
      <c r="QCD594"/>
      <c r="QCE594"/>
      <c r="QCF594"/>
      <c r="QCG594"/>
      <c r="QCH594"/>
      <c r="QCI594"/>
      <c r="QCJ594"/>
      <c r="QCK594"/>
      <c r="QCL594"/>
      <c r="QCM594"/>
      <c r="QCN594"/>
      <c r="QCO594"/>
      <c r="QCP594"/>
      <c r="QCQ594"/>
      <c r="QCR594"/>
      <c r="QCS594"/>
      <c r="QCT594"/>
      <c r="QCU594"/>
      <c r="QCV594"/>
      <c r="QCW594"/>
      <c r="QCX594"/>
      <c r="QCY594"/>
      <c r="QCZ594"/>
      <c r="QDA594"/>
      <c r="QDB594"/>
      <c r="QDC594"/>
      <c r="QDD594"/>
      <c r="QDE594"/>
      <c r="QDF594"/>
      <c r="QDG594"/>
      <c r="QDH594"/>
      <c r="QDI594"/>
      <c r="QDJ594"/>
      <c r="QDK594"/>
      <c r="QDL594"/>
      <c r="QDM594"/>
      <c r="QDN594"/>
      <c r="QDO594"/>
      <c r="QDP594"/>
      <c r="QDQ594"/>
      <c r="QDR594"/>
      <c r="QDS594"/>
      <c r="QDT594"/>
      <c r="QDU594"/>
      <c r="QDV594"/>
      <c r="QDW594"/>
      <c r="QDX594"/>
      <c r="QDY594"/>
      <c r="QDZ594"/>
      <c r="QEA594"/>
      <c r="QEB594"/>
      <c r="QEC594"/>
      <c r="QED594"/>
      <c r="QEE594"/>
      <c r="QEF594"/>
      <c r="QEG594"/>
      <c r="QEH594"/>
      <c r="QEI594"/>
      <c r="QEJ594"/>
      <c r="QEK594"/>
      <c r="QEL594"/>
      <c r="QEM594"/>
      <c r="QEN594"/>
      <c r="QEO594"/>
      <c r="QEP594"/>
      <c r="QEQ594"/>
      <c r="QER594"/>
      <c r="QES594"/>
      <c r="QET594"/>
      <c r="QEU594"/>
      <c r="QEV594"/>
      <c r="QEW594"/>
      <c r="QEX594"/>
      <c r="QEY594"/>
      <c r="QEZ594"/>
      <c r="QFA594"/>
      <c r="QFB594"/>
      <c r="QFC594"/>
      <c r="QFD594"/>
      <c r="QFE594"/>
      <c r="QFF594"/>
      <c r="QFG594"/>
      <c r="QFH594"/>
      <c r="QFI594"/>
      <c r="QFJ594"/>
      <c r="QFK594"/>
      <c r="QFL594"/>
      <c r="QFM594"/>
      <c r="QFN594"/>
      <c r="QFO594"/>
      <c r="QFP594"/>
      <c r="QFQ594"/>
      <c r="QFR594"/>
      <c r="QFS594"/>
      <c r="QFT594"/>
      <c r="QFU594"/>
      <c r="QFV594"/>
      <c r="QFW594"/>
      <c r="QFX594"/>
      <c r="QFY594"/>
      <c r="QFZ594"/>
      <c r="QGA594"/>
      <c r="QGB594"/>
      <c r="QGC594"/>
      <c r="QGD594"/>
      <c r="QGE594"/>
      <c r="QGF594"/>
      <c r="QGG594"/>
      <c r="QGH594"/>
      <c r="QGI594"/>
      <c r="QGJ594"/>
      <c r="QGK594"/>
      <c r="QGL594"/>
      <c r="QGM594"/>
      <c r="QGN594"/>
      <c r="QGO594"/>
      <c r="QGP594"/>
      <c r="QGQ594"/>
      <c r="QGR594"/>
      <c r="QGS594"/>
      <c r="QGT594"/>
      <c r="QGU594"/>
      <c r="QGV594"/>
      <c r="QGW594"/>
      <c r="QGX594"/>
      <c r="QGY594"/>
      <c r="QGZ594"/>
      <c r="QHA594"/>
      <c r="QHB594"/>
      <c r="QHC594"/>
      <c r="QHD594"/>
      <c r="QHE594"/>
      <c r="QHF594"/>
      <c r="QHG594"/>
      <c r="QHH594"/>
      <c r="QHI594"/>
      <c r="QHJ594"/>
      <c r="QHK594"/>
      <c r="QHL594"/>
      <c r="QHM594"/>
      <c r="QHN594"/>
      <c r="QHO594"/>
      <c r="QHP594"/>
      <c r="QHQ594"/>
      <c r="QHR594"/>
      <c r="QHS594"/>
      <c r="QHT594"/>
      <c r="QHU594"/>
      <c r="QHV594"/>
      <c r="QHW594"/>
      <c r="QHX594"/>
      <c r="QHY594"/>
      <c r="QHZ594"/>
      <c r="QIA594"/>
      <c r="QIB594"/>
      <c r="QIC594"/>
      <c r="QID594"/>
      <c r="QIE594"/>
      <c r="QIF594"/>
      <c r="QIG594"/>
      <c r="QIH594"/>
      <c r="QII594"/>
      <c r="QIJ594"/>
      <c r="QIK594"/>
      <c r="QIL594"/>
      <c r="QIM594"/>
      <c r="QIN594"/>
      <c r="QIO594"/>
      <c r="QIP594"/>
      <c r="QIQ594"/>
      <c r="QIR594"/>
      <c r="QIS594"/>
      <c r="QIT594"/>
      <c r="QIU594"/>
      <c r="QIV594"/>
      <c r="QIW594"/>
      <c r="QIX594"/>
      <c r="QIY594"/>
      <c r="QIZ594"/>
      <c r="QJA594"/>
      <c r="QJB594"/>
      <c r="QJC594"/>
      <c r="QJD594"/>
      <c r="QJE594"/>
      <c r="QJF594"/>
      <c r="QJG594"/>
      <c r="QJH594"/>
      <c r="QJI594"/>
      <c r="QJJ594"/>
      <c r="QJK594"/>
      <c r="QJL594"/>
      <c r="QJM594"/>
      <c r="QJN594"/>
      <c r="QJO594"/>
      <c r="QJP594"/>
      <c r="QJQ594"/>
      <c r="QJR594"/>
      <c r="QJS594"/>
      <c r="QJT594"/>
      <c r="QJU594"/>
      <c r="QJV594"/>
      <c r="QJW594"/>
      <c r="QJX594"/>
      <c r="QJY594"/>
      <c r="QJZ594"/>
      <c r="QKA594"/>
      <c r="QKB594"/>
      <c r="QKC594"/>
      <c r="QKD594"/>
      <c r="QKE594"/>
      <c r="QKF594"/>
      <c r="QKG594"/>
      <c r="QKH594"/>
      <c r="QKI594"/>
      <c r="QKJ594"/>
      <c r="QKK594"/>
      <c r="QKL594"/>
      <c r="QKM594"/>
      <c r="QKN594"/>
      <c r="QKO594"/>
      <c r="QKP594"/>
      <c r="QKQ594"/>
      <c r="QKR594"/>
      <c r="QKS594"/>
      <c r="QKT594"/>
      <c r="QKU594"/>
      <c r="QKV594"/>
      <c r="QKW594"/>
      <c r="QKX594"/>
      <c r="QKY594"/>
      <c r="QKZ594"/>
      <c r="QLA594"/>
      <c r="QLB594"/>
      <c r="QLC594"/>
      <c r="QLD594"/>
      <c r="QLE594"/>
      <c r="QLF594"/>
      <c r="QLG594"/>
      <c r="QLH594"/>
      <c r="QLI594"/>
      <c r="QLJ594"/>
      <c r="QLK594"/>
      <c r="QLL594"/>
      <c r="QLM594"/>
      <c r="QLN594"/>
      <c r="QLO594"/>
      <c r="QLP594"/>
      <c r="QLQ594"/>
      <c r="QLR594"/>
      <c r="QLS594"/>
      <c r="QLT594"/>
      <c r="QLU594"/>
      <c r="QLV594"/>
      <c r="QLW594"/>
      <c r="QLX594"/>
      <c r="QLY594"/>
      <c r="QLZ594"/>
      <c r="QMA594"/>
      <c r="QMB594"/>
      <c r="QMC594"/>
      <c r="QMD594"/>
      <c r="QME594"/>
      <c r="QMF594"/>
      <c r="QMG594"/>
      <c r="QMH594"/>
      <c r="QMI594"/>
      <c r="QMJ594"/>
      <c r="QMK594"/>
      <c r="QML594"/>
      <c r="QMM594"/>
      <c r="QMN594"/>
      <c r="QMO594"/>
      <c r="QMP594"/>
      <c r="QMQ594"/>
      <c r="QMR594"/>
      <c r="QMS594"/>
      <c r="QMT594"/>
      <c r="QMU594"/>
      <c r="QMV594"/>
      <c r="QMW594"/>
      <c r="QMX594"/>
      <c r="QMY594"/>
      <c r="QMZ594"/>
      <c r="QNA594"/>
      <c r="QNB594"/>
      <c r="QNC594"/>
      <c r="QND594"/>
      <c r="QNE594"/>
      <c r="QNF594"/>
      <c r="QNG594"/>
      <c r="QNH594"/>
      <c r="QNI594"/>
      <c r="QNJ594"/>
      <c r="QNK594"/>
      <c r="QNL594"/>
      <c r="QNM594"/>
      <c r="QNN594"/>
      <c r="QNO594"/>
      <c r="QNP594"/>
      <c r="QNQ594"/>
      <c r="QNR594"/>
      <c r="QNS594"/>
      <c r="QNT594"/>
      <c r="QNU594"/>
      <c r="QNV594"/>
      <c r="QNW594"/>
      <c r="QNX594"/>
      <c r="QNY594"/>
      <c r="QNZ594"/>
      <c r="QOA594"/>
      <c r="QOB594"/>
      <c r="QOC594"/>
      <c r="QOD594"/>
      <c r="QOE594"/>
      <c r="QOF594"/>
      <c r="QOG594"/>
      <c r="QOH594"/>
      <c r="QOI594"/>
      <c r="QOJ594"/>
      <c r="QOK594"/>
      <c r="QOL594"/>
      <c r="QOM594"/>
      <c r="QON594"/>
      <c r="QOO594"/>
      <c r="QOP594"/>
      <c r="QOQ594"/>
      <c r="QOR594"/>
      <c r="QOS594"/>
      <c r="QOT594"/>
      <c r="QOU594"/>
      <c r="QOV594"/>
      <c r="QOW594"/>
      <c r="QOX594"/>
      <c r="QOY594"/>
      <c r="QOZ594"/>
      <c r="QPA594"/>
      <c r="QPB594"/>
      <c r="QPC594"/>
      <c r="QPD594"/>
      <c r="QPE594"/>
      <c r="QPF594"/>
      <c r="QPG594"/>
      <c r="QPH594"/>
      <c r="QPI594"/>
      <c r="QPJ594"/>
      <c r="QPK594"/>
      <c r="QPL594"/>
      <c r="QPM594"/>
      <c r="QPN594"/>
      <c r="QPO594"/>
      <c r="QPP594"/>
      <c r="QPQ594"/>
      <c r="QPR594"/>
      <c r="QPS594"/>
      <c r="QPT594"/>
      <c r="QPU594"/>
      <c r="QPV594"/>
      <c r="QPW594"/>
      <c r="QPX594"/>
      <c r="QPY594"/>
      <c r="QPZ594"/>
      <c r="QQA594"/>
      <c r="QQB594"/>
      <c r="QQC594"/>
      <c r="QQD594"/>
      <c r="QQE594"/>
      <c r="QQF594"/>
      <c r="QQG594"/>
      <c r="QQH594"/>
      <c r="QQI594"/>
      <c r="QQJ594"/>
      <c r="QQK594"/>
      <c r="QQL594"/>
      <c r="QQM594"/>
      <c r="QQN594"/>
      <c r="QQO594"/>
      <c r="QQP594"/>
      <c r="QQQ594"/>
      <c r="QQR594"/>
      <c r="QQS594"/>
      <c r="QQT594"/>
      <c r="QQU594"/>
      <c r="QQV594"/>
      <c r="QQW594"/>
      <c r="QQX594"/>
      <c r="QQY594"/>
      <c r="QQZ594"/>
      <c r="QRA594"/>
      <c r="QRB594"/>
      <c r="QRC594"/>
      <c r="QRD594"/>
      <c r="QRE594"/>
      <c r="QRF594"/>
      <c r="QRG594"/>
      <c r="QRH594"/>
      <c r="QRI594"/>
      <c r="QRJ594"/>
      <c r="QRK594"/>
      <c r="QRL594"/>
      <c r="QRM594"/>
      <c r="QRN594"/>
      <c r="QRO594"/>
      <c r="QRP594"/>
      <c r="QRQ594"/>
      <c r="QRR594"/>
      <c r="QRS594"/>
      <c r="QRT594"/>
      <c r="QRU594"/>
      <c r="QRV594"/>
      <c r="QRW594"/>
      <c r="QRX594"/>
      <c r="QRY594"/>
      <c r="QRZ594"/>
      <c r="QSA594"/>
      <c r="QSB594"/>
      <c r="QSC594"/>
      <c r="QSD594"/>
      <c r="QSE594"/>
      <c r="QSF594"/>
      <c r="QSG594"/>
      <c r="QSH594"/>
      <c r="QSI594"/>
      <c r="QSJ594"/>
      <c r="QSK594"/>
      <c r="QSL594"/>
      <c r="QSM594"/>
      <c r="QSN594"/>
      <c r="QSO594"/>
      <c r="QSP594"/>
      <c r="QSQ594"/>
      <c r="QSR594"/>
      <c r="QSS594"/>
      <c r="QST594"/>
      <c r="QSU594"/>
      <c r="QSV594"/>
      <c r="QSW594"/>
      <c r="QSX594"/>
      <c r="QSY594"/>
      <c r="QSZ594"/>
      <c r="QTA594"/>
      <c r="QTB594"/>
      <c r="QTC594"/>
      <c r="QTD594"/>
      <c r="QTE594"/>
      <c r="QTF594"/>
      <c r="QTG594"/>
      <c r="QTH594"/>
      <c r="QTI594"/>
      <c r="QTJ594"/>
      <c r="QTK594"/>
      <c r="QTL594"/>
      <c r="QTM594"/>
      <c r="QTN594"/>
      <c r="QTO594"/>
      <c r="QTP594"/>
      <c r="QTQ594"/>
      <c r="QTR594"/>
      <c r="QTS594"/>
      <c r="QTT594"/>
      <c r="QTU594"/>
      <c r="QTV594"/>
      <c r="QTW594"/>
      <c r="QTX594"/>
      <c r="QTY594"/>
      <c r="QTZ594"/>
      <c r="QUA594"/>
      <c r="QUB594"/>
      <c r="QUC594"/>
      <c r="QUD594"/>
      <c r="QUE594"/>
      <c r="QUF594"/>
      <c r="QUG594"/>
      <c r="QUH594"/>
      <c r="QUI594"/>
      <c r="QUJ594"/>
      <c r="QUK594"/>
      <c r="QUL594"/>
      <c r="QUM594"/>
      <c r="QUN594"/>
      <c r="QUO594"/>
      <c r="QUP594"/>
      <c r="QUQ594"/>
      <c r="QUR594"/>
      <c r="QUS594"/>
      <c r="QUT594"/>
      <c r="QUU594"/>
      <c r="QUV594"/>
      <c r="QUW594"/>
      <c r="QUX594"/>
      <c r="QUY594"/>
      <c r="QUZ594"/>
      <c r="QVA594"/>
      <c r="QVB594"/>
      <c r="QVC594"/>
      <c r="QVD594"/>
      <c r="QVE594"/>
      <c r="QVF594"/>
      <c r="QVG594"/>
      <c r="QVH594"/>
      <c r="QVI594"/>
      <c r="QVJ594"/>
      <c r="QVK594"/>
      <c r="QVL594"/>
      <c r="QVM594"/>
      <c r="QVN594"/>
      <c r="QVO594"/>
      <c r="QVP594"/>
      <c r="QVQ594"/>
      <c r="QVR594"/>
      <c r="QVS594"/>
      <c r="QVT594"/>
      <c r="QVU594"/>
      <c r="QVV594"/>
      <c r="QVW594"/>
      <c r="QVX594"/>
      <c r="QVY594"/>
      <c r="QVZ594"/>
      <c r="QWA594"/>
      <c r="QWB594"/>
      <c r="QWC594"/>
      <c r="QWD594"/>
      <c r="QWE594"/>
      <c r="QWF594"/>
      <c r="QWG594"/>
      <c r="QWH594"/>
      <c r="QWI594"/>
      <c r="QWJ594"/>
      <c r="QWK594"/>
      <c r="QWL594"/>
      <c r="QWM594"/>
      <c r="QWN594"/>
      <c r="QWO594"/>
      <c r="QWP594"/>
      <c r="QWQ594"/>
      <c r="QWR594"/>
      <c r="QWS594"/>
      <c r="QWT594"/>
      <c r="QWU594"/>
      <c r="QWV594"/>
      <c r="QWW594"/>
      <c r="QWX594"/>
      <c r="QWY594"/>
      <c r="QWZ594"/>
      <c r="QXA594"/>
      <c r="QXB594"/>
      <c r="QXC594"/>
      <c r="QXD594"/>
      <c r="QXE594"/>
      <c r="QXF594"/>
      <c r="QXG594"/>
      <c r="QXH594"/>
      <c r="QXI594"/>
      <c r="QXJ594"/>
      <c r="QXK594"/>
      <c r="QXL594"/>
      <c r="QXM594"/>
      <c r="QXN594"/>
      <c r="QXO594"/>
      <c r="QXP594"/>
      <c r="QXQ594"/>
      <c r="QXR594"/>
      <c r="QXS594"/>
      <c r="QXT594"/>
      <c r="QXU594"/>
      <c r="QXV594"/>
      <c r="QXW594"/>
      <c r="QXX594"/>
      <c r="QXY594"/>
      <c r="QXZ594"/>
      <c r="QYA594"/>
      <c r="QYB594"/>
      <c r="QYC594"/>
      <c r="QYD594"/>
      <c r="QYE594"/>
      <c r="QYF594"/>
      <c r="QYG594"/>
      <c r="QYH594"/>
      <c r="QYI594"/>
      <c r="QYJ594"/>
      <c r="QYK594"/>
      <c r="QYL594"/>
      <c r="QYM594"/>
      <c r="QYN594"/>
      <c r="QYO594"/>
      <c r="QYP594"/>
      <c r="QYQ594"/>
      <c r="QYR594"/>
      <c r="QYS594"/>
      <c r="QYT594"/>
      <c r="QYU594"/>
      <c r="QYV594"/>
      <c r="QYW594"/>
      <c r="QYX594"/>
      <c r="QYY594"/>
      <c r="QYZ594"/>
      <c r="QZA594"/>
      <c r="QZB594"/>
      <c r="QZC594"/>
      <c r="QZD594"/>
      <c r="QZE594"/>
      <c r="QZF594"/>
      <c r="QZG594"/>
      <c r="QZH594"/>
      <c r="QZI594"/>
      <c r="QZJ594"/>
      <c r="QZK594"/>
      <c r="QZL594"/>
      <c r="QZM594"/>
      <c r="QZN594"/>
      <c r="QZO594"/>
      <c r="QZP594"/>
      <c r="QZQ594"/>
      <c r="QZR594"/>
      <c r="QZS594"/>
      <c r="QZT594"/>
      <c r="QZU594"/>
      <c r="QZV594"/>
      <c r="QZW594"/>
      <c r="QZX594"/>
      <c r="QZY594"/>
      <c r="QZZ594"/>
      <c r="RAA594"/>
      <c r="RAB594"/>
      <c r="RAC594"/>
      <c r="RAD594"/>
      <c r="RAE594"/>
      <c r="RAF594"/>
      <c r="RAG594"/>
      <c r="RAH594"/>
      <c r="RAI594"/>
      <c r="RAJ594"/>
      <c r="RAK594"/>
      <c r="RAL594"/>
      <c r="RAM594"/>
      <c r="RAN594"/>
      <c r="RAO594"/>
      <c r="RAP594"/>
      <c r="RAQ594"/>
      <c r="RAR594"/>
      <c r="RAS594"/>
      <c r="RAT594"/>
      <c r="RAU594"/>
      <c r="RAV594"/>
      <c r="RAW594"/>
      <c r="RAX594"/>
      <c r="RAY594"/>
      <c r="RAZ594"/>
      <c r="RBA594"/>
      <c r="RBB594"/>
      <c r="RBC594"/>
      <c r="RBD594"/>
      <c r="RBE594"/>
      <c r="RBF594"/>
      <c r="RBG594"/>
      <c r="RBH594"/>
      <c r="RBI594"/>
      <c r="RBJ594"/>
      <c r="RBK594"/>
      <c r="RBL594"/>
      <c r="RBM594"/>
      <c r="RBN594"/>
      <c r="RBO594"/>
      <c r="RBP594"/>
      <c r="RBQ594"/>
      <c r="RBR594"/>
      <c r="RBS594"/>
      <c r="RBT594"/>
      <c r="RBU594"/>
      <c r="RBV594"/>
      <c r="RBW594"/>
      <c r="RBX594"/>
      <c r="RBY594"/>
      <c r="RBZ594"/>
      <c r="RCA594"/>
      <c r="RCB594"/>
      <c r="RCC594"/>
      <c r="RCD594"/>
      <c r="RCE594"/>
      <c r="RCF594"/>
      <c r="RCG594"/>
      <c r="RCH594"/>
      <c r="RCI594"/>
      <c r="RCJ594"/>
      <c r="RCK594"/>
      <c r="RCL594"/>
      <c r="RCM594"/>
      <c r="RCN594"/>
      <c r="RCO594"/>
      <c r="RCP594"/>
      <c r="RCQ594"/>
      <c r="RCR594"/>
      <c r="RCS594"/>
      <c r="RCT594"/>
      <c r="RCU594"/>
      <c r="RCV594"/>
      <c r="RCW594"/>
      <c r="RCX594"/>
      <c r="RCY594"/>
      <c r="RCZ594"/>
      <c r="RDA594"/>
      <c r="RDB594"/>
      <c r="RDC594"/>
      <c r="RDD594"/>
      <c r="RDE594"/>
      <c r="RDF594"/>
      <c r="RDG594"/>
      <c r="RDH594"/>
      <c r="RDI594"/>
      <c r="RDJ594"/>
      <c r="RDK594"/>
      <c r="RDL594"/>
      <c r="RDM594"/>
      <c r="RDN594"/>
      <c r="RDO594"/>
      <c r="RDP594"/>
      <c r="RDQ594"/>
      <c r="RDR594"/>
      <c r="RDS594"/>
      <c r="RDT594"/>
      <c r="RDU594"/>
      <c r="RDV594"/>
      <c r="RDW594"/>
      <c r="RDX594"/>
      <c r="RDY594"/>
      <c r="RDZ594"/>
      <c r="REA594"/>
      <c r="REB594"/>
      <c r="REC594"/>
      <c r="RED594"/>
      <c r="REE594"/>
      <c r="REF594"/>
      <c r="REG594"/>
      <c r="REH594"/>
      <c r="REI594"/>
      <c r="REJ594"/>
      <c r="REK594"/>
      <c r="REL594"/>
      <c r="REM594"/>
      <c r="REN594"/>
      <c r="REO594"/>
      <c r="REP594"/>
      <c r="REQ594"/>
      <c r="RER594"/>
      <c r="RES594"/>
      <c r="RET594"/>
      <c r="REU594"/>
      <c r="REV594"/>
      <c r="REW594"/>
      <c r="REX594"/>
      <c r="REY594"/>
      <c r="REZ594"/>
      <c r="RFA594"/>
      <c r="RFB594"/>
      <c r="RFC594"/>
      <c r="RFD594"/>
      <c r="RFE594"/>
      <c r="RFF594"/>
      <c r="RFG594"/>
      <c r="RFH594"/>
      <c r="RFI594"/>
      <c r="RFJ594"/>
      <c r="RFK594"/>
      <c r="RFL594"/>
      <c r="RFM594"/>
      <c r="RFN594"/>
      <c r="RFO594"/>
      <c r="RFP594"/>
      <c r="RFQ594"/>
      <c r="RFR594"/>
      <c r="RFS594"/>
      <c r="RFT594"/>
      <c r="RFU594"/>
      <c r="RFV594"/>
      <c r="RFW594"/>
      <c r="RFX594"/>
      <c r="RFY594"/>
      <c r="RFZ594"/>
      <c r="RGA594"/>
      <c r="RGB594"/>
      <c r="RGC594"/>
      <c r="RGD594"/>
      <c r="RGE594"/>
      <c r="RGF594"/>
      <c r="RGG594"/>
      <c r="RGH594"/>
      <c r="RGI594"/>
      <c r="RGJ594"/>
      <c r="RGK594"/>
      <c r="RGL594"/>
      <c r="RGM594"/>
      <c r="RGN594"/>
      <c r="RGO594"/>
      <c r="RGP594"/>
      <c r="RGQ594"/>
      <c r="RGR594"/>
      <c r="RGS594"/>
      <c r="RGT594"/>
      <c r="RGU594"/>
      <c r="RGV594"/>
      <c r="RGW594"/>
      <c r="RGX594"/>
      <c r="RGY594"/>
      <c r="RGZ594"/>
      <c r="RHA594"/>
      <c r="RHB594"/>
      <c r="RHC594"/>
      <c r="RHD594"/>
      <c r="RHE594"/>
      <c r="RHF594"/>
      <c r="RHG594"/>
      <c r="RHH594"/>
      <c r="RHI594"/>
      <c r="RHJ594"/>
      <c r="RHK594"/>
      <c r="RHL594"/>
      <c r="RHM594"/>
      <c r="RHN594"/>
      <c r="RHO594"/>
      <c r="RHP594"/>
      <c r="RHQ594"/>
      <c r="RHR594"/>
      <c r="RHS594"/>
      <c r="RHT594"/>
      <c r="RHU594"/>
      <c r="RHV594"/>
      <c r="RHW594"/>
      <c r="RHX594"/>
      <c r="RHY594"/>
      <c r="RHZ594"/>
      <c r="RIA594"/>
      <c r="RIB594"/>
      <c r="RIC594"/>
      <c r="RID594"/>
      <c r="RIE594"/>
      <c r="RIF594"/>
      <c r="RIG594"/>
      <c r="RIH594"/>
      <c r="RII594"/>
      <c r="RIJ594"/>
      <c r="RIK594"/>
      <c r="RIL594"/>
      <c r="RIM594"/>
      <c r="RIN594"/>
      <c r="RIO594"/>
      <c r="RIP594"/>
      <c r="RIQ594"/>
      <c r="RIR594"/>
      <c r="RIS594"/>
      <c r="RIT594"/>
      <c r="RIU594"/>
      <c r="RIV594"/>
      <c r="RIW594"/>
      <c r="RIX594"/>
      <c r="RIY594"/>
      <c r="RIZ594"/>
      <c r="RJA594"/>
      <c r="RJB594"/>
      <c r="RJC594"/>
      <c r="RJD594"/>
      <c r="RJE594"/>
      <c r="RJF594"/>
      <c r="RJG594"/>
      <c r="RJH594"/>
      <c r="RJI594"/>
      <c r="RJJ594"/>
      <c r="RJK594"/>
      <c r="RJL594"/>
      <c r="RJM594"/>
      <c r="RJN594"/>
      <c r="RJO594"/>
      <c r="RJP594"/>
      <c r="RJQ594"/>
      <c r="RJR594"/>
      <c r="RJS594"/>
      <c r="RJT594"/>
      <c r="RJU594"/>
      <c r="RJV594"/>
      <c r="RJW594"/>
      <c r="RJX594"/>
      <c r="RJY594"/>
      <c r="RJZ594"/>
      <c r="RKA594"/>
      <c r="RKB594"/>
      <c r="RKC594"/>
      <c r="RKD594"/>
      <c r="RKE594"/>
      <c r="RKF594"/>
      <c r="RKG594"/>
      <c r="RKH594"/>
      <c r="RKI594"/>
      <c r="RKJ594"/>
      <c r="RKK594"/>
      <c r="RKL594"/>
      <c r="RKM594"/>
      <c r="RKN594"/>
      <c r="RKO594"/>
      <c r="RKP594"/>
      <c r="RKQ594"/>
      <c r="RKR594"/>
      <c r="RKS594"/>
      <c r="RKT594"/>
      <c r="RKU594"/>
      <c r="RKV594"/>
      <c r="RKW594"/>
      <c r="RKX594"/>
      <c r="RKY594"/>
      <c r="RKZ594"/>
      <c r="RLA594"/>
      <c r="RLB594"/>
      <c r="RLC594"/>
      <c r="RLD594"/>
      <c r="RLE594"/>
      <c r="RLF594"/>
      <c r="RLG594"/>
      <c r="RLH594"/>
      <c r="RLI594"/>
      <c r="RLJ594"/>
      <c r="RLK594"/>
      <c r="RLL594"/>
      <c r="RLM594"/>
      <c r="RLN594"/>
      <c r="RLO594"/>
      <c r="RLP594"/>
      <c r="RLQ594"/>
      <c r="RLR594"/>
      <c r="RLS594"/>
      <c r="RLT594"/>
      <c r="RLU594"/>
      <c r="RLV594"/>
      <c r="RLW594"/>
      <c r="RLX594"/>
      <c r="RLY594"/>
      <c r="RLZ594"/>
      <c r="RMA594"/>
      <c r="RMB594"/>
      <c r="RMC594"/>
      <c r="RMD594"/>
      <c r="RME594"/>
      <c r="RMF594"/>
      <c r="RMG594"/>
      <c r="RMH594"/>
      <c r="RMI594"/>
      <c r="RMJ594"/>
      <c r="RMK594"/>
      <c r="RML594"/>
      <c r="RMM594"/>
      <c r="RMN594"/>
      <c r="RMO594"/>
      <c r="RMP594"/>
      <c r="RMQ594"/>
      <c r="RMR594"/>
      <c r="RMS594"/>
      <c r="RMT594"/>
      <c r="RMU594"/>
      <c r="RMV594"/>
      <c r="RMW594"/>
      <c r="RMX594"/>
      <c r="RMY594"/>
      <c r="RMZ594"/>
      <c r="RNA594"/>
      <c r="RNB594"/>
      <c r="RNC594"/>
      <c r="RND594"/>
      <c r="RNE594"/>
      <c r="RNF594"/>
      <c r="RNG594"/>
      <c r="RNH594"/>
      <c r="RNI594"/>
      <c r="RNJ594"/>
      <c r="RNK594"/>
      <c r="RNL594"/>
      <c r="RNM594"/>
      <c r="RNN594"/>
      <c r="RNO594"/>
      <c r="RNP594"/>
      <c r="RNQ594"/>
      <c r="RNR594"/>
      <c r="RNS594"/>
      <c r="RNT594"/>
      <c r="RNU594"/>
      <c r="RNV594"/>
      <c r="RNW594"/>
      <c r="RNX594"/>
      <c r="RNY594"/>
      <c r="RNZ594"/>
      <c r="ROA594"/>
      <c r="ROB594"/>
      <c r="ROC594"/>
      <c r="ROD594"/>
      <c r="ROE594"/>
      <c r="ROF594"/>
      <c r="ROG594"/>
      <c r="ROH594"/>
      <c r="ROI594"/>
      <c r="ROJ594"/>
      <c r="ROK594"/>
      <c r="ROL594"/>
      <c r="ROM594"/>
      <c r="RON594"/>
      <c r="ROO594"/>
      <c r="ROP594"/>
      <c r="ROQ594"/>
      <c r="ROR594"/>
      <c r="ROS594"/>
      <c r="ROT594"/>
      <c r="ROU594"/>
      <c r="ROV594"/>
      <c r="ROW594"/>
      <c r="ROX594"/>
      <c r="ROY594"/>
      <c r="ROZ594"/>
      <c r="RPA594"/>
      <c r="RPB594"/>
      <c r="RPC594"/>
      <c r="RPD594"/>
      <c r="RPE594"/>
      <c r="RPF594"/>
      <c r="RPG594"/>
      <c r="RPH594"/>
      <c r="RPI594"/>
      <c r="RPJ594"/>
      <c r="RPK594"/>
      <c r="RPL594"/>
      <c r="RPM594"/>
      <c r="RPN594"/>
      <c r="RPO594"/>
      <c r="RPP594"/>
      <c r="RPQ594"/>
      <c r="RPR594"/>
      <c r="RPS594"/>
      <c r="RPT594"/>
      <c r="RPU594"/>
      <c r="RPV594"/>
      <c r="RPW594"/>
      <c r="RPX594"/>
      <c r="RPY594"/>
      <c r="RPZ594"/>
      <c r="RQA594"/>
      <c r="RQB594"/>
      <c r="RQC594"/>
      <c r="RQD594"/>
      <c r="RQE594"/>
      <c r="RQF594"/>
      <c r="RQG594"/>
      <c r="RQH594"/>
      <c r="RQI594"/>
      <c r="RQJ594"/>
      <c r="RQK594"/>
      <c r="RQL594"/>
      <c r="RQM594"/>
      <c r="RQN594"/>
      <c r="RQO594"/>
      <c r="RQP594"/>
      <c r="RQQ594"/>
      <c r="RQR594"/>
      <c r="RQS594"/>
      <c r="RQT594"/>
      <c r="RQU594"/>
      <c r="RQV594"/>
      <c r="RQW594"/>
      <c r="RQX594"/>
      <c r="RQY594"/>
      <c r="RQZ594"/>
      <c r="RRA594"/>
      <c r="RRB594"/>
      <c r="RRC594"/>
      <c r="RRD594"/>
      <c r="RRE594"/>
      <c r="RRF594"/>
      <c r="RRG594"/>
      <c r="RRH594"/>
      <c r="RRI594"/>
      <c r="RRJ594"/>
      <c r="RRK594"/>
      <c r="RRL594"/>
      <c r="RRM594"/>
      <c r="RRN594"/>
      <c r="RRO594"/>
      <c r="RRP594"/>
      <c r="RRQ594"/>
      <c r="RRR594"/>
      <c r="RRS594"/>
      <c r="RRT594"/>
      <c r="RRU594"/>
      <c r="RRV594"/>
      <c r="RRW594"/>
      <c r="RRX594"/>
      <c r="RRY594"/>
      <c r="RRZ594"/>
      <c r="RSA594"/>
      <c r="RSB594"/>
      <c r="RSC594"/>
      <c r="RSD594"/>
      <c r="RSE594"/>
      <c r="RSF594"/>
      <c r="RSG594"/>
      <c r="RSH594"/>
      <c r="RSI594"/>
      <c r="RSJ594"/>
      <c r="RSK594"/>
      <c r="RSL594"/>
      <c r="RSM594"/>
      <c r="RSN594"/>
      <c r="RSO594"/>
      <c r="RSP594"/>
      <c r="RSQ594"/>
      <c r="RSR594"/>
      <c r="RSS594"/>
      <c r="RST594"/>
      <c r="RSU594"/>
      <c r="RSV594"/>
      <c r="RSW594"/>
      <c r="RSX594"/>
      <c r="RSY594"/>
      <c r="RSZ594"/>
      <c r="RTA594"/>
      <c r="RTB594"/>
      <c r="RTC594"/>
      <c r="RTD594"/>
      <c r="RTE594"/>
      <c r="RTF594"/>
      <c r="RTG594"/>
      <c r="RTH594"/>
      <c r="RTI594"/>
      <c r="RTJ594"/>
      <c r="RTK594"/>
      <c r="RTL594"/>
      <c r="RTM594"/>
      <c r="RTN594"/>
      <c r="RTO594"/>
      <c r="RTP594"/>
      <c r="RTQ594"/>
      <c r="RTR594"/>
      <c r="RTS594"/>
      <c r="RTT594"/>
      <c r="RTU594"/>
      <c r="RTV594"/>
      <c r="RTW594"/>
      <c r="RTX594"/>
      <c r="RTY594"/>
      <c r="RTZ594"/>
      <c r="RUA594"/>
      <c r="RUB594"/>
      <c r="RUC594"/>
      <c r="RUD594"/>
      <c r="RUE594"/>
      <c r="RUF594"/>
      <c r="RUG594"/>
      <c r="RUH594"/>
      <c r="RUI594"/>
      <c r="RUJ594"/>
      <c r="RUK594"/>
      <c r="RUL594"/>
      <c r="RUM594"/>
      <c r="RUN594"/>
      <c r="RUO594"/>
      <c r="RUP594"/>
      <c r="RUQ594"/>
      <c r="RUR594"/>
      <c r="RUS594"/>
      <c r="RUT594"/>
      <c r="RUU594"/>
      <c r="RUV594"/>
      <c r="RUW594"/>
      <c r="RUX594"/>
      <c r="RUY594"/>
      <c r="RUZ594"/>
      <c r="RVA594"/>
      <c r="RVB594"/>
      <c r="RVC594"/>
      <c r="RVD594"/>
      <c r="RVE594"/>
      <c r="RVF594"/>
      <c r="RVG594"/>
      <c r="RVH594"/>
      <c r="RVI594"/>
      <c r="RVJ594"/>
      <c r="RVK594"/>
      <c r="RVL594"/>
      <c r="RVM594"/>
      <c r="RVN594"/>
      <c r="RVO594"/>
      <c r="RVP594"/>
      <c r="RVQ594"/>
      <c r="RVR594"/>
      <c r="RVS594"/>
      <c r="RVT594"/>
      <c r="RVU594"/>
      <c r="RVV594"/>
      <c r="RVW594"/>
      <c r="RVX594"/>
      <c r="RVY594"/>
      <c r="RVZ594"/>
      <c r="RWA594"/>
      <c r="RWB594"/>
      <c r="RWC594"/>
      <c r="RWD594"/>
      <c r="RWE594"/>
      <c r="RWF594"/>
      <c r="RWG594"/>
      <c r="RWH594"/>
      <c r="RWI594"/>
      <c r="RWJ594"/>
      <c r="RWK594"/>
      <c r="RWL594"/>
      <c r="RWM594"/>
      <c r="RWN594"/>
      <c r="RWO594"/>
      <c r="RWP594"/>
      <c r="RWQ594"/>
      <c r="RWR594"/>
      <c r="RWS594"/>
      <c r="RWT594"/>
      <c r="RWU594"/>
      <c r="RWV594"/>
      <c r="RWW594"/>
      <c r="RWX594"/>
      <c r="RWY594"/>
      <c r="RWZ594"/>
      <c r="RXA594"/>
      <c r="RXB594"/>
      <c r="RXC594"/>
      <c r="RXD594"/>
      <c r="RXE594"/>
      <c r="RXF594"/>
      <c r="RXG594"/>
      <c r="RXH594"/>
      <c r="RXI594"/>
      <c r="RXJ594"/>
      <c r="RXK594"/>
      <c r="RXL594"/>
      <c r="RXM594"/>
      <c r="RXN594"/>
      <c r="RXO594"/>
      <c r="RXP594"/>
      <c r="RXQ594"/>
      <c r="RXR594"/>
      <c r="RXS594"/>
      <c r="RXT594"/>
      <c r="RXU594"/>
      <c r="RXV594"/>
      <c r="RXW594"/>
      <c r="RXX594"/>
      <c r="RXY594"/>
      <c r="RXZ594"/>
      <c r="RYA594"/>
      <c r="RYB594"/>
      <c r="RYC594"/>
      <c r="RYD594"/>
      <c r="RYE594"/>
      <c r="RYF594"/>
      <c r="RYG594"/>
      <c r="RYH594"/>
      <c r="RYI594"/>
      <c r="RYJ594"/>
      <c r="RYK594"/>
      <c r="RYL594"/>
      <c r="RYM594"/>
      <c r="RYN594"/>
      <c r="RYO594"/>
      <c r="RYP594"/>
      <c r="RYQ594"/>
      <c r="RYR594"/>
      <c r="RYS594"/>
      <c r="RYT594"/>
      <c r="RYU594"/>
      <c r="RYV594"/>
      <c r="RYW594"/>
      <c r="RYX594"/>
      <c r="RYY594"/>
      <c r="RYZ594"/>
      <c r="RZA594"/>
      <c r="RZB594"/>
      <c r="RZC594"/>
      <c r="RZD594"/>
      <c r="RZE594"/>
      <c r="RZF594"/>
      <c r="RZG594"/>
      <c r="RZH594"/>
      <c r="RZI594"/>
      <c r="RZJ594"/>
      <c r="RZK594"/>
      <c r="RZL594"/>
      <c r="RZM594"/>
      <c r="RZN594"/>
      <c r="RZO594"/>
      <c r="RZP594"/>
      <c r="RZQ594"/>
      <c r="RZR594"/>
      <c r="RZS594"/>
      <c r="RZT594"/>
      <c r="RZU594"/>
      <c r="RZV594"/>
      <c r="RZW594"/>
      <c r="RZX594"/>
      <c r="RZY594"/>
      <c r="RZZ594"/>
      <c r="SAA594"/>
      <c r="SAB594"/>
      <c r="SAC594"/>
      <c r="SAD594"/>
      <c r="SAE594"/>
      <c r="SAF594"/>
      <c r="SAG594"/>
      <c r="SAH594"/>
      <c r="SAI594"/>
      <c r="SAJ594"/>
      <c r="SAK594"/>
      <c r="SAL594"/>
      <c r="SAM594"/>
      <c r="SAN594"/>
      <c r="SAO594"/>
      <c r="SAP594"/>
      <c r="SAQ594"/>
      <c r="SAR594"/>
      <c r="SAS594"/>
      <c r="SAT594"/>
      <c r="SAU594"/>
      <c r="SAV594"/>
      <c r="SAW594"/>
      <c r="SAX594"/>
      <c r="SAY594"/>
      <c r="SAZ594"/>
      <c r="SBA594"/>
      <c r="SBB594"/>
      <c r="SBC594"/>
      <c r="SBD594"/>
      <c r="SBE594"/>
      <c r="SBF594"/>
      <c r="SBG594"/>
      <c r="SBH594"/>
      <c r="SBI594"/>
      <c r="SBJ594"/>
      <c r="SBK594"/>
      <c r="SBL594"/>
      <c r="SBM594"/>
      <c r="SBN594"/>
      <c r="SBO594"/>
      <c r="SBP594"/>
      <c r="SBQ594"/>
      <c r="SBR594"/>
      <c r="SBS594"/>
      <c r="SBT594"/>
      <c r="SBU594"/>
      <c r="SBV594"/>
      <c r="SBW594"/>
      <c r="SBX594"/>
      <c r="SBY594"/>
      <c r="SBZ594"/>
      <c r="SCA594"/>
      <c r="SCB594"/>
      <c r="SCC594"/>
      <c r="SCD594"/>
      <c r="SCE594"/>
      <c r="SCF594"/>
      <c r="SCG594"/>
      <c r="SCH594"/>
      <c r="SCI594"/>
      <c r="SCJ594"/>
      <c r="SCK594"/>
      <c r="SCL594"/>
      <c r="SCM594"/>
      <c r="SCN594"/>
      <c r="SCO594"/>
      <c r="SCP594"/>
      <c r="SCQ594"/>
      <c r="SCR594"/>
      <c r="SCS594"/>
      <c r="SCT594"/>
      <c r="SCU594"/>
      <c r="SCV594"/>
      <c r="SCW594"/>
      <c r="SCX594"/>
      <c r="SCY594"/>
      <c r="SCZ594"/>
      <c r="SDA594"/>
      <c r="SDB594"/>
      <c r="SDC594"/>
      <c r="SDD594"/>
      <c r="SDE594"/>
      <c r="SDF594"/>
      <c r="SDG594"/>
      <c r="SDH594"/>
      <c r="SDI594"/>
      <c r="SDJ594"/>
      <c r="SDK594"/>
      <c r="SDL594"/>
      <c r="SDM594"/>
      <c r="SDN594"/>
      <c r="SDO594"/>
      <c r="SDP594"/>
      <c r="SDQ594"/>
      <c r="SDR594"/>
      <c r="SDS594"/>
      <c r="SDT594"/>
      <c r="SDU594"/>
      <c r="SDV594"/>
      <c r="SDW594"/>
      <c r="SDX594"/>
      <c r="SDY594"/>
      <c r="SDZ594"/>
      <c r="SEA594"/>
      <c r="SEB594"/>
      <c r="SEC594"/>
      <c r="SED594"/>
      <c r="SEE594"/>
      <c r="SEF594"/>
      <c r="SEG594"/>
      <c r="SEH594"/>
      <c r="SEI594"/>
      <c r="SEJ594"/>
      <c r="SEK594"/>
      <c r="SEL594"/>
      <c r="SEM594"/>
      <c r="SEN594"/>
      <c r="SEO594"/>
      <c r="SEP594"/>
      <c r="SEQ594"/>
      <c r="SER594"/>
      <c r="SES594"/>
      <c r="SET594"/>
      <c r="SEU594"/>
      <c r="SEV594"/>
      <c r="SEW594"/>
      <c r="SEX594"/>
      <c r="SEY594"/>
      <c r="SEZ594"/>
      <c r="SFA594"/>
      <c r="SFB594"/>
      <c r="SFC594"/>
      <c r="SFD594"/>
      <c r="SFE594"/>
      <c r="SFF594"/>
      <c r="SFG594"/>
      <c r="SFH594"/>
      <c r="SFI594"/>
      <c r="SFJ594"/>
      <c r="SFK594"/>
      <c r="SFL594"/>
      <c r="SFM594"/>
      <c r="SFN594"/>
      <c r="SFO594"/>
      <c r="SFP594"/>
      <c r="SFQ594"/>
      <c r="SFR594"/>
      <c r="SFS594"/>
      <c r="SFT594"/>
      <c r="SFU594"/>
      <c r="SFV594"/>
      <c r="SFW594"/>
      <c r="SFX594"/>
      <c r="SFY594"/>
      <c r="SFZ594"/>
      <c r="SGA594"/>
      <c r="SGB594"/>
      <c r="SGC594"/>
      <c r="SGD594"/>
      <c r="SGE594"/>
      <c r="SGF594"/>
      <c r="SGG594"/>
      <c r="SGH594"/>
      <c r="SGI594"/>
      <c r="SGJ594"/>
      <c r="SGK594"/>
      <c r="SGL594"/>
      <c r="SGM594"/>
      <c r="SGN594"/>
      <c r="SGO594"/>
      <c r="SGP594"/>
      <c r="SGQ594"/>
      <c r="SGR594"/>
      <c r="SGS594"/>
      <c r="SGT594"/>
      <c r="SGU594"/>
      <c r="SGV594"/>
      <c r="SGW594"/>
      <c r="SGX594"/>
      <c r="SGY594"/>
      <c r="SGZ594"/>
      <c r="SHA594"/>
      <c r="SHB594"/>
      <c r="SHC594"/>
      <c r="SHD594"/>
      <c r="SHE594"/>
      <c r="SHF594"/>
      <c r="SHG594"/>
      <c r="SHH594"/>
      <c r="SHI594"/>
      <c r="SHJ594"/>
      <c r="SHK594"/>
      <c r="SHL594"/>
      <c r="SHM594"/>
      <c r="SHN594"/>
      <c r="SHO594"/>
      <c r="SHP594"/>
      <c r="SHQ594"/>
      <c r="SHR594"/>
      <c r="SHS594"/>
      <c r="SHT594"/>
      <c r="SHU594"/>
      <c r="SHV594"/>
      <c r="SHW594"/>
      <c r="SHX594"/>
      <c r="SHY594"/>
      <c r="SHZ594"/>
      <c r="SIA594"/>
      <c r="SIB594"/>
      <c r="SIC594"/>
      <c r="SID594"/>
      <c r="SIE594"/>
      <c r="SIF594"/>
      <c r="SIG594"/>
      <c r="SIH594"/>
      <c r="SII594"/>
      <c r="SIJ594"/>
      <c r="SIK594"/>
      <c r="SIL594"/>
      <c r="SIM594"/>
      <c r="SIN594"/>
      <c r="SIO594"/>
      <c r="SIP594"/>
      <c r="SIQ594"/>
      <c r="SIR594"/>
      <c r="SIS594"/>
      <c r="SIT594"/>
      <c r="SIU594"/>
      <c r="SIV594"/>
      <c r="SIW594"/>
      <c r="SIX594"/>
      <c r="SIY594"/>
      <c r="SIZ594"/>
      <c r="SJA594"/>
      <c r="SJB594"/>
      <c r="SJC594"/>
      <c r="SJD594"/>
      <c r="SJE594"/>
      <c r="SJF594"/>
      <c r="SJG594"/>
      <c r="SJH594"/>
      <c r="SJI594"/>
      <c r="SJJ594"/>
      <c r="SJK594"/>
      <c r="SJL594"/>
      <c r="SJM594"/>
      <c r="SJN594"/>
      <c r="SJO594"/>
      <c r="SJP594"/>
      <c r="SJQ594"/>
      <c r="SJR594"/>
      <c r="SJS594"/>
      <c r="SJT594"/>
      <c r="SJU594"/>
      <c r="SJV594"/>
      <c r="SJW594"/>
      <c r="SJX594"/>
      <c r="SJY594"/>
      <c r="SJZ594"/>
      <c r="SKA594"/>
      <c r="SKB594"/>
      <c r="SKC594"/>
      <c r="SKD594"/>
      <c r="SKE594"/>
      <c r="SKF594"/>
      <c r="SKG594"/>
      <c r="SKH594"/>
      <c r="SKI594"/>
      <c r="SKJ594"/>
      <c r="SKK594"/>
      <c r="SKL594"/>
      <c r="SKM594"/>
      <c r="SKN594"/>
      <c r="SKO594"/>
      <c r="SKP594"/>
      <c r="SKQ594"/>
      <c r="SKR594"/>
      <c r="SKS594"/>
      <c r="SKT594"/>
      <c r="SKU594"/>
      <c r="SKV594"/>
      <c r="SKW594"/>
      <c r="SKX594"/>
      <c r="SKY594"/>
      <c r="SKZ594"/>
      <c r="SLA594"/>
      <c r="SLB594"/>
      <c r="SLC594"/>
      <c r="SLD594"/>
      <c r="SLE594"/>
      <c r="SLF594"/>
      <c r="SLG594"/>
      <c r="SLH594"/>
      <c r="SLI594"/>
      <c r="SLJ594"/>
      <c r="SLK594"/>
      <c r="SLL594"/>
      <c r="SLM594"/>
      <c r="SLN594"/>
      <c r="SLO594"/>
      <c r="SLP594"/>
      <c r="SLQ594"/>
      <c r="SLR594"/>
      <c r="SLS594"/>
      <c r="SLT594"/>
      <c r="SLU594"/>
      <c r="SLV594"/>
      <c r="SLW594"/>
      <c r="SLX594"/>
      <c r="SLY594"/>
      <c r="SLZ594"/>
      <c r="SMA594"/>
      <c r="SMB594"/>
      <c r="SMC594"/>
      <c r="SMD594"/>
      <c r="SME594"/>
      <c r="SMF594"/>
      <c r="SMG594"/>
      <c r="SMH594"/>
      <c r="SMI594"/>
      <c r="SMJ594"/>
      <c r="SMK594"/>
      <c r="SML594"/>
      <c r="SMM594"/>
      <c r="SMN594"/>
      <c r="SMO594"/>
      <c r="SMP594"/>
      <c r="SMQ594"/>
      <c r="SMR594"/>
      <c r="SMS594"/>
      <c r="SMT594"/>
      <c r="SMU594"/>
      <c r="SMV594"/>
      <c r="SMW594"/>
      <c r="SMX594"/>
      <c r="SMY594"/>
      <c r="SMZ594"/>
      <c r="SNA594"/>
      <c r="SNB594"/>
      <c r="SNC594"/>
      <c r="SND594"/>
      <c r="SNE594"/>
      <c r="SNF594"/>
      <c r="SNG594"/>
      <c r="SNH594"/>
      <c r="SNI594"/>
      <c r="SNJ594"/>
      <c r="SNK594"/>
      <c r="SNL594"/>
      <c r="SNM594"/>
      <c r="SNN594"/>
      <c r="SNO594"/>
      <c r="SNP594"/>
      <c r="SNQ594"/>
      <c r="SNR594"/>
      <c r="SNS594"/>
      <c r="SNT594"/>
      <c r="SNU594"/>
      <c r="SNV594"/>
      <c r="SNW594"/>
      <c r="SNX594"/>
      <c r="SNY594"/>
      <c r="SNZ594"/>
      <c r="SOA594"/>
      <c r="SOB594"/>
      <c r="SOC594"/>
      <c r="SOD594"/>
      <c r="SOE594"/>
      <c r="SOF594"/>
      <c r="SOG594"/>
      <c r="SOH594"/>
      <c r="SOI594"/>
      <c r="SOJ594"/>
      <c r="SOK594"/>
      <c r="SOL594"/>
      <c r="SOM594"/>
      <c r="SON594"/>
      <c r="SOO594"/>
      <c r="SOP594"/>
      <c r="SOQ594"/>
      <c r="SOR594"/>
      <c r="SOS594"/>
      <c r="SOT594"/>
      <c r="SOU594"/>
      <c r="SOV594"/>
      <c r="SOW594"/>
      <c r="SOX594"/>
      <c r="SOY594"/>
      <c r="SOZ594"/>
      <c r="SPA594"/>
      <c r="SPB594"/>
      <c r="SPC594"/>
      <c r="SPD594"/>
      <c r="SPE594"/>
      <c r="SPF594"/>
      <c r="SPG594"/>
      <c r="SPH594"/>
      <c r="SPI594"/>
      <c r="SPJ594"/>
      <c r="SPK594"/>
      <c r="SPL594"/>
      <c r="SPM594"/>
      <c r="SPN594"/>
      <c r="SPO594"/>
      <c r="SPP594"/>
      <c r="SPQ594"/>
      <c r="SPR594"/>
      <c r="SPS594"/>
      <c r="SPT594"/>
      <c r="SPU594"/>
      <c r="SPV594"/>
      <c r="SPW594"/>
      <c r="SPX594"/>
      <c r="SPY594"/>
      <c r="SPZ594"/>
      <c r="SQA594"/>
      <c r="SQB594"/>
      <c r="SQC594"/>
      <c r="SQD594"/>
      <c r="SQE594"/>
      <c r="SQF594"/>
      <c r="SQG594"/>
      <c r="SQH594"/>
      <c r="SQI594"/>
      <c r="SQJ594"/>
      <c r="SQK594"/>
      <c r="SQL594"/>
      <c r="SQM594"/>
      <c r="SQN594"/>
      <c r="SQO594"/>
      <c r="SQP594"/>
      <c r="SQQ594"/>
      <c r="SQR594"/>
      <c r="SQS594"/>
      <c r="SQT594"/>
      <c r="SQU594"/>
      <c r="SQV594"/>
      <c r="SQW594"/>
      <c r="SQX594"/>
      <c r="SQY594"/>
      <c r="SQZ594"/>
      <c r="SRA594"/>
      <c r="SRB594"/>
      <c r="SRC594"/>
      <c r="SRD594"/>
      <c r="SRE594"/>
      <c r="SRF594"/>
      <c r="SRG594"/>
      <c r="SRH594"/>
      <c r="SRI594"/>
      <c r="SRJ594"/>
      <c r="SRK594"/>
      <c r="SRL594"/>
      <c r="SRM594"/>
      <c r="SRN594"/>
      <c r="SRO594"/>
      <c r="SRP594"/>
      <c r="SRQ594"/>
      <c r="SRR594"/>
      <c r="SRS594"/>
      <c r="SRT594"/>
      <c r="SRU594"/>
      <c r="SRV594"/>
      <c r="SRW594"/>
      <c r="SRX594"/>
      <c r="SRY594"/>
      <c r="SRZ594"/>
      <c r="SSA594"/>
      <c r="SSB594"/>
      <c r="SSC594"/>
      <c r="SSD594"/>
      <c r="SSE594"/>
      <c r="SSF594"/>
      <c r="SSG594"/>
      <c r="SSH594"/>
      <c r="SSI594"/>
      <c r="SSJ594"/>
      <c r="SSK594"/>
      <c r="SSL594"/>
      <c r="SSM594"/>
      <c r="SSN594"/>
      <c r="SSO594"/>
      <c r="SSP594"/>
      <c r="SSQ594"/>
      <c r="SSR594"/>
      <c r="SSS594"/>
      <c r="SST594"/>
      <c r="SSU594"/>
      <c r="SSV594"/>
      <c r="SSW594"/>
      <c r="SSX594"/>
      <c r="SSY594"/>
      <c r="SSZ594"/>
      <c r="STA594"/>
      <c r="STB594"/>
      <c r="STC594"/>
      <c r="STD594"/>
      <c r="STE594"/>
      <c r="STF594"/>
      <c r="STG594"/>
      <c r="STH594"/>
      <c r="STI594"/>
      <c r="STJ594"/>
      <c r="STK594"/>
      <c r="STL594"/>
      <c r="STM594"/>
      <c r="STN594"/>
      <c r="STO594"/>
      <c r="STP594"/>
      <c r="STQ594"/>
      <c r="STR594"/>
      <c r="STS594"/>
      <c r="STT594"/>
      <c r="STU594"/>
      <c r="STV594"/>
      <c r="STW594"/>
      <c r="STX594"/>
      <c r="STY594"/>
      <c r="STZ594"/>
      <c r="SUA594"/>
      <c r="SUB594"/>
      <c r="SUC594"/>
      <c r="SUD594"/>
      <c r="SUE594"/>
      <c r="SUF594"/>
      <c r="SUG594"/>
      <c r="SUH594"/>
      <c r="SUI594"/>
      <c r="SUJ594"/>
      <c r="SUK594"/>
      <c r="SUL594"/>
      <c r="SUM594"/>
      <c r="SUN594"/>
      <c r="SUO594"/>
      <c r="SUP594"/>
      <c r="SUQ594"/>
      <c r="SUR594"/>
      <c r="SUS594"/>
      <c r="SUT594"/>
      <c r="SUU594"/>
      <c r="SUV594"/>
      <c r="SUW594"/>
      <c r="SUX594"/>
      <c r="SUY594"/>
      <c r="SUZ594"/>
      <c r="SVA594"/>
      <c r="SVB594"/>
      <c r="SVC594"/>
      <c r="SVD594"/>
      <c r="SVE594"/>
      <c r="SVF594"/>
      <c r="SVG594"/>
      <c r="SVH594"/>
      <c r="SVI594"/>
      <c r="SVJ594"/>
      <c r="SVK594"/>
      <c r="SVL594"/>
      <c r="SVM594"/>
      <c r="SVN594"/>
      <c r="SVO594"/>
      <c r="SVP594"/>
      <c r="SVQ594"/>
      <c r="SVR594"/>
      <c r="SVS594"/>
      <c r="SVT594"/>
      <c r="SVU594"/>
      <c r="SVV594"/>
      <c r="SVW594"/>
      <c r="SVX594"/>
      <c r="SVY594"/>
      <c r="SVZ594"/>
      <c r="SWA594"/>
      <c r="SWB594"/>
      <c r="SWC594"/>
      <c r="SWD594"/>
      <c r="SWE594"/>
      <c r="SWF594"/>
      <c r="SWG594"/>
      <c r="SWH594"/>
      <c r="SWI594"/>
      <c r="SWJ594"/>
      <c r="SWK594"/>
      <c r="SWL594"/>
      <c r="SWM594"/>
      <c r="SWN594"/>
      <c r="SWO594"/>
      <c r="SWP594"/>
      <c r="SWQ594"/>
      <c r="SWR594"/>
      <c r="SWS594"/>
      <c r="SWT594"/>
      <c r="SWU594"/>
      <c r="SWV594"/>
      <c r="SWW594"/>
      <c r="SWX594"/>
      <c r="SWY594"/>
      <c r="SWZ594"/>
      <c r="SXA594"/>
      <c r="SXB594"/>
      <c r="SXC594"/>
      <c r="SXD594"/>
      <c r="SXE594"/>
      <c r="SXF594"/>
      <c r="SXG594"/>
      <c r="SXH594"/>
      <c r="SXI594"/>
      <c r="SXJ594"/>
      <c r="SXK594"/>
      <c r="SXL594"/>
      <c r="SXM594"/>
      <c r="SXN594"/>
      <c r="SXO594"/>
      <c r="SXP594"/>
      <c r="SXQ594"/>
      <c r="SXR594"/>
      <c r="SXS594"/>
      <c r="SXT594"/>
      <c r="SXU594"/>
      <c r="SXV594"/>
      <c r="SXW594"/>
      <c r="SXX594"/>
      <c r="SXY594"/>
      <c r="SXZ594"/>
      <c r="SYA594"/>
      <c r="SYB594"/>
      <c r="SYC594"/>
      <c r="SYD594"/>
      <c r="SYE594"/>
      <c r="SYF594"/>
      <c r="SYG594"/>
      <c r="SYH594"/>
      <c r="SYI594"/>
      <c r="SYJ594"/>
      <c r="SYK594"/>
      <c r="SYL594"/>
      <c r="SYM594"/>
      <c r="SYN594"/>
      <c r="SYO594"/>
      <c r="SYP594"/>
      <c r="SYQ594"/>
      <c r="SYR594"/>
      <c r="SYS594"/>
      <c r="SYT594"/>
      <c r="SYU594"/>
      <c r="SYV594"/>
      <c r="SYW594"/>
      <c r="SYX594"/>
      <c r="SYY594"/>
      <c r="SYZ594"/>
      <c r="SZA594"/>
      <c r="SZB594"/>
      <c r="SZC594"/>
      <c r="SZD594"/>
      <c r="SZE594"/>
      <c r="SZF594"/>
      <c r="SZG594"/>
      <c r="SZH594"/>
      <c r="SZI594"/>
      <c r="SZJ594"/>
      <c r="SZK594"/>
      <c r="SZL594"/>
      <c r="SZM594"/>
      <c r="SZN594"/>
      <c r="SZO594"/>
      <c r="SZP594"/>
      <c r="SZQ594"/>
      <c r="SZR594"/>
      <c r="SZS594"/>
      <c r="SZT594"/>
      <c r="SZU594"/>
      <c r="SZV594"/>
      <c r="SZW594"/>
      <c r="SZX594"/>
      <c r="SZY594"/>
      <c r="SZZ594"/>
      <c r="TAA594"/>
      <c r="TAB594"/>
      <c r="TAC594"/>
      <c r="TAD594"/>
      <c r="TAE594"/>
      <c r="TAF594"/>
      <c r="TAG594"/>
      <c r="TAH594"/>
      <c r="TAI594"/>
      <c r="TAJ594"/>
      <c r="TAK594"/>
      <c r="TAL594"/>
      <c r="TAM594"/>
      <c r="TAN594"/>
      <c r="TAO594"/>
      <c r="TAP594"/>
      <c r="TAQ594"/>
      <c r="TAR594"/>
      <c r="TAS594"/>
      <c r="TAT594"/>
      <c r="TAU594"/>
      <c r="TAV594"/>
      <c r="TAW594"/>
      <c r="TAX594"/>
      <c r="TAY594"/>
      <c r="TAZ594"/>
      <c r="TBA594"/>
      <c r="TBB594"/>
      <c r="TBC594"/>
      <c r="TBD594"/>
      <c r="TBE594"/>
      <c r="TBF594"/>
      <c r="TBG594"/>
      <c r="TBH594"/>
      <c r="TBI594"/>
      <c r="TBJ594"/>
      <c r="TBK594"/>
      <c r="TBL594"/>
      <c r="TBM594"/>
      <c r="TBN594"/>
      <c r="TBO594"/>
      <c r="TBP594"/>
      <c r="TBQ594"/>
      <c r="TBR594"/>
      <c r="TBS594"/>
      <c r="TBT594"/>
      <c r="TBU594"/>
      <c r="TBV594"/>
      <c r="TBW594"/>
      <c r="TBX594"/>
      <c r="TBY594"/>
      <c r="TBZ594"/>
      <c r="TCA594"/>
      <c r="TCB594"/>
      <c r="TCC594"/>
      <c r="TCD594"/>
      <c r="TCE594"/>
      <c r="TCF594"/>
      <c r="TCG594"/>
      <c r="TCH594"/>
      <c r="TCI594"/>
      <c r="TCJ594"/>
      <c r="TCK594"/>
      <c r="TCL594"/>
      <c r="TCM594"/>
      <c r="TCN594"/>
      <c r="TCO594"/>
      <c r="TCP594"/>
      <c r="TCQ594"/>
      <c r="TCR594"/>
      <c r="TCS594"/>
      <c r="TCT594"/>
      <c r="TCU594"/>
      <c r="TCV594"/>
      <c r="TCW594"/>
      <c r="TCX594"/>
      <c r="TCY594"/>
      <c r="TCZ594"/>
      <c r="TDA594"/>
      <c r="TDB594"/>
      <c r="TDC594"/>
      <c r="TDD594"/>
      <c r="TDE594"/>
      <c r="TDF594"/>
      <c r="TDG594"/>
      <c r="TDH594"/>
      <c r="TDI594"/>
      <c r="TDJ594"/>
      <c r="TDK594"/>
      <c r="TDL594"/>
      <c r="TDM594"/>
      <c r="TDN594"/>
      <c r="TDO594"/>
      <c r="TDP594"/>
      <c r="TDQ594"/>
      <c r="TDR594"/>
      <c r="TDS594"/>
      <c r="TDT594"/>
      <c r="TDU594"/>
      <c r="TDV594"/>
      <c r="TDW594"/>
      <c r="TDX594"/>
      <c r="TDY594"/>
      <c r="TDZ594"/>
      <c r="TEA594"/>
      <c r="TEB594"/>
      <c r="TEC594"/>
      <c r="TED594"/>
      <c r="TEE594"/>
      <c r="TEF594"/>
      <c r="TEG594"/>
      <c r="TEH594"/>
      <c r="TEI594"/>
      <c r="TEJ594"/>
      <c r="TEK594"/>
      <c r="TEL594"/>
      <c r="TEM594"/>
      <c r="TEN594"/>
      <c r="TEO594"/>
      <c r="TEP594"/>
      <c r="TEQ594"/>
      <c r="TER594"/>
      <c r="TES594"/>
      <c r="TET594"/>
      <c r="TEU594"/>
      <c r="TEV594"/>
      <c r="TEW594"/>
      <c r="TEX594"/>
      <c r="TEY594"/>
      <c r="TEZ594"/>
      <c r="TFA594"/>
      <c r="TFB594"/>
      <c r="TFC594"/>
      <c r="TFD594"/>
      <c r="TFE594"/>
      <c r="TFF594"/>
      <c r="TFG594"/>
      <c r="TFH594"/>
      <c r="TFI594"/>
      <c r="TFJ594"/>
      <c r="TFK594"/>
      <c r="TFL594"/>
      <c r="TFM594"/>
      <c r="TFN594"/>
      <c r="TFO594"/>
      <c r="TFP594"/>
      <c r="TFQ594"/>
      <c r="TFR594"/>
      <c r="TFS594"/>
      <c r="TFT594"/>
      <c r="TFU594"/>
      <c r="TFV594"/>
      <c r="TFW594"/>
      <c r="TFX594"/>
      <c r="TFY594"/>
      <c r="TFZ594"/>
      <c r="TGA594"/>
      <c r="TGB594"/>
      <c r="TGC594"/>
      <c r="TGD594"/>
      <c r="TGE594"/>
      <c r="TGF594"/>
      <c r="TGG594"/>
      <c r="TGH594"/>
      <c r="TGI594"/>
      <c r="TGJ594"/>
      <c r="TGK594"/>
      <c r="TGL594"/>
      <c r="TGM594"/>
      <c r="TGN594"/>
      <c r="TGO594"/>
      <c r="TGP594"/>
      <c r="TGQ594"/>
      <c r="TGR594"/>
      <c r="TGS594"/>
      <c r="TGT594"/>
      <c r="TGU594"/>
      <c r="TGV594"/>
      <c r="TGW594"/>
      <c r="TGX594"/>
      <c r="TGY594"/>
      <c r="TGZ594"/>
      <c r="THA594"/>
      <c r="THB594"/>
      <c r="THC594"/>
      <c r="THD594"/>
      <c r="THE594"/>
      <c r="THF594"/>
      <c r="THG594"/>
      <c r="THH594"/>
      <c r="THI594"/>
      <c r="THJ594"/>
      <c r="THK594"/>
      <c r="THL594"/>
      <c r="THM594"/>
      <c r="THN594"/>
      <c r="THO594"/>
      <c r="THP594"/>
      <c r="THQ594"/>
      <c r="THR594"/>
      <c r="THS594"/>
      <c r="THT594"/>
      <c r="THU594"/>
      <c r="THV594"/>
      <c r="THW594"/>
      <c r="THX594"/>
      <c r="THY594"/>
      <c r="THZ594"/>
      <c r="TIA594"/>
      <c r="TIB594"/>
      <c r="TIC594"/>
      <c r="TID594"/>
      <c r="TIE594"/>
      <c r="TIF594"/>
      <c r="TIG594"/>
      <c r="TIH594"/>
      <c r="TII594"/>
      <c r="TIJ594"/>
      <c r="TIK594"/>
      <c r="TIL594"/>
      <c r="TIM594"/>
      <c r="TIN594"/>
      <c r="TIO594"/>
      <c r="TIP594"/>
      <c r="TIQ594"/>
      <c r="TIR594"/>
      <c r="TIS594"/>
      <c r="TIT594"/>
      <c r="TIU594"/>
      <c r="TIV594"/>
      <c r="TIW594"/>
      <c r="TIX594"/>
      <c r="TIY594"/>
      <c r="TIZ594"/>
      <c r="TJA594"/>
      <c r="TJB594"/>
      <c r="TJC594"/>
      <c r="TJD594"/>
      <c r="TJE594"/>
      <c r="TJF594"/>
      <c r="TJG594"/>
      <c r="TJH594"/>
      <c r="TJI594"/>
      <c r="TJJ594"/>
      <c r="TJK594"/>
      <c r="TJL594"/>
      <c r="TJM594"/>
      <c r="TJN594"/>
      <c r="TJO594"/>
      <c r="TJP594"/>
      <c r="TJQ594"/>
      <c r="TJR594"/>
      <c r="TJS594"/>
      <c r="TJT594"/>
      <c r="TJU594"/>
      <c r="TJV594"/>
      <c r="TJW594"/>
      <c r="TJX594"/>
      <c r="TJY594"/>
      <c r="TJZ594"/>
      <c r="TKA594"/>
      <c r="TKB594"/>
      <c r="TKC594"/>
      <c r="TKD594"/>
      <c r="TKE594"/>
      <c r="TKF594"/>
      <c r="TKG594"/>
      <c r="TKH594"/>
      <c r="TKI594"/>
      <c r="TKJ594"/>
      <c r="TKK594"/>
      <c r="TKL594"/>
      <c r="TKM594"/>
      <c r="TKN594"/>
      <c r="TKO594"/>
      <c r="TKP594"/>
      <c r="TKQ594"/>
      <c r="TKR594"/>
      <c r="TKS594"/>
      <c r="TKT594"/>
      <c r="TKU594"/>
      <c r="TKV594"/>
      <c r="TKW594"/>
      <c r="TKX594"/>
      <c r="TKY594"/>
      <c r="TKZ594"/>
      <c r="TLA594"/>
      <c r="TLB594"/>
      <c r="TLC594"/>
      <c r="TLD594"/>
      <c r="TLE594"/>
      <c r="TLF594"/>
      <c r="TLG594"/>
      <c r="TLH594"/>
      <c r="TLI594"/>
      <c r="TLJ594"/>
      <c r="TLK594"/>
      <c r="TLL594"/>
      <c r="TLM594"/>
      <c r="TLN594"/>
      <c r="TLO594"/>
      <c r="TLP594"/>
      <c r="TLQ594"/>
      <c r="TLR594"/>
      <c r="TLS594"/>
      <c r="TLT594"/>
      <c r="TLU594"/>
      <c r="TLV594"/>
      <c r="TLW594"/>
      <c r="TLX594"/>
      <c r="TLY594"/>
      <c r="TLZ594"/>
      <c r="TMA594"/>
      <c r="TMB594"/>
      <c r="TMC594"/>
      <c r="TMD594"/>
      <c r="TME594"/>
      <c r="TMF594"/>
      <c r="TMG594"/>
      <c r="TMH594"/>
      <c r="TMI594"/>
      <c r="TMJ594"/>
      <c r="TMK594"/>
      <c r="TML594"/>
      <c r="TMM594"/>
      <c r="TMN594"/>
      <c r="TMO594"/>
      <c r="TMP594"/>
      <c r="TMQ594"/>
      <c r="TMR594"/>
      <c r="TMS594"/>
      <c r="TMT594"/>
      <c r="TMU594"/>
      <c r="TMV594"/>
      <c r="TMW594"/>
      <c r="TMX594"/>
      <c r="TMY594"/>
      <c r="TMZ594"/>
      <c r="TNA594"/>
      <c r="TNB594"/>
      <c r="TNC594"/>
      <c r="TND594"/>
      <c r="TNE594"/>
      <c r="TNF594"/>
      <c r="TNG594"/>
      <c r="TNH594"/>
      <c r="TNI594"/>
      <c r="TNJ594"/>
      <c r="TNK594"/>
      <c r="TNL594"/>
      <c r="TNM594"/>
      <c r="TNN594"/>
      <c r="TNO594"/>
      <c r="TNP594"/>
      <c r="TNQ594"/>
      <c r="TNR594"/>
      <c r="TNS594"/>
      <c r="TNT594"/>
      <c r="TNU594"/>
      <c r="TNV594"/>
      <c r="TNW594"/>
      <c r="TNX594"/>
      <c r="TNY594"/>
      <c r="TNZ594"/>
      <c r="TOA594"/>
      <c r="TOB594"/>
      <c r="TOC594"/>
      <c r="TOD594"/>
      <c r="TOE594"/>
      <c r="TOF594"/>
      <c r="TOG594"/>
      <c r="TOH594"/>
      <c r="TOI594"/>
      <c r="TOJ594"/>
      <c r="TOK594"/>
      <c r="TOL594"/>
      <c r="TOM594"/>
      <c r="TON594"/>
      <c r="TOO594"/>
      <c r="TOP594"/>
      <c r="TOQ594"/>
      <c r="TOR594"/>
      <c r="TOS594"/>
      <c r="TOT594"/>
      <c r="TOU594"/>
      <c r="TOV594"/>
      <c r="TOW594"/>
      <c r="TOX594"/>
      <c r="TOY594"/>
      <c r="TOZ594"/>
      <c r="TPA594"/>
      <c r="TPB594"/>
      <c r="TPC594"/>
      <c r="TPD594"/>
      <c r="TPE594"/>
      <c r="TPF594"/>
      <c r="TPG594"/>
      <c r="TPH594"/>
      <c r="TPI594"/>
      <c r="TPJ594"/>
      <c r="TPK594"/>
      <c r="TPL594"/>
      <c r="TPM594"/>
      <c r="TPN594"/>
      <c r="TPO594"/>
      <c r="TPP594"/>
      <c r="TPQ594"/>
      <c r="TPR594"/>
      <c r="TPS594"/>
      <c r="TPT594"/>
      <c r="TPU594"/>
      <c r="TPV594"/>
      <c r="TPW594"/>
      <c r="TPX594"/>
      <c r="TPY594"/>
      <c r="TPZ594"/>
      <c r="TQA594"/>
      <c r="TQB594"/>
      <c r="TQC594"/>
      <c r="TQD594"/>
      <c r="TQE594"/>
      <c r="TQF594"/>
      <c r="TQG594"/>
      <c r="TQH594"/>
      <c r="TQI594"/>
      <c r="TQJ594"/>
      <c r="TQK594"/>
      <c r="TQL594"/>
      <c r="TQM594"/>
      <c r="TQN594"/>
      <c r="TQO594"/>
      <c r="TQP594"/>
      <c r="TQQ594"/>
      <c r="TQR594"/>
      <c r="TQS594"/>
      <c r="TQT594"/>
      <c r="TQU594"/>
      <c r="TQV594"/>
      <c r="TQW594"/>
      <c r="TQX594"/>
      <c r="TQY594"/>
      <c r="TQZ594"/>
      <c r="TRA594"/>
      <c r="TRB594"/>
      <c r="TRC594"/>
      <c r="TRD594"/>
      <c r="TRE594"/>
      <c r="TRF594"/>
      <c r="TRG594"/>
      <c r="TRH594"/>
      <c r="TRI594"/>
      <c r="TRJ594"/>
      <c r="TRK594"/>
      <c r="TRL594"/>
      <c r="TRM594"/>
      <c r="TRN594"/>
      <c r="TRO594"/>
      <c r="TRP594"/>
      <c r="TRQ594"/>
      <c r="TRR594"/>
      <c r="TRS594"/>
      <c r="TRT594"/>
      <c r="TRU594"/>
      <c r="TRV594"/>
      <c r="TRW594"/>
      <c r="TRX594"/>
      <c r="TRY594"/>
      <c r="TRZ594"/>
      <c r="TSA594"/>
      <c r="TSB594"/>
      <c r="TSC594"/>
      <c r="TSD594"/>
      <c r="TSE594"/>
      <c r="TSF594"/>
      <c r="TSG594"/>
      <c r="TSH594"/>
      <c r="TSI594"/>
      <c r="TSJ594"/>
      <c r="TSK594"/>
      <c r="TSL594"/>
      <c r="TSM594"/>
      <c r="TSN594"/>
      <c r="TSO594"/>
      <c r="TSP594"/>
      <c r="TSQ594"/>
      <c r="TSR594"/>
      <c r="TSS594"/>
      <c r="TST594"/>
      <c r="TSU594"/>
      <c r="TSV594"/>
      <c r="TSW594"/>
      <c r="TSX594"/>
      <c r="TSY594"/>
      <c r="TSZ594"/>
      <c r="TTA594"/>
      <c r="TTB594"/>
      <c r="TTC594"/>
      <c r="TTD594"/>
      <c r="TTE594"/>
      <c r="TTF594"/>
      <c r="TTG594"/>
      <c r="TTH594"/>
      <c r="TTI594"/>
      <c r="TTJ594"/>
      <c r="TTK594"/>
      <c r="TTL594"/>
      <c r="TTM594"/>
      <c r="TTN594"/>
      <c r="TTO594"/>
      <c r="TTP594"/>
      <c r="TTQ594"/>
      <c r="TTR594"/>
      <c r="TTS594"/>
      <c r="TTT594"/>
      <c r="TTU594"/>
      <c r="TTV594"/>
      <c r="TTW594"/>
      <c r="TTX594"/>
      <c r="TTY594"/>
      <c r="TTZ594"/>
      <c r="TUA594"/>
      <c r="TUB594"/>
      <c r="TUC594"/>
      <c r="TUD594"/>
      <c r="TUE594"/>
      <c r="TUF594"/>
      <c r="TUG594"/>
      <c r="TUH594"/>
      <c r="TUI594"/>
      <c r="TUJ594"/>
      <c r="TUK594"/>
      <c r="TUL594"/>
      <c r="TUM594"/>
      <c r="TUN594"/>
      <c r="TUO594"/>
      <c r="TUP594"/>
      <c r="TUQ594"/>
      <c r="TUR594"/>
      <c r="TUS594"/>
      <c r="TUT594"/>
      <c r="TUU594"/>
      <c r="TUV594"/>
      <c r="TUW594"/>
      <c r="TUX594"/>
      <c r="TUY594"/>
      <c r="TUZ594"/>
      <c r="TVA594"/>
      <c r="TVB594"/>
      <c r="TVC594"/>
      <c r="TVD594"/>
      <c r="TVE594"/>
      <c r="TVF594"/>
      <c r="TVG594"/>
      <c r="TVH594"/>
      <c r="TVI594"/>
      <c r="TVJ594"/>
      <c r="TVK594"/>
      <c r="TVL594"/>
      <c r="TVM594"/>
      <c r="TVN594"/>
      <c r="TVO594"/>
      <c r="TVP594"/>
      <c r="TVQ594"/>
      <c r="TVR594"/>
      <c r="TVS594"/>
      <c r="TVT594"/>
      <c r="TVU594"/>
      <c r="TVV594"/>
      <c r="TVW594"/>
      <c r="TVX594"/>
      <c r="TVY594"/>
      <c r="TVZ594"/>
      <c r="TWA594"/>
      <c r="TWB594"/>
      <c r="TWC594"/>
      <c r="TWD594"/>
      <c r="TWE594"/>
      <c r="TWF594"/>
      <c r="TWG594"/>
      <c r="TWH594"/>
      <c r="TWI594"/>
      <c r="TWJ594"/>
      <c r="TWK594"/>
      <c r="TWL594"/>
      <c r="TWM594"/>
      <c r="TWN594"/>
      <c r="TWO594"/>
      <c r="TWP594"/>
      <c r="TWQ594"/>
      <c r="TWR594"/>
      <c r="TWS594"/>
      <c r="TWT594"/>
      <c r="TWU594"/>
      <c r="TWV594"/>
      <c r="TWW594"/>
      <c r="TWX594"/>
      <c r="TWY594"/>
      <c r="TWZ594"/>
      <c r="TXA594"/>
      <c r="TXB594"/>
      <c r="TXC594"/>
      <c r="TXD594"/>
      <c r="TXE594"/>
      <c r="TXF594"/>
      <c r="TXG594"/>
      <c r="TXH594"/>
      <c r="TXI594"/>
      <c r="TXJ594"/>
      <c r="TXK594"/>
      <c r="TXL594"/>
      <c r="TXM594"/>
      <c r="TXN594"/>
      <c r="TXO594"/>
      <c r="TXP594"/>
      <c r="TXQ594"/>
      <c r="TXR594"/>
      <c r="TXS594"/>
      <c r="TXT594"/>
      <c r="TXU594"/>
      <c r="TXV594"/>
      <c r="TXW594"/>
      <c r="TXX594"/>
      <c r="TXY594"/>
      <c r="TXZ594"/>
      <c r="TYA594"/>
      <c r="TYB594"/>
      <c r="TYC594"/>
      <c r="TYD594"/>
      <c r="TYE594"/>
      <c r="TYF594"/>
      <c r="TYG594"/>
      <c r="TYH594"/>
      <c r="TYI594"/>
      <c r="TYJ594"/>
      <c r="TYK594"/>
      <c r="TYL594"/>
      <c r="TYM594"/>
      <c r="TYN594"/>
      <c r="TYO594"/>
      <c r="TYP594"/>
      <c r="TYQ594"/>
      <c r="TYR594"/>
      <c r="TYS594"/>
      <c r="TYT594"/>
      <c r="TYU594"/>
      <c r="TYV594"/>
      <c r="TYW594"/>
      <c r="TYX594"/>
      <c r="TYY594"/>
      <c r="TYZ594"/>
      <c r="TZA594"/>
      <c r="TZB594"/>
      <c r="TZC594"/>
      <c r="TZD594"/>
      <c r="TZE594"/>
      <c r="TZF594"/>
      <c r="TZG594"/>
      <c r="TZH594"/>
      <c r="TZI594"/>
      <c r="TZJ594"/>
      <c r="TZK594"/>
      <c r="TZL594"/>
      <c r="TZM594"/>
      <c r="TZN594"/>
      <c r="TZO594"/>
      <c r="TZP594"/>
      <c r="TZQ594"/>
      <c r="TZR594"/>
      <c r="TZS594"/>
      <c r="TZT594"/>
      <c r="TZU594"/>
      <c r="TZV594"/>
      <c r="TZW594"/>
      <c r="TZX594"/>
      <c r="TZY594"/>
      <c r="TZZ594"/>
      <c r="UAA594"/>
      <c r="UAB594"/>
      <c r="UAC594"/>
      <c r="UAD594"/>
      <c r="UAE594"/>
      <c r="UAF594"/>
      <c r="UAG594"/>
      <c r="UAH594"/>
      <c r="UAI594"/>
      <c r="UAJ594"/>
      <c r="UAK594"/>
      <c r="UAL594"/>
      <c r="UAM594"/>
      <c r="UAN594"/>
      <c r="UAO594"/>
      <c r="UAP594"/>
      <c r="UAQ594"/>
      <c r="UAR594"/>
      <c r="UAS594"/>
      <c r="UAT594"/>
      <c r="UAU594"/>
      <c r="UAV594"/>
      <c r="UAW594"/>
      <c r="UAX594"/>
      <c r="UAY594"/>
      <c r="UAZ594"/>
      <c r="UBA594"/>
      <c r="UBB594"/>
      <c r="UBC594"/>
      <c r="UBD594"/>
      <c r="UBE594"/>
      <c r="UBF594"/>
      <c r="UBG594"/>
      <c r="UBH594"/>
      <c r="UBI594"/>
      <c r="UBJ594"/>
      <c r="UBK594"/>
      <c r="UBL594"/>
      <c r="UBM594"/>
      <c r="UBN594"/>
      <c r="UBO594"/>
      <c r="UBP594"/>
      <c r="UBQ594"/>
      <c r="UBR594"/>
      <c r="UBS594"/>
      <c r="UBT594"/>
      <c r="UBU594"/>
      <c r="UBV594"/>
      <c r="UBW594"/>
      <c r="UBX594"/>
      <c r="UBY594"/>
      <c r="UBZ594"/>
      <c r="UCA594"/>
      <c r="UCB594"/>
      <c r="UCC594"/>
      <c r="UCD594"/>
      <c r="UCE594"/>
      <c r="UCF594"/>
      <c r="UCG594"/>
      <c r="UCH594"/>
      <c r="UCI594"/>
      <c r="UCJ594"/>
      <c r="UCK594"/>
      <c r="UCL594"/>
      <c r="UCM594"/>
      <c r="UCN594"/>
      <c r="UCO594"/>
      <c r="UCP594"/>
      <c r="UCQ594"/>
      <c r="UCR594"/>
      <c r="UCS594"/>
      <c r="UCT594"/>
      <c r="UCU594"/>
      <c r="UCV594"/>
      <c r="UCW594"/>
      <c r="UCX594"/>
      <c r="UCY594"/>
      <c r="UCZ594"/>
      <c r="UDA594"/>
      <c r="UDB594"/>
      <c r="UDC594"/>
      <c r="UDD594"/>
      <c r="UDE594"/>
      <c r="UDF594"/>
      <c r="UDG594"/>
      <c r="UDH594"/>
      <c r="UDI594"/>
      <c r="UDJ594"/>
      <c r="UDK594"/>
      <c r="UDL594"/>
      <c r="UDM594"/>
      <c r="UDN594"/>
      <c r="UDO594"/>
      <c r="UDP594"/>
      <c r="UDQ594"/>
      <c r="UDR594"/>
      <c r="UDS594"/>
      <c r="UDT594"/>
      <c r="UDU594"/>
      <c r="UDV594"/>
      <c r="UDW594"/>
      <c r="UDX594"/>
      <c r="UDY594"/>
      <c r="UDZ594"/>
      <c r="UEA594"/>
      <c r="UEB594"/>
      <c r="UEC594"/>
      <c r="UED594"/>
      <c r="UEE594"/>
      <c r="UEF594"/>
      <c r="UEG594"/>
      <c r="UEH594"/>
      <c r="UEI594"/>
      <c r="UEJ594"/>
      <c r="UEK594"/>
      <c r="UEL594"/>
      <c r="UEM594"/>
      <c r="UEN594"/>
      <c r="UEO594"/>
      <c r="UEP594"/>
      <c r="UEQ594"/>
      <c r="UER594"/>
      <c r="UES594"/>
      <c r="UET594"/>
      <c r="UEU594"/>
      <c r="UEV594"/>
      <c r="UEW594"/>
      <c r="UEX594"/>
      <c r="UEY594"/>
      <c r="UEZ594"/>
      <c r="UFA594"/>
      <c r="UFB594"/>
      <c r="UFC594"/>
      <c r="UFD594"/>
      <c r="UFE594"/>
      <c r="UFF594"/>
      <c r="UFG594"/>
      <c r="UFH594"/>
      <c r="UFI594"/>
      <c r="UFJ594"/>
      <c r="UFK594"/>
      <c r="UFL594"/>
      <c r="UFM594"/>
      <c r="UFN594"/>
      <c r="UFO594"/>
      <c r="UFP594"/>
      <c r="UFQ594"/>
      <c r="UFR594"/>
      <c r="UFS594"/>
      <c r="UFT594"/>
      <c r="UFU594"/>
      <c r="UFV594"/>
      <c r="UFW594"/>
      <c r="UFX594"/>
      <c r="UFY594"/>
      <c r="UFZ594"/>
      <c r="UGA594"/>
      <c r="UGB594"/>
      <c r="UGC594"/>
      <c r="UGD594"/>
      <c r="UGE594"/>
      <c r="UGF594"/>
      <c r="UGG594"/>
      <c r="UGH594"/>
      <c r="UGI594"/>
      <c r="UGJ594"/>
      <c r="UGK594"/>
      <c r="UGL594"/>
      <c r="UGM594"/>
      <c r="UGN594"/>
      <c r="UGO594"/>
      <c r="UGP594"/>
      <c r="UGQ594"/>
      <c r="UGR594"/>
      <c r="UGS594"/>
      <c r="UGT594"/>
      <c r="UGU594"/>
      <c r="UGV594"/>
      <c r="UGW594"/>
      <c r="UGX594"/>
      <c r="UGY594"/>
      <c r="UGZ594"/>
      <c r="UHA594"/>
      <c r="UHB594"/>
      <c r="UHC594"/>
      <c r="UHD594"/>
      <c r="UHE594"/>
      <c r="UHF594"/>
      <c r="UHG594"/>
      <c r="UHH594"/>
      <c r="UHI594"/>
      <c r="UHJ594"/>
      <c r="UHK594"/>
      <c r="UHL594"/>
      <c r="UHM594"/>
      <c r="UHN594"/>
      <c r="UHO594"/>
      <c r="UHP594"/>
      <c r="UHQ594"/>
      <c r="UHR594"/>
      <c r="UHS594"/>
      <c r="UHT594"/>
      <c r="UHU594"/>
      <c r="UHV594"/>
      <c r="UHW594"/>
      <c r="UHX594"/>
      <c r="UHY594"/>
      <c r="UHZ594"/>
      <c r="UIA594"/>
      <c r="UIB594"/>
      <c r="UIC594"/>
      <c r="UID594"/>
      <c r="UIE594"/>
      <c r="UIF594"/>
      <c r="UIG594"/>
      <c r="UIH594"/>
      <c r="UII594"/>
      <c r="UIJ594"/>
      <c r="UIK594"/>
      <c r="UIL594"/>
      <c r="UIM594"/>
      <c r="UIN594"/>
      <c r="UIO594"/>
      <c r="UIP594"/>
      <c r="UIQ594"/>
      <c r="UIR594"/>
      <c r="UIS594"/>
      <c r="UIT594"/>
      <c r="UIU594"/>
      <c r="UIV594"/>
      <c r="UIW594"/>
      <c r="UIX594"/>
      <c r="UIY594"/>
      <c r="UIZ594"/>
      <c r="UJA594"/>
      <c r="UJB594"/>
      <c r="UJC594"/>
      <c r="UJD594"/>
      <c r="UJE594"/>
      <c r="UJF594"/>
      <c r="UJG594"/>
      <c r="UJH594"/>
      <c r="UJI594"/>
      <c r="UJJ594"/>
      <c r="UJK594"/>
      <c r="UJL594"/>
      <c r="UJM594"/>
      <c r="UJN594"/>
      <c r="UJO594"/>
      <c r="UJP594"/>
      <c r="UJQ594"/>
      <c r="UJR594"/>
      <c r="UJS594"/>
      <c r="UJT594"/>
      <c r="UJU594"/>
      <c r="UJV594"/>
      <c r="UJW594"/>
      <c r="UJX594"/>
      <c r="UJY594"/>
      <c r="UJZ594"/>
      <c r="UKA594"/>
      <c r="UKB594"/>
      <c r="UKC594"/>
      <c r="UKD594"/>
      <c r="UKE594"/>
      <c r="UKF594"/>
      <c r="UKG594"/>
      <c r="UKH594"/>
      <c r="UKI594"/>
      <c r="UKJ594"/>
      <c r="UKK594"/>
      <c r="UKL594"/>
      <c r="UKM594"/>
      <c r="UKN594"/>
      <c r="UKO594"/>
      <c r="UKP594"/>
      <c r="UKQ594"/>
      <c r="UKR594"/>
      <c r="UKS594"/>
      <c r="UKT594"/>
      <c r="UKU594"/>
      <c r="UKV594"/>
      <c r="UKW594"/>
      <c r="UKX594"/>
      <c r="UKY594"/>
      <c r="UKZ594"/>
      <c r="ULA594"/>
      <c r="ULB594"/>
      <c r="ULC594"/>
      <c r="ULD594"/>
      <c r="ULE594"/>
      <c r="ULF594"/>
      <c r="ULG594"/>
      <c r="ULH594"/>
      <c r="ULI594"/>
      <c r="ULJ594"/>
      <c r="ULK594"/>
      <c r="ULL594"/>
      <c r="ULM594"/>
      <c r="ULN594"/>
      <c r="ULO594"/>
      <c r="ULP594"/>
      <c r="ULQ594"/>
      <c r="ULR594"/>
      <c r="ULS594"/>
      <c r="ULT594"/>
      <c r="ULU594"/>
      <c r="ULV594"/>
      <c r="ULW594"/>
      <c r="ULX594"/>
      <c r="ULY594"/>
      <c r="ULZ594"/>
      <c r="UMA594"/>
      <c r="UMB594"/>
      <c r="UMC594"/>
      <c r="UMD594"/>
      <c r="UME594"/>
      <c r="UMF594"/>
      <c r="UMG594"/>
      <c r="UMH594"/>
      <c r="UMI594"/>
      <c r="UMJ594"/>
      <c r="UMK594"/>
      <c r="UML594"/>
      <c r="UMM594"/>
      <c r="UMN594"/>
      <c r="UMO594"/>
      <c r="UMP594"/>
      <c r="UMQ594"/>
      <c r="UMR594"/>
      <c r="UMS594"/>
      <c r="UMT594"/>
      <c r="UMU594"/>
      <c r="UMV594"/>
      <c r="UMW594"/>
      <c r="UMX594"/>
      <c r="UMY594"/>
      <c r="UMZ594"/>
      <c r="UNA594"/>
      <c r="UNB594"/>
      <c r="UNC594"/>
      <c r="UND594"/>
      <c r="UNE594"/>
      <c r="UNF594"/>
      <c r="UNG594"/>
      <c r="UNH594"/>
      <c r="UNI594"/>
      <c r="UNJ594"/>
      <c r="UNK594"/>
      <c r="UNL594"/>
      <c r="UNM594"/>
      <c r="UNN594"/>
      <c r="UNO594"/>
      <c r="UNP594"/>
      <c r="UNQ594"/>
      <c r="UNR594"/>
      <c r="UNS594"/>
      <c r="UNT594"/>
      <c r="UNU594"/>
      <c r="UNV594"/>
      <c r="UNW594"/>
      <c r="UNX594"/>
      <c r="UNY594"/>
      <c r="UNZ594"/>
      <c r="UOA594"/>
      <c r="UOB594"/>
      <c r="UOC594"/>
      <c r="UOD594"/>
      <c r="UOE594"/>
      <c r="UOF594"/>
      <c r="UOG594"/>
      <c r="UOH594"/>
      <c r="UOI594"/>
      <c r="UOJ594"/>
      <c r="UOK594"/>
      <c r="UOL594"/>
      <c r="UOM594"/>
      <c r="UON594"/>
      <c r="UOO594"/>
      <c r="UOP594"/>
      <c r="UOQ594"/>
      <c r="UOR594"/>
      <c r="UOS594"/>
      <c r="UOT594"/>
      <c r="UOU594"/>
      <c r="UOV594"/>
      <c r="UOW594"/>
      <c r="UOX594"/>
      <c r="UOY594"/>
      <c r="UOZ594"/>
      <c r="UPA594"/>
      <c r="UPB594"/>
      <c r="UPC594"/>
      <c r="UPD594"/>
      <c r="UPE594"/>
      <c r="UPF594"/>
      <c r="UPG594"/>
      <c r="UPH594"/>
      <c r="UPI594"/>
      <c r="UPJ594"/>
      <c r="UPK594"/>
      <c r="UPL594"/>
      <c r="UPM594"/>
      <c r="UPN594"/>
      <c r="UPO594"/>
      <c r="UPP594"/>
      <c r="UPQ594"/>
      <c r="UPR594"/>
      <c r="UPS594"/>
      <c r="UPT594"/>
      <c r="UPU594"/>
      <c r="UPV594"/>
      <c r="UPW594"/>
      <c r="UPX594"/>
      <c r="UPY594"/>
      <c r="UPZ594"/>
      <c r="UQA594"/>
      <c r="UQB594"/>
      <c r="UQC594"/>
      <c r="UQD594"/>
      <c r="UQE594"/>
      <c r="UQF594"/>
      <c r="UQG594"/>
      <c r="UQH594"/>
      <c r="UQI594"/>
      <c r="UQJ594"/>
      <c r="UQK594"/>
      <c r="UQL594"/>
      <c r="UQM594"/>
      <c r="UQN594"/>
      <c r="UQO594"/>
      <c r="UQP594"/>
      <c r="UQQ594"/>
      <c r="UQR594"/>
      <c r="UQS594"/>
      <c r="UQT594"/>
      <c r="UQU594"/>
      <c r="UQV594"/>
      <c r="UQW594"/>
      <c r="UQX594"/>
      <c r="UQY594"/>
      <c r="UQZ594"/>
      <c r="URA594"/>
      <c r="URB594"/>
      <c r="URC594"/>
      <c r="URD594"/>
      <c r="URE594"/>
      <c r="URF594"/>
      <c r="URG594"/>
      <c r="URH594"/>
      <c r="URI594"/>
      <c r="URJ594"/>
      <c r="URK594"/>
      <c r="URL594"/>
      <c r="URM594"/>
      <c r="URN594"/>
      <c r="URO594"/>
      <c r="URP594"/>
      <c r="URQ594"/>
      <c r="URR594"/>
      <c r="URS594"/>
      <c r="URT594"/>
      <c r="URU594"/>
      <c r="URV594"/>
      <c r="URW594"/>
      <c r="URX594"/>
      <c r="URY594"/>
      <c r="URZ594"/>
      <c r="USA594"/>
      <c r="USB594"/>
      <c r="USC594"/>
      <c r="USD594"/>
      <c r="USE594"/>
      <c r="USF594"/>
      <c r="USG594"/>
      <c r="USH594"/>
      <c r="USI594"/>
      <c r="USJ594"/>
      <c r="USK594"/>
      <c r="USL594"/>
      <c r="USM594"/>
      <c r="USN594"/>
      <c r="USO594"/>
      <c r="USP594"/>
      <c r="USQ594"/>
      <c r="USR594"/>
      <c r="USS594"/>
      <c r="UST594"/>
      <c r="USU594"/>
      <c r="USV594"/>
      <c r="USW594"/>
      <c r="USX594"/>
      <c r="USY594"/>
      <c r="USZ594"/>
      <c r="UTA594"/>
      <c r="UTB594"/>
      <c r="UTC594"/>
      <c r="UTD594"/>
      <c r="UTE594"/>
      <c r="UTF594"/>
      <c r="UTG594"/>
      <c r="UTH594"/>
      <c r="UTI594"/>
      <c r="UTJ594"/>
      <c r="UTK594"/>
      <c r="UTL594"/>
      <c r="UTM594"/>
      <c r="UTN594"/>
      <c r="UTO594"/>
      <c r="UTP594"/>
      <c r="UTQ594"/>
      <c r="UTR594"/>
      <c r="UTS594"/>
      <c r="UTT594"/>
      <c r="UTU594"/>
      <c r="UTV594"/>
      <c r="UTW594"/>
      <c r="UTX594"/>
      <c r="UTY594"/>
      <c r="UTZ594"/>
      <c r="UUA594"/>
      <c r="UUB594"/>
      <c r="UUC594"/>
      <c r="UUD594"/>
      <c r="UUE594"/>
      <c r="UUF594"/>
      <c r="UUG594"/>
      <c r="UUH594"/>
      <c r="UUI594"/>
      <c r="UUJ594"/>
      <c r="UUK594"/>
      <c r="UUL594"/>
      <c r="UUM594"/>
      <c r="UUN594"/>
      <c r="UUO594"/>
      <c r="UUP594"/>
      <c r="UUQ594"/>
      <c r="UUR594"/>
      <c r="UUS594"/>
      <c r="UUT594"/>
      <c r="UUU594"/>
      <c r="UUV594"/>
      <c r="UUW594"/>
      <c r="UUX594"/>
      <c r="UUY594"/>
      <c r="UUZ594"/>
      <c r="UVA594"/>
      <c r="UVB594"/>
      <c r="UVC594"/>
      <c r="UVD594"/>
      <c r="UVE594"/>
      <c r="UVF594"/>
      <c r="UVG594"/>
      <c r="UVH594"/>
      <c r="UVI594"/>
      <c r="UVJ594"/>
      <c r="UVK594"/>
      <c r="UVL594"/>
      <c r="UVM594"/>
      <c r="UVN594"/>
      <c r="UVO594"/>
      <c r="UVP594"/>
      <c r="UVQ594"/>
      <c r="UVR594"/>
      <c r="UVS594"/>
      <c r="UVT594"/>
      <c r="UVU594"/>
      <c r="UVV594"/>
      <c r="UVW594"/>
      <c r="UVX594"/>
      <c r="UVY594"/>
      <c r="UVZ594"/>
      <c r="UWA594"/>
      <c r="UWB594"/>
      <c r="UWC594"/>
      <c r="UWD594"/>
      <c r="UWE594"/>
      <c r="UWF594"/>
      <c r="UWG594"/>
      <c r="UWH594"/>
      <c r="UWI594"/>
      <c r="UWJ594"/>
      <c r="UWK594"/>
      <c r="UWL594"/>
      <c r="UWM594"/>
      <c r="UWN594"/>
      <c r="UWO594"/>
      <c r="UWP594"/>
      <c r="UWQ594"/>
      <c r="UWR594"/>
      <c r="UWS594"/>
      <c r="UWT594"/>
      <c r="UWU594"/>
      <c r="UWV594"/>
      <c r="UWW594"/>
      <c r="UWX594"/>
      <c r="UWY594"/>
      <c r="UWZ594"/>
      <c r="UXA594"/>
      <c r="UXB594"/>
      <c r="UXC594"/>
      <c r="UXD594"/>
      <c r="UXE594"/>
      <c r="UXF594"/>
      <c r="UXG594"/>
      <c r="UXH594"/>
      <c r="UXI594"/>
      <c r="UXJ594"/>
      <c r="UXK594"/>
      <c r="UXL594"/>
      <c r="UXM594"/>
      <c r="UXN594"/>
      <c r="UXO594"/>
      <c r="UXP594"/>
      <c r="UXQ594"/>
      <c r="UXR594"/>
      <c r="UXS594"/>
      <c r="UXT594"/>
      <c r="UXU594"/>
      <c r="UXV594"/>
      <c r="UXW594"/>
      <c r="UXX594"/>
      <c r="UXY594"/>
      <c r="UXZ594"/>
      <c r="UYA594"/>
      <c r="UYB594"/>
      <c r="UYC594"/>
      <c r="UYD594"/>
      <c r="UYE594"/>
      <c r="UYF594"/>
      <c r="UYG594"/>
      <c r="UYH594"/>
      <c r="UYI594"/>
      <c r="UYJ594"/>
      <c r="UYK594"/>
      <c r="UYL594"/>
      <c r="UYM594"/>
      <c r="UYN594"/>
      <c r="UYO594"/>
      <c r="UYP594"/>
      <c r="UYQ594"/>
      <c r="UYR594"/>
      <c r="UYS594"/>
      <c r="UYT594"/>
      <c r="UYU594"/>
      <c r="UYV594"/>
      <c r="UYW594"/>
      <c r="UYX594"/>
      <c r="UYY594"/>
      <c r="UYZ594"/>
      <c r="UZA594"/>
      <c r="UZB594"/>
      <c r="UZC594"/>
      <c r="UZD594"/>
      <c r="UZE594"/>
      <c r="UZF594"/>
      <c r="UZG594"/>
      <c r="UZH594"/>
      <c r="UZI594"/>
      <c r="UZJ594"/>
      <c r="UZK594"/>
      <c r="UZL594"/>
      <c r="UZM594"/>
      <c r="UZN594"/>
      <c r="UZO594"/>
      <c r="UZP594"/>
      <c r="UZQ594"/>
      <c r="UZR594"/>
      <c r="UZS594"/>
      <c r="UZT594"/>
      <c r="UZU594"/>
      <c r="UZV594"/>
      <c r="UZW594"/>
      <c r="UZX594"/>
      <c r="UZY594"/>
      <c r="UZZ594"/>
      <c r="VAA594"/>
      <c r="VAB594"/>
      <c r="VAC594"/>
      <c r="VAD594"/>
      <c r="VAE594"/>
      <c r="VAF594"/>
      <c r="VAG594"/>
      <c r="VAH594"/>
      <c r="VAI594"/>
      <c r="VAJ594"/>
      <c r="VAK594"/>
      <c r="VAL594"/>
      <c r="VAM594"/>
      <c r="VAN594"/>
      <c r="VAO594"/>
      <c r="VAP594"/>
      <c r="VAQ594"/>
      <c r="VAR594"/>
      <c r="VAS594"/>
      <c r="VAT594"/>
      <c r="VAU594"/>
      <c r="VAV594"/>
      <c r="VAW594"/>
      <c r="VAX594"/>
      <c r="VAY594"/>
      <c r="VAZ594"/>
      <c r="VBA594"/>
      <c r="VBB594"/>
      <c r="VBC594"/>
      <c r="VBD594"/>
      <c r="VBE594"/>
      <c r="VBF594"/>
      <c r="VBG594"/>
      <c r="VBH594"/>
      <c r="VBI594"/>
      <c r="VBJ594"/>
      <c r="VBK594"/>
      <c r="VBL594"/>
      <c r="VBM594"/>
      <c r="VBN594"/>
      <c r="VBO594"/>
      <c r="VBP594"/>
      <c r="VBQ594"/>
      <c r="VBR594"/>
      <c r="VBS594"/>
      <c r="VBT594"/>
      <c r="VBU594"/>
      <c r="VBV594"/>
      <c r="VBW594"/>
      <c r="VBX594"/>
      <c r="VBY594"/>
      <c r="VBZ594"/>
      <c r="VCA594"/>
      <c r="VCB594"/>
      <c r="VCC594"/>
      <c r="VCD594"/>
      <c r="VCE594"/>
      <c r="VCF594"/>
      <c r="VCG594"/>
      <c r="VCH594"/>
      <c r="VCI594"/>
      <c r="VCJ594"/>
      <c r="VCK594"/>
      <c r="VCL594"/>
      <c r="VCM594"/>
      <c r="VCN594"/>
      <c r="VCO594"/>
      <c r="VCP594"/>
      <c r="VCQ594"/>
      <c r="VCR594"/>
      <c r="VCS594"/>
      <c r="VCT594"/>
      <c r="VCU594"/>
      <c r="VCV594"/>
      <c r="VCW594"/>
      <c r="VCX594"/>
      <c r="VCY594"/>
      <c r="VCZ594"/>
      <c r="VDA594"/>
      <c r="VDB594"/>
      <c r="VDC594"/>
      <c r="VDD594"/>
      <c r="VDE594"/>
      <c r="VDF594"/>
      <c r="VDG594"/>
      <c r="VDH594"/>
      <c r="VDI594"/>
      <c r="VDJ594"/>
      <c r="VDK594"/>
      <c r="VDL594"/>
      <c r="VDM594"/>
      <c r="VDN594"/>
      <c r="VDO594"/>
      <c r="VDP594"/>
      <c r="VDQ594"/>
      <c r="VDR594"/>
      <c r="VDS594"/>
      <c r="VDT594"/>
      <c r="VDU594"/>
      <c r="VDV594"/>
      <c r="VDW594"/>
      <c r="VDX594"/>
      <c r="VDY594"/>
      <c r="VDZ594"/>
      <c r="VEA594"/>
      <c r="VEB594"/>
      <c r="VEC594"/>
      <c r="VED594"/>
      <c r="VEE594"/>
      <c r="VEF594"/>
      <c r="VEG594"/>
      <c r="VEH594"/>
      <c r="VEI594"/>
      <c r="VEJ594"/>
      <c r="VEK594"/>
      <c r="VEL594"/>
      <c r="VEM594"/>
      <c r="VEN594"/>
      <c r="VEO594"/>
      <c r="VEP594"/>
      <c r="VEQ594"/>
      <c r="VER594"/>
      <c r="VES594"/>
      <c r="VET594"/>
      <c r="VEU594"/>
      <c r="VEV594"/>
      <c r="VEW594"/>
      <c r="VEX594"/>
      <c r="VEY594"/>
      <c r="VEZ594"/>
      <c r="VFA594"/>
      <c r="VFB594"/>
      <c r="VFC594"/>
      <c r="VFD594"/>
      <c r="VFE594"/>
      <c r="VFF594"/>
      <c r="VFG594"/>
      <c r="VFH594"/>
      <c r="VFI594"/>
      <c r="VFJ594"/>
      <c r="VFK594"/>
      <c r="VFL594"/>
      <c r="VFM594"/>
      <c r="VFN594"/>
      <c r="VFO594"/>
      <c r="VFP594"/>
      <c r="VFQ594"/>
      <c r="VFR594"/>
      <c r="VFS594"/>
      <c r="VFT594"/>
      <c r="VFU594"/>
      <c r="VFV594"/>
      <c r="VFW594"/>
      <c r="VFX594"/>
      <c r="VFY594"/>
      <c r="VFZ594"/>
      <c r="VGA594"/>
      <c r="VGB594"/>
      <c r="VGC594"/>
      <c r="VGD594"/>
      <c r="VGE594"/>
      <c r="VGF594"/>
      <c r="VGG594"/>
      <c r="VGH594"/>
      <c r="VGI594"/>
      <c r="VGJ594"/>
      <c r="VGK594"/>
      <c r="VGL594"/>
      <c r="VGM594"/>
      <c r="VGN594"/>
      <c r="VGO594"/>
      <c r="VGP594"/>
      <c r="VGQ594"/>
      <c r="VGR594"/>
      <c r="VGS594"/>
      <c r="VGT594"/>
      <c r="VGU594"/>
      <c r="VGV594"/>
      <c r="VGW594"/>
      <c r="VGX594"/>
      <c r="VGY594"/>
      <c r="VGZ594"/>
      <c r="VHA594"/>
      <c r="VHB594"/>
      <c r="VHC594"/>
      <c r="VHD594"/>
      <c r="VHE594"/>
      <c r="VHF594"/>
      <c r="VHG594"/>
      <c r="VHH594"/>
      <c r="VHI594"/>
      <c r="VHJ594"/>
      <c r="VHK594"/>
      <c r="VHL594"/>
      <c r="VHM594"/>
      <c r="VHN594"/>
      <c r="VHO594"/>
      <c r="VHP594"/>
      <c r="VHQ594"/>
      <c r="VHR594"/>
      <c r="VHS594"/>
      <c r="VHT594"/>
      <c r="VHU594"/>
      <c r="VHV594"/>
      <c r="VHW594"/>
      <c r="VHX594"/>
      <c r="VHY594"/>
      <c r="VHZ594"/>
      <c r="VIA594"/>
      <c r="VIB594"/>
      <c r="VIC594"/>
      <c r="VID594"/>
      <c r="VIE594"/>
      <c r="VIF594"/>
      <c r="VIG594"/>
      <c r="VIH594"/>
      <c r="VII594"/>
      <c r="VIJ594"/>
      <c r="VIK594"/>
      <c r="VIL594"/>
      <c r="VIM594"/>
      <c r="VIN594"/>
      <c r="VIO594"/>
      <c r="VIP594"/>
      <c r="VIQ594"/>
      <c r="VIR594"/>
      <c r="VIS594"/>
      <c r="VIT594"/>
      <c r="VIU594"/>
      <c r="VIV594"/>
      <c r="VIW594"/>
      <c r="VIX594"/>
      <c r="VIY594"/>
      <c r="VIZ594"/>
      <c r="VJA594"/>
      <c r="VJB594"/>
      <c r="VJC594"/>
      <c r="VJD594"/>
      <c r="VJE594"/>
      <c r="VJF594"/>
      <c r="VJG594"/>
      <c r="VJH594"/>
      <c r="VJI594"/>
      <c r="VJJ594"/>
      <c r="VJK594"/>
      <c r="VJL594"/>
      <c r="VJM594"/>
      <c r="VJN594"/>
      <c r="VJO594"/>
      <c r="VJP594"/>
      <c r="VJQ594"/>
      <c r="VJR594"/>
      <c r="VJS594"/>
      <c r="VJT594"/>
      <c r="VJU594"/>
      <c r="VJV594"/>
      <c r="VJW594"/>
      <c r="VJX594"/>
      <c r="VJY594"/>
      <c r="VJZ594"/>
      <c r="VKA594"/>
      <c r="VKB594"/>
      <c r="VKC594"/>
      <c r="VKD594"/>
      <c r="VKE594"/>
      <c r="VKF594"/>
      <c r="VKG594"/>
      <c r="VKH594"/>
      <c r="VKI594"/>
      <c r="VKJ594"/>
      <c r="VKK594"/>
      <c r="VKL594"/>
      <c r="VKM594"/>
      <c r="VKN594"/>
      <c r="VKO594"/>
      <c r="VKP594"/>
      <c r="VKQ594"/>
      <c r="VKR594"/>
      <c r="VKS594"/>
      <c r="VKT594"/>
      <c r="VKU594"/>
      <c r="VKV594"/>
      <c r="VKW594"/>
      <c r="VKX594"/>
      <c r="VKY594"/>
      <c r="VKZ594"/>
      <c r="VLA594"/>
      <c r="VLB594"/>
      <c r="VLC594"/>
      <c r="VLD594"/>
      <c r="VLE594"/>
      <c r="VLF594"/>
      <c r="VLG594"/>
      <c r="VLH594"/>
      <c r="VLI594"/>
      <c r="VLJ594"/>
      <c r="VLK594"/>
      <c r="VLL594"/>
      <c r="VLM594"/>
      <c r="VLN594"/>
      <c r="VLO594"/>
      <c r="VLP594"/>
      <c r="VLQ594"/>
      <c r="VLR594"/>
      <c r="VLS594"/>
      <c r="VLT594"/>
      <c r="VLU594"/>
      <c r="VLV594"/>
      <c r="VLW594"/>
      <c r="VLX594"/>
      <c r="VLY594"/>
      <c r="VLZ594"/>
      <c r="VMA594"/>
      <c r="VMB594"/>
      <c r="VMC594"/>
      <c r="VMD594"/>
      <c r="VME594"/>
      <c r="VMF594"/>
      <c r="VMG594"/>
      <c r="VMH594"/>
      <c r="VMI594"/>
      <c r="VMJ594"/>
      <c r="VMK594"/>
      <c r="VML594"/>
      <c r="VMM594"/>
      <c r="VMN594"/>
      <c r="VMO594"/>
      <c r="VMP594"/>
      <c r="VMQ594"/>
      <c r="VMR594"/>
      <c r="VMS594"/>
      <c r="VMT594"/>
      <c r="VMU594"/>
      <c r="VMV594"/>
      <c r="VMW594"/>
      <c r="VMX594"/>
      <c r="VMY594"/>
      <c r="VMZ594"/>
      <c r="VNA594"/>
      <c r="VNB594"/>
      <c r="VNC594"/>
      <c r="VND594"/>
      <c r="VNE594"/>
      <c r="VNF594"/>
      <c r="VNG594"/>
      <c r="VNH594"/>
      <c r="VNI594"/>
      <c r="VNJ594"/>
      <c r="VNK594"/>
      <c r="VNL594"/>
      <c r="VNM594"/>
      <c r="VNN594"/>
      <c r="VNO594"/>
      <c r="VNP594"/>
      <c r="VNQ594"/>
      <c r="VNR594"/>
      <c r="VNS594"/>
      <c r="VNT594"/>
      <c r="VNU594"/>
      <c r="VNV594"/>
      <c r="VNW594"/>
      <c r="VNX594"/>
      <c r="VNY594"/>
      <c r="VNZ594"/>
      <c r="VOA594"/>
      <c r="VOB594"/>
      <c r="VOC594"/>
      <c r="VOD594"/>
      <c r="VOE594"/>
      <c r="VOF594"/>
      <c r="VOG594"/>
      <c r="VOH594"/>
      <c r="VOI594"/>
      <c r="VOJ594"/>
      <c r="VOK594"/>
      <c r="VOL594"/>
      <c r="VOM594"/>
      <c r="VON594"/>
      <c r="VOO594"/>
      <c r="VOP594"/>
      <c r="VOQ594"/>
      <c r="VOR594"/>
      <c r="VOS594"/>
      <c r="VOT594"/>
      <c r="VOU594"/>
      <c r="VOV594"/>
      <c r="VOW594"/>
      <c r="VOX594"/>
      <c r="VOY594"/>
      <c r="VOZ594"/>
      <c r="VPA594"/>
      <c r="VPB594"/>
      <c r="VPC594"/>
      <c r="VPD594"/>
      <c r="VPE594"/>
      <c r="VPF594"/>
      <c r="VPG594"/>
      <c r="VPH594"/>
      <c r="VPI594"/>
      <c r="VPJ594"/>
      <c r="VPK594"/>
      <c r="VPL594"/>
      <c r="VPM594"/>
      <c r="VPN594"/>
      <c r="VPO594"/>
      <c r="VPP594"/>
      <c r="VPQ594"/>
      <c r="VPR594"/>
      <c r="VPS594"/>
      <c r="VPT594"/>
      <c r="VPU594"/>
      <c r="VPV594"/>
      <c r="VPW594"/>
      <c r="VPX594"/>
      <c r="VPY594"/>
      <c r="VPZ594"/>
      <c r="VQA594"/>
      <c r="VQB594"/>
      <c r="VQC594"/>
      <c r="VQD594"/>
      <c r="VQE594"/>
      <c r="VQF594"/>
      <c r="VQG594"/>
      <c r="VQH594"/>
      <c r="VQI594"/>
      <c r="VQJ594"/>
      <c r="VQK594"/>
      <c r="VQL594"/>
      <c r="VQM594"/>
      <c r="VQN594"/>
      <c r="VQO594"/>
      <c r="VQP594"/>
      <c r="VQQ594"/>
      <c r="VQR594"/>
      <c r="VQS594"/>
      <c r="VQT594"/>
      <c r="VQU594"/>
      <c r="VQV594"/>
      <c r="VQW594"/>
      <c r="VQX594"/>
      <c r="VQY594"/>
      <c r="VQZ594"/>
      <c r="VRA594"/>
      <c r="VRB594"/>
      <c r="VRC594"/>
      <c r="VRD594"/>
      <c r="VRE594"/>
      <c r="VRF594"/>
      <c r="VRG594"/>
      <c r="VRH594"/>
      <c r="VRI594"/>
      <c r="VRJ594"/>
      <c r="VRK594"/>
      <c r="VRL594"/>
      <c r="VRM594"/>
      <c r="VRN594"/>
      <c r="VRO594"/>
      <c r="VRP594"/>
      <c r="VRQ594"/>
      <c r="VRR594"/>
      <c r="VRS594"/>
      <c r="VRT594"/>
      <c r="VRU594"/>
      <c r="VRV594"/>
      <c r="VRW594"/>
      <c r="VRX594"/>
      <c r="VRY594"/>
      <c r="VRZ594"/>
      <c r="VSA594"/>
      <c r="VSB594"/>
      <c r="VSC594"/>
      <c r="VSD594"/>
      <c r="VSE594"/>
      <c r="VSF594"/>
      <c r="VSG594"/>
      <c r="VSH594"/>
      <c r="VSI594"/>
      <c r="VSJ594"/>
      <c r="VSK594"/>
      <c r="VSL594"/>
      <c r="VSM594"/>
      <c r="VSN594"/>
      <c r="VSO594"/>
      <c r="VSP594"/>
      <c r="VSQ594"/>
      <c r="VSR594"/>
      <c r="VSS594"/>
      <c r="VST594"/>
      <c r="VSU594"/>
      <c r="VSV594"/>
      <c r="VSW594"/>
      <c r="VSX594"/>
      <c r="VSY594"/>
      <c r="VSZ594"/>
      <c r="VTA594"/>
      <c r="VTB594"/>
      <c r="VTC594"/>
      <c r="VTD594"/>
      <c r="VTE594"/>
      <c r="VTF594"/>
      <c r="VTG594"/>
      <c r="VTH594"/>
      <c r="VTI594"/>
      <c r="VTJ594"/>
      <c r="VTK594"/>
      <c r="VTL594"/>
      <c r="VTM594"/>
      <c r="VTN594"/>
      <c r="VTO594"/>
      <c r="VTP594"/>
      <c r="VTQ594"/>
      <c r="VTR594"/>
      <c r="VTS594"/>
      <c r="VTT594"/>
      <c r="VTU594"/>
      <c r="VTV594"/>
      <c r="VTW594"/>
      <c r="VTX594"/>
      <c r="VTY594"/>
      <c r="VTZ594"/>
      <c r="VUA594"/>
      <c r="VUB594"/>
      <c r="VUC594"/>
      <c r="VUD594"/>
      <c r="VUE594"/>
      <c r="VUF594"/>
      <c r="VUG594"/>
      <c r="VUH594"/>
      <c r="VUI594"/>
      <c r="VUJ594"/>
      <c r="VUK594"/>
      <c r="VUL594"/>
      <c r="VUM594"/>
      <c r="VUN594"/>
      <c r="VUO594"/>
      <c r="VUP594"/>
      <c r="VUQ594"/>
      <c r="VUR594"/>
      <c r="VUS594"/>
      <c r="VUT594"/>
      <c r="VUU594"/>
      <c r="VUV594"/>
      <c r="VUW594"/>
      <c r="VUX594"/>
      <c r="VUY594"/>
      <c r="VUZ594"/>
      <c r="VVA594"/>
      <c r="VVB594"/>
      <c r="VVC594"/>
      <c r="VVD594"/>
      <c r="VVE594"/>
      <c r="VVF594"/>
      <c r="VVG594"/>
      <c r="VVH594"/>
      <c r="VVI594"/>
      <c r="VVJ594"/>
      <c r="VVK594"/>
      <c r="VVL594"/>
      <c r="VVM594"/>
      <c r="VVN594"/>
      <c r="VVO594"/>
      <c r="VVP594"/>
      <c r="VVQ594"/>
      <c r="VVR594"/>
      <c r="VVS594"/>
      <c r="VVT594"/>
      <c r="VVU594"/>
      <c r="VVV594"/>
      <c r="VVW594"/>
      <c r="VVX594"/>
      <c r="VVY594"/>
      <c r="VVZ594"/>
      <c r="VWA594"/>
      <c r="VWB594"/>
      <c r="VWC594"/>
      <c r="VWD594"/>
      <c r="VWE594"/>
      <c r="VWF594"/>
      <c r="VWG594"/>
      <c r="VWH594"/>
      <c r="VWI594"/>
      <c r="VWJ594"/>
      <c r="VWK594"/>
      <c r="VWL594"/>
      <c r="VWM594"/>
      <c r="VWN594"/>
      <c r="VWO594"/>
      <c r="VWP594"/>
      <c r="VWQ594"/>
      <c r="VWR594"/>
      <c r="VWS594"/>
      <c r="VWT594"/>
      <c r="VWU594"/>
      <c r="VWV594"/>
      <c r="VWW594"/>
      <c r="VWX594"/>
      <c r="VWY594"/>
      <c r="VWZ594"/>
      <c r="VXA594"/>
      <c r="VXB594"/>
      <c r="VXC594"/>
      <c r="VXD594"/>
      <c r="VXE594"/>
      <c r="VXF594"/>
      <c r="VXG594"/>
      <c r="VXH594"/>
      <c r="VXI594"/>
      <c r="VXJ594"/>
      <c r="VXK594"/>
      <c r="VXL594"/>
      <c r="VXM594"/>
      <c r="VXN594"/>
      <c r="VXO594"/>
      <c r="VXP594"/>
      <c r="VXQ594"/>
      <c r="VXR594"/>
      <c r="VXS594"/>
      <c r="VXT594"/>
      <c r="VXU594"/>
      <c r="VXV594"/>
      <c r="VXW594"/>
      <c r="VXX594"/>
      <c r="VXY594"/>
      <c r="VXZ594"/>
      <c r="VYA594"/>
      <c r="VYB594"/>
      <c r="VYC594"/>
      <c r="VYD594"/>
      <c r="VYE594"/>
      <c r="VYF594"/>
      <c r="VYG594"/>
      <c r="VYH594"/>
      <c r="VYI594"/>
      <c r="VYJ594"/>
      <c r="VYK594"/>
      <c r="VYL594"/>
      <c r="VYM594"/>
      <c r="VYN594"/>
      <c r="VYO594"/>
      <c r="VYP594"/>
      <c r="VYQ594"/>
      <c r="VYR594"/>
      <c r="VYS594"/>
      <c r="VYT594"/>
      <c r="VYU594"/>
      <c r="VYV594"/>
      <c r="VYW594"/>
      <c r="VYX594"/>
      <c r="VYY594"/>
      <c r="VYZ594"/>
      <c r="VZA594"/>
      <c r="VZB594"/>
      <c r="VZC594"/>
      <c r="VZD594"/>
      <c r="VZE594"/>
      <c r="VZF594"/>
      <c r="VZG594"/>
      <c r="VZH594"/>
      <c r="VZI594"/>
      <c r="VZJ594"/>
      <c r="VZK594"/>
      <c r="VZL594"/>
      <c r="VZM594"/>
      <c r="VZN594"/>
      <c r="VZO594"/>
      <c r="VZP594"/>
      <c r="VZQ594"/>
      <c r="VZR594"/>
      <c r="VZS594"/>
      <c r="VZT594"/>
      <c r="VZU594"/>
      <c r="VZV594"/>
      <c r="VZW594"/>
      <c r="VZX594"/>
      <c r="VZY594"/>
      <c r="VZZ594"/>
      <c r="WAA594"/>
      <c r="WAB594"/>
      <c r="WAC594"/>
      <c r="WAD594"/>
      <c r="WAE594"/>
      <c r="WAF594"/>
      <c r="WAG594"/>
      <c r="WAH594"/>
      <c r="WAI594"/>
      <c r="WAJ594"/>
      <c r="WAK594"/>
      <c r="WAL594"/>
      <c r="WAM594"/>
      <c r="WAN594"/>
      <c r="WAO594"/>
      <c r="WAP594"/>
      <c r="WAQ594"/>
      <c r="WAR594"/>
      <c r="WAS594"/>
      <c r="WAT594"/>
      <c r="WAU594"/>
      <c r="WAV594"/>
      <c r="WAW594"/>
      <c r="WAX594"/>
      <c r="WAY594"/>
      <c r="WAZ594"/>
      <c r="WBA594"/>
      <c r="WBB594"/>
      <c r="WBC594"/>
      <c r="WBD594"/>
      <c r="WBE594"/>
      <c r="WBF594"/>
      <c r="WBG594"/>
      <c r="WBH594"/>
      <c r="WBI594"/>
      <c r="WBJ594"/>
      <c r="WBK594"/>
      <c r="WBL594"/>
      <c r="WBM594"/>
      <c r="WBN594"/>
      <c r="WBO594"/>
      <c r="WBP594"/>
      <c r="WBQ594"/>
      <c r="WBR594"/>
      <c r="WBS594"/>
      <c r="WBT594"/>
      <c r="WBU594"/>
      <c r="WBV594"/>
      <c r="WBW594"/>
      <c r="WBX594"/>
      <c r="WBY594"/>
      <c r="WBZ594"/>
      <c r="WCA594"/>
      <c r="WCB594"/>
      <c r="WCC594"/>
      <c r="WCD594"/>
      <c r="WCE594"/>
      <c r="WCF594"/>
      <c r="WCG594"/>
      <c r="WCH594"/>
      <c r="WCI594"/>
      <c r="WCJ594"/>
      <c r="WCK594"/>
      <c r="WCL594"/>
      <c r="WCM594"/>
      <c r="WCN594"/>
      <c r="WCO594"/>
      <c r="WCP594"/>
      <c r="WCQ594"/>
      <c r="WCR594"/>
      <c r="WCS594"/>
      <c r="WCT594"/>
      <c r="WCU594"/>
      <c r="WCV594"/>
      <c r="WCW594"/>
      <c r="WCX594"/>
      <c r="WCY594"/>
      <c r="WCZ594"/>
      <c r="WDA594"/>
      <c r="WDB594"/>
      <c r="WDC594"/>
      <c r="WDD594"/>
      <c r="WDE594"/>
      <c r="WDF594"/>
      <c r="WDG594"/>
      <c r="WDH594"/>
      <c r="WDI594"/>
      <c r="WDJ594"/>
      <c r="WDK594"/>
      <c r="WDL594"/>
      <c r="WDM594"/>
      <c r="WDN594"/>
      <c r="WDO594"/>
      <c r="WDP594"/>
      <c r="WDQ594"/>
      <c r="WDR594"/>
      <c r="WDS594"/>
      <c r="WDT594"/>
      <c r="WDU594"/>
      <c r="WDV594"/>
      <c r="WDW594"/>
      <c r="WDX594"/>
      <c r="WDY594"/>
      <c r="WDZ594"/>
      <c r="WEA594"/>
      <c r="WEB594"/>
      <c r="WEC594"/>
      <c r="WED594"/>
      <c r="WEE594"/>
      <c r="WEF594"/>
      <c r="WEG594"/>
      <c r="WEH594"/>
      <c r="WEI594"/>
      <c r="WEJ594"/>
      <c r="WEK594"/>
      <c r="WEL594"/>
      <c r="WEM594"/>
      <c r="WEN594"/>
      <c r="WEO594"/>
      <c r="WEP594"/>
      <c r="WEQ594"/>
      <c r="WER594"/>
      <c r="WES594"/>
      <c r="WET594"/>
      <c r="WEU594"/>
      <c r="WEV594"/>
      <c r="WEW594"/>
      <c r="WEX594"/>
      <c r="WEY594"/>
      <c r="WEZ594"/>
      <c r="WFA594"/>
      <c r="WFB594"/>
      <c r="WFC594"/>
      <c r="WFD594"/>
      <c r="WFE594"/>
      <c r="WFF594"/>
      <c r="WFG594"/>
      <c r="WFH594"/>
      <c r="WFI594"/>
      <c r="WFJ594"/>
      <c r="WFK594"/>
      <c r="WFL594"/>
      <c r="WFM594"/>
      <c r="WFN594"/>
      <c r="WFO594"/>
      <c r="WFP594"/>
      <c r="WFQ594"/>
      <c r="WFR594"/>
      <c r="WFS594"/>
      <c r="WFT594"/>
      <c r="WFU594"/>
      <c r="WFV594"/>
      <c r="WFW594"/>
      <c r="WFX594"/>
      <c r="WFY594"/>
      <c r="WFZ594"/>
      <c r="WGA594"/>
      <c r="WGB594"/>
      <c r="WGC594"/>
      <c r="WGD594"/>
      <c r="WGE594"/>
      <c r="WGF594"/>
      <c r="WGG594"/>
      <c r="WGH594"/>
      <c r="WGI594"/>
      <c r="WGJ594"/>
      <c r="WGK594"/>
      <c r="WGL594"/>
      <c r="WGM594"/>
      <c r="WGN594"/>
      <c r="WGO594"/>
      <c r="WGP594"/>
      <c r="WGQ594"/>
      <c r="WGR594"/>
      <c r="WGS594"/>
      <c r="WGT594"/>
      <c r="WGU594"/>
      <c r="WGV594"/>
      <c r="WGW594"/>
      <c r="WGX594"/>
      <c r="WGY594"/>
      <c r="WGZ594"/>
      <c r="WHA594"/>
      <c r="WHB594"/>
      <c r="WHC594"/>
      <c r="WHD594"/>
      <c r="WHE594"/>
      <c r="WHF594"/>
      <c r="WHG594"/>
      <c r="WHH594"/>
      <c r="WHI594"/>
      <c r="WHJ594"/>
      <c r="WHK594"/>
      <c r="WHL594"/>
      <c r="WHM594"/>
      <c r="WHN594"/>
      <c r="WHO594"/>
      <c r="WHP594"/>
      <c r="WHQ594"/>
      <c r="WHR594"/>
      <c r="WHS594"/>
      <c r="WHT594"/>
      <c r="WHU594"/>
      <c r="WHV594"/>
      <c r="WHW594"/>
      <c r="WHX594"/>
      <c r="WHY594"/>
      <c r="WHZ594"/>
      <c r="WIA594"/>
      <c r="WIB594"/>
      <c r="WIC594"/>
      <c r="WID594"/>
      <c r="WIE594"/>
      <c r="WIF594"/>
      <c r="WIG594"/>
      <c r="WIH594"/>
      <c r="WII594"/>
      <c r="WIJ594"/>
      <c r="WIK594"/>
      <c r="WIL594"/>
      <c r="WIM594"/>
      <c r="WIN594"/>
      <c r="WIO594"/>
      <c r="WIP594"/>
      <c r="WIQ594"/>
      <c r="WIR594"/>
      <c r="WIS594"/>
      <c r="WIT594"/>
      <c r="WIU594"/>
      <c r="WIV594"/>
      <c r="WIW594"/>
      <c r="WIX594"/>
      <c r="WIY594"/>
      <c r="WIZ594"/>
      <c r="WJA594"/>
      <c r="WJB594"/>
      <c r="WJC594"/>
      <c r="WJD594"/>
      <c r="WJE594"/>
      <c r="WJF594"/>
      <c r="WJG594"/>
      <c r="WJH594"/>
      <c r="WJI594"/>
      <c r="WJJ594"/>
      <c r="WJK594"/>
      <c r="WJL594"/>
      <c r="WJM594"/>
      <c r="WJN594"/>
      <c r="WJO594"/>
      <c r="WJP594"/>
      <c r="WJQ594"/>
      <c r="WJR594"/>
      <c r="WJS594"/>
      <c r="WJT594"/>
      <c r="WJU594"/>
      <c r="WJV594"/>
      <c r="WJW594"/>
      <c r="WJX594"/>
      <c r="WJY594"/>
      <c r="WJZ594"/>
      <c r="WKA594"/>
      <c r="WKB594"/>
      <c r="WKC594"/>
      <c r="WKD594"/>
      <c r="WKE594"/>
      <c r="WKF594"/>
      <c r="WKG594"/>
      <c r="WKH594"/>
      <c r="WKI594"/>
      <c r="WKJ594"/>
      <c r="WKK594"/>
      <c r="WKL594"/>
      <c r="WKM594"/>
      <c r="WKN594"/>
      <c r="WKO594"/>
      <c r="WKP594"/>
      <c r="WKQ594"/>
      <c r="WKR594"/>
      <c r="WKS594"/>
      <c r="WKT594"/>
      <c r="WKU594"/>
      <c r="WKV594"/>
      <c r="WKW594"/>
      <c r="WKX594"/>
      <c r="WKY594"/>
      <c r="WKZ594"/>
      <c r="WLA594"/>
      <c r="WLB594"/>
      <c r="WLC594"/>
      <c r="WLD594"/>
      <c r="WLE594"/>
      <c r="WLF594"/>
      <c r="WLG594"/>
      <c r="WLH594"/>
      <c r="WLI594"/>
      <c r="WLJ594"/>
      <c r="WLK594"/>
      <c r="WLL594"/>
      <c r="WLM594"/>
      <c r="WLN594"/>
      <c r="WLO594"/>
      <c r="WLP594"/>
      <c r="WLQ594"/>
      <c r="WLR594"/>
      <c r="WLS594"/>
      <c r="WLT594"/>
      <c r="WLU594"/>
      <c r="WLV594"/>
      <c r="WLW594"/>
      <c r="WLX594"/>
      <c r="WLY594"/>
      <c r="WLZ594"/>
      <c r="WMA594"/>
      <c r="WMB594"/>
      <c r="WMC594"/>
      <c r="WMD594"/>
      <c r="WME594"/>
      <c r="WMF594"/>
      <c r="WMG594"/>
      <c r="WMH594"/>
      <c r="WMI594"/>
      <c r="WMJ594"/>
      <c r="WMK594"/>
      <c r="WML594"/>
      <c r="WMM594"/>
      <c r="WMN594"/>
      <c r="WMO594"/>
      <c r="WMP594"/>
      <c r="WMQ594"/>
      <c r="WMR594"/>
      <c r="WMS594"/>
      <c r="WMT594"/>
      <c r="WMU594"/>
      <c r="WMV594"/>
      <c r="WMW594"/>
      <c r="WMX594"/>
      <c r="WMY594"/>
      <c r="WMZ594"/>
      <c r="WNA594"/>
      <c r="WNB594"/>
      <c r="WNC594"/>
      <c r="WND594"/>
      <c r="WNE594"/>
      <c r="WNF594"/>
      <c r="WNG594"/>
      <c r="WNH594"/>
      <c r="WNI594"/>
      <c r="WNJ594"/>
      <c r="WNK594"/>
      <c r="WNL594"/>
      <c r="WNM594"/>
      <c r="WNN594"/>
      <c r="WNO594"/>
      <c r="WNP594"/>
      <c r="WNQ594"/>
      <c r="WNR594"/>
      <c r="WNS594"/>
      <c r="WNT594"/>
      <c r="WNU594"/>
      <c r="WNV594"/>
      <c r="WNW594"/>
      <c r="WNX594"/>
      <c r="WNY594"/>
      <c r="WNZ594"/>
      <c r="WOA594"/>
      <c r="WOB594"/>
      <c r="WOC594"/>
      <c r="WOD594"/>
      <c r="WOE594"/>
      <c r="WOF594"/>
      <c r="WOG594"/>
      <c r="WOH594"/>
      <c r="WOI594"/>
      <c r="WOJ594"/>
      <c r="WOK594"/>
      <c r="WOL594"/>
      <c r="WOM594"/>
      <c r="WON594"/>
      <c r="WOO594"/>
      <c r="WOP594"/>
      <c r="WOQ594"/>
      <c r="WOR594"/>
      <c r="WOS594"/>
      <c r="WOT594"/>
      <c r="WOU594"/>
      <c r="WOV594"/>
      <c r="WOW594"/>
      <c r="WOX594"/>
      <c r="WOY594"/>
      <c r="WOZ594"/>
      <c r="WPA594"/>
      <c r="WPB594"/>
      <c r="WPC594"/>
      <c r="WPD594"/>
      <c r="WPE594"/>
      <c r="WPF594"/>
      <c r="WPG594"/>
      <c r="WPH594"/>
      <c r="WPI594"/>
      <c r="WPJ594"/>
      <c r="WPK594"/>
      <c r="WPL594"/>
      <c r="WPM594"/>
      <c r="WPN594"/>
      <c r="WPO594"/>
      <c r="WPP594"/>
      <c r="WPQ594"/>
      <c r="WPR594"/>
      <c r="WPS594"/>
      <c r="WPT594"/>
      <c r="WPU594"/>
      <c r="WPV594"/>
      <c r="WPW594"/>
      <c r="WPX594"/>
      <c r="WPY594"/>
      <c r="WPZ594"/>
      <c r="WQA594"/>
      <c r="WQB594"/>
      <c r="WQC594"/>
      <c r="WQD594"/>
      <c r="WQE594"/>
      <c r="WQF594"/>
      <c r="WQG594"/>
      <c r="WQH594"/>
      <c r="WQI594"/>
      <c r="WQJ594"/>
      <c r="WQK594"/>
      <c r="WQL594"/>
      <c r="WQM594"/>
      <c r="WQN594"/>
      <c r="WQO594"/>
      <c r="WQP594"/>
      <c r="WQQ594"/>
      <c r="WQR594"/>
      <c r="WQS594"/>
      <c r="WQT594"/>
      <c r="WQU594"/>
      <c r="WQV594"/>
      <c r="WQW594"/>
      <c r="WQX594"/>
      <c r="WQY594"/>
      <c r="WQZ594"/>
      <c r="WRA594"/>
      <c r="WRB594"/>
      <c r="WRC594"/>
      <c r="WRD594"/>
      <c r="WRE594"/>
      <c r="WRF594"/>
      <c r="WRG594"/>
      <c r="WRH594"/>
      <c r="WRI594"/>
      <c r="WRJ594"/>
      <c r="WRK594"/>
      <c r="WRL594"/>
      <c r="WRM594"/>
      <c r="WRN594"/>
      <c r="WRO594"/>
      <c r="WRP594"/>
      <c r="WRQ594"/>
      <c r="WRR594"/>
      <c r="WRS594"/>
      <c r="WRT594"/>
      <c r="WRU594"/>
      <c r="WRV594"/>
      <c r="WRW594"/>
      <c r="WRX594"/>
      <c r="WRY594"/>
      <c r="WRZ594"/>
      <c r="WSA594"/>
      <c r="WSB594"/>
      <c r="WSC594"/>
      <c r="WSD594"/>
      <c r="WSE594"/>
      <c r="WSF594"/>
      <c r="WSG594"/>
      <c r="WSH594"/>
      <c r="WSI594"/>
      <c r="WSJ594"/>
      <c r="WSK594"/>
      <c r="WSL594"/>
      <c r="WSM594"/>
      <c r="WSN594"/>
      <c r="WSO594"/>
      <c r="WSP594"/>
      <c r="WSQ594"/>
      <c r="WSR594"/>
      <c r="WSS594"/>
      <c r="WST594"/>
      <c r="WSU594"/>
      <c r="WSV594"/>
      <c r="WSW594"/>
      <c r="WSX594"/>
      <c r="WSY594"/>
      <c r="WSZ594"/>
      <c r="WTA594"/>
      <c r="WTB594"/>
      <c r="WTC594"/>
      <c r="WTD594"/>
      <c r="WTE594"/>
      <c r="WTF594"/>
      <c r="WTG594"/>
      <c r="WTH594"/>
      <c r="WTI594"/>
      <c r="WTJ594"/>
      <c r="WTK594"/>
      <c r="WTL594"/>
      <c r="WTM594"/>
      <c r="WTN594"/>
      <c r="WTO594"/>
      <c r="WTP594"/>
      <c r="WTQ594"/>
      <c r="WTR594"/>
      <c r="WTS594"/>
      <c r="WTT594"/>
      <c r="WTU594"/>
      <c r="WTV594"/>
      <c r="WTW594"/>
      <c r="WTX594"/>
      <c r="WTY594"/>
      <c r="WTZ594"/>
      <c r="WUA594"/>
      <c r="WUB594"/>
      <c r="WUC594"/>
      <c r="WUD594"/>
      <c r="WUE594"/>
      <c r="WUF594"/>
      <c r="WUG594"/>
      <c r="WUH594"/>
      <c r="WUI594"/>
      <c r="WUJ594"/>
      <c r="WUK594"/>
      <c r="WUL594"/>
      <c r="WUM594"/>
      <c r="WUN594"/>
      <c r="WUO594"/>
      <c r="WUP594"/>
      <c r="WUQ594"/>
      <c r="WUR594"/>
      <c r="WUS594"/>
      <c r="WUT594"/>
      <c r="WUU594"/>
      <c r="WUV594"/>
      <c r="WUW594"/>
      <c r="WUX594"/>
      <c r="WUY594"/>
      <c r="WUZ594"/>
      <c r="WVA594"/>
      <c r="WVB594"/>
      <c r="WVC594"/>
      <c r="WVD594"/>
      <c r="WVE594"/>
      <c r="WVF594"/>
      <c r="WVG594"/>
      <c r="WVH594"/>
      <c r="WVI594"/>
      <c r="WVJ594"/>
      <c r="WVK594"/>
      <c r="WVL594"/>
      <c r="WVM594"/>
      <c r="WVN594"/>
      <c r="WVO594"/>
      <c r="WVP594"/>
      <c r="WVQ594"/>
      <c r="WVR594"/>
      <c r="WVS594"/>
      <c r="WVT594"/>
      <c r="WVU594"/>
      <c r="WVV594"/>
      <c r="WVW594"/>
      <c r="WVX594"/>
      <c r="WVY594"/>
      <c r="WVZ594"/>
      <c r="WWA594"/>
      <c r="WWB594"/>
      <c r="WWC594"/>
      <c r="WWD594"/>
      <c r="WWE594"/>
      <c r="WWF594"/>
      <c r="WWG594"/>
      <c r="WWH594"/>
      <c r="WWI594"/>
      <c r="WWJ594"/>
      <c r="WWK594"/>
      <c r="WWL594"/>
      <c r="WWM594"/>
      <c r="WWN594"/>
      <c r="WWO594"/>
      <c r="WWP594"/>
      <c r="WWQ594"/>
      <c r="WWR594"/>
      <c r="WWS594"/>
      <c r="WWT594"/>
      <c r="WWU594"/>
      <c r="WWV594"/>
      <c r="WWW594"/>
      <c r="WWX594"/>
      <c r="WWY594"/>
      <c r="WWZ594"/>
      <c r="WXA594"/>
      <c r="WXB594"/>
      <c r="WXC594"/>
      <c r="WXD594"/>
      <c r="WXE594"/>
      <c r="WXF594"/>
      <c r="WXG594"/>
      <c r="WXH594"/>
      <c r="WXI594"/>
      <c r="WXJ594"/>
      <c r="WXK594"/>
      <c r="WXL594"/>
      <c r="WXM594"/>
      <c r="WXN594"/>
      <c r="WXO594"/>
      <c r="WXP594"/>
      <c r="WXQ594"/>
      <c r="WXR594"/>
      <c r="WXS594"/>
      <c r="WXT594"/>
      <c r="WXU594"/>
      <c r="WXV594"/>
      <c r="WXW594"/>
      <c r="WXX594"/>
      <c r="WXY594"/>
      <c r="WXZ594"/>
      <c r="WYA594"/>
      <c r="WYB594"/>
      <c r="WYC594"/>
      <c r="WYD594"/>
      <c r="WYE594"/>
      <c r="WYF594"/>
      <c r="WYG594"/>
      <c r="WYH594"/>
      <c r="WYI594"/>
      <c r="WYJ594"/>
      <c r="WYK594"/>
      <c r="WYL594"/>
      <c r="WYM594"/>
      <c r="WYN594"/>
      <c r="WYO594"/>
      <c r="WYP594"/>
      <c r="WYQ594"/>
      <c r="WYR594"/>
      <c r="WYS594"/>
      <c r="WYT594"/>
      <c r="WYU594"/>
      <c r="WYV594"/>
      <c r="WYW594"/>
      <c r="WYX594"/>
      <c r="WYY594"/>
      <c r="WYZ594"/>
      <c r="WZA594"/>
      <c r="WZB594"/>
      <c r="WZC594"/>
      <c r="WZD594"/>
      <c r="WZE594"/>
      <c r="WZF594"/>
      <c r="WZG594"/>
      <c r="WZH594"/>
      <c r="WZI594"/>
      <c r="WZJ594"/>
      <c r="WZK594"/>
      <c r="WZL594"/>
      <c r="WZM594"/>
      <c r="WZN594"/>
      <c r="WZO594"/>
      <c r="WZP594"/>
      <c r="WZQ594"/>
      <c r="WZR594"/>
      <c r="WZS594"/>
      <c r="WZT594"/>
      <c r="WZU594"/>
      <c r="WZV594"/>
      <c r="WZW594"/>
      <c r="WZX594"/>
      <c r="WZY594"/>
      <c r="WZZ594"/>
      <c r="XAA594"/>
      <c r="XAB594"/>
      <c r="XAC594"/>
      <c r="XAD594"/>
      <c r="XAE594"/>
      <c r="XAF594"/>
      <c r="XAG594"/>
      <c r="XAH594"/>
      <c r="XAI594"/>
      <c r="XAJ594"/>
      <c r="XAK594"/>
      <c r="XAL594"/>
      <c r="XAM594"/>
      <c r="XAN594"/>
      <c r="XAO594"/>
      <c r="XAP594"/>
      <c r="XAQ594"/>
      <c r="XAR594"/>
      <c r="XAS594"/>
      <c r="XAT594"/>
      <c r="XAU594"/>
      <c r="XAV594"/>
      <c r="XAW594"/>
      <c r="XAX594"/>
      <c r="XAY594"/>
      <c r="XAZ594"/>
      <c r="XBA594"/>
      <c r="XBB594"/>
      <c r="XBC594"/>
      <c r="XBD594"/>
      <c r="XBE594"/>
      <c r="XBF594"/>
      <c r="XBG594"/>
      <c r="XBH594"/>
      <c r="XBI594"/>
      <c r="XBJ594"/>
      <c r="XBK594"/>
      <c r="XBL594"/>
      <c r="XBM594"/>
      <c r="XBN594"/>
      <c r="XBO594"/>
      <c r="XBP594"/>
      <c r="XBQ594"/>
      <c r="XBR594"/>
      <c r="XBS594"/>
      <c r="XBT594"/>
      <c r="XBU594"/>
      <c r="XBV594"/>
      <c r="XBW594"/>
      <c r="XBX594"/>
      <c r="XBY594"/>
      <c r="XBZ594"/>
      <c r="XCA594"/>
      <c r="XCB594"/>
      <c r="XCC594"/>
      <c r="XCD594"/>
      <c r="XCE594"/>
      <c r="XCF594"/>
      <c r="XCG594"/>
      <c r="XCH594"/>
      <c r="XCI594"/>
      <c r="XCJ594"/>
      <c r="XCK594"/>
      <c r="XCL594"/>
      <c r="XCM594"/>
      <c r="XCN594"/>
      <c r="XCO594"/>
      <c r="XCP594"/>
      <c r="XCQ594"/>
      <c r="XCR594"/>
      <c r="XCS594"/>
      <c r="XCT594"/>
      <c r="XCU594"/>
      <c r="XCV594"/>
      <c r="XCW594"/>
      <c r="XCX594"/>
      <c r="XCY594"/>
      <c r="XCZ594"/>
      <c r="XDA594"/>
      <c r="XDB594"/>
      <c r="XDC594"/>
      <c r="XDD594"/>
      <c r="XDE594"/>
      <c r="XDF594"/>
      <c r="XDG594"/>
      <c r="XDH594"/>
      <c r="XDI594"/>
      <c r="XDJ594"/>
      <c r="XDK594"/>
      <c r="XDL594"/>
      <c r="XDM594"/>
      <c r="XDN594"/>
      <c r="XDO594"/>
      <c r="XDP594"/>
      <c r="XDQ594"/>
      <c r="XDR594"/>
      <c r="XDS594"/>
      <c r="XDT594"/>
      <c r="XDU594"/>
      <c r="XDV594"/>
      <c r="XDW594"/>
      <c r="XDX594"/>
      <c r="XDY594"/>
      <c r="XDZ594"/>
      <c r="XEA594"/>
      <c r="XEB594"/>
      <c r="XEC594"/>
      <c r="XED594"/>
      <c r="XEE594"/>
      <c r="XEF594"/>
      <c r="XEG594"/>
      <c r="XEH594"/>
      <c r="XEI594"/>
      <c r="XEJ594"/>
      <c r="XEK594"/>
    </row>
    <row r="595" spans="1:16365" s="800" customFormat="1">
      <c r="A595" s="882" t="s">
        <v>4410</v>
      </c>
      <c r="B595" s="646"/>
      <c r="C595" s="646"/>
      <c r="D595" s="646"/>
      <c r="E595" s="885" t="str">
        <f>IF(calcCh1Prod4Slot2Active=1,calcCh1Prod4Slot2AvgSalePrice,"")</f>
        <v/>
      </c>
      <c r="F595" s="520" t="s">
        <v>9473</v>
      </c>
    </row>
    <row r="596" spans="1:16365" s="800" customFormat="1">
      <c r="A596" s="882" t="s">
        <v>8607</v>
      </c>
      <c r="B596" s="646"/>
      <c r="C596" s="646"/>
      <c r="D596" s="646"/>
      <c r="E596" s="885" t="str">
        <f>IFERROR(IF(calcCh1Prod4Slot2Active=1,(cbalCh1Prod4Slot2Promo1Share*cbalCh1Prod4Slot2Promo1Price+cbalCh1Prod4Slot2Promo2Share*cbalCh1Prod4Slot2Promo2Price)/(cbalCh1Prod4Slot2Promo1Share+cbalCh1Prod4Slot2Promo2Share),""),cbalCh1Prod4Slot2AvgPrice)</f>
        <v/>
      </c>
      <c r="F596" s="520" t="s">
        <v>12843</v>
      </c>
    </row>
    <row r="597" spans="1:16365" s="646" customFormat="1">
      <c r="A597" s="882" t="s">
        <v>3329</v>
      </c>
      <c r="E597" s="532" t="str">
        <f>IF(calcCh1Prod4Slot2Active=1,calcCh1Prod4Slot2Pack,"")</f>
        <v/>
      </c>
      <c r="F597" s="520" t="s">
        <v>9474</v>
      </c>
    </row>
    <row r="598" spans="1:16365">
      <c r="A598" s="882" t="s">
        <v>5912</v>
      </c>
      <c r="B598" s="800"/>
      <c r="C598" s="800"/>
      <c r="D598" s="800"/>
      <c r="E598" s="870" t="str">
        <f>IF(calcCh1Prod4Slot2Active=1,calcCh1Prod4Slot2Promo1PlanShare,"")</f>
        <v/>
      </c>
      <c r="F598" s="520" t="s">
        <v>12326</v>
      </c>
    </row>
    <row r="599" spans="1:16365">
      <c r="A599" s="882" t="s">
        <v>5916</v>
      </c>
      <c r="B599" s="800"/>
      <c r="C599" s="800"/>
      <c r="D599" s="800"/>
      <c r="E599" s="870" t="str">
        <f>IF(calcCh1Prod4Slot2Active=1,calcCh1Prod4Slot2Promo2PlanShare,"")</f>
        <v/>
      </c>
      <c r="F599" s="520" t="s">
        <v>12327</v>
      </c>
    </row>
    <row r="600" spans="1:16365">
      <c r="A600" s="882" t="s">
        <v>11563</v>
      </c>
      <c r="B600" s="800"/>
      <c r="C600" s="800"/>
      <c r="D600" s="800"/>
      <c r="E600" s="961" t="str">
        <f>calcCh1Prod4Slot2Promo1ROI</f>
        <v/>
      </c>
      <c r="F600" s="520" t="s">
        <v>12328</v>
      </c>
    </row>
    <row r="601" spans="1:16365">
      <c r="A601" s="882" t="s">
        <v>11562</v>
      </c>
      <c r="B601" s="800"/>
      <c r="C601" s="800"/>
      <c r="D601" s="800"/>
      <c r="E601" s="961" t="str">
        <f>calcCh1Prod4Slot2Promo2ROI</f>
        <v/>
      </c>
      <c r="F601" s="520" t="s">
        <v>12329</v>
      </c>
    </row>
    <row r="602" spans="1:16365">
      <c r="A602" s="882" t="s">
        <v>3674</v>
      </c>
      <c r="B602" s="800"/>
      <c r="C602" s="800"/>
      <c r="D602" s="800"/>
      <c r="E602" s="961" t="str">
        <f>IF(calcCh1Prod4Slot2Active=1,calcCh1Prod4Slot2WD,"")</f>
        <v/>
      </c>
      <c r="F602" s="520" t="s">
        <v>9475</v>
      </c>
    </row>
    <row r="603" spans="1:16365">
      <c r="A603" s="882" t="s">
        <v>4413</v>
      </c>
      <c r="B603" s="800"/>
      <c r="C603" s="800"/>
      <c r="D603" s="800"/>
      <c r="E603" s="961" t="str">
        <f>calcCh1Prod4Slot2Promo1GPaLUplift</f>
        <v/>
      </c>
      <c r="F603" s="520" t="s">
        <v>12591</v>
      </c>
    </row>
    <row r="604" spans="1:16365" s="800" customFormat="1">
      <c r="A604" s="882" t="s">
        <v>4413</v>
      </c>
      <c r="E604" s="961" t="str">
        <f>calcCh1Prod4Slot2Promo2GPaLUplift</f>
        <v/>
      </c>
      <c r="F604" s="520" t="s">
        <v>12769</v>
      </c>
    </row>
    <row r="605" spans="1:16365">
      <c r="A605" s="882" t="s">
        <v>11388</v>
      </c>
      <c r="B605" s="800"/>
      <c r="C605" s="800"/>
      <c r="D605" s="800"/>
      <c r="E605" s="961" t="str">
        <f>calcCh1Prod4Slot2Promo1VolUplift</f>
        <v/>
      </c>
      <c r="F605" s="520" t="s">
        <v>12627</v>
      </c>
    </row>
    <row r="606" spans="1:16365" s="800" customFormat="1">
      <c r="A606" s="882" t="s">
        <v>11388</v>
      </c>
      <c r="E606" s="961" t="str">
        <f>calcCh1Prod4Slot2Promo2VolUplift</f>
        <v/>
      </c>
      <c r="F606" s="520" t="s">
        <v>12770</v>
      </c>
    </row>
    <row r="607" spans="1:16365">
      <c r="A607" s="882" t="s">
        <v>5195</v>
      </c>
      <c r="B607" s="800"/>
      <c r="C607" s="800"/>
      <c r="D607" s="800"/>
      <c r="E607" s="961" t="str">
        <f>calcCh1Prod4Slot2Promo1CustUplift</f>
        <v/>
      </c>
      <c r="F607" s="520" t="s">
        <v>12330</v>
      </c>
    </row>
    <row r="608" spans="1:16365">
      <c r="A608" s="882" t="s">
        <v>5195</v>
      </c>
      <c r="B608" s="800"/>
      <c r="C608" s="800"/>
      <c r="D608" s="800"/>
      <c r="E608" s="961" t="str">
        <f>calcCh1Prod4Slot2Promo2CustUplift</f>
        <v/>
      </c>
      <c r="F608" s="520" t="s">
        <v>12331</v>
      </c>
    </row>
    <row r="609" spans="1:6">
      <c r="A609" s="882" t="s">
        <v>157</v>
      </c>
      <c r="B609" s="800"/>
      <c r="C609" s="800"/>
      <c r="D609" s="800"/>
      <c r="E609" s="532" t="str">
        <f>IF(calcCh1Prod4Slot2Active=1,finPNLCh1Prod4Slot2TotalCOGs,"")</f>
        <v/>
      </c>
      <c r="F609" s="520" t="s">
        <v>10526</v>
      </c>
    </row>
    <row r="610" spans="1:6" s="800" customFormat="1">
      <c r="A610" s="882" t="s">
        <v>10370</v>
      </c>
      <c r="B610" s="646"/>
      <c r="C610" s="646"/>
      <c r="D610" s="646"/>
      <c r="E610" s="885" t="str">
        <f>IF(AND(calcCh1Prod4Slot2Active=1,calcCh1Prod4Slot2VolForecastSlot&lt;&gt;0),finPNLCh1Prod4Slot2TotalCOGs/cbalCh1Prod4Slot2SoldVol,"")</f>
        <v/>
      </c>
      <c r="F610" s="520" t="s">
        <v>10429</v>
      </c>
    </row>
    <row r="611" spans="1:6" s="800" customFormat="1">
      <c r="A611" s="277" t="s">
        <v>3860</v>
      </c>
      <c r="B611" s="646"/>
      <c r="C611" s="646"/>
      <c r="D611" s="646"/>
      <c r="E611" s="802"/>
      <c r="F611" s="646"/>
    </row>
    <row r="612" spans="1:6" s="800" customFormat="1">
      <c r="A612" s="882" t="s">
        <v>8649</v>
      </c>
      <c r="B612" s="646"/>
      <c r="C612" s="646"/>
      <c r="D612" s="646"/>
      <c r="E612" s="532" t="str">
        <f>IF(calcCh1Prod4Slot3Active=1,finPNLCh1Prod4Slot3TotalRev,"")</f>
        <v/>
      </c>
      <c r="F612" s="520" t="s">
        <v>8767</v>
      </c>
    </row>
    <row r="613" spans="1:6" s="646" customFormat="1">
      <c r="A613" s="882" t="s">
        <v>521</v>
      </c>
      <c r="E613" s="532">
        <f>IF(calcCh1Prod4Slot3Active=1,finPNLCh1Prod4Slot3GPaL,0)</f>
        <v>0</v>
      </c>
      <c r="F613" s="520" t="s">
        <v>9476</v>
      </c>
    </row>
    <row r="614" spans="1:6">
      <c r="A614" s="882" t="s">
        <v>8650</v>
      </c>
      <c r="B614" s="800"/>
      <c r="C614" s="800"/>
      <c r="D614" s="800"/>
      <c r="E614" s="532" t="str">
        <f>IF(calcCh1Prod4Slot3Active=1,finCalcCh1Prod4Slot3VolSold,"")</f>
        <v/>
      </c>
      <c r="F614" s="520" t="s">
        <v>8768</v>
      </c>
    </row>
    <row r="615" spans="1:6">
      <c r="A615" s="882" t="s">
        <v>9063</v>
      </c>
      <c r="B615" s="800"/>
      <c r="C615" s="800"/>
      <c r="D615" s="800"/>
      <c r="E615" s="885" t="str">
        <f>IF(AND(calcCh1Prod4Slot3Active=1,calcCh1Prod4Slot3VolForecastSlot&lt;&gt;0),cbalCh1Prod4Slot3NetRev/cbalCh1Prod4Slot3SoldVol,"")</f>
        <v/>
      </c>
      <c r="F615" s="520" t="s">
        <v>9477</v>
      </c>
    </row>
    <row r="616" spans="1:6">
      <c r="A616" s="882" t="s">
        <v>9064</v>
      </c>
      <c r="B616" s="800"/>
      <c r="C616" s="800"/>
      <c r="D616" s="800"/>
      <c r="E616" s="885" t="str">
        <f>IF(AND(calcCh1Prod4Slot3Active=1,calcCh1Prod4Slot3VolForecastSlot&lt;&gt;0),cbalCh1Prod4Slot3GPaL/cbalCh1Prod4Slot3SoldVol,"")</f>
        <v/>
      </c>
      <c r="F616" s="520" t="s">
        <v>9478</v>
      </c>
    </row>
    <row r="617" spans="1:6">
      <c r="A617" s="882" t="s">
        <v>9068</v>
      </c>
      <c r="B617" s="646"/>
      <c r="C617" s="646"/>
      <c r="D617" s="646"/>
      <c r="E617" s="885" t="str">
        <f>IF(calcCh1Prod4Slot3Active=1,calcCh1Prod4Slot3CustPrice,"")</f>
        <v/>
      </c>
      <c r="F617" s="520" t="s">
        <v>9479</v>
      </c>
    </row>
    <row r="618" spans="1:6">
      <c r="A618" s="882" t="s">
        <v>11554</v>
      </c>
      <c r="B618" s="646"/>
      <c r="C618" s="646"/>
      <c r="D618" s="646"/>
      <c r="E618" s="885" t="str">
        <f>IF(calcCh1Prod4Slot3Active=1,calcCh1Prod4Slot3Promo1CustPrice,"")</f>
        <v/>
      </c>
      <c r="F618" s="520" t="s">
        <v>12332</v>
      </c>
    </row>
    <row r="619" spans="1:6">
      <c r="A619" s="882" t="s">
        <v>11561</v>
      </c>
      <c r="B619" s="646"/>
      <c r="C619" s="646"/>
      <c r="D619" s="646"/>
      <c r="E619" s="885" t="str">
        <f>IF(calcCh1Prod4Slot3Active=1,calcCh1Prod4Slot3Promo2CustPrice,"")</f>
        <v/>
      </c>
      <c r="F619" s="520" t="s">
        <v>12333</v>
      </c>
    </row>
    <row r="620" spans="1:6">
      <c r="A620" s="882" t="s">
        <v>4410</v>
      </c>
      <c r="B620" s="646"/>
      <c r="C620" s="646"/>
      <c r="D620" s="646"/>
      <c r="E620" s="885" t="str">
        <f>IF(calcCh1Prod4Slot3Active=1,calcCh1Prod4Slot3AvgSalePrice,"")</f>
        <v/>
      </c>
      <c r="F620" s="520" t="s">
        <v>9480</v>
      </c>
    </row>
    <row r="621" spans="1:6" s="800" customFormat="1">
      <c r="A621" s="882" t="s">
        <v>8607</v>
      </c>
      <c r="B621" s="646"/>
      <c r="C621" s="646"/>
      <c r="D621" s="646"/>
      <c r="E621" s="885" t="str">
        <f>IFERROR(IF(calcCh1Prod4Slot3Active=1,(cbalCh1Prod4Slot3Promo1Share*cbalCh1Prod4Slot3Promo1Price+cbalCh1Prod4Slot3Promo2Share*cbalCh1Prod4Slot3Promo2Price)/(cbalCh1Prod4Slot3Promo1Share+cbalCh1Prod4Slot3Promo2Share),""),cbalCh1Prod4Slot3AvgPrice)</f>
        <v/>
      </c>
      <c r="F621" s="520" t="s">
        <v>12844</v>
      </c>
    </row>
    <row r="622" spans="1:6">
      <c r="A622" s="882" t="s">
        <v>3329</v>
      </c>
      <c r="B622" s="646"/>
      <c r="C622" s="646"/>
      <c r="D622" s="646"/>
      <c r="E622" s="532" t="str">
        <f>IF(calcCh1Prod4Slot3Active=1,calcCh1Prod4Slot3Pack,"")</f>
        <v/>
      </c>
      <c r="F622" s="520" t="s">
        <v>9481</v>
      </c>
    </row>
    <row r="623" spans="1:6">
      <c r="A623" s="882" t="s">
        <v>5912</v>
      </c>
      <c r="B623" s="646"/>
      <c r="C623" s="646"/>
      <c r="D623" s="646"/>
      <c r="E623" s="870" t="str">
        <f>IF(calcCh1Prod4Slot3Active=1,calcCh1Prod4Slot3Promo1PlanShare,"")</f>
        <v/>
      </c>
      <c r="F623" s="520" t="s">
        <v>12334</v>
      </c>
    </row>
    <row r="624" spans="1:6">
      <c r="A624" s="882" t="s">
        <v>5916</v>
      </c>
      <c r="B624" s="646"/>
      <c r="C624" s="646"/>
      <c r="D624" s="646"/>
      <c r="E624" s="870" t="str">
        <f>IF(calcCh1Prod4Slot3Active=1,calcCh1Prod4Slot3Promo2PlanShare,"")</f>
        <v/>
      </c>
      <c r="F624" s="520" t="s">
        <v>12335</v>
      </c>
    </row>
    <row r="625" spans="1:6">
      <c r="A625" s="882" t="s">
        <v>11563</v>
      </c>
      <c r="B625" s="646"/>
      <c r="C625" s="646"/>
      <c r="D625" s="646"/>
      <c r="E625" s="961" t="str">
        <f>calcCh1Prod4Slot3Promo1ROI</f>
        <v/>
      </c>
      <c r="F625" s="520" t="s">
        <v>12336</v>
      </c>
    </row>
    <row r="626" spans="1:6" s="800" customFormat="1">
      <c r="A626" s="882" t="s">
        <v>11562</v>
      </c>
      <c r="B626" s="646"/>
      <c r="C626" s="646"/>
      <c r="D626" s="646"/>
      <c r="E626" s="961" t="str">
        <f>calcCh1Prod4Slot3Promo2ROI</f>
        <v/>
      </c>
      <c r="F626" s="520" t="s">
        <v>12337</v>
      </c>
    </row>
    <row r="627" spans="1:6" s="800" customFormat="1">
      <c r="A627" s="882" t="s">
        <v>3674</v>
      </c>
      <c r="B627" s="646"/>
      <c r="C627" s="646"/>
      <c r="D627" s="646"/>
      <c r="E627" s="961" t="str">
        <f>IF(calcCh1Prod4Slot3Active=1,calcCh1Prod4Slot3WD,"")</f>
        <v/>
      </c>
      <c r="F627" s="520" t="s">
        <v>9482</v>
      </c>
    </row>
    <row r="628" spans="1:6" s="800" customFormat="1">
      <c r="A628" s="882" t="s">
        <v>4413</v>
      </c>
      <c r="B628" s="646"/>
      <c r="C628" s="646"/>
      <c r="D628" s="646"/>
      <c r="E628" s="961" t="str">
        <f>calcCh1Prod4Slot3Promo1GPaLUplift</f>
        <v/>
      </c>
      <c r="F628" s="520" t="s">
        <v>12592</v>
      </c>
    </row>
    <row r="629" spans="1:6" s="800" customFormat="1">
      <c r="A629" s="882" t="s">
        <v>4413</v>
      </c>
      <c r="B629" s="646"/>
      <c r="C629" s="646"/>
      <c r="D629" s="646"/>
      <c r="E629" s="961" t="str">
        <f>calcCh1Prod4Slot3Promo2GPaLUplift</f>
        <v/>
      </c>
      <c r="F629" s="520" t="s">
        <v>12771</v>
      </c>
    </row>
    <row r="630" spans="1:6" s="646" customFormat="1">
      <c r="A630" s="882" t="s">
        <v>11388</v>
      </c>
      <c r="E630" s="961" t="str">
        <f>calcCh1Prod4Slot3Promo1VolUplift</f>
        <v/>
      </c>
      <c r="F630" s="520" t="s">
        <v>12628</v>
      </c>
    </row>
    <row r="631" spans="1:6" s="646" customFormat="1">
      <c r="A631" s="882" t="s">
        <v>11388</v>
      </c>
      <c r="E631" s="961" t="str">
        <f>calcCh1Prod4Slot3Promo2VolUplift</f>
        <v/>
      </c>
      <c r="F631" s="520" t="s">
        <v>12772</v>
      </c>
    </row>
    <row r="632" spans="1:6">
      <c r="A632" s="882" t="s">
        <v>5195</v>
      </c>
      <c r="B632" s="646"/>
      <c r="C632" s="646"/>
      <c r="D632" s="646"/>
      <c r="E632" s="961" t="str">
        <f>calcCh1Prod4Slot3Promo1CustUplift</f>
        <v/>
      </c>
      <c r="F632" s="520" t="s">
        <v>12338</v>
      </c>
    </row>
    <row r="633" spans="1:6">
      <c r="A633" s="882" t="s">
        <v>5195</v>
      </c>
      <c r="B633" s="646"/>
      <c r="C633" s="646"/>
      <c r="D633" s="646"/>
      <c r="E633" s="961" t="str">
        <f>calcCh1Prod4Slot3Promo2CustUplift</f>
        <v/>
      </c>
      <c r="F633" s="520" t="s">
        <v>12339</v>
      </c>
    </row>
    <row r="634" spans="1:6">
      <c r="A634" s="882" t="s">
        <v>157</v>
      </c>
      <c r="B634" s="646"/>
      <c r="C634" s="646"/>
      <c r="D634" s="646"/>
      <c r="E634" s="532" t="str">
        <f>IF(calcCh1Prod4Slot3Active=1,finPNLCh1Prod4Slot3TotalCOGs,"")</f>
        <v/>
      </c>
      <c r="F634" s="520" t="s">
        <v>10527</v>
      </c>
    </row>
    <row r="635" spans="1:6">
      <c r="A635" s="882" t="s">
        <v>10370</v>
      </c>
      <c r="B635" s="646"/>
      <c r="C635" s="646"/>
      <c r="D635" s="646"/>
      <c r="E635" s="885" t="str">
        <f>IF(AND(calcCh1Prod4Slot3Active=1,calcCh1Prod4Slot3VolForecastSlot&lt;&gt;0),finPNLCh1Prod4Slot3TotalCOGs/cbalCh1Prod4Slot3SoldVol,"")</f>
        <v/>
      </c>
      <c r="F635" s="520" t="s">
        <v>10430</v>
      </c>
    </row>
    <row r="636" spans="1:6">
      <c r="A636" s="882" t="s">
        <v>5661</v>
      </c>
      <c r="B636" s="646"/>
      <c r="C636" s="646"/>
      <c r="D636" s="646"/>
      <c r="E636" s="800"/>
      <c r="F636" s="520"/>
    </row>
    <row r="637" spans="1:6">
      <c r="A637" s="616" t="s">
        <v>14083</v>
      </c>
      <c r="B637" s="616"/>
      <c r="C637" s="616"/>
      <c r="D637" s="616"/>
      <c r="E637" s="616"/>
      <c r="F637" s="616"/>
    </row>
    <row r="638" spans="1:6">
      <c r="A638" s="277" t="s">
        <v>12868</v>
      </c>
      <c r="B638" s="646"/>
      <c r="C638" s="646"/>
      <c r="D638" s="646"/>
      <c r="E638" s="800"/>
      <c r="F638" s="646"/>
    </row>
    <row r="639" spans="1:6">
      <c r="A639" s="882" t="s">
        <v>3859</v>
      </c>
      <c r="B639" s="802"/>
      <c r="C639" s="802"/>
      <c r="D639" s="802"/>
      <c r="E639" s="532"/>
      <c r="F639" s="646"/>
    </row>
    <row r="640" spans="1:6">
      <c r="A640" s="882" t="s">
        <v>8649</v>
      </c>
      <c r="B640" s="800"/>
      <c r="C640" s="800"/>
      <c r="D640" s="800"/>
      <c r="E640" s="532">
        <f>IF(calcCh2Prod1Slot1Active=1,finPNLCh2Prod1Slot1TotalRev,"")</f>
        <v>114623001.10607071</v>
      </c>
      <c r="F640" s="520" t="s">
        <v>8769</v>
      </c>
    </row>
    <row r="641" spans="1:6">
      <c r="A641" s="882" t="s">
        <v>521</v>
      </c>
      <c r="B641" s="800"/>
      <c r="C641" s="800"/>
      <c r="D641" s="800"/>
      <c r="E641" s="532">
        <f>IF(calcCh2Prod1Slot1Active=1,finPNLCh2Prod1Slot1GPaL,0)</f>
        <v>62920331.946581602</v>
      </c>
      <c r="F641" s="520" t="s">
        <v>9483</v>
      </c>
    </row>
    <row r="642" spans="1:6" s="800" customFormat="1">
      <c r="A642" s="882" t="s">
        <v>8650</v>
      </c>
      <c r="B642" s="646"/>
      <c r="C642" s="646"/>
      <c r="D642" s="646"/>
      <c r="E642" s="532">
        <f>IF(calcCh2Prod1Slot1Active=1,finCalcCh2Prod1Slot1VolSold,"")</f>
        <v>21056760</v>
      </c>
      <c r="F642" s="520" t="s">
        <v>8770</v>
      </c>
    </row>
    <row r="643" spans="1:6" s="800" customFormat="1">
      <c r="A643" s="882" t="s">
        <v>9063</v>
      </c>
      <c r="B643" s="646"/>
      <c r="C643" s="646"/>
      <c r="D643" s="646"/>
      <c r="E643" s="885">
        <f>IF(calcCh2Prod1Slot1Active=1,cbalCh2Prod1Slot1NetRev/cbalCh2Prod1Slot1SoldVol,"")</f>
        <v>5.4435250772707064</v>
      </c>
      <c r="F643" s="520" t="s">
        <v>9484</v>
      </c>
    </row>
    <row r="644" spans="1:6" s="800" customFormat="1">
      <c r="A644" s="882" t="s">
        <v>9064</v>
      </c>
      <c r="B644" s="646"/>
      <c r="C644" s="646"/>
      <c r="D644" s="646"/>
      <c r="E644" s="885">
        <f>IF(calcCh2Prod1Slot1Active=1,cbalCh2Prod1Slot1GPaL/cbalCh2Prod1Slot1SoldVol,"")</f>
        <v>2.9881297952097854</v>
      </c>
      <c r="F644" s="520" t="s">
        <v>9485</v>
      </c>
    </row>
    <row r="645" spans="1:6" s="646" customFormat="1">
      <c r="A645" s="882" t="s">
        <v>9068</v>
      </c>
      <c r="E645" s="885">
        <f>IF(calcCh2Prod1Slot1Active=1,calcCh2Prod1Slot1CustPrice,"")</f>
        <v>7.9</v>
      </c>
      <c r="F645" s="520" t="s">
        <v>9486</v>
      </c>
    </row>
    <row r="646" spans="1:6">
      <c r="A646" s="882" t="s">
        <v>4410</v>
      </c>
      <c r="B646" s="800"/>
      <c r="C646" s="800"/>
      <c r="D646" s="800"/>
      <c r="E646" s="885">
        <f>IF(calcCh2Prod1Slot1Active=1,calcCh2Prod1Slot1AvgSalePrice,"")</f>
        <v>7.9</v>
      </c>
      <c r="F646" s="520" t="s">
        <v>9487</v>
      </c>
    </row>
    <row r="647" spans="1:6">
      <c r="A647" s="882" t="s">
        <v>3329</v>
      </c>
      <c r="B647" s="800"/>
      <c r="C647" s="800"/>
      <c r="D647" s="800"/>
      <c r="E647" s="532" t="str">
        <f>IF(calcCh2Prod1Slot1Active=1,calcCh2Prod1Slot1Pack,"")</f>
        <v>10 x 33cl Can</v>
      </c>
      <c r="F647" s="520" t="s">
        <v>9488</v>
      </c>
    </row>
    <row r="648" spans="1:6">
      <c r="A648" s="882" t="s">
        <v>3674</v>
      </c>
      <c r="B648" s="800"/>
      <c r="C648" s="800"/>
      <c r="D648" s="800"/>
      <c r="E648" s="961">
        <f>IF(calcCh2Prod1Slot1Active=1,calcCh2Prod1Slot1WD,"")</f>
        <v>0.95357142857142863</v>
      </c>
      <c r="F648" s="520" t="s">
        <v>9489</v>
      </c>
    </row>
    <row r="649" spans="1:6">
      <c r="A649" s="882" t="s">
        <v>157</v>
      </c>
      <c r="B649" s="800"/>
      <c r="C649" s="800"/>
      <c r="D649" s="800"/>
      <c r="E649" s="532">
        <f>IF(calcCh2Prod1Slot1Active=1,finPNLCh2Prod1Slot1TotalCOGs,"")</f>
        <v>46260715.77506806</v>
      </c>
      <c r="F649" s="520" t="s">
        <v>10528</v>
      </c>
    </row>
    <row r="650" spans="1:6">
      <c r="A650" s="882" t="s">
        <v>10370</v>
      </c>
      <c r="B650" s="800"/>
      <c r="C650" s="800"/>
      <c r="D650" s="800"/>
      <c r="E650" s="885">
        <f>IF(decCh2Prod1Slot1Active=1,finPNLCh2Prod1Slot1TotalCOGs/cbalCh2Prod1Slot1SoldVol,"")</f>
        <v>2.1969531767977628</v>
      </c>
      <c r="F650" s="520" t="s">
        <v>10431</v>
      </c>
    </row>
    <row r="651" spans="1:6">
      <c r="A651" s="277" t="s">
        <v>3858</v>
      </c>
      <c r="B651" s="800"/>
      <c r="C651" s="800"/>
      <c r="D651" s="800"/>
      <c r="E651" s="885"/>
      <c r="F651" s="646"/>
    </row>
    <row r="652" spans="1:6">
      <c r="A652" s="882" t="s">
        <v>8649</v>
      </c>
      <c r="B652" s="800"/>
      <c r="C652" s="800"/>
      <c r="D652" s="800"/>
      <c r="E652" s="532" t="str">
        <f>IF(calcCh2Prod1Slot2Active=1,finPNLCh2Prod1Slot2TotalRev,"")</f>
        <v/>
      </c>
      <c r="F652" s="520" t="s">
        <v>8771</v>
      </c>
    </row>
    <row r="653" spans="1:6">
      <c r="A653" s="882" t="s">
        <v>521</v>
      </c>
      <c r="B653" s="800"/>
      <c r="C653" s="800"/>
      <c r="D653" s="800"/>
      <c r="E653" s="532">
        <f>IF(calcCh2Prod1Slot2Active=1,finPNLCh2Prod1Slot2GPaL,0)</f>
        <v>0</v>
      </c>
      <c r="F653" s="520" t="s">
        <v>9490</v>
      </c>
    </row>
    <row r="654" spans="1:6">
      <c r="A654" s="882" t="s">
        <v>8650</v>
      </c>
      <c r="B654" s="800"/>
      <c r="C654" s="800"/>
      <c r="D654" s="800"/>
      <c r="E654" s="532" t="str">
        <f>IF(calcCh2Prod1Slot2Active=1,finCalcCh2Prod1Slot2VolSold,"")</f>
        <v/>
      </c>
      <c r="F654" s="520" t="s">
        <v>8772</v>
      </c>
    </row>
    <row r="655" spans="1:6">
      <c r="A655" s="882" t="s">
        <v>9063</v>
      </c>
      <c r="B655" s="800"/>
      <c r="C655" s="800"/>
      <c r="D655" s="800"/>
      <c r="E655" s="885" t="str">
        <f>IF(calcCh2Prod1Slot2Active=1,cbalCh2Prod1Slot2NetRev/cbalCh2Prod1Slot2SoldVol,"")</f>
        <v/>
      </c>
      <c r="F655" s="520" t="s">
        <v>9491</v>
      </c>
    </row>
    <row r="656" spans="1:6" s="800" customFormat="1">
      <c r="A656" s="882" t="s">
        <v>9064</v>
      </c>
      <c r="B656" s="646"/>
      <c r="C656" s="646"/>
      <c r="D656" s="646"/>
      <c r="E656" s="885" t="str">
        <f>IF(calcCh2Prod1Slot2Active=1,cbalCh2Prod1Slot2GPaL/cbalCh2Prod1Slot2SoldVol,"")</f>
        <v/>
      </c>
      <c r="F656" s="520" t="s">
        <v>9492</v>
      </c>
    </row>
    <row r="657" spans="1:6" s="800" customFormat="1">
      <c r="A657" s="882" t="s">
        <v>9068</v>
      </c>
      <c r="B657" s="646"/>
      <c r="C657" s="646"/>
      <c r="D657" s="646"/>
      <c r="E657" s="885" t="str">
        <f>IF(calcCh2Prod1Slot2Active=1,calcCh2Prod1Slot2CustPrice,"")</f>
        <v/>
      </c>
      <c r="F657" s="520" t="s">
        <v>9493</v>
      </c>
    </row>
    <row r="658" spans="1:6" s="800" customFormat="1">
      <c r="A658" s="882" t="s">
        <v>4410</v>
      </c>
      <c r="B658" s="646"/>
      <c r="C658" s="646"/>
      <c r="D658" s="646"/>
      <c r="E658" s="885" t="str">
        <f>IF(calcCh2Prod1Slot2Active=1,calcCh2Prod1Slot2AvgSalePrice,"")</f>
        <v/>
      </c>
      <c r="F658" s="520" t="s">
        <v>9494</v>
      </c>
    </row>
    <row r="659" spans="1:6" s="646" customFormat="1">
      <c r="A659" s="882" t="s">
        <v>3329</v>
      </c>
      <c r="E659" s="532" t="str">
        <f>IF(calcCh2Prod1Slot2Active=1,calcCh2Prod1Slot2Pack,"")</f>
        <v/>
      </c>
      <c r="F659" s="520" t="s">
        <v>9495</v>
      </c>
    </row>
    <row r="660" spans="1:6">
      <c r="A660" s="882" t="s">
        <v>3674</v>
      </c>
      <c r="B660" s="800"/>
      <c r="C660" s="800"/>
      <c r="D660" s="800"/>
      <c r="E660" s="961" t="str">
        <f>IF(calcCh2Prod1Slot2Active=1,calcCh2Prod1Slot2WD,"")</f>
        <v/>
      </c>
      <c r="F660" s="520" t="s">
        <v>9496</v>
      </c>
    </row>
    <row r="661" spans="1:6">
      <c r="A661" s="882" t="s">
        <v>157</v>
      </c>
      <c r="B661" s="800"/>
      <c r="C661" s="800"/>
      <c r="D661" s="800"/>
      <c r="E661" s="532" t="str">
        <f>IF(calcCh2Prod1Slot2Active=1,finPNLCh2Prod1Slot2TotalCOGs,"")</f>
        <v/>
      </c>
      <c r="F661" s="520" t="s">
        <v>10529</v>
      </c>
    </row>
    <row r="662" spans="1:6">
      <c r="A662" s="882" t="s">
        <v>10370</v>
      </c>
      <c r="B662" s="800"/>
      <c r="C662" s="800"/>
      <c r="D662" s="800"/>
      <c r="E662" s="885" t="str">
        <f>IF(decCh2Prod1Slot2Active=1,finPNLCh2Prod1Slot2TotalCOGs/cbalCh2Prod1Slot2SoldVol,"")</f>
        <v/>
      </c>
      <c r="F662" s="520" t="s">
        <v>10432</v>
      </c>
    </row>
    <row r="663" spans="1:6">
      <c r="A663" s="277" t="s">
        <v>3860</v>
      </c>
      <c r="B663" s="800"/>
      <c r="C663" s="800"/>
      <c r="D663" s="800"/>
      <c r="E663" s="802"/>
      <c r="F663" s="646"/>
    </row>
    <row r="664" spans="1:6">
      <c r="A664" s="882" t="s">
        <v>8649</v>
      </c>
      <c r="B664" s="800"/>
      <c r="C664" s="800"/>
      <c r="D664" s="800"/>
      <c r="E664" s="532" t="str">
        <f>IF(calcCh2Prod1Slot3Active=1,finPNLCh2Prod1Slot3TotalRev,"")</f>
        <v/>
      </c>
      <c r="F664" s="520" t="s">
        <v>8773</v>
      </c>
    </row>
    <row r="665" spans="1:6">
      <c r="A665" s="882" t="s">
        <v>521</v>
      </c>
      <c r="B665" s="646"/>
      <c r="C665" s="646"/>
      <c r="D665" s="646"/>
      <c r="E665" s="532">
        <f>IF(calcCh2Prod1Slot3Active=1,finPNLCh2Prod1Slot3GPaL,0)</f>
        <v>0</v>
      </c>
      <c r="F665" s="520" t="s">
        <v>9497</v>
      </c>
    </row>
    <row r="666" spans="1:6">
      <c r="A666" s="882" t="s">
        <v>8650</v>
      </c>
      <c r="B666" s="646"/>
      <c r="C666" s="646"/>
      <c r="D666" s="646"/>
      <c r="E666" s="532" t="str">
        <f>IF(calcCh2Prod1Slot3Active=1,finCalcCh2Prod1Slot3VolSold,"")</f>
        <v/>
      </c>
      <c r="F666" s="520" t="s">
        <v>8774</v>
      </c>
    </row>
    <row r="667" spans="1:6">
      <c r="A667" s="882" t="s">
        <v>9063</v>
      </c>
      <c r="B667" s="646"/>
      <c r="C667" s="646"/>
      <c r="D667" s="646"/>
      <c r="E667" s="885" t="str">
        <f>IF(calcCh2Prod1Slot3Active=1,cbalCh2Prod1Slot3NetRev/cbalCh2Prod1Slot3SoldVol,"")</f>
        <v/>
      </c>
      <c r="F667" s="520" t="s">
        <v>9498</v>
      </c>
    </row>
    <row r="668" spans="1:6">
      <c r="A668" s="882" t="s">
        <v>9064</v>
      </c>
      <c r="B668" s="646"/>
      <c r="C668" s="646"/>
      <c r="D668" s="646"/>
      <c r="E668" s="885" t="str">
        <f>IF(calcCh2Prod1Slot3Active=1,cbalCh2Prod1Slot3GPaL/cbalCh2Prod1Slot3SoldVol,"")</f>
        <v/>
      </c>
      <c r="F668" s="520" t="s">
        <v>9499</v>
      </c>
    </row>
    <row r="669" spans="1:6">
      <c r="A669" s="882" t="s">
        <v>9068</v>
      </c>
      <c r="B669" s="646"/>
      <c r="C669" s="646"/>
      <c r="D669" s="646"/>
      <c r="E669" s="885" t="str">
        <f>IF(calcCh2Prod1Slot3Active=1,calcCh2Prod1Slot3CustPrice,"")</f>
        <v/>
      </c>
      <c r="F669" s="520" t="s">
        <v>9500</v>
      </c>
    </row>
    <row r="670" spans="1:6" s="800" customFormat="1">
      <c r="A670" s="882" t="s">
        <v>4410</v>
      </c>
      <c r="B670" s="646"/>
      <c r="C670" s="646"/>
      <c r="D670" s="646"/>
      <c r="E670" s="885" t="str">
        <f>IF(calcCh2Prod1Slot3Active=1,calcCh2Prod1Slot3AvgSalePrice,"")</f>
        <v/>
      </c>
      <c r="F670" s="520" t="s">
        <v>9501</v>
      </c>
    </row>
    <row r="671" spans="1:6">
      <c r="A671" s="882" t="s">
        <v>3329</v>
      </c>
      <c r="B671" s="646"/>
      <c r="C671" s="646"/>
      <c r="D671" s="646"/>
      <c r="E671" s="532" t="str">
        <f>IF(calcCh2Prod1Slot3Active=1,calcCh2Prod1Slot3Pack,"")</f>
        <v/>
      </c>
      <c r="F671" s="520" t="s">
        <v>9502</v>
      </c>
    </row>
    <row r="672" spans="1:6" s="800" customFormat="1">
      <c r="A672" s="882" t="s">
        <v>3674</v>
      </c>
      <c r="B672" s="646"/>
      <c r="C672" s="646"/>
      <c r="D672" s="646"/>
      <c r="E672" s="961" t="str">
        <f>IF(calcCh2Prod1Slot3Active=1,calcCh2Prod1Slot3WD,"")</f>
        <v/>
      </c>
      <c r="F672" s="520" t="s">
        <v>9503</v>
      </c>
    </row>
    <row r="673" spans="1:6" s="800" customFormat="1">
      <c r="A673" s="882" t="s">
        <v>157</v>
      </c>
      <c r="B673" s="646"/>
      <c r="C673" s="646"/>
      <c r="D673" s="646"/>
      <c r="E673" s="532" t="str">
        <f>IF(calcCh2Prod1Slot3Active=1,finPNLCh2Prod1Slot3TotalCOGs,"")</f>
        <v/>
      </c>
      <c r="F673" s="520" t="s">
        <v>10530</v>
      </c>
    </row>
    <row r="674" spans="1:6" s="800" customFormat="1">
      <c r="A674" s="882" t="s">
        <v>10370</v>
      </c>
      <c r="B674" s="646"/>
      <c r="C674" s="646"/>
      <c r="D674" s="646"/>
      <c r="E674" s="885" t="str">
        <f>IF(decCh2Prod1Slot3Active=1,finPNLCh2Prod1Slot3TotalCOGs/cbalCh2Prod1Slot3SoldVol,"")</f>
        <v/>
      </c>
      <c r="F674" s="520" t="s">
        <v>10433</v>
      </c>
    </row>
    <row r="675" spans="1:6" s="646" customFormat="1">
      <c r="A675" s="882" t="s">
        <v>5661</v>
      </c>
      <c r="E675" s="802"/>
      <c r="F675" s="520"/>
    </row>
    <row r="676" spans="1:6">
      <c r="A676" s="277" t="s">
        <v>238</v>
      </c>
      <c r="B676" s="646"/>
      <c r="C676" s="646"/>
      <c r="D676" s="646"/>
      <c r="E676" s="802"/>
      <c r="F676" s="646"/>
    </row>
    <row r="677" spans="1:6">
      <c r="A677" s="277" t="s">
        <v>3859</v>
      </c>
      <c r="B677" s="646"/>
      <c r="C677" s="646"/>
      <c r="D677" s="646"/>
      <c r="E677" s="802"/>
      <c r="F677" s="646"/>
    </row>
    <row r="678" spans="1:6">
      <c r="A678" s="882" t="s">
        <v>8649</v>
      </c>
      <c r="B678" s="646"/>
      <c r="C678" s="646"/>
      <c r="D678" s="646"/>
      <c r="E678" s="532">
        <f>IF(calcCh2Prod2Slot1Active=1,finPNLCh2Prod2Slot1TotalRev,"")</f>
        <v>711083241.72408259</v>
      </c>
      <c r="F678" s="520" t="s">
        <v>8775</v>
      </c>
    </row>
    <row r="679" spans="1:6">
      <c r="A679" s="882" t="s">
        <v>521</v>
      </c>
      <c r="B679" s="646"/>
      <c r="C679" s="646"/>
      <c r="D679" s="646"/>
      <c r="E679" s="532">
        <f>IF(calcCh2Prod2Slot1Active=1,finPNLCh2Prod2Slot1GPaL,0)</f>
        <v>350525396.92029697</v>
      </c>
      <c r="F679" s="520" t="s">
        <v>9504</v>
      </c>
    </row>
    <row r="680" spans="1:6">
      <c r="A680" s="882" t="s">
        <v>8650</v>
      </c>
      <c r="B680" s="646"/>
      <c r="C680" s="646"/>
      <c r="D680" s="646"/>
      <c r="E680" s="532">
        <f>IF(calcCh2Prod2Slot1Active=1,finCalcCh2Prod2Slot1VolSold,"")</f>
        <v>145291643.99999997</v>
      </c>
      <c r="F680" s="520" t="s">
        <v>8776</v>
      </c>
    </row>
    <row r="681" spans="1:6">
      <c r="A681" s="882" t="s">
        <v>9063</v>
      </c>
      <c r="B681" s="646"/>
      <c r="C681" s="646"/>
      <c r="D681" s="646"/>
      <c r="E681" s="885">
        <f>IF(calcCh2Prod2Slot1Active=1,cbalCh2Prod2Slot1NetRev/cbalCh2Prod2Slot1SoldVol,"")</f>
        <v>4.8941785098397173</v>
      </c>
      <c r="F681" s="520" t="s">
        <v>9505</v>
      </c>
    </row>
    <row r="682" spans="1:6">
      <c r="A682" s="882" t="s">
        <v>9064</v>
      </c>
      <c r="B682" s="646"/>
      <c r="C682" s="646"/>
      <c r="D682" s="646"/>
      <c r="E682" s="885">
        <f>IF(calcCh2Prod2Slot1Active=1,cbalCh2Prod2Slot1GPaL/cbalCh2Prod2Slot1SoldVol,"")</f>
        <v>2.4125640489022002</v>
      </c>
      <c r="F682" s="520" t="s">
        <v>9506</v>
      </c>
    </row>
    <row r="683" spans="1:6">
      <c r="A683" s="882" t="s">
        <v>9068</v>
      </c>
      <c r="B683" s="646"/>
      <c r="C683" s="646"/>
      <c r="D683" s="646"/>
      <c r="E683" s="885">
        <f>IF(calcCh2Prod2Slot1Active=1,calcCh2Prod2Slot1CustPrice,"")</f>
        <v>7.3</v>
      </c>
      <c r="F683" s="520" t="s">
        <v>9507</v>
      </c>
    </row>
    <row r="684" spans="1:6">
      <c r="A684" s="882" t="s">
        <v>4410</v>
      </c>
      <c r="B684" s="646"/>
      <c r="C684" s="646"/>
      <c r="D684" s="646"/>
      <c r="E684" s="885">
        <f>IF(calcCh2Prod2Slot1Active=1,calcCh2Prod2Slot1AvgSalePrice,"")</f>
        <v>7.3</v>
      </c>
      <c r="F684" s="520" t="s">
        <v>9508</v>
      </c>
    </row>
    <row r="685" spans="1:6">
      <c r="A685" s="882" t="s">
        <v>3329</v>
      </c>
      <c r="B685" s="800"/>
      <c r="C685" s="800"/>
      <c r="D685" s="800"/>
      <c r="E685" s="532" t="str">
        <f>IF(calcCh2Prod2Slot1Active=1,calcCh2Prod2Slot1Pack,"")</f>
        <v>24 x 33cl Can</v>
      </c>
      <c r="F685" s="520" t="s">
        <v>9509</v>
      </c>
    </row>
    <row r="686" spans="1:6" s="800" customFormat="1">
      <c r="A686" s="882" t="s">
        <v>3674</v>
      </c>
      <c r="B686" s="646"/>
      <c r="C686" s="646"/>
      <c r="D686" s="646"/>
      <c r="E686" s="961">
        <f>IF(calcCh2Prod2Slot1Active=1,calcCh2Prod2Slot1WD,"")</f>
        <v>0.95357142857142863</v>
      </c>
      <c r="F686" s="520" t="s">
        <v>9510</v>
      </c>
    </row>
    <row r="687" spans="1:6" s="800" customFormat="1">
      <c r="A687" s="882" t="s">
        <v>157</v>
      </c>
      <c r="B687" s="646"/>
      <c r="C687" s="646"/>
      <c r="D687" s="646"/>
      <c r="E687" s="532">
        <f>IF(calcCh2Prod2Slot1Active=1,finPNLCh2Prod2Slot1TotalCOGs,"")</f>
        <v>323008366.45128036</v>
      </c>
      <c r="F687" s="520" t="s">
        <v>10531</v>
      </c>
    </row>
    <row r="688" spans="1:6" s="800" customFormat="1">
      <c r="A688" s="882" t="s">
        <v>10370</v>
      </c>
      <c r="B688" s="646"/>
      <c r="C688" s="646"/>
      <c r="D688" s="646"/>
      <c r="E688" s="885">
        <f>IF(decCh2Prod2Slot1Active=1,finPNLCh2Prod2Slot1TotalCOGs/cbalCh2Prod2Slot1SoldVol,"")</f>
        <v>2.2231723556743597</v>
      </c>
      <c r="F688" s="520" t="s">
        <v>10434</v>
      </c>
    </row>
    <row r="689" spans="1:6" s="646" customFormat="1">
      <c r="A689" s="882" t="s">
        <v>3858</v>
      </c>
      <c r="E689" s="885"/>
    </row>
    <row r="690" spans="1:6">
      <c r="A690" s="882" t="s">
        <v>8649</v>
      </c>
      <c r="B690" s="800"/>
      <c r="C690" s="800"/>
      <c r="D690" s="800"/>
      <c r="E690" s="532" t="str">
        <f>IF(calcCh2Prod2Slot2Active=1,finPNLCh2Prod2Slot2TotalRev,"")</f>
        <v/>
      </c>
      <c r="F690" s="520" t="s">
        <v>8777</v>
      </c>
    </row>
    <row r="691" spans="1:6">
      <c r="A691" s="882" t="s">
        <v>521</v>
      </c>
      <c r="B691" s="800"/>
      <c r="C691" s="800"/>
      <c r="D691" s="800"/>
      <c r="E691" s="532">
        <f>IF(calcCh2Prod2Slot2Active=1,finPNLCh2Prod2Slot2GPaL,0)</f>
        <v>0</v>
      </c>
      <c r="F691" s="520" t="s">
        <v>9511</v>
      </c>
    </row>
    <row r="692" spans="1:6">
      <c r="A692" s="882" t="s">
        <v>8650</v>
      </c>
      <c r="B692" s="800"/>
      <c r="C692" s="800"/>
      <c r="D692" s="800"/>
      <c r="E692" s="532" t="str">
        <f>IF(calcCh2Prod2Slot2Active=1,finCalcCh2Prod2Slot2VolSold,"")</f>
        <v/>
      </c>
      <c r="F692" s="520" t="s">
        <v>8778</v>
      </c>
    </row>
    <row r="693" spans="1:6">
      <c r="A693" s="882" t="s">
        <v>9063</v>
      </c>
      <c r="B693" s="800"/>
      <c r="C693" s="800"/>
      <c r="D693" s="800"/>
      <c r="E693" s="885" t="str">
        <f>IF(calcCh2Prod2Slot2Active=1,cbalCh2Prod2Slot2NetRev/cbalCh2Prod2Slot2SoldVol,"")</f>
        <v/>
      </c>
      <c r="F693" s="520" t="s">
        <v>9512</v>
      </c>
    </row>
    <row r="694" spans="1:6">
      <c r="A694" s="882" t="s">
        <v>9064</v>
      </c>
      <c r="B694" s="800"/>
      <c r="C694" s="800"/>
      <c r="D694" s="800"/>
      <c r="E694" s="885" t="str">
        <f>IF(calcCh2Prod2Slot2Active=1,cbalCh2Prod2Slot2GPaL/cbalCh2Prod2Slot2SoldVol,"")</f>
        <v/>
      </c>
      <c r="F694" s="520" t="s">
        <v>9513</v>
      </c>
    </row>
    <row r="695" spans="1:6">
      <c r="A695" s="882" t="s">
        <v>9068</v>
      </c>
      <c r="B695" s="800"/>
      <c r="C695" s="800"/>
      <c r="D695" s="800"/>
      <c r="E695" s="885" t="str">
        <f>IF(calcCh2Prod2Slot2Active=1,calcCh2Prod2Slot2CustPrice,"")</f>
        <v/>
      </c>
      <c r="F695" s="520" t="s">
        <v>9514</v>
      </c>
    </row>
    <row r="696" spans="1:6">
      <c r="A696" s="882" t="s">
        <v>4410</v>
      </c>
      <c r="B696" s="800"/>
      <c r="C696" s="800"/>
      <c r="D696" s="800"/>
      <c r="E696" s="885" t="str">
        <f>IF(calcCh2Prod2Slot2Active=1,calcCh2Prod2Slot2AvgSalePrice,"")</f>
        <v/>
      </c>
      <c r="F696" s="520" t="s">
        <v>9515</v>
      </c>
    </row>
    <row r="697" spans="1:6">
      <c r="A697" s="882" t="s">
        <v>3329</v>
      </c>
      <c r="B697" s="800"/>
      <c r="C697" s="800"/>
      <c r="D697" s="800"/>
      <c r="E697" s="532" t="str">
        <f>IF(calcCh2Prod2Slot2Active=1,calcCh2Prod2Slot2Pack,"")</f>
        <v/>
      </c>
      <c r="F697" s="520" t="s">
        <v>9516</v>
      </c>
    </row>
    <row r="698" spans="1:6">
      <c r="A698" s="882" t="s">
        <v>3674</v>
      </c>
      <c r="B698" s="800"/>
      <c r="C698" s="800"/>
      <c r="D698" s="800"/>
      <c r="E698" s="961" t="str">
        <f>IF(calcCh2Prod2Slot2Active=1,calcCh2Prod2Slot2WD,"")</f>
        <v/>
      </c>
      <c r="F698" s="520" t="s">
        <v>9517</v>
      </c>
    </row>
    <row r="699" spans="1:6">
      <c r="A699" s="882" t="s">
        <v>157</v>
      </c>
      <c r="B699" s="800"/>
      <c r="C699" s="800"/>
      <c r="D699" s="800"/>
      <c r="E699" s="532" t="str">
        <f>IF(calcCh2Prod2Slot2Active=1,finPNLCh2Prod2Slot2TotalCOGs,"")</f>
        <v/>
      </c>
      <c r="F699" s="520" t="s">
        <v>10532</v>
      </c>
    </row>
    <row r="700" spans="1:6" s="800" customFormat="1">
      <c r="A700" s="882" t="s">
        <v>10370</v>
      </c>
      <c r="B700" s="646"/>
      <c r="C700" s="646"/>
      <c r="D700" s="646"/>
      <c r="E700" s="885" t="str">
        <f>IF(decCh2Prod2Slot2Active=1,finPNLCh2Prod2Slot2TotalCOGs/cbalCh2Prod2Slot2SoldVol,"")</f>
        <v/>
      </c>
      <c r="F700" s="520" t="s">
        <v>10435</v>
      </c>
    </row>
    <row r="701" spans="1:6" s="800" customFormat="1">
      <c r="A701" s="882" t="s">
        <v>3860</v>
      </c>
      <c r="B701" s="646"/>
      <c r="C701" s="646"/>
      <c r="D701" s="646"/>
      <c r="E701" s="802"/>
      <c r="F701" s="646"/>
    </row>
    <row r="702" spans="1:6" s="800" customFormat="1">
      <c r="A702" s="882" t="s">
        <v>8649</v>
      </c>
      <c r="B702" s="646"/>
      <c r="C702" s="646"/>
      <c r="D702" s="646"/>
      <c r="E702" s="532" t="str">
        <f>IF(calcCh2Prod2Slot3Active=1,finPNLCh2Prod2Slot3TotalRev,"")</f>
        <v/>
      </c>
      <c r="F702" s="520" t="s">
        <v>8779</v>
      </c>
    </row>
    <row r="703" spans="1:6" s="646" customFormat="1">
      <c r="A703" s="882" t="s">
        <v>521</v>
      </c>
      <c r="E703" s="532">
        <f>IF(calcCh2Prod2Slot3Active=1,finPNLCh2Prod2Slot3GPaL,0)</f>
        <v>0</v>
      </c>
      <c r="F703" s="520" t="s">
        <v>9518</v>
      </c>
    </row>
    <row r="704" spans="1:6">
      <c r="A704" s="882" t="s">
        <v>8650</v>
      </c>
      <c r="B704" s="800"/>
      <c r="C704" s="800"/>
      <c r="D704" s="800"/>
      <c r="E704" s="532" t="str">
        <f>IF(calcCh2Prod2Slot3Active=1,finCalcCh2Prod2Slot3VolSold,"")</f>
        <v/>
      </c>
      <c r="F704" s="520" t="s">
        <v>8780</v>
      </c>
    </row>
    <row r="705" spans="1:6">
      <c r="A705" s="882" t="s">
        <v>9063</v>
      </c>
      <c r="B705" s="800"/>
      <c r="C705" s="800"/>
      <c r="D705" s="800"/>
      <c r="E705" s="885" t="str">
        <f>IF(calcCh2Prod2Slot3Active=1,cbalCh2Prod2Slot3NetRev/cbalCh2Prod2Slot3SoldVol,"")</f>
        <v/>
      </c>
      <c r="F705" s="520" t="s">
        <v>9519</v>
      </c>
    </row>
    <row r="706" spans="1:6">
      <c r="A706" s="882" t="s">
        <v>9064</v>
      </c>
      <c r="B706" s="800"/>
      <c r="C706" s="800"/>
      <c r="D706" s="800"/>
      <c r="E706" s="885" t="str">
        <f>IF(calcCh2Prod2Slot3Active=1,cbalCh2Prod2Slot3GPaL/cbalCh2Prod2Slot3SoldVol,"")</f>
        <v/>
      </c>
      <c r="F706" s="520" t="s">
        <v>9520</v>
      </c>
    </row>
    <row r="707" spans="1:6">
      <c r="A707" s="882" t="s">
        <v>9068</v>
      </c>
      <c r="B707" s="800"/>
      <c r="C707" s="800"/>
      <c r="D707" s="800"/>
      <c r="E707" s="885" t="str">
        <f>IF(calcCh2Prod2Slot3Active=1,calcCh2Prod2Slot3CustPrice,"")</f>
        <v/>
      </c>
      <c r="F707" s="520" t="s">
        <v>9521</v>
      </c>
    </row>
    <row r="708" spans="1:6">
      <c r="A708" s="882" t="s">
        <v>4410</v>
      </c>
      <c r="B708" s="800"/>
      <c r="C708" s="800"/>
      <c r="D708" s="800"/>
      <c r="E708" s="885" t="str">
        <f>IF(calcCh2Prod2Slot3Active=1,calcCh2Prod2Slot3AvgSalePrice,"")</f>
        <v/>
      </c>
      <c r="F708" s="520" t="s">
        <v>9522</v>
      </c>
    </row>
    <row r="709" spans="1:6">
      <c r="A709" s="882" t="s">
        <v>3329</v>
      </c>
      <c r="B709" s="800"/>
      <c r="C709" s="800"/>
      <c r="D709" s="800"/>
      <c r="E709" s="532" t="str">
        <f>IF(calcCh2Prod2Slot3Active=1,calcCh2Prod2Slot3Pack,"")</f>
        <v/>
      </c>
      <c r="F709" s="520" t="s">
        <v>9523</v>
      </c>
    </row>
    <row r="710" spans="1:6">
      <c r="A710" s="882" t="s">
        <v>3674</v>
      </c>
      <c r="B710" s="800"/>
      <c r="C710" s="800"/>
      <c r="D710" s="800"/>
      <c r="E710" s="961" t="str">
        <f>IF(calcCh2Prod2Slot3Active=1,calcCh2Prod2Slot3WD,"")</f>
        <v/>
      </c>
      <c r="F710" s="520" t="s">
        <v>9524</v>
      </c>
    </row>
    <row r="711" spans="1:6">
      <c r="A711" s="882" t="s">
        <v>157</v>
      </c>
      <c r="B711" s="646"/>
      <c r="C711" s="646"/>
      <c r="D711" s="646"/>
      <c r="E711" s="532" t="str">
        <f>IF(calcCh2Prod2Slot3Active=1,finPNLCh2Prod2Slot3TotalCOGs,"")</f>
        <v/>
      </c>
      <c r="F711" s="520" t="s">
        <v>10533</v>
      </c>
    </row>
    <row r="712" spans="1:6">
      <c r="A712" s="882" t="s">
        <v>10370</v>
      </c>
      <c r="B712" s="646"/>
      <c r="C712" s="646"/>
      <c r="D712" s="646"/>
      <c r="E712" s="885" t="str">
        <f>IF(decCh2Prod2Slot3Active=1,finPNLCh2Prod2Slot3TotalCOGs/cbalCh2Prod2Slot3SoldVol,"")</f>
        <v/>
      </c>
      <c r="F712" s="520" t="s">
        <v>10436</v>
      </c>
    </row>
    <row r="713" spans="1:6">
      <c r="A713" s="882" t="s">
        <v>5661</v>
      </c>
      <c r="B713" s="646"/>
      <c r="C713" s="646"/>
      <c r="D713" s="646"/>
      <c r="E713" s="802"/>
      <c r="F713" s="520"/>
    </row>
    <row r="714" spans="1:6">
      <c r="A714" s="277" t="s">
        <v>239</v>
      </c>
      <c r="B714" s="646"/>
      <c r="C714" s="646"/>
      <c r="D714" s="646"/>
      <c r="E714" s="802"/>
      <c r="F714" s="646"/>
    </row>
    <row r="715" spans="1:6" s="800" customFormat="1">
      <c r="A715" s="277" t="s">
        <v>3859</v>
      </c>
      <c r="B715" s="646"/>
      <c r="C715" s="646"/>
      <c r="D715" s="646"/>
      <c r="E715" s="802"/>
      <c r="F715" s="646"/>
    </row>
    <row r="716" spans="1:6" s="800" customFormat="1">
      <c r="A716" s="882" t="s">
        <v>8649</v>
      </c>
      <c r="B716" s="646"/>
      <c r="C716" s="646"/>
      <c r="D716" s="646"/>
      <c r="E716" s="532">
        <f>IF(calcCh2Prod3Slot1Active=1,finPNLCh2Prod3Slot1TotalRev,"")</f>
        <v>435357086.76984644</v>
      </c>
      <c r="F716" s="520" t="s">
        <v>8781</v>
      </c>
    </row>
    <row r="717" spans="1:6" s="800" customFormat="1">
      <c r="A717" s="882" t="s">
        <v>521</v>
      </c>
      <c r="B717" s="646"/>
      <c r="C717" s="646"/>
      <c r="D717" s="646"/>
      <c r="E717" s="532">
        <f>IF(calcCh2Prod3Slot1Active=1,finPNLCh2Prod3Slot1GPaL,0)</f>
        <v>190266800.58770174</v>
      </c>
      <c r="F717" s="520" t="s">
        <v>9525</v>
      </c>
    </row>
    <row r="718" spans="1:6" s="646" customFormat="1">
      <c r="A718" s="882" t="s">
        <v>8650</v>
      </c>
      <c r="E718" s="532">
        <f>IF(calcCh2Prod3Slot1Active=1,finCalcCh2Prod3Slot1VolSold,"")</f>
        <v>96861095.999999985</v>
      </c>
      <c r="F718" s="520" t="s">
        <v>8782</v>
      </c>
    </row>
    <row r="719" spans="1:6">
      <c r="A719" s="882" t="s">
        <v>9063</v>
      </c>
      <c r="B719" s="646"/>
      <c r="C719" s="646"/>
      <c r="D719" s="646"/>
      <c r="E719" s="885">
        <f>IF(calcCh2Prod3Slot1Active=1,cbalCh2Prod3Slot1NetRev/cbalCh2Prod3Slot1SoldVol,"")</f>
        <v>4.4946537335262704</v>
      </c>
      <c r="F719" s="520" t="s">
        <v>9526</v>
      </c>
    </row>
    <row r="720" spans="1:6">
      <c r="A720" s="882" t="s">
        <v>9064</v>
      </c>
      <c r="B720" s="646"/>
      <c r="C720" s="646"/>
      <c r="D720" s="646"/>
      <c r="E720" s="885">
        <f>IF(calcCh2Prod3Slot1Active=1,cbalCh2Prod3Slot1GPaL/cbalCh2Prod3Slot1SoldVol,"")</f>
        <v>1.9643263234157682</v>
      </c>
      <c r="F720" s="520" t="s">
        <v>9527</v>
      </c>
    </row>
    <row r="721" spans="1:6">
      <c r="A721" s="882" t="s">
        <v>9068</v>
      </c>
      <c r="B721" s="646"/>
      <c r="C721" s="646"/>
      <c r="D721" s="646"/>
      <c r="E721" s="885">
        <f>IF(calcCh2Prod3Slot1Active=1,calcCh2Prod3Slot1CustPrice,"")</f>
        <v>7</v>
      </c>
      <c r="F721" s="520" t="s">
        <v>9528</v>
      </c>
    </row>
    <row r="722" spans="1:6">
      <c r="A722" s="882" t="s">
        <v>4410</v>
      </c>
      <c r="B722" s="646"/>
      <c r="C722" s="646"/>
      <c r="D722" s="646"/>
      <c r="E722" s="885">
        <f>IF(calcCh2Prod3Slot1Active=1,calcCh2Prod3Slot1AvgSalePrice,"")</f>
        <v>7</v>
      </c>
      <c r="F722" s="520" t="s">
        <v>9529</v>
      </c>
    </row>
    <row r="723" spans="1:6">
      <c r="A723" s="882" t="s">
        <v>3329</v>
      </c>
      <c r="B723" s="646"/>
      <c r="C723" s="646"/>
      <c r="D723" s="646"/>
      <c r="E723" s="532" t="str">
        <f>IF(calcCh2Prod3Slot1Active=1,calcCh2Prod3Slot1Pack,"")</f>
        <v>25cl Can</v>
      </c>
      <c r="F723" s="520" t="s">
        <v>9530</v>
      </c>
    </row>
    <row r="724" spans="1:6">
      <c r="A724" s="882" t="s">
        <v>3674</v>
      </c>
      <c r="B724" s="646"/>
      <c r="C724" s="646"/>
      <c r="D724" s="646"/>
      <c r="E724" s="961">
        <f>IF(calcCh2Prod3Slot1Active=1,calcCh2Prod3Slot1WD,"")</f>
        <v>0.625</v>
      </c>
      <c r="F724" s="520" t="s">
        <v>9531</v>
      </c>
    </row>
    <row r="725" spans="1:6">
      <c r="A725" s="882" t="s">
        <v>157</v>
      </c>
      <c r="B725" s="646"/>
      <c r="C725" s="646"/>
      <c r="D725" s="646"/>
      <c r="E725" s="532">
        <f>IF(calcCh2Prod3Slot1Active=1,finPNLCh2Prod3Slot1TotalCOGs,"")</f>
        <v>216827237.95982891</v>
      </c>
      <c r="F725" s="520" t="s">
        <v>10534</v>
      </c>
    </row>
    <row r="726" spans="1:6">
      <c r="A726" s="882" t="s">
        <v>10370</v>
      </c>
      <c r="B726" s="646"/>
      <c r="C726" s="646"/>
      <c r="D726" s="646"/>
      <c r="E726" s="885">
        <f>IF(decCh2Prod3Slot1Active=1,finPNLCh2Prod3Slot1TotalCOGs/cbalCh2Prod3Slot1SoldVol,"")</f>
        <v>2.2385379364262916</v>
      </c>
      <c r="F726" s="520" t="s">
        <v>10437</v>
      </c>
    </row>
    <row r="727" spans="1:6">
      <c r="A727" s="882" t="s">
        <v>3858</v>
      </c>
      <c r="B727" s="646"/>
      <c r="C727" s="646"/>
      <c r="D727" s="646"/>
      <c r="E727" s="885"/>
      <c r="F727" s="646"/>
    </row>
    <row r="728" spans="1:6">
      <c r="A728" s="882" t="s">
        <v>8649</v>
      </c>
      <c r="B728" s="802"/>
      <c r="C728" s="802"/>
      <c r="D728" s="802"/>
      <c r="E728" s="532" t="str">
        <f>IF(calcCh2Prod3Slot2Active=1,finPNLCh2Prod3Slot2TotalRev,"")</f>
        <v/>
      </c>
      <c r="F728" s="520" t="s">
        <v>8783</v>
      </c>
    </row>
    <row r="729" spans="1:6" s="800" customFormat="1">
      <c r="A729" s="882" t="s">
        <v>521</v>
      </c>
      <c r="B729" s="646"/>
      <c r="C729" s="646"/>
      <c r="D729" s="646"/>
      <c r="E729" s="532">
        <f>IF(calcCh2Prod3Slot2Active=1,finPNLCh2Prod3Slot2GPaL,0)</f>
        <v>0</v>
      </c>
      <c r="F729" s="520" t="s">
        <v>9532</v>
      </c>
    </row>
    <row r="730" spans="1:6" s="800" customFormat="1">
      <c r="A730" s="882" t="s">
        <v>8650</v>
      </c>
      <c r="B730" s="646"/>
      <c r="C730" s="646"/>
      <c r="D730" s="646"/>
      <c r="E730" s="532" t="str">
        <f>IF(calcCh2Prod3Slot2Active=1,finCalcCh2Prod3Slot2VolSold,"")</f>
        <v/>
      </c>
      <c r="F730" s="520" t="s">
        <v>8784</v>
      </c>
    </row>
    <row r="731" spans="1:6" s="800" customFormat="1">
      <c r="A731" s="882" t="s">
        <v>9063</v>
      </c>
      <c r="B731" s="646"/>
      <c r="C731" s="646"/>
      <c r="D731" s="646"/>
      <c r="E731" s="885" t="str">
        <f>IF(calcCh2Prod3Slot2Active=1,cbalCh2Prod3Slot2NetRev/cbalCh2Prod3Slot2SoldVol,"")</f>
        <v/>
      </c>
      <c r="F731" s="520" t="s">
        <v>9533</v>
      </c>
    </row>
    <row r="732" spans="1:6" s="646" customFormat="1">
      <c r="A732" s="882" t="s">
        <v>9064</v>
      </c>
      <c r="E732" s="885" t="str">
        <f>IF(calcCh2Prod3Slot2Active=1,cbalCh2Prod3Slot2GPaL/cbalCh2Prod3Slot2SoldVol,"")</f>
        <v/>
      </c>
      <c r="F732" s="520" t="s">
        <v>9534</v>
      </c>
    </row>
    <row r="733" spans="1:6">
      <c r="A733" s="882" t="s">
        <v>9068</v>
      </c>
      <c r="B733" s="800"/>
      <c r="C733" s="800"/>
      <c r="D733" s="800"/>
      <c r="E733" s="885" t="str">
        <f>IF(calcCh2Prod3Slot2Active=1,calcCh2Prod3Slot2CustPrice,"")</f>
        <v/>
      </c>
      <c r="F733" s="520" t="s">
        <v>9535</v>
      </c>
    </row>
    <row r="734" spans="1:6">
      <c r="A734" s="882" t="s">
        <v>4410</v>
      </c>
      <c r="B734" s="800"/>
      <c r="C734" s="800"/>
      <c r="D734" s="800"/>
      <c r="E734" s="885" t="str">
        <f>IF(calcCh2Prod3Slot2Active=1,calcCh2Prod3Slot2AvgSalePrice,"")</f>
        <v/>
      </c>
      <c r="F734" s="520" t="s">
        <v>9536</v>
      </c>
    </row>
    <row r="735" spans="1:6">
      <c r="A735" s="882" t="s">
        <v>3329</v>
      </c>
      <c r="B735" s="800"/>
      <c r="C735" s="800"/>
      <c r="D735" s="800"/>
      <c r="E735" s="532" t="str">
        <f>IF(calcCh2Prod3Slot2Active=1,calcCh2Prod3Slot2Pack,"")</f>
        <v/>
      </c>
      <c r="F735" s="520" t="s">
        <v>9537</v>
      </c>
    </row>
    <row r="736" spans="1:6">
      <c r="A736" s="882" t="s">
        <v>3674</v>
      </c>
      <c r="B736" s="800"/>
      <c r="C736" s="800"/>
      <c r="D736" s="800"/>
      <c r="E736" s="961" t="str">
        <f>IF(calcCh2Prod3Slot2Active=1,calcCh2Prod3Slot2WD,"")</f>
        <v/>
      </c>
      <c r="F736" s="520" t="s">
        <v>9538</v>
      </c>
    </row>
    <row r="737" spans="1:6">
      <c r="A737" s="882" t="s">
        <v>157</v>
      </c>
      <c r="B737" s="800"/>
      <c r="C737" s="800"/>
      <c r="D737" s="800"/>
      <c r="E737" s="532" t="str">
        <f>IF(calcCh2Prod3Slot2Active=1,finPNLCh2Prod3Slot2TotalCOGs,"")</f>
        <v/>
      </c>
      <c r="F737" s="520" t="s">
        <v>10535</v>
      </c>
    </row>
    <row r="738" spans="1:6">
      <c r="A738" s="882" t="s">
        <v>10370</v>
      </c>
      <c r="B738" s="800"/>
      <c r="C738" s="800"/>
      <c r="D738" s="800"/>
      <c r="E738" s="885" t="str">
        <f>IF(decCh2Prod3Slot2Active=1,finPNLCh2Prod3Slot2TotalCOGs/cbalCh2Prod3Slot2SoldVol,"")</f>
        <v/>
      </c>
      <c r="F738" s="520" t="s">
        <v>10438</v>
      </c>
    </row>
    <row r="739" spans="1:6">
      <c r="A739" s="882" t="s">
        <v>3860</v>
      </c>
      <c r="B739" s="800"/>
      <c r="C739" s="800"/>
      <c r="D739" s="800"/>
      <c r="E739" s="802"/>
      <c r="F739" s="646"/>
    </row>
    <row r="740" spans="1:6">
      <c r="A740" s="882" t="s">
        <v>8649</v>
      </c>
      <c r="B740" s="800"/>
      <c r="C740" s="800"/>
      <c r="D740" s="800"/>
      <c r="E740" s="532" t="str">
        <f>IF(calcCh2Prod3Slot3Active=1,finPNLCh2Prod3Slot3TotalRev,"")</f>
        <v/>
      </c>
      <c r="F740" s="520" t="s">
        <v>8785</v>
      </c>
    </row>
    <row r="741" spans="1:6">
      <c r="A741" s="882" t="s">
        <v>521</v>
      </c>
      <c r="B741" s="800"/>
      <c r="C741" s="800"/>
      <c r="D741" s="800"/>
      <c r="E741" s="532">
        <f>IF(calcCh2Prod3Slot3Active=1,finPNLCh2Prod3Slot3GPaL,0)</f>
        <v>0</v>
      </c>
      <c r="F741" s="520" t="s">
        <v>9539</v>
      </c>
    </row>
    <row r="742" spans="1:6">
      <c r="A742" s="882" t="s">
        <v>8650</v>
      </c>
      <c r="B742" s="800"/>
      <c r="C742" s="800"/>
      <c r="D742" s="800"/>
      <c r="E742" s="532" t="str">
        <f>IF(calcCh2Prod3Slot3Active=1,finCalcCh2Prod3Slot3VolSold,"")</f>
        <v/>
      </c>
      <c r="F742" s="520" t="s">
        <v>8786</v>
      </c>
    </row>
    <row r="743" spans="1:6" s="800" customFormat="1">
      <c r="A743" s="882" t="s">
        <v>9063</v>
      </c>
      <c r="B743" s="646"/>
      <c r="C743" s="646"/>
      <c r="D743" s="646"/>
      <c r="E743" s="885" t="str">
        <f>IF(calcCh2Prod3Slot3Active=1,cbalCh2Prod3Slot3NetRev/cbalCh2Prod3Slot3SoldVol,"")</f>
        <v/>
      </c>
      <c r="F743" s="520" t="s">
        <v>9540</v>
      </c>
    </row>
    <row r="744" spans="1:6" s="800" customFormat="1">
      <c r="A744" s="882" t="s">
        <v>9064</v>
      </c>
      <c r="B744" s="646"/>
      <c r="C744" s="646"/>
      <c r="D744" s="646"/>
      <c r="E744" s="885" t="str">
        <f>IF(calcCh2Prod3Slot3Active=1,cbalCh2Prod3Slot3GPaL/cbalCh2Prod3Slot3SoldVol,"")</f>
        <v/>
      </c>
      <c r="F744" s="520" t="s">
        <v>9541</v>
      </c>
    </row>
    <row r="745" spans="1:6" s="800" customFormat="1">
      <c r="A745" s="882" t="s">
        <v>9068</v>
      </c>
      <c r="B745" s="646"/>
      <c r="C745" s="646"/>
      <c r="D745" s="646"/>
      <c r="E745" s="885" t="str">
        <f>IF(calcCh2Prod3Slot3Active=1,calcCh2Prod3Slot3CustPrice,"")</f>
        <v/>
      </c>
      <c r="F745" s="520" t="s">
        <v>9542</v>
      </c>
    </row>
    <row r="746" spans="1:6" s="646" customFormat="1">
      <c r="A746" s="882" t="s">
        <v>4410</v>
      </c>
      <c r="E746" s="885" t="str">
        <f>IF(calcCh2Prod3Slot3Active=1,calcCh2Prod3Slot3AvgSalePrice,"")</f>
        <v/>
      </c>
      <c r="F746" s="520" t="s">
        <v>9543</v>
      </c>
    </row>
    <row r="747" spans="1:6" s="800" customFormat="1">
      <c r="A747" s="882" t="s">
        <v>3329</v>
      </c>
      <c r="B747" s="646"/>
      <c r="C747" s="646"/>
      <c r="D747" s="646"/>
      <c r="E747" s="532" t="str">
        <f>IF(calcCh2Prod3Slot3Active=1,calcCh2Prod3Slot3Pack,"")</f>
        <v/>
      </c>
      <c r="F747" s="520" t="s">
        <v>9544</v>
      </c>
    </row>
    <row r="748" spans="1:6">
      <c r="A748" s="882" t="s">
        <v>3674</v>
      </c>
      <c r="B748" s="646"/>
      <c r="C748" s="646"/>
      <c r="D748" s="646"/>
      <c r="E748" s="961" t="str">
        <f>IF(calcCh2Prod3Slot3Active=1,calcCh2Prod3Slot3WD,"")</f>
        <v/>
      </c>
      <c r="F748" s="520" t="s">
        <v>9545</v>
      </c>
    </row>
    <row r="749" spans="1:6">
      <c r="A749" s="882" t="s">
        <v>157</v>
      </c>
      <c r="B749" s="646"/>
      <c r="C749" s="646"/>
      <c r="D749" s="646"/>
      <c r="E749" s="532" t="str">
        <f>IF(calcCh2Prod3Slot3Active=1,finPNLCh2Prod3Slot3TotalCOGs,"")</f>
        <v/>
      </c>
      <c r="F749" s="520" t="s">
        <v>10536</v>
      </c>
    </row>
    <row r="750" spans="1:6">
      <c r="A750" s="882" t="s">
        <v>10370</v>
      </c>
      <c r="B750" s="646"/>
      <c r="C750" s="646"/>
      <c r="D750" s="646"/>
      <c r="E750" s="885" t="str">
        <f>IF(decCh2Prod3Slot3Active=1,finPNLCh2Prod3Slot3TotalCOGs/cbalCh2Prod3Slot3SoldVol,"")</f>
        <v/>
      </c>
      <c r="F750" s="520" t="s">
        <v>10439</v>
      </c>
    </row>
    <row r="751" spans="1:6">
      <c r="A751" s="882" t="s">
        <v>5661</v>
      </c>
      <c r="B751" s="646"/>
      <c r="C751" s="646"/>
      <c r="D751" s="646"/>
      <c r="E751" s="802"/>
      <c r="F751" s="520"/>
    </row>
    <row r="752" spans="1:6">
      <c r="A752" s="277" t="s">
        <v>240</v>
      </c>
      <c r="B752" s="646"/>
      <c r="C752" s="646"/>
      <c r="D752" s="646"/>
      <c r="E752" s="802"/>
      <c r="F752" s="646"/>
    </row>
    <row r="753" spans="1:6">
      <c r="A753" s="277" t="s">
        <v>3859</v>
      </c>
      <c r="B753" s="646"/>
      <c r="C753" s="646"/>
      <c r="D753" s="646"/>
      <c r="E753" s="802"/>
      <c r="F753" s="646"/>
    </row>
    <row r="754" spans="1:6">
      <c r="A754" s="882" t="s">
        <v>8649</v>
      </c>
      <c r="B754" s="646"/>
      <c r="C754" s="646"/>
      <c r="D754" s="646"/>
      <c r="E754" s="532" t="str">
        <f>IF(calcCh2Prod4Slot1Active=1,finPNLCh2Prod4Slot1TotalRev,"")</f>
        <v/>
      </c>
      <c r="F754" s="520" t="s">
        <v>8787</v>
      </c>
    </row>
    <row r="755" spans="1:6">
      <c r="A755" s="882" t="s">
        <v>521</v>
      </c>
      <c r="B755" s="646"/>
      <c r="C755" s="646"/>
      <c r="D755" s="646"/>
      <c r="E755" s="532">
        <f>IF(calcCh2Prod4Slot1Active=1,finPNLCh2Prod4Slot1GPaL,0)</f>
        <v>0</v>
      </c>
      <c r="F755" s="520" t="s">
        <v>9546</v>
      </c>
    </row>
    <row r="756" spans="1:6">
      <c r="A756" s="882" t="s">
        <v>8650</v>
      </c>
      <c r="B756" s="646"/>
      <c r="C756" s="646"/>
      <c r="D756" s="646"/>
      <c r="E756" s="532" t="str">
        <f>IF(calcCh2Prod4Slot1Active=1,finCalcCh2Prod4Slot1VolSold,"")</f>
        <v/>
      </c>
      <c r="F756" s="520" t="s">
        <v>8788</v>
      </c>
    </row>
    <row r="757" spans="1:6">
      <c r="A757" s="882" t="s">
        <v>9063</v>
      </c>
      <c r="B757" s="646"/>
      <c r="C757" s="646"/>
      <c r="D757" s="646"/>
      <c r="E757" s="885" t="str">
        <f>IF(AND(decCh2Prod4Slot1Active=1,calcCh2Prod4Slot1VolForecastSlot&lt;&gt;0),cbalCh2Prod4Slot1NetRev/cbalCh2Prod4Slot1SoldVol,"")</f>
        <v/>
      </c>
      <c r="F757" s="520" t="s">
        <v>9547</v>
      </c>
    </row>
    <row r="758" spans="1:6">
      <c r="A758" s="882" t="s">
        <v>9064</v>
      </c>
      <c r="B758" s="646"/>
      <c r="C758" s="646"/>
      <c r="D758" s="646"/>
      <c r="E758" s="885" t="str">
        <f>IF(AND(decCh2Prod4Slot1Active=1,calcCh2Prod4Slot1VolForecastSlot&lt;&gt;0),cbalCh2Prod4Slot1GPaL/cbalCh2Prod4Slot1SoldVol,"")</f>
        <v/>
      </c>
      <c r="F758" s="520" t="s">
        <v>9548</v>
      </c>
    </row>
    <row r="759" spans="1:6">
      <c r="A759" s="882" t="s">
        <v>9068</v>
      </c>
      <c r="B759" s="646"/>
      <c r="C759" s="646"/>
      <c r="D759" s="646"/>
      <c r="E759" s="885" t="str">
        <f>IF(calcCh2Prod4Slot1Active=1,calcCh2Prod4Slot1CustPrice,"")</f>
        <v/>
      </c>
      <c r="F759" s="520" t="s">
        <v>9549</v>
      </c>
    </row>
    <row r="760" spans="1:6">
      <c r="A760" s="882" t="s">
        <v>4410</v>
      </c>
      <c r="B760" s="646"/>
      <c r="C760" s="646"/>
      <c r="D760" s="646"/>
      <c r="E760" s="885" t="str">
        <f>IF(calcCh2Prod4Slot1Active=1,calcCh2Prod4Slot1AvgSalePrice,"")</f>
        <v/>
      </c>
      <c r="F760" s="520" t="s">
        <v>9550</v>
      </c>
    </row>
    <row r="761" spans="1:6">
      <c r="A761" s="882" t="s">
        <v>3329</v>
      </c>
      <c r="B761" s="646"/>
      <c r="C761" s="646"/>
      <c r="D761" s="646"/>
      <c r="E761" s="532" t="str">
        <f>IF(calcCh2Prod4Slot1Active=1,calcCh2Prod4Slot1Pack,"")</f>
        <v/>
      </c>
      <c r="F761" s="520" t="s">
        <v>9551</v>
      </c>
    </row>
    <row r="762" spans="1:6" s="800" customFormat="1">
      <c r="A762" s="882" t="s">
        <v>3674</v>
      </c>
      <c r="B762" s="646"/>
      <c r="C762" s="646"/>
      <c r="D762" s="646"/>
      <c r="E762" s="961" t="str">
        <f>IF(calcCh2Prod4Slot1Active=1,calcCh2Prod4Slot1WD,"")</f>
        <v/>
      </c>
      <c r="F762" s="520" t="s">
        <v>9552</v>
      </c>
    </row>
    <row r="763" spans="1:6" s="800" customFormat="1">
      <c r="A763" s="882" t="s">
        <v>157</v>
      </c>
      <c r="B763" s="646"/>
      <c r="C763" s="646"/>
      <c r="D763" s="646"/>
      <c r="E763" s="532" t="str">
        <f>IF(calcCh2Prod4Slot1Active=1,finPNLCh2Prod4Slot1TotalCOGs,"")</f>
        <v/>
      </c>
      <c r="F763" s="520" t="s">
        <v>10537</v>
      </c>
    </row>
    <row r="764" spans="1:6" s="800" customFormat="1">
      <c r="A764" s="882" t="s">
        <v>10370</v>
      </c>
      <c r="B764" s="646"/>
      <c r="C764" s="646"/>
      <c r="D764" s="646"/>
      <c r="E764" s="885" t="str">
        <f>IF(AND(decCh2Prod4Slot1Active=1,calcCh2Prod4Slot1VolForecastSlot&lt;&gt;0),finPNLCh2Prod4Slot1TotalCOGs/cbalCh2Prod4Slot1SoldVol,"")</f>
        <v/>
      </c>
      <c r="F764" s="520" t="s">
        <v>10440</v>
      </c>
    </row>
    <row r="765" spans="1:6" s="646" customFormat="1">
      <c r="A765" s="277" t="s">
        <v>3858</v>
      </c>
      <c r="E765" s="885"/>
    </row>
    <row r="766" spans="1:6">
      <c r="A766" s="882" t="s">
        <v>8649</v>
      </c>
      <c r="B766" s="646"/>
      <c r="C766" s="646"/>
      <c r="D766" s="646"/>
      <c r="E766" s="532" t="str">
        <f>IF(calcCh2Prod4Slot2Active=1,finPNLCh2Prod4Slot2TotalRev,"")</f>
        <v/>
      </c>
      <c r="F766" s="520" t="s">
        <v>8789</v>
      </c>
    </row>
    <row r="767" spans="1:6">
      <c r="A767" s="882" t="s">
        <v>521</v>
      </c>
      <c r="B767" s="646"/>
      <c r="C767" s="646"/>
      <c r="D767" s="646"/>
      <c r="E767" s="532">
        <f>IF(calcCh2Prod4Slot2Active=1,finPNLCh2Prod4Slot2GPaL,0)</f>
        <v>0</v>
      </c>
      <c r="F767" s="520" t="s">
        <v>9553</v>
      </c>
    </row>
    <row r="768" spans="1:6">
      <c r="A768" s="882" t="s">
        <v>8650</v>
      </c>
      <c r="B768" s="646"/>
      <c r="C768" s="646"/>
      <c r="D768" s="646"/>
      <c r="E768" s="532" t="str">
        <f>IF(calcCh2Prod4Slot2Active=1,finCalcCh2Prod4Slot2VolSold,"")</f>
        <v/>
      </c>
      <c r="F768" s="520" t="s">
        <v>8790</v>
      </c>
    </row>
    <row r="769" spans="1:6">
      <c r="A769" s="882" t="s">
        <v>9063</v>
      </c>
      <c r="B769" s="646"/>
      <c r="C769" s="646"/>
      <c r="D769" s="646"/>
      <c r="E769" s="885" t="str">
        <f>IF(AND(decCh2Prod4Slot2Active=1,calcCh2Prod4Slot2VolForecastSlot&lt;&gt;0),cbalCh2Prod4Slot2NetRev/cbalCh2Prod4Slot2SoldVol,"")</f>
        <v/>
      </c>
      <c r="F769" s="520" t="s">
        <v>9554</v>
      </c>
    </row>
    <row r="770" spans="1:6">
      <c r="A770" s="882" t="s">
        <v>9064</v>
      </c>
      <c r="B770" s="646"/>
      <c r="C770" s="646"/>
      <c r="D770" s="646"/>
      <c r="E770" s="885" t="str">
        <f>IF(AND(decCh2Prod4Slot2Active=1,calcCh2Prod4Slot2VolForecastSlot&lt;&gt;0),cbalCh2Prod4Slot2GPaL/cbalCh2Prod4Slot2SoldVol,"")</f>
        <v/>
      </c>
      <c r="F770" s="520" t="s">
        <v>9555</v>
      </c>
    </row>
    <row r="771" spans="1:6">
      <c r="A771" s="882" t="s">
        <v>9068</v>
      </c>
      <c r="B771" s="646"/>
      <c r="C771" s="646"/>
      <c r="D771" s="646"/>
      <c r="E771" s="885" t="str">
        <f>IF(calcCh2Prod4Slot2Active=1,calcCh2Prod4Slot2CustPrice,"")</f>
        <v/>
      </c>
      <c r="F771" s="520" t="s">
        <v>9556</v>
      </c>
    </row>
    <row r="772" spans="1:6">
      <c r="A772" s="882" t="s">
        <v>4410</v>
      </c>
      <c r="B772" s="802"/>
      <c r="C772" s="802"/>
      <c r="D772" s="802"/>
      <c r="E772" s="885" t="str">
        <f>IF(calcCh2Prod4Slot2Active=1,calcCh2Prod4Slot2AvgSalePrice,"")</f>
        <v/>
      </c>
      <c r="F772" s="520" t="s">
        <v>9557</v>
      </c>
    </row>
    <row r="773" spans="1:6">
      <c r="A773" s="882" t="s">
        <v>3329</v>
      </c>
      <c r="B773" s="800"/>
      <c r="C773" s="800"/>
      <c r="D773" s="800"/>
      <c r="E773" s="532" t="str">
        <f>IF(calcCh2Prod4Slot2Active=1,calcCh2Prod4Slot2Pack,"")</f>
        <v/>
      </c>
      <c r="F773" s="520" t="s">
        <v>9558</v>
      </c>
    </row>
    <row r="774" spans="1:6">
      <c r="A774" s="882" t="s">
        <v>3674</v>
      </c>
      <c r="B774" s="800"/>
      <c r="C774" s="800"/>
      <c r="D774" s="800"/>
      <c r="E774" s="961" t="str">
        <f>IF(calcCh2Prod4Slot2Active=1,calcCh2Prod4Slot2WD,"")</f>
        <v/>
      </c>
      <c r="F774" s="520" t="s">
        <v>9559</v>
      </c>
    </row>
    <row r="775" spans="1:6">
      <c r="A775" s="882" t="s">
        <v>157</v>
      </c>
      <c r="B775" s="800"/>
      <c r="C775" s="800"/>
      <c r="D775" s="800"/>
      <c r="E775" s="532" t="str">
        <f>IF(calcCh2Prod4Slot2Active=1,finPNLCh2Prod4Slot2TotalCOGs,"")</f>
        <v/>
      </c>
      <c r="F775" s="520" t="s">
        <v>10538</v>
      </c>
    </row>
    <row r="776" spans="1:6">
      <c r="A776" s="882" t="s">
        <v>10370</v>
      </c>
      <c r="B776" s="800"/>
      <c r="C776" s="800"/>
      <c r="D776" s="800"/>
      <c r="E776" s="885" t="str">
        <f>IF(AND(decCh2Prod4Slot2Active=1,calcCh2Prod4Slot2VolForecastSlot&lt;&gt;0),finPNLCh2Prod4Slot2TotalCOGs/cbalCh2Prod4Slot2SoldVol,"")</f>
        <v/>
      </c>
      <c r="F776" s="520" t="s">
        <v>10441</v>
      </c>
    </row>
    <row r="777" spans="1:6">
      <c r="A777" s="277" t="s">
        <v>3860</v>
      </c>
      <c r="B777" s="800"/>
      <c r="C777" s="800"/>
      <c r="D777" s="800"/>
      <c r="E777" s="802"/>
      <c r="F777" s="646"/>
    </row>
    <row r="778" spans="1:6">
      <c r="A778" s="882" t="s">
        <v>8649</v>
      </c>
      <c r="B778" s="800"/>
      <c r="C778" s="800"/>
      <c r="D778" s="800"/>
      <c r="E778" s="532" t="str">
        <f>IF(calcCh2Prod4Slot3Active=1,finPNLCh2Prod4Slot3TotalRev,"")</f>
        <v/>
      </c>
      <c r="F778" s="520" t="s">
        <v>8791</v>
      </c>
    </row>
    <row r="779" spans="1:6" s="800" customFormat="1">
      <c r="A779" s="882" t="s">
        <v>521</v>
      </c>
      <c r="B779" s="646"/>
      <c r="C779" s="646"/>
      <c r="D779" s="646"/>
      <c r="E779" s="532">
        <f>IF(calcCh2Prod4Slot3Active=1,finPNLCh2Prod4Slot3GPaL,0)</f>
        <v>0</v>
      </c>
      <c r="F779" s="520" t="s">
        <v>9560</v>
      </c>
    </row>
    <row r="780" spans="1:6" s="800" customFormat="1">
      <c r="A780" s="882" t="s">
        <v>8650</v>
      </c>
      <c r="B780" s="646"/>
      <c r="C780" s="646"/>
      <c r="D780" s="646"/>
      <c r="E780" s="532" t="str">
        <f>IF(calcCh2Prod4Slot3Active=1,finCalcCh2Prod4Slot3VolSold,"")</f>
        <v/>
      </c>
      <c r="F780" s="520" t="s">
        <v>8792</v>
      </c>
    </row>
    <row r="781" spans="1:6" s="800" customFormat="1">
      <c r="A781" s="882" t="s">
        <v>9063</v>
      </c>
      <c r="B781" s="646"/>
      <c r="C781" s="646"/>
      <c r="D781" s="646"/>
      <c r="E781" s="885" t="str">
        <f>IF(AND(decCh2Prod4Slot3Active=1,calcCh2Prod4Slot3VolForecastSlot&lt;&gt;0),cbalCh2Prod4Slot3NetRev/cbalCh2Prod4Slot3SoldVol,"")</f>
        <v/>
      </c>
      <c r="F781" s="520" t="s">
        <v>9561</v>
      </c>
    </row>
    <row r="782" spans="1:6" s="646" customFormat="1">
      <c r="A782" s="882" t="s">
        <v>9064</v>
      </c>
      <c r="E782" s="885" t="str">
        <f>IF(AND(decCh2Prod4Slot3Active=1,calcCh2Prod4Slot3VolForecastSlot&lt;&gt;0),cbalCh2Prod4Slot3GPaL/cbalCh2Prod4Slot3SoldVol,"")</f>
        <v/>
      </c>
      <c r="F782" s="520" t="s">
        <v>9562</v>
      </c>
    </row>
    <row r="783" spans="1:6">
      <c r="A783" s="882" t="s">
        <v>9068</v>
      </c>
      <c r="B783" s="800"/>
      <c r="C783" s="800"/>
      <c r="D783" s="800"/>
      <c r="E783" s="885" t="str">
        <f>IF(calcCh2Prod4Slot3Active=1,calcCh2Prod4Slot3CustPrice,"")</f>
        <v/>
      </c>
      <c r="F783" s="520" t="s">
        <v>9563</v>
      </c>
    </row>
    <row r="784" spans="1:6">
      <c r="A784" s="882" t="s">
        <v>4410</v>
      </c>
      <c r="B784" s="800"/>
      <c r="C784" s="800"/>
      <c r="D784" s="800"/>
      <c r="E784" s="885" t="str">
        <f>IF(calcCh2Prod4Slot3Active=1,calcCh2Prod4Slot3AvgSalePrice,"")</f>
        <v/>
      </c>
      <c r="F784" s="520" t="s">
        <v>9564</v>
      </c>
    </row>
    <row r="785" spans="1:6">
      <c r="A785" s="882" t="s">
        <v>3329</v>
      </c>
      <c r="B785" s="800"/>
      <c r="C785" s="800"/>
      <c r="D785" s="800"/>
      <c r="E785" s="532" t="str">
        <f>IF(calcCh2Prod4Slot3Active=1,calcCh2Prod4Slot3Pack,"")</f>
        <v/>
      </c>
      <c r="F785" s="520" t="s">
        <v>9565</v>
      </c>
    </row>
    <row r="786" spans="1:6">
      <c r="A786" s="882" t="s">
        <v>3674</v>
      </c>
      <c r="B786" s="800"/>
      <c r="C786" s="800"/>
      <c r="D786" s="800"/>
      <c r="E786" s="961" t="str">
        <f>IF(calcCh2Prod4Slot3Active=1,calcCh2Prod4Slot3WD,"")</f>
        <v/>
      </c>
      <c r="F786" s="520" t="s">
        <v>9566</v>
      </c>
    </row>
    <row r="787" spans="1:6">
      <c r="A787" s="882" t="s">
        <v>157</v>
      </c>
      <c r="B787" s="800"/>
      <c r="C787" s="800"/>
      <c r="D787" s="800"/>
      <c r="E787" s="532" t="str">
        <f>IF(calcCh2Prod4Slot3Active=1,finPNLCh2Prod4Slot3TotalCOGs,"")</f>
        <v/>
      </c>
      <c r="F787" s="520" t="s">
        <v>10539</v>
      </c>
    </row>
    <row r="788" spans="1:6">
      <c r="A788" s="882" t="s">
        <v>10370</v>
      </c>
      <c r="B788" s="800"/>
      <c r="C788" s="800"/>
      <c r="D788" s="800"/>
      <c r="E788" s="885" t="str">
        <f>IF(AND(decCh2Prod4Slot3Active=1,calcCh2Prod4Slot3VolForecastSlot&lt;&gt;0),finPNLCh2Prod4Slot3TotalCOGs/cbalCh2Prod4Slot3SoldVol,"")</f>
        <v/>
      </c>
      <c r="F788" s="520" t="s">
        <v>10442</v>
      </c>
    </row>
    <row r="789" spans="1:6">
      <c r="A789" s="882" t="s">
        <v>5661</v>
      </c>
      <c r="B789" s="800"/>
      <c r="C789" s="800"/>
      <c r="D789" s="800"/>
      <c r="E789" s="800"/>
      <c r="F789" s="800"/>
    </row>
    <row r="790" spans="1:6">
      <c r="A790" s="616" t="s">
        <v>14084</v>
      </c>
      <c r="B790" s="616"/>
      <c r="C790" s="616"/>
      <c r="D790" s="616"/>
      <c r="E790" s="616"/>
      <c r="F790" s="616"/>
    </row>
    <row r="791" spans="1:6">
      <c r="A791" s="277" t="s">
        <v>12868</v>
      </c>
      <c r="B791" s="800"/>
      <c r="C791" s="800"/>
      <c r="D791" s="800"/>
      <c r="E791" s="800"/>
      <c r="F791" s="646"/>
    </row>
    <row r="792" spans="1:6">
      <c r="A792" s="277" t="s">
        <v>3859</v>
      </c>
      <c r="B792" s="800"/>
      <c r="C792" s="800"/>
      <c r="D792" s="800"/>
      <c r="E792" s="532"/>
      <c r="F792" s="646"/>
    </row>
    <row r="793" spans="1:6">
      <c r="A793" s="882" t="s">
        <v>8649</v>
      </c>
      <c r="B793" s="800"/>
      <c r="C793" s="800"/>
      <c r="D793" s="800"/>
      <c r="E793" s="532">
        <f>IF(calcCh3Prod1Slot1Active=1,finPNLCh3Prod1Slot1TotalRev,"")</f>
        <v>162928795.28907233</v>
      </c>
      <c r="F793" s="520" t="s">
        <v>8793</v>
      </c>
    </row>
    <row r="794" spans="1:6">
      <c r="A794" s="882" t="s">
        <v>521</v>
      </c>
      <c r="B794" s="800"/>
      <c r="C794" s="800"/>
      <c r="D794" s="800"/>
      <c r="E794" s="532">
        <f>IF(calcCh3Prod1Slot1Active=1,finPNLCh3Prod1Slot1GPaL,0)</f>
        <v>67363100.429815918</v>
      </c>
      <c r="F794" s="520" t="s">
        <v>9567</v>
      </c>
    </row>
    <row r="795" spans="1:6">
      <c r="A795" s="882" t="s">
        <v>8650</v>
      </c>
      <c r="B795" s="800"/>
      <c r="C795" s="800"/>
      <c r="D795" s="800"/>
      <c r="E795" s="532">
        <f>IF(calcCh3Prod1Slot1Active=1,finCalcCh3Prod1Slot1VolSold,"")</f>
        <v>38509485</v>
      </c>
      <c r="F795" s="520" t="s">
        <v>8794</v>
      </c>
    </row>
    <row r="796" spans="1:6" s="800" customFormat="1">
      <c r="A796" s="882" t="s">
        <v>9063</v>
      </c>
      <c r="B796" s="646"/>
      <c r="C796" s="646"/>
      <c r="D796" s="646"/>
      <c r="E796" s="885">
        <f>IF(calcCh3Prod1Slot1Active=1,cbalCh3Prod1Slot1NetRev/cbalCh3Prod1Slot1SoldVol,"")</f>
        <v>4.2308744271462562</v>
      </c>
      <c r="F796" s="520" t="s">
        <v>9568</v>
      </c>
    </row>
    <row r="797" spans="1:6" s="800" customFormat="1">
      <c r="A797" s="882" t="s">
        <v>9064</v>
      </c>
      <c r="B797" s="646"/>
      <c r="C797" s="646"/>
      <c r="D797" s="646"/>
      <c r="E797" s="885">
        <f>IF(calcCh3Prod1Slot1Active=1,cbalCh3Prod1Slot1GPaL/cbalCh3Prod1Slot1SoldVol,"")</f>
        <v>1.7492599662087385</v>
      </c>
      <c r="F797" s="520" t="s">
        <v>9569</v>
      </c>
    </row>
    <row r="798" spans="1:6" s="800" customFormat="1">
      <c r="A798" s="882" t="s">
        <v>9068</v>
      </c>
      <c r="B798" s="646"/>
      <c r="C798" s="646"/>
      <c r="D798" s="646"/>
      <c r="E798" s="885">
        <f>IF(calcCh3Prod1Slot1Active=1,calcCh3Prod1Slot1CustPrice,"")</f>
        <v>7.05</v>
      </c>
      <c r="F798" s="520" t="s">
        <v>9570</v>
      </c>
    </row>
    <row r="799" spans="1:6" s="646" customFormat="1">
      <c r="A799" s="882" t="s">
        <v>11554</v>
      </c>
      <c r="E799" s="885">
        <f>IF(calcCh3Prod1Slot1Active=1,calcCh3Prod1Slot1Promo1CustPrice,"")</f>
        <v>5.6400000000000006</v>
      </c>
      <c r="F799" s="520" t="s">
        <v>12340</v>
      </c>
    </row>
    <row r="800" spans="1:6">
      <c r="A800" s="882" t="s">
        <v>4410</v>
      </c>
      <c r="B800" s="800"/>
      <c r="C800" s="800"/>
      <c r="D800" s="800"/>
      <c r="E800" s="885">
        <f>IF(calcCh3Prod1Slot1Active=1,calcCh3Prod1Slot1AvgSalePrice,"")</f>
        <v>6.6974999999999998</v>
      </c>
      <c r="F800" s="520" t="s">
        <v>9571</v>
      </c>
    </row>
    <row r="801" spans="1:6">
      <c r="A801" s="882" t="s">
        <v>3329</v>
      </c>
      <c r="B801" s="800"/>
      <c r="C801" s="800"/>
      <c r="D801" s="800"/>
      <c r="E801" s="532" t="str">
        <f>IF(calcCh3Prod1Slot1Active=1,calcCh3Prod1Slot1Pack,"")</f>
        <v>24 x 33cl Can</v>
      </c>
      <c r="F801" s="520" t="s">
        <v>9572</v>
      </c>
    </row>
    <row r="802" spans="1:6">
      <c r="A802" s="882" t="s">
        <v>5912</v>
      </c>
      <c r="B802" s="800"/>
      <c r="C802" s="800"/>
      <c r="D802" s="800"/>
      <c r="E802" s="870">
        <f>IF(calcCh3Prod1Slot1Active=1,calcCh3Prod1Slot1Promo1PlanShare,"")</f>
        <v>0.25</v>
      </c>
      <c r="F802" s="520" t="s">
        <v>12341</v>
      </c>
    </row>
    <row r="803" spans="1:6">
      <c r="A803" s="882" t="s">
        <v>11563</v>
      </c>
      <c r="B803" s="646"/>
      <c r="C803" s="646"/>
      <c r="D803" s="646"/>
      <c r="E803" s="961">
        <f>calcCh3Prod1Slot1Promo1ROI</f>
        <v>10.931381221158984</v>
      </c>
      <c r="F803" s="520" t="s">
        <v>12342</v>
      </c>
    </row>
    <row r="804" spans="1:6">
      <c r="A804" s="882" t="s">
        <v>3674</v>
      </c>
      <c r="B804" s="646"/>
      <c r="C804" s="646"/>
      <c r="D804" s="646"/>
      <c r="E804" s="961">
        <f>IF(calcCh3Prod1Slot1Active=1,calcCh3Prod1Slot1WD,"")</f>
        <v>0.38857142857142857</v>
      </c>
      <c r="F804" s="520" t="s">
        <v>9573</v>
      </c>
    </row>
    <row r="805" spans="1:6">
      <c r="A805" s="882" t="s">
        <v>4413</v>
      </c>
      <c r="B805" s="646"/>
      <c r="C805" s="646"/>
      <c r="D805" s="646"/>
      <c r="E805" s="961">
        <f>calcCh3Prod1Slot1Promo1GPaLUplift</f>
        <v>1.7866564969723275</v>
      </c>
      <c r="F805" s="520" t="s">
        <v>12593</v>
      </c>
    </row>
    <row r="806" spans="1:6" s="800" customFormat="1">
      <c r="A806" s="882" t="s">
        <v>11388</v>
      </c>
      <c r="B806" s="646"/>
      <c r="C806" s="646"/>
      <c r="D806" s="646"/>
      <c r="E806" s="961">
        <f>calcCh3Prod1Slot1Promo1VolUplift</f>
        <v>7.3333333333333321</v>
      </c>
      <c r="F806" s="520" t="s">
        <v>12713</v>
      </c>
    </row>
    <row r="807" spans="1:6">
      <c r="A807" s="882" t="s">
        <v>5195</v>
      </c>
      <c r="B807" s="646"/>
      <c r="C807" s="646"/>
      <c r="D807" s="646"/>
      <c r="E807" s="961">
        <f>calcCh3Prod1Slot1Promo1CustUplift</f>
        <v>5.7648893749206342</v>
      </c>
      <c r="F807" s="520" t="s">
        <v>12343</v>
      </c>
    </row>
    <row r="808" spans="1:6">
      <c r="A808" s="882" t="s">
        <v>157</v>
      </c>
      <c r="B808" s="646"/>
      <c r="C808" s="646"/>
      <c r="D808" s="646"/>
      <c r="E808" s="532">
        <f>IF(calcCh3Prod1Slot1Active=1,finPNLCh3Prod1Slot1TotalCOGs,"")</f>
        <v>85613222.483256415</v>
      </c>
      <c r="F808" s="520" t="s">
        <v>10540</v>
      </c>
    </row>
    <row r="809" spans="1:6">
      <c r="A809" s="882" t="s">
        <v>10370</v>
      </c>
      <c r="B809" s="646"/>
      <c r="C809" s="646"/>
      <c r="D809" s="646"/>
      <c r="E809" s="885">
        <f>IF(decCh3Prod1Slot1Active=1,finPNLCh3Prod1Slot1TotalCOGs/cbalCh3Prod1Slot1SoldVol,"")</f>
        <v>2.2231723556743597</v>
      </c>
      <c r="F809" s="520" t="s">
        <v>10443</v>
      </c>
    </row>
    <row r="810" spans="1:6">
      <c r="A810" s="277" t="s">
        <v>3858</v>
      </c>
      <c r="B810" s="646"/>
      <c r="C810" s="646"/>
      <c r="D810" s="646"/>
      <c r="E810" s="961"/>
      <c r="F810" s="646"/>
    </row>
    <row r="811" spans="1:6">
      <c r="A811" s="882" t="s">
        <v>8649</v>
      </c>
      <c r="B811" s="646"/>
      <c r="C811" s="646"/>
      <c r="D811" s="646"/>
      <c r="E811" s="532" t="str">
        <f>IF(calcCh3Prod1Slot2Active=1,finPNLCh3Prod1Slot2TotalRev,"")</f>
        <v/>
      </c>
      <c r="F811" s="520" t="s">
        <v>8795</v>
      </c>
    </row>
    <row r="812" spans="1:6">
      <c r="A812" s="882" t="s">
        <v>521</v>
      </c>
      <c r="B812" s="646"/>
      <c r="C812" s="646"/>
      <c r="D812" s="646"/>
      <c r="E812" s="532">
        <f>IF(calcCh3Prod1Slot2Active=1,finPNLCh3Prod1Slot2GPaL,0)</f>
        <v>0</v>
      </c>
      <c r="F812" s="520" t="s">
        <v>9574</v>
      </c>
    </row>
    <row r="813" spans="1:6">
      <c r="A813" s="882" t="s">
        <v>8650</v>
      </c>
      <c r="B813" s="646"/>
      <c r="C813" s="646"/>
      <c r="D813" s="646"/>
      <c r="E813" s="532" t="str">
        <f>IF(calcCh3Prod1Slot2Active=1,finCalcCh3Prod1Slot2VolSold,"")</f>
        <v/>
      </c>
      <c r="F813" s="520" t="s">
        <v>8796</v>
      </c>
    </row>
    <row r="814" spans="1:6">
      <c r="A814" s="882" t="s">
        <v>9063</v>
      </c>
      <c r="B814" s="646"/>
      <c r="C814" s="646"/>
      <c r="D814" s="646"/>
      <c r="E814" s="885" t="str">
        <f>IF(calcCh3Prod1Slot2Active=1,cbalCh3Prod1Slot2NetRev/cbalCh3Prod1Slot2SoldVol,"")</f>
        <v/>
      </c>
      <c r="F814" s="520" t="s">
        <v>9575</v>
      </c>
    </row>
    <row r="815" spans="1:6" s="800" customFormat="1">
      <c r="A815" s="882" t="s">
        <v>9064</v>
      </c>
      <c r="B815" s="646"/>
      <c r="C815" s="646"/>
      <c r="D815" s="646"/>
      <c r="E815" s="885" t="str">
        <f>IF(calcCh3Prod1Slot2Active=1,cbalCh3Prod1Slot2GPaL/cbalCh3Prod1Slot2SoldVol,"")</f>
        <v/>
      </c>
      <c r="F815" s="520" t="s">
        <v>9576</v>
      </c>
    </row>
    <row r="816" spans="1:6" s="800" customFormat="1">
      <c r="A816" s="882" t="s">
        <v>9068</v>
      </c>
      <c r="B816" s="646"/>
      <c r="C816" s="646"/>
      <c r="D816" s="646"/>
      <c r="E816" s="885" t="str">
        <f>IF(calcCh3Prod1Slot2Active=1,calcCh3Prod1Slot2CustPrice,"")</f>
        <v/>
      </c>
      <c r="F816" s="520" t="s">
        <v>9577</v>
      </c>
    </row>
    <row r="817" spans="1:6" s="800" customFormat="1">
      <c r="A817" s="882" t="s">
        <v>11554</v>
      </c>
      <c r="B817" s="646"/>
      <c r="C817" s="646"/>
      <c r="D817" s="646"/>
      <c r="E817" s="885" t="str">
        <f>IF(calcCh3Prod1Slot2Active=1,calcCh3Prod1Slot2Promo1CustPrice,"")</f>
        <v/>
      </c>
      <c r="F817" s="520" t="s">
        <v>12344</v>
      </c>
    </row>
    <row r="818" spans="1:6" s="646" customFormat="1">
      <c r="A818" s="882" t="s">
        <v>4410</v>
      </c>
      <c r="E818" s="885" t="str">
        <f>IF(calcCh3Prod1Slot2Active=1,calcCh3Prod1Slot2AvgSalePrice,"")</f>
        <v/>
      </c>
      <c r="F818" s="520" t="s">
        <v>9578</v>
      </c>
    </row>
    <row r="819" spans="1:6">
      <c r="A819" s="882" t="s">
        <v>3329</v>
      </c>
      <c r="B819" s="646"/>
      <c r="C819" s="646"/>
      <c r="D819" s="646"/>
      <c r="E819" s="532" t="str">
        <f>IF(calcCh3Prod1Slot2Active=1,calcCh3Prod1Slot2Pack,"")</f>
        <v/>
      </c>
      <c r="F819" s="520" t="s">
        <v>9579</v>
      </c>
    </row>
    <row r="820" spans="1:6">
      <c r="A820" s="882" t="s">
        <v>5912</v>
      </c>
      <c r="B820" s="646"/>
      <c r="C820" s="646"/>
      <c r="D820" s="646"/>
      <c r="E820" s="870" t="str">
        <f>IF(calcCh3Prod1Slot2Active=1,calcCh3Prod1Slot2Promo1PlanShare,"")</f>
        <v/>
      </c>
      <c r="F820" s="520" t="s">
        <v>12345</v>
      </c>
    </row>
    <row r="821" spans="1:6">
      <c r="A821" s="882" t="s">
        <v>11563</v>
      </c>
      <c r="B821" s="646"/>
      <c r="C821" s="646"/>
      <c r="D821" s="646"/>
      <c r="E821" s="961" t="str">
        <f>calcCh3Prod1Slot2Promo1ROI</f>
        <v/>
      </c>
      <c r="F821" s="520" t="s">
        <v>12346</v>
      </c>
    </row>
    <row r="822" spans="1:6">
      <c r="A822" s="882" t="s">
        <v>3674</v>
      </c>
      <c r="B822" s="646"/>
      <c r="C822" s="646"/>
      <c r="D822" s="646"/>
      <c r="E822" s="961" t="str">
        <f>IF(calcCh3Prod1Slot2Active=1,calcCh3Prod1Slot2WD,"")</f>
        <v/>
      </c>
      <c r="F822" s="520" t="s">
        <v>9580</v>
      </c>
    </row>
    <row r="823" spans="1:6">
      <c r="A823" s="882" t="s">
        <v>4413</v>
      </c>
      <c r="B823" s="646"/>
      <c r="C823" s="646"/>
      <c r="D823" s="646"/>
      <c r="E823" s="961" t="str">
        <f>calcCh3Prod1Slot2Promo1GPaLUplift</f>
        <v/>
      </c>
      <c r="F823" s="520" t="s">
        <v>12594</v>
      </c>
    </row>
    <row r="824" spans="1:6" s="800" customFormat="1">
      <c r="A824" s="882" t="s">
        <v>11388</v>
      </c>
      <c r="B824" s="646"/>
      <c r="C824" s="646"/>
      <c r="D824" s="646"/>
      <c r="E824" s="961" t="str">
        <f>calcCh3Prod1Slot2Promo1VolUplift</f>
        <v/>
      </c>
      <c r="F824" s="520" t="s">
        <v>12714</v>
      </c>
    </row>
    <row r="825" spans="1:6">
      <c r="A825" s="882" t="s">
        <v>5195</v>
      </c>
      <c r="B825" s="646"/>
      <c r="C825" s="646"/>
      <c r="D825" s="646"/>
      <c r="E825" s="961" t="str">
        <f>calcCh3Prod1Slot2Promo1CustUplift</f>
        <v/>
      </c>
      <c r="F825" s="520" t="s">
        <v>12347</v>
      </c>
    </row>
    <row r="826" spans="1:6">
      <c r="A826" s="882" t="s">
        <v>157</v>
      </c>
      <c r="B826" s="646"/>
      <c r="C826" s="646"/>
      <c r="D826" s="646"/>
      <c r="E826" s="532" t="str">
        <f>IF(calcCh3Prod1Slot2Active=1,finPNLCh3Prod1Slot2TotalCOGs,"")</f>
        <v/>
      </c>
      <c r="F826" s="520" t="s">
        <v>10541</v>
      </c>
    </row>
    <row r="827" spans="1:6">
      <c r="A827" s="882" t="s">
        <v>10370</v>
      </c>
      <c r="B827" s="646"/>
      <c r="C827" s="646"/>
      <c r="D827" s="646"/>
      <c r="E827" s="885" t="str">
        <f>IF(decCh3Prod1Slot2Active=1,finPNLCh3Prod1Slot2TotalCOGs/cbalCh3Prod1Slot2SoldVol,"")</f>
        <v/>
      </c>
      <c r="F827" s="520" t="s">
        <v>10444</v>
      </c>
    </row>
    <row r="828" spans="1:6">
      <c r="A828" s="277" t="s">
        <v>3860</v>
      </c>
      <c r="B828" s="802"/>
      <c r="C828" s="802"/>
      <c r="D828" s="802"/>
      <c r="E828" s="800"/>
      <c r="F828" s="646"/>
    </row>
    <row r="829" spans="1:6">
      <c r="A829" s="882" t="s">
        <v>8649</v>
      </c>
      <c r="B829" s="800"/>
      <c r="C829" s="800"/>
      <c r="D829" s="800"/>
      <c r="E829" s="532" t="str">
        <f>IF(calcCh3Prod1Slot3Active=1,finPNLCh3Prod1Slot3TotalRev,"")</f>
        <v/>
      </c>
      <c r="F829" s="520" t="s">
        <v>8797</v>
      </c>
    </row>
    <row r="830" spans="1:6">
      <c r="A830" s="882" t="s">
        <v>521</v>
      </c>
      <c r="B830" s="800"/>
      <c r="C830" s="800"/>
      <c r="D830" s="800"/>
      <c r="E830" s="532">
        <f>IF(calcCh3Prod1Slot3Active=1,finPNLCh3Prod1Slot3GPaL,0)</f>
        <v>0</v>
      </c>
      <c r="F830" s="520" t="s">
        <v>9581</v>
      </c>
    </row>
    <row r="831" spans="1:6">
      <c r="A831" s="882" t="s">
        <v>8650</v>
      </c>
      <c r="B831" s="800"/>
      <c r="C831" s="800"/>
      <c r="D831" s="800"/>
      <c r="E831" s="532" t="str">
        <f>IF(calcCh3Prod1Slot3Active=1,finCalcCh3Prod1Slot3VolSold,"")</f>
        <v/>
      </c>
      <c r="F831" s="520" t="s">
        <v>8798</v>
      </c>
    </row>
    <row r="832" spans="1:6">
      <c r="A832" s="882" t="s">
        <v>9063</v>
      </c>
      <c r="B832" s="800"/>
      <c r="C832" s="800"/>
      <c r="D832" s="800"/>
      <c r="E832" s="885" t="str">
        <f>IF(calcCh3Prod1Slot3Active=1,cbalCh3Prod1Slot3NetRev/cbalCh3Prod1Slot3SoldVol,"")</f>
        <v/>
      </c>
      <c r="F832" s="520" t="s">
        <v>9582</v>
      </c>
    </row>
    <row r="833" spans="1:6" s="800" customFormat="1">
      <c r="A833" s="882" t="s">
        <v>9064</v>
      </c>
      <c r="B833" s="646"/>
      <c r="C833" s="646"/>
      <c r="D833" s="646"/>
      <c r="E833" s="885" t="str">
        <f>IF(calcCh3Prod1Slot3Active=1,cbalCh3Prod1Slot3GPaL/cbalCh3Prod1Slot3SoldVol,"")</f>
        <v/>
      </c>
      <c r="F833" s="520" t="s">
        <v>9583</v>
      </c>
    </row>
    <row r="834" spans="1:6" s="800" customFormat="1">
      <c r="A834" s="882" t="s">
        <v>9068</v>
      </c>
      <c r="B834" s="646"/>
      <c r="C834" s="646"/>
      <c r="D834" s="646"/>
      <c r="E834" s="885" t="str">
        <f>IF(calcCh3Prod1Slot3Active=1,calcCh3Prod1Slot3CustPrice,"")</f>
        <v/>
      </c>
      <c r="F834" s="520" t="s">
        <v>9584</v>
      </c>
    </row>
    <row r="835" spans="1:6" s="800" customFormat="1">
      <c r="A835" s="882" t="s">
        <v>11554</v>
      </c>
      <c r="B835" s="646"/>
      <c r="C835" s="646"/>
      <c r="D835" s="646"/>
      <c r="E835" s="885" t="str">
        <f>IF(calcCh3Prod1Slot3Active=1,calcCh3Prod1Slot3Promo1CustPrice,"")</f>
        <v/>
      </c>
      <c r="F835" s="520" t="s">
        <v>12348</v>
      </c>
    </row>
    <row r="836" spans="1:6" s="646" customFormat="1">
      <c r="A836" s="882" t="s">
        <v>4410</v>
      </c>
      <c r="E836" s="885" t="str">
        <f>IF(calcCh3Prod1Slot3Active=1,calcCh3Prod1Slot3AvgSalePrice,"")</f>
        <v/>
      </c>
      <c r="F836" s="520" t="s">
        <v>9585</v>
      </c>
    </row>
    <row r="837" spans="1:6">
      <c r="A837" s="882" t="s">
        <v>3329</v>
      </c>
      <c r="B837" s="800"/>
      <c r="C837" s="800"/>
      <c r="D837" s="800"/>
      <c r="E837" s="532" t="str">
        <f>IF(calcCh3Prod1Slot3Active=1,calcCh3Prod1Slot3Pack,"")</f>
        <v/>
      </c>
      <c r="F837" s="520" t="s">
        <v>9586</v>
      </c>
    </row>
    <row r="838" spans="1:6">
      <c r="A838" s="882" t="s">
        <v>5912</v>
      </c>
      <c r="B838" s="800"/>
      <c r="C838" s="800"/>
      <c r="D838" s="800"/>
      <c r="E838" s="870" t="str">
        <f>IF(calcCh3Prod1Slot3Active=1,calcCh3Prod1Slot3Promo1PlanShare,"")</f>
        <v/>
      </c>
      <c r="F838" s="520" t="s">
        <v>12349</v>
      </c>
    </row>
    <row r="839" spans="1:6">
      <c r="A839" s="882" t="s">
        <v>11563</v>
      </c>
      <c r="B839" s="800"/>
      <c r="C839" s="800"/>
      <c r="D839" s="800"/>
      <c r="E839" s="961" t="str">
        <f>calcCh3Prod1Slot3Promo1ROI</f>
        <v/>
      </c>
      <c r="F839" s="520" t="s">
        <v>12350</v>
      </c>
    </row>
    <row r="840" spans="1:6">
      <c r="A840" s="882" t="s">
        <v>3674</v>
      </c>
      <c r="B840" s="800"/>
      <c r="C840" s="800"/>
      <c r="D840" s="800"/>
      <c r="E840" s="961" t="str">
        <f>IF(calcCh3Prod1Slot3Active=1,calcCh3Prod1Slot3WD,"")</f>
        <v/>
      </c>
      <c r="F840" s="520" t="s">
        <v>9587</v>
      </c>
    </row>
    <row r="841" spans="1:6">
      <c r="A841" s="882" t="s">
        <v>4413</v>
      </c>
      <c r="B841" s="800"/>
      <c r="C841" s="800"/>
      <c r="D841" s="800"/>
      <c r="E841" s="961" t="str">
        <f>calcCh3Prod1Slot3Promo1GPaLUplift</f>
        <v/>
      </c>
      <c r="F841" s="520" t="s">
        <v>12595</v>
      </c>
    </row>
    <row r="842" spans="1:6" s="800" customFormat="1">
      <c r="A842" s="882" t="s">
        <v>11388</v>
      </c>
      <c r="E842" s="961" t="str">
        <f>calcCh3Prod1Slot3Promo1VolUplift</f>
        <v/>
      </c>
      <c r="F842" s="520" t="s">
        <v>12715</v>
      </c>
    </row>
    <row r="843" spans="1:6">
      <c r="A843" s="882" t="s">
        <v>5195</v>
      </c>
      <c r="B843" s="800"/>
      <c r="C843" s="800"/>
      <c r="D843" s="800"/>
      <c r="E843" s="961" t="str">
        <f>calcCh3Prod1Slot3Promo1CustUplift</f>
        <v/>
      </c>
      <c r="F843" s="520" t="s">
        <v>12351</v>
      </c>
    </row>
    <row r="844" spans="1:6">
      <c r="A844" s="882" t="s">
        <v>157</v>
      </c>
      <c r="B844" s="800"/>
      <c r="C844" s="800"/>
      <c r="D844" s="800"/>
      <c r="E844" s="532" t="str">
        <f>IF(calcCh3Prod1Slot3Active=1,finPNLCh3Prod1Slot3TotalCOGs,"")</f>
        <v/>
      </c>
      <c r="F844" s="520" t="s">
        <v>10542</v>
      </c>
    </row>
    <row r="845" spans="1:6">
      <c r="A845" s="882" t="s">
        <v>10370</v>
      </c>
      <c r="B845" s="800"/>
      <c r="C845" s="800"/>
      <c r="D845" s="800"/>
      <c r="E845" s="885" t="str">
        <f>IF(decCh3Prod1Slot3Active=1,finPNLCh3Prod1Slot3TotalCOGs/cbalCh3Prod1Slot3SoldVol,"")</f>
        <v/>
      </c>
      <c r="F845" s="520" t="s">
        <v>10445</v>
      </c>
    </row>
    <row r="846" spans="1:6">
      <c r="A846" s="882" t="s">
        <v>5661</v>
      </c>
      <c r="B846" s="800"/>
      <c r="C846" s="800"/>
      <c r="D846" s="800"/>
      <c r="E846" s="800"/>
      <c r="F846" s="520"/>
    </row>
    <row r="847" spans="1:6">
      <c r="A847" s="277" t="s">
        <v>238</v>
      </c>
      <c r="B847" s="800"/>
      <c r="C847" s="800"/>
      <c r="D847" s="800"/>
      <c r="E847" s="800"/>
      <c r="F847" s="646"/>
    </row>
    <row r="848" spans="1:6">
      <c r="A848" s="277" t="s">
        <v>3859</v>
      </c>
      <c r="B848" s="800"/>
      <c r="C848" s="800"/>
      <c r="D848" s="800"/>
      <c r="E848" s="800"/>
      <c r="F848" s="646"/>
    </row>
    <row r="849" spans="1:6">
      <c r="A849" s="882" t="s">
        <v>8649</v>
      </c>
      <c r="B849" s="800"/>
      <c r="C849" s="800"/>
      <c r="D849" s="800"/>
      <c r="E849" s="532">
        <f>IF(calcCh3Prod2Slot1Active=1,finPNLCh3Prod2Slot1TotalRev,"")</f>
        <v>143492216.02599034</v>
      </c>
      <c r="F849" s="520" t="s">
        <v>8799</v>
      </c>
    </row>
    <row r="850" spans="1:6">
      <c r="A850" s="882" t="s">
        <v>521</v>
      </c>
      <c r="B850" s="800"/>
      <c r="C850" s="800"/>
      <c r="D850" s="800"/>
      <c r="E850" s="532">
        <f>IF(calcCh3Prod2Slot1Active=1,finPNLCh3Prod2Slot1GPaL,0)</f>
        <v>73543550.448964924</v>
      </c>
      <c r="F850" s="520" t="s">
        <v>9588</v>
      </c>
    </row>
    <row r="851" spans="1:6" s="800" customFormat="1">
      <c r="A851" s="882" t="s">
        <v>8650</v>
      </c>
      <c r="B851" s="646"/>
      <c r="C851" s="646"/>
      <c r="D851" s="646"/>
      <c r="E851" s="532">
        <f>IF(calcCh3Prod2Slot1Active=1,finCalcCh3Prod2Slot1VolSold,"")</f>
        <v>28973803</v>
      </c>
      <c r="F851" s="520" t="s">
        <v>8800</v>
      </c>
    </row>
    <row r="852" spans="1:6" s="800" customFormat="1">
      <c r="A852" s="882" t="s">
        <v>9063</v>
      </c>
      <c r="B852" s="646"/>
      <c r="C852" s="646"/>
      <c r="D852" s="646"/>
      <c r="E852" s="885">
        <f>IF(calcCh3Prod2Slot1Active=1,cbalCh3Prod2Slot1NetRev/cbalCh3Prod2Slot1SoldVol,"")</f>
        <v>4.9524812474907192</v>
      </c>
      <c r="F852" s="520" t="s">
        <v>9589</v>
      </c>
    </row>
    <row r="853" spans="1:6" s="800" customFormat="1">
      <c r="A853" s="882" t="s">
        <v>9064</v>
      </c>
      <c r="B853" s="646"/>
      <c r="C853" s="646"/>
      <c r="D853" s="646"/>
      <c r="E853" s="885">
        <f>IF(calcCh3Prod2Slot1Active=1,cbalCh3Prod2Slot1GPaL/cbalCh3Prod2Slot1SoldVol,"")</f>
        <v>2.5382774380347972</v>
      </c>
      <c r="F853" s="520" t="s">
        <v>9590</v>
      </c>
    </row>
    <row r="854" spans="1:6" s="646" customFormat="1">
      <c r="A854" s="882" t="s">
        <v>9068</v>
      </c>
      <c r="E854" s="885">
        <f>IF(calcCh3Prod2Slot1Active=1,calcCh3Prod2Slot1CustPrice,"")</f>
        <v>7.9</v>
      </c>
      <c r="F854" s="520" t="s">
        <v>9591</v>
      </c>
    </row>
    <row r="855" spans="1:6">
      <c r="A855" s="882" t="s">
        <v>11554</v>
      </c>
      <c r="B855" s="800"/>
      <c r="C855" s="800"/>
      <c r="D855" s="800"/>
      <c r="E855" s="885">
        <f>IF(calcCh3Prod2Slot1Active=1,calcCh3Prod2Slot1Promo1CustPrice,"")</f>
        <v>5.2929999999999993</v>
      </c>
      <c r="F855" s="520" t="s">
        <v>12352</v>
      </c>
    </row>
    <row r="856" spans="1:6">
      <c r="A856" s="882" t="s">
        <v>4410</v>
      </c>
      <c r="B856" s="800"/>
      <c r="C856" s="800"/>
      <c r="D856" s="800"/>
      <c r="E856" s="885">
        <f>IF(calcCh3Prod2Slot1Active=1,calcCh3Prod2Slot1AvgSalePrice,"")</f>
        <v>7.3786000000000005</v>
      </c>
      <c r="F856" s="520" t="s">
        <v>9592</v>
      </c>
    </row>
    <row r="857" spans="1:6">
      <c r="A857" s="882" t="s">
        <v>3329</v>
      </c>
      <c r="B857" s="800"/>
      <c r="C857" s="800"/>
      <c r="D857" s="800"/>
      <c r="E857" s="532" t="str">
        <f>IF(calcCh3Prod2Slot1Active=1,calcCh3Prod2Slot1Pack,"")</f>
        <v>33cl Can</v>
      </c>
      <c r="F857" s="520" t="s">
        <v>9593</v>
      </c>
    </row>
    <row r="858" spans="1:6">
      <c r="A858" s="882" t="s">
        <v>5912</v>
      </c>
      <c r="B858" s="800"/>
      <c r="C858" s="800"/>
      <c r="D858" s="800"/>
      <c r="E858" s="870">
        <f>IF(calcCh3Prod2Slot1Active=1,calcCh3Prod2Slot1Promo1PlanShare,"")</f>
        <v>0.2</v>
      </c>
      <c r="F858" s="520" t="s">
        <v>12353</v>
      </c>
    </row>
    <row r="859" spans="1:6">
      <c r="A859" s="882" t="s">
        <v>11563</v>
      </c>
      <c r="B859" s="800"/>
      <c r="C859" s="800"/>
      <c r="D859" s="800"/>
      <c r="E859" s="961">
        <f>calcCh3Prod2Slot1Promo1ROI</f>
        <v>10.188103053630233</v>
      </c>
      <c r="F859" s="520" t="s">
        <v>12354</v>
      </c>
    </row>
    <row r="860" spans="1:6">
      <c r="A860" s="882" t="s">
        <v>3674</v>
      </c>
      <c r="B860" s="646"/>
      <c r="C860" s="646"/>
      <c r="D860" s="646"/>
      <c r="E860" s="961">
        <f>IF(calcCh3Prod2Slot1Active=1,calcCh3Prod2Slot1WD,"")</f>
        <v>0.48857142857142849</v>
      </c>
      <c r="F860" s="520" t="s">
        <v>9594</v>
      </c>
    </row>
    <row r="861" spans="1:6">
      <c r="A861" s="882" t="s">
        <v>4413</v>
      </c>
      <c r="B861" s="646"/>
      <c r="C861" s="646"/>
      <c r="D861" s="646"/>
      <c r="E861" s="961">
        <f>calcCh3Prod2Slot1Promo1GPaLUplift</f>
        <v>1.4243955255943672</v>
      </c>
      <c r="F861" s="520" t="s">
        <v>12596</v>
      </c>
    </row>
    <row r="862" spans="1:6" s="800" customFormat="1">
      <c r="A862" s="882" t="s">
        <v>11388</v>
      </c>
      <c r="B862" s="646"/>
      <c r="C862" s="646"/>
      <c r="D862" s="646"/>
      <c r="E862" s="961">
        <f>calcCh3Prod2Slot1Promo1VolUplift</f>
        <v>14.624999999999998</v>
      </c>
      <c r="F862" s="520" t="s">
        <v>12716</v>
      </c>
    </row>
    <row r="863" spans="1:6">
      <c r="A863" s="882" t="s">
        <v>5195</v>
      </c>
      <c r="B863" s="646"/>
      <c r="C863" s="646"/>
      <c r="D863" s="646"/>
      <c r="E863" s="961">
        <f>calcCh3Prod2Slot1Promo1CustUplift</f>
        <v>9.5779713183759547</v>
      </c>
      <c r="F863" s="520" t="s">
        <v>12355</v>
      </c>
    </row>
    <row r="864" spans="1:6">
      <c r="A864" s="882" t="s">
        <v>157</v>
      </c>
      <c r="B864" s="646"/>
      <c r="C864" s="646"/>
      <c r="D864" s="646"/>
      <c r="E864" s="532">
        <f>IF(calcCh3Prod2Slot1Active=1,finPNLCh3Prod2Slot1TotalCOGs,"")</f>
        <v>61977514.890625425</v>
      </c>
      <c r="F864" s="520" t="s">
        <v>10543</v>
      </c>
    </row>
    <row r="865" spans="1:6">
      <c r="A865" s="882" t="s">
        <v>10370</v>
      </c>
      <c r="B865" s="646"/>
      <c r="C865" s="646"/>
      <c r="D865" s="646"/>
      <c r="E865" s="885">
        <f>IF(decCh3Prod2Slot1Active=1,finPNLCh3Prod2Slot1TotalCOGs/cbalCh3Prod2Slot1SoldVol,"")</f>
        <v>2.1390880199822377</v>
      </c>
      <c r="F865" s="520" t="s">
        <v>10446</v>
      </c>
    </row>
    <row r="866" spans="1:6">
      <c r="A866" s="277" t="s">
        <v>3858</v>
      </c>
      <c r="B866" s="646"/>
      <c r="C866" s="646"/>
      <c r="D866" s="646"/>
      <c r="E866" s="961"/>
      <c r="F866" s="646"/>
    </row>
    <row r="867" spans="1:6">
      <c r="A867" s="882" t="s">
        <v>8649</v>
      </c>
      <c r="B867" s="646"/>
      <c r="C867" s="646"/>
      <c r="D867" s="646"/>
      <c r="E867" s="532">
        <f>IF(calcCh3Prod2Slot2Active=1,finPNLCh3Prod2Slot2TotalRev,"")</f>
        <v>228664228.22944006</v>
      </c>
      <c r="F867" s="520" t="s">
        <v>8801</v>
      </c>
    </row>
    <row r="868" spans="1:6">
      <c r="A868" s="882" t="s">
        <v>521</v>
      </c>
      <c r="B868" s="646"/>
      <c r="C868" s="646"/>
      <c r="D868" s="646"/>
      <c r="E868" s="532">
        <f>IF(calcCh3Prod2Slot2Active=1,finPNLCh3Prod2Slot2GPaL,0)</f>
        <v>123090523.43048464</v>
      </c>
      <c r="F868" s="520" t="s">
        <v>9595</v>
      </c>
    </row>
    <row r="869" spans="1:6">
      <c r="A869" s="882" t="s">
        <v>8650</v>
      </c>
      <c r="B869" s="646"/>
      <c r="C869" s="646"/>
      <c r="D869" s="646"/>
      <c r="E869" s="532">
        <f>IF(calcCh3Prod2Slot2Active=1,finCalcCh3Prod2Slot2VolSold,"")</f>
        <v>43460704.5</v>
      </c>
      <c r="F869" s="520" t="s">
        <v>8802</v>
      </c>
    </row>
    <row r="870" spans="1:6" s="800" customFormat="1">
      <c r="A870" s="882" t="s">
        <v>9063</v>
      </c>
      <c r="B870" s="646"/>
      <c r="C870" s="646"/>
      <c r="D870" s="646"/>
      <c r="E870" s="885">
        <f>IF(calcCh3Prod2Slot2Active=1,cbalCh3Prod2Slot2NetRev/cbalCh3Prod2Slot2SoldVol,"")</f>
        <v>5.2614017849029588</v>
      </c>
      <c r="F870" s="520" t="s">
        <v>9596</v>
      </c>
    </row>
    <row r="871" spans="1:6" s="800" customFormat="1">
      <c r="A871" s="882" t="s">
        <v>9064</v>
      </c>
      <c r="B871" s="646"/>
      <c r="C871" s="646"/>
      <c r="D871" s="646"/>
      <c r="E871" s="885">
        <f>IF(calcCh3Prod2Slot2Active=1,cbalCh3Prod2Slot2GPaL/cbalCh3Prod2Slot2SoldVol,"")</f>
        <v>2.8322256817186346</v>
      </c>
      <c r="F871" s="520" t="s">
        <v>9597</v>
      </c>
    </row>
    <row r="872" spans="1:6" s="800" customFormat="1">
      <c r="A872" s="882" t="s">
        <v>9068</v>
      </c>
      <c r="B872" s="646"/>
      <c r="C872" s="646"/>
      <c r="D872" s="646"/>
      <c r="E872" s="885">
        <f>IF(calcCh3Prod2Slot2Active=1,calcCh3Prod2Slot2CustPrice,"")</f>
        <v>8</v>
      </c>
      <c r="F872" s="520" t="s">
        <v>9598</v>
      </c>
    </row>
    <row r="873" spans="1:6" s="646" customFormat="1">
      <c r="A873" s="882" t="s">
        <v>11554</v>
      </c>
      <c r="E873" s="885">
        <f>IF(calcCh3Prod2Slot2Active=1,calcCh3Prod2Slot2Promo1CustPrice,"")</f>
        <v>6.4</v>
      </c>
      <c r="F873" s="520" t="s">
        <v>12356</v>
      </c>
    </row>
    <row r="874" spans="1:6">
      <c r="A874" s="882" t="s">
        <v>4410</v>
      </c>
      <c r="B874" s="646"/>
      <c r="C874" s="646"/>
      <c r="D874" s="646"/>
      <c r="E874" s="885">
        <f>IF(calcCh3Prod2Slot2Active=1,calcCh3Prod2Slot2AvgSalePrice,"")</f>
        <v>7.6800000000000006</v>
      </c>
      <c r="F874" s="520" t="s">
        <v>9599</v>
      </c>
    </row>
    <row r="875" spans="1:6">
      <c r="A875" s="882" t="s">
        <v>3329</v>
      </c>
      <c r="B875" s="646"/>
      <c r="C875" s="646"/>
      <c r="D875" s="646"/>
      <c r="E875" s="532" t="str">
        <f>IF(calcCh3Prod2Slot2Active=1,calcCh3Prod2Slot2Pack,"")</f>
        <v>6 x 33cl Can</v>
      </c>
      <c r="F875" s="520" t="s">
        <v>9600</v>
      </c>
    </row>
    <row r="876" spans="1:6">
      <c r="A876" s="882" t="s">
        <v>5912</v>
      </c>
      <c r="B876" s="646"/>
      <c r="C876" s="646"/>
      <c r="D876" s="646"/>
      <c r="E876" s="870">
        <f>IF(calcCh3Prod2Slot2Active=1,calcCh3Prod2Slot2Promo1PlanShare,"")</f>
        <v>0.2</v>
      </c>
      <c r="F876" s="520" t="s">
        <v>12357</v>
      </c>
    </row>
    <row r="877" spans="1:6">
      <c r="A877" s="882" t="s">
        <v>11563</v>
      </c>
      <c r="B877" s="646"/>
      <c r="C877" s="646"/>
      <c r="D877" s="646"/>
      <c r="E877" s="961">
        <f>calcCh3Prod2Slot2Promo1ROI</f>
        <v>45.866428435453592</v>
      </c>
      <c r="F877" s="520" t="s">
        <v>12358</v>
      </c>
    </row>
    <row r="878" spans="1:6">
      <c r="A878" s="882" t="s">
        <v>3674</v>
      </c>
      <c r="B878" s="646"/>
      <c r="C878" s="646"/>
      <c r="D878" s="646"/>
      <c r="E878" s="961">
        <f>IF(calcCh3Prod2Slot2Active=1,calcCh3Prod2Slot2WD,"")</f>
        <v>0.68857142857142861</v>
      </c>
      <c r="F878" s="520" t="s">
        <v>9601</v>
      </c>
    </row>
    <row r="879" spans="1:6">
      <c r="A879" s="882" t="s">
        <v>4413</v>
      </c>
      <c r="B879" s="646"/>
      <c r="C879" s="646"/>
      <c r="D879" s="646"/>
      <c r="E879" s="961">
        <f>calcCh3Prod2Slot2Promo1GPaLUplift</f>
        <v>4.1604092367273093</v>
      </c>
      <c r="F879" s="520" t="s">
        <v>12597</v>
      </c>
    </row>
    <row r="880" spans="1:6" s="800" customFormat="1">
      <c r="A880" s="882" t="s">
        <v>11388</v>
      </c>
      <c r="B880" s="646"/>
      <c r="C880" s="646"/>
      <c r="D880" s="646"/>
      <c r="E880" s="961">
        <f>calcCh3Prod2Slot2Promo1VolUplift</f>
        <v>9.4166666666666661</v>
      </c>
      <c r="F880" s="520" t="s">
        <v>12717</v>
      </c>
    </row>
    <row r="881" spans="1:6">
      <c r="A881" s="882" t="s">
        <v>5195</v>
      </c>
      <c r="B881" s="646"/>
      <c r="C881" s="646"/>
      <c r="D881" s="646"/>
      <c r="E881" s="961">
        <f>calcCh3Prod2Slot2Promo1CustUplift</f>
        <v>7.405237367930841</v>
      </c>
      <c r="F881" s="520" t="s">
        <v>12359</v>
      </c>
    </row>
    <row r="882" spans="1:6">
      <c r="A882" s="882" t="s">
        <v>157</v>
      </c>
      <c r="B882" s="646"/>
      <c r="C882" s="646"/>
      <c r="D882" s="646"/>
      <c r="E882" s="532">
        <f>IF(calcCh3Prod2Slot2Active=1,finPNLCh3Prod2Slot2TotalCOGs,"")</f>
        <v>94341628.831755415</v>
      </c>
      <c r="F882" s="520" t="s">
        <v>10544</v>
      </c>
    </row>
    <row r="883" spans="1:6">
      <c r="A883" s="882" t="s">
        <v>10370</v>
      </c>
      <c r="B883" s="646"/>
      <c r="C883" s="646"/>
      <c r="D883" s="646"/>
      <c r="E883" s="885">
        <f>IF(decCh3Prod2Slot2Active=1,finPNLCh3Prod2Slot2TotalCOGs/cbalCh3Prod2Slot2SoldVol,"")</f>
        <v>2.1707339979211659</v>
      </c>
      <c r="F883" s="520" t="s">
        <v>10447</v>
      </c>
    </row>
    <row r="884" spans="1:6">
      <c r="A884" s="277" t="s">
        <v>3860</v>
      </c>
      <c r="B884" s="646"/>
      <c r="C884" s="646"/>
      <c r="D884" s="646"/>
      <c r="E884" s="800"/>
      <c r="F884" s="646"/>
    </row>
    <row r="885" spans="1:6">
      <c r="A885" s="882" t="s">
        <v>8649</v>
      </c>
      <c r="B885" s="802"/>
      <c r="C885" s="802"/>
      <c r="D885" s="802"/>
      <c r="E885" s="532" t="str">
        <f>IF(calcCh3Prod2Slot3Active=1,finPNLCh3Prod2Slot3TotalRev,"")</f>
        <v/>
      </c>
      <c r="F885" s="520" t="s">
        <v>8803</v>
      </c>
    </row>
    <row r="886" spans="1:6">
      <c r="A886" s="882" t="s">
        <v>521</v>
      </c>
      <c r="B886" s="800"/>
      <c r="C886" s="800"/>
      <c r="D886" s="800"/>
      <c r="E886" s="532">
        <f>IF(calcCh3Prod2Slot3Active=1,finPNLCh3Prod2Slot3GPaL,0)</f>
        <v>0</v>
      </c>
      <c r="F886" s="520" t="s">
        <v>9602</v>
      </c>
    </row>
    <row r="887" spans="1:6">
      <c r="A887" s="882" t="s">
        <v>8650</v>
      </c>
      <c r="B887" s="800"/>
      <c r="C887" s="800"/>
      <c r="D887" s="800"/>
      <c r="E887" s="532" t="str">
        <f>IF(calcCh3Prod2Slot3Active=1,finCalcCh3Prod2Slot3VolSold,"")</f>
        <v/>
      </c>
      <c r="F887" s="520" t="s">
        <v>8804</v>
      </c>
    </row>
    <row r="888" spans="1:6" s="800" customFormat="1">
      <c r="A888" s="882" t="s">
        <v>9063</v>
      </c>
      <c r="B888" s="646"/>
      <c r="C888" s="646"/>
      <c r="D888" s="646"/>
      <c r="E888" s="885" t="str">
        <f>IF(calcCh3Prod2Slot3Active=1,cbalCh3Prod2Slot3NetRev/cbalCh3Prod2Slot3SoldVol,"")</f>
        <v/>
      </c>
      <c r="F888" s="520" t="s">
        <v>9603</v>
      </c>
    </row>
    <row r="889" spans="1:6" s="800" customFormat="1">
      <c r="A889" s="882" t="s">
        <v>9064</v>
      </c>
      <c r="B889" s="646"/>
      <c r="C889" s="646"/>
      <c r="D889" s="646"/>
      <c r="E889" s="885" t="str">
        <f>IF(calcCh3Prod2Slot3Active=1,cbalCh3Prod2Slot3GPaL/cbalCh3Prod2Slot3SoldVol,"")</f>
        <v/>
      </c>
      <c r="F889" s="520" t="s">
        <v>9604</v>
      </c>
    </row>
    <row r="890" spans="1:6" s="800" customFormat="1">
      <c r="A890" s="882" t="s">
        <v>9068</v>
      </c>
      <c r="B890" s="646"/>
      <c r="C890" s="646"/>
      <c r="D890" s="646"/>
      <c r="E890" s="885" t="str">
        <f>IF(calcCh3Prod2Slot3Active=1,calcCh3Prod2Slot3CustPrice,"")</f>
        <v/>
      </c>
      <c r="F890" s="520" t="s">
        <v>9605</v>
      </c>
    </row>
    <row r="891" spans="1:6" s="646" customFormat="1">
      <c r="A891" s="882" t="s">
        <v>11554</v>
      </c>
      <c r="E891" s="885" t="str">
        <f>IF(calcCh3Prod2Slot3Active=1,calcCh3Prod2Slot3Promo1CustPrice,"")</f>
        <v/>
      </c>
      <c r="F891" s="520" t="s">
        <v>12360</v>
      </c>
    </row>
    <row r="892" spans="1:6">
      <c r="A892" s="882" t="s">
        <v>4410</v>
      </c>
      <c r="B892" s="800"/>
      <c r="C892" s="800"/>
      <c r="D892" s="800"/>
      <c r="E892" s="885" t="str">
        <f>IF(calcCh3Prod2Slot3Active=1,calcCh3Prod2Slot3AvgSalePrice,"")</f>
        <v/>
      </c>
      <c r="F892" s="520" t="s">
        <v>9606</v>
      </c>
    </row>
    <row r="893" spans="1:6">
      <c r="A893" s="882" t="s">
        <v>3329</v>
      </c>
      <c r="B893" s="800"/>
      <c r="C893" s="800"/>
      <c r="D893" s="800"/>
      <c r="E893" s="532" t="str">
        <f>IF(calcCh3Prod2Slot3Active=1,calcCh3Prod2Slot3Pack,"")</f>
        <v/>
      </c>
      <c r="F893" s="520" t="s">
        <v>9607</v>
      </c>
    </row>
    <row r="894" spans="1:6">
      <c r="A894" s="882" t="s">
        <v>5912</v>
      </c>
      <c r="B894" s="800"/>
      <c r="C894" s="800"/>
      <c r="D894" s="800"/>
      <c r="E894" s="870" t="str">
        <f>IF(calcCh3Prod2Slot3Active=1,calcCh3Prod2Slot3Promo1PlanShare,"")</f>
        <v/>
      </c>
      <c r="F894" s="520" t="s">
        <v>12361</v>
      </c>
    </row>
    <row r="895" spans="1:6">
      <c r="A895" s="882" t="s">
        <v>11563</v>
      </c>
      <c r="B895" s="800"/>
      <c r="C895" s="800"/>
      <c r="D895" s="800"/>
      <c r="E895" s="961" t="str">
        <f>calcCh3Prod2Slot3Promo1ROI</f>
        <v/>
      </c>
      <c r="F895" s="520" t="s">
        <v>12362</v>
      </c>
    </row>
    <row r="896" spans="1:6">
      <c r="A896" s="882" t="s">
        <v>3674</v>
      </c>
      <c r="B896" s="800"/>
      <c r="C896" s="800"/>
      <c r="D896" s="800"/>
      <c r="E896" s="961" t="str">
        <f>IF(calcCh3Prod2Slot3Active=1,calcCh3Prod2Slot3WD,"")</f>
        <v/>
      </c>
      <c r="F896" s="520" t="s">
        <v>9608</v>
      </c>
    </row>
    <row r="897" spans="1:6">
      <c r="A897" s="882" t="s">
        <v>4413</v>
      </c>
      <c r="B897" s="800"/>
      <c r="C897" s="800"/>
      <c r="D897" s="800"/>
      <c r="E897" s="961" t="str">
        <f>calcCh3Prod2Slot3Promo1GPaLUplift</f>
        <v/>
      </c>
      <c r="F897" s="520" t="s">
        <v>12598</v>
      </c>
    </row>
    <row r="898" spans="1:6" s="800" customFormat="1">
      <c r="A898" s="882" t="s">
        <v>11388</v>
      </c>
      <c r="E898" s="961" t="str">
        <f>calcCh3Prod2Slot3Promo1VolUplift</f>
        <v/>
      </c>
      <c r="F898" s="520" t="s">
        <v>12718</v>
      </c>
    </row>
    <row r="899" spans="1:6">
      <c r="A899" s="882" t="s">
        <v>5195</v>
      </c>
      <c r="B899" s="800"/>
      <c r="C899" s="800"/>
      <c r="D899" s="800"/>
      <c r="E899" s="961" t="str">
        <f>calcCh3Prod2Slot3Promo1CustUplift</f>
        <v/>
      </c>
      <c r="F899" s="520" t="s">
        <v>12363</v>
      </c>
    </row>
    <row r="900" spans="1:6">
      <c r="A900" s="882" t="s">
        <v>157</v>
      </c>
      <c r="B900" s="800"/>
      <c r="C900" s="800"/>
      <c r="D900" s="800"/>
      <c r="E900" s="532" t="str">
        <f>IF(calcCh3Prod2Slot3Active=1,finPNLCh3Prod2Slot3TotalCOGs,"")</f>
        <v/>
      </c>
      <c r="F900" s="520" t="s">
        <v>10545</v>
      </c>
    </row>
    <row r="901" spans="1:6">
      <c r="A901" s="882" t="s">
        <v>10370</v>
      </c>
      <c r="B901" s="800"/>
      <c r="C901" s="800"/>
      <c r="D901" s="800"/>
      <c r="E901" s="885" t="str">
        <f>IF(decCh3Prod2Slot3Active=1,finPNLCh3Prod2Slot3TotalCOGs/cbalCh3Prod2Slot3SoldVol,"")</f>
        <v/>
      </c>
      <c r="F901" s="520" t="s">
        <v>10448</v>
      </c>
    </row>
    <row r="902" spans="1:6">
      <c r="A902" s="882" t="s">
        <v>5661</v>
      </c>
      <c r="B902" s="800"/>
      <c r="C902" s="800"/>
      <c r="D902" s="800"/>
      <c r="E902" s="800"/>
      <c r="F902" s="520"/>
    </row>
    <row r="903" spans="1:6">
      <c r="A903" s="277" t="s">
        <v>239</v>
      </c>
      <c r="B903" s="646"/>
      <c r="C903" s="646"/>
      <c r="D903" s="646"/>
      <c r="E903" s="800"/>
      <c r="F903" s="646"/>
    </row>
    <row r="904" spans="1:6">
      <c r="A904" s="277" t="s">
        <v>3859</v>
      </c>
      <c r="B904" s="646"/>
      <c r="C904" s="646"/>
      <c r="D904" s="646"/>
      <c r="E904" s="800"/>
      <c r="F904" s="646"/>
    </row>
    <row r="905" spans="1:6">
      <c r="A905" s="882" t="s">
        <v>8649</v>
      </c>
      <c r="B905" s="646"/>
      <c r="C905" s="646"/>
      <c r="D905" s="646"/>
      <c r="E905" s="532">
        <f>IF(calcCh3Prod3Slot1Active=1,finPNLCh3Prod3Slot1TotalRev,"")</f>
        <v>305036939.97371566</v>
      </c>
      <c r="F905" s="520" t="s">
        <v>8805</v>
      </c>
    </row>
    <row r="906" spans="1:6" s="800" customFormat="1">
      <c r="A906" s="882" t="s">
        <v>521</v>
      </c>
      <c r="B906" s="646"/>
      <c r="C906" s="646"/>
      <c r="D906" s="646"/>
      <c r="E906" s="532">
        <f>IF(calcCh3Prod3Slot1Active=1,finPNLCh3Prod3Slot1GPaL,0)</f>
        <v>114224689.00662407</v>
      </c>
      <c r="F906" s="520" t="s">
        <v>9609</v>
      </c>
    </row>
    <row r="907" spans="1:6" s="800" customFormat="1">
      <c r="A907" s="882" t="s">
        <v>8650</v>
      </c>
      <c r="B907" s="646"/>
      <c r="C907" s="646"/>
      <c r="D907" s="646"/>
      <c r="E907" s="532">
        <f>IF(calcCh3Prod3Slot1Active=1,finCalcCh3Prod3Slot1VolSold,"")</f>
        <v>72434507.5</v>
      </c>
      <c r="F907" s="520" t="s">
        <v>8806</v>
      </c>
    </row>
    <row r="908" spans="1:6" s="800" customFormat="1">
      <c r="A908" s="882" t="s">
        <v>9063</v>
      </c>
      <c r="B908" s="646"/>
      <c r="C908" s="646"/>
      <c r="D908" s="646"/>
      <c r="E908" s="885">
        <f>IF(calcCh3Prod3Slot1Active=1,cbalCh3Prod3Slot1NetRev/cbalCh3Prod3Slot1SoldVol,"")</f>
        <v>4.2112102435944037</v>
      </c>
      <c r="F908" s="520" t="s">
        <v>9610</v>
      </c>
    </row>
    <row r="909" spans="1:6" s="646" customFormat="1">
      <c r="A909" s="882" t="s">
        <v>9064</v>
      </c>
      <c r="E909" s="885">
        <f>IF(calcCh3Prod3Slot1Active=1,cbalCh3Prod3Slot1GPaL/cbalCh3Prod3Slot1SoldVol,"")</f>
        <v>1.5769374701225665</v>
      </c>
      <c r="F909" s="520" t="s">
        <v>9611</v>
      </c>
    </row>
    <row r="910" spans="1:6">
      <c r="A910" s="882" t="s">
        <v>9068</v>
      </c>
      <c r="B910" s="646"/>
      <c r="C910" s="646"/>
      <c r="D910" s="646"/>
      <c r="E910" s="885">
        <f>IF(calcCh3Prod3Slot1Active=1,calcCh3Prod3Slot1CustPrice,"")</f>
        <v>7.6</v>
      </c>
      <c r="F910" s="520" t="s">
        <v>9612</v>
      </c>
    </row>
    <row r="911" spans="1:6">
      <c r="A911" s="882" t="s">
        <v>11554</v>
      </c>
      <c r="B911" s="646"/>
      <c r="C911" s="646"/>
      <c r="D911" s="646"/>
      <c r="E911" s="885">
        <f>IF(calcCh3Prod3Slot1Active=1,calcCh3Prod3Slot1Promo1CustPrice,"")</f>
        <v>5.0919999999999996</v>
      </c>
      <c r="F911" s="520" t="s">
        <v>12364</v>
      </c>
    </row>
    <row r="912" spans="1:6">
      <c r="A912" s="882" t="s">
        <v>4410</v>
      </c>
      <c r="B912" s="646"/>
      <c r="C912" s="646"/>
      <c r="D912" s="646"/>
      <c r="E912" s="885">
        <f>IF(calcCh3Prod3Slot1Active=1,calcCh3Prod3Slot1AvgSalePrice,"")</f>
        <v>6.7221999999999991</v>
      </c>
      <c r="F912" s="520" t="s">
        <v>9613</v>
      </c>
    </row>
    <row r="913" spans="1:6">
      <c r="A913" s="882" t="s">
        <v>3329</v>
      </c>
      <c r="B913" s="646"/>
      <c r="C913" s="646"/>
      <c r="D913" s="646"/>
      <c r="E913" s="532" t="str">
        <f>IF(calcCh3Prod3Slot1Active=1,calcCh3Prod3Slot1Pack,"")</f>
        <v>33cl Bottle</v>
      </c>
      <c r="F913" s="520" t="s">
        <v>9614</v>
      </c>
    </row>
    <row r="914" spans="1:6">
      <c r="A914" s="882" t="s">
        <v>5912</v>
      </c>
      <c r="B914" s="646"/>
      <c r="C914" s="646"/>
      <c r="D914" s="646"/>
      <c r="E914" s="870">
        <f>IF(calcCh3Prod3Slot1Active=1,calcCh3Prod3Slot1Promo1PlanShare,"")</f>
        <v>0.35</v>
      </c>
      <c r="F914" s="520" t="s">
        <v>12365</v>
      </c>
    </row>
    <row r="915" spans="1:6">
      <c r="A915" s="882" t="s">
        <v>11563</v>
      </c>
      <c r="B915" s="646"/>
      <c r="C915" s="646"/>
      <c r="D915" s="646"/>
      <c r="E915" s="961">
        <f>calcCh3Prod3Slot1Promo1ROI</f>
        <v>-13.632337305826271</v>
      </c>
      <c r="F915" s="520" t="s">
        <v>12366</v>
      </c>
    </row>
    <row r="916" spans="1:6">
      <c r="A916" s="882" t="s">
        <v>3674</v>
      </c>
      <c r="B916" s="646"/>
      <c r="C916" s="646"/>
      <c r="D916" s="646"/>
      <c r="E916" s="961">
        <f>IF(calcCh3Prod3Slot1Active=1,calcCh3Prod3Slot1WD,"")</f>
        <v>0.73142857142857154</v>
      </c>
      <c r="F916" s="520" t="s">
        <v>9615</v>
      </c>
    </row>
    <row r="917" spans="1:6">
      <c r="A917" s="882" t="s">
        <v>4413</v>
      </c>
      <c r="B917" s="646"/>
      <c r="C917" s="646"/>
      <c r="D917" s="646"/>
      <c r="E917" s="961">
        <f>calcCh3Prod3Slot1Promo1GPaLUplift</f>
        <v>-1.1507805158245148</v>
      </c>
      <c r="F917" s="520" t="s">
        <v>12599</v>
      </c>
    </row>
    <row r="918" spans="1:6" s="800" customFormat="1">
      <c r="A918" s="882" t="s">
        <v>11388</v>
      </c>
      <c r="B918" s="646"/>
      <c r="C918" s="646"/>
      <c r="D918" s="646"/>
      <c r="E918" s="961">
        <f>calcCh3Prod3Slot1Promo1VolUplift</f>
        <v>7.7948717948717938</v>
      </c>
      <c r="F918" s="520" t="s">
        <v>12719</v>
      </c>
    </row>
    <row r="919" spans="1:6">
      <c r="A919" s="882" t="s">
        <v>5195</v>
      </c>
      <c r="B919" s="646"/>
      <c r="C919" s="646"/>
      <c r="D919" s="646"/>
      <c r="E919" s="961">
        <f>calcCh3Prod3Slot1Promo1CustUplift</f>
        <v>4.9747268342434552</v>
      </c>
      <c r="F919" s="520" t="s">
        <v>12367</v>
      </c>
    </row>
    <row r="920" spans="1:6">
      <c r="A920" s="882" t="s">
        <v>157</v>
      </c>
      <c r="B920" s="646"/>
      <c r="C920" s="646"/>
      <c r="D920" s="646"/>
      <c r="E920" s="532">
        <f>IF(calcCh3Prod3Slot1Active=1,finPNLCh3Prod3Slot1TotalCOGs,"")</f>
        <v>169072749.09509158</v>
      </c>
      <c r="F920" s="520" t="s">
        <v>10546</v>
      </c>
    </row>
    <row r="921" spans="1:6">
      <c r="A921" s="882" t="s">
        <v>10370</v>
      </c>
      <c r="B921" s="646"/>
      <c r="C921" s="646"/>
      <c r="D921" s="646"/>
      <c r="E921" s="885">
        <f>IF(decCh3Prod3Slot1Active=1,finPNLCh3Prod3Slot1TotalCOGs/cbalCh3Prod3Slot1SoldVol,"")</f>
        <v>2.3341464576823632</v>
      </c>
      <c r="F921" s="520" t="s">
        <v>10449</v>
      </c>
    </row>
    <row r="922" spans="1:6">
      <c r="A922" s="277" t="s">
        <v>3858</v>
      </c>
      <c r="B922" s="646"/>
      <c r="C922" s="646"/>
      <c r="D922" s="646"/>
      <c r="E922" s="961"/>
      <c r="F922" s="646"/>
    </row>
    <row r="923" spans="1:6">
      <c r="A923" s="882" t="s">
        <v>8649</v>
      </c>
      <c r="B923" s="646"/>
      <c r="C923" s="646"/>
      <c r="D923" s="646"/>
      <c r="E923" s="532" t="str">
        <f>IF(calcCh3Prod3Slot2Active=1,finPNLCh3Prod3Slot2TotalRev,"")</f>
        <v/>
      </c>
      <c r="F923" s="520" t="s">
        <v>8807</v>
      </c>
    </row>
    <row r="924" spans="1:6">
      <c r="A924" s="882" t="s">
        <v>521</v>
      </c>
      <c r="B924" s="646"/>
      <c r="C924" s="646"/>
      <c r="D924" s="646"/>
      <c r="E924" s="532">
        <f>IF(calcCh3Prod3Slot2Active=1,finPNLCh3Prod3Slot2GPaL,0)</f>
        <v>0</v>
      </c>
      <c r="F924" s="520" t="s">
        <v>9616</v>
      </c>
    </row>
    <row r="925" spans="1:6" s="800" customFormat="1">
      <c r="A925" s="882" t="s">
        <v>8650</v>
      </c>
      <c r="B925" s="646"/>
      <c r="C925" s="646"/>
      <c r="D925" s="646"/>
      <c r="E925" s="532" t="str">
        <f>IF(calcCh3Prod3Slot2Active=1,finCalcCh3Prod3Slot2VolSold,"")</f>
        <v/>
      </c>
      <c r="F925" s="520" t="s">
        <v>8808</v>
      </c>
    </row>
    <row r="926" spans="1:6" s="800" customFormat="1">
      <c r="A926" s="882" t="s">
        <v>9063</v>
      </c>
      <c r="B926" s="646"/>
      <c r="C926" s="646"/>
      <c r="D926" s="646"/>
      <c r="E926" s="885" t="str">
        <f>IF(calcCh3Prod3Slot2Active=1,cbalCh3Prod3Slot2NetRev/cbalCh3Prod3Slot2SoldVol,"")</f>
        <v/>
      </c>
      <c r="F926" s="520" t="s">
        <v>9617</v>
      </c>
    </row>
    <row r="927" spans="1:6" s="800" customFormat="1">
      <c r="A927" s="882" t="s">
        <v>9064</v>
      </c>
      <c r="B927" s="646"/>
      <c r="C927" s="646"/>
      <c r="D927" s="646"/>
      <c r="E927" s="885" t="str">
        <f>IF(calcCh3Prod3Slot2Active=1,cbalCh3Prod3Slot2GPaL/cbalCh3Prod3Slot2SoldVol,"")</f>
        <v/>
      </c>
      <c r="F927" s="520" t="s">
        <v>9618</v>
      </c>
    </row>
    <row r="928" spans="1:6" s="646" customFormat="1">
      <c r="A928" s="882" t="s">
        <v>9068</v>
      </c>
      <c r="E928" s="885" t="str">
        <f>IF(calcCh3Prod3Slot2Active=1,calcCh3Prod3Slot2CustPrice,"")</f>
        <v/>
      </c>
      <c r="F928" s="520" t="s">
        <v>9619</v>
      </c>
    </row>
    <row r="929" spans="1:6">
      <c r="A929" s="882" t="s">
        <v>11554</v>
      </c>
      <c r="B929" s="646"/>
      <c r="C929" s="646"/>
      <c r="D929" s="646"/>
      <c r="E929" s="885" t="str">
        <f>IF(calcCh3Prod3Slot2Active=1,calcCh3Prod3Slot2Promo1CustPrice,"")</f>
        <v/>
      </c>
      <c r="F929" s="520" t="s">
        <v>12368</v>
      </c>
    </row>
    <row r="930" spans="1:6">
      <c r="A930" s="882" t="s">
        <v>4410</v>
      </c>
      <c r="B930" s="646"/>
      <c r="C930" s="646"/>
      <c r="D930" s="646"/>
      <c r="E930" s="885" t="str">
        <f>IF(calcCh3Prod3Slot2Active=1,calcCh3Prod3Slot2AvgSalePrice,"")</f>
        <v/>
      </c>
      <c r="F930" s="520" t="s">
        <v>9620</v>
      </c>
    </row>
    <row r="931" spans="1:6">
      <c r="A931" s="882" t="s">
        <v>3329</v>
      </c>
      <c r="B931" s="646"/>
      <c r="C931" s="646"/>
      <c r="D931" s="646"/>
      <c r="E931" s="532" t="str">
        <f>IF(calcCh3Prod3Slot2Active=1,calcCh3Prod3Slot2Pack,"")</f>
        <v/>
      </c>
      <c r="F931" s="520" t="s">
        <v>9621</v>
      </c>
    </row>
    <row r="932" spans="1:6">
      <c r="A932" s="882" t="s">
        <v>5912</v>
      </c>
      <c r="B932" s="646"/>
      <c r="C932" s="646"/>
      <c r="D932" s="646"/>
      <c r="E932" s="870" t="str">
        <f>IF(calcCh3Prod3Slot2Active=1,calcCh3Prod3Slot2Promo1PlanShare,"")</f>
        <v/>
      </c>
      <c r="F932" s="520" t="s">
        <v>12369</v>
      </c>
    </row>
    <row r="933" spans="1:6">
      <c r="A933" s="882" t="s">
        <v>11563</v>
      </c>
      <c r="B933" s="646"/>
      <c r="C933" s="646"/>
      <c r="D933" s="646"/>
      <c r="E933" s="961" t="str">
        <f>calcCh3Prod3Slot2Promo1ROI</f>
        <v/>
      </c>
      <c r="F933" s="520" t="s">
        <v>12370</v>
      </c>
    </row>
    <row r="934" spans="1:6">
      <c r="A934" s="882" t="s">
        <v>3674</v>
      </c>
      <c r="B934" s="646"/>
      <c r="C934" s="646"/>
      <c r="D934" s="646"/>
      <c r="E934" s="961" t="str">
        <f>IF(calcCh3Prod3Slot2Active=1,calcCh3Prod3Slot2WD,"")</f>
        <v/>
      </c>
      <c r="F934" s="520" t="s">
        <v>9622</v>
      </c>
    </row>
    <row r="935" spans="1:6">
      <c r="A935" s="882" t="s">
        <v>4413</v>
      </c>
      <c r="B935" s="646"/>
      <c r="C935" s="646"/>
      <c r="D935" s="646"/>
      <c r="E935" s="961" t="str">
        <f>calcCh3Prod3Slot2Promo1GPaLUplift</f>
        <v/>
      </c>
      <c r="F935" s="520" t="s">
        <v>12600</v>
      </c>
    </row>
    <row r="936" spans="1:6" s="800" customFormat="1">
      <c r="A936" s="882" t="s">
        <v>11388</v>
      </c>
      <c r="B936" s="646"/>
      <c r="C936" s="646"/>
      <c r="D936" s="646"/>
      <c r="E936" s="961" t="str">
        <f>calcCh3Prod3Slot2Promo1VolUplift</f>
        <v/>
      </c>
      <c r="F936" s="520" t="s">
        <v>12720</v>
      </c>
    </row>
    <row r="937" spans="1:6">
      <c r="A937" s="882" t="s">
        <v>5195</v>
      </c>
      <c r="B937" s="646"/>
      <c r="C937" s="646"/>
      <c r="D937" s="646"/>
      <c r="E937" s="961" t="str">
        <f>calcCh3Prod3Slot2Promo1CustUplift</f>
        <v/>
      </c>
      <c r="F937" s="520" t="s">
        <v>12371</v>
      </c>
    </row>
    <row r="938" spans="1:6">
      <c r="A938" s="882" t="s">
        <v>157</v>
      </c>
      <c r="B938" s="646"/>
      <c r="C938" s="646"/>
      <c r="D938" s="646"/>
      <c r="E938" s="532" t="str">
        <f>IF(calcCh3Prod3Slot2Active=1,finPNLCh3Prod3Slot2TotalCOGs,"")</f>
        <v/>
      </c>
      <c r="F938" s="520" t="s">
        <v>10547</v>
      </c>
    </row>
    <row r="939" spans="1:6">
      <c r="A939" s="882" t="s">
        <v>10370</v>
      </c>
      <c r="B939" s="646"/>
      <c r="C939" s="646"/>
      <c r="D939" s="646"/>
      <c r="E939" s="885" t="str">
        <f>IF(decCh3Prod3Slot2Active=1,finPNLCh3Prod3Slot2TotalCOGs/cbalCh3Prod3Slot2SoldVol,"")</f>
        <v/>
      </c>
      <c r="F939" s="520" t="s">
        <v>10450</v>
      </c>
    </row>
    <row r="940" spans="1:6">
      <c r="A940" s="277" t="s">
        <v>3860</v>
      </c>
      <c r="B940" s="646"/>
      <c r="C940" s="646"/>
      <c r="D940" s="646"/>
      <c r="E940" s="800"/>
      <c r="F940" s="646"/>
    </row>
    <row r="941" spans="1:6">
      <c r="A941" s="882" t="s">
        <v>8649</v>
      </c>
      <c r="B941" s="646"/>
      <c r="C941" s="646"/>
      <c r="D941" s="646"/>
      <c r="E941" s="532" t="str">
        <f>IF(calcCh3Prod3Slot3Active=1,finPNLCh3Prod3Slot3TotalRev,"")</f>
        <v/>
      </c>
      <c r="F941" s="520" t="s">
        <v>8809</v>
      </c>
    </row>
    <row r="942" spans="1:6">
      <c r="A942" s="882" t="s">
        <v>521</v>
      </c>
      <c r="B942" s="646"/>
      <c r="C942" s="646"/>
      <c r="D942" s="646"/>
      <c r="E942" s="532">
        <f>IF(calcCh3Prod3Slot3Active=1,finPNLCh3Prod3Slot3GPaL,0)</f>
        <v>0</v>
      </c>
      <c r="F942" s="520" t="s">
        <v>9623</v>
      </c>
    </row>
    <row r="943" spans="1:6" s="800" customFormat="1">
      <c r="A943" s="882" t="s">
        <v>8650</v>
      </c>
      <c r="B943" s="646"/>
      <c r="C943" s="646"/>
      <c r="D943" s="646"/>
      <c r="E943" s="532" t="str">
        <f>IF(calcCh3Prod3Slot3Active=1,finCalcCh3Prod3Slot3VolSold,"")</f>
        <v/>
      </c>
      <c r="F943" s="520" t="s">
        <v>8810</v>
      </c>
    </row>
    <row r="944" spans="1:6" s="800" customFormat="1">
      <c r="A944" s="882" t="s">
        <v>9063</v>
      </c>
      <c r="B944" s="646"/>
      <c r="C944" s="646"/>
      <c r="D944" s="646"/>
      <c r="E944" s="885" t="str">
        <f>IF(calcCh3Prod3Slot3Active=1,cbalCh3Prod3Slot3NetRev/cbalCh3Prod3Slot3SoldVol,"")</f>
        <v/>
      </c>
      <c r="F944" s="520" t="s">
        <v>9624</v>
      </c>
    </row>
    <row r="945" spans="1:6" s="800" customFormat="1">
      <c r="A945" s="882" t="s">
        <v>9064</v>
      </c>
      <c r="B945" s="646"/>
      <c r="C945" s="646"/>
      <c r="D945" s="646"/>
      <c r="E945" s="885" t="str">
        <f>IF(calcCh3Prod3Slot3Active=1,cbalCh3Prod3Slot3GPaL/cbalCh3Prod3Slot3SoldVol,"")</f>
        <v/>
      </c>
      <c r="F945" s="520" t="s">
        <v>9625</v>
      </c>
    </row>
    <row r="946" spans="1:6" s="646" customFormat="1">
      <c r="A946" s="882" t="s">
        <v>9068</v>
      </c>
      <c r="E946" s="885" t="str">
        <f>IF(calcCh3Prod3Slot3Active=1,calcCh3Prod3Slot3CustPrice,"")</f>
        <v/>
      </c>
      <c r="F946" s="520" t="s">
        <v>9626</v>
      </c>
    </row>
    <row r="947" spans="1:6">
      <c r="A947" s="882" t="s">
        <v>11554</v>
      </c>
      <c r="B947" s="646"/>
      <c r="C947" s="646"/>
      <c r="D947" s="646"/>
      <c r="E947" s="885" t="str">
        <f>IF(calcCh3Prod3Slot3Active=1,calcCh3Prod3Slot3Promo1CustPrice,"")</f>
        <v/>
      </c>
      <c r="F947" s="520" t="s">
        <v>12372</v>
      </c>
    </row>
    <row r="948" spans="1:6">
      <c r="A948" s="882" t="s">
        <v>4410</v>
      </c>
      <c r="B948" s="646"/>
      <c r="C948" s="646"/>
      <c r="D948" s="646"/>
      <c r="E948" s="885" t="str">
        <f>IF(calcCh3Prod3Slot3Active=1,calcCh3Prod3Slot3AvgSalePrice,"")</f>
        <v/>
      </c>
      <c r="F948" s="520" t="s">
        <v>9627</v>
      </c>
    </row>
    <row r="949" spans="1:6">
      <c r="A949" s="882" t="s">
        <v>3329</v>
      </c>
      <c r="B949" s="646"/>
      <c r="C949" s="646"/>
      <c r="D949" s="646"/>
      <c r="E949" s="532" t="str">
        <f>IF(calcCh3Prod3Slot3Active=1,calcCh3Prod3Slot3Pack,"")</f>
        <v/>
      </c>
      <c r="F949" s="520" t="s">
        <v>9628</v>
      </c>
    </row>
    <row r="950" spans="1:6">
      <c r="A950" s="882" t="s">
        <v>5912</v>
      </c>
      <c r="B950" s="646"/>
      <c r="C950" s="646"/>
      <c r="D950" s="646"/>
      <c r="E950" s="870" t="str">
        <f>IF(calcCh3Prod3Slot3Active=1,calcCh3Prod3Slot3Promo1PlanShare,"")</f>
        <v/>
      </c>
      <c r="F950" s="520" t="s">
        <v>12373</v>
      </c>
    </row>
    <row r="951" spans="1:6">
      <c r="A951" s="882" t="s">
        <v>11563</v>
      </c>
      <c r="B951" s="646"/>
      <c r="C951" s="646"/>
      <c r="D951" s="646"/>
      <c r="E951" s="961" t="str">
        <f>calcCh3Prod3Slot3Promo1ROI</f>
        <v/>
      </c>
      <c r="F951" s="520" t="s">
        <v>12374</v>
      </c>
    </row>
    <row r="952" spans="1:6">
      <c r="A952" s="882" t="s">
        <v>3674</v>
      </c>
      <c r="B952" s="646"/>
      <c r="C952" s="646"/>
      <c r="D952" s="646"/>
      <c r="E952" s="961" t="str">
        <f>IF(calcCh3Prod3Slot3Active=1,calcCh3Prod3Slot3WD,"")</f>
        <v/>
      </c>
      <c r="F952" s="520" t="s">
        <v>9629</v>
      </c>
    </row>
    <row r="953" spans="1:6">
      <c r="A953" s="882" t="s">
        <v>4413</v>
      </c>
      <c r="B953" s="646"/>
      <c r="C953" s="646"/>
      <c r="D953" s="646"/>
      <c r="E953" s="961" t="str">
        <f>calcCh3Prod3Slot3Promo1GPaLUplift</f>
        <v/>
      </c>
      <c r="F953" s="520" t="s">
        <v>12601</v>
      </c>
    </row>
    <row r="954" spans="1:6" s="800" customFormat="1">
      <c r="A954" s="882" t="s">
        <v>11388</v>
      </c>
      <c r="B954" s="646"/>
      <c r="C954" s="646"/>
      <c r="D954" s="646"/>
      <c r="E954" s="961" t="str">
        <f>calcCh3Prod3Slot3Promo1VolUplift</f>
        <v/>
      </c>
      <c r="F954" s="520" t="s">
        <v>12721</v>
      </c>
    </row>
    <row r="955" spans="1:6">
      <c r="A955" s="882" t="s">
        <v>5195</v>
      </c>
      <c r="B955" s="646"/>
      <c r="C955" s="646"/>
      <c r="D955" s="646"/>
      <c r="E955" s="961" t="str">
        <f>calcCh3Prod3Slot3Promo1CustUplift</f>
        <v/>
      </c>
      <c r="F955" s="520" t="s">
        <v>12375</v>
      </c>
    </row>
    <row r="956" spans="1:6">
      <c r="A956" s="882" t="s">
        <v>157</v>
      </c>
      <c r="B956" s="646"/>
      <c r="C956" s="646"/>
      <c r="D956" s="646"/>
      <c r="E956" s="532" t="str">
        <f>IF(calcCh3Prod3Slot3Active=1,finPNLCh3Prod3Slot3TotalCOGs,"")</f>
        <v/>
      </c>
      <c r="F956" s="520" t="s">
        <v>10548</v>
      </c>
    </row>
    <row r="957" spans="1:6">
      <c r="A957" s="882" t="s">
        <v>10370</v>
      </c>
      <c r="B957" s="646"/>
      <c r="C957" s="646"/>
      <c r="D957" s="646"/>
      <c r="E957" s="885" t="str">
        <f>IF(decCh3Prod3Slot3Active=1,finPNLCh3Prod3Slot3TotalCOGs/cbalCh3Prod3Slot3SoldVol,"")</f>
        <v/>
      </c>
      <c r="F957" s="520" t="s">
        <v>10451</v>
      </c>
    </row>
    <row r="958" spans="1:6">
      <c r="A958" s="882" t="s">
        <v>5661</v>
      </c>
      <c r="B958" s="646"/>
      <c r="C958" s="646"/>
      <c r="D958" s="646"/>
      <c r="E958" s="800"/>
      <c r="F958" s="520"/>
    </row>
    <row r="959" spans="1:6">
      <c r="A959" s="277" t="s">
        <v>240</v>
      </c>
      <c r="B959" s="646"/>
      <c r="C959" s="646"/>
      <c r="D959" s="646"/>
      <c r="E959" s="800"/>
      <c r="F959" s="646"/>
    </row>
    <row r="960" spans="1:6">
      <c r="A960" s="277" t="s">
        <v>3859</v>
      </c>
      <c r="B960" s="646"/>
      <c r="C960" s="646"/>
      <c r="D960" s="646"/>
      <c r="E960" s="800"/>
      <c r="F960" s="646"/>
    </row>
    <row r="961" spans="1:6" s="800" customFormat="1">
      <c r="A961" s="882" t="s">
        <v>8649</v>
      </c>
      <c r="B961" s="646"/>
      <c r="C961" s="646"/>
      <c r="D961" s="646"/>
      <c r="E961" s="532" t="str">
        <f>IF(calcCh3Prod4Slot1Active=1,finPNLCh3Prod4Slot1TotalRev,"")</f>
        <v/>
      </c>
      <c r="F961" s="520" t="s">
        <v>8811</v>
      </c>
    </row>
    <row r="962" spans="1:6" s="800" customFormat="1">
      <c r="A962" s="882" t="s">
        <v>521</v>
      </c>
      <c r="B962" s="646"/>
      <c r="C962" s="646"/>
      <c r="D962" s="646"/>
      <c r="E962" s="532">
        <f>IF(calcCh3Prod4Slot1Active=1,finPNLCh3Prod4Slot1GPaL,0)</f>
        <v>0</v>
      </c>
      <c r="F962" s="520" t="s">
        <v>9630</v>
      </c>
    </row>
    <row r="963" spans="1:6" s="800" customFormat="1">
      <c r="A963" s="882" t="s">
        <v>8650</v>
      </c>
      <c r="B963" s="646"/>
      <c r="C963" s="646"/>
      <c r="D963" s="646"/>
      <c r="E963" s="532" t="str">
        <f>IF(calcCh3Prod4Slot1Active=1,finCalcCh3Prod4Slot1VolSold,"")</f>
        <v/>
      </c>
      <c r="F963" s="520" t="s">
        <v>8812</v>
      </c>
    </row>
    <row r="964" spans="1:6" s="646" customFormat="1">
      <c r="A964" s="882" t="s">
        <v>9063</v>
      </c>
      <c r="E964" s="885" t="str">
        <f>IF(AND(calcCh3Prod4Slot1Active=1,calcCh3Prod4Slot1VolForecastSlot&lt;&gt;0),cbalCh3Prod4Slot1NetRev/cbalCh3Prod4Slot1SoldVol,"")</f>
        <v/>
      </c>
      <c r="F964" s="520" t="s">
        <v>9631</v>
      </c>
    </row>
    <row r="965" spans="1:6" s="800" customFormat="1">
      <c r="A965" s="882" t="s">
        <v>9064</v>
      </c>
      <c r="B965" s="646"/>
      <c r="C965" s="646"/>
      <c r="D965" s="646"/>
      <c r="E965" s="885" t="str">
        <f>IF(AND(calcCh3Prod4Slot1Active=1,calcCh3Prod4Slot1VolForecastSlot&lt;&gt;0),cbalCh3Prod4Slot1GPaL/cbalCh3Prod4Slot1SoldVol,"")</f>
        <v/>
      </c>
      <c r="F965" s="520" t="s">
        <v>9632</v>
      </c>
    </row>
    <row r="966" spans="1:6">
      <c r="A966" s="882" t="s">
        <v>9068</v>
      </c>
      <c r="B966" s="646"/>
      <c r="C966" s="646"/>
      <c r="D966" s="646"/>
      <c r="E966" s="885" t="str">
        <f>IF(calcCh3Prod4Slot1Active=1,calcCh3Prod4Slot1CustPrice,"")</f>
        <v/>
      </c>
      <c r="F966" s="520" t="s">
        <v>9633</v>
      </c>
    </row>
    <row r="967" spans="1:6">
      <c r="A967" s="882" t="s">
        <v>11554</v>
      </c>
      <c r="B967" s="646"/>
      <c r="C967" s="646"/>
      <c r="D967" s="646"/>
      <c r="E967" s="885" t="str">
        <f>IF(calcCh3Prod4Slot1Active=1,calcCh3Prod4Slot1Promo1CustPrice,"")</f>
        <v/>
      </c>
      <c r="F967" s="520" t="s">
        <v>12376</v>
      </c>
    </row>
    <row r="968" spans="1:6">
      <c r="A968" s="882" t="s">
        <v>4410</v>
      </c>
      <c r="B968" s="646"/>
      <c r="C968" s="646"/>
      <c r="D968" s="646"/>
      <c r="E968" s="885" t="str">
        <f>IF(calcCh3Prod4Slot1Active=1,calcCh3Prod4Slot1AvgSalePrice,"")</f>
        <v/>
      </c>
      <c r="F968" s="520" t="s">
        <v>9634</v>
      </c>
    </row>
    <row r="969" spans="1:6">
      <c r="A969" s="882" t="s">
        <v>3329</v>
      </c>
      <c r="B969" s="646"/>
      <c r="C969" s="646"/>
      <c r="D969" s="646"/>
      <c r="E969" s="532" t="str">
        <f>IF(calcCh3Prod4Slot1Active=1,calcCh3Prod4Slot1Pack,"")</f>
        <v/>
      </c>
      <c r="F969" s="520" t="s">
        <v>9635</v>
      </c>
    </row>
    <row r="970" spans="1:6">
      <c r="A970" s="882" t="s">
        <v>5912</v>
      </c>
      <c r="B970" s="646"/>
      <c r="C970" s="646"/>
      <c r="D970" s="646"/>
      <c r="E970" s="870" t="str">
        <f>IF(calcCh3Prod4Slot1Active=1,calcCh3Prod4Slot1Promo1PlanShare,"")</f>
        <v/>
      </c>
      <c r="F970" s="520" t="s">
        <v>12377</v>
      </c>
    </row>
    <row r="971" spans="1:6">
      <c r="A971" s="882" t="s">
        <v>11563</v>
      </c>
      <c r="B971" s="646"/>
      <c r="C971" s="646"/>
      <c r="D971" s="646"/>
      <c r="E971" s="961" t="str">
        <f>calcCh3Prod4Slot1Promo1ROI</f>
        <v/>
      </c>
      <c r="F971" s="520" t="s">
        <v>12378</v>
      </c>
    </row>
    <row r="972" spans="1:6">
      <c r="A972" s="882" t="s">
        <v>3674</v>
      </c>
      <c r="B972" s="646"/>
      <c r="C972" s="646"/>
      <c r="D972" s="646"/>
      <c r="E972" s="961" t="str">
        <f>IF(calcCh3Prod4Slot1Active=1,calcCh3Prod4Slot1WD,"")</f>
        <v/>
      </c>
      <c r="F972" s="520" t="s">
        <v>9636</v>
      </c>
    </row>
    <row r="973" spans="1:6">
      <c r="A973" s="882" t="s">
        <v>4413</v>
      </c>
      <c r="B973" s="646"/>
      <c r="C973" s="646"/>
      <c r="D973" s="646"/>
      <c r="E973" s="961" t="str">
        <f>calcCh3Prod4Slot1Promo1GPaLUplift</f>
        <v/>
      </c>
      <c r="F973" s="520" t="s">
        <v>12602</v>
      </c>
    </row>
    <row r="974" spans="1:6" s="800" customFormat="1">
      <c r="A974" s="882" t="s">
        <v>11388</v>
      </c>
      <c r="B974" s="646"/>
      <c r="C974" s="646"/>
      <c r="D974" s="646"/>
      <c r="E974" s="961" t="str">
        <f>calcCh3Prod4Slot1Promo1VolUplift</f>
        <v/>
      </c>
      <c r="F974" s="520" t="s">
        <v>12722</v>
      </c>
    </row>
    <row r="975" spans="1:6">
      <c r="A975" s="882" t="s">
        <v>5195</v>
      </c>
      <c r="B975" s="646"/>
      <c r="C975" s="646"/>
      <c r="D975" s="646"/>
      <c r="E975" s="961" t="str">
        <f>calcCh3Prod4Slot1Promo1CustUplift</f>
        <v/>
      </c>
      <c r="F975" s="520" t="s">
        <v>12379</v>
      </c>
    </row>
    <row r="976" spans="1:6">
      <c r="A976" s="882" t="s">
        <v>157</v>
      </c>
      <c r="B976" s="646"/>
      <c r="C976" s="646"/>
      <c r="D976" s="646"/>
      <c r="E976" s="532" t="str">
        <f>IF(calcCh3Prod4Slot1Active=1,finPNLCh3Prod4Slot1TotalCOGs,"")</f>
        <v/>
      </c>
      <c r="F976" s="520" t="s">
        <v>10549</v>
      </c>
    </row>
    <row r="977" spans="1:6">
      <c r="A977" s="882" t="s">
        <v>10370</v>
      </c>
      <c r="B977" s="646"/>
      <c r="C977" s="646"/>
      <c r="D977" s="646"/>
      <c r="E977" s="885" t="str">
        <f>IF(AND(calcCh3Prod4Slot1Active=1,calcCh3Prod4Slot1VolForecastSlot&lt;&gt;0),finPNLCh3Prod4Slot1TotalCOGs/cbalCh3Prod4Slot1SoldVol,"")</f>
        <v/>
      </c>
      <c r="F977" s="520" t="s">
        <v>10452</v>
      </c>
    </row>
    <row r="978" spans="1:6">
      <c r="A978" s="277" t="s">
        <v>3858</v>
      </c>
      <c r="B978" s="646"/>
      <c r="C978" s="646"/>
      <c r="D978" s="646"/>
      <c r="E978" s="961"/>
      <c r="F978" s="646"/>
    </row>
    <row r="979" spans="1:6">
      <c r="A979" s="882" t="s">
        <v>8649</v>
      </c>
      <c r="B979" s="646"/>
      <c r="C979" s="646"/>
      <c r="D979" s="646"/>
      <c r="E979" s="532" t="str">
        <f>IF(calcCh3Prod4Slot2Active=1,finPNLCh3Prod4Slot2TotalRev,"")</f>
        <v/>
      </c>
      <c r="F979" s="520" t="s">
        <v>8813</v>
      </c>
    </row>
    <row r="980" spans="1:6">
      <c r="A980" s="882" t="s">
        <v>521</v>
      </c>
      <c r="B980" s="646"/>
      <c r="C980" s="646"/>
      <c r="D980" s="646"/>
      <c r="E980" s="532">
        <f>IF(calcCh3Prod4Slot2Active=1,finPNLCh3Prod4Slot2GPaL,0)</f>
        <v>0</v>
      </c>
      <c r="F980" s="520" t="s">
        <v>9637</v>
      </c>
    </row>
    <row r="981" spans="1:6" s="800" customFormat="1">
      <c r="A981" s="882" t="s">
        <v>8650</v>
      </c>
      <c r="B981" s="646"/>
      <c r="C981" s="646"/>
      <c r="D981" s="646"/>
      <c r="E981" s="532" t="str">
        <f>IF(calcCh3Prod4Slot2Active=1,finCalcCh3Prod4Slot2VolSold,"")</f>
        <v/>
      </c>
      <c r="F981" s="520" t="s">
        <v>8814</v>
      </c>
    </row>
    <row r="982" spans="1:6" s="800" customFormat="1">
      <c r="A982" s="882" t="s">
        <v>9063</v>
      </c>
      <c r="B982" s="646"/>
      <c r="C982" s="646"/>
      <c r="D982" s="646"/>
      <c r="E982" s="885" t="str">
        <f>IF(AND(calcCh3Prod4Slot2Active=1,calcCh3Prod4Slot2VolForecastSlot&lt;&gt;0),cbalCh3Prod4Slot2NetRev/cbalCh3Prod4Slot2SoldVol,"")</f>
        <v/>
      </c>
      <c r="F982" s="520" t="s">
        <v>9638</v>
      </c>
    </row>
    <row r="983" spans="1:6" s="800" customFormat="1">
      <c r="A983" s="882" t="s">
        <v>9064</v>
      </c>
      <c r="B983" s="646"/>
      <c r="C983" s="646"/>
      <c r="D983" s="646"/>
      <c r="E983" s="885" t="str">
        <f>IF(AND(calcCh3Prod4Slot2Active=1,calcCh3Prod4Slot2VolForecastSlot&lt;&gt;0),cbalCh3Prod4Slot2GPaL/cbalCh3Prod4Slot2SoldVol,"")</f>
        <v/>
      </c>
      <c r="F983" s="520" t="s">
        <v>9639</v>
      </c>
    </row>
    <row r="984" spans="1:6" s="646" customFormat="1">
      <c r="A984" s="882" t="s">
        <v>9068</v>
      </c>
      <c r="E984" s="885" t="str">
        <f>IF(calcCh3Prod4Slot2Active=1,calcCh3Prod4Slot2CustPrice,"")</f>
        <v/>
      </c>
      <c r="F984" s="520" t="s">
        <v>9640</v>
      </c>
    </row>
    <row r="985" spans="1:6">
      <c r="A985" s="882" t="s">
        <v>11554</v>
      </c>
      <c r="B985" s="646"/>
      <c r="C985" s="646"/>
      <c r="D985" s="646"/>
      <c r="E985" s="885" t="str">
        <f>IF(calcCh3Prod4Slot2Active=1,calcCh3Prod4Slot2Promo1CustPrice,"")</f>
        <v/>
      </c>
      <c r="F985" s="520" t="s">
        <v>12380</v>
      </c>
    </row>
    <row r="986" spans="1:6">
      <c r="A986" s="882" t="s">
        <v>4410</v>
      </c>
      <c r="B986" s="646"/>
      <c r="C986" s="646"/>
      <c r="D986" s="646"/>
      <c r="E986" s="885" t="str">
        <f>IF(calcCh3Prod4Slot2Active=1,calcCh3Prod4Slot2AvgSalePrice,"")</f>
        <v/>
      </c>
      <c r="F986" s="520" t="s">
        <v>9641</v>
      </c>
    </row>
    <row r="987" spans="1:6">
      <c r="A987" s="882" t="s">
        <v>3329</v>
      </c>
      <c r="B987" s="646"/>
      <c r="C987" s="646"/>
      <c r="D987" s="646"/>
      <c r="E987" s="532" t="str">
        <f>IF(calcCh3Prod4Slot2Active=1,calcCh3Prod4Slot2Pack,"")</f>
        <v/>
      </c>
      <c r="F987" s="520" t="s">
        <v>9642</v>
      </c>
    </row>
    <row r="988" spans="1:6">
      <c r="A988" s="882" t="s">
        <v>5912</v>
      </c>
      <c r="B988" s="646"/>
      <c r="C988" s="646"/>
      <c r="D988" s="646"/>
      <c r="E988" s="870" t="str">
        <f>IF(calcCh3Prod4Slot2Active=1,calcCh3Prod4Slot2Promo1PlanShare,"")</f>
        <v/>
      </c>
      <c r="F988" s="520" t="s">
        <v>12381</v>
      </c>
    </row>
    <row r="989" spans="1:6">
      <c r="A989" s="882" t="s">
        <v>11563</v>
      </c>
      <c r="B989" s="646"/>
      <c r="C989" s="646"/>
      <c r="D989" s="646"/>
      <c r="E989" s="961" t="str">
        <f>calcCh3Prod4Slot2Promo1ROI</f>
        <v/>
      </c>
      <c r="F989" s="520" t="s">
        <v>12382</v>
      </c>
    </row>
    <row r="990" spans="1:6">
      <c r="A990" s="882" t="s">
        <v>3674</v>
      </c>
      <c r="B990" s="646"/>
      <c r="C990" s="646"/>
      <c r="D990" s="646"/>
      <c r="E990" s="961" t="str">
        <f>IF(calcCh3Prod4Slot2Active=1,calcCh3Prod4Slot2WD,"")</f>
        <v/>
      </c>
      <c r="F990" s="520" t="s">
        <v>9643</v>
      </c>
    </row>
    <row r="991" spans="1:6">
      <c r="A991" s="882" t="s">
        <v>4413</v>
      </c>
      <c r="B991" s="802"/>
      <c r="C991" s="802"/>
      <c r="D991" s="802"/>
      <c r="E991" s="961" t="str">
        <f>calcCh3Prod4Slot2Promo1GPaLUplift</f>
        <v/>
      </c>
      <c r="F991" s="520" t="s">
        <v>12603</v>
      </c>
    </row>
    <row r="992" spans="1:6" s="800" customFormat="1">
      <c r="A992" s="882" t="s">
        <v>11388</v>
      </c>
      <c r="B992" s="802"/>
      <c r="C992" s="802"/>
      <c r="D992" s="802"/>
      <c r="E992" s="961" t="str">
        <f>calcCh3Prod4Slot2Promo1VolUplift</f>
        <v/>
      </c>
      <c r="F992" s="520" t="s">
        <v>12723</v>
      </c>
    </row>
    <row r="993" spans="1:6">
      <c r="A993" s="882" t="s">
        <v>5195</v>
      </c>
      <c r="B993" s="800"/>
      <c r="C993" s="800"/>
      <c r="D993" s="800"/>
      <c r="E993" s="961" t="str">
        <f>calcCh3Prod4Slot2Promo1CustUplift</f>
        <v/>
      </c>
      <c r="F993" s="520" t="s">
        <v>12383</v>
      </c>
    </row>
    <row r="994" spans="1:6">
      <c r="A994" s="882" t="s">
        <v>157</v>
      </c>
      <c r="B994" s="800"/>
      <c r="C994" s="800"/>
      <c r="D994" s="800"/>
      <c r="E994" s="532" t="str">
        <f>IF(calcCh3Prod4Slot2Active=1,finPNLCh3Prod4Slot2TotalCOGs,"")</f>
        <v/>
      </c>
      <c r="F994" s="520" t="s">
        <v>10550</v>
      </c>
    </row>
    <row r="995" spans="1:6">
      <c r="A995" s="882" t="s">
        <v>10370</v>
      </c>
      <c r="B995" s="800"/>
      <c r="C995" s="800"/>
      <c r="D995" s="800"/>
      <c r="E995" s="885" t="str">
        <f>IF(AND(calcCh3Prod4Slot2Active=1,calcCh3Prod4Slot2VolForecastSlot&lt;&gt;0),finPNLCh3Prod4Slot2TotalCOGs/cbalCh3Prod4Slot2SoldVol,"")</f>
        <v/>
      </c>
      <c r="F995" s="520" t="s">
        <v>10453</v>
      </c>
    </row>
    <row r="996" spans="1:6">
      <c r="A996" s="277" t="s">
        <v>3860</v>
      </c>
      <c r="B996" s="800"/>
      <c r="C996" s="800"/>
      <c r="D996" s="800"/>
      <c r="E996" s="800"/>
      <c r="F996" s="646"/>
    </row>
    <row r="997" spans="1:6">
      <c r="A997" s="882" t="s">
        <v>8649</v>
      </c>
      <c r="B997" s="800"/>
      <c r="C997" s="800"/>
      <c r="D997" s="800"/>
      <c r="E997" s="532" t="str">
        <f>IF(calcCh3Prod4Slot3Active=1,finPNLCh3Prod4Slot3TotalRev,"")</f>
        <v/>
      </c>
      <c r="F997" s="520" t="s">
        <v>8815</v>
      </c>
    </row>
    <row r="998" spans="1:6">
      <c r="A998" s="882" t="s">
        <v>521</v>
      </c>
      <c r="B998" s="800"/>
      <c r="C998" s="800"/>
      <c r="D998" s="800"/>
      <c r="E998" s="532">
        <f>IF(calcCh3Prod4Slot3Active=1,finPNLCh3Prod4Slot3GPaL,0)</f>
        <v>0</v>
      </c>
      <c r="F998" s="520" t="s">
        <v>9644</v>
      </c>
    </row>
    <row r="999" spans="1:6" s="800" customFormat="1">
      <c r="A999" s="882" t="s">
        <v>8650</v>
      </c>
      <c r="B999" s="646"/>
      <c r="C999" s="646"/>
      <c r="D999" s="646"/>
      <c r="E999" s="532" t="str">
        <f>IF(calcCh3Prod4Slot3Active=1,finCalcCh3Prod4Slot3VolSold,"")</f>
        <v/>
      </c>
      <c r="F999" s="520" t="s">
        <v>8816</v>
      </c>
    </row>
    <row r="1000" spans="1:6" s="800" customFormat="1">
      <c r="A1000" s="882" t="s">
        <v>9063</v>
      </c>
      <c r="B1000" s="646"/>
      <c r="C1000" s="646"/>
      <c r="D1000" s="646"/>
      <c r="E1000" s="885" t="str">
        <f>IF(AND(calcCh3Prod4Slot3Active=1,calcCh3Prod4Slot3VolForecastSlot&lt;&gt;0),cbalCh3Prod4Slot3NetRev/cbalCh3Prod4Slot3SoldVol,"")</f>
        <v/>
      </c>
      <c r="F1000" s="520" t="s">
        <v>9645</v>
      </c>
    </row>
    <row r="1001" spans="1:6" s="800" customFormat="1">
      <c r="A1001" s="882" t="s">
        <v>9064</v>
      </c>
      <c r="B1001" s="646"/>
      <c r="C1001" s="646"/>
      <c r="D1001" s="646"/>
      <c r="E1001" s="885" t="str">
        <f>IF(AND(calcCh3Prod4Slot3Active=1,calcCh3Prod4Slot3VolForecastSlot&lt;&gt;0),cbalCh3Prod4Slot3GPaL/cbalCh3Prod4Slot3SoldVol,"")</f>
        <v/>
      </c>
      <c r="F1001" s="520" t="s">
        <v>9646</v>
      </c>
    </row>
    <row r="1002" spans="1:6" s="646" customFormat="1">
      <c r="A1002" s="882" t="s">
        <v>9068</v>
      </c>
      <c r="E1002" s="885" t="str">
        <f>IF(calcCh3Prod4Slot3Active=1,calcCh3Prod4Slot3CustPrice,"")</f>
        <v/>
      </c>
      <c r="F1002" s="520" t="s">
        <v>9647</v>
      </c>
    </row>
    <row r="1003" spans="1:6">
      <c r="A1003" s="882" t="s">
        <v>11554</v>
      </c>
      <c r="B1003" s="800"/>
      <c r="C1003" s="800"/>
      <c r="D1003" s="800"/>
      <c r="E1003" s="885" t="str">
        <f>IF(calcCh3Prod4Slot3Active=1,calcCh3Prod4Slot3Promo1CustPrice,"")</f>
        <v/>
      </c>
      <c r="F1003" s="520" t="s">
        <v>12384</v>
      </c>
    </row>
    <row r="1004" spans="1:6">
      <c r="A1004" s="882" t="s">
        <v>4410</v>
      </c>
      <c r="B1004" s="800"/>
      <c r="C1004" s="800"/>
      <c r="D1004" s="800"/>
      <c r="E1004" s="885" t="str">
        <f>IF(calcCh3Prod4Slot3Active=1,calcCh3Prod4Slot3AvgSalePrice,"")</f>
        <v/>
      </c>
      <c r="F1004" s="520" t="s">
        <v>9648</v>
      </c>
    </row>
    <row r="1005" spans="1:6">
      <c r="A1005" s="882" t="s">
        <v>3329</v>
      </c>
      <c r="B1005" s="800"/>
      <c r="C1005" s="800"/>
      <c r="D1005" s="800"/>
      <c r="E1005" s="532" t="str">
        <f>IF(calcCh3Prod4Slot3Active=1,calcCh3Prod4Slot3Pack,"")</f>
        <v/>
      </c>
      <c r="F1005" s="520" t="s">
        <v>9649</v>
      </c>
    </row>
    <row r="1006" spans="1:6">
      <c r="A1006" s="882" t="s">
        <v>5912</v>
      </c>
      <c r="B1006" s="800"/>
      <c r="C1006" s="800"/>
      <c r="D1006" s="800"/>
      <c r="E1006" s="870" t="str">
        <f>IF(calcCh3Prod4Slot3Active=1,calcCh3Prod4Slot3Promo1PlanShare,"")</f>
        <v/>
      </c>
      <c r="F1006" s="520" t="s">
        <v>12385</v>
      </c>
    </row>
    <row r="1007" spans="1:6">
      <c r="A1007" s="882" t="s">
        <v>11563</v>
      </c>
      <c r="B1007" s="800"/>
      <c r="C1007" s="800"/>
      <c r="D1007" s="800"/>
      <c r="E1007" s="961" t="str">
        <f>calcCh3Prod4Slot3Promo1ROI</f>
        <v/>
      </c>
      <c r="F1007" s="520" t="s">
        <v>12386</v>
      </c>
    </row>
    <row r="1008" spans="1:6">
      <c r="A1008" s="882" t="s">
        <v>3674</v>
      </c>
      <c r="B1008" s="800"/>
      <c r="C1008" s="800"/>
      <c r="D1008" s="800"/>
      <c r="E1008" s="961" t="str">
        <f>IF(calcCh3Prod4Slot3Active=1,calcCh3Prod4Slot3WD,"")</f>
        <v/>
      </c>
      <c r="F1008" s="520" t="s">
        <v>9650</v>
      </c>
    </row>
    <row r="1009" spans="1:6">
      <c r="A1009" s="882" t="s">
        <v>4413</v>
      </c>
      <c r="B1009" s="800"/>
      <c r="C1009" s="800"/>
      <c r="D1009" s="800"/>
      <c r="E1009" s="961" t="str">
        <f>calcCh3Prod4Slot3Promo1GPaLUplift</f>
        <v/>
      </c>
      <c r="F1009" s="520" t="s">
        <v>12604</v>
      </c>
    </row>
    <row r="1010" spans="1:6" s="800" customFormat="1">
      <c r="A1010" s="882" t="s">
        <v>11388</v>
      </c>
      <c r="E1010" s="961" t="str">
        <f>calcCh3Prod4Slot3Promo1VolUplift</f>
        <v/>
      </c>
      <c r="F1010" s="520" t="s">
        <v>12724</v>
      </c>
    </row>
    <row r="1011" spans="1:6">
      <c r="A1011" s="882" t="s">
        <v>5195</v>
      </c>
      <c r="B1011" s="800"/>
      <c r="C1011" s="800"/>
      <c r="D1011" s="800"/>
      <c r="E1011" s="961" t="str">
        <f>calcCh3Prod4Slot3Promo1CustUplift</f>
        <v/>
      </c>
      <c r="F1011" s="520" t="s">
        <v>12387</v>
      </c>
    </row>
    <row r="1012" spans="1:6">
      <c r="A1012" s="882" t="s">
        <v>157</v>
      </c>
      <c r="B1012" s="800"/>
      <c r="C1012" s="800"/>
      <c r="D1012" s="800"/>
      <c r="E1012" s="532" t="str">
        <f>IF(calcCh3Prod4Slot3Active=1,finPNLCh3Prod4Slot3TotalCOGs,"")</f>
        <v/>
      </c>
      <c r="F1012" s="520" t="s">
        <v>10551</v>
      </c>
    </row>
    <row r="1013" spans="1:6">
      <c r="A1013" s="882" t="s">
        <v>10370</v>
      </c>
      <c r="B1013" s="800"/>
      <c r="C1013" s="800"/>
      <c r="D1013" s="800"/>
      <c r="E1013" s="885" t="str">
        <f>IF(AND(calcCh3Prod4Slot3Active=1,calcCh3Prod4Slot3VolForecastSlot&lt;&gt;0),finPNLCh3Prod4Slot3TotalCOGs/cbalCh3Prod4Slot3SoldVol,"")</f>
        <v/>
      </c>
      <c r="F1013" s="520" t="s">
        <v>10454</v>
      </c>
    </row>
    <row r="1014" spans="1:6">
      <c r="A1014" s="882" t="s">
        <v>5661</v>
      </c>
      <c r="B1014" s="800"/>
      <c r="C1014" s="800"/>
      <c r="D1014" s="800"/>
      <c r="E1014" s="800"/>
      <c r="F1014" s="520"/>
    </row>
    <row r="1015" spans="1:6">
      <c r="A1015" s="963" t="s">
        <v>14085</v>
      </c>
      <c r="B1015" s="31"/>
      <c r="C1015" s="31"/>
      <c r="D1015" s="31"/>
      <c r="E1015" s="31"/>
      <c r="F1015" s="962"/>
    </row>
    <row r="1016" spans="1:6">
      <c r="A1016" s="277" t="s">
        <v>12868</v>
      </c>
      <c r="B1016" s="800"/>
      <c r="C1016" s="800"/>
      <c r="D1016" s="800"/>
      <c r="E1016" s="800"/>
      <c r="F1016" s="646"/>
    </row>
    <row r="1017" spans="1:6" s="800" customFormat="1">
      <c r="A1017" s="277" t="s">
        <v>3859</v>
      </c>
      <c r="B1017" s="646"/>
      <c r="C1017" s="646"/>
      <c r="D1017" s="646"/>
      <c r="F1017" s="646"/>
    </row>
    <row r="1018" spans="1:6" s="800" customFormat="1">
      <c r="A1018" s="882" t="s">
        <v>8649</v>
      </c>
      <c r="B1018" s="646"/>
      <c r="C1018" s="646"/>
      <c r="D1018" s="646"/>
      <c r="E1018" s="532">
        <f>IF(calcCh4Prod1Slot1Active=1,finPNLCh4Prod1Slot1TotalRev,"")</f>
        <v>221562390.25157237</v>
      </c>
      <c r="F1018" s="520" t="s">
        <v>8817</v>
      </c>
    </row>
    <row r="1019" spans="1:6" s="800" customFormat="1">
      <c r="A1019" s="882" t="s">
        <v>521</v>
      </c>
      <c r="B1019" s="646"/>
      <c r="C1019" s="646"/>
      <c r="D1019" s="646"/>
      <c r="E1019" s="532">
        <f>IF(calcCh4Prod1Slot1Active=1,finPNLCh4Prod1Slot1GPaL,0)</f>
        <v>110210491.49679507</v>
      </c>
      <c r="F1019" s="520" t="s">
        <v>9651</v>
      </c>
    </row>
    <row r="1020" spans="1:6" s="646" customFormat="1">
      <c r="A1020" s="882" t="s">
        <v>8650</v>
      </c>
      <c r="E1020" s="532">
        <f>IF(calcCh4Prod1Slot1Active=1,finCalcCh4Prod1Slot1VolSold,"")</f>
        <v>50706750</v>
      </c>
      <c r="F1020" s="520" t="s">
        <v>8818</v>
      </c>
    </row>
    <row r="1021" spans="1:6">
      <c r="A1021" s="882" t="s">
        <v>9063</v>
      </c>
      <c r="B1021" s="800"/>
      <c r="C1021" s="800"/>
      <c r="D1021" s="800"/>
      <c r="E1021" s="885">
        <f>IF(calcCh4Prod1Slot1Active=1,cbalCh4Prod1Slot1NetRev/cbalCh4Prod1Slot1SoldVol,"")</f>
        <v>4.3694851326810014</v>
      </c>
      <c r="F1021" s="520" t="s">
        <v>9652</v>
      </c>
    </row>
    <row r="1022" spans="1:6">
      <c r="A1022" s="882" t="s">
        <v>9064</v>
      </c>
      <c r="B1022" s="800"/>
      <c r="C1022" s="800"/>
      <c r="D1022" s="800"/>
      <c r="E1022" s="885">
        <f>IF(calcCh4Prod1Slot1Active=1,cbalCh4Prod1Slot1GPaL/cbalCh4Prod1Slot1SoldVol,"")</f>
        <v>2.1734875829508908</v>
      </c>
      <c r="F1022" s="520" t="s">
        <v>9653</v>
      </c>
    </row>
    <row r="1023" spans="1:6">
      <c r="A1023" s="882" t="s">
        <v>9068</v>
      </c>
      <c r="B1023" s="800"/>
      <c r="C1023" s="800"/>
      <c r="D1023" s="800"/>
      <c r="E1023" s="885">
        <f>IF(calcCh4Prod1Slot1Active=1,calcCh4Prod1Slot1CustPrice,"")</f>
        <v>7.2</v>
      </c>
      <c r="F1023" s="520" t="s">
        <v>9654</v>
      </c>
    </row>
    <row r="1024" spans="1:6">
      <c r="A1024" s="882" t="s">
        <v>11554</v>
      </c>
      <c r="B1024" s="646"/>
      <c r="C1024" s="646"/>
      <c r="D1024" s="646"/>
      <c r="E1024" s="885">
        <f>IF(calcCh4Prod1Slot1Active=1,calcCh4Prod1Slot1Promo1CustPrice,"")</f>
        <v>5.7600000000000007</v>
      </c>
      <c r="F1024" s="520" t="s">
        <v>12388</v>
      </c>
    </row>
    <row r="1025" spans="1:6">
      <c r="A1025" s="882" t="s">
        <v>4410</v>
      </c>
      <c r="B1025" s="646"/>
      <c r="C1025" s="646"/>
      <c r="D1025" s="646"/>
      <c r="E1025" s="885">
        <f>IF(calcCh4Prod1Slot1Active=1,calcCh4Prod1Slot1AvgSalePrice,"")</f>
        <v>6.8400000000000007</v>
      </c>
      <c r="F1025" s="520" t="s">
        <v>9655</v>
      </c>
    </row>
    <row r="1026" spans="1:6">
      <c r="A1026" s="882" t="s">
        <v>3329</v>
      </c>
      <c r="B1026" s="646"/>
      <c r="C1026" s="646"/>
      <c r="D1026" s="646"/>
      <c r="E1026" s="532" t="str">
        <f>IF(calcCh4Prod1Slot1Active=1,calcCh4Prod1Slot1Pack,"")</f>
        <v>25Ltr Keg</v>
      </c>
      <c r="F1026" s="520" t="s">
        <v>9656</v>
      </c>
    </row>
    <row r="1027" spans="1:6">
      <c r="A1027" s="882" t="s">
        <v>5912</v>
      </c>
      <c r="B1027" s="646"/>
      <c r="C1027" s="646"/>
      <c r="D1027" s="646"/>
      <c r="E1027" s="870">
        <f>IF(calcCh4Prod1Slot1Active=1,calcCh4Prod1Slot1Promo1PlanShare,"")</f>
        <v>0.25</v>
      </c>
      <c r="F1027" s="520" t="s">
        <v>12389</v>
      </c>
    </row>
    <row r="1028" spans="1:6">
      <c r="A1028" s="882" t="s">
        <v>11563</v>
      </c>
      <c r="B1028" s="646"/>
      <c r="C1028" s="646"/>
      <c r="D1028" s="646"/>
      <c r="E1028" s="961">
        <f>calcCh4Prod1Slot1Promo1ROI</f>
        <v>7.5347352527865814</v>
      </c>
      <c r="F1028" s="520" t="s">
        <v>12390</v>
      </c>
    </row>
    <row r="1029" spans="1:6">
      <c r="A1029" s="882" t="s">
        <v>3674</v>
      </c>
      <c r="B1029" s="646"/>
      <c r="C1029" s="646"/>
      <c r="D1029" s="646"/>
      <c r="E1029" s="961">
        <f>IF(calcCh4Prod1Slot1Active=1,calcCh4Prod1Slot1WD,"")</f>
        <v>0.81</v>
      </c>
      <c r="F1029" s="520" t="s">
        <v>9657</v>
      </c>
    </row>
    <row r="1030" spans="1:6">
      <c r="A1030" s="882" t="s">
        <v>4413</v>
      </c>
      <c r="B1030" s="646"/>
      <c r="C1030" s="646"/>
      <c r="D1030" s="646"/>
      <c r="E1030" s="961">
        <f>calcCh4Prod1Slot1Promo1GPaLUplift</f>
        <v>0.74471633753079569</v>
      </c>
      <c r="F1030" s="520" t="s">
        <v>12605</v>
      </c>
    </row>
    <row r="1031" spans="1:6" s="800" customFormat="1">
      <c r="A1031" s="882" t="s">
        <v>11388</v>
      </c>
      <c r="B1031" s="646"/>
      <c r="C1031" s="646"/>
      <c r="D1031" s="646"/>
      <c r="E1031" s="961">
        <f>calcCh4Prod1Slot1Promo1VolUplift</f>
        <v>3</v>
      </c>
      <c r="F1031" s="520" t="s">
        <v>12701</v>
      </c>
    </row>
    <row r="1032" spans="1:6">
      <c r="A1032" s="882" t="s">
        <v>5195</v>
      </c>
      <c r="B1032" s="646"/>
      <c r="C1032" s="646"/>
      <c r="D1032" s="646"/>
      <c r="E1032" s="961">
        <f>calcCh4Prod1Slot1Promo1CustUplift</f>
        <v>2.3402399308003599</v>
      </c>
      <c r="F1032" s="520" t="s">
        <v>12391</v>
      </c>
    </row>
    <row r="1033" spans="1:6">
      <c r="A1033" s="882" t="s">
        <v>157</v>
      </c>
      <c r="B1033" s="646"/>
      <c r="C1033" s="646"/>
      <c r="D1033" s="646"/>
      <c r="E1033" s="532">
        <f>IF(calcCh4Prod1Slot1Active=1,finPNLCh4Prod1Slot1TotalCOGs,"")</f>
        <v>99515342.038987815</v>
      </c>
      <c r="F1033" s="520" t="s">
        <v>10552</v>
      </c>
    </row>
    <row r="1034" spans="1:6">
      <c r="A1034" s="882" t="s">
        <v>10370</v>
      </c>
      <c r="B1034" s="646"/>
      <c r="C1034" s="646"/>
      <c r="D1034" s="646"/>
      <c r="E1034" s="885">
        <f>IF(decCh4Prod1Slot1Active=1,finPNLCh4Prod1Slot1TotalCOGs/cbalCh4Prod1Slot1SoldVol,"")</f>
        <v>1.9625659707827423</v>
      </c>
      <c r="F1034" s="520" t="s">
        <v>10455</v>
      </c>
    </row>
    <row r="1035" spans="1:6">
      <c r="A1035" s="277" t="s">
        <v>3858</v>
      </c>
      <c r="B1035" s="646"/>
      <c r="C1035" s="646"/>
      <c r="D1035" s="646"/>
      <c r="E1035" s="961"/>
      <c r="F1035" s="646"/>
    </row>
    <row r="1036" spans="1:6" s="800" customFormat="1">
      <c r="A1036" s="882" t="s">
        <v>8649</v>
      </c>
      <c r="B1036" s="646"/>
      <c r="C1036" s="646"/>
      <c r="D1036" s="646"/>
      <c r="E1036" s="532" t="str">
        <f>IF(calcCh4Prod1Slot2Active=1,finPNLCh4Prod1Slot2TotalRev,"")</f>
        <v/>
      </c>
      <c r="F1036" s="520" t="s">
        <v>8819</v>
      </c>
    </row>
    <row r="1037" spans="1:6" s="800" customFormat="1">
      <c r="A1037" s="882" t="s">
        <v>521</v>
      </c>
      <c r="B1037" s="646"/>
      <c r="C1037" s="646"/>
      <c r="D1037" s="646"/>
      <c r="E1037" s="532">
        <f>IF(calcCh4Prod1Slot2Active=1,finPNLCh4Prod1Slot2GPaL,0)</f>
        <v>0</v>
      </c>
      <c r="F1037" s="520" t="s">
        <v>9658</v>
      </c>
    </row>
    <row r="1038" spans="1:6" s="800" customFormat="1">
      <c r="A1038" s="882" t="s">
        <v>8650</v>
      </c>
      <c r="B1038" s="646"/>
      <c r="C1038" s="646"/>
      <c r="D1038" s="646"/>
      <c r="E1038" s="532" t="str">
        <f>IF(calcCh4Prod1Slot2Active=1,finCalcCh4Prod1Slot2VolSold,"")</f>
        <v/>
      </c>
      <c r="F1038" s="520" t="s">
        <v>8820</v>
      </c>
    </row>
    <row r="1039" spans="1:6" s="646" customFormat="1">
      <c r="A1039" s="882" t="s">
        <v>9063</v>
      </c>
      <c r="E1039" s="885" t="str">
        <f>IF(calcCh4Prod1Slot2Active=1,cbalCh4Prod1Slot2NetRev/cbalCh4Prod1Slot2SoldVol,"")</f>
        <v/>
      </c>
      <c r="F1039" s="520" t="s">
        <v>9659</v>
      </c>
    </row>
    <row r="1040" spans="1:6">
      <c r="A1040" s="882" t="s">
        <v>9064</v>
      </c>
      <c r="B1040" s="646"/>
      <c r="C1040" s="646"/>
      <c r="D1040" s="646"/>
      <c r="E1040" s="885" t="str">
        <f>IF(calcCh4Prod1Slot2Active=1,cbalCh4Prod1Slot2GPaL/cbalCh4Prod1Slot2SoldVol,"")</f>
        <v/>
      </c>
      <c r="F1040" s="520" t="s">
        <v>9660</v>
      </c>
    </row>
    <row r="1041" spans="1:6">
      <c r="A1041" s="882" t="s">
        <v>9068</v>
      </c>
      <c r="B1041" s="646"/>
      <c r="C1041" s="646"/>
      <c r="D1041" s="646"/>
      <c r="E1041" s="885" t="str">
        <f>IF(calcCh4Prod1Slot2Active=1,calcCh4Prod1Slot2CustPrice,"")</f>
        <v/>
      </c>
      <c r="F1041" s="520" t="s">
        <v>9661</v>
      </c>
    </row>
    <row r="1042" spans="1:6">
      <c r="A1042" s="882" t="s">
        <v>11554</v>
      </c>
      <c r="B1042" s="646"/>
      <c r="C1042" s="646"/>
      <c r="D1042" s="646"/>
      <c r="E1042" s="885" t="str">
        <f>IF(calcCh4Prod1Slot2Active=1,calcCh4Prod1Slot2Promo1CustPrice,"")</f>
        <v/>
      </c>
      <c r="F1042" s="520" t="s">
        <v>12392</v>
      </c>
    </row>
    <row r="1043" spans="1:6">
      <c r="A1043" s="882" t="s">
        <v>4410</v>
      </c>
      <c r="B1043" s="646"/>
      <c r="C1043" s="646"/>
      <c r="D1043" s="646"/>
      <c r="E1043" s="885" t="str">
        <f>IF(calcCh4Prod1Slot2Active=1,calcCh4Prod1Slot2AvgSalePrice,"")</f>
        <v/>
      </c>
      <c r="F1043" s="520" t="s">
        <v>9662</v>
      </c>
    </row>
    <row r="1044" spans="1:6">
      <c r="A1044" s="882" t="s">
        <v>3329</v>
      </c>
      <c r="B1044" s="646"/>
      <c r="C1044" s="646"/>
      <c r="D1044" s="646"/>
      <c r="E1044" s="532" t="str">
        <f>IF(calcCh4Prod1Slot2Active=1,calcCh4Prod1Slot2Pack,"")</f>
        <v/>
      </c>
      <c r="F1044" s="520" t="s">
        <v>9663</v>
      </c>
    </row>
    <row r="1045" spans="1:6">
      <c r="A1045" s="882" t="s">
        <v>5912</v>
      </c>
      <c r="B1045" s="646"/>
      <c r="C1045" s="646"/>
      <c r="D1045" s="646"/>
      <c r="E1045" s="870" t="str">
        <f>IF(calcCh4Prod1Slot2Active=1,calcCh4Prod1Slot2Promo1PlanShare,"")</f>
        <v/>
      </c>
      <c r="F1045" s="520" t="s">
        <v>12393</v>
      </c>
    </row>
    <row r="1046" spans="1:6">
      <c r="A1046" s="882" t="s">
        <v>11563</v>
      </c>
      <c r="B1046" s="646"/>
      <c r="C1046" s="646"/>
      <c r="D1046" s="646"/>
      <c r="E1046" s="961" t="str">
        <f>calcCh4Prod1Slot2Promo1ROI</f>
        <v/>
      </c>
      <c r="F1046" s="520" t="s">
        <v>12394</v>
      </c>
    </row>
    <row r="1047" spans="1:6">
      <c r="A1047" s="882" t="s">
        <v>3674</v>
      </c>
      <c r="B1047" s="646"/>
      <c r="C1047" s="646"/>
      <c r="D1047" s="646"/>
      <c r="E1047" s="961" t="str">
        <f>IF(calcCh4Prod1Slot2Active=1,calcCh4Prod1Slot2WD,"")</f>
        <v/>
      </c>
      <c r="F1047" s="520" t="s">
        <v>9664</v>
      </c>
    </row>
    <row r="1048" spans="1:6">
      <c r="A1048" s="882" t="s">
        <v>4413</v>
      </c>
      <c r="B1048" s="802"/>
      <c r="C1048" s="802"/>
      <c r="D1048" s="802"/>
      <c r="E1048" s="961" t="str">
        <f>calcCh4Prod1Slot2Promo1GPaLUplift</f>
        <v/>
      </c>
      <c r="F1048" s="520" t="s">
        <v>12606</v>
      </c>
    </row>
    <row r="1049" spans="1:6" s="800" customFormat="1">
      <c r="A1049" s="882" t="s">
        <v>11388</v>
      </c>
      <c r="B1049" s="802"/>
      <c r="C1049" s="802"/>
      <c r="D1049" s="802"/>
      <c r="E1049" s="961" t="str">
        <f>calcCh4Prod1Slot2Promo1VolUplift</f>
        <v/>
      </c>
      <c r="F1049" s="520" t="s">
        <v>12702</v>
      </c>
    </row>
    <row r="1050" spans="1:6">
      <c r="A1050" s="882" t="s">
        <v>5195</v>
      </c>
      <c r="B1050" s="800"/>
      <c r="C1050" s="800"/>
      <c r="D1050" s="800"/>
      <c r="E1050" s="961" t="str">
        <f>calcCh4Prod1Slot2Promo1CustUplift</f>
        <v/>
      </c>
      <c r="F1050" s="520" t="s">
        <v>12395</v>
      </c>
    </row>
    <row r="1051" spans="1:6">
      <c r="A1051" s="882" t="s">
        <v>157</v>
      </c>
      <c r="B1051" s="800"/>
      <c r="C1051" s="800"/>
      <c r="D1051" s="800"/>
      <c r="E1051" s="532" t="str">
        <f>IF(calcCh4Prod1Slot2Active=1,finPNLCh4Prod1Slot2TotalCOGs,"")</f>
        <v/>
      </c>
      <c r="F1051" s="520" t="s">
        <v>10553</v>
      </c>
    </row>
    <row r="1052" spans="1:6">
      <c r="A1052" s="882" t="s">
        <v>10370</v>
      </c>
      <c r="B1052" s="800"/>
      <c r="C1052" s="800"/>
      <c r="D1052" s="800"/>
      <c r="E1052" s="885" t="str">
        <f>IF(decCh4Prod1Slot2Active=1,finPNLCh4Prod1Slot2TotalCOGs/cbalCh4Prod1Slot2SoldVol,"")</f>
        <v/>
      </c>
      <c r="F1052" s="520" t="s">
        <v>10456</v>
      </c>
    </row>
    <row r="1053" spans="1:6">
      <c r="A1053" s="277" t="s">
        <v>3860</v>
      </c>
      <c r="B1053" s="800"/>
      <c r="C1053" s="800"/>
      <c r="D1053" s="800"/>
      <c r="E1053" s="800"/>
      <c r="F1053" s="646"/>
    </row>
    <row r="1054" spans="1:6" s="800" customFormat="1">
      <c r="A1054" s="882" t="s">
        <v>8649</v>
      </c>
      <c r="B1054" s="646"/>
      <c r="C1054" s="646"/>
      <c r="D1054" s="646"/>
      <c r="E1054" s="532" t="str">
        <f>IF(calcCh4Prod1Slot3Active=1,finPNLCh4Prod1Slot3TotalRev,"")</f>
        <v/>
      </c>
      <c r="F1054" s="520" t="s">
        <v>8821</v>
      </c>
    </row>
    <row r="1055" spans="1:6" s="800" customFormat="1">
      <c r="A1055" s="882" t="s">
        <v>521</v>
      </c>
      <c r="B1055" s="646"/>
      <c r="C1055" s="646"/>
      <c r="D1055" s="646"/>
      <c r="E1055" s="532">
        <f>IF(calcCh4Prod1Slot3Active=1,finPNLCh4Prod1Slot3GPaL,0)</f>
        <v>0</v>
      </c>
      <c r="F1055" s="520" t="s">
        <v>9665</v>
      </c>
    </row>
    <row r="1056" spans="1:6" s="800" customFormat="1">
      <c r="A1056" s="882" t="s">
        <v>8650</v>
      </c>
      <c r="B1056" s="646"/>
      <c r="C1056" s="646"/>
      <c r="D1056" s="646"/>
      <c r="E1056" s="532" t="str">
        <f>IF(calcCh4Prod1Slot3Active=1,finCalcCh4Prod1Slot3VolSold,"")</f>
        <v/>
      </c>
      <c r="F1056" s="520" t="s">
        <v>8822</v>
      </c>
    </row>
    <row r="1057" spans="1:6" s="646" customFormat="1">
      <c r="A1057" s="882" t="s">
        <v>9063</v>
      </c>
      <c r="E1057" s="885" t="str">
        <f>IF(calcCh4Prod1Slot3Active=1,cbalCh4Prod1Slot3NetRev/cbalCh4Prod1Slot3SoldVol,"")</f>
        <v/>
      </c>
      <c r="F1057" s="520" t="s">
        <v>9666</v>
      </c>
    </row>
    <row r="1058" spans="1:6">
      <c r="A1058" s="882" t="s">
        <v>9064</v>
      </c>
      <c r="B1058" s="800"/>
      <c r="C1058" s="800"/>
      <c r="D1058" s="800"/>
      <c r="E1058" s="885" t="str">
        <f>IF(calcCh4Prod1Slot3Active=1,cbalCh4Prod1Slot3GPaL/cbalCh4Prod1Slot3SoldVol,"")</f>
        <v/>
      </c>
      <c r="F1058" s="520" t="s">
        <v>9667</v>
      </c>
    </row>
    <row r="1059" spans="1:6">
      <c r="A1059" s="882" t="s">
        <v>9068</v>
      </c>
      <c r="B1059" s="800"/>
      <c r="C1059" s="800"/>
      <c r="D1059" s="800"/>
      <c r="E1059" s="885" t="str">
        <f>IF(calcCh4Prod1Slot3Active=1,calcCh4Prod1Slot3CustPrice,"")</f>
        <v/>
      </c>
      <c r="F1059" s="520" t="s">
        <v>9668</v>
      </c>
    </row>
    <row r="1060" spans="1:6">
      <c r="A1060" s="882" t="s">
        <v>11554</v>
      </c>
      <c r="B1060" s="800"/>
      <c r="C1060" s="800"/>
      <c r="D1060" s="800"/>
      <c r="E1060" s="885" t="str">
        <f>IF(calcCh4Prod1Slot3Active=1,calcCh4Prod1Slot3Promo1CustPrice,"")</f>
        <v/>
      </c>
      <c r="F1060" s="520" t="s">
        <v>12396</v>
      </c>
    </row>
    <row r="1061" spans="1:6">
      <c r="A1061" s="882" t="s">
        <v>4410</v>
      </c>
      <c r="B1061" s="800"/>
      <c r="C1061" s="800"/>
      <c r="D1061" s="800"/>
      <c r="E1061" s="885" t="str">
        <f>IF(calcCh4Prod1Slot3Active=1,calcCh4Prod1Slot3AvgSalePrice,"")</f>
        <v/>
      </c>
      <c r="F1061" s="520" t="s">
        <v>9669</v>
      </c>
    </row>
    <row r="1062" spans="1:6">
      <c r="A1062" s="882" t="s">
        <v>3329</v>
      </c>
      <c r="B1062" s="800"/>
      <c r="C1062" s="800"/>
      <c r="D1062" s="800"/>
      <c r="E1062" s="532" t="str">
        <f>IF(calcCh4Prod1Slot3Active=1,calcCh4Prod1Slot3Pack,"")</f>
        <v/>
      </c>
      <c r="F1062" s="520" t="s">
        <v>9670</v>
      </c>
    </row>
    <row r="1063" spans="1:6">
      <c r="A1063" s="882" t="s">
        <v>5912</v>
      </c>
      <c r="B1063" s="800"/>
      <c r="C1063" s="800"/>
      <c r="D1063" s="800"/>
      <c r="E1063" s="870" t="str">
        <f>IF(calcCh4Prod1Slot3Active=1,calcCh4Prod1Slot3Promo1PlanShare,"")</f>
        <v/>
      </c>
      <c r="F1063" s="520" t="s">
        <v>12397</v>
      </c>
    </row>
    <row r="1064" spans="1:6">
      <c r="A1064" s="882" t="s">
        <v>11563</v>
      </c>
      <c r="B1064" s="800"/>
      <c r="C1064" s="800"/>
      <c r="D1064" s="800"/>
      <c r="E1064" s="961" t="str">
        <f>calcCh4Prod1Slot3Promo1ROI</f>
        <v/>
      </c>
      <c r="F1064" s="520" t="s">
        <v>12398</v>
      </c>
    </row>
    <row r="1065" spans="1:6">
      <c r="A1065" s="882" t="s">
        <v>3674</v>
      </c>
      <c r="B1065" s="800"/>
      <c r="C1065" s="800"/>
      <c r="D1065" s="800"/>
      <c r="E1065" s="961" t="str">
        <f>IF(calcCh4Prod1Slot3Active=1,calcCh4Prod1Slot3WD,"")</f>
        <v/>
      </c>
      <c r="F1065" s="520" t="s">
        <v>9671</v>
      </c>
    </row>
    <row r="1066" spans="1:6">
      <c r="A1066" s="882" t="s">
        <v>4413</v>
      </c>
      <c r="B1066" s="800"/>
      <c r="C1066" s="800"/>
      <c r="D1066" s="800"/>
      <c r="E1066" s="961" t="str">
        <f>calcCh4Prod1Slot3Promo1GPaLUplift</f>
        <v/>
      </c>
      <c r="F1066" s="520" t="s">
        <v>12607</v>
      </c>
    </row>
    <row r="1067" spans="1:6" s="800" customFormat="1">
      <c r="A1067" s="882" t="s">
        <v>11388</v>
      </c>
      <c r="E1067" s="961" t="str">
        <f>calcCh4Prod1Slot3Promo1VolUplift</f>
        <v/>
      </c>
      <c r="F1067" s="520" t="s">
        <v>12703</v>
      </c>
    </row>
    <row r="1068" spans="1:6">
      <c r="A1068" s="882" t="s">
        <v>5195</v>
      </c>
      <c r="B1068" s="800"/>
      <c r="C1068" s="800"/>
      <c r="D1068" s="800"/>
      <c r="E1068" s="961" t="str">
        <f>calcCh4Prod1Slot3Promo1CustUplift</f>
        <v/>
      </c>
      <c r="F1068" s="520" t="s">
        <v>12399</v>
      </c>
    </row>
    <row r="1069" spans="1:6">
      <c r="A1069" s="882" t="s">
        <v>157</v>
      </c>
      <c r="B1069" s="800"/>
      <c r="C1069" s="800"/>
      <c r="D1069" s="800"/>
      <c r="E1069" s="532" t="str">
        <f>IF(calcCh4Prod1Slot3Active=1,finPNLCh4Prod1Slot3TotalCOGs,"")</f>
        <v/>
      </c>
      <c r="F1069" s="520" t="s">
        <v>10554</v>
      </c>
    </row>
    <row r="1070" spans="1:6">
      <c r="A1070" s="882" t="s">
        <v>10370</v>
      </c>
      <c r="B1070" s="800"/>
      <c r="C1070" s="800"/>
      <c r="D1070" s="800"/>
      <c r="E1070" s="885" t="str">
        <f>IF(decCh4Prod1Slot3Active=1,finPNLCh4Prod1Slot3TotalCOGs/cbalCh4Prod1Slot3SoldVol,"")</f>
        <v/>
      </c>
      <c r="F1070" s="520" t="s">
        <v>10457</v>
      </c>
    </row>
    <row r="1071" spans="1:6">
      <c r="A1071" s="882" t="s">
        <v>5661</v>
      </c>
      <c r="B1071" s="800"/>
      <c r="C1071" s="800"/>
      <c r="D1071" s="800"/>
      <c r="E1071" s="800"/>
      <c r="F1071" s="520"/>
    </row>
    <row r="1072" spans="1:6" s="800" customFormat="1">
      <c r="A1072" s="277" t="s">
        <v>238</v>
      </c>
      <c r="B1072" s="646"/>
      <c r="C1072" s="646"/>
      <c r="D1072" s="646"/>
      <c r="F1072" s="646"/>
    </row>
    <row r="1073" spans="1:6" s="800" customFormat="1">
      <c r="A1073" s="277" t="s">
        <v>3859</v>
      </c>
      <c r="B1073" s="646"/>
      <c r="C1073" s="646"/>
      <c r="D1073" s="646"/>
      <c r="F1073" s="646"/>
    </row>
    <row r="1074" spans="1:6" s="800" customFormat="1">
      <c r="A1074" s="882" t="s">
        <v>8649</v>
      </c>
      <c r="B1074" s="646"/>
      <c r="C1074" s="646"/>
      <c r="D1074" s="646"/>
      <c r="E1074" s="532">
        <f>IF(calcCh4Prod2Slot1Active=1,finPNLCh4Prod2Slot1TotalRev,"")</f>
        <v>113036176.25819033</v>
      </c>
      <c r="F1074" s="520" t="s">
        <v>8823</v>
      </c>
    </row>
    <row r="1075" spans="1:6" s="646" customFormat="1">
      <c r="A1075" s="882" t="s">
        <v>521</v>
      </c>
      <c r="E1075" s="532">
        <f>IF(calcCh4Prod2Slot1Active=1,finPNLCh4Prod2Slot1GPaL,0)</f>
        <v>35470073.125594251</v>
      </c>
      <c r="F1075" s="520" t="s">
        <v>9672</v>
      </c>
    </row>
    <row r="1076" spans="1:6">
      <c r="A1076" s="882" t="s">
        <v>8650</v>
      </c>
      <c r="B1076" s="800"/>
      <c r="C1076" s="800"/>
      <c r="D1076" s="800"/>
      <c r="E1076" s="532">
        <f>IF(calcCh4Prod2Slot1Active=1,finCalcCh4Prod2Slot1VolSold,"")</f>
        <v>35321580</v>
      </c>
      <c r="F1076" s="520" t="s">
        <v>8824</v>
      </c>
    </row>
    <row r="1077" spans="1:6">
      <c r="A1077" s="882" t="s">
        <v>9063</v>
      </c>
      <c r="B1077" s="800"/>
      <c r="C1077" s="800"/>
      <c r="D1077" s="800"/>
      <c r="E1077" s="885">
        <f>IF(calcCh4Prod2Slot1Active=1,cbalCh4Prod2Slot1NetRev/cbalCh4Prod2Slot1SoldVol,"")</f>
        <v>3.2002015837963742</v>
      </c>
      <c r="F1077" s="520" t="s">
        <v>9673</v>
      </c>
    </row>
    <row r="1078" spans="1:6">
      <c r="A1078" s="882" t="s">
        <v>9064</v>
      </c>
      <c r="B1078" s="800"/>
      <c r="C1078" s="800"/>
      <c r="D1078" s="800"/>
      <c r="E1078" s="885">
        <f>IF(calcCh4Prod2Slot1Active=1,cbalCh4Prod2Slot1GPaL/cbalCh4Prod2Slot1SoldVol,"")</f>
        <v>1.0042040340662635</v>
      </c>
      <c r="F1078" s="520" t="s">
        <v>9674</v>
      </c>
    </row>
    <row r="1079" spans="1:6">
      <c r="A1079" s="882" t="s">
        <v>9068</v>
      </c>
      <c r="B1079" s="800"/>
      <c r="C1079" s="800"/>
      <c r="D1079" s="800"/>
      <c r="E1079" s="885">
        <f>IF(calcCh4Prod2Slot1Active=1,calcCh4Prod2Slot1CustPrice,"")</f>
        <v>7.2</v>
      </c>
      <c r="F1079" s="520" t="s">
        <v>9675</v>
      </c>
    </row>
    <row r="1080" spans="1:6">
      <c r="A1080" s="882" t="s">
        <v>11554</v>
      </c>
      <c r="B1080" s="800"/>
      <c r="C1080" s="800"/>
      <c r="D1080" s="800"/>
      <c r="E1080" s="885">
        <f>IF(calcCh4Prod2Slot1Active=1,calcCh4Prod2Slot1Promo1CustPrice,"")</f>
        <v>4.8239999999999998</v>
      </c>
      <c r="F1080" s="520" t="s">
        <v>12400</v>
      </c>
    </row>
    <row r="1081" spans="1:6">
      <c r="A1081" s="882" t="s">
        <v>4410</v>
      </c>
      <c r="B1081" s="646"/>
      <c r="C1081" s="646"/>
      <c r="D1081" s="646"/>
      <c r="E1081" s="885">
        <f>IF(calcCh4Prod2Slot1Active=1,calcCh4Prod2Slot1AvgSalePrice,"")</f>
        <v>5.6555999999999997</v>
      </c>
      <c r="F1081" s="520" t="s">
        <v>9676</v>
      </c>
    </row>
    <row r="1082" spans="1:6">
      <c r="A1082" s="882" t="s">
        <v>3329</v>
      </c>
      <c r="B1082" s="646"/>
      <c r="C1082" s="646"/>
      <c r="D1082" s="646"/>
      <c r="E1082" s="532" t="str">
        <f>IF(calcCh4Prod2Slot1Active=1,calcCh4Prod2Slot1Pack,"")</f>
        <v>25Ltr Keg</v>
      </c>
      <c r="F1082" s="520" t="s">
        <v>9677</v>
      </c>
    </row>
    <row r="1083" spans="1:6">
      <c r="A1083" s="882" t="s">
        <v>5912</v>
      </c>
      <c r="B1083" s="646"/>
      <c r="C1083" s="646"/>
      <c r="D1083" s="646"/>
      <c r="E1083" s="870">
        <f>IF(calcCh4Prod2Slot1Active=1,calcCh4Prod2Slot1Promo1PlanShare,"")</f>
        <v>0.65</v>
      </c>
      <c r="F1083" s="520" t="s">
        <v>12401</v>
      </c>
    </row>
    <row r="1084" spans="1:6">
      <c r="A1084" s="882" t="s">
        <v>11563</v>
      </c>
      <c r="B1084" s="646"/>
      <c r="C1084" s="646"/>
      <c r="D1084" s="646"/>
      <c r="E1084" s="961">
        <f>calcCh4Prod2Slot1Promo1ROI</f>
        <v>-0.3864987543889048</v>
      </c>
      <c r="F1084" s="520" t="s">
        <v>12402</v>
      </c>
    </row>
    <row r="1085" spans="1:6">
      <c r="A1085" s="882" t="s">
        <v>3674</v>
      </c>
      <c r="B1085" s="646"/>
      <c r="C1085" s="646"/>
      <c r="D1085" s="646"/>
      <c r="E1085" s="961">
        <f>IF(calcCh4Prod2Slot1Active=1,calcCh4Prod2Slot1WD,"")</f>
        <v>0.81</v>
      </c>
      <c r="F1085" s="520" t="s">
        <v>9678</v>
      </c>
    </row>
    <row r="1086" spans="1:6">
      <c r="A1086" s="882" t="s">
        <v>4413</v>
      </c>
      <c r="B1086" s="646"/>
      <c r="C1086" s="646"/>
      <c r="D1086" s="646"/>
      <c r="E1086" s="961">
        <f>calcCh4Prod2Slot1Promo1GPaLUplift</f>
        <v>-0.10565284976114553</v>
      </c>
      <c r="F1086" s="520" t="s">
        <v>12608</v>
      </c>
    </row>
    <row r="1087" spans="1:6" s="800" customFormat="1">
      <c r="A1087" s="882" t="s">
        <v>11388</v>
      </c>
      <c r="B1087" s="646"/>
      <c r="C1087" s="646"/>
      <c r="D1087" s="646"/>
      <c r="E1087" s="961">
        <f>calcCh4Prod2Slot1Promo1VolUplift</f>
        <v>9.2142857142857135</v>
      </c>
      <c r="F1087" s="520" t="s">
        <v>12704</v>
      </c>
    </row>
    <row r="1088" spans="1:6">
      <c r="A1088" s="882" t="s">
        <v>5195</v>
      </c>
      <c r="B1088" s="646"/>
      <c r="C1088" s="646"/>
      <c r="D1088" s="646"/>
      <c r="E1088" s="961">
        <f>calcCh4Prod2Slot1Promo1CustUplift</f>
        <v>6.6344904060494434</v>
      </c>
      <c r="F1088" s="520" t="s">
        <v>12403</v>
      </c>
    </row>
    <row r="1089" spans="1:6">
      <c r="A1089" s="882" t="s">
        <v>157</v>
      </c>
      <c r="B1089" s="646"/>
      <c r="C1089" s="646"/>
      <c r="D1089" s="646"/>
      <c r="E1089" s="532">
        <f>IF(calcCh4Prod2Slot1Active=1,finPNLCh4Prod2Slot1TotalCOGs,"")</f>
        <v>69320930.942280293</v>
      </c>
      <c r="F1089" s="520" t="s">
        <v>10555</v>
      </c>
    </row>
    <row r="1090" spans="1:6">
      <c r="A1090" s="882" t="s">
        <v>10370</v>
      </c>
      <c r="B1090" s="646"/>
      <c r="C1090" s="646"/>
      <c r="D1090" s="646"/>
      <c r="E1090" s="885">
        <f>IF(decCh4Prod2Slot1Active=1,finPNLCh4Prod2Slot1TotalCOGs/cbalCh4Prod2Slot1SoldVol,"")</f>
        <v>1.9625659707827423</v>
      </c>
      <c r="F1090" s="520" t="s">
        <v>10458</v>
      </c>
    </row>
    <row r="1091" spans="1:6" s="800" customFormat="1">
      <c r="A1091" s="277" t="s">
        <v>3858</v>
      </c>
      <c r="B1091" s="646"/>
      <c r="C1091" s="646"/>
      <c r="D1091" s="646"/>
      <c r="E1091" s="961"/>
      <c r="F1091" s="646"/>
    </row>
    <row r="1092" spans="1:6" s="800" customFormat="1">
      <c r="A1092" s="882" t="s">
        <v>8649</v>
      </c>
      <c r="B1092" s="646"/>
      <c r="C1092" s="646"/>
      <c r="D1092" s="646"/>
      <c r="E1092" s="532" t="str">
        <f>IF(calcCh4Prod2Slot2Active=1,finPNLCh4Prod2Slot2TotalRev,"")</f>
        <v/>
      </c>
      <c r="F1092" s="520" t="s">
        <v>8825</v>
      </c>
    </row>
    <row r="1093" spans="1:6" s="800" customFormat="1">
      <c r="A1093" s="882" t="s">
        <v>521</v>
      </c>
      <c r="B1093" s="646"/>
      <c r="C1093" s="646"/>
      <c r="D1093" s="646"/>
      <c r="E1093" s="532">
        <f>IF(calcCh4Prod2Slot2Active=1,finPNLCh4Prod2Slot2GPaL,0)</f>
        <v>0</v>
      </c>
      <c r="F1093" s="520" t="s">
        <v>9679</v>
      </c>
    </row>
    <row r="1094" spans="1:6" s="646" customFormat="1">
      <c r="A1094" s="882" t="s">
        <v>8650</v>
      </c>
      <c r="E1094" s="532" t="str">
        <f>IF(calcCh4Prod2Slot2Active=1,finCalcCh4Prod2Slot2VolSold,"")</f>
        <v/>
      </c>
      <c r="F1094" s="520" t="s">
        <v>8826</v>
      </c>
    </row>
    <row r="1095" spans="1:6">
      <c r="A1095" s="882" t="s">
        <v>9063</v>
      </c>
      <c r="B1095" s="646"/>
      <c r="C1095" s="646"/>
      <c r="D1095" s="646"/>
      <c r="E1095" s="885" t="str">
        <f>IF(calcCh4Prod2Slot2Active=1,cbalCh4Prod2Slot2NetRev/cbalCh4Prod2Slot2SoldVol,"")</f>
        <v/>
      </c>
      <c r="F1095" s="520" t="s">
        <v>9680</v>
      </c>
    </row>
    <row r="1096" spans="1:6">
      <c r="A1096" s="882" t="s">
        <v>9064</v>
      </c>
      <c r="B1096" s="646"/>
      <c r="C1096" s="646"/>
      <c r="D1096" s="646"/>
      <c r="E1096" s="885" t="str">
        <f>IF(calcCh4Prod2Slot2Active=1,cbalCh4Prod2Slot2GPaL/cbalCh4Prod2Slot2SoldVol,"")</f>
        <v/>
      </c>
      <c r="F1096" s="520" t="s">
        <v>9681</v>
      </c>
    </row>
    <row r="1097" spans="1:6">
      <c r="A1097" s="882" t="s">
        <v>9068</v>
      </c>
      <c r="B1097" s="646"/>
      <c r="C1097" s="646"/>
      <c r="D1097" s="646"/>
      <c r="E1097" s="885" t="str">
        <f>IF(calcCh4Prod2Slot2Active=1,calcCh4Prod2Slot2CustPrice,"")</f>
        <v/>
      </c>
      <c r="F1097" s="520" t="s">
        <v>9682</v>
      </c>
    </row>
    <row r="1098" spans="1:6">
      <c r="A1098" s="882" t="s">
        <v>11554</v>
      </c>
      <c r="B1098" s="646"/>
      <c r="C1098" s="646"/>
      <c r="D1098" s="646"/>
      <c r="E1098" s="885" t="str">
        <f>IF(calcCh4Prod2Slot2Active=1,calcCh4Prod2Slot2Promo1CustPrice,"")</f>
        <v/>
      </c>
      <c r="F1098" s="520" t="s">
        <v>12404</v>
      </c>
    </row>
    <row r="1099" spans="1:6">
      <c r="A1099" s="882" t="s">
        <v>4410</v>
      </c>
      <c r="B1099" s="646"/>
      <c r="C1099" s="646"/>
      <c r="D1099" s="646"/>
      <c r="E1099" s="885" t="str">
        <f>IF(calcCh4Prod2Slot2Active=1,calcCh4Prod2Slot2AvgSalePrice,"")</f>
        <v/>
      </c>
      <c r="F1099" s="520" t="s">
        <v>9683</v>
      </c>
    </row>
    <row r="1100" spans="1:6">
      <c r="A1100" s="882" t="s">
        <v>3329</v>
      </c>
      <c r="B1100" s="646"/>
      <c r="C1100" s="646"/>
      <c r="D1100" s="646"/>
      <c r="E1100" s="532" t="str">
        <f>IF(calcCh4Prod2Slot2Active=1,calcCh4Prod2Slot2Pack,"")</f>
        <v/>
      </c>
      <c r="F1100" s="520" t="s">
        <v>9684</v>
      </c>
    </row>
    <row r="1101" spans="1:6">
      <c r="A1101" s="882" t="s">
        <v>5912</v>
      </c>
      <c r="B1101" s="646"/>
      <c r="C1101" s="646"/>
      <c r="D1101" s="646"/>
      <c r="E1101" s="870" t="str">
        <f>IF(calcCh4Prod2Slot2Active=1,calcCh4Prod2Slot2Promo1PlanShare,"")</f>
        <v/>
      </c>
      <c r="F1101" s="520" t="s">
        <v>12405</v>
      </c>
    </row>
    <row r="1102" spans="1:6">
      <c r="A1102" s="882" t="s">
        <v>11563</v>
      </c>
      <c r="B1102" s="646"/>
      <c r="C1102" s="646"/>
      <c r="D1102" s="646"/>
      <c r="E1102" s="961" t="str">
        <f>calcCh4Prod2Slot2Promo1ROI</f>
        <v/>
      </c>
      <c r="F1102" s="520" t="s">
        <v>12406</v>
      </c>
    </row>
    <row r="1103" spans="1:6">
      <c r="A1103" s="882" t="s">
        <v>3674</v>
      </c>
      <c r="B1103" s="646"/>
      <c r="C1103" s="646"/>
      <c r="D1103" s="646"/>
      <c r="E1103" s="961" t="str">
        <f>IF(calcCh4Prod2Slot2Active=1,calcCh4Prod2Slot2WD,"")</f>
        <v/>
      </c>
      <c r="F1103" s="520" t="s">
        <v>9685</v>
      </c>
    </row>
    <row r="1104" spans="1:6">
      <c r="A1104" s="882" t="s">
        <v>4413</v>
      </c>
      <c r="B1104" s="646"/>
      <c r="C1104" s="646"/>
      <c r="D1104" s="646"/>
      <c r="E1104" s="961" t="str">
        <f>calcCh4Prod2Slot2Promo1GPaLUplift</f>
        <v/>
      </c>
      <c r="F1104" s="520" t="s">
        <v>12609</v>
      </c>
    </row>
    <row r="1105" spans="1:6" s="800" customFormat="1">
      <c r="A1105" s="882" t="s">
        <v>11388</v>
      </c>
      <c r="B1105" s="646"/>
      <c r="C1105" s="646"/>
      <c r="D1105" s="646"/>
      <c r="E1105" s="961" t="str">
        <f>calcCh4Prod2Slot2Promo1VolUplift</f>
        <v/>
      </c>
      <c r="F1105" s="520" t="s">
        <v>12705</v>
      </c>
    </row>
    <row r="1106" spans="1:6">
      <c r="A1106" s="882" t="s">
        <v>5195</v>
      </c>
      <c r="B1106" s="802"/>
      <c r="C1106" s="802"/>
      <c r="D1106" s="802"/>
      <c r="E1106" s="961" t="str">
        <f>calcCh4Prod2Slot2Promo1CustUplift</f>
        <v/>
      </c>
      <c r="F1106" s="520" t="s">
        <v>12407</v>
      </c>
    </row>
    <row r="1107" spans="1:6">
      <c r="A1107" s="882" t="s">
        <v>157</v>
      </c>
      <c r="B1107" s="800"/>
      <c r="C1107" s="800"/>
      <c r="D1107" s="800"/>
      <c r="E1107" s="532" t="str">
        <f>IF(calcCh4Prod2Slot2Active=1,finPNLCh4Prod2Slot2TotalCOGs,"")</f>
        <v/>
      </c>
      <c r="F1107" s="520" t="s">
        <v>10556</v>
      </c>
    </row>
    <row r="1108" spans="1:6">
      <c r="A1108" s="882" t="s">
        <v>10370</v>
      </c>
      <c r="B1108" s="800"/>
      <c r="C1108" s="800"/>
      <c r="D1108" s="800"/>
      <c r="E1108" s="885" t="str">
        <f>IF(decCh4Prod2Slot2Active=1,finPNLCh4Prod2Slot2TotalCOGs/cbalCh4Prod2Slot2SoldVol,"")</f>
        <v/>
      </c>
      <c r="F1108" s="520" t="s">
        <v>10459</v>
      </c>
    </row>
    <row r="1109" spans="1:6" s="800" customFormat="1">
      <c r="A1109" s="277" t="s">
        <v>3860</v>
      </c>
      <c r="B1109" s="646"/>
      <c r="C1109" s="646"/>
      <c r="D1109" s="646"/>
      <c r="F1109" s="646"/>
    </row>
    <row r="1110" spans="1:6" s="800" customFormat="1">
      <c r="A1110" s="882" t="s">
        <v>8649</v>
      </c>
      <c r="B1110" s="646"/>
      <c r="C1110" s="646"/>
      <c r="D1110" s="646"/>
      <c r="E1110" s="532" t="str">
        <f>IF(calcCh4Prod2Slot3Active=1,finPNLCh4Prod2Slot3TotalRev,"")</f>
        <v/>
      </c>
      <c r="F1110" s="520" t="s">
        <v>8827</v>
      </c>
    </row>
    <row r="1111" spans="1:6" s="800" customFormat="1">
      <c r="A1111" s="882" t="s">
        <v>521</v>
      </c>
      <c r="B1111" s="646"/>
      <c r="C1111" s="646"/>
      <c r="D1111" s="646"/>
      <c r="E1111" s="532">
        <f>IF(calcCh4Prod2Slot3Active=1,finPNLCh4Prod2Slot3GPaL,0)</f>
        <v>0</v>
      </c>
      <c r="F1111" s="520" t="s">
        <v>9686</v>
      </c>
    </row>
    <row r="1112" spans="1:6" s="646" customFormat="1">
      <c r="A1112" s="882" t="s">
        <v>8650</v>
      </c>
      <c r="E1112" s="532" t="str">
        <f>IF(calcCh4Prod2Slot3Active=1,finCalcCh4Prod2Slot3VolSold,"")</f>
        <v/>
      </c>
      <c r="F1112" s="520" t="s">
        <v>8828</v>
      </c>
    </row>
    <row r="1113" spans="1:6">
      <c r="A1113" s="882" t="s">
        <v>9063</v>
      </c>
      <c r="B1113" s="800"/>
      <c r="C1113" s="800"/>
      <c r="D1113" s="800"/>
      <c r="E1113" s="885" t="str">
        <f>IF(calcCh4Prod2Slot3Active=1,cbalCh4Prod2Slot3NetRev/cbalCh4Prod2Slot3SoldVol,"")</f>
        <v/>
      </c>
      <c r="F1113" s="520" t="s">
        <v>9687</v>
      </c>
    </row>
    <row r="1114" spans="1:6">
      <c r="A1114" s="882" t="s">
        <v>9064</v>
      </c>
      <c r="B1114" s="800"/>
      <c r="C1114" s="800"/>
      <c r="D1114" s="800"/>
      <c r="E1114" s="885" t="str">
        <f>IF(calcCh4Prod2Slot3Active=1,cbalCh4Prod2Slot3GPaL/cbalCh4Prod2Slot3SoldVol,"")</f>
        <v/>
      </c>
      <c r="F1114" s="520" t="s">
        <v>9688</v>
      </c>
    </row>
    <row r="1115" spans="1:6">
      <c r="A1115" s="882" t="s">
        <v>9068</v>
      </c>
      <c r="B1115" s="800"/>
      <c r="C1115" s="800"/>
      <c r="D1115" s="800"/>
      <c r="E1115" s="885" t="str">
        <f>IF(calcCh4Prod2Slot3Active=1,calcCh4Prod2Slot3CustPrice,"")</f>
        <v/>
      </c>
      <c r="F1115" s="520" t="s">
        <v>9689</v>
      </c>
    </row>
    <row r="1116" spans="1:6">
      <c r="A1116" s="882" t="s">
        <v>11554</v>
      </c>
      <c r="B1116" s="800"/>
      <c r="C1116" s="800"/>
      <c r="D1116" s="800"/>
      <c r="E1116" s="885" t="str">
        <f>IF(calcCh4Prod2Slot3Active=1,calcCh4Prod2Slot3Promo1CustPrice,"")</f>
        <v/>
      </c>
      <c r="F1116" s="520" t="s">
        <v>12408</v>
      </c>
    </row>
    <row r="1117" spans="1:6">
      <c r="A1117" s="882" t="s">
        <v>4410</v>
      </c>
      <c r="B1117" s="800"/>
      <c r="C1117" s="800"/>
      <c r="D1117" s="800"/>
      <c r="E1117" s="885" t="str">
        <f>IF(calcCh4Prod2Slot3Active=1,calcCh4Prod2Slot3AvgSalePrice,"")</f>
        <v/>
      </c>
      <c r="F1117" s="520" t="s">
        <v>9690</v>
      </c>
    </row>
    <row r="1118" spans="1:6">
      <c r="A1118" s="882" t="s">
        <v>3329</v>
      </c>
      <c r="B1118" s="800"/>
      <c r="C1118" s="800"/>
      <c r="D1118" s="800"/>
      <c r="E1118" s="532" t="str">
        <f>IF(calcCh4Prod2Slot3Active=1,calcCh4Prod2Slot3Pack,"")</f>
        <v/>
      </c>
      <c r="F1118" s="520" t="s">
        <v>9691</v>
      </c>
    </row>
    <row r="1119" spans="1:6">
      <c r="A1119" s="882" t="s">
        <v>5912</v>
      </c>
      <c r="B1119" s="800"/>
      <c r="C1119" s="800"/>
      <c r="D1119" s="800"/>
      <c r="E1119" s="870" t="str">
        <f>IF(calcCh4Prod2Slot3Active=1,calcCh4Prod2Slot3Promo1PlanShare,"")</f>
        <v/>
      </c>
      <c r="F1119" s="520" t="s">
        <v>12409</v>
      </c>
    </row>
    <row r="1120" spans="1:6">
      <c r="A1120" s="882" t="s">
        <v>11563</v>
      </c>
      <c r="B1120" s="800"/>
      <c r="C1120" s="800"/>
      <c r="D1120" s="800"/>
      <c r="E1120" s="961" t="str">
        <f>calcCh4Prod2Slot3Promo1ROI</f>
        <v/>
      </c>
      <c r="F1120" s="520" t="s">
        <v>12410</v>
      </c>
    </row>
    <row r="1121" spans="1:6">
      <c r="A1121" s="882" t="s">
        <v>3674</v>
      </c>
      <c r="B1121" s="800"/>
      <c r="C1121" s="800"/>
      <c r="D1121" s="800"/>
      <c r="E1121" s="961" t="str">
        <f>IF(calcCh4Prod2Slot3Active=1,calcCh4Prod2Slot3WD,"")</f>
        <v/>
      </c>
      <c r="F1121" s="520" t="s">
        <v>9692</v>
      </c>
    </row>
    <row r="1122" spans="1:6">
      <c r="A1122" s="882" t="s">
        <v>4413</v>
      </c>
      <c r="B1122" s="800"/>
      <c r="C1122" s="800"/>
      <c r="D1122" s="800"/>
      <c r="E1122" s="961" t="str">
        <f>calcCh4Prod2Slot3Promo1GPaLUplift</f>
        <v/>
      </c>
      <c r="F1122" s="520" t="s">
        <v>12610</v>
      </c>
    </row>
    <row r="1123" spans="1:6" s="800" customFormat="1">
      <c r="A1123" s="882" t="s">
        <v>11388</v>
      </c>
      <c r="E1123" s="961" t="str">
        <f>calcCh4Prod2Slot3Promo1VolUplift</f>
        <v/>
      </c>
      <c r="F1123" s="520" t="s">
        <v>12706</v>
      </c>
    </row>
    <row r="1124" spans="1:6">
      <c r="A1124" s="882" t="s">
        <v>5195</v>
      </c>
      <c r="B1124" s="800"/>
      <c r="C1124" s="800"/>
      <c r="D1124" s="800"/>
      <c r="E1124" s="961" t="str">
        <f>calcCh4Prod2Slot3Promo1CustUplift</f>
        <v/>
      </c>
      <c r="F1124" s="520" t="s">
        <v>12411</v>
      </c>
    </row>
    <row r="1125" spans="1:6">
      <c r="A1125" s="882" t="s">
        <v>157</v>
      </c>
      <c r="B1125" s="800"/>
      <c r="C1125" s="800"/>
      <c r="D1125" s="800"/>
      <c r="E1125" s="532" t="str">
        <f>IF(calcCh4Prod2Slot3Active=1,finPNLCh4Prod2Slot3TotalCOGs,"")</f>
        <v/>
      </c>
      <c r="F1125" s="520" t="s">
        <v>10557</v>
      </c>
    </row>
    <row r="1126" spans="1:6">
      <c r="A1126" s="882" t="s">
        <v>10370</v>
      </c>
      <c r="B1126" s="800"/>
      <c r="C1126" s="800"/>
      <c r="D1126" s="800"/>
      <c r="E1126" s="885" t="str">
        <f>IF(decCh4Prod2Slot3Active=1,finPNLCh4Prod2Slot3TotalCOGs/cbalCh4Prod2Slot3SoldVol,"")</f>
        <v/>
      </c>
      <c r="F1126" s="520" t="s">
        <v>10460</v>
      </c>
    </row>
    <row r="1127" spans="1:6" s="800" customFormat="1">
      <c r="A1127" s="882" t="s">
        <v>5661</v>
      </c>
      <c r="B1127" s="646"/>
      <c r="C1127" s="646"/>
      <c r="D1127" s="646"/>
      <c r="F1127" s="520"/>
    </row>
    <row r="1128" spans="1:6" s="800" customFormat="1">
      <c r="A1128" s="277" t="s">
        <v>239</v>
      </c>
      <c r="B1128" s="646"/>
      <c r="C1128" s="646"/>
      <c r="D1128" s="646"/>
      <c r="F1128" s="646"/>
    </row>
    <row r="1129" spans="1:6" s="800" customFormat="1">
      <c r="A1129" s="277" t="s">
        <v>3859</v>
      </c>
      <c r="B1129" s="646"/>
      <c r="C1129" s="646"/>
      <c r="D1129" s="646"/>
      <c r="F1129" s="646"/>
    </row>
    <row r="1130" spans="1:6" s="646" customFormat="1">
      <c r="A1130" s="882" t="s">
        <v>8649</v>
      </c>
      <c r="E1130" s="532">
        <f>IF(calcCh4Prod3Slot1Active=1,finPNLCh4Prod3Slot1TotalRev,"")</f>
        <v>110478246.4072157</v>
      </c>
      <c r="F1130" s="520" t="s">
        <v>8829</v>
      </c>
    </row>
    <row r="1131" spans="1:6">
      <c r="A1131" s="882" t="s">
        <v>521</v>
      </c>
      <c r="B1131" s="800"/>
      <c r="C1131" s="800"/>
      <c r="D1131" s="800"/>
      <c r="E1131" s="532">
        <f>IF(calcCh4Prod3Slot1Active=1,finPNLCh4Prod3Slot1GPaL,0)</f>
        <v>58767510.985484987</v>
      </c>
      <c r="F1131" s="520" t="s">
        <v>9693</v>
      </c>
    </row>
    <row r="1132" spans="1:6">
      <c r="A1132" s="882" t="s">
        <v>8650</v>
      </c>
      <c r="B1132" s="800"/>
      <c r="C1132" s="800"/>
      <c r="D1132" s="800"/>
      <c r="E1132" s="532">
        <f>IF(calcCh4Prod3Slot1Active=1,finCalcCh4Prod3Slot1VolSold,"")</f>
        <v>23547720</v>
      </c>
      <c r="F1132" s="520" t="s">
        <v>8830</v>
      </c>
    </row>
    <row r="1133" spans="1:6">
      <c r="A1133" s="882" t="s">
        <v>9063</v>
      </c>
      <c r="B1133" s="800"/>
      <c r="C1133" s="800"/>
      <c r="D1133" s="800"/>
      <c r="E1133" s="885">
        <f>IF(calcCh4Prod3Slot1Active=1,cbalCh4Prod3Slot1NetRev/cbalCh4Prod3Slot1SoldVol,"")</f>
        <v>4.6916748800824752</v>
      </c>
      <c r="F1133" s="520" t="s">
        <v>9694</v>
      </c>
    </row>
    <row r="1134" spans="1:6">
      <c r="A1134" s="882" t="s">
        <v>9064</v>
      </c>
      <c r="B1134" s="800"/>
      <c r="C1134" s="800"/>
      <c r="D1134" s="800"/>
      <c r="E1134" s="885">
        <f>IF(calcCh4Prod3Slot1Active=1,cbalCh4Prod3Slot1GPaL/cbalCh4Prod3Slot1SoldVol,"")</f>
        <v>2.4956773303523647</v>
      </c>
      <c r="F1134" s="520" t="s">
        <v>9695</v>
      </c>
    </row>
    <row r="1135" spans="1:6">
      <c r="A1135" s="882" t="s">
        <v>9068</v>
      </c>
      <c r="B1135" s="800"/>
      <c r="C1135" s="800"/>
      <c r="D1135" s="800"/>
      <c r="E1135" s="885">
        <f>IF(calcCh4Prod3Slot1Active=1,calcCh4Prod3Slot1CustPrice,"")</f>
        <v>7.2</v>
      </c>
      <c r="F1135" s="520" t="s">
        <v>9696</v>
      </c>
    </row>
    <row r="1136" spans="1:6">
      <c r="A1136" s="882" t="s">
        <v>11554</v>
      </c>
      <c r="B1136" s="800"/>
      <c r="C1136" s="800"/>
      <c r="D1136" s="800"/>
      <c r="E1136" s="885">
        <f>IF(calcCh4Prod3Slot1Active=1,calcCh4Prod3Slot1Promo1CustPrice,"")</f>
        <v>7.2</v>
      </c>
      <c r="F1136" s="520" t="s">
        <v>12412</v>
      </c>
    </row>
    <row r="1137" spans="1:6">
      <c r="A1137" s="882" t="s">
        <v>4410</v>
      </c>
      <c r="B1137" s="800"/>
      <c r="C1137" s="800"/>
      <c r="D1137" s="800"/>
      <c r="E1137" s="885">
        <f>IF(calcCh4Prod3Slot1Active=1,calcCh4Prod3Slot1AvgSalePrice,"")</f>
        <v>7.2</v>
      </c>
      <c r="F1137" s="520" t="s">
        <v>9697</v>
      </c>
    </row>
    <row r="1138" spans="1:6">
      <c r="A1138" s="882" t="s">
        <v>3329</v>
      </c>
      <c r="B1138" s="646"/>
      <c r="C1138" s="646"/>
      <c r="D1138" s="646"/>
      <c r="E1138" s="532" t="str">
        <f>IF(calcCh4Prod3Slot1Active=1,calcCh4Prod3Slot1Pack,"")</f>
        <v>25Ltr Keg</v>
      </c>
      <c r="F1138" s="520" t="s">
        <v>9698</v>
      </c>
    </row>
    <row r="1139" spans="1:6">
      <c r="A1139" s="882" t="s">
        <v>5912</v>
      </c>
      <c r="B1139" s="646"/>
      <c r="C1139" s="646"/>
      <c r="D1139" s="646"/>
      <c r="E1139" s="870">
        <f>IF(calcCh4Prod3Slot1Active=1,calcCh4Prod3Slot1Promo1PlanShare,"")</f>
        <v>0</v>
      </c>
      <c r="F1139" s="520" t="s">
        <v>12413</v>
      </c>
    </row>
    <row r="1140" spans="1:6">
      <c r="A1140" s="882" t="s">
        <v>11563</v>
      </c>
      <c r="B1140" s="646"/>
      <c r="C1140" s="646"/>
      <c r="D1140" s="646"/>
      <c r="E1140" s="961" t="str">
        <f>calcCh4Prod3Slot1Promo1ROI</f>
        <v/>
      </c>
      <c r="F1140" s="520" t="s">
        <v>12414</v>
      </c>
    </row>
    <row r="1141" spans="1:6">
      <c r="A1141" s="882" t="s">
        <v>3674</v>
      </c>
      <c r="B1141" s="646"/>
      <c r="C1141" s="646"/>
      <c r="D1141" s="646"/>
      <c r="E1141" s="961">
        <f>IF(calcCh4Prod3Slot1Active=1,calcCh4Prod3Slot1WD,"")</f>
        <v>0.81</v>
      </c>
      <c r="F1141" s="520" t="s">
        <v>9699</v>
      </c>
    </row>
    <row r="1142" spans="1:6">
      <c r="A1142" s="882" t="s">
        <v>4413</v>
      </c>
      <c r="B1142" s="646"/>
      <c r="C1142" s="646"/>
      <c r="D1142" s="646"/>
      <c r="E1142" s="961" t="str">
        <f>calcCh4Prod3Slot1Promo1GPaLUplift</f>
        <v/>
      </c>
      <c r="F1142" s="520" t="s">
        <v>12611</v>
      </c>
    </row>
    <row r="1143" spans="1:6" s="800" customFormat="1">
      <c r="A1143" s="882" t="s">
        <v>11388</v>
      </c>
      <c r="B1143" s="646"/>
      <c r="C1143" s="646"/>
      <c r="D1143" s="646"/>
      <c r="E1143" s="961" t="str">
        <f>calcCh4Prod3Slot1Promo1VolUplift</f>
        <v/>
      </c>
      <c r="F1143" s="520" t="s">
        <v>12707</v>
      </c>
    </row>
    <row r="1144" spans="1:6">
      <c r="A1144" s="882" t="s">
        <v>5195</v>
      </c>
      <c r="B1144" s="646"/>
      <c r="C1144" s="646"/>
      <c r="D1144" s="646"/>
      <c r="E1144" s="961" t="str">
        <f>calcCh4Prod3Slot1Promo1CustUplift</f>
        <v/>
      </c>
      <c r="F1144" s="520" t="s">
        <v>12415</v>
      </c>
    </row>
    <row r="1145" spans="1:6">
      <c r="A1145" s="882" t="s">
        <v>157</v>
      </c>
      <c r="B1145" s="646"/>
      <c r="C1145" s="646"/>
      <c r="D1145" s="646"/>
      <c r="E1145" s="532">
        <f>IF(calcCh4Prod3Slot1Active=1,finPNLCh4Prod3Slot1TotalCOGs,"")</f>
        <v>46213953.961520188</v>
      </c>
      <c r="F1145" s="520" t="s">
        <v>10558</v>
      </c>
    </row>
    <row r="1146" spans="1:6" s="800" customFormat="1">
      <c r="A1146" s="882" t="s">
        <v>10370</v>
      </c>
      <c r="B1146" s="646"/>
      <c r="C1146" s="646"/>
      <c r="D1146" s="646"/>
      <c r="E1146" s="885">
        <f>IF(decCh4Prod3Slot1Active=1,finPNLCh4Prod3Slot1TotalCOGs/cbalCh4Prod3Slot1SoldVol,"")</f>
        <v>1.9625659707827419</v>
      </c>
      <c r="F1146" s="520" t="s">
        <v>10461</v>
      </c>
    </row>
    <row r="1147" spans="1:6" s="800" customFormat="1">
      <c r="A1147" s="277" t="s">
        <v>3858</v>
      </c>
      <c r="B1147" s="646"/>
      <c r="C1147" s="646"/>
      <c r="D1147" s="646"/>
      <c r="E1147" s="961"/>
      <c r="F1147" s="646"/>
    </row>
    <row r="1148" spans="1:6" s="800" customFormat="1">
      <c r="A1148" s="882" t="s">
        <v>8649</v>
      </c>
      <c r="B1148" s="646"/>
      <c r="C1148" s="646"/>
      <c r="D1148" s="646"/>
      <c r="E1148" s="532" t="str">
        <f>IF(calcCh4Prod3Slot2Active=1,finPNLCh4Prod3Slot2TotalRev,"")</f>
        <v/>
      </c>
      <c r="F1148" s="520" t="s">
        <v>8831</v>
      </c>
    </row>
    <row r="1149" spans="1:6" s="646" customFormat="1">
      <c r="A1149" s="882" t="s">
        <v>521</v>
      </c>
      <c r="E1149" s="532">
        <f>IF(calcCh4Prod3Slot2Active=1,finPNLCh4Prod3Slot2GPaL,0)</f>
        <v>0</v>
      </c>
      <c r="F1149" s="520" t="s">
        <v>9700</v>
      </c>
    </row>
    <row r="1150" spans="1:6">
      <c r="A1150" s="882" t="s">
        <v>8650</v>
      </c>
      <c r="B1150" s="646"/>
      <c r="C1150" s="646"/>
      <c r="D1150" s="646"/>
      <c r="E1150" s="532" t="str">
        <f>IF(calcCh4Prod3Slot2Active=1,finCalcCh4Prod3Slot2VolSold,"")</f>
        <v/>
      </c>
      <c r="F1150" s="520" t="s">
        <v>8832</v>
      </c>
    </row>
    <row r="1151" spans="1:6">
      <c r="A1151" s="882" t="s">
        <v>9063</v>
      </c>
      <c r="B1151" s="646"/>
      <c r="C1151" s="646"/>
      <c r="D1151" s="646"/>
      <c r="E1151" s="885" t="str">
        <f>IF(calcCh4Prod3Slot2Active=1,cbalCh4Prod3Slot2NetRev/cbalCh4Prod3Slot2SoldVol,"")</f>
        <v/>
      </c>
      <c r="F1151" s="520" t="s">
        <v>9701</v>
      </c>
    </row>
    <row r="1152" spans="1:6">
      <c r="A1152" s="882" t="s">
        <v>9064</v>
      </c>
      <c r="B1152" s="646"/>
      <c r="C1152" s="646"/>
      <c r="D1152" s="646"/>
      <c r="E1152" s="885" t="str">
        <f>IF(calcCh4Prod3Slot2Active=1,cbalCh4Prod3Slot2GPaL/cbalCh4Prod3Slot2SoldVol,"")</f>
        <v/>
      </c>
      <c r="F1152" s="520" t="s">
        <v>9702</v>
      </c>
    </row>
    <row r="1153" spans="1:6">
      <c r="A1153" s="882" t="s">
        <v>9068</v>
      </c>
      <c r="B1153" s="646"/>
      <c r="C1153" s="646"/>
      <c r="D1153" s="646"/>
      <c r="E1153" s="885" t="str">
        <f>IF(calcCh4Prod3Slot2Active=1,calcCh4Prod3Slot2CustPrice,"")</f>
        <v/>
      </c>
      <c r="F1153" s="520" t="s">
        <v>9703</v>
      </c>
    </row>
    <row r="1154" spans="1:6">
      <c r="A1154" s="882" t="s">
        <v>11554</v>
      </c>
      <c r="B1154" s="646"/>
      <c r="C1154" s="646"/>
      <c r="D1154" s="646"/>
      <c r="E1154" s="885" t="str">
        <f>IF(calcCh4Prod3Slot2Active=1,calcCh4Prod3Slot2Promo1CustPrice,"")</f>
        <v/>
      </c>
      <c r="F1154" s="520" t="s">
        <v>12416</v>
      </c>
    </row>
    <row r="1155" spans="1:6">
      <c r="A1155" s="882" t="s">
        <v>4410</v>
      </c>
      <c r="B1155" s="646"/>
      <c r="C1155" s="646"/>
      <c r="D1155" s="646"/>
      <c r="E1155" s="885" t="str">
        <f>IF(calcCh4Prod3Slot2Active=1,calcCh4Prod3Slot2AvgSalePrice,"")</f>
        <v/>
      </c>
      <c r="F1155" s="520" t="s">
        <v>9704</v>
      </c>
    </row>
    <row r="1156" spans="1:6">
      <c r="A1156" s="882" t="s">
        <v>3329</v>
      </c>
      <c r="B1156" s="646"/>
      <c r="C1156" s="646"/>
      <c r="D1156" s="646"/>
      <c r="E1156" s="532" t="str">
        <f>IF(calcCh4Prod3Slot2Active=1,calcCh4Prod3Slot2Pack,"")</f>
        <v/>
      </c>
      <c r="F1156" s="520" t="s">
        <v>9705</v>
      </c>
    </row>
    <row r="1157" spans="1:6">
      <c r="A1157" s="882" t="s">
        <v>5912</v>
      </c>
      <c r="B1157" s="646"/>
      <c r="C1157" s="646"/>
      <c r="D1157" s="646"/>
      <c r="E1157" s="870" t="str">
        <f>IF(calcCh4Prod3Slot2Active=1,calcCh4Prod3Slot2Promo1PlanShare,"")</f>
        <v/>
      </c>
      <c r="F1157" s="520" t="s">
        <v>12417</v>
      </c>
    </row>
    <row r="1158" spans="1:6">
      <c r="A1158" s="882" t="s">
        <v>11563</v>
      </c>
      <c r="B1158" s="646"/>
      <c r="C1158" s="646"/>
      <c r="D1158" s="646"/>
      <c r="E1158" s="961" t="str">
        <f>calcCh4Prod3Slot2Promo1ROI</f>
        <v/>
      </c>
      <c r="F1158" s="520" t="s">
        <v>12418</v>
      </c>
    </row>
    <row r="1159" spans="1:6">
      <c r="A1159" s="882" t="s">
        <v>3674</v>
      </c>
      <c r="B1159" s="646"/>
      <c r="C1159" s="646"/>
      <c r="D1159" s="646"/>
      <c r="E1159" s="961" t="str">
        <f>IF(calcCh4Prod3Slot2Active=1,calcCh4Prod3Slot2WD,"")</f>
        <v/>
      </c>
      <c r="F1159" s="520" t="s">
        <v>9706</v>
      </c>
    </row>
    <row r="1160" spans="1:6">
      <c r="A1160" s="882" t="s">
        <v>4413</v>
      </c>
      <c r="B1160" s="646"/>
      <c r="C1160" s="646"/>
      <c r="D1160" s="646"/>
      <c r="E1160" s="961" t="str">
        <f>calcCh4Prod3Slot2Promo1GPaLUplift</f>
        <v/>
      </c>
      <c r="F1160" s="520" t="s">
        <v>12612</v>
      </c>
    </row>
    <row r="1161" spans="1:6" s="800" customFormat="1">
      <c r="A1161" s="882" t="s">
        <v>11388</v>
      </c>
      <c r="B1161" s="646"/>
      <c r="C1161" s="646"/>
      <c r="D1161" s="646"/>
      <c r="E1161" s="961" t="str">
        <f>calcCh4Prod3Slot2Promo1VolUplift</f>
        <v/>
      </c>
      <c r="F1161" s="520" t="s">
        <v>12708</v>
      </c>
    </row>
    <row r="1162" spans="1:6">
      <c r="A1162" s="882" t="s">
        <v>5195</v>
      </c>
      <c r="B1162" s="646"/>
      <c r="C1162" s="646"/>
      <c r="D1162" s="646"/>
      <c r="E1162" s="961" t="str">
        <f>calcCh4Prod3Slot2Promo1CustUplift</f>
        <v/>
      </c>
      <c r="F1162" s="520" t="s">
        <v>12419</v>
      </c>
    </row>
    <row r="1163" spans="1:6">
      <c r="A1163" s="882" t="s">
        <v>157</v>
      </c>
      <c r="B1163" s="802"/>
      <c r="C1163" s="802"/>
      <c r="D1163" s="802"/>
      <c r="E1163" s="532" t="str">
        <f>IF(calcCh4Prod3Slot2Active=1,finPNLCh4Prod3Slot2TotalCOGs,"")</f>
        <v/>
      </c>
      <c r="F1163" s="520" t="s">
        <v>10559</v>
      </c>
    </row>
    <row r="1164" spans="1:6" s="800" customFormat="1">
      <c r="A1164" s="882" t="s">
        <v>10370</v>
      </c>
      <c r="B1164" s="646"/>
      <c r="C1164" s="646"/>
      <c r="D1164" s="646"/>
      <c r="E1164" s="885" t="str">
        <f>IF(decCh4Prod3Slot2Active=1,finPNLCh4Prod3Slot2TotalCOGs/cbalCh4Prod3Slot2SoldVol,"")</f>
        <v/>
      </c>
      <c r="F1164" s="520" t="s">
        <v>10462</v>
      </c>
    </row>
    <row r="1165" spans="1:6" s="800" customFormat="1">
      <c r="A1165" s="277" t="s">
        <v>3860</v>
      </c>
      <c r="B1165" s="646"/>
      <c r="C1165" s="646"/>
      <c r="D1165" s="646"/>
      <c r="F1165" s="646"/>
    </row>
    <row r="1166" spans="1:6" s="800" customFormat="1">
      <c r="A1166" s="882" t="s">
        <v>8649</v>
      </c>
      <c r="B1166" s="646"/>
      <c r="C1166" s="646"/>
      <c r="D1166" s="646"/>
      <c r="E1166" s="532" t="str">
        <f>IF(calcCh4Prod3Slot3Active=1,finPNLCh4Prod3Slot3TotalRev,"")</f>
        <v/>
      </c>
      <c r="F1166" s="520" t="s">
        <v>8833</v>
      </c>
    </row>
    <row r="1167" spans="1:6" s="646" customFormat="1">
      <c r="A1167" s="882" t="s">
        <v>521</v>
      </c>
      <c r="E1167" s="532">
        <f>IF(calcCh4Prod3Slot3Active=1,finPNLCh4Prod3Slot3GPaL,0)</f>
        <v>0</v>
      </c>
      <c r="F1167" s="520" t="s">
        <v>9707</v>
      </c>
    </row>
    <row r="1168" spans="1:6">
      <c r="A1168" s="882" t="s">
        <v>8650</v>
      </c>
      <c r="B1168" s="800"/>
      <c r="C1168" s="800"/>
      <c r="D1168" s="800"/>
      <c r="E1168" s="532" t="str">
        <f>IF(calcCh4Prod3Slot3Active=1,finCalcCh4Prod3Slot3VolSold,"")</f>
        <v/>
      </c>
      <c r="F1168" s="520" t="s">
        <v>8834</v>
      </c>
    </row>
    <row r="1169" spans="1:6">
      <c r="A1169" s="882" t="s">
        <v>9063</v>
      </c>
      <c r="B1169" s="800"/>
      <c r="C1169" s="800"/>
      <c r="D1169" s="800"/>
      <c r="E1169" s="885" t="str">
        <f>IF(calcCh4Prod3Slot3Active=1,cbalCh4Prod3Slot3NetRev/cbalCh4Prod3Slot3SoldVol,"")</f>
        <v/>
      </c>
      <c r="F1169" s="520" t="s">
        <v>9708</v>
      </c>
    </row>
    <row r="1170" spans="1:6">
      <c r="A1170" s="882" t="s">
        <v>9064</v>
      </c>
      <c r="B1170" s="800"/>
      <c r="C1170" s="800"/>
      <c r="D1170" s="800"/>
      <c r="E1170" s="885" t="str">
        <f>IF(calcCh4Prod3Slot3Active=1,cbalCh4Prod3Slot3GPaL/cbalCh4Prod3Slot3SoldVol,"")</f>
        <v/>
      </c>
      <c r="F1170" s="520" t="s">
        <v>9709</v>
      </c>
    </row>
    <row r="1171" spans="1:6">
      <c r="A1171" s="882" t="s">
        <v>9068</v>
      </c>
      <c r="B1171" s="800"/>
      <c r="C1171" s="800"/>
      <c r="D1171" s="800"/>
      <c r="E1171" s="885" t="str">
        <f>IF(calcCh4Prod3Slot3Active=1,calcCh4Prod3Slot3CustPrice,"")</f>
        <v/>
      </c>
      <c r="F1171" s="520" t="s">
        <v>9710</v>
      </c>
    </row>
    <row r="1172" spans="1:6">
      <c r="A1172" s="882" t="s">
        <v>11554</v>
      </c>
      <c r="B1172" s="800"/>
      <c r="C1172" s="800"/>
      <c r="D1172" s="800"/>
      <c r="E1172" s="885" t="str">
        <f>IF(calcCh4Prod3Slot3Active=1,calcCh4Prod3Slot3Promo1CustPrice,"")</f>
        <v/>
      </c>
      <c r="F1172" s="520" t="s">
        <v>12420</v>
      </c>
    </row>
    <row r="1173" spans="1:6">
      <c r="A1173" s="882" t="s">
        <v>4410</v>
      </c>
      <c r="B1173" s="800"/>
      <c r="C1173" s="800"/>
      <c r="D1173" s="800"/>
      <c r="E1173" s="885" t="str">
        <f>IF(calcCh4Prod3Slot3Active=1,calcCh4Prod3Slot3AvgSalePrice,"")</f>
        <v/>
      </c>
      <c r="F1173" s="520" t="s">
        <v>9711</v>
      </c>
    </row>
    <row r="1174" spans="1:6">
      <c r="A1174" s="882" t="s">
        <v>3329</v>
      </c>
      <c r="B1174" s="800"/>
      <c r="C1174" s="800"/>
      <c r="D1174" s="800"/>
      <c r="E1174" s="532" t="str">
        <f>IF(calcCh4Prod3Slot3Active=1,calcCh4Prod3Slot3Pack,"")</f>
        <v/>
      </c>
      <c r="F1174" s="520" t="s">
        <v>9712</v>
      </c>
    </row>
    <row r="1175" spans="1:6">
      <c r="A1175" s="882" t="s">
        <v>5912</v>
      </c>
      <c r="B1175" s="800"/>
      <c r="C1175" s="800"/>
      <c r="D1175" s="800"/>
      <c r="E1175" s="870" t="str">
        <f>IF(calcCh4Prod3Slot3Active=1,calcCh4Prod3Slot3Promo1PlanShare,"")</f>
        <v/>
      </c>
      <c r="F1175" s="520" t="s">
        <v>12421</v>
      </c>
    </row>
    <row r="1176" spans="1:6">
      <c r="A1176" s="882" t="s">
        <v>11563</v>
      </c>
      <c r="B1176" s="800"/>
      <c r="C1176" s="800"/>
      <c r="D1176" s="800"/>
      <c r="E1176" s="961" t="str">
        <f>calcCh4Prod3Slot3Promo1ROI</f>
        <v/>
      </c>
      <c r="F1176" s="520" t="s">
        <v>12422</v>
      </c>
    </row>
    <row r="1177" spans="1:6">
      <c r="A1177" s="882" t="s">
        <v>3674</v>
      </c>
      <c r="B1177" s="800"/>
      <c r="C1177" s="800"/>
      <c r="D1177" s="800"/>
      <c r="E1177" s="961" t="str">
        <f>IF(calcCh4Prod3Slot3Active=1,calcCh4Prod3Slot3WD,"")</f>
        <v/>
      </c>
      <c r="F1177" s="520" t="s">
        <v>9713</v>
      </c>
    </row>
    <row r="1178" spans="1:6">
      <c r="A1178" s="882" t="s">
        <v>4413</v>
      </c>
      <c r="B1178" s="800"/>
      <c r="C1178" s="800"/>
      <c r="D1178" s="800"/>
      <c r="E1178" s="961" t="str">
        <f>calcCh4Prod3Slot3Promo1GPaLUplift</f>
        <v/>
      </c>
      <c r="F1178" s="520" t="s">
        <v>12613</v>
      </c>
    </row>
    <row r="1179" spans="1:6" s="800" customFormat="1">
      <c r="A1179" s="882" t="s">
        <v>11388</v>
      </c>
      <c r="E1179" s="961" t="str">
        <f>calcCh4Prod3Slot3Promo1VolUplift</f>
        <v/>
      </c>
      <c r="F1179" s="520" t="s">
        <v>12709</v>
      </c>
    </row>
    <row r="1180" spans="1:6">
      <c r="A1180" s="882" t="s">
        <v>5195</v>
      </c>
      <c r="B1180" s="800"/>
      <c r="C1180" s="800"/>
      <c r="D1180" s="800"/>
      <c r="E1180" s="961" t="str">
        <f>calcCh4Prod3Slot3Promo1CustUplift</f>
        <v/>
      </c>
      <c r="F1180" s="520" t="s">
        <v>12423</v>
      </c>
    </row>
    <row r="1181" spans="1:6">
      <c r="A1181" s="882" t="s">
        <v>157</v>
      </c>
      <c r="B1181" s="800"/>
      <c r="C1181" s="800"/>
      <c r="D1181" s="800"/>
      <c r="E1181" s="532" t="str">
        <f>IF(calcCh4Prod3Slot3Active=1,finPNLCh4Prod3Slot3TotalCOGs,"")</f>
        <v/>
      </c>
      <c r="F1181" s="520" t="s">
        <v>10560</v>
      </c>
    </row>
    <row r="1182" spans="1:6" s="800" customFormat="1">
      <c r="A1182" s="882" t="s">
        <v>10370</v>
      </c>
      <c r="B1182" s="646"/>
      <c r="C1182" s="646"/>
      <c r="D1182" s="646"/>
      <c r="E1182" s="885" t="str">
        <f>IF(decCh4Prod3Slot3Active=1,finPNLCh4Prod3Slot3TotalCOGs/cbalCh4Prod3Slot3SoldVol,"")</f>
        <v/>
      </c>
      <c r="F1182" s="520" t="s">
        <v>10463</v>
      </c>
    </row>
    <row r="1183" spans="1:6" s="800" customFormat="1">
      <c r="A1183" s="882" t="s">
        <v>5661</v>
      </c>
      <c r="B1183" s="646"/>
      <c r="C1183" s="646"/>
      <c r="D1183" s="646"/>
      <c r="F1183" s="520"/>
    </row>
    <row r="1184" spans="1:6" s="800" customFormat="1">
      <c r="A1184" s="277" t="s">
        <v>240</v>
      </c>
      <c r="B1184" s="646"/>
      <c r="C1184" s="646"/>
      <c r="D1184" s="646"/>
      <c r="F1184" s="646"/>
    </row>
    <row r="1185" spans="1:6" s="646" customFormat="1">
      <c r="A1185" s="277" t="s">
        <v>3859</v>
      </c>
      <c r="E1185" s="800"/>
    </row>
    <row r="1186" spans="1:6">
      <c r="A1186" s="882" t="s">
        <v>8649</v>
      </c>
      <c r="E1186" s="532">
        <f>IF(calcCh4Prod4Slot1Active=1,finPNLCh4Prod4Slot1TotalRev,"")</f>
        <v>337933987.25</v>
      </c>
      <c r="F1186" s="520" t="s">
        <v>8835</v>
      </c>
    </row>
    <row r="1187" spans="1:6" s="800" customFormat="1">
      <c r="A1187" s="882" t="s">
        <v>521</v>
      </c>
      <c r="E1187" s="532">
        <f>IF(calcCh4Prod4Slot1Active=1,finPNLCh4Prod4Slot1GPaL,0)</f>
        <v>178295081.47302654</v>
      </c>
      <c r="F1187" s="520" t="s">
        <v>9714</v>
      </c>
    </row>
    <row r="1188" spans="1:6" s="800" customFormat="1">
      <c r="A1188" s="882" t="s">
        <v>8650</v>
      </c>
      <c r="E1188" s="532">
        <f>IF(calcCh4Prod4Slot1Active=1,finCalcCh4Prod4Slot1VolSold,"")</f>
        <v>60600750</v>
      </c>
      <c r="F1188" s="520" t="s">
        <v>8836</v>
      </c>
    </row>
    <row r="1189" spans="1:6" s="800" customFormat="1">
      <c r="A1189" s="882" t="s">
        <v>9063</v>
      </c>
      <c r="E1189" s="885">
        <f>IF(AND(calcCh4Prod4Slot1Active=1,calcCh4Prod4Slot1VolForecastSlot&lt;&gt;0),cbalCh4Prod4Slot1NetRev/cbalCh4Prod4Slot1SoldVol,"")</f>
        <v>5.5763994216243198</v>
      </c>
      <c r="F1189" s="520" t="s">
        <v>9715</v>
      </c>
    </row>
    <row r="1190" spans="1:6" s="800" customFormat="1">
      <c r="A1190" s="882" t="s">
        <v>9064</v>
      </c>
      <c r="E1190" s="885">
        <f>IF(AND(calcCh4Prod4Slot1Active=1,calcCh4Prod4Slot1VolForecastSlot&lt;&gt;0),cbalCh4Prod4Slot1GPaL/cbalCh4Prod4Slot1SoldVol,"")</f>
        <v>2.9421266481524824</v>
      </c>
      <c r="F1190" s="520" t="s">
        <v>9716</v>
      </c>
    </row>
    <row r="1191" spans="1:6" s="800" customFormat="1">
      <c r="A1191" s="882" t="s">
        <v>9068</v>
      </c>
      <c r="E1191" s="885">
        <f>IF(calcCh4Prod4Slot1Active=1,calcCh4Prod4Slot1CustPrice,"")</f>
        <v>8.35</v>
      </c>
      <c r="F1191" s="520" t="s">
        <v>9717</v>
      </c>
    </row>
    <row r="1192" spans="1:6" s="800" customFormat="1">
      <c r="A1192" s="882" t="s">
        <v>11554</v>
      </c>
      <c r="E1192" s="885">
        <f>IF(calcCh4Prod4Slot1Active=1,calcCh4Prod4Slot1Promo1CustPrice,"")</f>
        <v>6.68</v>
      </c>
      <c r="F1192" s="520" t="s">
        <v>12424</v>
      </c>
    </row>
    <row r="1193" spans="1:6" s="800" customFormat="1">
      <c r="A1193" s="882" t="s">
        <v>4410</v>
      </c>
      <c r="E1193" s="885">
        <f>IF(calcCh4Prod4Slot1Active=1,calcCh4Prod4Slot1AvgSalePrice,"")</f>
        <v>8.1829999999999998</v>
      </c>
      <c r="F1193" s="520" t="s">
        <v>9718</v>
      </c>
    </row>
    <row r="1194" spans="1:6" s="800" customFormat="1">
      <c r="A1194" s="882" t="s">
        <v>3329</v>
      </c>
      <c r="E1194" s="532" t="str">
        <f>IF(calcCh4Prod4Slot1Active=1,calcCh4Prod4Slot1Pack,"")</f>
        <v>33cl Bottle</v>
      </c>
      <c r="F1194" s="520" t="s">
        <v>9719</v>
      </c>
    </row>
    <row r="1195" spans="1:6" s="800" customFormat="1">
      <c r="A1195" s="882" t="s">
        <v>5912</v>
      </c>
      <c r="E1195" s="870">
        <f>IF(calcCh4Prod4Slot1Active=1,calcCh4Prod4Slot1Promo1PlanShare,"")</f>
        <v>0.1</v>
      </c>
      <c r="F1195" s="520" t="s">
        <v>12425</v>
      </c>
    </row>
    <row r="1196" spans="1:6" s="800" customFormat="1">
      <c r="A1196" s="882" t="s">
        <v>11563</v>
      </c>
      <c r="E1196" s="961">
        <f>calcCh4Prod4Slot1Promo1ROI</f>
        <v>4.9096519506842506</v>
      </c>
      <c r="F1196" s="520" t="s">
        <v>12426</v>
      </c>
    </row>
    <row r="1197" spans="1:6" s="800" customFormat="1">
      <c r="A1197" s="882" t="s">
        <v>3674</v>
      </c>
      <c r="E1197" s="961">
        <f>IF(calcCh4Prod4Slot1Active=1,calcCh4Prod4Slot1WD,"")</f>
        <v>0.66000000000000014</v>
      </c>
      <c r="F1197" s="520" t="s">
        <v>9720</v>
      </c>
    </row>
    <row r="1198" spans="1:6" s="800" customFormat="1">
      <c r="A1198" s="882" t="s">
        <v>4413</v>
      </c>
      <c r="E1198" s="961">
        <f>calcCh4Prod4Slot1Promo1GPaLUplift</f>
        <v>0.28891545074474778</v>
      </c>
      <c r="F1198" s="520" t="s">
        <v>12614</v>
      </c>
    </row>
    <row r="1199" spans="1:6" s="800" customFormat="1">
      <c r="A1199" s="882" t="s">
        <v>11388</v>
      </c>
      <c r="E1199" s="961">
        <f>calcCh4Prod4Slot1Promo1VolUplift</f>
        <v>1.7777777777777777</v>
      </c>
      <c r="F1199" s="520" t="s">
        <v>12710</v>
      </c>
    </row>
    <row r="1200" spans="1:6" s="800" customFormat="1">
      <c r="A1200" s="882" t="s">
        <v>5195</v>
      </c>
      <c r="E1200" s="961">
        <f>calcCh4Prod4Slot1Promo1CustUplift</f>
        <v>1.2661382460125095</v>
      </c>
      <c r="F1200" s="520" t="s">
        <v>12427</v>
      </c>
    </row>
    <row r="1201" spans="1:6" s="800" customFormat="1">
      <c r="A1201" s="882" t="s">
        <v>157</v>
      </c>
      <c r="E1201" s="532">
        <f>IF(calcCh4Prod4Slot1Active=1,finPNLCh4Prod4Slot1TotalCOGs,"")</f>
        <v>141451025.94539452</v>
      </c>
      <c r="F1201" s="520" t="s">
        <v>10561</v>
      </c>
    </row>
    <row r="1202" spans="1:6" s="800" customFormat="1">
      <c r="A1202" s="882" t="s">
        <v>10370</v>
      </c>
      <c r="E1202" s="885">
        <f>IF(AND(calcCh4Prod4Slot1Active=1,calcCh4Prod4Slot1VolForecastSlot&lt;&gt;0),finPNLCh4Prod4Slot1TotalCOGs/cbalCh4Prod4Slot1SoldVol,"")</f>
        <v>2.3341464576823641</v>
      </c>
      <c r="F1202" s="520" t="s">
        <v>10464</v>
      </c>
    </row>
    <row r="1203" spans="1:6" s="800" customFormat="1">
      <c r="A1203" s="277" t="s">
        <v>3858</v>
      </c>
      <c r="E1203" s="961"/>
      <c r="F1203" s="646"/>
    </row>
    <row r="1204" spans="1:6" s="800" customFormat="1">
      <c r="A1204" s="882" t="s">
        <v>8649</v>
      </c>
      <c r="E1204" s="532" t="str">
        <f>IF(calcCh4Prod4Slot2Active=1,finPNLCh4Prod4Slot2TotalRev,"")</f>
        <v/>
      </c>
      <c r="F1204" s="520" t="s">
        <v>8837</v>
      </c>
    </row>
    <row r="1205" spans="1:6" s="800" customFormat="1">
      <c r="A1205" s="882" t="s">
        <v>521</v>
      </c>
      <c r="E1205" s="532">
        <f>IF(calcCh4Prod4Slot2Active=1,finPNLCh4Prod4Slot2GPaL,0)</f>
        <v>0</v>
      </c>
      <c r="F1205" s="520" t="s">
        <v>9721</v>
      </c>
    </row>
    <row r="1206" spans="1:6" s="800" customFormat="1">
      <c r="A1206" s="882" t="s">
        <v>8650</v>
      </c>
      <c r="E1206" s="532" t="str">
        <f>IF(calcCh4Prod4Slot2Active=1,finCalcCh4Prod4Slot2VolSold,"")</f>
        <v/>
      </c>
      <c r="F1206" s="520" t="s">
        <v>8838</v>
      </c>
    </row>
    <row r="1207" spans="1:6" s="800" customFormat="1">
      <c r="A1207" s="882" t="s">
        <v>9063</v>
      </c>
      <c r="E1207" s="885" t="str">
        <f>IF(AND(calcCh4Prod4Slot2Active=1,calcCh4Prod4Slot2VolForecastSlot&lt;&gt;0),cbalCh4Prod4Slot2NetRev/cbalCh4Prod4Slot2SoldVol,"")</f>
        <v/>
      </c>
      <c r="F1207" s="520" t="s">
        <v>9722</v>
      </c>
    </row>
    <row r="1208" spans="1:6" s="800" customFormat="1">
      <c r="A1208" s="882" t="s">
        <v>9064</v>
      </c>
      <c r="E1208" s="885" t="str">
        <f>IF(AND(calcCh4Prod4Slot2Active=1,calcCh4Prod4Slot2VolForecastSlot&lt;&gt;0),cbalCh4Prod4Slot2GPaL/cbalCh4Prod4Slot2SoldVol,"")</f>
        <v/>
      </c>
      <c r="F1208" s="520" t="s">
        <v>9723</v>
      </c>
    </row>
    <row r="1209" spans="1:6" s="800" customFormat="1">
      <c r="A1209" s="882" t="s">
        <v>9068</v>
      </c>
      <c r="E1209" s="885" t="str">
        <f>IF(calcCh4Prod4Slot2Active=1,calcCh4Prod4Slot2CustPrice,"")</f>
        <v/>
      </c>
      <c r="F1209" s="520" t="s">
        <v>9724</v>
      </c>
    </row>
    <row r="1210" spans="1:6" s="800" customFormat="1">
      <c r="A1210" s="882" t="s">
        <v>11554</v>
      </c>
      <c r="E1210" s="885" t="str">
        <f>IF(calcCh4Prod4Slot2Active=1,calcCh4Prod4Slot2Promo1CustPrice,"")</f>
        <v/>
      </c>
      <c r="F1210" s="520" t="s">
        <v>12428</v>
      </c>
    </row>
    <row r="1211" spans="1:6" s="800" customFormat="1">
      <c r="A1211" s="882" t="s">
        <v>4410</v>
      </c>
      <c r="E1211" s="885" t="str">
        <f>IF(calcCh4Prod4Slot2Active=1,calcCh4Prod4Slot2AvgSalePrice,"")</f>
        <v/>
      </c>
      <c r="F1211" s="520" t="s">
        <v>9725</v>
      </c>
    </row>
    <row r="1212" spans="1:6" s="800" customFormat="1">
      <c r="A1212" s="882" t="s">
        <v>3329</v>
      </c>
      <c r="E1212" s="532" t="str">
        <f>IF(calcCh4Prod4Slot2Active=1,calcCh4Prod4Slot2Pack,"")</f>
        <v/>
      </c>
      <c r="F1212" s="520" t="s">
        <v>9726</v>
      </c>
    </row>
    <row r="1213" spans="1:6" s="800" customFormat="1">
      <c r="A1213" s="882" t="s">
        <v>5912</v>
      </c>
      <c r="E1213" s="870" t="str">
        <f>IF(calcCh4Prod4Slot2Active=1,calcCh4Prod4Slot2Promo1PlanShare,"")</f>
        <v/>
      </c>
      <c r="F1213" s="520" t="s">
        <v>12429</v>
      </c>
    </row>
    <row r="1214" spans="1:6" s="800" customFormat="1">
      <c r="A1214" s="882" t="s">
        <v>11563</v>
      </c>
      <c r="E1214" s="961" t="str">
        <f>calcCh4Prod4Slot2Promo1ROI</f>
        <v/>
      </c>
      <c r="F1214" s="520" t="s">
        <v>12430</v>
      </c>
    </row>
    <row r="1215" spans="1:6" s="800" customFormat="1">
      <c r="A1215" s="882" t="s">
        <v>3674</v>
      </c>
      <c r="E1215" s="961" t="str">
        <f>IF(calcCh4Prod4Slot2Active=1,calcCh4Prod4Slot2WD,"")</f>
        <v/>
      </c>
      <c r="F1215" s="520" t="s">
        <v>9727</v>
      </c>
    </row>
    <row r="1216" spans="1:6" s="800" customFormat="1">
      <c r="A1216" s="882" t="s">
        <v>4413</v>
      </c>
      <c r="E1216" s="961" t="str">
        <f>calcCh4Prod4Slot2Promo1GPaLUplift</f>
        <v/>
      </c>
      <c r="F1216" s="520" t="s">
        <v>12615</v>
      </c>
    </row>
    <row r="1217" spans="1:6" s="800" customFormat="1">
      <c r="A1217" s="882" t="s">
        <v>11388</v>
      </c>
      <c r="E1217" s="961" t="str">
        <f>calcCh4Prod4Slot2Promo1VolUplift</f>
        <v/>
      </c>
      <c r="F1217" s="520" t="s">
        <v>12711</v>
      </c>
    </row>
    <row r="1218" spans="1:6" s="800" customFormat="1">
      <c r="A1218" s="882" t="s">
        <v>5195</v>
      </c>
      <c r="E1218" s="961" t="str">
        <f>calcCh4Prod4Slot2Promo1CustUplift</f>
        <v/>
      </c>
      <c r="F1218" s="520" t="s">
        <v>12431</v>
      </c>
    </row>
    <row r="1219" spans="1:6" s="800" customFormat="1">
      <c r="A1219" s="882" t="s">
        <v>157</v>
      </c>
      <c r="E1219" s="532" t="str">
        <f>IF(calcCh4Prod4Slot2Active=1,finPNLCh4Prod4Slot2TotalCOGs,"")</f>
        <v/>
      </c>
      <c r="F1219" s="520" t="s">
        <v>10562</v>
      </c>
    </row>
    <row r="1220" spans="1:6" s="800" customFormat="1">
      <c r="A1220" s="882" t="s">
        <v>10370</v>
      </c>
      <c r="E1220" s="885" t="str">
        <f>IF(AND(calcCh4Prod4Slot2Active=1,calcCh4Prod4Slot2VolForecastSlot&lt;&gt;0),finPNLCh4Prod4Slot2TotalCOGs/cbalCh4Prod4Slot2SoldVol,"")</f>
        <v/>
      </c>
      <c r="F1220" s="520" t="s">
        <v>10465</v>
      </c>
    </row>
    <row r="1221" spans="1:6" s="800" customFormat="1">
      <c r="A1221" s="277" t="s">
        <v>3860</v>
      </c>
      <c r="F1221" s="646"/>
    </row>
    <row r="1222" spans="1:6" s="800" customFormat="1">
      <c r="A1222" s="882" t="s">
        <v>8649</v>
      </c>
      <c r="E1222" s="532" t="str">
        <f>IF(calcCh4Prod4Slot3Active=1,finPNLCh4Prod4Slot3TotalRev,"")</f>
        <v/>
      </c>
      <c r="F1222" s="520" t="s">
        <v>8839</v>
      </c>
    </row>
    <row r="1223" spans="1:6" s="800" customFormat="1">
      <c r="A1223" s="882" t="s">
        <v>521</v>
      </c>
      <c r="E1223" s="532">
        <f>IF(calcCh4Prod4Slot3Active=1,finPNLCh4Prod4Slot3GPaL,0)</f>
        <v>0</v>
      </c>
      <c r="F1223" s="520" t="s">
        <v>9728</v>
      </c>
    </row>
    <row r="1224" spans="1:6" s="800" customFormat="1">
      <c r="A1224" s="882" t="s">
        <v>8650</v>
      </c>
      <c r="E1224" s="532" t="str">
        <f>IF(calcCh4Prod4Slot3Active=1,finCalcCh4Prod4Slot3VolSold,"")</f>
        <v/>
      </c>
      <c r="F1224" s="520" t="s">
        <v>8840</v>
      </c>
    </row>
    <row r="1225" spans="1:6" s="800" customFormat="1">
      <c r="A1225" s="882" t="s">
        <v>9063</v>
      </c>
      <c r="E1225" s="885" t="str">
        <f>IF(AND(calcCh4Prod4Slot3Active=1,calcCh4Prod4Slot3VolForecastSlot&lt;&gt;0),cbalCh4Prod4Slot3NetRev/cbalCh4Prod4Slot3SoldVol,"")</f>
        <v/>
      </c>
      <c r="F1225" s="520" t="s">
        <v>9729</v>
      </c>
    </row>
    <row r="1226" spans="1:6" s="800" customFormat="1">
      <c r="A1226" s="882" t="s">
        <v>9064</v>
      </c>
      <c r="E1226" s="885" t="str">
        <f>IF(AND(calcCh4Prod4Slot3Active=1,calcCh4Prod4Slot3VolForecastSlot&lt;&gt;0),cbalCh4Prod4Slot3GPaL/cbalCh4Prod4Slot3SoldVol,"")</f>
        <v/>
      </c>
      <c r="F1226" s="520" t="s">
        <v>9730</v>
      </c>
    </row>
    <row r="1227" spans="1:6" s="800" customFormat="1">
      <c r="A1227" s="882" t="s">
        <v>9068</v>
      </c>
      <c r="E1227" s="885" t="str">
        <f>IF(calcCh4Prod4Slot3Active=1,calcCh4Prod4Slot3CustPrice,"")</f>
        <v/>
      </c>
      <c r="F1227" s="520" t="s">
        <v>9731</v>
      </c>
    </row>
    <row r="1228" spans="1:6" s="800" customFormat="1">
      <c r="A1228" s="882" t="s">
        <v>11554</v>
      </c>
      <c r="E1228" s="885" t="str">
        <f>IF(calcCh4Prod4Slot3Active=1,calcCh4Prod4Slot3Promo1CustPrice,"")</f>
        <v/>
      </c>
      <c r="F1228" s="520" t="s">
        <v>12432</v>
      </c>
    </row>
    <row r="1229" spans="1:6" s="800" customFormat="1">
      <c r="A1229" s="882" t="s">
        <v>4410</v>
      </c>
      <c r="E1229" s="885" t="str">
        <f>IF(calcCh4Prod4Slot3Active=1,calcCh4Prod4Slot3AvgSalePrice,"")</f>
        <v/>
      </c>
      <c r="F1229" s="520" t="s">
        <v>9732</v>
      </c>
    </row>
    <row r="1230" spans="1:6" s="800" customFormat="1">
      <c r="A1230" s="882" t="s">
        <v>3329</v>
      </c>
      <c r="E1230" s="532" t="str">
        <f>IF(calcCh4Prod4Slot3Active=1,calcCh4Prod4Slot3Pack,"")</f>
        <v/>
      </c>
      <c r="F1230" s="520" t="s">
        <v>9733</v>
      </c>
    </row>
    <row r="1231" spans="1:6" s="800" customFormat="1">
      <c r="A1231" s="882" t="s">
        <v>5912</v>
      </c>
      <c r="E1231" s="870" t="str">
        <f>IF(calcCh4Prod4Slot3Active=1,calcCh4Prod4Slot3Promo1PlanShare,"")</f>
        <v/>
      </c>
      <c r="F1231" s="520" t="s">
        <v>12433</v>
      </c>
    </row>
    <row r="1232" spans="1:6" s="800" customFormat="1">
      <c r="A1232" s="882" t="s">
        <v>11563</v>
      </c>
      <c r="E1232" s="961" t="str">
        <f>calcCh4Prod4Slot3Promo1ROI</f>
        <v/>
      </c>
      <c r="F1232" s="520" t="s">
        <v>12434</v>
      </c>
    </row>
    <row r="1233" spans="1:6" s="800" customFormat="1">
      <c r="A1233" s="882" t="s">
        <v>3674</v>
      </c>
      <c r="E1233" s="961" t="str">
        <f>IF(calcCh4Prod4Slot3Active=1,calcCh4Prod4Slot3WD,"")</f>
        <v/>
      </c>
      <c r="F1233" s="520" t="s">
        <v>9734</v>
      </c>
    </row>
    <row r="1234" spans="1:6" s="800" customFormat="1">
      <c r="A1234" s="882" t="s">
        <v>4413</v>
      </c>
      <c r="E1234" s="961" t="str">
        <f>calcCh4Prod4Slot3Promo1GPaLUplift</f>
        <v/>
      </c>
      <c r="F1234" s="520" t="s">
        <v>12616</v>
      </c>
    </row>
    <row r="1235" spans="1:6" s="800" customFormat="1">
      <c r="A1235" s="882" t="s">
        <v>11388</v>
      </c>
      <c r="E1235" s="961" t="str">
        <f>calcCh4Prod4Slot3Promo1VolUplift</f>
        <v/>
      </c>
      <c r="F1235" s="520" t="s">
        <v>12712</v>
      </c>
    </row>
    <row r="1236" spans="1:6" s="800" customFormat="1">
      <c r="A1236" s="882" t="s">
        <v>5195</v>
      </c>
      <c r="E1236" s="961" t="str">
        <f>calcCh4Prod4Slot3Promo1CustUplift</f>
        <v/>
      </c>
      <c r="F1236" s="520" t="s">
        <v>12435</v>
      </c>
    </row>
    <row r="1237" spans="1:6" s="800" customFormat="1">
      <c r="A1237" s="882" t="s">
        <v>157</v>
      </c>
      <c r="E1237" s="532" t="str">
        <f>IF(calcCh4Prod4Slot3Active=1,finPNLCh4Prod4Slot3TotalCOGs,"")</f>
        <v/>
      </c>
      <c r="F1237" s="520" t="s">
        <v>10563</v>
      </c>
    </row>
    <row r="1238" spans="1:6" s="800" customFormat="1">
      <c r="A1238" s="882" t="s">
        <v>10370</v>
      </c>
      <c r="E1238" s="885" t="str">
        <f>IF(AND(calcCh4Prod4Slot3Active=1,calcCh4Prod4Slot3VolForecastSlot&lt;&gt;0),finPNLCh4Prod4Slot3TotalCOGs/cbalCh4Prod4Slot3SoldVol,"")</f>
        <v/>
      </c>
      <c r="F1238" s="520" t="s">
        <v>10466</v>
      </c>
    </row>
    <row r="1239" spans="1:6" s="800" customFormat="1">
      <c r="A1239" s="882" t="s">
        <v>5661</v>
      </c>
      <c r="E1239" s="885"/>
      <c r="F1239" s="520"/>
    </row>
    <row r="1240" spans="1:6" s="800" customFormat="1">
      <c r="A1240" s="277" t="s">
        <v>13071</v>
      </c>
      <c r="E1240" s="885"/>
      <c r="F1240" s="520"/>
    </row>
    <row r="1241" spans="1:6" s="800" customFormat="1">
      <c r="A1241" s="277" t="s">
        <v>244</v>
      </c>
      <c r="E1241" s="885"/>
      <c r="F1241" s="520"/>
    </row>
    <row r="1242" spans="1:6" s="800" customFormat="1">
      <c r="A1242" s="882" t="s">
        <v>12868</v>
      </c>
      <c r="E1242" s="885"/>
      <c r="F1242" s="520"/>
    </row>
    <row r="1243" spans="1:6" s="800" customFormat="1">
      <c r="A1243" s="882" t="s">
        <v>13072</v>
      </c>
      <c r="E1243" s="885">
        <f>decCh1Prod1Slot1Promo1Weeks</f>
        <v>4</v>
      </c>
      <c r="F1243" s="520" t="s">
        <v>13126</v>
      </c>
    </row>
    <row r="1244" spans="1:6" s="800" customFormat="1">
      <c r="A1244" s="882" t="s">
        <v>13073</v>
      </c>
      <c r="E1244" s="885">
        <f>decCh1Prod1Slot1Promo2Weeks</f>
        <v>2</v>
      </c>
      <c r="F1244" s="520" t="s">
        <v>13127</v>
      </c>
    </row>
    <row r="1245" spans="1:6" s="800" customFormat="1">
      <c r="A1245" s="882" t="s">
        <v>13074</v>
      </c>
      <c r="E1245" s="885">
        <f>decCh1Prod1Slot2Promo1Weeks</f>
        <v>0</v>
      </c>
      <c r="F1245" s="520" t="s">
        <v>13128</v>
      </c>
    </row>
    <row r="1246" spans="1:6" s="800" customFormat="1">
      <c r="A1246" s="882" t="s">
        <v>13075</v>
      </c>
      <c r="E1246" s="885">
        <f>decCh1Prod1Slot2Promo2Weeks</f>
        <v>0</v>
      </c>
      <c r="F1246" s="520" t="s">
        <v>13129</v>
      </c>
    </row>
    <row r="1247" spans="1:6" s="800" customFormat="1">
      <c r="A1247" s="882" t="s">
        <v>13076</v>
      </c>
      <c r="E1247" s="885">
        <f>decCh1Prod1Slot3Promo1Weeks</f>
        <v>0</v>
      </c>
      <c r="F1247" s="520" t="s">
        <v>13130</v>
      </c>
    </row>
    <row r="1248" spans="1:6" s="800" customFormat="1">
      <c r="A1248" s="882" t="s">
        <v>13077</v>
      </c>
      <c r="E1248" s="885">
        <f>decCh1Prod1Slot3Promo2Weeks</f>
        <v>0</v>
      </c>
      <c r="F1248" s="520" t="s">
        <v>13131</v>
      </c>
    </row>
    <row r="1249" spans="1:6" s="800" customFormat="1">
      <c r="A1249" s="882" t="s">
        <v>238</v>
      </c>
      <c r="E1249" s="885"/>
      <c r="F1249" s="520"/>
    </row>
    <row r="1250" spans="1:6" s="800" customFormat="1">
      <c r="A1250" s="882" t="s">
        <v>13072</v>
      </c>
      <c r="E1250" s="885">
        <f>decCh1Prod2Slot1Promo1Weeks</f>
        <v>2</v>
      </c>
      <c r="F1250" s="520" t="s">
        <v>13132</v>
      </c>
    </row>
    <row r="1251" spans="1:6" s="800" customFormat="1">
      <c r="A1251" s="882" t="s">
        <v>13073</v>
      </c>
      <c r="E1251" s="885">
        <f>decCh1Prod2Slot1Promo2Weeks</f>
        <v>0</v>
      </c>
      <c r="F1251" s="520" t="s">
        <v>13133</v>
      </c>
    </row>
    <row r="1252" spans="1:6" s="800" customFormat="1">
      <c r="A1252" s="882" t="s">
        <v>13074</v>
      </c>
      <c r="E1252" s="885">
        <f>decCh1Prod2Slot2Promo1Weeks</f>
        <v>3</v>
      </c>
      <c r="F1252" s="520" t="s">
        <v>13134</v>
      </c>
    </row>
    <row r="1253" spans="1:6" s="800" customFormat="1">
      <c r="A1253" s="882" t="s">
        <v>13075</v>
      </c>
      <c r="E1253" s="885">
        <f>decCh1Prod2Slot2Promo2Weeks</f>
        <v>2</v>
      </c>
      <c r="F1253" s="520" t="s">
        <v>13135</v>
      </c>
    </row>
    <row r="1254" spans="1:6" s="800" customFormat="1">
      <c r="A1254" s="882" t="s">
        <v>13076</v>
      </c>
      <c r="E1254" s="885">
        <f>decCh1Prod2Slot3Promo1Weeks</f>
        <v>0</v>
      </c>
      <c r="F1254" s="520" t="s">
        <v>13136</v>
      </c>
    </row>
    <row r="1255" spans="1:6" s="800" customFormat="1">
      <c r="A1255" s="882" t="s">
        <v>13077</v>
      </c>
      <c r="E1255" s="885">
        <f>decCh1Prod2Slot3Promo2Weeks</f>
        <v>0</v>
      </c>
      <c r="F1255" s="520" t="s">
        <v>13137</v>
      </c>
    </row>
    <row r="1256" spans="1:6" s="800" customFormat="1">
      <c r="A1256" s="882" t="s">
        <v>239</v>
      </c>
      <c r="E1256" s="885"/>
      <c r="F1256" s="520"/>
    </row>
    <row r="1257" spans="1:6" s="800" customFormat="1">
      <c r="A1257" s="882" t="s">
        <v>13072</v>
      </c>
      <c r="E1257" s="885">
        <f>decCh1Prod3Slot1Promo1Weeks</f>
        <v>2</v>
      </c>
      <c r="F1257" s="520" t="s">
        <v>13138</v>
      </c>
    </row>
    <row r="1258" spans="1:6" s="800" customFormat="1">
      <c r="A1258" s="882" t="s">
        <v>13073</v>
      </c>
      <c r="E1258" s="885">
        <f>decCh1Prod3Slot1Promo2Weeks</f>
        <v>0</v>
      </c>
      <c r="F1258" s="520" t="s">
        <v>13139</v>
      </c>
    </row>
    <row r="1259" spans="1:6" s="800" customFormat="1">
      <c r="A1259" s="882" t="s">
        <v>13074</v>
      </c>
      <c r="E1259" s="885">
        <f>decCh1Prod3Slot2Promo1Weeks</f>
        <v>3</v>
      </c>
      <c r="F1259" s="520" t="s">
        <v>13140</v>
      </c>
    </row>
    <row r="1260" spans="1:6" s="800" customFormat="1">
      <c r="A1260" s="882" t="s">
        <v>13075</v>
      </c>
      <c r="E1260" s="885">
        <f>decCh1Prod3Slot2Promo2Weeks</f>
        <v>0</v>
      </c>
      <c r="F1260" s="520" t="s">
        <v>13141</v>
      </c>
    </row>
    <row r="1261" spans="1:6" s="800" customFormat="1">
      <c r="A1261" s="882" t="s">
        <v>13076</v>
      </c>
      <c r="E1261" s="885">
        <f>decCh1Prod3Slot3Promo1Weeks</f>
        <v>0</v>
      </c>
      <c r="F1261" s="520" t="s">
        <v>13142</v>
      </c>
    </row>
    <row r="1262" spans="1:6" s="800" customFormat="1">
      <c r="A1262" s="882" t="s">
        <v>13077</v>
      </c>
      <c r="E1262" s="885">
        <f>decCh1Prod3Slot3Promo2Weeks</f>
        <v>0</v>
      </c>
      <c r="F1262" s="520" t="s">
        <v>13143</v>
      </c>
    </row>
    <row r="1263" spans="1:6" s="800" customFormat="1">
      <c r="A1263" s="882" t="s">
        <v>240</v>
      </c>
      <c r="E1263" s="885"/>
      <c r="F1263" s="520"/>
    </row>
    <row r="1264" spans="1:6" s="800" customFormat="1">
      <c r="A1264" s="882" t="s">
        <v>13072</v>
      </c>
      <c r="E1264" s="885">
        <f>decCh1Prod4Slot1Promo1Weeks</f>
        <v>0</v>
      </c>
      <c r="F1264" s="520" t="s">
        <v>13144</v>
      </c>
    </row>
    <row r="1265" spans="1:6" s="800" customFormat="1">
      <c r="A1265" s="882" t="s">
        <v>13073</v>
      </c>
      <c r="E1265" s="885">
        <f>decCh1Prod4Slot1Promo2Weeks</f>
        <v>0</v>
      </c>
      <c r="F1265" s="520" t="s">
        <v>13145</v>
      </c>
    </row>
    <row r="1266" spans="1:6" s="800" customFormat="1">
      <c r="A1266" s="882" t="s">
        <v>13074</v>
      </c>
      <c r="E1266" s="885">
        <f>decCh1Prod4Slot2Promo1Weeks</f>
        <v>0</v>
      </c>
      <c r="F1266" s="520" t="s">
        <v>13146</v>
      </c>
    </row>
    <row r="1267" spans="1:6" s="800" customFormat="1">
      <c r="A1267" s="882" t="s">
        <v>13075</v>
      </c>
      <c r="E1267" s="885">
        <f>decCh1Prod4Slot2Promo2Weeks</f>
        <v>0</v>
      </c>
      <c r="F1267" s="520" t="s">
        <v>13147</v>
      </c>
    </row>
    <row r="1268" spans="1:6" s="800" customFormat="1">
      <c r="A1268" s="882" t="s">
        <v>13076</v>
      </c>
      <c r="E1268" s="885">
        <f>decCh1Prod4Slot3Promo1Weeks</f>
        <v>0</v>
      </c>
      <c r="F1268" s="520" t="s">
        <v>13148</v>
      </c>
    </row>
    <row r="1269" spans="1:6" s="800" customFormat="1">
      <c r="A1269" s="882" t="s">
        <v>13077</v>
      </c>
      <c r="E1269" s="885">
        <f>decCh1Prod4Slot3Promo2Weeks</f>
        <v>0</v>
      </c>
      <c r="F1269" s="520" t="s">
        <v>13149</v>
      </c>
    </row>
    <row r="1270" spans="1:6" s="800" customFormat="1">
      <c r="A1270" s="277" t="s">
        <v>5199</v>
      </c>
      <c r="E1270" s="885"/>
      <c r="F1270" s="520"/>
    </row>
    <row r="1271" spans="1:6" s="800" customFormat="1">
      <c r="A1271" s="882" t="s">
        <v>12868</v>
      </c>
      <c r="E1271" s="885"/>
      <c r="F1271" s="520"/>
    </row>
    <row r="1272" spans="1:6" s="800" customFormat="1">
      <c r="A1272" s="882" t="s">
        <v>13072</v>
      </c>
      <c r="E1272" s="885">
        <f>decCh3Prod1Slot1Promo1Weeks</f>
        <v>2</v>
      </c>
      <c r="F1272" s="520" t="s">
        <v>13150</v>
      </c>
    </row>
    <row r="1273" spans="1:6" s="800" customFormat="1">
      <c r="A1273" s="882" t="s">
        <v>13074</v>
      </c>
      <c r="E1273" s="885">
        <f>decCh3Prod1Slot2Promo1Weeks</f>
        <v>0</v>
      </c>
      <c r="F1273" s="520" t="s">
        <v>13151</v>
      </c>
    </row>
    <row r="1274" spans="1:6" s="800" customFormat="1">
      <c r="A1274" s="882" t="s">
        <v>13076</v>
      </c>
      <c r="E1274" s="885">
        <f>decCh3Prod1Slot3Promo1Weeks</f>
        <v>0</v>
      </c>
      <c r="F1274" s="520" t="s">
        <v>13152</v>
      </c>
    </row>
    <row r="1275" spans="1:6" s="800" customFormat="1">
      <c r="A1275" s="882" t="s">
        <v>238</v>
      </c>
      <c r="E1275" s="885"/>
      <c r="F1275" s="520"/>
    </row>
    <row r="1276" spans="1:6" s="800" customFormat="1">
      <c r="A1276" s="882" t="s">
        <v>13072</v>
      </c>
      <c r="E1276" s="885">
        <f>decCh3Prod2Slot1Promo1Weeks</f>
        <v>2</v>
      </c>
      <c r="F1276" s="520" t="s">
        <v>13153</v>
      </c>
    </row>
    <row r="1277" spans="1:6" s="800" customFormat="1">
      <c r="A1277" s="882" t="s">
        <v>13074</v>
      </c>
      <c r="E1277" s="885">
        <f>decCh3Prod2Slot2Promo1Weeks</f>
        <v>2</v>
      </c>
      <c r="F1277" s="520" t="s">
        <v>13154</v>
      </c>
    </row>
    <row r="1278" spans="1:6" s="800" customFormat="1">
      <c r="A1278" s="882" t="s">
        <v>13076</v>
      </c>
      <c r="E1278" s="885">
        <f>decCh3Prod2Slot3Promo1Weeks</f>
        <v>0</v>
      </c>
      <c r="F1278" s="520" t="s">
        <v>13155</v>
      </c>
    </row>
    <row r="1279" spans="1:6" s="800" customFormat="1">
      <c r="A1279" s="882" t="s">
        <v>239</v>
      </c>
      <c r="E1279" s="885"/>
      <c r="F1279" s="520"/>
    </row>
    <row r="1280" spans="1:6" s="800" customFormat="1">
      <c r="A1280" s="882" t="s">
        <v>13072</v>
      </c>
      <c r="E1280" s="885">
        <f>decCh3Prod3Slot1Promo1Weeks</f>
        <v>3</v>
      </c>
      <c r="F1280" s="520" t="s">
        <v>13156</v>
      </c>
    </row>
    <row r="1281" spans="1:6" s="800" customFormat="1">
      <c r="A1281" s="882" t="s">
        <v>13074</v>
      </c>
      <c r="E1281" s="885">
        <f>decCh3Prod3Slot2Promo1Weeks</f>
        <v>0</v>
      </c>
      <c r="F1281" s="520" t="s">
        <v>13157</v>
      </c>
    </row>
    <row r="1282" spans="1:6" s="800" customFormat="1">
      <c r="A1282" s="882" t="s">
        <v>13076</v>
      </c>
      <c r="E1282" s="885">
        <f>decCh3Prod3Slot3Promo1Weeks</f>
        <v>0</v>
      </c>
      <c r="F1282" s="520" t="s">
        <v>13158</v>
      </c>
    </row>
    <row r="1283" spans="1:6" s="800" customFormat="1">
      <c r="A1283" s="882" t="s">
        <v>240</v>
      </c>
      <c r="E1283" s="885"/>
      <c r="F1283" s="520"/>
    </row>
    <row r="1284" spans="1:6" s="800" customFormat="1">
      <c r="A1284" s="882" t="s">
        <v>13072</v>
      </c>
      <c r="E1284" s="885">
        <f>decCh3Prod4Slot1Promo1Weeks</f>
        <v>0</v>
      </c>
      <c r="F1284" s="520" t="s">
        <v>13159</v>
      </c>
    </row>
    <row r="1285" spans="1:6" s="800" customFormat="1">
      <c r="A1285" s="882" t="s">
        <v>13074</v>
      </c>
      <c r="E1285" s="885">
        <f>decCh3Prod4Slot2Promo1Weeks</f>
        <v>0</v>
      </c>
      <c r="F1285" s="520" t="s">
        <v>13160</v>
      </c>
    </row>
    <row r="1286" spans="1:6" s="800" customFormat="1">
      <c r="A1286" s="882" t="s">
        <v>13076</v>
      </c>
      <c r="E1286" s="885">
        <f>decCh3Prod4Slot3Promo1Weeks</f>
        <v>0</v>
      </c>
      <c r="F1286" s="520" t="s">
        <v>13161</v>
      </c>
    </row>
    <row r="1287" spans="1:6" s="800" customFormat="1">
      <c r="A1287" s="277" t="s">
        <v>246</v>
      </c>
      <c r="E1287" s="885"/>
      <c r="F1287" s="520"/>
    </row>
    <row r="1288" spans="1:6" s="800" customFormat="1">
      <c r="A1288" s="882" t="s">
        <v>12868</v>
      </c>
      <c r="E1288" s="885"/>
      <c r="F1288" s="520"/>
    </row>
    <row r="1289" spans="1:6" s="800" customFormat="1">
      <c r="A1289" s="882" t="s">
        <v>13072</v>
      </c>
      <c r="E1289" s="885">
        <f>decCh4Prod1Slot1Promo1Weeks</f>
        <v>4</v>
      </c>
      <c r="F1289" s="520" t="s">
        <v>13162</v>
      </c>
    </row>
    <row r="1290" spans="1:6" s="800" customFormat="1">
      <c r="A1290" s="882" t="s">
        <v>13074</v>
      </c>
      <c r="E1290" s="885">
        <f>decCh4Prod1Slot2Promo1Weeks</f>
        <v>0</v>
      </c>
      <c r="F1290" s="520" t="s">
        <v>13163</v>
      </c>
    </row>
    <row r="1291" spans="1:6" s="800" customFormat="1">
      <c r="A1291" s="882" t="s">
        <v>13076</v>
      </c>
      <c r="E1291" s="885">
        <f>decCh4Prod1Slot3Promo1Weeks</f>
        <v>0</v>
      </c>
      <c r="F1291" s="520" t="s">
        <v>13164</v>
      </c>
    </row>
    <row r="1292" spans="1:6" s="800" customFormat="1">
      <c r="A1292" s="882" t="s">
        <v>238</v>
      </c>
      <c r="E1292" s="885"/>
      <c r="F1292" s="520"/>
    </row>
    <row r="1293" spans="1:6" s="800" customFormat="1">
      <c r="A1293" s="882" t="s">
        <v>13072</v>
      </c>
      <c r="E1293" s="885">
        <f>decCh4Prod2Slot1Promo1Weeks</f>
        <v>8</v>
      </c>
      <c r="F1293" s="520" t="s">
        <v>13165</v>
      </c>
    </row>
    <row r="1294" spans="1:6" s="800" customFormat="1">
      <c r="A1294" s="882" t="s">
        <v>13074</v>
      </c>
      <c r="E1294" s="885">
        <f>decCh4Prod2Slot2Promo1Weeks</f>
        <v>0</v>
      </c>
      <c r="F1294" s="520" t="s">
        <v>13166</v>
      </c>
    </row>
    <row r="1295" spans="1:6" s="800" customFormat="1">
      <c r="A1295" s="882" t="s">
        <v>13076</v>
      </c>
      <c r="E1295" s="885">
        <f>decCh4Prod2Slot3Promo1Weeks</f>
        <v>0</v>
      </c>
      <c r="F1295" s="520" t="s">
        <v>13167</v>
      </c>
    </row>
    <row r="1296" spans="1:6" s="800" customFormat="1">
      <c r="A1296" s="882" t="s">
        <v>239</v>
      </c>
      <c r="E1296" s="885"/>
      <c r="F1296" s="520"/>
    </row>
    <row r="1297" spans="1:6" s="800" customFormat="1">
      <c r="A1297" s="882" t="s">
        <v>13072</v>
      </c>
      <c r="E1297" s="885">
        <f>decCh4Prod3Slot1Promo1Weeks</f>
        <v>0</v>
      </c>
      <c r="F1297" s="520" t="s">
        <v>13168</v>
      </c>
    </row>
    <row r="1298" spans="1:6" s="800" customFormat="1">
      <c r="A1298" s="882" t="s">
        <v>13074</v>
      </c>
      <c r="E1298" s="885">
        <f>decCh4Prod3Slot2Promo1Weeks</f>
        <v>0</v>
      </c>
      <c r="F1298" s="520" t="s">
        <v>13169</v>
      </c>
    </row>
    <row r="1299" spans="1:6" s="800" customFormat="1">
      <c r="A1299" s="882" t="s">
        <v>13076</v>
      </c>
      <c r="E1299" s="885">
        <f>decCh4Prod3Slot3Promo1Weeks</f>
        <v>0</v>
      </c>
      <c r="F1299" s="520" t="s">
        <v>13170</v>
      </c>
    </row>
    <row r="1300" spans="1:6" s="800" customFormat="1">
      <c r="A1300" s="882" t="s">
        <v>240</v>
      </c>
      <c r="E1300" s="885"/>
      <c r="F1300" s="520"/>
    </row>
    <row r="1301" spans="1:6" s="800" customFormat="1">
      <c r="A1301" s="882" t="s">
        <v>13072</v>
      </c>
      <c r="E1301" s="885">
        <f>decCh4Prod4Slot1Promo1Weeks</f>
        <v>2</v>
      </c>
      <c r="F1301" s="520" t="s">
        <v>13171</v>
      </c>
    </row>
    <row r="1302" spans="1:6" s="800" customFormat="1">
      <c r="A1302" s="882" t="s">
        <v>13074</v>
      </c>
      <c r="E1302" s="885">
        <f>decCh4Prod4Slot2Promo1Weeks</f>
        <v>0</v>
      </c>
      <c r="F1302" s="520" t="s">
        <v>13172</v>
      </c>
    </row>
    <row r="1303" spans="1:6" s="800" customFormat="1">
      <c r="A1303" s="882" t="s">
        <v>13076</v>
      </c>
      <c r="E1303" s="885">
        <f>decCh4Prod4Slot3Promo1Weeks</f>
        <v>0</v>
      </c>
      <c r="F1303" s="520" t="s">
        <v>13173</v>
      </c>
    </row>
    <row r="1304" spans="1:6" s="800" customFormat="1">
      <c r="A1304" s="882" t="s">
        <v>5661</v>
      </c>
      <c r="E1304" s="885"/>
      <c r="F1304" s="520"/>
    </row>
    <row r="1305" spans="1:6" s="800" customFormat="1">
      <c r="A1305" s="882" t="s">
        <v>5661</v>
      </c>
      <c r="E1305" s="885"/>
      <c r="F1305" s="520"/>
    </row>
    <row r="1306" spans="1:6" s="880" customFormat="1">
      <c r="A1306" s="881" t="s">
        <v>24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G1315"/>
  <sheetViews>
    <sheetView topLeftCell="A35" zoomScaleNormal="100" workbookViewId="0">
      <selection activeCell="A47" sqref="A47"/>
    </sheetView>
  </sheetViews>
  <sheetFormatPr defaultRowHeight="14.25"/>
  <cols>
    <col min="1" max="1" width="29.69921875" customWidth="1"/>
    <col min="2" max="4" width="1.59765625" customWidth="1"/>
    <col min="5" max="5" width="16.3984375" style="18" customWidth="1"/>
    <col min="6" max="6" width="27.69921875" customWidth="1"/>
  </cols>
  <sheetData>
    <row r="1" spans="1:6" s="12" customFormat="1">
      <c r="A1" s="12" t="s">
        <v>22</v>
      </c>
      <c r="E1" s="14" t="s">
        <v>5</v>
      </c>
    </row>
    <row r="2" spans="1:6" s="15" customFormat="1">
      <c r="E2" s="16"/>
    </row>
    <row r="3" spans="1:6">
      <c r="E3" s="17"/>
      <c r="F3" t="s">
        <v>13276</v>
      </c>
    </row>
    <row r="4" spans="1:6">
      <c r="A4" s="21" t="s">
        <v>23</v>
      </c>
      <c r="B4" s="21"/>
      <c r="C4" s="21"/>
      <c r="D4" s="21"/>
      <c r="E4" s="30"/>
    </row>
    <row r="6" spans="1:6">
      <c r="A6" t="s">
        <v>87</v>
      </c>
      <c r="E6" s="18">
        <v>0</v>
      </c>
      <c r="F6" t="s">
        <v>110</v>
      </c>
    </row>
    <row r="7" spans="1:6">
      <c r="A7" t="s">
        <v>88</v>
      </c>
      <c r="E7" s="18">
        <v>0</v>
      </c>
      <c r="F7" t="s">
        <v>111</v>
      </c>
    </row>
    <row r="8" spans="1:6">
      <c r="A8" t="s">
        <v>92</v>
      </c>
      <c r="E8" s="18">
        <v>0</v>
      </c>
      <c r="F8" t="s">
        <v>112</v>
      </c>
    </row>
    <row r="9" spans="1:6">
      <c r="A9" t="s">
        <v>93</v>
      </c>
      <c r="E9" s="18">
        <v>0</v>
      </c>
      <c r="F9" t="s">
        <v>113</v>
      </c>
    </row>
    <row r="10" spans="1:6">
      <c r="A10" t="s">
        <v>94</v>
      </c>
      <c r="E10" s="18">
        <v>0</v>
      </c>
      <c r="F10" t="s">
        <v>114</v>
      </c>
    </row>
    <row r="12" spans="1:6">
      <c r="A12" t="s">
        <v>95</v>
      </c>
      <c r="E12" s="18">
        <v>0</v>
      </c>
      <c r="F12" t="s">
        <v>115</v>
      </c>
    </row>
    <row r="13" spans="1:6">
      <c r="A13" t="s">
        <v>96</v>
      </c>
      <c r="E13" s="18">
        <v>0</v>
      </c>
      <c r="F13" t="s">
        <v>116</v>
      </c>
    </row>
    <row r="14" spans="1:6">
      <c r="A14" t="s">
        <v>97</v>
      </c>
      <c r="E14" s="18">
        <v>0</v>
      </c>
      <c r="F14" t="s">
        <v>117</v>
      </c>
    </row>
    <row r="15" spans="1:6">
      <c r="A15" t="s">
        <v>98</v>
      </c>
      <c r="E15" s="18">
        <v>0</v>
      </c>
      <c r="F15" t="s">
        <v>118</v>
      </c>
    </row>
    <row r="16" spans="1:6">
      <c r="A16" t="s">
        <v>99</v>
      </c>
      <c r="E16" s="18">
        <v>0</v>
      </c>
      <c r="F16" t="s">
        <v>119</v>
      </c>
    </row>
    <row r="18" spans="1:7">
      <c r="A18" t="s">
        <v>100</v>
      </c>
      <c r="E18" s="18">
        <v>0</v>
      </c>
      <c r="F18" t="s">
        <v>120</v>
      </c>
    </row>
    <row r="19" spans="1:7">
      <c r="A19" t="s">
        <v>101</v>
      </c>
      <c r="E19" s="18">
        <v>0</v>
      </c>
      <c r="F19" t="s">
        <v>121</v>
      </c>
    </row>
    <row r="20" spans="1:7">
      <c r="A20" t="s">
        <v>102</v>
      </c>
      <c r="E20" s="18">
        <v>0</v>
      </c>
      <c r="F20" t="s">
        <v>122</v>
      </c>
    </row>
    <row r="21" spans="1:7">
      <c r="A21" t="s">
        <v>103</v>
      </c>
      <c r="E21" s="18">
        <v>0</v>
      </c>
      <c r="F21" t="s">
        <v>123</v>
      </c>
    </row>
    <row r="22" spans="1:7">
      <c r="A22" t="s">
        <v>104</v>
      </c>
      <c r="E22" s="18">
        <v>0</v>
      </c>
      <c r="F22" t="s">
        <v>124</v>
      </c>
    </row>
    <row r="24" spans="1:7">
      <c r="A24" s="273" t="s">
        <v>864</v>
      </c>
      <c r="B24" s="273"/>
      <c r="C24" s="273"/>
      <c r="D24" s="273"/>
      <c r="E24" s="274"/>
      <c r="F24" s="273"/>
      <c r="G24" s="273"/>
    </row>
    <row r="26" spans="1:7">
      <c r="A26" t="s">
        <v>352</v>
      </c>
      <c r="E26" s="18">
        <v>1</v>
      </c>
      <c r="F26" t="s">
        <v>865</v>
      </c>
    </row>
    <row r="27" spans="1:7">
      <c r="A27" t="s">
        <v>351</v>
      </c>
      <c r="E27" s="18">
        <v>1</v>
      </c>
      <c r="F27" t="s">
        <v>866</v>
      </c>
    </row>
    <row r="28" spans="1:7">
      <c r="A28" t="s">
        <v>353</v>
      </c>
      <c r="E28" s="18">
        <v>0</v>
      </c>
      <c r="F28" t="s">
        <v>867</v>
      </c>
    </row>
    <row r="29" spans="1:7">
      <c r="A29" t="s">
        <v>584</v>
      </c>
      <c r="E29" s="18">
        <v>1</v>
      </c>
      <c r="F29" t="s">
        <v>868</v>
      </c>
    </row>
    <row r="30" spans="1:7">
      <c r="A30" t="s">
        <v>2107</v>
      </c>
      <c r="E30" s="18">
        <v>0</v>
      </c>
      <c r="F30" t="s">
        <v>869</v>
      </c>
    </row>
    <row r="31" spans="1:7">
      <c r="A31" t="s">
        <v>2108</v>
      </c>
      <c r="E31" s="18">
        <v>0</v>
      </c>
      <c r="F31" t="s">
        <v>870</v>
      </c>
    </row>
    <row r="32" spans="1:7">
      <c r="A32" t="s">
        <v>354</v>
      </c>
      <c r="E32" s="18">
        <v>0</v>
      </c>
      <c r="F32" t="s">
        <v>871</v>
      </c>
    </row>
    <row r="33" spans="1:6">
      <c r="A33" t="s">
        <v>355</v>
      </c>
      <c r="E33" s="18">
        <v>0</v>
      </c>
      <c r="F33" t="s">
        <v>872</v>
      </c>
    </row>
    <row r="34" spans="1:6">
      <c r="A34" t="s">
        <v>3765</v>
      </c>
      <c r="E34" s="18">
        <v>0</v>
      </c>
      <c r="F34" t="s">
        <v>873</v>
      </c>
    </row>
    <row r="35" spans="1:6">
      <c r="A35" t="s">
        <v>3766</v>
      </c>
      <c r="E35" s="18">
        <v>1</v>
      </c>
      <c r="F35" t="s">
        <v>874</v>
      </c>
    </row>
    <row r="36" spans="1:6">
      <c r="A36" t="s">
        <v>4417</v>
      </c>
      <c r="E36" s="18">
        <v>0</v>
      </c>
      <c r="F36" t="s">
        <v>875</v>
      </c>
    </row>
    <row r="37" spans="1:6">
      <c r="A37" t="s">
        <v>4418</v>
      </c>
      <c r="E37" s="18">
        <v>0</v>
      </c>
      <c r="F37" t="s">
        <v>876</v>
      </c>
    </row>
    <row r="38" spans="1:6">
      <c r="A38" t="s">
        <v>4419</v>
      </c>
      <c r="E38" s="18">
        <v>1</v>
      </c>
      <c r="F38" t="s">
        <v>877</v>
      </c>
    </row>
    <row r="39" spans="1:6">
      <c r="A39" t="s">
        <v>4420</v>
      </c>
      <c r="E39" s="18">
        <v>0</v>
      </c>
      <c r="F39" t="s">
        <v>878</v>
      </c>
    </row>
    <row r="40" spans="1:6">
      <c r="A40" t="s">
        <v>4421</v>
      </c>
      <c r="E40" s="18">
        <v>1</v>
      </c>
      <c r="F40" t="s">
        <v>879</v>
      </c>
    </row>
    <row r="41" spans="1:6">
      <c r="A41" t="s">
        <v>4422</v>
      </c>
      <c r="E41" s="18">
        <v>0</v>
      </c>
      <c r="F41" t="s">
        <v>880</v>
      </c>
    </row>
    <row r="42" spans="1:6">
      <c r="A42" t="s">
        <v>4423</v>
      </c>
      <c r="E42" s="18">
        <v>1</v>
      </c>
      <c r="F42" t="s">
        <v>881</v>
      </c>
    </row>
    <row r="43" spans="1:6">
      <c r="A43" t="s">
        <v>4424</v>
      </c>
      <c r="E43" s="18">
        <v>0</v>
      </c>
      <c r="F43" t="s">
        <v>882</v>
      </c>
    </row>
    <row r="44" spans="1:6">
      <c r="A44" t="s">
        <v>4425</v>
      </c>
      <c r="E44" s="18">
        <v>0</v>
      </c>
      <c r="F44" t="s">
        <v>883</v>
      </c>
    </row>
    <row r="45" spans="1:6">
      <c r="A45" t="s">
        <v>4426</v>
      </c>
      <c r="E45" s="18">
        <v>0</v>
      </c>
      <c r="F45" t="s">
        <v>884</v>
      </c>
    </row>
    <row r="46" spans="1:6">
      <c r="A46" t="s">
        <v>8369</v>
      </c>
      <c r="E46" s="18">
        <v>0</v>
      </c>
      <c r="F46" t="s">
        <v>885</v>
      </c>
    </row>
    <row r="47" spans="1:6">
      <c r="A47" t="s">
        <v>4427</v>
      </c>
      <c r="E47" s="18">
        <v>0</v>
      </c>
      <c r="F47" t="s">
        <v>886</v>
      </c>
    </row>
    <row r="48" spans="1:6">
      <c r="A48" t="s">
        <v>8368</v>
      </c>
      <c r="E48" s="18">
        <v>1</v>
      </c>
      <c r="F48" t="s">
        <v>887</v>
      </c>
    </row>
    <row r="49" spans="1:7">
      <c r="A49" t="s">
        <v>4428</v>
      </c>
      <c r="E49" s="18">
        <v>0</v>
      </c>
      <c r="F49" t="s">
        <v>888</v>
      </c>
    </row>
    <row r="50" spans="1:7">
      <c r="A50" t="s">
        <v>4429</v>
      </c>
      <c r="E50" s="18">
        <v>0</v>
      </c>
      <c r="F50" t="s">
        <v>889</v>
      </c>
    </row>
    <row r="51" spans="1:7">
      <c r="A51" t="s">
        <v>5661</v>
      </c>
      <c r="E51" s="18">
        <v>0</v>
      </c>
      <c r="F51" t="s">
        <v>890</v>
      </c>
    </row>
    <row r="52" spans="1:7">
      <c r="A52" t="s">
        <v>5661</v>
      </c>
      <c r="E52" s="18">
        <v>0</v>
      </c>
      <c r="F52" t="s">
        <v>891</v>
      </c>
    </row>
    <row r="53" spans="1:7">
      <c r="A53" t="s">
        <v>5661</v>
      </c>
      <c r="E53" s="18">
        <v>0</v>
      </c>
      <c r="F53" t="s">
        <v>892</v>
      </c>
    </row>
    <row r="54" spans="1:7">
      <c r="A54" t="s">
        <v>5661</v>
      </c>
      <c r="E54" s="18">
        <v>0</v>
      </c>
      <c r="F54" t="s">
        <v>893</v>
      </c>
    </row>
    <row r="55" spans="1:7">
      <c r="A55" t="s">
        <v>5661</v>
      </c>
      <c r="E55" s="18">
        <v>0</v>
      </c>
      <c r="F55" t="s">
        <v>894</v>
      </c>
    </row>
    <row r="57" spans="1:7">
      <c r="A57" s="273" t="s">
        <v>1293</v>
      </c>
      <c r="B57" s="273"/>
      <c r="C57" s="273"/>
      <c r="D57" s="273"/>
      <c r="E57" s="274"/>
      <c r="F57" s="273"/>
      <c r="G57" s="273"/>
    </row>
    <row r="58" spans="1:7">
      <c r="A58" t="s">
        <v>244</v>
      </c>
      <c r="E58" s="375">
        <v>289800</v>
      </c>
      <c r="F58" t="s">
        <v>3656</v>
      </c>
    </row>
    <row r="59" spans="1:7">
      <c r="A59" t="s">
        <v>245</v>
      </c>
      <c r="E59" s="375">
        <v>289800</v>
      </c>
      <c r="F59" t="s">
        <v>3657</v>
      </c>
    </row>
    <row r="60" spans="1:7">
      <c r="A60" t="s">
        <v>5199</v>
      </c>
      <c r="E60" s="375">
        <v>310499.99999999994</v>
      </c>
      <c r="F60" t="s">
        <v>3658</v>
      </c>
    </row>
    <row r="61" spans="1:7">
      <c r="A61" t="s">
        <v>246</v>
      </c>
      <c r="E61" s="375">
        <v>331199.99999999994</v>
      </c>
      <c r="F61" t="s">
        <v>3659</v>
      </c>
    </row>
    <row r="62" spans="1:7">
      <c r="A62" s="273" t="s">
        <v>1411</v>
      </c>
      <c r="B62" s="273"/>
      <c r="C62" s="273"/>
      <c r="D62" s="273"/>
      <c r="E62" s="274"/>
      <c r="F62" s="273"/>
      <c r="G62" s="273"/>
    </row>
    <row r="63" spans="1:7">
      <c r="A63" t="s">
        <v>244</v>
      </c>
      <c r="E63" s="375">
        <v>175800</v>
      </c>
      <c r="F63" t="s">
        <v>1520</v>
      </c>
    </row>
    <row r="64" spans="1:7">
      <c r="A64" t="s">
        <v>245</v>
      </c>
      <c r="E64" s="375">
        <v>175800</v>
      </c>
      <c r="F64" t="s">
        <v>1522</v>
      </c>
    </row>
    <row r="65" spans="1:7">
      <c r="A65" t="s">
        <v>5199</v>
      </c>
      <c r="E65" s="375">
        <v>196500</v>
      </c>
      <c r="F65" t="s">
        <v>1523</v>
      </c>
    </row>
    <row r="66" spans="1:7">
      <c r="A66" t="s">
        <v>246</v>
      </c>
      <c r="E66" s="375">
        <v>217199.99999999997</v>
      </c>
      <c r="F66" t="s">
        <v>1524</v>
      </c>
    </row>
    <row r="67" spans="1:7">
      <c r="A67" s="273" t="s">
        <v>1294</v>
      </c>
      <c r="B67" s="273"/>
      <c r="C67" s="273"/>
      <c r="D67" s="273"/>
      <c r="E67" s="274"/>
      <c r="F67" s="273"/>
      <c r="G67" s="273"/>
    </row>
    <row r="68" spans="1:7">
      <c r="A68" t="s">
        <v>244</v>
      </c>
      <c r="E68" s="375">
        <v>175800</v>
      </c>
      <c r="F68" t="s">
        <v>1521</v>
      </c>
    </row>
    <row r="69" spans="1:7">
      <c r="A69" t="s">
        <v>245</v>
      </c>
      <c r="E69" s="375">
        <v>175800</v>
      </c>
      <c r="F69" t="s">
        <v>1537</v>
      </c>
    </row>
    <row r="70" spans="1:7">
      <c r="A70" t="s">
        <v>5199</v>
      </c>
      <c r="E70" s="375">
        <v>196500</v>
      </c>
      <c r="F70" t="s">
        <v>1538</v>
      </c>
    </row>
    <row r="71" spans="1:7">
      <c r="A71" t="s">
        <v>246</v>
      </c>
      <c r="E71" s="375">
        <v>217199.99999999997</v>
      </c>
      <c r="F71" t="s">
        <v>1539</v>
      </c>
    </row>
    <row r="72" spans="1:7" s="800" customFormat="1">
      <c r="A72" s="273" t="s">
        <v>5196</v>
      </c>
      <c r="B72" s="273"/>
      <c r="C72" s="273"/>
      <c r="D72" s="273"/>
      <c r="E72" s="274"/>
      <c r="F72" s="273"/>
      <c r="G72" s="273"/>
    </row>
    <row r="73" spans="1:7" s="800" customFormat="1">
      <c r="A73" s="800" t="s">
        <v>244</v>
      </c>
      <c r="E73" s="375">
        <v>175800</v>
      </c>
      <c r="F73" s="800" t="s">
        <v>8406</v>
      </c>
    </row>
    <row r="74" spans="1:7" s="800" customFormat="1">
      <c r="A74" s="800" t="s">
        <v>245</v>
      </c>
      <c r="E74" s="375">
        <v>175800</v>
      </c>
      <c r="F74" s="800" t="s">
        <v>8407</v>
      </c>
    </row>
    <row r="75" spans="1:7" s="800" customFormat="1">
      <c r="A75" s="800" t="s">
        <v>5199</v>
      </c>
      <c r="E75" s="375">
        <v>175800</v>
      </c>
      <c r="F75" s="800" t="s">
        <v>8408</v>
      </c>
    </row>
    <row r="76" spans="1:7" s="800" customFormat="1">
      <c r="A76" s="800" t="s">
        <v>246</v>
      </c>
      <c r="E76" s="375">
        <v>175800</v>
      </c>
      <c r="F76" s="800" t="s">
        <v>8409</v>
      </c>
    </row>
    <row r="77" spans="1:7" s="800" customFormat="1">
      <c r="A77" s="273" t="s">
        <v>812</v>
      </c>
      <c r="B77" s="273"/>
      <c r="C77" s="273"/>
      <c r="D77" s="273"/>
      <c r="E77" s="274"/>
      <c r="F77" s="273"/>
      <c r="G77" s="273"/>
    </row>
    <row r="78" spans="1:7" s="800" customFormat="1">
      <c r="A78" s="800" t="s">
        <v>244</v>
      </c>
      <c r="E78" s="375">
        <v>879000</v>
      </c>
      <c r="F78" s="800" t="s">
        <v>8410</v>
      </c>
    </row>
    <row r="79" spans="1:7" s="800" customFormat="1">
      <c r="A79" s="800" t="s">
        <v>245</v>
      </c>
      <c r="E79" s="375">
        <v>879000</v>
      </c>
      <c r="F79" s="800" t="s">
        <v>8411</v>
      </c>
    </row>
    <row r="80" spans="1:7" s="800" customFormat="1">
      <c r="A80" s="800" t="s">
        <v>5199</v>
      </c>
      <c r="E80" s="375">
        <v>982500</v>
      </c>
      <c r="F80" s="800" t="s">
        <v>8412</v>
      </c>
    </row>
    <row r="81" spans="1:7" s="800" customFormat="1">
      <c r="A81" s="800" t="s">
        <v>246</v>
      </c>
      <c r="E81" s="375">
        <v>1085999.9999999998</v>
      </c>
      <c r="F81" s="800" t="s">
        <v>8413</v>
      </c>
    </row>
    <row r="82" spans="1:7">
      <c r="A82" s="273" t="s">
        <v>1410</v>
      </c>
      <c r="B82" s="273"/>
      <c r="C82" s="273"/>
      <c r="D82" s="273"/>
      <c r="E82" s="274"/>
      <c r="F82" s="273"/>
      <c r="G82" s="273"/>
    </row>
    <row r="83" spans="1:7">
      <c r="A83" t="s">
        <v>244</v>
      </c>
      <c r="E83" s="479">
        <v>0.31</v>
      </c>
      <c r="F83" t="s">
        <v>3301</v>
      </c>
    </row>
    <row r="84" spans="1:7">
      <c r="A84" t="s">
        <v>245</v>
      </c>
      <c r="E84" s="479">
        <v>0.31</v>
      </c>
      <c r="F84" t="s">
        <v>3302</v>
      </c>
    </row>
    <row r="85" spans="1:7">
      <c r="A85" t="s">
        <v>5199</v>
      </c>
      <c r="E85" s="479">
        <v>0.31</v>
      </c>
      <c r="F85" t="s">
        <v>3303</v>
      </c>
    </row>
    <row r="86" spans="1:7">
      <c r="A86" t="s">
        <v>246</v>
      </c>
      <c r="E86" s="479">
        <v>0.31</v>
      </c>
      <c r="F86" t="s">
        <v>3304</v>
      </c>
    </row>
    <row r="87" spans="1:7" s="800" customFormat="1">
      <c r="A87" s="273" t="s">
        <v>1427</v>
      </c>
      <c r="B87" s="273"/>
      <c r="C87" s="273"/>
      <c r="D87" s="273"/>
      <c r="E87" s="274"/>
      <c r="F87" s="273"/>
      <c r="G87" s="273"/>
    </row>
    <row r="88" spans="1:7" s="800" customFormat="1">
      <c r="A88" s="800" t="s">
        <v>244</v>
      </c>
      <c r="E88" s="993">
        <v>6</v>
      </c>
      <c r="F88" s="800" t="s">
        <v>13753</v>
      </c>
    </row>
    <row r="89" spans="1:7" s="800" customFormat="1">
      <c r="A89" s="800" t="s">
        <v>245</v>
      </c>
      <c r="E89" s="993">
        <v>4</v>
      </c>
      <c r="F89" s="800" t="s">
        <v>13754</v>
      </c>
    </row>
    <row r="90" spans="1:7" s="800" customFormat="1">
      <c r="A90" s="800" t="s">
        <v>5199</v>
      </c>
      <c r="E90" s="993">
        <v>4</v>
      </c>
      <c r="F90" s="800" t="s">
        <v>13755</v>
      </c>
    </row>
    <row r="91" spans="1:7" s="800" customFormat="1">
      <c r="A91" s="800" t="s">
        <v>246</v>
      </c>
      <c r="E91" s="993">
        <v>4</v>
      </c>
      <c r="F91" s="800" t="s">
        <v>13756</v>
      </c>
    </row>
    <row r="92" spans="1:7" s="21" customFormat="1">
      <c r="A92" s="273" t="s">
        <v>548</v>
      </c>
      <c r="B92" s="273"/>
      <c r="C92" s="273"/>
      <c r="D92" s="273"/>
      <c r="E92" s="274"/>
      <c r="F92" s="273"/>
      <c r="G92" s="273"/>
    </row>
    <row r="93" spans="1:7" s="21" customFormat="1">
      <c r="A93" t="s">
        <v>14062</v>
      </c>
      <c r="B93"/>
      <c r="C93"/>
      <c r="D93"/>
      <c r="E93">
        <v>25</v>
      </c>
      <c r="F93" t="s">
        <v>560</v>
      </c>
      <c r="G93"/>
    </row>
    <row r="94" spans="1:7" s="21" customFormat="1">
      <c r="A94"/>
      <c r="B94"/>
      <c r="C94"/>
      <c r="D94"/>
      <c r="E94" s="18"/>
      <c r="F94"/>
      <c r="G94"/>
    </row>
    <row r="95" spans="1:7" s="800" customFormat="1">
      <c r="A95" s="273" t="s">
        <v>11350</v>
      </c>
      <c r="B95" s="273"/>
      <c r="C95" s="273"/>
      <c r="D95" s="273"/>
      <c r="E95" s="274"/>
      <c r="F95" s="273"/>
      <c r="G95" s="273"/>
    </row>
    <row r="96" spans="1:7" s="800" customFormat="1">
      <c r="A96" s="800" t="s">
        <v>10249</v>
      </c>
      <c r="E96" s="18"/>
      <c r="F96" s="800" t="s">
        <v>11351</v>
      </c>
    </row>
    <row r="97" spans="1:7" s="800" customFormat="1">
      <c r="A97" s="800" t="s">
        <v>10250</v>
      </c>
      <c r="E97" s="18"/>
      <c r="F97" s="800" t="s">
        <v>11352</v>
      </c>
    </row>
    <row r="98" spans="1:7" s="800" customFormat="1">
      <c r="A98" s="800" t="s">
        <v>10251</v>
      </c>
      <c r="E98" s="18"/>
      <c r="F98" s="800" t="s">
        <v>11353</v>
      </c>
    </row>
    <row r="99" spans="1:7" s="800" customFormat="1">
      <c r="A99" s="800" t="s">
        <v>10252</v>
      </c>
      <c r="E99" s="18"/>
      <c r="F99" s="800" t="s">
        <v>11354</v>
      </c>
    </row>
    <row r="100" spans="1:7" s="800" customFormat="1">
      <c r="A100" s="800" t="s">
        <v>10253</v>
      </c>
      <c r="E100" s="18"/>
      <c r="F100" s="800" t="s">
        <v>11355</v>
      </c>
    </row>
    <row r="101" spans="1:7" s="800" customFormat="1">
      <c r="A101" s="800" t="s">
        <v>10254</v>
      </c>
      <c r="E101" s="18"/>
      <c r="F101" s="800" t="s">
        <v>11356</v>
      </c>
    </row>
    <row r="102" spans="1:7" s="21" customFormat="1">
      <c r="A102"/>
      <c r="B102"/>
      <c r="C102"/>
      <c r="D102"/>
      <c r="E102" s="18"/>
      <c r="F102"/>
      <c r="G102"/>
    </row>
    <row r="103" spans="1:7" s="21" customFormat="1">
      <c r="A103" s="273" t="s">
        <v>749</v>
      </c>
      <c r="B103" s="273"/>
      <c r="C103" s="273"/>
      <c r="D103" s="273"/>
      <c r="E103" s="274"/>
      <c r="F103" s="273"/>
      <c r="G103" s="273"/>
    </row>
    <row r="104" spans="1:7" s="21" customFormat="1">
      <c r="A104" t="s">
        <v>755</v>
      </c>
      <c r="B104"/>
      <c r="C104"/>
      <c r="D104"/>
      <c r="E104" s="18">
        <v>100</v>
      </c>
      <c r="F104" t="s">
        <v>561</v>
      </c>
      <c r="G104"/>
    </row>
    <row r="105" spans="1:7" s="21" customFormat="1">
      <c r="A105"/>
      <c r="B105"/>
      <c r="C105"/>
      <c r="D105"/>
      <c r="E105" s="18"/>
      <c r="F105"/>
      <c r="G105"/>
    </row>
    <row r="106" spans="1:7" s="81" customFormat="1">
      <c r="A106" s="81" t="s">
        <v>1434</v>
      </c>
    </row>
    <row r="107" spans="1:7" s="23" customFormat="1">
      <c r="G107" s="6"/>
    </row>
    <row r="108" spans="1:7" s="23" customFormat="1">
      <c r="A108" s="198" t="s">
        <v>244</v>
      </c>
      <c r="G108" s="6"/>
    </row>
    <row r="109" spans="1:7" s="23" customFormat="1">
      <c r="A109" s="377" t="s">
        <v>12868</v>
      </c>
      <c r="G109" s="6"/>
    </row>
    <row r="110" spans="1:7" s="23" customFormat="1">
      <c r="A110" s="378" t="s">
        <v>379</v>
      </c>
      <c r="E110" s="331">
        <v>1</v>
      </c>
      <c r="F110" s="23" t="s">
        <v>1547</v>
      </c>
      <c r="G110"/>
    </row>
    <row r="111" spans="1:7" s="23" customFormat="1">
      <c r="A111" s="378" t="s">
        <v>394</v>
      </c>
      <c r="E111" s="331">
        <v>0</v>
      </c>
      <c r="F111" s="23" t="s">
        <v>1548</v>
      </c>
      <c r="G111"/>
    </row>
    <row r="112" spans="1:7" s="23" customFormat="1">
      <c r="A112" s="378" t="s">
        <v>395</v>
      </c>
      <c r="E112" s="331">
        <v>0</v>
      </c>
      <c r="F112" s="23" t="s">
        <v>1549</v>
      </c>
      <c r="G112"/>
    </row>
    <row r="113" spans="1:7" s="23" customFormat="1" ht="1.5" customHeight="1">
      <c r="A113" s="197"/>
      <c r="B113" s="197"/>
      <c r="C113" s="197"/>
      <c r="D113" s="260"/>
      <c r="E113" s="260"/>
      <c r="G113"/>
    </row>
    <row r="114" spans="1:7" s="23" customFormat="1">
      <c r="A114" s="282" t="s">
        <v>14</v>
      </c>
      <c r="B114" s="373"/>
      <c r="C114" s="373"/>
      <c r="D114" s="374"/>
      <c r="E114" s="374">
        <v>1</v>
      </c>
      <c r="F114" s="23" t="s">
        <v>1550</v>
      </c>
      <c r="G114"/>
    </row>
    <row r="115" spans="1:7" s="23" customFormat="1">
      <c r="G115"/>
    </row>
    <row r="116" spans="1:7" s="23" customFormat="1">
      <c r="A116" s="377" t="s">
        <v>238</v>
      </c>
      <c r="E116" s="331"/>
      <c r="G116"/>
    </row>
    <row r="117" spans="1:7" s="23" customFormat="1">
      <c r="A117" s="378" t="s">
        <v>379</v>
      </c>
      <c r="E117" s="331">
        <v>1</v>
      </c>
      <c r="F117" s="23" t="s">
        <v>1551</v>
      </c>
      <c r="G117"/>
    </row>
    <row r="118" spans="1:7" s="23" customFormat="1">
      <c r="A118" s="378" t="s">
        <v>394</v>
      </c>
      <c r="E118" s="331">
        <v>1</v>
      </c>
      <c r="F118" s="23" t="s">
        <v>1552</v>
      </c>
      <c r="G118"/>
    </row>
    <row r="119" spans="1:7" s="23" customFormat="1">
      <c r="A119" s="378" t="s">
        <v>395</v>
      </c>
      <c r="E119" s="331">
        <v>0</v>
      </c>
      <c r="F119" s="23" t="s">
        <v>1553</v>
      </c>
      <c r="G119"/>
    </row>
    <row r="120" spans="1:7" s="23" customFormat="1" ht="1.5" customHeight="1">
      <c r="A120" s="197"/>
      <c r="B120" s="197"/>
      <c r="C120" s="197"/>
      <c r="D120" s="260"/>
      <c r="E120" s="260"/>
      <c r="G120"/>
    </row>
    <row r="121" spans="1:7" s="23" customFormat="1">
      <c r="A121" s="282" t="s">
        <v>14</v>
      </c>
      <c r="B121" s="373"/>
      <c r="C121" s="373"/>
      <c r="D121" s="374"/>
      <c r="E121" s="374">
        <v>2</v>
      </c>
      <c r="F121" s="23" t="s">
        <v>1554</v>
      </c>
      <c r="G121"/>
    </row>
    <row r="122" spans="1:7" s="23" customFormat="1">
      <c r="G122"/>
    </row>
    <row r="123" spans="1:7" s="23" customFormat="1">
      <c r="A123" s="377" t="s">
        <v>239</v>
      </c>
      <c r="E123" s="331"/>
      <c r="G123"/>
    </row>
    <row r="124" spans="1:7" s="23" customFormat="1">
      <c r="A124" s="378" t="s">
        <v>379</v>
      </c>
      <c r="E124" s="331">
        <v>1</v>
      </c>
      <c r="F124" s="23" t="s">
        <v>1555</v>
      </c>
      <c r="G124"/>
    </row>
    <row r="125" spans="1:7" s="23" customFormat="1">
      <c r="A125" s="378" t="s">
        <v>394</v>
      </c>
      <c r="E125" s="331">
        <v>1</v>
      </c>
      <c r="F125" s="23" t="s">
        <v>1556</v>
      </c>
      <c r="G125"/>
    </row>
    <row r="126" spans="1:7" s="23" customFormat="1">
      <c r="A126" s="378" t="s">
        <v>395</v>
      </c>
      <c r="E126" s="331">
        <v>0</v>
      </c>
      <c r="F126" s="23" t="s">
        <v>1557</v>
      </c>
      <c r="G126"/>
    </row>
    <row r="127" spans="1:7" s="23" customFormat="1" ht="1.5" customHeight="1">
      <c r="A127" s="377"/>
      <c r="B127" s="259"/>
      <c r="C127" s="197"/>
      <c r="D127" s="197"/>
      <c r="E127" s="260"/>
      <c r="G127"/>
    </row>
    <row r="128" spans="1:7" s="23" customFormat="1">
      <c r="A128" s="282" t="s">
        <v>14</v>
      </c>
      <c r="B128" s="373"/>
      <c r="C128" s="373"/>
      <c r="D128" s="373"/>
      <c r="E128" s="374">
        <v>2</v>
      </c>
      <c r="F128" s="23" t="s">
        <v>1558</v>
      </c>
      <c r="G128"/>
    </row>
    <row r="129" spans="1:7" s="23" customFormat="1">
      <c r="A129" s="377"/>
      <c r="G129"/>
    </row>
    <row r="130" spans="1:7" s="23" customFormat="1">
      <c r="A130" s="377" t="s">
        <v>240</v>
      </c>
      <c r="E130" s="332"/>
      <c r="G130"/>
    </row>
    <row r="131" spans="1:7" s="23" customFormat="1">
      <c r="A131" s="378" t="s">
        <v>379</v>
      </c>
      <c r="E131" s="331">
        <v>0</v>
      </c>
      <c r="F131" s="23" t="s">
        <v>1559</v>
      </c>
      <c r="G131"/>
    </row>
    <row r="132" spans="1:7" s="23" customFormat="1">
      <c r="A132" s="378" t="s">
        <v>394</v>
      </c>
      <c r="E132" s="331">
        <v>0</v>
      </c>
      <c r="F132" s="23" t="s">
        <v>1560</v>
      </c>
      <c r="G132"/>
    </row>
    <row r="133" spans="1:7" s="23" customFormat="1">
      <c r="A133" s="378" t="s">
        <v>395</v>
      </c>
      <c r="E133" s="331">
        <v>0</v>
      </c>
      <c r="F133" s="23" t="s">
        <v>1561</v>
      </c>
      <c r="G133"/>
    </row>
    <row r="134" spans="1:7" s="23" customFormat="1" ht="1.5" customHeight="1">
      <c r="A134" s="197"/>
      <c r="B134" s="197"/>
      <c r="C134" s="197"/>
      <c r="D134" s="260"/>
      <c r="E134" s="260"/>
      <c r="G134"/>
    </row>
    <row r="135" spans="1:7" s="23" customFormat="1">
      <c r="A135" s="282" t="s">
        <v>14</v>
      </c>
      <c r="B135" s="373"/>
      <c r="C135" s="373"/>
      <c r="D135" s="374"/>
      <c r="E135" s="374">
        <v>0</v>
      </c>
      <c r="F135" s="23" t="s">
        <v>1562</v>
      </c>
      <c r="G135"/>
    </row>
    <row r="136" spans="1:7" s="23" customFormat="1">
      <c r="E136" s="331"/>
      <c r="G136"/>
    </row>
    <row r="137" spans="1:7" s="23" customFormat="1">
      <c r="A137" s="198" t="s">
        <v>13819</v>
      </c>
      <c r="B137" s="374"/>
      <c r="C137" s="374"/>
      <c r="D137" s="374"/>
      <c r="E137" s="374">
        <v>5</v>
      </c>
      <c r="F137" s="23" t="s">
        <v>1563</v>
      </c>
      <c r="G137"/>
    </row>
    <row r="138" spans="1:7" s="23" customFormat="1">
      <c r="G138"/>
    </row>
    <row r="139" spans="1:7" s="23" customFormat="1">
      <c r="A139" s="198" t="s">
        <v>245</v>
      </c>
      <c r="G139"/>
    </row>
    <row r="140" spans="1:7" s="23" customFormat="1">
      <c r="A140" s="377" t="s">
        <v>12868</v>
      </c>
      <c r="G140"/>
    </row>
    <row r="141" spans="1:7" s="23" customFormat="1">
      <c r="A141" s="378" t="s">
        <v>379</v>
      </c>
      <c r="E141" s="331">
        <v>1</v>
      </c>
      <c r="F141" s="23" t="s">
        <v>1564</v>
      </c>
      <c r="G141"/>
    </row>
    <row r="142" spans="1:7" s="23" customFormat="1">
      <c r="A142" s="378" t="s">
        <v>394</v>
      </c>
      <c r="E142" s="331">
        <v>0</v>
      </c>
      <c r="F142" s="23" t="s">
        <v>1565</v>
      </c>
      <c r="G142"/>
    </row>
    <row r="143" spans="1:7" s="23" customFormat="1">
      <c r="A143" s="378" t="s">
        <v>395</v>
      </c>
      <c r="E143" s="331">
        <v>0</v>
      </c>
      <c r="F143" s="23" t="s">
        <v>1566</v>
      </c>
      <c r="G143"/>
    </row>
    <row r="144" spans="1:7" s="23" customFormat="1" ht="1.5" customHeight="1">
      <c r="A144" s="197"/>
      <c r="B144" s="197"/>
      <c r="C144" s="197"/>
      <c r="D144" s="260"/>
      <c r="E144" s="260"/>
      <c r="G144"/>
    </row>
    <row r="145" spans="1:7" s="23" customFormat="1">
      <c r="A145" s="282" t="s">
        <v>14</v>
      </c>
      <c r="B145" s="373"/>
      <c r="C145" s="373"/>
      <c r="D145" s="374"/>
      <c r="E145" s="374">
        <v>1</v>
      </c>
      <c r="F145" s="23" t="s">
        <v>1567</v>
      </c>
      <c r="G145"/>
    </row>
    <row r="146" spans="1:7" s="23" customFormat="1">
      <c r="G146"/>
    </row>
    <row r="147" spans="1:7" s="23" customFormat="1">
      <c r="A147" s="377" t="s">
        <v>238</v>
      </c>
      <c r="E147" s="331"/>
      <c r="G147"/>
    </row>
    <row r="148" spans="1:7" s="23" customFormat="1">
      <c r="A148" s="378" t="s">
        <v>379</v>
      </c>
      <c r="E148" s="331">
        <v>1</v>
      </c>
      <c r="F148" s="23" t="s">
        <v>1568</v>
      </c>
      <c r="G148"/>
    </row>
    <row r="149" spans="1:7" s="23" customFormat="1">
      <c r="A149" s="378" t="s">
        <v>394</v>
      </c>
      <c r="E149" s="331">
        <v>0</v>
      </c>
      <c r="F149" s="23" t="s">
        <v>1569</v>
      </c>
      <c r="G149"/>
    </row>
    <row r="150" spans="1:7" s="23" customFormat="1">
      <c r="A150" s="378" t="s">
        <v>395</v>
      </c>
      <c r="E150" s="331">
        <v>0</v>
      </c>
      <c r="F150" s="23" t="s">
        <v>1570</v>
      </c>
      <c r="G150"/>
    </row>
    <row r="151" spans="1:7" s="23" customFormat="1" ht="1.5" customHeight="1">
      <c r="A151" s="197"/>
      <c r="B151" s="197"/>
      <c r="C151" s="197"/>
      <c r="D151" s="260"/>
      <c r="E151" s="260"/>
      <c r="G151"/>
    </row>
    <row r="152" spans="1:7" s="23" customFormat="1">
      <c r="A152" s="282" t="s">
        <v>14</v>
      </c>
      <c r="B152" s="373"/>
      <c r="C152" s="373"/>
      <c r="D152" s="374"/>
      <c r="E152" s="374">
        <v>1</v>
      </c>
      <c r="F152" s="23" t="s">
        <v>1571</v>
      </c>
      <c r="G152"/>
    </row>
    <row r="153" spans="1:7" s="23" customFormat="1">
      <c r="G153"/>
    </row>
    <row r="154" spans="1:7" s="23" customFormat="1">
      <c r="A154" s="377" t="s">
        <v>239</v>
      </c>
      <c r="E154" s="331"/>
      <c r="G154"/>
    </row>
    <row r="155" spans="1:7" s="23" customFormat="1">
      <c r="A155" s="378" t="s">
        <v>379</v>
      </c>
      <c r="E155" s="331">
        <v>1</v>
      </c>
      <c r="F155" s="23" t="s">
        <v>1572</v>
      </c>
      <c r="G155"/>
    </row>
    <row r="156" spans="1:7" s="23" customFormat="1">
      <c r="A156" s="378" t="s">
        <v>394</v>
      </c>
      <c r="E156" s="331">
        <v>0</v>
      </c>
      <c r="F156" s="23" t="s">
        <v>1573</v>
      </c>
      <c r="G156"/>
    </row>
    <row r="157" spans="1:7" s="23" customFormat="1">
      <c r="A157" s="378" t="s">
        <v>395</v>
      </c>
      <c r="E157" s="331">
        <v>0</v>
      </c>
      <c r="F157" s="23" t="s">
        <v>1574</v>
      </c>
      <c r="G157"/>
    </row>
    <row r="158" spans="1:7" s="23" customFormat="1" ht="1.5" customHeight="1">
      <c r="A158" s="377"/>
      <c r="B158" s="259"/>
      <c r="C158" s="197"/>
      <c r="D158" s="197"/>
      <c r="E158" s="260"/>
      <c r="G158"/>
    </row>
    <row r="159" spans="1:7" s="23" customFormat="1">
      <c r="A159" s="282" t="s">
        <v>14</v>
      </c>
      <c r="B159" s="373"/>
      <c r="C159" s="373"/>
      <c r="D159" s="373"/>
      <c r="E159" s="374">
        <v>1</v>
      </c>
      <c r="F159" s="23" t="s">
        <v>1575</v>
      </c>
      <c r="G159"/>
    </row>
    <row r="160" spans="1:7" s="23" customFormat="1">
      <c r="A160" s="377"/>
      <c r="G160"/>
    </row>
    <row r="161" spans="1:7" s="23" customFormat="1">
      <c r="A161" s="377" t="s">
        <v>240</v>
      </c>
      <c r="E161" s="332"/>
      <c r="G161"/>
    </row>
    <row r="162" spans="1:7" s="23" customFormat="1">
      <c r="A162" s="378" t="s">
        <v>379</v>
      </c>
      <c r="E162" s="331">
        <v>0</v>
      </c>
      <c r="F162" s="23" t="s">
        <v>1576</v>
      </c>
      <c r="G162"/>
    </row>
    <row r="163" spans="1:7" s="23" customFormat="1">
      <c r="A163" s="378" t="s">
        <v>394</v>
      </c>
      <c r="E163" s="331">
        <v>0</v>
      </c>
      <c r="F163" s="23" t="s">
        <v>1577</v>
      </c>
      <c r="G163"/>
    </row>
    <row r="164" spans="1:7" s="23" customFormat="1">
      <c r="A164" s="378" t="s">
        <v>395</v>
      </c>
      <c r="E164" s="331">
        <v>0</v>
      </c>
      <c r="F164" s="23" t="s">
        <v>1578</v>
      </c>
      <c r="G164"/>
    </row>
    <row r="165" spans="1:7" s="23" customFormat="1" ht="1.5" customHeight="1">
      <c r="A165" s="197"/>
      <c r="B165" s="197"/>
      <c r="C165" s="197"/>
      <c r="D165" s="260"/>
      <c r="E165" s="260"/>
      <c r="G165"/>
    </row>
    <row r="166" spans="1:7" s="23" customFormat="1">
      <c r="A166" s="282" t="s">
        <v>14</v>
      </c>
      <c r="B166" s="373"/>
      <c r="C166" s="373"/>
      <c r="D166" s="374"/>
      <c r="E166" s="374">
        <v>0</v>
      </c>
      <c r="F166" s="23" t="s">
        <v>1579</v>
      </c>
      <c r="G166"/>
    </row>
    <row r="167" spans="1:7" s="23" customFormat="1">
      <c r="E167" s="331"/>
      <c r="G167"/>
    </row>
    <row r="168" spans="1:7" s="23" customFormat="1">
      <c r="A168" s="198" t="s">
        <v>13820</v>
      </c>
      <c r="B168" s="373"/>
      <c r="C168" s="373"/>
      <c r="D168" s="373"/>
      <c r="E168" s="374">
        <v>3</v>
      </c>
      <c r="F168" s="23" t="s">
        <v>1580</v>
      </c>
      <c r="G168"/>
    </row>
    <row r="169" spans="1:7" s="23" customFormat="1">
      <c r="E169" s="331"/>
      <c r="G169"/>
    </row>
    <row r="170" spans="1:7" s="23" customFormat="1">
      <c r="A170" s="198" t="s">
        <v>5199</v>
      </c>
      <c r="G170"/>
    </row>
    <row r="171" spans="1:7" s="23" customFormat="1">
      <c r="A171" s="377" t="s">
        <v>12868</v>
      </c>
      <c r="G171"/>
    </row>
    <row r="172" spans="1:7" s="23" customFormat="1">
      <c r="A172" s="378" t="s">
        <v>379</v>
      </c>
      <c r="E172" s="331">
        <v>1</v>
      </c>
      <c r="F172" s="23" t="s">
        <v>1581</v>
      </c>
      <c r="G172"/>
    </row>
    <row r="173" spans="1:7" s="23" customFormat="1">
      <c r="A173" s="378" t="s">
        <v>394</v>
      </c>
      <c r="E173" s="331">
        <v>0</v>
      </c>
      <c r="F173" s="23" t="s">
        <v>1582</v>
      </c>
      <c r="G173"/>
    </row>
    <row r="174" spans="1:7" s="23" customFormat="1">
      <c r="A174" s="378" t="s">
        <v>395</v>
      </c>
      <c r="E174" s="331">
        <v>0</v>
      </c>
      <c r="F174" s="23" t="s">
        <v>1583</v>
      </c>
      <c r="G174"/>
    </row>
    <row r="175" spans="1:7" s="23" customFormat="1" ht="1.5" customHeight="1">
      <c r="A175" s="197"/>
      <c r="B175" s="197"/>
      <c r="C175" s="197"/>
      <c r="D175" s="260"/>
      <c r="E175" s="260"/>
      <c r="G175"/>
    </row>
    <row r="176" spans="1:7" s="23" customFormat="1">
      <c r="A176" s="282" t="s">
        <v>14</v>
      </c>
      <c r="B176" s="373"/>
      <c r="C176" s="373"/>
      <c r="D176" s="374"/>
      <c r="E176" s="374">
        <v>1</v>
      </c>
      <c r="F176" s="23" t="s">
        <v>1584</v>
      </c>
      <c r="G176"/>
    </row>
    <row r="177" spans="1:7" s="23" customFormat="1">
      <c r="G177"/>
    </row>
    <row r="178" spans="1:7" s="23" customFormat="1">
      <c r="A178" s="377" t="s">
        <v>238</v>
      </c>
      <c r="E178" s="331"/>
      <c r="G178"/>
    </row>
    <row r="179" spans="1:7" s="23" customFormat="1">
      <c r="A179" s="378" t="s">
        <v>379</v>
      </c>
      <c r="E179" s="331">
        <v>1</v>
      </c>
      <c r="F179" s="23" t="s">
        <v>1585</v>
      </c>
      <c r="G179"/>
    </row>
    <row r="180" spans="1:7" s="23" customFormat="1">
      <c r="A180" s="378" t="s">
        <v>394</v>
      </c>
      <c r="E180" s="331">
        <v>1</v>
      </c>
      <c r="F180" s="23" t="s">
        <v>1586</v>
      </c>
      <c r="G180"/>
    </row>
    <row r="181" spans="1:7" s="23" customFormat="1">
      <c r="A181" s="378" t="s">
        <v>395</v>
      </c>
      <c r="E181" s="331">
        <v>0</v>
      </c>
      <c r="F181" s="23" t="s">
        <v>1587</v>
      </c>
      <c r="G181"/>
    </row>
    <row r="182" spans="1:7" s="23" customFormat="1" ht="1.5" customHeight="1">
      <c r="A182" s="197"/>
      <c r="B182" s="197"/>
      <c r="C182" s="197"/>
      <c r="D182" s="260"/>
      <c r="E182" s="260"/>
      <c r="G182"/>
    </row>
    <row r="183" spans="1:7" s="23" customFormat="1">
      <c r="A183" s="282" t="s">
        <v>14</v>
      </c>
      <c r="B183" s="373"/>
      <c r="C183" s="373"/>
      <c r="D183" s="374"/>
      <c r="E183" s="374">
        <v>2</v>
      </c>
      <c r="F183" s="23" t="s">
        <v>1588</v>
      </c>
      <c r="G183"/>
    </row>
    <row r="184" spans="1:7" s="23" customFormat="1">
      <c r="G184"/>
    </row>
    <row r="185" spans="1:7" s="23" customFormat="1">
      <c r="A185" s="377" t="s">
        <v>239</v>
      </c>
      <c r="E185" s="331"/>
      <c r="G185"/>
    </row>
    <row r="186" spans="1:7" s="23" customFormat="1">
      <c r="A186" s="378" t="s">
        <v>379</v>
      </c>
      <c r="E186" s="331">
        <v>1</v>
      </c>
      <c r="F186" s="23" t="s">
        <v>1589</v>
      </c>
      <c r="G186"/>
    </row>
    <row r="187" spans="1:7" s="23" customFormat="1">
      <c r="A187" s="378" t="s">
        <v>394</v>
      </c>
      <c r="E187" s="331">
        <v>0</v>
      </c>
      <c r="F187" s="23" t="s">
        <v>1590</v>
      </c>
      <c r="G187"/>
    </row>
    <row r="188" spans="1:7" s="23" customFormat="1">
      <c r="A188" s="378" t="s">
        <v>395</v>
      </c>
      <c r="E188" s="331">
        <v>0</v>
      </c>
      <c r="F188" s="23" t="s">
        <v>1591</v>
      </c>
      <c r="G188"/>
    </row>
    <row r="189" spans="1:7" s="23" customFormat="1" ht="1.5" customHeight="1">
      <c r="A189" s="377"/>
      <c r="B189" s="259"/>
      <c r="C189" s="197"/>
      <c r="D189" s="197"/>
      <c r="E189" s="260"/>
      <c r="G189"/>
    </row>
    <row r="190" spans="1:7" s="23" customFormat="1">
      <c r="A190" s="282" t="s">
        <v>14</v>
      </c>
      <c r="B190" s="373"/>
      <c r="C190" s="373"/>
      <c r="D190" s="373"/>
      <c r="E190" s="374">
        <v>1</v>
      </c>
      <c r="F190" s="23" t="s">
        <v>1592</v>
      </c>
      <c r="G190"/>
    </row>
    <row r="191" spans="1:7" s="23" customFormat="1">
      <c r="A191" s="377"/>
      <c r="G191"/>
    </row>
    <row r="192" spans="1:7" s="23" customFormat="1">
      <c r="A192" s="377" t="s">
        <v>240</v>
      </c>
      <c r="E192" s="332"/>
      <c r="G192"/>
    </row>
    <row r="193" spans="1:7" s="23" customFormat="1">
      <c r="A193" s="378" t="s">
        <v>379</v>
      </c>
      <c r="E193" s="331">
        <v>0</v>
      </c>
      <c r="F193" s="23" t="s">
        <v>1593</v>
      </c>
      <c r="G193"/>
    </row>
    <row r="194" spans="1:7" s="23" customFormat="1">
      <c r="A194" s="378" t="s">
        <v>394</v>
      </c>
      <c r="E194" s="331">
        <v>0</v>
      </c>
      <c r="F194" s="23" t="s">
        <v>1594</v>
      </c>
      <c r="G194"/>
    </row>
    <row r="195" spans="1:7" s="23" customFormat="1">
      <c r="A195" s="378" t="s">
        <v>395</v>
      </c>
      <c r="E195" s="331">
        <v>0</v>
      </c>
      <c r="F195" s="23" t="s">
        <v>1595</v>
      </c>
      <c r="G195"/>
    </row>
    <row r="196" spans="1:7" s="23" customFormat="1" ht="1.5" customHeight="1">
      <c r="A196" s="197"/>
      <c r="B196" s="197"/>
      <c r="C196" s="197"/>
      <c r="D196" s="260"/>
      <c r="E196" s="260"/>
      <c r="G196"/>
    </row>
    <row r="197" spans="1:7" s="23" customFormat="1">
      <c r="A197" s="282" t="s">
        <v>14</v>
      </c>
      <c r="B197" s="373"/>
      <c r="C197" s="373"/>
      <c r="D197" s="374"/>
      <c r="E197" s="374">
        <v>0</v>
      </c>
      <c r="F197" s="23" t="s">
        <v>1596</v>
      </c>
      <c r="G197"/>
    </row>
    <row r="198" spans="1:7" s="23" customFormat="1">
      <c r="E198" s="331"/>
      <c r="G198"/>
    </row>
    <row r="199" spans="1:7" s="23" customFormat="1">
      <c r="A199" s="198" t="s">
        <v>13821</v>
      </c>
      <c r="B199" s="374"/>
      <c r="C199" s="374"/>
      <c r="D199" s="374"/>
      <c r="E199" s="374">
        <v>4</v>
      </c>
      <c r="F199" s="23" t="s">
        <v>1597</v>
      </c>
      <c r="G199"/>
    </row>
    <row r="200" spans="1:7" s="23" customFormat="1">
      <c r="E200" s="331"/>
      <c r="G200"/>
    </row>
    <row r="201" spans="1:7" s="23" customFormat="1">
      <c r="A201" s="198" t="s">
        <v>246</v>
      </c>
      <c r="G201"/>
    </row>
    <row r="202" spans="1:7" s="23" customFormat="1">
      <c r="A202" s="377" t="s">
        <v>12868</v>
      </c>
      <c r="G202"/>
    </row>
    <row r="203" spans="1:7" s="23" customFormat="1">
      <c r="A203" s="378" t="s">
        <v>379</v>
      </c>
      <c r="E203" s="331">
        <v>1</v>
      </c>
      <c r="F203" s="23" t="s">
        <v>1598</v>
      </c>
      <c r="G203"/>
    </row>
    <row r="204" spans="1:7" s="23" customFormat="1">
      <c r="A204" s="378" t="s">
        <v>394</v>
      </c>
      <c r="E204" s="331">
        <v>0</v>
      </c>
      <c r="F204" s="23" t="s">
        <v>1599</v>
      </c>
      <c r="G204"/>
    </row>
    <row r="205" spans="1:7" s="23" customFormat="1">
      <c r="A205" s="378" t="s">
        <v>395</v>
      </c>
      <c r="E205" s="331">
        <v>0</v>
      </c>
      <c r="F205" s="23" t="s">
        <v>1600</v>
      </c>
      <c r="G205"/>
    </row>
    <row r="206" spans="1:7" s="23" customFormat="1" ht="1.5" customHeight="1">
      <c r="A206" s="197"/>
      <c r="B206" s="197"/>
      <c r="C206" s="197"/>
      <c r="D206" s="260"/>
      <c r="E206" s="260"/>
      <c r="G206"/>
    </row>
    <row r="207" spans="1:7" s="23" customFormat="1">
      <c r="A207" s="282" t="s">
        <v>14</v>
      </c>
      <c r="B207" s="373"/>
      <c r="C207" s="373"/>
      <c r="D207" s="374"/>
      <c r="E207" s="374">
        <v>1</v>
      </c>
      <c r="F207" s="23" t="s">
        <v>1601</v>
      </c>
      <c r="G207"/>
    </row>
    <row r="208" spans="1:7" s="23" customFormat="1">
      <c r="G208"/>
    </row>
    <row r="209" spans="1:7" s="23" customFormat="1">
      <c r="A209" s="377" t="s">
        <v>238</v>
      </c>
      <c r="E209" s="331"/>
      <c r="G209"/>
    </row>
    <row r="210" spans="1:7" s="23" customFormat="1">
      <c r="A210" s="378" t="s">
        <v>379</v>
      </c>
      <c r="E210" s="331">
        <v>1</v>
      </c>
      <c r="F210" s="23" t="s">
        <v>1602</v>
      </c>
      <c r="G210"/>
    </row>
    <row r="211" spans="1:7" s="23" customFormat="1">
      <c r="A211" s="378" t="s">
        <v>394</v>
      </c>
      <c r="E211" s="331">
        <v>0</v>
      </c>
      <c r="F211" s="23" t="s">
        <v>1603</v>
      </c>
      <c r="G211"/>
    </row>
    <row r="212" spans="1:7" s="23" customFormat="1">
      <c r="A212" s="378" t="s">
        <v>395</v>
      </c>
      <c r="E212" s="331">
        <v>0</v>
      </c>
      <c r="F212" s="23" t="s">
        <v>1604</v>
      </c>
      <c r="G212"/>
    </row>
    <row r="213" spans="1:7" s="23" customFormat="1" ht="1.5" customHeight="1">
      <c r="A213" s="197"/>
      <c r="B213" s="197"/>
      <c r="C213" s="197"/>
      <c r="D213" s="260"/>
      <c r="E213" s="260"/>
      <c r="G213"/>
    </row>
    <row r="214" spans="1:7" s="23" customFormat="1">
      <c r="A214" s="282" t="s">
        <v>14</v>
      </c>
      <c r="B214" s="373"/>
      <c r="C214" s="373"/>
      <c r="D214" s="374"/>
      <c r="E214" s="374">
        <v>1</v>
      </c>
      <c r="F214" s="23" t="s">
        <v>1605</v>
      </c>
      <c r="G214"/>
    </row>
    <row r="215" spans="1:7" s="23" customFormat="1">
      <c r="G215"/>
    </row>
    <row r="216" spans="1:7" s="23" customFormat="1">
      <c r="A216" s="377" t="s">
        <v>239</v>
      </c>
      <c r="E216" s="331"/>
      <c r="G216"/>
    </row>
    <row r="217" spans="1:7" s="23" customFormat="1">
      <c r="A217" s="378" t="s">
        <v>379</v>
      </c>
      <c r="E217" s="331">
        <v>1</v>
      </c>
      <c r="F217" s="23" t="s">
        <v>1606</v>
      </c>
      <c r="G217"/>
    </row>
    <row r="218" spans="1:7" s="23" customFormat="1">
      <c r="A218" s="378" t="s">
        <v>394</v>
      </c>
      <c r="E218" s="331">
        <v>0</v>
      </c>
      <c r="F218" s="23" t="s">
        <v>1607</v>
      </c>
      <c r="G218"/>
    </row>
    <row r="219" spans="1:7" s="23" customFormat="1">
      <c r="A219" s="378" t="s">
        <v>395</v>
      </c>
      <c r="E219" s="331">
        <v>0</v>
      </c>
      <c r="F219" s="23" t="s">
        <v>1608</v>
      </c>
      <c r="G219"/>
    </row>
    <row r="220" spans="1:7" s="23" customFormat="1" ht="1.5" customHeight="1">
      <c r="A220" s="197"/>
      <c r="B220" s="259"/>
      <c r="C220" s="197"/>
      <c r="D220" s="197"/>
      <c r="E220" s="260"/>
      <c r="G220"/>
    </row>
    <row r="221" spans="1:7" s="23" customFormat="1">
      <c r="A221" s="282" t="s">
        <v>14</v>
      </c>
      <c r="B221" s="373"/>
      <c r="C221" s="373"/>
      <c r="D221" s="373"/>
      <c r="E221" s="374">
        <v>1</v>
      </c>
      <c r="F221" s="23" t="s">
        <v>1609</v>
      </c>
      <c r="G221"/>
    </row>
    <row r="222" spans="1:7" s="23" customFormat="1">
      <c r="A222" s="377"/>
      <c r="G222"/>
    </row>
    <row r="223" spans="1:7" s="23" customFormat="1">
      <c r="A223" s="377" t="s">
        <v>240</v>
      </c>
      <c r="E223" s="332"/>
      <c r="G223"/>
    </row>
    <row r="224" spans="1:7" s="23" customFormat="1">
      <c r="A224" s="378" t="s">
        <v>379</v>
      </c>
      <c r="E224" s="331">
        <v>1</v>
      </c>
      <c r="F224" s="23" t="s">
        <v>1610</v>
      </c>
      <c r="G224"/>
    </row>
    <row r="225" spans="1:7" s="23" customFormat="1">
      <c r="A225" s="378" t="s">
        <v>394</v>
      </c>
      <c r="E225" s="331">
        <v>0</v>
      </c>
      <c r="F225" s="23" t="s">
        <v>1611</v>
      </c>
      <c r="G225"/>
    </row>
    <row r="226" spans="1:7" s="23" customFormat="1">
      <c r="A226" s="378" t="s">
        <v>395</v>
      </c>
      <c r="E226" s="331">
        <v>0</v>
      </c>
      <c r="F226" s="23" t="s">
        <v>1612</v>
      </c>
      <c r="G226"/>
    </row>
    <row r="227" spans="1:7" s="23" customFormat="1" ht="1.5" customHeight="1">
      <c r="A227" s="197"/>
      <c r="B227" s="197"/>
      <c r="C227" s="197"/>
      <c r="D227" s="260"/>
      <c r="E227" s="260"/>
    </row>
    <row r="228" spans="1:7" s="23" customFormat="1">
      <c r="A228" s="282" t="s">
        <v>14</v>
      </c>
      <c r="B228" s="373"/>
      <c r="C228" s="373"/>
      <c r="D228" s="374"/>
      <c r="E228" s="374">
        <v>1</v>
      </c>
      <c r="F228" s="23" t="s">
        <v>1613</v>
      </c>
      <c r="G228" s="6"/>
    </row>
    <row r="229" spans="1:7" s="23" customFormat="1">
      <c r="E229" s="331"/>
      <c r="G229" s="6"/>
    </row>
    <row r="230" spans="1:7" s="23" customFormat="1">
      <c r="A230" s="198" t="s">
        <v>13822</v>
      </c>
      <c r="B230" s="374"/>
      <c r="C230" s="374"/>
      <c r="D230" s="374"/>
      <c r="E230" s="374">
        <v>4</v>
      </c>
      <c r="F230" s="23" t="s">
        <v>1614</v>
      </c>
      <c r="G230" s="6"/>
    </row>
    <row r="231" spans="1:7" s="23" customFormat="1">
      <c r="E231" s="331"/>
      <c r="G231" s="6"/>
    </row>
    <row r="232" spans="1:7" s="23" customFormat="1">
      <c r="E232" s="331"/>
      <c r="G232" s="6"/>
    </row>
    <row r="233" spans="1:7" s="23" customFormat="1">
      <c r="A233" s="198" t="s">
        <v>1483</v>
      </c>
      <c r="E233" s="331"/>
      <c r="G233" s="6"/>
    </row>
    <row r="234" spans="1:7" s="23" customFormat="1">
      <c r="A234" s="377" t="s">
        <v>12868</v>
      </c>
      <c r="E234" s="331">
        <v>4</v>
      </c>
      <c r="F234" s="23" t="s">
        <v>1615</v>
      </c>
      <c r="G234" s="6"/>
    </row>
    <row r="235" spans="1:7" s="23" customFormat="1">
      <c r="A235" s="377" t="s">
        <v>238</v>
      </c>
      <c r="E235" s="331">
        <v>6</v>
      </c>
      <c r="F235" s="23" t="s">
        <v>1616</v>
      </c>
      <c r="G235" s="6"/>
    </row>
    <row r="236" spans="1:7" s="23" customFormat="1">
      <c r="A236" s="377" t="s">
        <v>239</v>
      </c>
      <c r="E236" s="331">
        <v>5</v>
      </c>
      <c r="F236" s="23" t="s">
        <v>1617</v>
      </c>
      <c r="G236" s="6"/>
    </row>
    <row r="237" spans="1:7" s="23" customFormat="1">
      <c r="A237" s="377" t="s">
        <v>240</v>
      </c>
      <c r="E237" s="331">
        <v>1</v>
      </c>
      <c r="F237" s="23" t="s">
        <v>1618</v>
      </c>
      <c r="G237" s="6"/>
    </row>
    <row r="238" spans="1:7" s="21" customFormat="1">
      <c r="A238"/>
      <c r="B238"/>
      <c r="C238"/>
      <c r="D238"/>
      <c r="E238" s="18"/>
      <c r="F238"/>
      <c r="G238"/>
    </row>
    <row r="239" spans="1:7" s="646" customFormat="1">
      <c r="A239" s="616" t="s">
        <v>14063</v>
      </c>
      <c r="B239" s="616"/>
      <c r="C239" s="616"/>
      <c r="D239" s="616"/>
      <c r="E239" s="616"/>
      <c r="F239" s="616"/>
      <c r="G239" s="616"/>
    </row>
    <row r="240" spans="1:7" s="646" customFormat="1"/>
    <row r="241" spans="1:6" s="646" customFormat="1">
      <c r="A241" s="519" t="s">
        <v>14015</v>
      </c>
      <c r="E241" s="18" t="s">
        <v>9052</v>
      </c>
      <c r="F241" s="520" t="s">
        <v>12437</v>
      </c>
    </row>
    <row r="242" spans="1:6" s="646" customFormat="1">
      <c r="A242" s="519" t="s">
        <v>14015</v>
      </c>
      <c r="E242" s="18" t="s">
        <v>9050</v>
      </c>
      <c r="F242" s="520" t="s">
        <v>12438</v>
      </c>
    </row>
    <row r="243" spans="1:6" s="646" customFormat="1">
      <c r="A243" s="519" t="s">
        <v>14016</v>
      </c>
      <c r="E243" s="18" t="s">
        <v>5788</v>
      </c>
      <c r="F243" s="520" t="s">
        <v>12439</v>
      </c>
    </row>
    <row r="244" spans="1:6" s="646" customFormat="1">
      <c r="A244" s="519" t="s">
        <v>14016</v>
      </c>
      <c r="E244" s="18" t="s">
        <v>5788</v>
      </c>
      <c r="F244" s="520" t="s">
        <v>12440</v>
      </c>
    </row>
    <row r="245" spans="1:6" s="646" customFormat="1">
      <c r="A245" s="519" t="s">
        <v>14017</v>
      </c>
      <c r="E245" s="18" t="s">
        <v>5788</v>
      </c>
      <c r="F245" s="520" t="s">
        <v>12441</v>
      </c>
    </row>
    <row r="246" spans="1:6" s="646" customFormat="1">
      <c r="A246" s="519" t="s">
        <v>14017</v>
      </c>
      <c r="E246" s="18" t="s">
        <v>5788</v>
      </c>
      <c r="F246" s="520" t="s">
        <v>12442</v>
      </c>
    </row>
    <row r="247" spans="1:6" s="646" customFormat="1">
      <c r="A247" s="519" t="s">
        <v>14018</v>
      </c>
      <c r="E247" s="18" t="s">
        <v>9052</v>
      </c>
      <c r="F247" s="520" t="s">
        <v>12443</v>
      </c>
    </row>
    <row r="248" spans="1:6" s="646" customFormat="1">
      <c r="A248" s="519" t="s">
        <v>14018</v>
      </c>
      <c r="E248" s="18" t="s">
        <v>5788</v>
      </c>
      <c r="F248" s="520" t="s">
        <v>12444</v>
      </c>
    </row>
    <row r="249" spans="1:6" s="646" customFormat="1">
      <c r="A249" s="519" t="s">
        <v>14019</v>
      </c>
      <c r="E249" s="18" t="s">
        <v>9050</v>
      </c>
      <c r="F249" s="520" t="s">
        <v>12445</v>
      </c>
    </row>
    <row r="250" spans="1:6" s="646" customFormat="1">
      <c r="A250" s="519" t="s">
        <v>14019</v>
      </c>
      <c r="E250" s="18" t="s">
        <v>5789</v>
      </c>
      <c r="F250" s="520" t="s">
        <v>12446</v>
      </c>
    </row>
    <row r="251" spans="1:6" s="646" customFormat="1">
      <c r="A251" s="519" t="s">
        <v>14020</v>
      </c>
      <c r="E251" s="18" t="s">
        <v>5788</v>
      </c>
      <c r="F251" s="520" t="s">
        <v>12447</v>
      </c>
    </row>
    <row r="252" spans="1:6" s="646" customFormat="1">
      <c r="A252" s="519" t="s">
        <v>14020</v>
      </c>
      <c r="E252" s="18" t="s">
        <v>5788</v>
      </c>
      <c r="F252" s="520" t="s">
        <v>12448</v>
      </c>
    </row>
    <row r="253" spans="1:6" s="646" customFormat="1">
      <c r="A253" s="519" t="s">
        <v>14021</v>
      </c>
      <c r="E253" s="18" t="s">
        <v>9052</v>
      </c>
      <c r="F253" s="520" t="s">
        <v>12449</v>
      </c>
    </row>
    <row r="254" spans="1:6" s="646" customFormat="1">
      <c r="A254" s="519" t="s">
        <v>14021</v>
      </c>
      <c r="E254" s="18" t="s">
        <v>5788</v>
      </c>
      <c r="F254" s="520" t="s">
        <v>12450</v>
      </c>
    </row>
    <row r="255" spans="1:6" s="646" customFormat="1">
      <c r="A255" s="519" t="s">
        <v>14022</v>
      </c>
      <c r="E255" s="18" t="s">
        <v>9050</v>
      </c>
      <c r="F255" s="520" t="s">
        <v>12451</v>
      </c>
    </row>
    <row r="256" spans="1:6" s="646" customFormat="1">
      <c r="A256" s="519" t="s">
        <v>14022</v>
      </c>
      <c r="E256" s="18" t="s">
        <v>5788</v>
      </c>
      <c r="F256" s="520" t="s">
        <v>12452</v>
      </c>
    </row>
    <row r="257" spans="1:7" s="646" customFormat="1">
      <c r="A257" s="519" t="s">
        <v>14023</v>
      </c>
      <c r="E257" s="18" t="s">
        <v>5788</v>
      </c>
      <c r="F257" s="520" t="s">
        <v>12453</v>
      </c>
    </row>
    <row r="258" spans="1:7" s="646" customFormat="1">
      <c r="A258" s="519" t="s">
        <v>14023</v>
      </c>
      <c r="E258" s="18" t="s">
        <v>5788</v>
      </c>
      <c r="F258" s="520" t="s">
        <v>12454</v>
      </c>
    </row>
    <row r="259" spans="1:7" s="646" customFormat="1">
      <c r="A259" s="519" t="s">
        <v>14024</v>
      </c>
      <c r="E259" s="18" t="s">
        <v>5788</v>
      </c>
      <c r="F259" s="520" t="s">
        <v>12455</v>
      </c>
    </row>
    <row r="260" spans="1:7" s="646" customFormat="1">
      <c r="A260" s="519" t="s">
        <v>14024</v>
      </c>
      <c r="E260" s="18" t="s">
        <v>5788</v>
      </c>
      <c r="F260" s="520" t="s">
        <v>12456</v>
      </c>
    </row>
    <row r="261" spans="1:7" s="646" customFormat="1">
      <c r="A261" s="519" t="s">
        <v>14025</v>
      </c>
      <c r="E261" s="18" t="s">
        <v>5788</v>
      </c>
      <c r="F261" s="520" t="s">
        <v>12457</v>
      </c>
    </row>
    <row r="262" spans="1:7" s="646" customFormat="1">
      <c r="A262" s="519" t="s">
        <v>14025</v>
      </c>
      <c r="E262" s="18" t="s">
        <v>5788</v>
      </c>
      <c r="F262" s="520" t="s">
        <v>12458</v>
      </c>
    </row>
    <row r="263" spans="1:7" s="646" customFormat="1">
      <c r="A263" s="519" t="s">
        <v>14026</v>
      </c>
      <c r="E263" s="18" t="s">
        <v>5788</v>
      </c>
      <c r="F263" s="520" t="s">
        <v>12459</v>
      </c>
    </row>
    <row r="264" spans="1:7" s="646" customFormat="1">
      <c r="A264" s="519" t="s">
        <v>14026</v>
      </c>
      <c r="E264" s="18" t="s">
        <v>5788</v>
      </c>
      <c r="F264" s="520" t="s">
        <v>12460</v>
      </c>
    </row>
    <row r="265" spans="1:7" s="646" customFormat="1">
      <c r="A265" s="519"/>
      <c r="E265" s="712"/>
      <c r="F265" s="520"/>
    </row>
    <row r="266" spans="1:7" s="646" customFormat="1">
      <c r="A266" s="616" t="s">
        <v>14064</v>
      </c>
      <c r="B266" s="616"/>
      <c r="C266" s="616"/>
      <c r="D266" s="616"/>
      <c r="E266" s="616"/>
      <c r="F266" s="616"/>
      <c r="G266" s="616"/>
    </row>
    <row r="267" spans="1:7" s="646" customFormat="1"/>
    <row r="268" spans="1:7" s="646" customFormat="1">
      <c r="A268" s="519" t="s">
        <v>14015</v>
      </c>
      <c r="E268" s="18" t="s">
        <v>9050</v>
      </c>
      <c r="F268" s="520" t="s">
        <v>13174</v>
      </c>
    </row>
    <row r="269" spans="1:7" s="646" customFormat="1">
      <c r="A269" s="519" t="s">
        <v>14016</v>
      </c>
      <c r="E269" s="18" t="s">
        <v>5788</v>
      </c>
      <c r="F269" s="520" t="s">
        <v>13175</v>
      </c>
    </row>
    <row r="270" spans="1:7" s="646" customFormat="1">
      <c r="A270" s="519" t="s">
        <v>14017</v>
      </c>
      <c r="E270" s="18" t="s">
        <v>5788</v>
      </c>
      <c r="F270" s="520" t="s">
        <v>13176</v>
      </c>
    </row>
    <row r="271" spans="1:7" s="646" customFormat="1">
      <c r="A271" s="519" t="s">
        <v>14018</v>
      </c>
      <c r="E271" s="18" t="s">
        <v>9052</v>
      </c>
      <c r="F271" s="520" t="s">
        <v>13177</v>
      </c>
    </row>
    <row r="272" spans="1:7" s="646" customFormat="1">
      <c r="A272" s="519" t="s">
        <v>14019</v>
      </c>
      <c r="E272" s="18" t="s">
        <v>9050</v>
      </c>
      <c r="F272" s="520" t="s">
        <v>13178</v>
      </c>
    </row>
    <row r="273" spans="1:7" s="646" customFormat="1">
      <c r="A273" s="519" t="s">
        <v>14020</v>
      </c>
      <c r="E273" s="18" t="s">
        <v>5788</v>
      </c>
      <c r="F273" s="520" t="s">
        <v>13179</v>
      </c>
    </row>
    <row r="274" spans="1:7" s="646" customFormat="1">
      <c r="A274" s="519" t="s">
        <v>14021</v>
      </c>
      <c r="E274" s="18" t="s">
        <v>5789</v>
      </c>
      <c r="F274" s="520" t="s">
        <v>13180</v>
      </c>
    </row>
    <row r="275" spans="1:7" s="646" customFormat="1">
      <c r="A275" s="519" t="s">
        <v>14022</v>
      </c>
      <c r="E275" s="18" t="s">
        <v>5788</v>
      </c>
      <c r="F275" s="520" t="s">
        <v>13181</v>
      </c>
    </row>
    <row r="276" spans="1:7" s="646" customFormat="1">
      <c r="A276" s="519" t="s">
        <v>14023</v>
      </c>
      <c r="E276" s="18" t="s">
        <v>5788</v>
      </c>
      <c r="F276" s="520" t="s">
        <v>13182</v>
      </c>
    </row>
    <row r="277" spans="1:7" s="646" customFormat="1">
      <c r="A277" s="519" t="s">
        <v>14024</v>
      </c>
      <c r="E277" s="18" t="s">
        <v>5788</v>
      </c>
      <c r="F277" s="520" t="s">
        <v>13183</v>
      </c>
    </row>
    <row r="278" spans="1:7" s="646" customFormat="1">
      <c r="A278" s="519" t="s">
        <v>14025</v>
      </c>
      <c r="E278" s="18" t="s">
        <v>5788</v>
      </c>
      <c r="F278" s="520" t="s">
        <v>13184</v>
      </c>
    </row>
    <row r="279" spans="1:7" s="646" customFormat="1">
      <c r="A279" s="519" t="s">
        <v>14026</v>
      </c>
      <c r="E279" s="18" t="s">
        <v>5788</v>
      </c>
      <c r="F279" s="520" t="s">
        <v>13185</v>
      </c>
    </row>
    <row r="280" spans="1:7" s="646" customFormat="1">
      <c r="A280" s="519"/>
      <c r="E280" s="712"/>
      <c r="F280" s="520"/>
    </row>
    <row r="281" spans="1:7" s="646" customFormat="1">
      <c r="A281" s="616" t="s">
        <v>14065</v>
      </c>
      <c r="B281" s="616"/>
      <c r="C281" s="616"/>
      <c r="D281" s="616"/>
      <c r="E281" s="616"/>
      <c r="F281" s="616"/>
      <c r="G281" s="616"/>
    </row>
    <row r="282" spans="1:7" s="646" customFormat="1"/>
    <row r="283" spans="1:7" s="646" customFormat="1">
      <c r="A283" s="519" t="s">
        <v>14015</v>
      </c>
      <c r="E283" s="18" t="s">
        <v>9050</v>
      </c>
      <c r="F283" s="520" t="s">
        <v>13186</v>
      </c>
    </row>
    <row r="284" spans="1:7" s="646" customFormat="1">
      <c r="A284" s="519" t="s">
        <v>14016</v>
      </c>
      <c r="E284" s="18" t="s">
        <v>5788</v>
      </c>
      <c r="F284" s="520" t="s">
        <v>13187</v>
      </c>
    </row>
    <row r="285" spans="1:7" s="646" customFormat="1">
      <c r="A285" s="519" t="s">
        <v>14017</v>
      </c>
      <c r="E285" s="18" t="s">
        <v>5788</v>
      </c>
      <c r="F285" s="520" t="s">
        <v>13188</v>
      </c>
    </row>
    <row r="286" spans="1:7" s="646" customFormat="1">
      <c r="A286" s="519" t="s">
        <v>14018</v>
      </c>
      <c r="E286" s="18" t="s">
        <v>9052</v>
      </c>
      <c r="F286" s="520" t="s">
        <v>13189</v>
      </c>
    </row>
    <row r="287" spans="1:7" s="646" customFormat="1">
      <c r="A287" s="519" t="s">
        <v>14019</v>
      </c>
      <c r="E287" s="18" t="s">
        <v>5788</v>
      </c>
      <c r="F287" s="520" t="s">
        <v>13190</v>
      </c>
    </row>
    <row r="288" spans="1:7" s="646" customFormat="1">
      <c r="A288" s="519" t="s">
        <v>14020</v>
      </c>
      <c r="E288" s="18" t="s">
        <v>5788</v>
      </c>
      <c r="F288" s="520" t="s">
        <v>13191</v>
      </c>
    </row>
    <row r="289" spans="1:7" s="646" customFormat="1">
      <c r="A289" s="519" t="s">
        <v>14021</v>
      </c>
      <c r="E289" s="18" t="s">
        <v>5788</v>
      </c>
      <c r="F289" s="520" t="s">
        <v>13192</v>
      </c>
    </row>
    <row r="290" spans="1:7" s="646" customFormat="1">
      <c r="A290" s="519" t="s">
        <v>14022</v>
      </c>
      <c r="E290" s="18" t="s">
        <v>5788</v>
      </c>
      <c r="F290" s="520" t="s">
        <v>13193</v>
      </c>
    </row>
    <row r="291" spans="1:7" s="646" customFormat="1">
      <c r="A291" s="519" t="s">
        <v>14023</v>
      </c>
      <c r="E291" s="18" t="s">
        <v>5788</v>
      </c>
      <c r="F291" s="520" t="s">
        <v>13194</v>
      </c>
    </row>
    <row r="292" spans="1:7" s="646" customFormat="1">
      <c r="A292" s="519" t="s">
        <v>14024</v>
      </c>
      <c r="E292" s="18" t="s">
        <v>9050</v>
      </c>
      <c r="F292" s="520" t="s">
        <v>13195</v>
      </c>
    </row>
    <row r="293" spans="1:7" s="646" customFormat="1">
      <c r="A293" s="519" t="s">
        <v>14025</v>
      </c>
      <c r="E293" s="18" t="s">
        <v>5788</v>
      </c>
      <c r="F293" s="520" t="s">
        <v>13196</v>
      </c>
    </row>
    <row r="294" spans="1:7" s="646" customFormat="1">
      <c r="A294" s="519" t="s">
        <v>14026</v>
      </c>
      <c r="E294" s="18" t="s">
        <v>5788</v>
      </c>
      <c r="F294" s="520" t="s">
        <v>13197</v>
      </c>
    </row>
    <row r="295" spans="1:7" s="646" customFormat="1">
      <c r="A295" s="519"/>
      <c r="E295" s="712"/>
      <c r="F295" s="520"/>
    </row>
    <row r="296" spans="1:7" s="290" customFormat="1">
      <c r="A296" s="81" t="s">
        <v>5187</v>
      </c>
      <c r="B296" s="81"/>
      <c r="C296" s="81"/>
      <c r="D296" s="81"/>
      <c r="E296" s="81"/>
      <c r="F296" s="81"/>
      <c r="G296" s="81"/>
    </row>
    <row r="297" spans="1:7" s="290" customFormat="1"/>
    <row r="298" spans="1:7" s="290" customFormat="1">
      <c r="A298" s="519" t="s">
        <v>4515</v>
      </c>
      <c r="E298" s="712">
        <v>4526426175.1608324</v>
      </c>
      <c r="F298" s="520" t="s">
        <v>4516</v>
      </c>
    </row>
    <row r="299" spans="1:7" s="290" customFormat="1" ht="1.1499999999999999" customHeight="1">
      <c r="A299" s="197"/>
      <c r="B299" s="197"/>
      <c r="C299" s="197"/>
      <c r="D299" s="197"/>
      <c r="E299" s="521"/>
      <c r="F299" s="519"/>
    </row>
    <row r="300" spans="1:7" s="290" customFormat="1">
      <c r="A300" s="519" t="s">
        <v>14066</v>
      </c>
      <c r="E300" s="712">
        <v>1645890686.8724685</v>
      </c>
      <c r="F300" s="520" t="s">
        <v>8441</v>
      </c>
    </row>
    <row r="301" spans="1:7" s="290" customFormat="1">
      <c r="A301" s="519" t="s">
        <v>14067</v>
      </c>
      <c r="E301" s="712">
        <v>1259896679.4592228</v>
      </c>
      <c r="F301" s="520" t="s">
        <v>8445</v>
      </c>
    </row>
    <row r="302" spans="1:7" s="290" customFormat="1">
      <c r="A302" s="519" t="s">
        <v>14068</v>
      </c>
      <c r="E302" s="712">
        <v>866542517.83542192</v>
      </c>
      <c r="F302" s="520" t="s">
        <v>8449</v>
      </c>
    </row>
    <row r="303" spans="1:7" s="290" customFormat="1">
      <c r="A303" s="519" t="s">
        <v>14069</v>
      </c>
      <c r="E303" s="712">
        <v>754096290.9937185</v>
      </c>
      <c r="F303" s="520" t="s">
        <v>8453</v>
      </c>
    </row>
    <row r="304" spans="1:7" s="290" customFormat="1">
      <c r="A304" s="519"/>
      <c r="E304" s="519"/>
    </row>
    <row r="305" spans="1:6" s="290" customFormat="1">
      <c r="A305" s="519" t="s">
        <v>5188</v>
      </c>
      <c r="E305" s="712">
        <v>2150395399.5993342</v>
      </c>
      <c r="F305" s="520" t="s">
        <v>5189</v>
      </c>
    </row>
    <row r="306" spans="1:6" s="290" customFormat="1" ht="1.9" customHeight="1">
      <c r="A306" s="197"/>
      <c r="B306" s="197"/>
      <c r="C306" s="197"/>
      <c r="D306" s="197"/>
      <c r="E306" s="521"/>
      <c r="F306" s="519"/>
    </row>
    <row r="307" spans="1:6" s="290" customFormat="1">
      <c r="A307" s="519" t="s">
        <v>14070</v>
      </c>
      <c r="E307" s="712">
        <v>773113709.28096759</v>
      </c>
      <c r="F307" s="520" t="s">
        <v>8442</v>
      </c>
    </row>
    <row r="308" spans="1:6" s="290" customFormat="1">
      <c r="A308" s="519" t="s">
        <v>14071</v>
      </c>
      <c r="E308" s="712">
        <v>607143024.58955681</v>
      </c>
      <c r="F308" s="520" t="s">
        <v>8446</v>
      </c>
    </row>
    <row r="309" spans="1:6" s="290" customFormat="1">
      <c r="A309" s="519" t="s">
        <v>14072</v>
      </c>
      <c r="E309" s="712">
        <v>401666033.31411451</v>
      </c>
      <c r="F309" s="520" t="s">
        <v>8450</v>
      </c>
    </row>
    <row r="310" spans="1:6" s="290" customFormat="1">
      <c r="A310" s="519" t="s">
        <v>14073</v>
      </c>
      <c r="E310" s="712">
        <v>368472632.41469437</v>
      </c>
      <c r="F310" s="520" t="s">
        <v>8454</v>
      </c>
    </row>
    <row r="311" spans="1:6" s="290" customFormat="1">
      <c r="A311" s="519"/>
      <c r="E311" s="519"/>
    </row>
    <row r="312" spans="1:6" s="290" customFormat="1">
      <c r="A312" s="519" t="s">
        <v>10568</v>
      </c>
      <c r="E312" s="712">
        <v>1094471573.9684544</v>
      </c>
      <c r="F312" s="520" t="s">
        <v>10569</v>
      </c>
    </row>
    <row r="313" spans="1:6" s="290" customFormat="1" ht="1.9" customHeight="1">
      <c r="A313" s="197"/>
      <c r="B313" s="197"/>
      <c r="C313" s="197"/>
      <c r="D313" s="197"/>
      <c r="E313" s="521"/>
      <c r="F313" s="519"/>
    </row>
    <row r="314" spans="1:6" s="290" customFormat="1">
      <c r="A314" s="519" t="s">
        <v>14074</v>
      </c>
      <c r="E314" s="712">
        <v>643002351.7737875</v>
      </c>
      <c r="F314" s="520" t="s">
        <v>8443</v>
      </c>
    </row>
    <row r="315" spans="1:6" s="290" customFormat="1">
      <c r="A315" s="519" t="s">
        <v>14075</v>
      </c>
      <c r="E315" s="712">
        <v>507545360.78922093</v>
      </c>
      <c r="F315" s="520" t="s">
        <v>8447</v>
      </c>
    </row>
    <row r="316" spans="1:6" s="290" customFormat="1">
      <c r="A316" s="519" t="s">
        <v>14076</v>
      </c>
      <c r="E316" s="712">
        <v>333163899.95099354</v>
      </c>
      <c r="F316" s="520" t="s">
        <v>8451</v>
      </c>
    </row>
    <row r="317" spans="1:6" s="290" customFormat="1">
      <c r="A317" s="519" t="s">
        <v>14077</v>
      </c>
      <c r="E317" s="712">
        <v>308859625.97696805</v>
      </c>
      <c r="F317" s="520" t="s">
        <v>8455</v>
      </c>
    </row>
    <row r="318" spans="1:6" s="290" customFormat="1">
      <c r="A318" s="519"/>
      <c r="E318" s="519"/>
    </row>
    <row r="319" spans="1:6" s="290" customFormat="1">
      <c r="A319" s="519" t="s">
        <v>5190</v>
      </c>
      <c r="E319" s="712">
        <v>7128608889.3030128</v>
      </c>
      <c r="F319" s="520" t="s">
        <v>5191</v>
      </c>
    </row>
    <row r="320" spans="1:6" s="290" customFormat="1" ht="1.9" customHeight="1">
      <c r="A320" s="197"/>
      <c r="B320" s="197"/>
      <c r="C320" s="197"/>
      <c r="D320" s="197"/>
      <c r="E320" s="521"/>
      <c r="F320" s="519"/>
    </row>
    <row r="321" spans="1:7" s="290" customFormat="1">
      <c r="A321" s="519" t="s">
        <v>14078</v>
      </c>
      <c r="E321" s="712">
        <v>543681909.96554339</v>
      </c>
      <c r="F321" s="520" t="s">
        <v>8444</v>
      </c>
    </row>
    <row r="322" spans="1:7" s="290" customFormat="1">
      <c r="A322" s="519" t="s">
        <v>14079</v>
      </c>
      <c r="E322" s="712">
        <v>308335660.97631824</v>
      </c>
      <c r="F322" s="520" t="s">
        <v>8448</v>
      </c>
    </row>
    <row r="323" spans="1:7" s="290" customFormat="1">
      <c r="A323" s="519" t="s">
        <v>14080</v>
      </c>
      <c r="E323" s="712">
        <v>413724919.61416042</v>
      </c>
      <c r="F323" s="520" t="s">
        <v>8452</v>
      </c>
    </row>
    <row r="324" spans="1:7" s="290" customFormat="1">
      <c r="A324" s="519" t="s">
        <v>14081</v>
      </c>
      <c r="E324" s="712">
        <v>5862866398.7469912</v>
      </c>
      <c r="F324" s="520" t="s">
        <v>8456</v>
      </c>
    </row>
    <row r="325" spans="1:7" s="290" customFormat="1">
      <c r="A325" s="519"/>
      <c r="E325" s="532"/>
    </row>
    <row r="326" spans="1:7" s="646" customFormat="1">
      <c r="A326" s="519" t="s">
        <v>1819</v>
      </c>
      <c r="E326" s="532">
        <v>974970497.04289246</v>
      </c>
      <c r="F326" s="520" t="s">
        <v>13067</v>
      </c>
    </row>
    <row r="327" spans="1:7" s="646" customFormat="1">
      <c r="A327" s="519"/>
      <c r="E327" s="532"/>
    </row>
    <row r="328" spans="1:7" s="646" customFormat="1">
      <c r="A328" s="616" t="s">
        <v>14082</v>
      </c>
      <c r="B328" s="616"/>
      <c r="C328" s="616"/>
      <c r="D328" s="616"/>
      <c r="E328" s="616"/>
      <c r="F328" s="616"/>
      <c r="G328" s="616"/>
    </row>
    <row r="329" spans="1:7" s="646" customFormat="1">
      <c r="A329" s="879" t="s">
        <v>12868</v>
      </c>
      <c r="E329" s="532"/>
    </row>
    <row r="330" spans="1:7" s="646" customFormat="1">
      <c r="A330" s="878" t="s">
        <v>3859</v>
      </c>
      <c r="E330" s="532"/>
    </row>
    <row r="331" spans="1:7" s="646" customFormat="1">
      <c r="A331" s="869" t="s">
        <v>8649</v>
      </c>
      <c r="E331" s="532">
        <v>233076041.83865154</v>
      </c>
      <c r="F331" s="520" t="s">
        <v>8651</v>
      </c>
    </row>
    <row r="332" spans="1:7" s="646" customFormat="1">
      <c r="A332" s="869" t="s">
        <v>521</v>
      </c>
      <c r="E332" s="532">
        <v>91917067.442553863</v>
      </c>
      <c r="F332" s="520" t="s">
        <v>9065</v>
      </c>
    </row>
    <row r="333" spans="1:7" s="646" customFormat="1">
      <c r="A333" s="869" t="s">
        <v>8650</v>
      </c>
      <c r="E333" s="532">
        <v>57888456.11718937</v>
      </c>
      <c r="F333" s="520" t="s">
        <v>8652</v>
      </c>
    </row>
    <row r="334" spans="1:7" s="646" customFormat="1">
      <c r="A334" s="869" t="s">
        <v>9063</v>
      </c>
      <c r="E334" s="885">
        <v>4.0262956981753408</v>
      </c>
      <c r="F334" s="520" t="s">
        <v>9067</v>
      </c>
    </row>
    <row r="335" spans="1:7" s="646" customFormat="1">
      <c r="A335" s="869" t="s">
        <v>9064</v>
      </c>
      <c r="E335" s="885">
        <v>1.5878306938515856</v>
      </c>
      <c r="F335" s="520" t="s">
        <v>9066</v>
      </c>
    </row>
    <row r="336" spans="1:7" s="646" customFormat="1">
      <c r="A336" s="869" t="s">
        <v>9068</v>
      </c>
      <c r="E336" s="532">
        <v>7.7</v>
      </c>
      <c r="F336" s="520" t="s">
        <v>9069</v>
      </c>
    </row>
    <row r="337" spans="1:6" s="646" customFormat="1">
      <c r="A337" s="869" t="s">
        <v>11554</v>
      </c>
      <c r="E337" s="532">
        <v>5.1589999999999998</v>
      </c>
      <c r="F337" s="520" t="s">
        <v>11559</v>
      </c>
    </row>
    <row r="338" spans="1:6" s="646" customFormat="1">
      <c r="A338" s="869" t="s">
        <v>11561</v>
      </c>
      <c r="E338" s="532">
        <v>6.16</v>
      </c>
      <c r="F338" s="520" t="s">
        <v>11560</v>
      </c>
    </row>
    <row r="339" spans="1:6" s="646" customFormat="1">
      <c r="A339" s="869" t="s">
        <v>4410</v>
      </c>
      <c r="E339" s="532">
        <v>6.5011992257350766</v>
      </c>
      <c r="F339" s="520" t="s">
        <v>9070</v>
      </c>
    </row>
    <row r="340" spans="1:6" s="646" customFormat="1">
      <c r="A340" s="869" t="s">
        <v>8607</v>
      </c>
      <c r="E340" s="532">
        <v>5.4107798770760969</v>
      </c>
      <c r="F340" s="520" t="s">
        <v>12821</v>
      </c>
    </row>
    <row r="341" spans="1:6" s="646" customFormat="1">
      <c r="A341" s="869" t="s">
        <v>3329</v>
      </c>
      <c r="C341" s="956"/>
      <c r="D341" s="956"/>
      <c r="E341" s="957" t="s">
        <v>4423</v>
      </c>
      <c r="F341" s="520" t="s">
        <v>9072</v>
      </c>
    </row>
    <row r="342" spans="1:6" s="646" customFormat="1">
      <c r="A342" s="869" t="s">
        <v>5912</v>
      </c>
      <c r="E342" s="870">
        <v>0.39195374270733713</v>
      </c>
      <c r="F342" s="520" t="s">
        <v>11557</v>
      </c>
    </row>
    <row r="343" spans="1:6" s="646" customFormat="1">
      <c r="A343" s="869" t="s">
        <v>5916</v>
      </c>
      <c r="E343" s="870">
        <v>0.13171838574388262</v>
      </c>
      <c r="F343" s="520" t="s">
        <v>11558</v>
      </c>
    </row>
    <row r="344" spans="1:6" s="646" customFormat="1">
      <c r="A344" s="869" t="s">
        <v>11563</v>
      </c>
      <c r="E344" s="870">
        <v>-0.77454301074790421</v>
      </c>
      <c r="F344" s="520" t="s">
        <v>11555</v>
      </c>
    </row>
    <row r="345" spans="1:6" s="646" customFormat="1">
      <c r="A345" s="869" t="s">
        <v>11562</v>
      </c>
      <c r="E345" s="870">
        <v>15.798735059822178</v>
      </c>
      <c r="F345" s="520" t="s">
        <v>11556</v>
      </c>
    </row>
    <row r="346" spans="1:6" s="646" customFormat="1">
      <c r="A346" s="869" t="s">
        <v>3674</v>
      </c>
      <c r="E346" s="870">
        <v>0.73857142857142843</v>
      </c>
      <c r="F346" s="520" t="s">
        <v>9071</v>
      </c>
    </row>
    <row r="347" spans="1:6" s="646" customFormat="1">
      <c r="A347" s="869" t="s">
        <v>4413</v>
      </c>
      <c r="E347" s="958">
        <v>-9.1943025469919504E-2</v>
      </c>
      <c r="F347" s="520" t="s">
        <v>12629</v>
      </c>
    </row>
    <row r="348" spans="1:6" s="646" customFormat="1">
      <c r="A348" s="869" t="s">
        <v>4413</v>
      </c>
      <c r="E348" s="958">
        <v>1.8754071495592179</v>
      </c>
      <c r="F348" s="520" t="s">
        <v>12726</v>
      </c>
    </row>
    <row r="349" spans="1:6" s="646" customFormat="1">
      <c r="A349" s="869" t="s">
        <v>11388</v>
      </c>
      <c r="E349" s="958">
        <v>8.4629525382975004</v>
      </c>
      <c r="F349" s="520" t="s">
        <v>12630</v>
      </c>
    </row>
    <row r="350" spans="1:6" s="646" customFormat="1">
      <c r="A350" s="869" t="s">
        <v>11388</v>
      </c>
      <c r="E350" s="958">
        <v>5.3601629320132043</v>
      </c>
      <c r="F350" s="520" t="s">
        <v>12725</v>
      </c>
    </row>
    <row r="351" spans="1:6" s="646" customFormat="1">
      <c r="A351" s="869" t="s">
        <v>5195</v>
      </c>
      <c r="E351" s="958">
        <v>5.5135023718343446</v>
      </c>
      <c r="F351" s="520" t="s">
        <v>12060</v>
      </c>
    </row>
    <row r="352" spans="1:6" s="646" customFormat="1">
      <c r="A352" s="869" t="s">
        <v>5195</v>
      </c>
      <c r="E352" s="958">
        <v>4.1747924311980729</v>
      </c>
      <c r="F352" s="520" t="s">
        <v>12061</v>
      </c>
    </row>
    <row r="353" spans="1:6" s="646" customFormat="1">
      <c r="A353" s="869" t="s">
        <v>157</v>
      </c>
      <c r="E353" s="960">
        <v>126198159.92673732</v>
      </c>
      <c r="F353" s="520" t="s">
        <v>10467</v>
      </c>
    </row>
    <row r="354" spans="1:6" s="646" customFormat="1">
      <c r="A354" s="869" t="s">
        <v>10370</v>
      </c>
      <c r="E354" s="960">
        <v>2.1800228990605972</v>
      </c>
      <c r="F354" s="520" t="s">
        <v>10371</v>
      </c>
    </row>
    <row r="355" spans="1:6" s="646" customFormat="1">
      <c r="A355" s="878" t="s">
        <v>3858</v>
      </c>
      <c r="E355" s="532"/>
    </row>
    <row r="356" spans="1:6" s="646" customFormat="1">
      <c r="A356" s="869" t="s">
        <v>8649</v>
      </c>
      <c r="E356" s="532" t="s">
        <v>5661</v>
      </c>
      <c r="F356" s="520" t="s">
        <v>8653</v>
      </c>
    </row>
    <row r="357" spans="1:6" s="646" customFormat="1">
      <c r="A357" s="869" t="s">
        <v>521</v>
      </c>
      <c r="E357" s="532">
        <v>0</v>
      </c>
      <c r="F357" s="520" t="s">
        <v>9073</v>
      </c>
    </row>
    <row r="358" spans="1:6" s="646" customFormat="1">
      <c r="A358" s="869" t="s">
        <v>8650</v>
      </c>
      <c r="E358" s="532" t="s">
        <v>5661</v>
      </c>
      <c r="F358" s="520" t="s">
        <v>8654</v>
      </c>
    </row>
    <row r="359" spans="1:6" s="646" customFormat="1">
      <c r="A359" s="869" t="s">
        <v>9063</v>
      </c>
      <c r="E359" s="885" t="s">
        <v>5661</v>
      </c>
      <c r="F359" s="520" t="s">
        <v>9074</v>
      </c>
    </row>
    <row r="360" spans="1:6" s="646" customFormat="1">
      <c r="A360" s="869" t="s">
        <v>9064</v>
      </c>
      <c r="E360" s="885" t="s">
        <v>5661</v>
      </c>
      <c r="F360" s="520" t="s">
        <v>9075</v>
      </c>
    </row>
    <row r="361" spans="1:6" s="646" customFormat="1">
      <c r="A361" s="869" t="s">
        <v>9068</v>
      </c>
      <c r="E361" s="532" t="s">
        <v>5661</v>
      </c>
      <c r="F361" s="520" t="s">
        <v>9076</v>
      </c>
    </row>
    <row r="362" spans="1:6" s="646" customFormat="1">
      <c r="A362" s="869" t="s">
        <v>11554</v>
      </c>
      <c r="E362" s="532" t="s">
        <v>5661</v>
      </c>
      <c r="F362" s="520" t="s">
        <v>12064</v>
      </c>
    </row>
    <row r="363" spans="1:6" s="646" customFormat="1">
      <c r="A363" s="869" t="s">
        <v>11561</v>
      </c>
      <c r="E363" s="532" t="s">
        <v>5661</v>
      </c>
      <c r="F363" s="520" t="s">
        <v>12065</v>
      </c>
    </row>
    <row r="364" spans="1:6" s="646" customFormat="1">
      <c r="A364" s="869" t="s">
        <v>4410</v>
      </c>
      <c r="E364" s="532" t="s">
        <v>5661</v>
      </c>
      <c r="F364" s="520" t="s">
        <v>9077</v>
      </c>
    </row>
    <row r="365" spans="1:6" s="646" customFormat="1">
      <c r="A365" s="869" t="s">
        <v>8607</v>
      </c>
      <c r="E365" s="532" t="s">
        <v>5661</v>
      </c>
      <c r="F365" s="520" t="s">
        <v>12823</v>
      </c>
    </row>
    <row r="366" spans="1:6" s="646" customFormat="1">
      <c r="A366" s="869" t="s">
        <v>3329</v>
      </c>
      <c r="C366" s="956"/>
      <c r="D366" s="956"/>
      <c r="E366" s="957" t="s">
        <v>5661</v>
      </c>
      <c r="F366" s="520" t="s">
        <v>9078</v>
      </c>
    </row>
    <row r="367" spans="1:6" s="646" customFormat="1">
      <c r="A367" s="869" t="s">
        <v>5912</v>
      </c>
      <c r="E367" s="870" t="s">
        <v>5661</v>
      </c>
      <c r="F367" s="520" t="s">
        <v>12066</v>
      </c>
    </row>
    <row r="368" spans="1:6" s="646" customFormat="1">
      <c r="A368" s="869" t="s">
        <v>5916</v>
      </c>
      <c r="E368" s="870" t="s">
        <v>5661</v>
      </c>
      <c r="F368" s="520" t="s">
        <v>12067</v>
      </c>
    </row>
    <row r="369" spans="1:6" s="646" customFormat="1">
      <c r="A369" s="869" t="s">
        <v>11563</v>
      </c>
      <c r="E369" s="870" t="s">
        <v>5661</v>
      </c>
      <c r="F369" s="520" t="s">
        <v>12068</v>
      </c>
    </row>
    <row r="370" spans="1:6" s="646" customFormat="1">
      <c r="A370" s="869" t="s">
        <v>11562</v>
      </c>
      <c r="E370" s="870" t="s">
        <v>5661</v>
      </c>
      <c r="F370" s="520" t="s">
        <v>12069</v>
      </c>
    </row>
    <row r="371" spans="1:6" s="646" customFormat="1">
      <c r="A371" s="869" t="s">
        <v>3674</v>
      </c>
      <c r="E371" s="870" t="s">
        <v>5661</v>
      </c>
      <c r="F371" s="520" t="s">
        <v>9079</v>
      </c>
    </row>
    <row r="372" spans="1:6" s="646" customFormat="1">
      <c r="A372" s="869" t="s">
        <v>4413</v>
      </c>
      <c r="E372" s="958" t="s">
        <v>5661</v>
      </c>
      <c r="F372" s="520" t="s">
        <v>12631</v>
      </c>
    </row>
    <row r="373" spans="1:6" s="646" customFormat="1">
      <c r="A373" s="869" t="s">
        <v>4413</v>
      </c>
      <c r="E373" s="958" t="s">
        <v>5661</v>
      </c>
      <c r="F373" s="520" t="s">
        <v>12727</v>
      </c>
    </row>
    <row r="374" spans="1:6" s="646" customFormat="1">
      <c r="A374" s="869" t="s">
        <v>11388</v>
      </c>
      <c r="E374" s="958" t="s">
        <v>5661</v>
      </c>
      <c r="F374" s="520" t="s">
        <v>12632</v>
      </c>
    </row>
    <row r="375" spans="1:6" s="646" customFormat="1">
      <c r="A375" s="869" t="s">
        <v>11388</v>
      </c>
      <c r="E375" s="958" t="s">
        <v>5661</v>
      </c>
      <c r="F375" s="520" t="s">
        <v>12728</v>
      </c>
    </row>
    <row r="376" spans="1:6" s="646" customFormat="1">
      <c r="A376" s="869" t="s">
        <v>5195</v>
      </c>
      <c r="E376" s="958" t="s">
        <v>5661</v>
      </c>
      <c r="F376" s="520" t="s">
        <v>12070</v>
      </c>
    </row>
    <row r="377" spans="1:6" s="646" customFormat="1">
      <c r="A377" s="869" t="s">
        <v>5195</v>
      </c>
      <c r="E377" s="958" t="s">
        <v>5661</v>
      </c>
      <c r="F377" s="520" t="s">
        <v>12071</v>
      </c>
    </row>
    <row r="378" spans="1:6" s="646" customFormat="1">
      <c r="A378" s="869" t="s">
        <v>157</v>
      </c>
      <c r="E378" s="960" t="s">
        <v>5661</v>
      </c>
      <c r="F378" s="520" t="s">
        <v>10468</v>
      </c>
    </row>
    <row r="379" spans="1:6" s="646" customFormat="1">
      <c r="A379" s="869" t="s">
        <v>10370</v>
      </c>
      <c r="E379" s="960" t="s">
        <v>5661</v>
      </c>
      <c r="F379" s="520" t="s">
        <v>10372</v>
      </c>
    </row>
    <row r="380" spans="1:6" s="646" customFormat="1">
      <c r="A380" s="878" t="s">
        <v>3860</v>
      </c>
      <c r="E380" s="532"/>
    </row>
    <row r="381" spans="1:6" s="646" customFormat="1">
      <c r="A381" s="869" t="s">
        <v>8649</v>
      </c>
      <c r="E381" s="532" t="s">
        <v>5661</v>
      </c>
      <c r="F381" s="520" t="s">
        <v>8655</v>
      </c>
    </row>
    <row r="382" spans="1:6" s="646" customFormat="1">
      <c r="A382" s="869" t="s">
        <v>521</v>
      </c>
      <c r="E382" s="532">
        <v>0</v>
      </c>
      <c r="F382" s="520" t="s">
        <v>9080</v>
      </c>
    </row>
    <row r="383" spans="1:6" s="646" customFormat="1">
      <c r="A383" s="869" t="s">
        <v>8650</v>
      </c>
      <c r="E383" s="532" t="s">
        <v>5661</v>
      </c>
      <c r="F383" s="520" t="s">
        <v>8656</v>
      </c>
    </row>
    <row r="384" spans="1:6" s="646" customFormat="1">
      <c r="A384" s="869" t="s">
        <v>9063</v>
      </c>
      <c r="E384" s="885" t="s">
        <v>5661</v>
      </c>
      <c r="F384" s="520" t="s">
        <v>9081</v>
      </c>
    </row>
    <row r="385" spans="1:6" s="646" customFormat="1">
      <c r="A385" s="869" t="s">
        <v>9064</v>
      </c>
      <c r="E385" s="885" t="s">
        <v>5661</v>
      </c>
      <c r="F385" s="520" t="s">
        <v>9082</v>
      </c>
    </row>
    <row r="386" spans="1:6" s="646" customFormat="1">
      <c r="A386" s="869" t="s">
        <v>9068</v>
      </c>
      <c r="E386" s="532" t="s">
        <v>5661</v>
      </c>
      <c r="F386" s="520" t="s">
        <v>9083</v>
      </c>
    </row>
    <row r="387" spans="1:6" s="646" customFormat="1">
      <c r="A387" s="869" t="s">
        <v>11554</v>
      </c>
      <c r="E387" s="532" t="s">
        <v>5661</v>
      </c>
      <c r="F387" s="520" t="s">
        <v>12072</v>
      </c>
    </row>
    <row r="388" spans="1:6" s="646" customFormat="1">
      <c r="A388" s="869" t="s">
        <v>11561</v>
      </c>
      <c r="E388" s="532" t="s">
        <v>5661</v>
      </c>
      <c r="F388" s="520" t="s">
        <v>12073</v>
      </c>
    </row>
    <row r="389" spans="1:6" s="646" customFormat="1">
      <c r="A389" s="869" t="s">
        <v>4410</v>
      </c>
      <c r="E389" s="532" t="s">
        <v>5661</v>
      </c>
      <c r="F389" s="520" t="s">
        <v>9084</v>
      </c>
    </row>
    <row r="390" spans="1:6" s="646" customFormat="1">
      <c r="A390" s="869" t="s">
        <v>8607</v>
      </c>
      <c r="E390" s="532" t="s">
        <v>5661</v>
      </c>
      <c r="F390" s="520" t="s">
        <v>12822</v>
      </c>
    </row>
    <row r="391" spans="1:6" s="646" customFormat="1">
      <c r="A391" s="869" t="s">
        <v>3329</v>
      </c>
      <c r="C391" s="956"/>
      <c r="D391" s="956"/>
      <c r="E391" s="957" t="s">
        <v>5661</v>
      </c>
      <c r="F391" s="520" t="s">
        <v>9085</v>
      </c>
    </row>
    <row r="392" spans="1:6" s="646" customFormat="1">
      <c r="A392" s="869" t="s">
        <v>5912</v>
      </c>
      <c r="E392" s="870" t="s">
        <v>5661</v>
      </c>
      <c r="F392" s="520" t="s">
        <v>12074</v>
      </c>
    </row>
    <row r="393" spans="1:6" s="646" customFormat="1">
      <c r="A393" s="869" t="s">
        <v>5916</v>
      </c>
      <c r="E393" s="870" t="s">
        <v>5661</v>
      </c>
      <c r="F393" s="520" t="s">
        <v>12075</v>
      </c>
    </row>
    <row r="394" spans="1:6" s="646" customFormat="1">
      <c r="A394" s="869" t="s">
        <v>11563</v>
      </c>
      <c r="E394" s="870" t="s">
        <v>5661</v>
      </c>
      <c r="F394" s="520" t="s">
        <v>12076</v>
      </c>
    </row>
    <row r="395" spans="1:6" s="646" customFormat="1">
      <c r="A395" s="869" t="s">
        <v>11562</v>
      </c>
      <c r="E395" s="870" t="s">
        <v>5661</v>
      </c>
      <c r="F395" s="520" t="s">
        <v>12077</v>
      </c>
    </row>
    <row r="396" spans="1:6" s="646" customFormat="1">
      <c r="A396" s="869" t="s">
        <v>3674</v>
      </c>
      <c r="E396" s="870" t="s">
        <v>5661</v>
      </c>
      <c r="F396" s="520" t="s">
        <v>9086</v>
      </c>
    </row>
    <row r="397" spans="1:6" s="646" customFormat="1">
      <c r="A397" s="869" t="s">
        <v>4413</v>
      </c>
      <c r="E397" s="958" t="s">
        <v>5661</v>
      </c>
      <c r="F397" s="520" t="s">
        <v>12633</v>
      </c>
    </row>
    <row r="398" spans="1:6" s="646" customFormat="1">
      <c r="A398" s="869" t="s">
        <v>4413</v>
      </c>
      <c r="E398" s="958" t="s">
        <v>5661</v>
      </c>
      <c r="F398" s="520" t="s">
        <v>12729</v>
      </c>
    </row>
    <row r="399" spans="1:6" s="646" customFormat="1">
      <c r="A399" s="869" t="s">
        <v>11388</v>
      </c>
      <c r="E399" s="958" t="s">
        <v>5661</v>
      </c>
      <c r="F399" s="520" t="s">
        <v>12634</v>
      </c>
    </row>
    <row r="400" spans="1:6" s="646" customFormat="1">
      <c r="A400" s="869" t="s">
        <v>11388</v>
      </c>
      <c r="E400" s="958" t="s">
        <v>5661</v>
      </c>
      <c r="F400" s="520" t="s">
        <v>12730</v>
      </c>
    </row>
    <row r="401" spans="1:6" s="646" customFormat="1">
      <c r="A401" s="869" t="s">
        <v>5195</v>
      </c>
      <c r="E401" s="958" t="s">
        <v>5661</v>
      </c>
      <c r="F401" s="520" t="s">
        <v>12078</v>
      </c>
    </row>
    <row r="402" spans="1:6" s="646" customFormat="1">
      <c r="A402" s="869" t="s">
        <v>5195</v>
      </c>
      <c r="E402" s="958" t="s">
        <v>5661</v>
      </c>
      <c r="F402" s="520" t="s">
        <v>12079</v>
      </c>
    </row>
    <row r="403" spans="1:6" s="646" customFormat="1">
      <c r="A403" s="869" t="s">
        <v>157</v>
      </c>
      <c r="E403" s="960" t="s">
        <v>5661</v>
      </c>
      <c r="F403" s="520" t="s">
        <v>10470</v>
      </c>
    </row>
    <row r="404" spans="1:6" s="646" customFormat="1">
      <c r="A404" s="869" t="s">
        <v>10370</v>
      </c>
      <c r="E404" s="960" t="s">
        <v>5661</v>
      </c>
      <c r="F404" s="520" t="s">
        <v>10373</v>
      </c>
    </row>
    <row r="405" spans="1:6" s="646" customFormat="1">
      <c r="A405" s="869"/>
      <c r="E405" s="532"/>
      <c r="F405" s="520"/>
    </row>
    <row r="406" spans="1:6" s="646" customFormat="1">
      <c r="A406" s="879" t="s">
        <v>238</v>
      </c>
      <c r="E406" s="532"/>
    </row>
    <row r="407" spans="1:6" s="646" customFormat="1">
      <c r="A407" s="878" t="s">
        <v>3859</v>
      </c>
      <c r="E407" s="532"/>
    </row>
    <row r="408" spans="1:6" s="646" customFormat="1">
      <c r="A408" s="869" t="s">
        <v>8649</v>
      </c>
      <c r="E408" s="532">
        <v>394906330.4951452</v>
      </c>
      <c r="F408" s="520" t="s">
        <v>8657</v>
      </c>
    </row>
    <row r="409" spans="1:6" s="646" customFormat="1">
      <c r="A409" s="869" t="s">
        <v>521</v>
      </c>
      <c r="E409" s="532">
        <v>206332285.5901666</v>
      </c>
      <c r="F409" s="520" t="s">
        <v>9129</v>
      </c>
    </row>
    <row r="410" spans="1:6" s="646" customFormat="1">
      <c r="A410" s="869" t="s">
        <v>8650</v>
      </c>
      <c r="E410" s="532">
        <v>78519084.938043952</v>
      </c>
      <c r="F410" s="520" t="s">
        <v>8658</v>
      </c>
    </row>
    <row r="411" spans="1:6" s="646" customFormat="1">
      <c r="A411" s="869" t="s">
        <v>9063</v>
      </c>
      <c r="E411" s="885">
        <v>5.0294311352042484</v>
      </c>
      <c r="F411" s="520" t="s">
        <v>9130</v>
      </c>
    </row>
    <row r="412" spans="1:6" s="646" customFormat="1">
      <c r="A412" s="869" t="s">
        <v>9064</v>
      </c>
      <c r="E412" s="885">
        <v>2.6277978882837791</v>
      </c>
      <c r="F412" s="520" t="s">
        <v>9131</v>
      </c>
    </row>
    <row r="413" spans="1:6" s="646" customFormat="1">
      <c r="A413" s="869" t="s">
        <v>9068</v>
      </c>
      <c r="E413" s="532">
        <v>7.9</v>
      </c>
      <c r="F413" s="520" t="s">
        <v>9132</v>
      </c>
    </row>
    <row r="414" spans="1:6" s="646" customFormat="1">
      <c r="A414" s="869" t="s">
        <v>11554</v>
      </c>
      <c r="E414" s="532">
        <v>5.2929999999999993</v>
      </c>
      <c r="F414" s="520" t="s">
        <v>12080</v>
      </c>
    </row>
    <row r="415" spans="1:6" s="646" customFormat="1">
      <c r="A415" s="869" t="s">
        <v>11561</v>
      </c>
      <c r="E415" s="532">
        <v>7.9</v>
      </c>
      <c r="F415" s="520" t="s">
        <v>12081</v>
      </c>
    </row>
    <row r="416" spans="1:6" s="646" customFormat="1">
      <c r="A416" s="869" t="s">
        <v>4410</v>
      </c>
      <c r="E416" s="532">
        <v>7.4388982062523699</v>
      </c>
      <c r="F416" s="520" t="s">
        <v>9133</v>
      </c>
    </row>
    <row r="417" spans="1:6" s="646" customFormat="1">
      <c r="A417" s="869" t="s">
        <v>8607</v>
      </c>
      <c r="E417" s="532">
        <v>5.2929999999999993</v>
      </c>
      <c r="F417" s="520" t="s">
        <v>12824</v>
      </c>
    </row>
    <row r="418" spans="1:6" s="646" customFormat="1">
      <c r="A418" s="869" t="s">
        <v>3329</v>
      </c>
      <c r="C418" s="956"/>
      <c r="D418" s="956"/>
      <c r="E418" s="957" t="s">
        <v>351</v>
      </c>
      <c r="F418" s="520" t="s">
        <v>9134</v>
      </c>
    </row>
    <row r="419" spans="1:6" s="646" customFormat="1">
      <c r="A419" s="869" t="s">
        <v>5912</v>
      </c>
      <c r="E419" s="870">
        <v>0.17687065352805156</v>
      </c>
      <c r="F419" s="520" t="s">
        <v>12082</v>
      </c>
    </row>
    <row r="420" spans="1:6" s="646" customFormat="1">
      <c r="A420" s="869" t="s">
        <v>5916</v>
      </c>
      <c r="E420" s="870">
        <v>0</v>
      </c>
      <c r="F420" s="520" t="s">
        <v>12083</v>
      </c>
    </row>
    <row r="421" spans="1:6" s="646" customFormat="1">
      <c r="A421" s="869" t="s">
        <v>11563</v>
      </c>
      <c r="E421" s="870">
        <v>-2.8277305841063591</v>
      </c>
      <c r="F421" s="520" t="s">
        <v>12084</v>
      </c>
    </row>
    <row r="422" spans="1:6" s="646" customFormat="1">
      <c r="A422" s="869" t="s">
        <v>11562</v>
      </c>
      <c r="E422" s="870" t="s">
        <v>5661</v>
      </c>
      <c r="F422" s="520" t="s">
        <v>12085</v>
      </c>
    </row>
    <row r="423" spans="1:6" s="646" customFormat="1">
      <c r="A423" s="869" t="s">
        <v>3674</v>
      </c>
      <c r="E423" s="870">
        <v>0.73857142857142843</v>
      </c>
      <c r="F423" s="520" t="s">
        <v>9135</v>
      </c>
    </row>
    <row r="424" spans="1:6" s="646" customFormat="1">
      <c r="A424" s="869" t="s">
        <v>4413</v>
      </c>
      <c r="E424" s="958">
        <v>-0.14098737255889571</v>
      </c>
      <c r="F424" s="520" t="s">
        <v>12635</v>
      </c>
    </row>
    <row r="425" spans="1:6" s="646" customFormat="1">
      <c r="A425" s="869" t="s">
        <v>4413</v>
      </c>
      <c r="E425" s="958" t="s">
        <v>5661</v>
      </c>
      <c r="F425" s="520" t="s">
        <v>12731</v>
      </c>
    </row>
    <row r="426" spans="1:6" s="646" customFormat="1">
      <c r="A426" s="869" t="s">
        <v>11388</v>
      </c>
      <c r="E426" s="958">
        <v>4.371897329567485</v>
      </c>
      <c r="F426" s="520" t="s">
        <v>12636</v>
      </c>
    </row>
    <row r="427" spans="1:6" s="646" customFormat="1">
      <c r="A427" s="869" t="s">
        <v>11388</v>
      </c>
      <c r="E427" s="958" t="s">
        <v>5661</v>
      </c>
      <c r="F427" s="520" t="s">
        <v>12732</v>
      </c>
    </row>
    <row r="428" spans="1:6" s="646" customFormat="1">
      <c r="A428" s="869" t="s">
        <v>5195</v>
      </c>
      <c r="E428" s="958">
        <v>2.6383417535520377</v>
      </c>
      <c r="F428" s="520" t="s">
        <v>12086</v>
      </c>
    </row>
    <row r="429" spans="1:6" s="646" customFormat="1">
      <c r="A429" s="869" t="s">
        <v>5195</v>
      </c>
      <c r="E429" s="958" t="s">
        <v>5661</v>
      </c>
      <c r="F429" s="520" t="s">
        <v>12087</v>
      </c>
    </row>
    <row r="430" spans="1:6" s="646" customFormat="1">
      <c r="A430" s="869" t="s">
        <v>157</v>
      </c>
      <c r="E430" s="960">
        <v>166756186.46308255</v>
      </c>
      <c r="F430" s="520" t="s">
        <v>10471</v>
      </c>
    </row>
    <row r="431" spans="1:6" s="646" customFormat="1">
      <c r="A431" s="869" t="s">
        <v>10370</v>
      </c>
      <c r="E431" s="960">
        <v>2.1237662995520479</v>
      </c>
      <c r="F431" s="520" t="s">
        <v>10374</v>
      </c>
    </row>
    <row r="432" spans="1:6" s="646" customFormat="1">
      <c r="A432" s="878" t="s">
        <v>3858</v>
      </c>
      <c r="E432" s="532"/>
    </row>
    <row r="433" spans="1:6" s="646" customFormat="1">
      <c r="A433" s="869" t="s">
        <v>8649</v>
      </c>
      <c r="E433" s="532">
        <v>422599026.08911431</v>
      </c>
      <c r="F433" s="520" t="s">
        <v>8659</v>
      </c>
    </row>
    <row r="434" spans="1:6" s="646" customFormat="1">
      <c r="A434" s="869" t="s">
        <v>521</v>
      </c>
      <c r="E434" s="532">
        <v>183132989.26071045</v>
      </c>
      <c r="F434" s="520" t="s">
        <v>9136</v>
      </c>
    </row>
    <row r="435" spans="1:6" s="646" customFormat="1">
      <c r="A435" s="869" t="s">
        <v>8650</v>
      </c>
      <c r="E435" s="532">
        <v>100177518.30857961</v>
      </c>
      <c r="F435" s="520" t="s">
        <v>8660</v>
      </c>
    </row>
    <row r="436" spans="1:6" s="646" customFormat="1">
      <c r="A436" s="869" t="s">
        <v>9063</v>
      </c>
      <c r="E436" s="885">
        <v>4.2185016481180009</v>
      </c>
      <c r="F436" s="520" t="s">
        <v>9137</v>
      </c>
    </row>
    <row r="437" spans="1:6" s="646" customFormat="1">
      <c r="A437" s="869" t="s">
        <v>9064</v>
      </c>
      <c r="E437" s="885">
        <v>1.8280847075548505</v>
      </c>
      <c r="F437" s="520" t="s">
        <v>9138</v>
      </c>
    </row>
    <row r="438" spans="1:6" s="646" customFormat="1">
      <c r="A438" s="869" t="s">
        <v>9068</v>
      </c>
      <c r="E438" s="532">
        <v>7.55</v>
      </c>
      <c r="F438" s="520" t="s">
        <v>9139</v>
      </c>
    </row>
    <row r="439" spans="1:6" s="646" customFormat="1">
      <c r="A439" s="869" t="s">
        <v>11554</v>
      </c>
      <c r="E439" s="532">
        <v>6.04</v>
      </c>
      <c r="F439" s="520" t="s">
        <v>12088</v>
      </c>
    </row>
    <row r="440" spans="1:6" s="646" customFormat="1">
      <c r="A440" s="869" t="s">
        <v>11561</v>
      </c>
      <c r="E440" s="532">
        <v>5.0584999999999996</v>
      </c>
      <c r="F440" s="520" t="s">
        <v>12089</v>
      </c>
    </row>
    <row r="441" spans="1:6" s="646" customFormat="1">
      <c r="A441" s="869" t="s">
        <v>4410</v>
      </c>
      <c r="E441" s="532">
        <v>6.6325784288533072</v>
      </c>
      <c r="F441" s="520" t="s">
        <v>9140</v>
      </c>
    </row>
    <row r="442" spans="1:6" s="646" customFormat="1">
      <c r="A442" s="869" t="s">
        <v>8607</v>
      </c>
      <c r="E442" s="532">
        <v>5.4047110080336198</v>
      </c>
      <c r="F442" s="520" t="s">
        <v>12825</v>
      </c>
    </row>
    <row r="443" spans="1:6" s="646" customFormat="1">
      <c r="A443" s="869" t="s">
        <v>3329</v>
      </c>
      <c r="C443" s="956"/>
      <c r="D443" s="956"/>
      <c r="E443" s="957" t="s">
        <v>4419</v>
      </c>
      <c r="F443" s="520" t="s">
        <v>9141</v>
      </c>
    </row>
    <row r="444" spans="1:6" s="646" customFormat="1">
      <c r="A444" s="869" t="s">
        <v>5912</v>
      </c>
      <c r="E444" s="870">
        <v>0.15084596985518509</v>
      </c>
      <c r="F444" s="520" t="s">
        <v>12090</v>
      </c>
    </row>
    <row r="445" spans="1:6" s="646" customFormat="1">
      <c r="A445" s="869" t="s">
        <v>5916</v>
      </c>
      <c r="E445" s="870">
        <v>0.27679877851308976</v>
      </c>
      <c r="F445" s="520" t="s">
        <v>12091</v>
      </c>
    </row>
    <row r="446" spans="1:6" s="646" customFormat="1">
      <c r="A446" s="869" t="s">
        <v>11563</v>
      </c>
      <c r="E446" s="870">
        <v>14.626940240458159</v>
      </c>
      <c r="F446" s="520" t="s">
        <v>12092</v>
      </c>
    </row>
    <row r="447" spans="1:6" s="646" customFormat="1">
      <c r="A447" s="869" t="s">
        <v>11562</v>
      </c>
      <c r="E447" s="870">
        <v>1.7119124802942411</v>
      </c>
      <c r="F447" s="520" t="s">
        <v>12093</v>
      </c>
    </row>
    <row r="448" spans="1:6" s="646" customFormat="1">
      <c r="A448" s="869" t="s">
        <v>3674</v>
      </c>
      <c r="E448" s="870">
        <v>0.83857142857142852</v>
      </c>
      <c r="F448" s="520" t="s">
        <v>9142</v>
      </c>
    </row>
    <row r="449" spans="1:6" s="646" customFormat="1">
      <c r="A449" s="869" t="s">
        <v>4413</v>
      </c>
      <c r="E449" s="958">
        <v>0.86916192449351448</v>
      </c>
      <c r="F449" s="520" t="s">
        <v>12637</v>
      </c>
    </row>
    <row r="450" spans="1:6" s="646" customFormat="1">
      <c r="A450" s="869" t="s">
        <v>4413</v>
      </c>
      <c r="E450" s="958">
        <v>0.10172524953793083</v>
      </c>
      <c r="F450" s="520" t="s">
        <v>12733</v>
      </c>
    </row>
    <row r="451" spans="1:6" s="646" customFormat="1">
      <c r="A451" s="869" t="s">
        <v>11388</v>
      </c>
      <c r="E451" s="958">
        <v>3.1289977177528172</v>
      </c>
      <c r="F451" s="520" t="s">
        <v>12638</v>
      </c>
    </row>
    <row r="452" spans="1:6" s="646" customFormat="1">
      <c r="A452" s="869" t="s">
        <v>11388</v>
      </c>
      <c r="E452" s="958">
        <v>10.364919386190978</v>
      </c>
      <c r="F452" s="520" t="s">
        <v>12734</v>
      </c>
    </row>
    <row r="453" spans="1:6" s="646" customFormat="1">
      <c r="A453" s="869" t="s">
        <v>5195</v>
      </c>
      <c r="E453" s="958">
        <v>2.3683409433376532</v>
      </c>
      <c r="F453" s="520" t="s">
        <v>12094</v>
      </c>
    </row>
    <row r="454" spans="1:6" s="646" customFormat="1">
      <c r="A454" s="869" t="s">
        <v>5195</v>
      </c>
      <c r="E454" s="958">
        <v>6.6579245015048887</v>
      </c>
      <c r="F454" s="520" t="s">
        <v>12095</v>
      </c>
    </row>
    <row r="455" spans="1:6" s="646" customFormat="1">
      <c r="A455" s="869" t="s">
        <v>157</v>
      </c>
      <c r="E455" s="960">
        <v>213575948.09669599</v>
      </c>
      <c r="F455" s="520" t="s">
        <v>10472</v>
      </c>
    </row>
    <row r="456" spans="1:6" s="646" customFormat="1">
      <c r="A456" s="869" t="s">
        <v>10370</v>
      </c>
      <c r="E456" s="960">
        <v>2.1319748352999923</v>
      </c>
      <c r="F456" s="520" t="s">
        <v>10375</v>
      </c>
    </row>
    <row r="457" spans="1:6" s="646" customFormat="1">
      <c r="A457" s="878" t="s">
        <v>3860</v>
      </c>
      <c r="E457" s="532"/>
    </row>
    <row r="458" spans="1:6" s="646" customFormat="1">
      <c r="A458" s="869" t="s">
        <v>8649</v>
      </c>
      <c r="E458" s="532" t="s">
        <v>5661</v>
      </c>
      <c r="F458" s="520" t="s">
        <v>8661</v>
      </c>
    </row>
    <row r="459" spans="1:6" s="646" customFormat="1">
      <c r="A459" s="869" t="s">
        <v>521</v>
      </c>
      <c r="E459" s="532">
        <v>0</v>
      </c>
      <c r="F459" s="520" t="s">
        <v>9143</v>
      </c>
    </row>
    <row r="460" spans="1:6" s="646" customFormat="1">
      <c r="A460" s="869" t="s">
        <v>8650</v>
      </c>
      <c r="E460" s="532" t="s">
        <v>5661</v>
      </c>
      <c r="F460" s="520" t="s">
        <v>8662</v>
      </c>
    </row>
    <row r="461" spans="1:6" s="646" customFormat="1">
      <c r="A461" s="869" t="s">
        <v>9063</v>
      </c>
      <c r="E461" s="885" t="s">
        <v>5661</v>
      </c>
      <c r="F461" s="520" t="s">
        <v>9144</v>
      </c>
    </row>
    <row r="462" spans="1:6" s="646" customFormat="1">
      <c r="A462" s="869" t="s">
        <v>9064</v>
      </c>
      <c r="E462" s="885" t="s">
        <v>5661</v>
      </c>
      <c r="F462" s="520" t="s">
        <v>9145</v>
      </c>
    </row>
    <row r="463" spans="1:6" s="646" customFormat="1">
      <c r="A463" s="869" t="s">
        <v>9068</v>
      </c>
      <c r="E463" s="532" t="s">
        <v>5661</v>
      </c>
      <c r="F463" s="520" t="s">
        <v>9146</v>
      </c>
    </row>
    <row r="464" spans="1:6" s="646" customFormat="1">
      <c r="A464" s="869" t="s">
        <v>11554</v>
      </c>
      <c r="E464" s="532" t="s">
        <v>5661</v>
      </c>
      <c r="F464" s="520" t="s">
        <v>12096</v>
      </c>
    </row>
    <row r="465" spans="1:6" s="646" customFormat="1">
      <c r="A465" s="869" t="s">
        <v>11561</v>
      </c>
      <c r="E465" s="532" t="s">
        <v>5661</v>
      </c>
      <c r="F465" s="520" t="s">
        <v>12097</v>
      </c>
    </row>
    <row r="466" spans="1:6" s="646" customFormat="1">
      <c r="A466" s="869" t="s">
        <v>4410</v>
      </c>
      <c r="E466" s="532" t="s">
        <v>5661</v>
      </c>
      <c r="F466" s="520" t="s">
        <v>9147</v>
      </c>
    </row>
    <row r="467" spans="1:6" s="646" customFormat="1">
      <c r="A467" s="869" t="s">
        <v>8607</v>
      </c>
      <c r="E467" s="532" t="s">
        <v>5661</v>
      </c>
      <c r="F467" s="520" t="s">
        <v>12826</v>
      </c>
    </row>
    <row r="468" spans="1:6" s="646" customFormat="1">
      <c r="A468" s="869" t="s">
        <v>3329</v>
      </c>
      <c r="C468" s="956"/>
      <c r="D468" s="956"/>
      <c r="E468" s="957" t="s">
        <v>5661</v>
      </c>
      <c r="F468" s="520" t="s">
        <v>9148</v>
      </c>
    </row>
    <row r="469" spans="1:6" s="646" customFormat="1">
      <c r="A469" s="869" t="s">
        <v>5912</v>
      </c>
      <c r="E469" s="870" t="s">
        <v>5661</v>
      </c>
      <c r="F469" s="520" t="s">
        <v>12098</v>
      </c>
    </row>
    <row r="470" spans="1:6" s="646" customFormat="1">
      <c r="A470" s="869" t="s">
        <v>5916</v>
      </c>
      <c r="E470" s="870" t="s">
        <v>5661</v>
      </c>
      <c r="F470" s="520" t="s">
        <v>12099</v>
      </c>
    </row>
    <row r="471" spans="1:6" s="646" customFormat="1">
      <c r="A471" s="869" t="s">
        <v>11563</v>
      </c>
      <c r="E471" s="870" t="s">
        <v>5661</v>
      </c>
      <c r="F471" s="520" t="s">
        <v>12100</v>
      </c>
    </row>
    <row r="472" spans="1:6" s="646" customFormat="1">
      <c r="A472" s="869" t="s">
        <v>11562</v>
      </c>
      <c r="E472" s="870" t="s">
        <v>5661</v>
      </c>
      <c r="F472" s="520" t="s">
        <v>12101</v>
      </c>
    </row>
    <row r="473" spans="1:6" s="646" customFormat="1">
      <c r="A473" s="869" t="s">
        <v>3674</v>
      </c>
      <c r="E473" s="870" t="s">
        <v>5661</v>
      </c>
      <c r="F473" s="520" t="s">
        <v>9149</v>
      </c>
    </row>
    <row r="474" spans="1:6" s="646" customFormat="1">
      <c r="A474" s="869" t="s">
        <v>4413</v>
      </c>
      <c r="E474" s="958" t="s">
        <v>5661</v>
      </c>
      <c r="F474" s="520" t="s">
        <v>12639</v>
      </c>
    </row>
    <row r="475" spans="1:6" s="646" customFormat="1">
      <c r="A475" s="869" t="s">
        <v>4413</v>
      </c>
      <c r="E475" s="958" t="s">
        <v>5661</v>
      </c>
      <c r="F475" s="520" t="s">
        <v>12735</v>
      </c>
    </row>
    <row r="476" spans="1:6" s="646" customFormat="1">
      <c r="A476" s="869" t="s">
        <v>11388</v>
      </c>
      <c r="E476" s="958" t="s">
        <v>5661</v>
      </c>
      <c r="F476" s="520" t="s">
        <v>12640</v>
      </c>
    </row>
    <row r="477" spans="1:6" s="646" customFormat="1">
      <c r="A477" s="869" t="s">
        <v>11388</v>
      </c>
      <c r="E477" s="958" t="s">
        <v>5661</v>
      </c>
      <c r="F477" s="520" t="s">
        <v>12736</v>
      </c>
    </row>
    <row r="478" spans="1:6" s="646" customFormat="1">
      <c r="A478" s="869" t="s">
        <v>5195</v>
      </c>
      <c r="E478" s="958" t="s">
        <v>5661</v>
      </c>
      <c r="F478" s="520" t="s">
        <v>12102</v>
      </c>
    </row>
    <row r="479" spans="1:6" s="646" customFormat="1">
      <c r="A479" s="869" t="s">
        <v>5195</v>
      </c>
      <c r="E479" s="958" t="s">
        <v>5661</v>
      </c>
      <c r="F479" s="520" t="s">
        <v>12103</v>
      </c>
    </row>
    <row r="480" spans="1:6" s="646" customFormat="1">
      <c r="A480" s="869" t="s">
        <v>157</v>
      </c>
      <c r="E480" s="960" t="s">
        <v>5661</v>
      </c>
      <c r="F480" s="520" t="s">
        <v>10473</v>
      </c>
    </row>
    <row r="481" spans="1:6" s="646" customFormat="1">
      <c r="A481" s="869" t="s">
        <v>10370</v>
      </c>
      <c r="E481" s="960" t="s">
        <v>5661</v>
      </c>
      <c r="F481" s="520" t="s">
        <v>10376</v>
      </c>
    </row>
    <row r="482" spans="1:6" s="646" customFormat="1">
      <c r="A482" s="869"/>
      <c r="E482" s="532"/>
      <c r="F482" s="520"/>
    </row>
    <row r="483" spans="1:6" s="646" customFormat="1">
      <c r="A483" s="879" t="s">
        <v>239</v>
      </c>
      <c r="E483" s="532"/>
    </row>
    <row r="484" spans="1:6" s="646" customFormat="1">
      <c r="A484" s="878" t="s">
        <v>3859</v>
      </c>
      <c r="E484" s="532"/>
    </row>
    <row r="485" spans="1:6" s="646" customFormat="1">
      <c r="A485" s="869" t="s">
        <v>8649</v>
      </c>
      <c r="E485" s="532">
        <v>210552021.43683755</v>
      </c>
      <c r="F485" s="520" t="s">
        <v>8663</v>
      </c>
    </row>
    <row r="486" spans="1:6" s="646" customFormat="1">
      <c r="A486" s="869" t="s">
        <v>521</v>
      </c>
      <c r="E486" s="532">
        <v>96467889.533433795</v>
      </c>
      <c r="F486" s="520" t="s">
        <v>9108</v>
      </c>
    </row>
    <row r="487" spans="1:6" s="646" customFormat="1">
      <c r="A487" s="869" t="s">
        <v>8650</v>
      </c>
      <c r="E487" s="532">
        <v>45342586.041080847</v>
      </c>
      <c r="F487" s="520" t="s">
        <v>8664</v>
      </c>
    </row>
    <row r="488" spans="1:6" s="646" customFormat="1">
      <c r="A488" s="869" t="s">
        <v>9063</v>
      </c>
      <c r="E488" s="885">
        <v>4.6435821116615461</v>
      </c>
      <c r="F488" s="520" t="s">
        <v>9109</v>
      </c>
    </row>
    <row r="489" spans="1:6" s="646" customFormat="1">
      <c r="A489" s="869" t="s">
        <v>9064</v>
      </c>
      <c r="E489" s="885">
        <v>2.1275339136156219</v>
      </c>
      <c r="F489" s="520" t="s">
        <v>9110</v>
      </c>
    </row>
    <row r="490" spans="1:6" s="646" customFormat="1">
      <c r="A490" s="869" t="s">
        <v>9068</v>
      </c>
      <c r="E490" s="532">
        <v>7.6</v>
      </c>
      <c r="F490" s="520" t="s">
        <v>9111</v>
      </c>
    </row>
    <row r="491" spans="1:6" s="646" customFormat="1">
      <c r="A491" s="869" t="s">
        <v>11554</v>
      </c>
      <c r="E491" s="532">
        <v>5.0919999999999996</v>
      </c>
      <c r="F491" s="520" t="s">
        <v>12104</v>
      </c>
    </row>
    <row r="492" spans="1:6" s="646" customFormat="1">
      <c r="A492" s="869" t="s">
        <v>11561</v>
      </c>
      <c r="E492" s="532">
        <v>7.6</v>
      </c>
      <c r="F492" s="520" t="s">
        <v>12105</v>
      </c>
    </row>
    <row r="493" spans="1:6" s="646" customFormat="1">
      <c r="A493" s="869" t="s">
        <v>4410</v>
      </c>
      <c r="E493" s="532">
        <v>7.1564585891958119</v>
      </c>
      <c r="F493" s="520" t="s">
        <v>9112</v>
      </c>
    </row>
    <row r="494" spans="1:6" s="646" customFormat="1">
      <c r="A494" s="869" t="s">
        <v>8607</v>
      </c>
      <c r="E494" s="532">
        <v>5.0919999999999996</v>
      </c>
      <c r="F494" s="520" t="s">
        <v>12827</v>
      </c>
    </row>
    <row r="495" spans="1:6" s="646" customFormat="1">
      <c r="A495" s="869" t="s">
        <v>3329</v>
      </c>
      <c r="C495" s="956"/>
      <c r="D495" s="956"/>
      <c r="E495" s="957" t="s">
        <v>352</v>
      </c>
      <c r="F495" s="520" t="s">
        <v>9113</v>
      </c>
    </row>
    <row r="496" spans="1:6" s="646" customFormat="1">
      <c r="A496" s="869" t="s">
        <v>5912</v>
      </c>
      <c r="E496" s="870">
        <v>0.17685064226642278</v>
      </c>
      <c r="F496" s="520" t="s">
        <v>12106</v>
      </c>
    </row>
    <row r="497" spans="1:6" s="646" customFormat="1">
      <c r="A497" s="869" t="s">
        <v>5916</v>
      </c>
      <c r="E497" s="870">
        <v>0</v>
      </c>
      <c r="F497" s="520" t="s">
        <v>12107</v>
      </c>
    </row>
    <row r="498" spans="1:6" s="646" customFormat="1">
      <c r="A498" s="869" t="s">
        <v>11563</v>
      </c>
      <c r="E498" s="870">
        <v>-8.0182302035415454</v>
      </c>
      <c r="F498" s="520" t="s">
        <v>12108</v>
      </c>
    </row>
    <row r="499" spans="1:6" s="646" customFormat="1">
      <c r="A499" s="869" t="s">
        <v>11562</v>
      </c>
      <c r="E499" s="870" t="s">
        <v>5661</v>
      </c>
      <c r="F499" s="520" t="s">
        <v>12109</v>
      </c>
    </row>
    <row r="500" spans="1:6" s="646" customFormat="1">
      <c r="A500" s="869" t="s">
        <v>3674</v>
      </c>
      <c r="E500" s="870">
        <v>0.63857142857142857</v>
      </c>
      <c r="F500" s="520" t="s">
        <v>9114</v>
      </c>
    </row>
    <row r="501" spans="1:6" s="646" customFormat="1">
      <c r="A501" s="869" t="s">
        <v>4413</v>
      </c>
      <c r="E501" s="958">
        <v>-0.82936375358740888</v>
      </c>
      <c r="F501" s="520" t="s">
        <v>12641</v>
      </c>
    </row>
    <row r="502" spans="1:6" s="646" customFormat="1">
      <c r="A502" s="869" t="s">
        <v>4413</v>
      </c>
      <c r="E502" s="958" t="s">
        <v>5661</v>
      </c>
      <c r="F502" s="520" t="s">
        <v>12737</v>
      </c>
    </row>
    <row r="503" spans="1:6" s="646" customFormat="1">
      <c r="A503" s="869" t="s">
        <v>11388</v>
      </c>
      <c r="E503" s="958">
        <v>4.3711589702674214</v>
      </c>
      <c r="F503" s="520" t="s">
        <v>12642</v>
      </c>
    </row>
    <row r="504" spans="1:6" s="646" customFormat="1">
      <c r="A504" s="869" t="s">
        <v>11388</v>
      </c>
      <c r="E504" s="958" t="s">
        <v>5661</v>
      </c>
      <c r="F504" s="520" t="s">
        <v>12738</v>
      </c>
    </row>
    <row r="505" spans="1:6" s="646" customFormat="1">
      <c r="A505" s="869" t="s">
        <v>5195</v>
      </c>
      <c r="E505" s="958">
        <v>2.6691833863132914</v>
      </c>
      <c r="F505" s="520" t="s">
        <v>12110</v>
      </c>
    </row>
    <row r="506" spans="1:6" s="646" customFormat="1">
      <c r="A506" s="869" t="s">
        <v>5195</v>
      </c>
      <c r="E506" s="958" t="s">
        <v>5661</v>
      </c>
      <c r="F506" s="520" t="s">
        <v>12111</v>
      </c>
    </row>
    <row r="507" spans="1:6" s="646" customFormat="1">
      <c r="A507" s="869" t="s">
        <v>157</v>
      </c>
      <c r="E507" s="960">
        <v>100721337.69383167</v>
      </c>
      <c r="F507" s="520" t="s">
        <v>10474</v>
      </c>
    </row>
    <row r="508" spans="1:6" s="646" customFormat="1">
      <c r="A508" s="869" t="s">
        <v>10370</v>
      </c>
      <c r="E508" s="960">
        <v>2.221340829624872</v>
      </c>
      <c r="F508" s="520" t="s">
        <v>10377</v>
      </c>
    </row>
    <row r="509" spans="1:6" s="646" customFormat="1">
      <c r="A509" s="878" t="s">
        <v>3858</v>
      </c>
      <c r="E509" s="532"/>
    </row>
    <row r="510" spans="1:6" s="646" customFormat="1">
      <c r="A510" s="869" t="s">
        <v>8649</v>
      </c>
      <c r="E510" s="532">
        <v>384757267.01271999</v>
      </c>
      <c r="F510" s="520" t="s">
        <v>8665</v>
      </c>
    </row>
    <row r="511" spans="1:6" s="646" customFormat="1">
      <c r="A511" s="869" t="s">
        <v>521</v>
      </c>
      <c r="E511" s="532">
        <v>195263477.45410296</v>
      </c>
      <c r="F511" s="520" t="s">
        <v>9115</v>
      </c>
    </row>
    <row r="512" spans="1:6" s="646" customFormat="1">
      <c r="A512" s="869" t="s">
        <v>8650</v>
      </c>
      <c r="E512" s="532">
        <v>77943237.25288707</v>
      </c>
      <c r="F512" s="520" t="s">
        <v>8666</v>
      </c>
    </row>
    <row r="513" spans="1:6" s="646" customFormat="1">
      <c r="A513" s="869" t="s">
        <v>9063</v>
      </c>
      <c r="E513" s="885">
        <v>4.9363778125403472</v>
      </c>
      <c r="F513" s="520" t="s">
        <v>9116</v>
      </c>
    </row>
    <row r="514" spans="1:6" s="646" customFormat="1">
      <c r="A514" s="869" t="s">
        <v>9064</v>
      </c>
      <c r="E514" s="885">
        <v>2.505201019821258</v>
      </c>
      <c r="F514" s="520" t="s">
        <v>9117</v>
      </c>
    </row>
    <row r="515" spans="1:6" s="646" customFormat="1">
      <c r="A515" s="869" t="s">
        <v>9068</v>
      </c>
      <c r="E515" s="532">
        <v>7.68</v>
      </c>
      <c r="F515" s="520" t="s">
        <v>9118</v>
      </c>
    </row>
    <row r="516" spans="1:6" s="646" customFormat="1">
      <c r="A516" s="869" t="s">
        <v>11554</v>
      </c>
      <c r="E516" s="532">
        <v>6.1440000000000001</v>
      </c>
      <c r="F516" s="520" t="s">
        <v>12112</v>
      </c>
    </row>
    <row r="517" spans="1:6" s="646" customFormat="1">
      <c r="A517" s="869" t="s">
        <v>11561</v>
      </c>
      <c r="E517" s="532">
        <v>7.68</v>
      </c>
      <c r="F517" s="520" t="s">
        <v>12113</v>
      </c>
    </row>
    <row r="518" spans="1:6" s="646" customFormat="1">
      <c r="A518" s="869" t="s">
        <v>4410</v>
      </c>
      <c r="E518" s="532">
        <v>7.4481940747854525</v>
      </c>
      <c r="F518" s="520" t="s">
        <v>9119</v>
      </c>
    </row>
    <row r="519" spans="1:6" s="646" customFormat="1">
      <c r="A519" s="869" t="s">
        <v>8607</v>
      </c>
      <c r="E519" s="532">
        <v>6.1440000000000001</v>
      </c>
      <c r="F519" s="520" t="s">
        <v>12828</v>
      </c>
    </row>
    <row r="520" spans="1:6" s="646" customFormat="1">
      <c r="A520" s="869" t="s">
        <v>3329</v>
      </c>
      <c r="C520" s="956"/>
      <c r="D520" s="956"/>
      <c r="E520" s="957" t="s">
        <v>4419</v>
      </c>
      <c r="F520" s="520" t="s">
        <v>9120</v>
      </c>
    </row>
    <row r="521" spans="1:6" s="646" customFormat="1">
      <c r="A521" s="869" t="s">
        <v>5912</v>
      </c>
      <c r="E521" s="870">
        <v>0.15091531589488699</v>
      </c>
      <c r="F521" s="520" t="s">
        <v>12114</v>
      </c>
    </row>
    <row r="522" spans="1:6" s="646" customFormat="1">
      <c r="A522" s="869" t="s">
        <v>5916</v>
      </c>
      <c r="E522" s="870">
        <v>0</v>
      </c>
      <c r="F522" s="520" t="s">
        <v>12115</v>
      </c>
    </row>
    <row r="523" spans="1:6" s="646" customFormat="1">
      <c r="A523" s="869" t="s">
        <v>11563</v>
      </c>
      <c r="E523" s="870">
        <v>5.1574214705470043</v>
      </c>
      <c r="F523" s="520" t="s">
        <v>12116</v>
      </c>
    </row>
    <row r="524" spans="1:6" s="646" customFormat="1">
      <c r="A524" s="869" t="s">
        <v>11562</v>
      </c>
      <c r="E524" s="870" t="s">
        <v>5661</v>
      </c>
      <c r="F524" s="520" t="s">
        <v>12117</v>
      </c>
    </row>
    <row r="525" spans="1:6" s="646" customFormat="1">
      <c r="A525" s="869" t="s">
        <v>3674</v>
      </c>
      <c r="E525" s="870">
        <v>0.83857142857142852</v>
      </c>
      <c r="F525" s="520" t="s">
        <v>9121</v>
      </c>
    </row>
    <row r="526" spans="1:6" s="646" customFormat="1">
      <c r="A526" s="869" t="s">
        <v>4413</v>
      </c>
      <c r="E526" s="958">
        <v>0.2782775267838089</v>
      </c>
      <c r="F526" s="520" t="s">
        <v>12643</v>
      </c>
    </row>
    <row r="527" spans="1:6" s="646" customFormat="1">
      <c r="A527" s="869" t="s">
        <v>4413</v>
      </c>
      <c r="E527" s="958" t="s">
        <v>5661</v>
      </c>
      <c r="F527" s="520" t="s">
        <v>12739</v>
      </c>
    </row>
    <row r="528" spans="1:6" s="646" customFormat="1">
      <c r="A528" s="869" t="s">
        <v>11388</v>
      </c>
      <c r="E528" s="958">
        <v>1.9030675099438468</v>
      </c>
      <c r="F528" s="520" t="s">
        <v>12644</v>
      </c>
    </row>
    <row r="529" spans="1:6" s="646" customFormat="1">
      <c r="A529" s="869" t="s">
        <v>11388</v>
      </c>
      <c r="E529" s="958" t="s">
        <v>5661</v>
      </c>
      <c r="F529" s="520" t="s">
        <v>12740</v>
      </c>
    </row>
    <row r="530" spans="1:6" s="646" customFormat="1">
      <c r="A530" s="869" t="s">
        <v>5195</v>
      </c>
      <c r="E530" s="958">
        <v>1.3802977876920564</v>
      </c>
      <c r="F530" s="520" t="s">
        <v>12118</v>
      </c>
    </row>
    <row r="531" spans="1:6" s="646" customFormat="1">
      <c r="A531" s="869" t="s">
        <v>5195</v>
      </c>
      <c r="E531" s="958" t="s">
        <v>5661</v>
      </c>
      <c r="F531" s="520" t="s">
        <v>12119</v>
      </c>
    </row>
    <row r="532" spans="1:6" s="646" customFormat="1">
      <c r="A532" s="869" t="s">
        <v>157</v>
      </c>
      <c r="E532" s="960">
        <v>169148537.08868846</v>
      </c>
      <c r="F532" s="520" t="s">
        <v>10475</v>
      </c>
    </row>
    <row r="533" spans="1:6" s="646" customFormat="1">
      <c r="A533" s="869" t="s">
        <v>10370</v>
      </c>
      <c r="E533" s="960">
        <v>2.1701502664032994</v>
      </c>
      <c r="F533" s="520" t="s">
        <v>10378</v>
      </c>
    </row>
    <row r="534" spans="1:6" s="646" customFormat="1">
      <c r="A534" s="878" t="s">
        <v>3860</v>
      </c>
      <c r="E534" s="532"/>
    </row>
    <row r="535" spans="1:6" s="646" customFormat="1">
      <c r="A535" s="869" t="s">
        <v>8649</v>
      </c>
      <c r="E535" s="532" t="s">
        <v>5661</v>
      </c>
      <c r="F535" s="520" t="s">
        <v>8667</v>
      </c>
    </row>
    <row r="536" spans="1:6" s="646" customFormat="1">
      <c r="A536" s="869" t="s">
        <v>521</v>
      </c>
      <c r="E536" s="532">
        <v>0</v>
      </c>
      <c r="F536" s="520" t="s">
        <v>9122</v>
      </c>
    </row>
    <row r="537" spans="1:6" s="646" customFormat="1">
      <c r="A537" s="869" t="s">
        <v>8650</v>
      </c>
      <c r="E537" s="532" t="s">
        <v>5661</v>
      </c>
      <c r="F537" s="520" t="s">
        <v>8668</v>
      </c>
    </row>
    <row r="538" spans="1:6" s="646" customFormat="1">
      <c r="A538" s="869" t="s">
        <v>9063</v>
      </c>
      <c r="E538" s="885" t="s">
        <v>5661</v>
      </c>
      <c r="F538" s="520" t="s">
        <v>9123</v>
      </c>
    </row>
    <row r="539" spans="1:6" s="646" customFormat="1">
      <c r="A539" s="869" t="s">
        <v>9064</v>
      </c>
      <c r="E539" s="885" t="s">
        <v>5661</v>
      </c>
      <c r="F539" s="520" t="s">
        <v>9124</v>
      </c>
    </row>
    <row r="540" spans="1:6" s="646" customFormat="1">
      <c r="A540" s="869" t="s">
        <v>9068</v>
      </c>
      <c r="E540" s="532" t="s">
        <v>5661</v>
      </c>
      <c r="F540" s="520" t="s">
        <v>9125</v>
      </c>
    </row>
    <row r="541" spans="1:6" s="646" customFormat="1">
      <c r="A541" s="869" t="s">
        <v>11554</v>
      </c>
      <c r="E541" s="532" t="s">
        <v>5661</v>
      </c>
      <c r="F541" s="520" t="s">
        <v>12120</v>
      </c>
    </row>
    <row r="542" spans="1:6" s="646" customFormat="1">
      <c r="A542" s="869" t="s">
        <v>11561</v>
      </c>
      <c r="E542" s="532" t="s">
        <v>5661</v>
      </c>
      <c r="F542" s="520" t="s">
        <v>12121</v>
      </c>
    </row>
    <row r="543" spans="1:6" s="646" customFormat="1">
      <c r="A543" s="869" t="s">
        <v>4410</v>
      </c>
      <c r="E543" s="532" t="s">
        <v>5661</v>
      </c>
      <c r="F543" s="520" t="s">
        <v>9126</v>
      </c>
    </row>
    <row r="544" spans="1:6" s="646" customFormat="1">
      <c r="A544" s="869" t="s">
        <v>8607</v>
      </c>
      <c r="E544" s="532" t="s">
        <v>5661</v>
      </c>
      <c r="F544" s="520" t="s">
        <v>12829</v>
      </c>
    </row>
    <row r="545" spans="1:6" s="646" customFormat="1">
      <c r="A545" s="869" t="s">
        <v>3329</v>
      </c>
      <c r="C545" s="956"/>
      <c r="D545" s="956"/>
      <c r="E545" s="957" t="s">
        <v>5661</v>
      </c>
      <c r="F545" s="520" t="s">
        <v>9127</v>
      </c>
    </row>
    <row r="546" spans="1:6" s="646" customFormat="1">
      <c r="A546" s="869" t="s">
        <v>5912</v>
      </c>
      <c r="E546" s="870" t="s">
        <v>5661</v>
      </c>
      <c r="F546" s="520" t="s">
        <v>12122</v>
      </c>
    </row>
    <row r="547" spans="1:6" s="646" customFormat="1">
      <c r="A547" s="869" t="s">
        <v>5916</v>
      </c>
      <c r="E547" s="870" t="s">
        <v>5661</v>
      </c>
      <c r="F547" s="520" t="s">
        <v>12123</v>
      </c>
    </row>
    <row r="548" spans="1:6" s="646" customFormat="1">
      <c r="A548" s="869" t="s">
        <v>11563</v>
      </c>
      <c r="E548" s="870" t="s">
        <v>5661</v>
      </c>
      <c r="F548" s="520" t="s">
        <v>12124</v>
      </c>
    </row>
    <row r="549" spans="1:6" s="646" customFormat="1">
      <c r="A549" s="869" t="s">
        <v>11562</v>
      </c>
      <c r="E549" s="870" t="s">
        <v>5661</v>
      </c>
      <c r="F549" s="520" t="s">
        <v>12125</v>
      </c>
    </row>
    <row r="550" spans="1:6" s="646" customFormat="1">
      <c r="A550" s="869" t="s">
        <v>3674</v>
      </c>
      <c r="E550" s="870" t="s">
        <v>5661</v>
      </c>
      <c r="F550" s="520" t="s">
        <v>9128</v>
      </c>
    </row>
    <row r="551" spans="1:6" s="646" customFormat="1">
      <c r="A551" s="869" t="s">
        <v>4413</v>
      </c>
      <c r="E551" s="958" t="s">
        <v>5661</v>
      </c>
      <c r="F551" s="520" t="s">
        <v>12645</v>
      </c>
    </row>
    <row r="552" spans="1:6" s="646" customFormat="1">
      <c r="A552" s="869" t="s">
        <v>4413</v>
      </c>
      <c r="E552" s="958" t="s">
        <v>5661</v>
      </c>
      <c r="F552" s="520" t="s">
        <v>12741</v>
      </c>
    </row>
    <row r="553" spans="1:6" s="646" customFormat="1">
      <c r="A553" s="869" t="s">
        <v>11388</v>
      </c>
      <c r="E553" s="958" t="s">
        <v>5661</v>
      </c>
      <c r="F553" s="520" t="s">
        <v>12646</v>
      </c>
    </row>
    <row r="554" spans="1:6" s="646" customFormat="1">
      <c r="A554" s="869" t="s">
        <v>11388</v>
      </c>
      <c r="E554" s="958" t="s">
        <v>5661</v>
      </c>
      <c r="F554" s="520" t="s">
        <v>12742</v>
      </c>
    </row>
    <row r="555" spans="1:6" s="646" customFormat="1">
      <c r="A555" s="869" t="s">
        <v>5195</v>
      </c>
      <c r="E555" s="958" t="s">
        <v>5661</v>
      </c>
      <c r="F555" s="520" t="s">
        <v>12126</v>
      </c>
    </row>
    <row r="556" spans="1:6" s="646" customFormat="1">
      <c r="A556" s="869" t="s">
        <v>5195</v>
      </c>
      <c r="E556" s="958" t="s">
        <v>5661</v>
      </c>
      <c r="F556" s="520" t="s">
        <v>12127</v>
      </c>
    </row>
    <row r="557" spans="1:6" s="646" customFormat="1">
      <c r="A557" s="869" t="s">
        <v>157</v>
      </c>
      <c r="E557" s="960" t="s">
        <v>5661</v>
      </c>
      <c r="F557" s="520" t="s">
        <v>10476</v>
      </c>
    </row>
    <row r="558" spans="1:6" s="646" customFormat="1">
      <c r="A558" s="869" t="s">
        <v>10370</v>
      </c>
      <c r="E558" s="960" t="s">
        <v>5661</v>
      </c>
      <c r="F558" s="520" t="s">
        <v>10379</v>
      </c>
    </row>
    <row r="559" spans="1:6" s="646" customFormat="1">
      <c r="A559" s="869"/>
      <c r="E559" s="532"/>
      <c r="F559" s="520"/>
    </row>
    <row r="560" spans="1:6" s="646" customFormat="1">
      <c r="A560" s="879" t="s">
        <v>240</v>
      </c>
      <c r="E560" s="532"/>
    </row>
    <row r="561" spans="1:6" s="646" customFormat="1">
      <c r="A561" s="878" t="s">
        <v>3859</v>
      </c>
      <c r="E561" s="532"/>
    </row>
    <row r="562" spans="1:6" s="646" customFormat="1">
      <c r="A562" s="869" t="s">
        <v>8649</v>
      </c>
      <c r="E562" s="532" t="s">
        <v>5661</v>
      </c>
      <c r="F562" s="520" t="s">
        <v>8669</v>
      </c>
    </row>
    <row r="563" spans="1:6" s="646" customFormat="1">
      <c r="A563" s="869" t="s">
        <v>521</v>
      </c>
      <c r="E563" s="532">
        <v>0</v>
      </c>
      <c r="F563" s="520" t="s">
        <v>9087</v>
      </c>
    </row>
    <row r="564" spans="1:6" s="646" customFormat="1">
      <c r="A564" s="869" t="s">
        <v>8650</v>
      </c>
      <c r="E564" s="532" t="s">
        <v>5661</v>
      </c>
      <c r="F564" s="520" t="s">
        <v>8670</v>
      </c>
    </row>
    <row r="565" spans="1:6" s="646" customFormat="1">
      <c r="A565" s="869" t="s">
        <v>9063</v>
      </c>
      <c r="E565" s="885" t="s">
        <v>5661</v>
      </c>
      <c r="F565" s="520" t="s">
        <v>9088</v>
      </c>
    </row>
    <row r="566" spans="1:6" s="646" customFormat="1">
      <c r="A566" s="869" t="s">
        <v>9064</v>
      </c>
      <c r="E566" s="885" t="s">
        <v>5661</v>
      </c>
      <c r="F566" s="520" t="s">
        <v>9089</v>
      </c>
    </row>
    <row r="567" spans="1:6" s="646" customFormat="1">
      <c r="A567" s="869" t="s">
        <v>9068</v>
      </c>
      <c r="E567" s="532" t="s">
        <v>5661</v>
      </c>
      <c r="F567" s="520" t="s">
        <v>9090</v>
      </c>
    </row>
    <row r="568" spans="1:6" s="646" customFormat="1">
      <c r="A568" s="869" t="s">
        <v>11554</v>
      </c>
      <c r="E568" s="532" t="s">
        <v>5661</v>
      </c>
      <c r="F568" s="520" t="s">
        <v>12128</v>
      </c>
    </row>
    <row r="569" spans="1:6" s="646" customFormat="1">
      <c r="A569" s="869" t="s">
        <v>11561</v>
      </c>
      <c r="E569" s="532" t="s">
        <v>5661</v>
      </c>
      <c r="F569" s="520" t="s">
        <v>12129</v>
      </c>
    </row>
    <row r="570" spans="1:6" s="646" customFormat="1">
      <c r="A570" s="869" t="s">
        <v>4410</v>
      </c>
      <c r="E570" s="532" t="s">
        <v>5661</v>
      </c>
      <c r="F570" s="520" t="s">
        <v>9091</v>
      </c>
    </row>
    <row r="571" spans="1:6" s="646" customFormat="1">
      <c r="A571" s="869" t="s">
        <v>8607</v>
      </c>
      <c r="E571" s="532" t="s">
        <v>5661</v>
      </c>
      <c r="F571" s="520" t="s">
        <v>12830</v>
      </c>
    </row>
    <row r="572" spans="1:6" s="646" customFormat="1">
      <c r="A572" s="869" t="s">
        <v>3329</v>
      </c>
      <c r="C572" s="956"/>
      <c r="D572" s="956"/>
      <c r="E572" s="957" t="s">
        <v>5661</v>
      </c>
      <c r="F572" s="520" t="s">
        <v>9092</v>
      </c>
    </row>
    <row r="573" spans="1:6" s="646" customFormat="1">
      <c r="A573" s="869" t="s">
        <v>5912</v>
      </c>
      <c r="E573" s="870" t="s">
        <v>5661</v>
      </c>
      <c r="F573" s="520" t="s">
        <v>12130</v>
      </c>
    </row>
    <row r="574" spans="1:6" s="646" customFormat="1">
      <c r="A574" s="869" t="s">
        <v>5916</v>
      </c>
      <c r="E574" s="870" t="s">
        <v>5661</v>
      </c>
      <c r="F574" s="520" t="s">
        <v>12131</v>
      </c>
    </row>
    <row r="575" spans="1:6" s="646" customFormat="1">
      <c r="A575" s="869" t="s">
        <v>11563</v>
      </c>
      <c r="E575" s="870" t="s">
        <v>5661</v>
      </c>
      <c r="F575" s="520" t="s">
        <v>12132</v>
      </c>
    </row>
    <row r="576" spans="1:6" s="646" customFormat="1">
      <c r="A576" s="869" t="s">
        <v>11562</v>
      </c>
      <c r="E576" s="870" t="s">
        <v>5661</v>
      </c>
      <c r="F576" s="520" t="s">
        <v>12133</v>
      </c>
    </row>
    <row r="577" spans="1:6" s="646" customFormat="1">
      <c r="A577" s="869" t="s">
        <v>3674</v>
      </c>
      <c r="E577" s="870" t="s">
        <v>5661</v>
      </c>
      <c r="F577" s="520" t="s">
        <v>9093</v>
      </c>
    </row>
    <row r="578" spans="1:6" s="646" customFormat="1">
      <c r="A578" s="869" t="s">
        <v>4413</v>
      </c>
      <c r="E578" s="958" t="s">
        <v>5661</v>
      </c>
      <c r="F578" s="520" t="s">
        <v>12647</v>
      </c>
    </row>
    <row r="579" spans="1:6" s="646" customFormat="1">
      <c r="A579" s="869" t="s">
        <v>4413</v>
      </c>
      <c r="E579" s="958" t="s">
        <v>5661</v>
      </c>
      <c r="F579" s="520" t="s">
        <v>12743</v>
      </c>
    </row>
    <row r="580" spans="1:6" s="646" customFormat="1">
      <c r="A580" s="869" t="s">
        <v>11388</v>
      </c>
      <c r="E580" s="958" t="s">
        <v>5661</v>
      </c>
      <c r="F580" s="520" t="s">
        <v>12648</v>
      </c>
    </row>
    <row r="581" spans="1:6" s="646" customFormat="1">
      <c r="A581" s="869" t="s">
        <v>11388</v>
      </c>
      <c r="E581" s="958" t="s">
        <v>5661</v>
      </c>
      <c r="F581" s="520" t="s">
        <v>12744</v>
      </c>
    </row>
    <row r="582" spans="1:6" s="646" customFormat="1">
      <c r="A582" s="869" t="s">
        <v>5195</v>
      </c>
      <c r="E582" s="958" t="s">
        <v>5661</v>
      </c>
      <c r="F582" s="520" t="s">
        <v>12134</v>
      </c>
    </row>
    <row r="583" spans="1:6" s="646" customFormat="1">
      <c r="A583" s="869" t="s">
        <v>5195</v>
      </c>
      <c r="E583" s="958" t="s">
        <v>5661</v>
      </c>
      <c r="F583" s="520" t="s">
        <v>12135</v>
      </c>
    </row>
    <row r="584" spans="1:6" s="646" customFormat="1">
      <c r="A584" s="869" t="s">
        <v>157</v>
      </c>
      <c r="E584" s="960" t="s">
        <v>5661</v>
      </c>
      <c r="F584" s="520" t="s">
        <v>10477</v>
      </c>
    </row>
    <row r="585" spans="1:6" s="646" customFormat="1">
      <c r="A585" s="869" t="s">
        <v>10370</v>
      </c>
      <c r="E585" s="960" t="s">
        <v>5661</v>
      </c>
      <c r="F585" s="520" t="s">
        <v>10380</v>
      </c>
    </row>
    <row r="586" spans="1:6" s="646" customFormat="1">
      <c r="A586" s="878" t="s">
        <v>3858</v>
      </c>
      <c r="E586" s="532"/>
    </row>
    <row r="587" spans="1:6" s="646" customFormat="1">
      <c r="A587" s="869" t="s">
        <v>8649</v>
      </c>
      <c r="E587" s="532" t="s">
        <v>5661</v>
      </c>
      <c r="F587" s="520" t="s">
        <v>8671</v>
      </c>
    </row>
    <row r="588" spans="1:6" s="646" customFormat="1">
      <c r="A588" s="869" t="s">
        <v>521</v>
      </c>
      <c r="E588" s="532">
        <v>0</v>
      </c>
      <c r="F588" s="520" t="s">
        <v>9094</v>
      </c>
    </row>
    <row r="589" spans="1:6" s="646" customFormat="1">
      <c r="A589" s="869" t="s">
        <v>8650</v>
      </c>
      <c r="E589" s="532" t="s">
        <v>5661</v>
      </c>
      <c r="F589" s="520" t="s">
        <v>8672</v>
      </c>
    </row>
    <row r="590" spans="1:6" s="646" customFormat="1">
      <c r="A590" s="869" t="s">
        <v>9063</v>
      </c>
      <c r="E590" s="885" t="s">
        <v>5661</v>
      </c>
      <c r="F590" s="520" t="s">
        <v>9095</v>
      </c>
    </row>
    <row r="591" spans="1:6" s="646" customFormat="1">
      <c r="A591" s="869" t="s">
        <v>9064</v>
      </c>
      <c r="E591" s="885" t="s">
        <v>5661</v>
      </c>
      <c r="F591" s="520" t="s">
        <v>9096</v>
      </c>
    </row>
    <row r="592" spans="1:6" s="646" customFormat="1">
      <c r="A592" s="869" t="s">
        <v>9068</v>
      </c>
      <c r="E592" s="532" t="s">
        <v>5661</v>
      </c>
      <c r="F592" s="520" t="s">
        <v>9097</v>
      </c>
    </row>
    <row r="593" spans="1:6" s="646" customFormat="1">
      <c r="A593" s="869" t="s">
        <v>11554</v>
      </c>
      <c r="E593" s="532" t="s">
        <v>5661</v>
      </c>
      <c r="F593" s="520" t="s">
        <v>12136</v>
      </c>
    </row>
    <row r="594" spans="1:6" s="646" customFormat="1">
      <c r="A594" s="869" t="s">
        <v>11561</v>
      </c>
      <c r="E594" s="532" t="s">
        <v>5661</v>
      </c>
      <c r="F594" s="520" t="s">
        <v>12137</v>
      </c>
    </row>
    <row r="595" spans="1:6" s="646" customFormat="1">
      <c r="A595" s="869" t="s">
        <v>4410</v>
      </c>
      <c r="E595" s="532" t="s">
        <v>5661</v>
      </c>
      <c r="F595" s="520" t="s">
        <v>9098</v>
      </c>
    </row>
    <row r="596" spans="1:6" s="646" customFormat="1">
      <c r="A596" s="869" t="s">
        <v>8607</v>
      </c>
      <c r="E596" s="532" t="s">
        <v>5661</v>
      </c>
      <c r="F596" s="520" t="s">
        <v>12831</v>
      </c>
    </row>
    <row r="597" spans="1:6" s="646" customFormat="1">
      <c r="A597" s="869" t="s">
        <v>3329</v>
      </c>
      <c r="C597" s="956"/>
      <c r="D597" s="956"/>
      <c r="E597" s="957" t="s">
        <v>5661</v>
      </c>
      <c r="F597" s="520" t="s">
        <v>9099</v>
      </c>
    </row>
    <row r="598" spans="1:6" s="646" customFormat="1">
      <c r="A598" s="869" t="s">
        <v>5912</v>
      </c>
      <c r="E598" s="870" t="s">
        <v>5661</v>
      </c>
      <c r="F598" s="520" t="s">
        <v>12138</v>
      </c>
    </row>
    <row r="599" spans="1:6" s="646" customFormat="1">
      <c r="A599" s="869" t="s">
        <v>5916</v>
      </c>
      <c r="E599" s="870" t="s">
        <v>5661</v>
      </c>
      <c r="F599" s="520" t="s">
        <v>12139</v>
      </c>
    </row>
    <row r="600" spans="1:6" s="646" customFormat="1">
      <c r="A600" s="869" t="s">
        <v>11563</v>
      </c>
      <c r="E600" s="870" t="s">
        <v>5661</v>
      </c>
      <c r="F600" s="520" t="s">
        <v>12140</v>
      </c>
    </row>
    <row r="601" spans="1:6" s="646" customFormat="1">
      <c r="A601" s="869" t="s">
        <v>11562</v>
      </c>
      <c r="E601" s="870" t="s">
        <v>5661</v>
      </c>
      <c r="F601" s="520" t="s">
        <v>12141</v>
      </c>
    </row>
    <row r="602" spans="1:6" s="646" customFormat="1">
      <c r="A602" s="869" t="s">
        <v>3674</v>
      </c>
      <c r="E602" s="870" t="s">
        <v>5661</v>
      </c>
      <c r="F602" s="520" t="s">
        <v>9100</v>
      </c>
    </row>
    <row r="603" spans="1:6" s="646" customFormat="1">
      <c r="A603" s="869" t="s">
        <v>4413</v>
      </c>
      <c r="E603" s="958" t="s">
        <v>5661</v>
      </c>
      <c r="F603" s="520" t="s">
        <v>12649</v>
      </c>
    </row>
    <row r="604" spans="1:6" s="646" customFormat="1">
      <c r="A604" s="869" t="s">
        <v>4413</v>
      </c>
      <c r="E604" s="958" t="s">
        <v>5661</v>
      </c>
      <c r="F604" s="520" t="s">
        <v>12745</v>
      </c>
    </row>
    <row r="605" spans="1:6" s="646" customFormat="1">
      <c r="A605" s="869" t="s">
        <v>11388</v>
      </c>
      <c r="E605" s="958" t="s">
        <v>5661</v>
      </c>
      <c r="F605" s="520" t="s">
        <v>12650</v>
      </c>
    </row>
    <row r="606" spans="1:6" s="646" customFormat="1">
      <c r="A606" s="869" t="s">
        <v>11388</v>
      </c>
      <c r="E606" s="958" t="s">
        <v>5661</v>
      </c>
      <c r="F606" s="520" t="s">
        <v>12746</v>
      </c>
    </row>
    <row r="607" spans="1:6" s="646" customFormat="1">
      <c r="A607" s="869" t="s">
        <v>5195</v>
      </c>
      <c r="E607" s="958" t="s">
        <v>5661</v>
      </c>
      <c r="F607" s="520" t="s">
        <v>12142</v>
      </c>
    </row>
    <row r="608" spans="1:6" s="646" customFormat="1">
      <c r="A608" s="869" t="s">
        <v>5195</v>
      </c>
      <c r="E608" s="958" t="s">
        <v>5661</v>
      </c>
      <c r="F608" s="520" t="s">
        <v>12143</v>
      </c>
    </row>
    <row r="609" spans="1:6" s="646" customFormat="1">
      <c r="A609" s="869" t="s">
        <v>157</v>
      </c>
      <c r="E609" s="960" t="s">
        <v>5661</v>
      </c>
      <c r="F609" s="520" t="s">
        <v>10478</v>
      </c>
    </row>
    <row r="610" spans="1:6" s="646" customFormat="1">
      <c r="A610" s="869" t="s">
        <v>10370</v>
      </c>
      <c r="E610" s="960" t="s">
        <v>5661</v>
      </c>
      <c r="F610" s="520" t="s">
        <v>10381</v>
      </c>
    </row>
    <row r="611" spans="1:6" s="646" customFormat="1">
      <c r="A611" s="878" t="s">
        <v>3860</v>
      </c>
      <c r="E611" s="532"/>
    </row>
    <row r="612" spans="1:6" s="646" customFormat="1">
      <c r="A612" s="869" t="s">
        <v>8649</v>
      </c>
      <c r="E612" s="532" t="s">
        <v>5661</v>
      </c>
      <c r="F612" s="520" t="s">
        <v>8673</v>
      </c>
    </row>
    <row r="613" spans="1:6" s="646" customFormat="1">
      <c r="A613" s="869" t="s">
        <v>521</v>
      </c>
      <c r="E613" s="532">
        <v>0</v>
      </c>
      <c r="F613" s="520" t="s">
        <v>9101</v>
      </c>
    </row>
    <row r="614" spans="1:6" s="646" customFormat="1">
      <c r="A614" s="869" t="s">
        <v>8650</v>
      </c>
      <c r="E614" s="532" t="s">
        <v>5661</v>
      </c>
      <c r="F614" s="520" t="s">
        <v>8674</v>
      </c>
    </row>
    <row r="615" spans="1:6" s="646" customFormat="1">
      <c r="A615" s="869" t="s">
        <v>9063</v>
      </c>
      <c r="E615" s="885" t="s">
        <v>5661</v>
      </c>
      <c r="F615" s="520" t="s">
        <v>9102</v>
      </c>
    </row>
    <row r="616" spans="1:6" s="646" customFormat="1">
      <c r="A616" s="869" t="s">
        <v>9064</v>
      </c>
      <c r="E616" s="885" t="s">
        <v>5661</v>
      </c>
      <c r="F616" s="520" t="s">
        <v>9103</v>
      </c>
    </row>
    <row r="617" spans="1:6" s="646" customFormat="1">
      <c r="A617" s="869" t="s">
        <v>9068</v>
      </c>
      <c r="E617" s="532" t="s">
        <v>5661</v>
      </c>
      <c r="F617" s="520" t="s">
        <v>9104</v>
      </c>
    </row>
    <row r="618" spans="1:6" s="646" customFormat="1">
      <c r="A618" s="869" t="s">
        <v>11554</v>
      </c>
      <c r="E618" s="532" t="s">
        <v>5661</v>
      </c>
      <c r="F618" s="520" t="s">
        <v>12144</v>
      </c>
    </row>
    <row r="619" spans="1:6" s="646" customFormat="1">
      <c r="A619" s="869" t="s">
        <v>11561</v>
      </c>
      <c r="E619" s="532" t="s">
        <v>5661</v>
      </c>
      <c r="F619" s="520" t="s">
        <v>12145</v>
      </c>
    </row>
    <row r="620" spans="1:6" s="646" customFormat="1">
      <c r="A620" s="869" t="s">
        <v>4410</v>
      </c>
      <c r="E620" s="532" t="s">
        <v>5661</v>
      </c>
      <c r="F620" s="520" t="s">
        <v>9105</v>
      </c>
    </row>
    <row r="621" spans="1:6" s="646" customFormat="1">
      <c r="A621" s="869" t="s">
        <v>8607</v>
      </c>
      <c r="E621" s="532" t="s">
        <v>5661</v>
      </c>
      <c r="F621" s="520" t="s">
        <v>12832</v>
      </c>
    </row>
    <row r="622" spans="1:6" s="646" customFormat="1">
      <c r="A622" s="869" t="s">
        <v>3329</v>
      </c>
      <c r="C622" s="956"/>
      <c r="D622" s="956"/>
      <c r="E622" s="957" t="s">
        <v>5661</v>
      </c>
      <c r="F622" s="520" t="s">
        <v>9106</v>
      </c>
    </row>
    <row r="623" spans="1:6" s="646" customFormat="1">
      <c r="A623" s="869" t="s">
        <v>5912</v>
      </c>
      <c r="E623" s="870" t="s">
        <v>5661</v>
      </c>
      <c r="F623" s="520" t="s">
        <v>12146</v>
      </c>
    </row>
    <row r="624" spans="1:6" s="646" customFormat="1">
      <c r="A624" s="869" t="s">
        <v>5916</v>
      </c>
      <c r="E624" s="870" t="s">
        <v>5661</v>
      </c>
      <c r="F624" s="520" t="s">
        <v>12147</v>
      </c>
    </row>
    <row r="625" spans="1:7" s="646" customFormat="1">
      <c r="A625" s="869" t="s">
        <v>11563</v>
      </c>
      <c r="E625" s="870" t="s">
        <v>5661</v>
      </c>
      <c r="F625" s="520" t="s">
        <v>12148</v>
      </c>
    </row>
    <row r="626" spans="1:7" s="646" customFormat="1">
      <c r="A626" s="869" t="s">
        <v>11562</v>
      </c>
      <c r="E626" s="870" t="s">
        <v>5661</v>
      </c>
      <c r="F626" s="520" t="s">
        <v>12149</v>
      </c>
    </row>
    <row r="627" spans="1:7" s="646" customFormat="1">
      <c r="A627" s="869" t="s">
        <v>3674</v>
      </c>
      <c r="E627" s="870" t="s">
        <v>5661</v>
      </c>
      <c r="F627" s="520" t="s">
        <v>9107</v>
      </c>
    </row>
    <row r="628" spans="1:7" s="646" customFormat="1">
      <c r="A628" s="869" t="s">
        <v>4413</v>
      </c>
      <c r="E628" s="958" t="s">
        <v>5661</v>
      </c>
      <c r="F628" s="520" t="s">
        <v>12651</v>
      </c>
    </row>
    <row r="629" spans="1:7" s="646" customFormat="1">
      <c r="A629" s="869" t="s">
        <v>4413</v>
      </c>
      <c r="E629" s="958" t="s">
        <v>5661</v>
      </c>
      <c r="F629" s="520" t="s">
        <v>12747</v>
      </c>
    </row>
    <row r="630" spans="1:7" s="646" customFormat="1">
      <c r="A630" s="869" t="s">
        <v>11388</v>
      </c>
      <c r="E630" s="958" t="s">
        <v>5661</v>
      </c>
      <c r="F630" s="520" t="s">
        <v>12652</v>
      </c>
    </row>
    <row r="631" spans="1:7" s="646" customFormat="1">
      <c r="A631" s="869" t="s">
        <v>11388</v>
      </c>
      <c r="E631" s="958" t="s">
        <v>5661</v>
      </c>
      <c r="F631" s="520" t="s">
        <v>12748</v>
      </c>
    </row>
    <row r="632" spans="1:7" s="646" customFormat="1">
      <c r="A632" s="869" t="s">
        <v>5195</v>
      </c>
      <c r="E632" s="958" t="s">
        <v>5661</v>
      </c>
      <c r="F632" s="520" t="s">
        <v>12150</v>
      </c>
    </row>
    <row r="633" spans="1:7" s="646" customFormat="1">
      <c r="A633" s="869" t="s">
        <v>5195</v>
      </c>
      <c r="E633" s="958" t="s">
        <v>5661</v>
      </c>
      <c r="F633" s="520" t="s">
        <v>12151</v>
      </c>
    </row>
    <row r="634" spans="1:7" s="646" customFormat="1">
      <c r="A634" s="869" t="s">
        <v>157</v>
      </c>
      <c r="E634" s="960" t="s">
        <v>5661</v>
      </c>
      <c r="F634" s="520" t="s">
        <v>10479</v>
      </c>
    </row>
    <row r="635" spans="1:7" s="646" customFormat="1">
      <c r="A635" s="869" t="s">
        <v>10370</v>
      </c>
      <c r="E635" s="960" t="s">
        <v>5661</v>
      </c>
      <c r="F635" s="520" t="s">
        <v>10382</v>
      </c>
    </row>
    <row r="636" spans="1:7" s="646" customFormat="1">
      <c r="A636" s="869"/>
      <c r="E636" s="532"/>
      <c r="F636" s="520"/>
    </row>
    <row r="637" spans="1:7" s="646" customFormat="1">
      <c r="A637" s="616" t="s">
        <v>14083</v>
      </c>
      <c r="B637" s="616"/>
      <c r="C637" s="616"/>
      <c r="D637" s="616"/>
      <c r="E637" s="616"/>
      <c r="F637" s="616"/>
      <c r="G637" s="616"/>
    </row>
    <row r="638" spans="1:7" s="646" customFormat="1">
      <c r="A638" s="879" t="s">
        <v>12868</v>
      </c>
      <c r="E638" s="532"/>
    </row>
    <row r="639" spans="1:7" s="646" customFormat="1">
      <c r="A639" s="878" t="s">
        <v>3859</v>
      </c>
      <c r="E639" s="532"/>
    </row>
    <row r="640" spans="1:7" s="646" customFormat="1">
      <c r="A640" s="869" t="s">
        <v>8649</v>
      </c>
      <c r="E640" s="532">
        <v>114634142.66225913</v>
      </c>
      <c r="F640" s="520" t="s">
        <v>8675</v>
      </c>
    </row>
    <row r="641" spans="1:6" s="646" customFormat="1">
      <c r="A641" s="869" t="s">
        <v>521</v>
      </c>
      <c r="E641" s="532">
        <v>63804978.124436945</v>
      </c>
      <c r="F641" s="520" t="s">
        <v>9318</v>
      </c>
    </row>
    <row r="642" spans="1:6" s="646" customFormat="1">
      <c r="A642" s="869" t="s">
        <v>8650</v>
      </c>
      <c r="E642" s="532">
        <v>21058829.921314918</v>
      </c>
      <c r="F642" s="520" t="s">
        <v>8676</v>
      </c>
    </row>
    <row r="643" spans="1:6" s="646" customFormat="1">
      <c r="A643" s="869" t="s">
        <v>9063</v>
      </c>
      <c r="E643" s="885">
        <v>5.4435190886949973</v>
      </c>
      <c r="F643" s="520" t="s">
        <v>9319</v>
      </c>
    </row>
    <row r="644" spans="1:6" s="646" customFormat="1">
      <c r="A644" s="869" t="s">
        <v>9064</v>
      </c>
      <c r="E644" s="885">
        <v>3.0298444102944231</v>
      </c>
      <c r="F644" s="520" t="s">
        <v>9320</v>
      </c>
    </row>
    <row r="645" spans="1:6" s="646" customFormat="1">
      <c r="A645" s="869" t="s">
        <v>9068</v>
      </c>
      <c r="E645" s="532">
        <v>7.9</v>
      </c>
      <c r="F645" s="520" t="s">
        <v>9321</v>
      </c>
    </row>
    <row r="646" spans="1:6" s="646" customFormat="1">
      <c r="A646" s="869" t="s">
        <v>4410</v>
      </c>
      <c r="E646" s="532">
        <v>7.9</v>
      </c>
      <c r="F646" s="520" t="s">
        <v>9322</v>
      </c>
    </row>
    <row r="647" spans="1:6" s="646" customFormat="1">
      <c r="A647" s="869" t="s">
        <v>3329</v>
      </c>
      <c r="C647" s="956"/>
      <c r="D647" s="956"/>
      <c r="E647" s="957" t="s">
        <v>4421</v>
      </c>
      <c r="F647" s="520" t="s">
        <v>9323</v>
      </c>
    </row>
    <row r="648" spans="1:6" s="646" customFormat="1">
      <c r="A648" s="869" t="s">
        <v>3674</v>
      </c>
      <c r="E648" s="870">
        <v>0.93857142857142861</v>
      </c>
      <c r="F648" s="520" t="s">
        <v>9324</v>
      </c>
    </row>
    <row r="649" spans="1:6" s="646" customFormat="1">
      <c r="A649" s="869" t="s">
        <v>157</v>
      </c>
      <c r="E649" s="960">
        <v>45386676.198578775</v>
      </c>
      <c r="F649" s="520" t="s">
        <v>10480</v>
      </c>
    </row>
    <row r="650" spans="1:6" s="646" customFormat="1">
      <c r="A650" s="869" t="s">
        <v>10370</v>
      </c>
      <c r="E650" s="960">
        <v>2.1552325731374169</v>
      </c>
      <c r="F650" s="520" t="s">
        <v>10383</v>
      </c>
    </row>
    <row r="651" spans="1:6" s="646" customFormat="1">
      <c r="A651" s="878" t="s">
        <v>3858</v>
      </c>
      <c r="E651" s="532"/>
    </row>
    <row r="652" spans="1:6" s="646" customFormat="1">
      <c r="A652" s="869" t="s">
        <v>8649</v>
      </c>
      <c r="E652" s="532" t="s">
        <v>5661</v>
      </c>
      <c r="F652" s="520" t="s">
        <v>8677</v>
      </c>
    </row>
    <row r="653" spans="1:6" s="646" customFormat="1">
      <c r="A653" s="869" t="s">
        <v>521</v>
      </c>
      <c r="E653" s="532">
        <v>0</v>
      </c>
      <c r="F653" s="520" t="s">
        <v>9325</v>
      </c>
    </row>
    <row r="654" spans="1:6" s="646" customFormat="1">
      <c r="A654" s="869" t="s">
        <v>8650</v>
      </c>
      <c r="E654" s="532" t="s">
        <v>5661</v>
      </c>
      <c r="F654" s="520" t="s">
        <v>8678</v>
      </c>
    </row>
    <row r="655" spans="1:6" s="646" customFormat="1">
      <c r="A655" s="869" t="s">
        <v>9063</v>
      </c>
      <c r="E655" s="885" t="s">
        <v>5661</v>
      </c>
      <c r="F655" s="520" t="s">
        <v>9326</v>
      </c>
    </row>
    <row r="656" spans="1:6" s="646" customFormat="1">
      <c r="A656" s="869" t="s">
        <v>9064</v>
      </c>
      <c r="E656" s="885" t="s">
        <v>5661</v>
      </c>
      <c r="F656" s="520" t="s">
        <v>9327</v>
      </c>
    </row>
    <row r="657" spans="1:6" s="646" customFormat="1">
      <c r="A657" s="869" t="s">
        <v>9068</v>
      </c>
      <c r="E657" s="532" t="s">
        <v>5661</v>
      </c>
      <c r="F657" s="520" t="s">
        <v>9328</v>
      </c>
    </row>
    <row r="658" spans="1:6" s="646" customFormat="1">
      <c r="A658" s="869" t="s">
        <v>4410</v>
      </c>
      <c r="E658" s="532" t="s">
        <v>5661</v>
      </c>
      <c r="F658" s="520" t="s">
        <v>9329</v>
      </c>
    </row>
    <row r="659" spans="1:6" s="646" customFormat="1">
      <c r="A659" s="869" t="s">
        <v>3329</v>
      </c>
      <c r="C659" s="956"/>
      <c r="D659" s="956"/>
      <c r="E659" s="957" t="s">
        <v>5661</v>
      </c>
      <c r="F659" s="520" t="s">
        <v>10469</v>
      </c>
    </row>
    <row r="660" spans="1:6" s="646" customFormat="1">
      <c r="A660" s="869" t="s">
        <v>3674</v>
      </c>
      <c r="E660" s="870" t="s">
        <v>5661</v>
      </c>
      <c r="F660" s="520" t="s">
        <v>9330</v>
      </c>
    </row>
    <row r="661" spans="1:6" s="646" customFormat="1">
      <c r="A661" s="869" t="s">
        <v>157</v>
      </c>
      <c r="E661" s="960" t="s">
        <v>5661</v>
      </c>
      <c r="F661" s="520" t="s">
        <v>10481</v>
      </c>
    </row>
    <row r="662" spans="1:6" s="646" customFormat="1">
      <c r="A662" s="869" t="s">
        <v>10370</v>
      </c>
      <c r="E662" s="960" t="s">
        <v>5661</v>
      </c>
      <c r="F662" s="520" t="s">
        <v>10384</v>
      </c>
    </row>
    <row r="663" spans="1:6" s="646" customFormat="1">
      <c r="A663" s="878" t="s">
        <v>3860</v>
      </c>
      <c r="E663" s="532"/>
    </row>
    <row r="664" spans="1:6" s="646" customFormat="1">
      <c r="A664" s="869" t="s">
        <v>8649</v>
      </c>
      <c r="E664" s="532" t="s">
        <v>5661</v>
      </c>
      <c r="F664" s="520" t="s">
        <v>8679</v>
      </c>
    </row>
    <row r="665" spans="1:6" s="646" customFormat="1">
      <c r="A665" s="869" t="s">
        <v>521</v>
      </c>
      <c r="E665" s="532">
        <v>0</v>
      </c>
      <c r="F665" s="520" t="s">
        <v>9331</v>
      </c>
    </row>
    <row r="666" spans="1:6" s="646" customFormat="1">
      <c r="A666" s="869" t="s">
        <v>8650</v>
      </c>
      <c r="E666" s="532" t="s">
        <v>5661</v>
      </c>
      <c r="F666" s="520" t="s">
        <v>8680</v>
      </c>
    </row>
    <row r="667" spans="1:6" s="646" customFormat="1">
      <c r="A667" s="869" t="s">
        <v>9063</v>
      </c>
      <c r="E667" s="885" t="s">
        <v>5661</v>
      </c>
      <c r="F667" s="520" t="s">
        <v>9332</v>
      </c>
    </row>
    <row r="668" spans="1:6" s="646" customFormat="1">
      <c r="A668" s="869" t="s">
        <v>9064</v>
      </c>
      <c r="E668" s="885" t="s">
        <v>5661</v>
      </c>
      <c r="F668" s="520" t="s">
        <v>9333</v>
      </c>
    </row>
    <row r="669" spans="1:6" s="646" customFormat="1">
      <c r="A669" s="869" t="s">
        <v>9068</v>
      </c>
      <c r="E669" s="532" t="s">
        <v>5661</v>
      </c>
      <c r="F669" s="520" t="s">
        <v>9334</v>
      </c>
    </row>
    <row r="670" spans="1:6" s="646" customFormat="1">
      <c r="A670" s="869" t="s">
        <v>4410</v>
      </c>
      <c r="E670" s="532" t="s">
        <v>5661</v>
      </c>
      <c r="F670" s="520" t="s">
        <v>9335</v>
      </c>
    </row>
    <row r="671" spans="1:6" s="646" customFormat="1">
      <c r="A671" s="869" t="s">
        <v>3329</v>
      </c>
      <c r="C671" s="956"/>
      <c r="D671" s="956"/>
      <c r="E671" s="957" t="s">
        <v>5661</v>
      </c>
      <c r="F671" s="520" t="s">
        <v>9336</v>
      </c>
    </row>
    <row r="672" spans="1:6" s="646" customFormat="1">
      <c r="A672" s="869" t="s">
        <v>3674</v>
      </c>
      <c r="E672" s="870" t="s">
        <v>5661</v>
      </c>
      <c r="F672" s="520" t="s">
        <v>9337</v>
      </c>
    </row>
    <row r="673" spans="1:6" s="646" customFormat="1">
      <c r="A673" s="869" t="s">
        <v>157</v>
      </c>
      <c r="E673" s="960" t="s">
        <v>5661</v>
      </c>
      <c r="F673" s="520" t="s">
        <v>10482</v>
      </c>
    </row>
    <row r="674" spans="1:6" s="646" customFormat="1">
      <c r="A674" s="869" t="s">
        <v>10370</v>
      </c>
      <c r="E674" s="960" t="s">
        <v>5661</v>
      </c>
      <c r="F674" s="520" t="s">
        <v>10385</v>
      </c>
    </row>
    <row r="675" spans="1:6" s="646" customFormat="1">
      <c r="A675" s="869"/>
      <c r="E675" s="532"/>
      <c r="F675" s="520"/>
    </row>
    <row r="676" spans="1:6" s="646" customFormat="1">
      <c r="A676" s="879" t="s">
        <v>238</v>
      </c>
      <c r="E676" s="532"/>
    </row>
    <row r="677" spans="1:6" s="646" customFormat="1">
      <c r="A677" s="878" t="s">
        <v>3859</v>
      </c>
      <c r="E677" s="532"/>
    </row>
    <row r="678" spans="1:6" s="646" customFormat="1">
      <c r="A678" s="869" t="s">
        <v>8649</v>
      </c>
      <c r="E678" s="532">
        <v>692151778.02208436</v>
      </c>
      <c r="F678" s="520" t="s">
        <v>8681</v>
      </c>
    </row>
    <row r="679" spans="1:6" s="646" customFormat="1">
      <c r="A679" s="869" t="s">
        <v>521</v>
      </c>
      <c r="E679" s="532">
        <v>345859841.83253628</v>
      </c>
      <c r="F679" s="520" t="s">
        <v>9338</v>
      </c>
    </row>
    <row r="680" spans="1:6" s="646" customFormat="1">
      <c r="A680" s="869" t="s">
        <v>8650</v>
      </c>
      <c r="E680" s="532">
        <v>141423639.96063417</v>
      </c>
      <c r="F680" s="520" t="s">
        <v>8682</v>
      </c>
    </row>
    <row r="681" spans="1:6" s="646" customFormat="1">
      <c r="A681" s="869" t="s">
        <v>9063</v>
      </c>
      <c r="E681" s="885">
        <v>4.8941731256156862</v>
      </c>
      <c r="F681" s="520" t="s">
        <v>9339</v>
      </c>
    </row>
    <row r="682" spans="1:6" s="646" customFormat="1">
      <c r="A682" s="869" t="s">
        <v>9064</v>
      </c>
      <c r="E682" s="885">
        <v>2.445558903227266</v>
      </c>
      <c r="F682" s="520" t="s">
        <v>9340</v>
      </c>
    </row>
    <row r="683" spans="1:6" s="646" customFormat="1">
      <c r="A683" s="869" t="s">
        <v>9068</v>
      </c>
      <c r="E683" s="532">
        <v>7.3</v>
      </c>
      <c r="F683" s="520" t="s">
        <v>9341</v>
      </c>
    </row>
    <row r="684" spans="1:6" s="646" customFormat="1">
      <c r="A684" s="869" t="s">
        <v>4410</v>
      </c>
      <c r="E684" s="532">
        <v>7.3</v>
      </c>
      <c r="F684" s="520" t="s">
        <v>9342</v>
      </c>
    </row>
    <row r="685" spans="1:6" s="646" customFormat="1">
      <c r="A685" s="869" t="s">
        <v>3329</v>
      </c>
      <c r="C685" s="956"/>
      <c r="D685" s="956"/>
      <c r="E685" s="957" t="s">
        <v>4423</v>
      </c>
      <c r="F685" s="520" t="s">
        <v>9343</v>
      </c>
    </row>
    <row r="686" spans="1:6" s="646" customFormat="1">
      <c r="A686" s="869" t="s">
        <v>3674</v>
      </c>
      <c r="E686" s="870">
        <v>0.93857142857142861</v>
      </c>
      <c r="F686" s="520" t="s">
        <v>9344</v>
      </c>
    </row>
    <row r="687" spans="1:6" s="646" customFormat="1">
      <c r="A687" s="869" t="s">
        <v>157</v>
      </c>
      <c r="E687" s="960">
        <v>309376614.71168888</v>
      </c>
      <c r="F687" s="520" t="s">
        <v>10483</v>
      </c>
    </row>
    <row r="688" spans="1:6" s="646" customFormat="1">
      <c r="A688" s="869" t="s">
        <v>10370</v>
      </c>
      <c r="E688" s="960">
        <v>2.1875876960726304</v>
      </c>
      <c r="F688" s="520" t="s">
        <v>10386</v>
      </c>
    </row>
    <row r="689" spans="1:6" s="646" customFormat="1">
      <c r="A689" s="878" t="s">
        <v>3858</v>
      </c>
      <c r="E689" s="532"/>
    </row>
    <row r="690" spans="1:6" s="646" customFormat="1">
      <c r="A690" s="869" t="s">
        <v>8649</v>
      </c>
      <c r="E690" s="532" t="s">
        <v>5661</v>
      </c>
      <c r="F690" s="520" t="s">
        <v>8683</v>
      </c>
    </row>
    <row r="691" spans="1:6" s="646" customFormat="1">
      <c r="A691" s="869" t="s">
        <v>521</v>
      </c>
      <c r="E691" s="532">
        <v>0</v>
      </c>
      <c r="F691" s="520" t="s">
        <v>9345</v>
      </c>
    </row>
    <row r="692" spans="1:6" s="646" customFormat="1">
      <c r="A692" s="869" t="s">
        <v>8650</v>
      </c>
      <c r="E692" s="532" t="s">
        <v>5661</v>
      </c>
      <c r="F692" s="520" t="s">
        <v>8684</v>
      </c>
    </row>
    <row r="693" spans="1:6" s="646" customFormat="1">
      <c r="A693" s="869" t="s">
        <v>9063</v>
      </c>
      <c r="E693" s="885" t="s">
        <v>5661</v>
      </c>
      <c r="F693" s="520" t="s">
        <v>9346</v>
      </c>
    </row>
    <row r="694" spans="1:6" s="646" customFormat="1">
      <c r="A694" s="869" t="s">
        <v>9064</v>
      </c>
      <c r="E694" s="885" t="s">
        <v>5661</v>
      </c>
      <c r="F694" s="520" t="s">
        <v>9347</v>
      </c>
    </row>
    <row r="695" spans="1:6" s="646" customFormat="1">
      <c r="A695" s="869" t="s">
        <v>9068</v>
      </c>
      <c r="E695" s="532" t="s">
        <v>5661</v>
      </c>
      <c r="F695" s="520" t="s">
        <v>9348</v>
      </c>
    </row>
    <row r="696" spans="1:6" s="646" customFormat="1">
      <c r="A696" s="869" t="s">
        <v>4410</v>
      </c>
      <c r="E696" s="532" t="s">
        <v>5661</v>
      </c>
      <c r="F696" s="520" t="s">
        <v>9349</v>
      </c>
    </row>
    <row r="697" spans="1:6" s="646" customFormat="1">
      <c r="A697" s="869" t="s">
        <v>3329</v>
      </c>
      <c r="C697" s="956"/>
      <c r="D697" s="956"/>
      <c r="E697" s="957" t="s">
        <v>5661</v>
      </c>
      <c r="F697" s="520" t="s">
        <v>9350</v>
      </c>
    </row>
    <row r="698" spans="1:6" s="646" customFormat="1">
      <c r="A698" s="869" t="s">
        <v>3674</v>
      </c>
      <c r="E698" s="870" t="s">
        <v>5661</v>
      </c>
      <c r="F698" s="520" t="s">
        <v>9351</v>
      </c>
    </row>
    <row r="699" spans="1:6" s="646" customFormat="1">
      <c r="A699" s="869" t="s">
        <v>157</v>
      </c>
      <c r="E699" s="960" t="s">
        <v>5661</v>
      </c>
      <c r="F699" s="520" t="s">
        <v>10484</v>
      </c>
    </row>
    <row r="700" spans="1:6" s="646" customFormat="1">
      <c r="A700" s="869" t="s">
        <v>10370</v>
      </c>
      <c r="E700" s="960" t="s">
        <v>5661</v>
      </c>
      <c r="F700" s="520" t="s">
        <v>10387</v>
      </c>
    </row>
    <row r="701" spans="1:6" s="646" customFormat="1">
      <c r="A701" s="878" t="s">
        <v>3860</v>
      </c>
      <c r="E701" s="532"/>
    </row>
    <row r="702" spans="1:6" s="646" customFormat="1">
      <c r="A702" s="869" t="s">
        <v>8649</v>
      </c>
      <c r="E702" s="532" t="s">
        <v>5661</v>
      </c>
      <c r="F702" s="520" t="s">
        <v>8685</v>
      </c>
    </row>
    <row r="703" spans="1:6" s="646" customFormat="1">
      <c r="A703" s="869" t="s">
        <v>521</v>
      </c>
      <c r="E703" s="532">
        <v>0</v>
      </c>
      <c r="F703" s="520" t="s">
        <v>9352</v>
      </c>
    </row>
    <row r="704" spans="1:6" s="646" customFormat="1">
      <c r="A704" s="869" t="s">
        <v>8650</v>
      </c>
      <c r="E704" s="532" t="s">
        <v>5661</v>
      </c>
      <c r="F704" s="520" t="s">
        <v>8686</v>
      </c>
    </row>
    <row r="705" spans="1:6" s="646" customFormat="1">
      <c r="A705" s="869" t="s">
        <v>9063</v>
      </c>
      <c r="E705" s="885" t="s">
        <v>5661</v>
      </c>
      <c r="F705" s="520" t="s">
        <v>9353</v>
      </c>
    </row>
    <row r="706" spans="1:6" s="646" customFormat="1">
      <c r="A706" s="869" t="s">
        <v>9064</v>
      </c>
      <c r="E706" s="885" t="s">
        <v>5661</v>
      </c>
      <c r="F706" s="520" t="s">
        <v>9354</v>
      </c>
    </row>
    <row r="707" spans="1:6" s="646" customFormat="1">
      <c r="A707" s="869" t="s">
        <v>9068</v>
      </c>
      <c r="E707" s="532" t="s">
        <v>5661</v>
      </c>
      <c r="F707" s="520" t="s">
        <v>9355</v>
      </c>
    </row>
    <row r="708" spans="1:6" s="646" customFormat="1">
      <c r="A708" s="869" t="s">
        <v>4410</v>
      </c>
      <c r="E708" s="532" t="s">
        <v>5661</v>
      </c>
      <c r="F708" s="520" t="s">
        <v>9356</v>
      </c>
    </row>
    <row r="709" spans="1:6" s="646" customFormat="1">
      <c r="A709" s="869" t="s">
        <v>3329</v>
      </c>
      <c r="C709" s="956"/>
      <c r="D709" s="956"/>
      <c r="E709" s="957" t="s">
        <v>5661</v>
      </c>
      <c r="F709" s="520" t="s">
        <v>9357</v>
      </c>
    </row>
    <row r="710" spans="1:6" s="646" customFormat="1">
      <c r="A710" s="869" t="s">
        <v>3674</v>
      </c>
      <c r="E710" s="870" t="s">
        <v>5661</v>
      </c>
      <c r="F710" s="520" t="s">
        <v>9358</v>
      </c>
    </row>
    <row r="711" spans="1:6" s="646" customFormat="1">
      <c r="A711" s="869" t="s">
        <v>157</v>
      </c>
      <c r="E711" s="960" t="s">
        <v>5661</v>
      </c>
      <c r="F711" s="520" t="s">
        <v>10485</v>
      </c>
    </row>
    <row r="712" spans="1:6" s="646" customFormat="1">
      <c r="A712" s="869" t="s">
        <v>10370</v>
      </c>
      <c r="E712" s="960" t="s">
        <v>5661</v>
      </c>
      <c r="F712" s="520" t="s">
        <v>10388</v>
      </c>
    </row>
    <row r="713" spans="1:6" s="646" customFormat="1">
      <c r="A713" s="869"/>
      <c r="E713" s="532"/>
      <c r="F713" s="520"/>
    </row>
    <row r="714" spans="1:6" s="646" customFormat="1">
      <c r="A714" s="879" t="s">
        <v>239</v>
      </c>
      <c r="E714" s="532"/>
    </row>
    <row r="715" spans="1:6" s="646" customFormat="1">
      <c r="A715" s="878" t="s">
        <v>3859</v>
      </c>
      <c r="E715" s="532"/>
    </row>
    <row r="716" spans="1:6" s="646" customFormat="1">
      <c r="A716" s="869" t="s">
        <v>8649</v>
      </c>
      <c r="E716" s="532">
        <v>453110758.77487928</v>
      </c>
      <c r="F716" s="520" t="s">
        <v>8687</v>
      </c>
    </row>
    <row r="717" spans="1:6" s="646" customFormat="1">
      <c r="A717" s="869" t="s">
        <v>521</v>
      </c>
      <c r="E717" s="532">
        <v>197478204.63258356</v>
      </c>
      <c r="F717" s="520" t="s">
        <v>9359</v>
      </c>
    </row>
    <row r="718" spans="1:6" s="646" customFormat="1">
      <c r="A718" s="869" t="s">
        <v>8650</v>
      </c>
      <c r="E718" s="532">
        <v>100811160.12909977</v>
      </c>
      <c r="F718" s="520" t="s">
        <v>8688</v>
      </c>
    </row>
    <row r="719" spans="1:6" s="646" customFormat="1">
      <c r="A719" s="869" t="s">
        <v>9063</v>
      </c>
      <c r="E719" s="885">
        <v>4.494648788830732</v>
      </c>
      <c r="F719" s="520" t="s">
        <v>9360</v>
      </c>
    </row>
    <row r="720" spans="1:6" s="646" customFormat="1">
      <c r="A720" s="869" t="s">
        <v>9064</v>
      </c>
      <c r="E720" s="885">
        <v>1.9588922930724237</v>
      </c>
      <c r="F720" s="520" t="s">
        <v>9361</v>
      </c>
    </row>
    <row r="721" spans="1:6" s="646" customFormat="1">
      <c r="A721" s="869" t="s">
        <v>9068</v>
      </c>
      <c r="E721" s="532">
        <v>7</v>
      </c>
      <c r="F721" s="520" t="s">
        <v>9362</v>
      </c>
    </row>
    <row r="722" spans="1:6" s="646" customFormat="1">
      <c r="A722" s="869" t="s">
        <v>4410</v>
      </c>
      <c r="E722" s="532">
        <v>7</v>
      </c>
      <c r="F722" s="520" t="s">
        <v>9363</v>
      </c>
    </row>
    <row r="723" spans="1:6" s="646" customFormat="1">
      <c r="A723" s="869" t="s">
        <v>3329</v>
      </c>
      <c r="C723" s="956"/>
      <c r="D723" s="956"/>
      <c r="E723" s="957" t="s">
        <v>352</v>
      </c>
      <c r="F723" s="520" t="s">
        <v>9364</v>
      </c>
    </row>
    <row r="724" spans="1:6" s="646" customFormat="1">
      <c r="A724" s="869" t="s">
        <v>3674</v>
      </c>
      <c r="E724" s="870">
        <v>0.61</v>
      </c>
      <c r="F724" s="520" t="s">
        <v>9365</v>
      </c>
    </row>
    <row r="725" spans="1:6" s="646" customFormat="1">
      <c r="A725" s="869" t="s">
        <v>157</v>
      </c>
      <c r="E725" s="960">
        <v>225922762.43317538</v>
      </c>
      <c r="F725" s="520" t="s">
        <v>10486</v>
      </c>
    </row>
    <row r="726" spans="1:6" s="646" customFormat="1">
      <c r="A726" s="869" t="s">
        <v>10370</v>
      </c>
      <c r="E726" s="960">
        <v>2.2410491273372557</v>
      </c>
      <c r="F726" s="520" t="s">
        <v>10389</v>
      </c>
    </row>
    <row r="727" spans="1:6" s="646" customFormat="1">
      <c r="A727" s="878" t="s">
        <v>3858</v>
      </c>
      <c r="E727" s="532"/>
    </row>
    <row r="728" spans="1:6" s="646" customFormat="1">
      <c r="A728" s="869" t="s">
        <v>8649</v>
      </c>
      <c r="E728" s="532" t="s">
        <v>5661</v>
      </c>
      <c r="F728" s="520" t="s">
        <v>8689</v>
      </c>
    </row>
    <row r="729" spans="1:6" s="646" customFormat="1">
      <c r="A729" s="869" t="s">
        <v>521</v>
      </c>
      <c r="E729" s="532">
        <v>0</v>
      </c>
      <c r="F729" s="520" t="s">
        <v>9366</v>
      </c>
    </row>
    <row r="730" spans="1:6" s="646" customFormat="1">
      <c r="A730" s="869" t="s">
        <v>8650</v>
      </c>
      <c r="E730" s="532" t="s">
        <v>5661</v>
      </c>
      <c r="F730" s="520" t="s">
        <v>8690</v>
      </c>
    </row>
    <row r="731" spans="1:6" s="646" customFormat="1">
      <c r="A731" s="869" t="s">
        <v>9063</v>
      </c>
      <c r="E731" s="885" t="s">
        <v>5661</v>
      </c>
      <c r="F731" s="520" t="s">
        <v>9367</v>
      </c>
    </row>
    <row r="732" spans="1:6" s="646" customFormat="1">
      <c r="A732" s="869" t="s">
        <v>9064</v>
      </c>
      <c r="E732" s="885" t="s">
        <v>5661</v>
      </c>
      <c r="F732" s="520" t="s">
        <v>9368</v>
      </c>
    </row>
    <row r="733" spans="1:6" s="646" customFormat="1">
      <c r="A733" s="869" t="s">
        <v>9068</v>
      </c>
      <c r="E733" s="532" t="s">
        <v>5661</v>
      </c>
      <c r="F733" s="520" t="s">
        <v>9369</v>
      </c>
    </row>
    <row r="734" spans="1:6" s="646" customFormat="1">
      <c r="A734" s="869" t="s">
        <v>4410</v>
      </c>
      <c r="E734" s="532" t="s">
        <v>5661</v>
      </c>
      <c r="F734" s="520" t="s">
        <v>9370</v>
      </c>
    </row>
    <row r="735" spans="1:6" s="646" customFormat="1">
      <c r="A735" s="869" t="s">
        <v>3329</v>
      </c>
      <c r="C735" s="956"/>
      <c r="D735" s="956"/>
      <c r="E735" s="957" t="s">
        <v>5661</v>
      </c>
      <c r="F735" s="520" t="s">
        <v>9371</v>
      </c>
    </row>
    <row r="736" spans="1:6" s="646" customFormat="1">
      <c r="A736" s="869" t="s">
        <v>3674</v>
      </c>
      <c r="E736" s="870" t="s">
        <v>5661</v>
      </c>
      <c r="F736" s="520" t="s">
        <v>9372</v>
      </c>
    </row>
    <row r="737" spans="1:6" s="646" customFormat="1">
      <c r="A737" s="869" t="s">
        <v>157</v>
      </c>
      <c r="E737" s="960" t="s">
        <v>5661</v>
      </c>
      <c r="F737" s="520" t="s">
        <v>10487</v>
      </c>
    </row>
    <row r="738" spans="1:6" s="646" customFormat="1">
      <c r="A738" s="869" t="s">
        <v>10370</v>
      </c>
      <c r="E738" s="960" t="s">
        <v>5661</v>
      </c>
      <c r="F738" s="520" t="s">
        <v>10390</v>
      </c>
    </row>
    <row r="739" spans="1:6" s="646" customFormat="1">
      <c r="A739" s="878" t="s">
        <v>3860</v>
      </c>
      <c r="E739" s="532"/>
    </row>
    <row r="740" spans="1:6" s="646" customFormat="1">
      <c r="A740" s="869" t="s">
        <v>8649</v>
      </c>
      <c r="E740" s="532" t="s">
        <v>5661</v>
      </c>
      <c r="F740" s="520" t="s">
        <v>8691</v>
      </c>
    </row>
    <row r="741" spans="1:6" s="646" customFormat="1">
      <c r="A741" s="869" t="s">
        <v>521</v>
      </c>
      <c r="E741" s="532">
        <v>0</v>
      </c>
      <c r="F741" s="520" t="s">
        <v>9373</v>
      </c>
    </row>
    <row r="742" spans="1:6" s="646" customFormat="1">
      <c r="A742" s="869" t="s">
        <v>8650</v>
      </c>
      <c r="E742" s="532" t="s">
        <v>5661</v>
      </c>
      <c r="F742" s="520" t="s">
        <v>8692</v>
      </c>
    </row>
    <row r="743" spans="1:6" s="646" customFormat="1">
      <c r="A743" s="869" t="s">
        <v>9063</v>
      </c>
      <c r="E743" s="885" t="s">
        <v>5661</v>
      </c>
      <c r="F743" s="520" t="s">
        <v>9374</v>
      </c>
    </row>
    <row r="744" spans="1:6" s="646" customFormat="1">
      <c r="A744" s="869" t="s">
        <v>9064</v>
      </c>
      <c r="E744" s="885" t="s">
        <v>5661</v>
      </c>
      <c r="F744" s="520" t="s">
        <v>9375</v>
      </c>
    </row>
    <row r="745" spans="1:6" s="646" customFormat="1">
      <c r="A745" s="869" t="s">
        <v>9068</v>
      </c>
      <c r="E745" s="532" t="s">
        <v>5661</v>
      </c>
      <c r="F745" s="520" t="s">
        <v>9376</v>
      </c>
    </row>
    <row r="746" spans="1:6" s="646" customFormat="1">
      <c r="A746" s="869" t="s">
        <v>4410</v>
      </c>
      <c r="E746" s="532" t="s">
        <v>5661</v>
      </c>
      <c r="F746" s="520" t="s">
        <v>9377</v>
      </c>
    </row>
    <row r="747" spans="1:6" s="646" customFormat="1">
      <c r="A747" s="869" t="s">
        <v>3329</v>
      </c>
      <c r="C747" s="956"/>
      <c r="D747" s="956"/>
      <c r="E747" s="957" t="s">
        <v>5661</v>
      </c>
      <c r="F747" s="520" t="s">
        <v>9378</v>
      </c>
    </row>
    <row r="748" spans="1:6" s="646" customFormat="1">
      <c r="A748" s="869" t="s">
        <v>3674</v>
      </c>
      <c r="E748" s="870" t="s">
        <v>5661</v>
      </c>
      <c r="F748" s="520" t="s">
        <v>9379</v>
      </c>
    </row>
    <row r="749" spans="1:6" s="646" customFormat="1">
      <c r="A749" s="869" t="s">
        <v>157</v>
      </c>
      <c r="E749" s="960" t="s">
        <v>5661</v>
      </c>
      <c r="F749" s="520" t="s">
        <v>10488</v>
      </c>
    </row>
    <row r="750" spans="1:6" s="646" customFormat="1">
      <c r="A750" s="869" t="s">
        <v>10370</v>
      </c>
      <c r="E750" s="960" t="s">
        <v>5661</v>
      </c>
      <c r="F750" s="520" t="s">
        <v>10391</v>
      </c>
    </row>
    <row r="751" spans="1:6" s="646" customFormat="1">
      <c r="A751" s="869"/>
      <c r="E751" s="532"/>
      <c r="F751" s="520"/>
    </row>
    <row r="752" spans="1:6" s="646" customFormat="1">
      <c r="A752" s="879" t="s">
        <v>240</v>
      </c>
      <c r="E752" s="532"/>
    </row>
    <row r="753" spans="1:6" s="646" customFormat="1">
      <c r="A753" s="878" t="s">
        <v>3859</v>
      </c>
      <c r="E753" s="532"/>
    </row>
    <row r="754" spans="1:6" s="646" customFormat="1">
      <c r="A754" s="869" t="s">
        <v>8649</v>
      </c>
      <c r="E754" s="532" t="s">
        <v>5661</v>
      </c>
      <c r="F754" s="520" t="s">
        <v>8693</v>
      </c>
    </row>
    <row r="755" spans="1:6" s="646" customFormat="1">
      <c r="A755" s="869" t="s">
        <v>521</v>
      </c>
      <c r="E755" s="532">
        <v>0</v>
      </c>
      <c r="F755" s="520" t="s">
        <v>9380</v>
      </c>
    </row>
    <row r="756" spans="1:6" s="646" customFormat="1">
      <c r="A756" s="869" t="s">
        <v>8650</v>
      </c>
      <c r="E756" s="532" t="s">
        <v>5661</v>
      </c>
      <c r="F756" s="520" t="s">
        <v>8694</v>
      </c>
    </row>
    <row r="757" spans="1:6" s="646" customFormat="1">
      <c r="A757" s="869" t="s">
        <v>9063</v>
      </c>
      <c r="E757" s="885" t="s">
        <v>5661</v>
      </c>
      <c r="F757" s="520" t="s">
        <v>9381</v>
      </c>
    </row>
    <row r="758" spans="1:6" s="646" customFormat="1">
      <c r="A758" s="869" t="s">
        <v>9064</v>
      </c>
      <c r="E758" s="885" t="s">
        <v>5661</v>
      </c>
      <c r="F758" s="520" t="s">
        <v>9382</v>
      </c>
    </row>
    <row r="759" spans="1:6" s="646" customFormat="1">
      <c r="A759" s="869" t="s">
        <v>9068</v>
      </c>
      <c r="E759" s="532" t="s">
        <v>5661</v>
      </c>
      <c r="F759" s="520" t="s">
        <v>9383</v>
      </c>
    </row>
    <row r="760" spans="1:6" s="646" customFormat="1">
      <c r="A760" s="869" t="s">
        <v>4410</v>
      </c>
      <c r="E760" s="532" t="s">
        <v>5661</v>
      </c>
      <c r="F760" s="520" t="s">
        <v>9384</v>
      </c>
    </row>
    <row r="761" spans="1:6" s="646" customFormat="1">
      <c r="A761" s="869" t="s">
        <v>3329</v>
      </c>
      <c r="C761" s="956"/>
      <c r="D761" s="956"/>
      <c r="E761" s="957" t="s">
        <v>5661</v>
      </c>
      <c r="F761" s="520" t="s">
        <v>9385</v>
      </c>
    </row>
    <row r="762" spans="1:6" s="646" customFormat="1">
      <c r="A762" s="869" t="s">
        <v>3674</v>
      </c>
      <c r="E762" s="870" t="s">
        <v>5661</v>
      </c>
      <c r="F762" s="520" t="s">
        <v>9386</v>
      </c>
    </row>
    <row r="763" spans="1:6" s="646" customFormat="1">
      <c r="A763" s="869" t="s">
        <v>157</v>
      </c>
      <c r="E763" s="960" t="s">
        <v>5661</v>
      </c>
      <c r="F763" s="520" t="s">
        <v>10489</v>
      </c>
    </row>
    <row r="764" spans="1:6" s="646" customFormat="1">
      <c r="A764" s="869" t="s">
        <v>10370</v>
      </c>
      <c r="E764" s="960" t="s">
        <v>5661</v>
      </c>
      <c r="F764" s="520" t="s">
        <v>10392</v>
      </c>
    </row>
    <row r="765" spans="1:6" s="646" customFormat="1">
      <c r="A765" s="878" t="s">
        <v>3858</v>
      </c>
      <c r="E765" s="532"/>
    </row>
    <row r="766" spans="1:6" s="646" customFormat="1">
      <c r="A766" s="869" t="s">
        <v>8649</v>
      </c>
      <c r="E766" s="532" t="s">
        <v>5661</v>
      </c>
      <c r="F766" s="520" t="s">
        <v>8695</v>
      </c>
    </row>
    <row r="767" spans="1:6" s="646" customFormat="1">
      <c r="A767" s="869" t="s">
        <v>521</v>
      </c>
      <c r="E767" s="532">
        <v>0</v>
      </c>
      <c r="F767" s="520" t="s">
        <v>9387</v>
      </c>
    </row>
    <row r="768" spans="1:6" s="646" customFormat="1">
      <c r="A768" s="869" t="s">
        <v>8650</v>
      </c>
      <c r="E768" s="532" t="s">
        <v>5661</v>
      </c>
      <c r="F768" s="520" t="s">
        <v>8696</v>
      </c>
    </row>
    <row r="769" spans="1:6" s="646" customFormat="1">
      <c r="A769" s="869" t="s">
        <v>9063</v>
      </c>
      <c r="E769" s="885" t="s">
        <v>5661</v>
      </c>
      <c r="F769" s="520" t="s">
        <v>9388</v>
      </c>
    </row>
    <row r="770" spans="1:6" s="646" customFormat="1">
      <c r="A770" s="869" t="s">
        <v>9064</v>
      </c>
      <c r="E770" s="885" t="s">
        <v>5661</v>
      </c>
      <c r="F770" s="520" t="s">
        <v>9389</v>
      </c>
    </row>
    <row r="771" spans="1:6" s="646" customFormat="1">
      <c r="A771" s="869" t="s">
        <v>9068</v>
      </c>
      <c r="E771" s="532" t="s">
        <v>5661</v>
      </c>
      <c r="F771" s="520" t="s">
        <v>9390</v>
      </c>
    </row>
    <row r="772" spans="1:6" s="646" customFormat="1">
      <c r="A772" s="869" t="s">
        <v>4410</v>
      </c>
      <c r="E772" s="532" t="s">
        <v>5661</v>
      </c>
      <c r="F772" s="520" t="s">
        <v>9391</v>
      </c>
    </row>
    <row r="773" spans="1:6" s="646" customFormat="1">
      <c r="A773" s="869" t="s">
        <v>3329</v>
      </c>
      <c r="C773" s="956"/>
      <c r="D773" s="956"/>
      <c r="E773" s="957" t="s">
        <v>5661</v>
      </c>
      <c r="F773" s="520" t="s">
        <v>9392</v>
      </c>
    </row>
    <row r="774" spans="1:6" s="646" customFormat="1">
      <c r="A774" s="869" t="s">
        <v>3674</v>
      </c>
      <c r="E774" s="870" t="s">
        <v>5661</v>
      </c>
      <c r="F774" s="520" t="s">
        <v>9393</v>
      </c>
    </row>
    <row r="775" spans="1:6" s="646" customFormat="1">
      <c r="A775" s="869" t="s">
        <v>157</v>
      </c>
      <c r="E775" s="960" t="s">
        <v>5661</v>
      </c>
      <c r="F775" s="520" t="s">
        <v>10490</v>
      </c>
    </row>
    <row r="776" spans="1:6" s="646" customFormat="1">
      <c r="A776" s="869" t="s">
        <v>10370</v>
      </c>
      <c r="E776" s="960" t="s">
        <v>5661</v>
      </c>
      <c r="F776" s="520" t="s">
        <v>10393</v>
      </c>
    </row>
    <row r="777" spans="1:6" s="646" customFormat="1">
      <c r="A777" s="878" t="s">
        <v>3860</v>
      </c>
      <c r="E777" s="532"/>
    </row>
    <row r="778" spans="1:6" s="646" customFormat="1">
      <c r="A778" s="869" t="s">
        <v>8649</v>
      </c>
      <c r="E778" s="532" t="s">
        <v>5661</v>
      </c>
      <c r="F778" s="520" t="s">
        <v>8697</v>
      </c>
    </row>
    <row r="779" spans="1:6" s="646" customFormat="1">
      <c r="A779" s="869" t="s">
        <v>521</v>
      </c>
      <c r="E779" s="532">
        <v>0</v>
      </c>
      <c r="F779" s="520" t="s">
        <v>9394</v>
      </c>
    </row>
    <row r="780" spans="1:6" s="646" customFormat="1">
      <c r="A780" s="869" t="s">
        <v>8650</v>
      </c>
      <c r="E780" s="532" t="s">
        <v>5661</v>
      </c>
      <c r="F780" s="520" t="s">
        <v>8698</v>
      </c>
    </row>
    <row r="781" spans="1:6" s="646" customFormat="1">
      <c r="A781" s="869" t="s">
        <v>9063</v>
      </c>
      <c r="E781" s="885" t="s">
        <v>5661</v>
      </c>
      <c r="F781" s="520" t="s">
        <v>9395</v>
      </c>
    </row>
    <row r="782" spans="1:6" s="646" customFormat="1">
      <c r="A782" s="869" t="s">
        <v>9064</v>
      </c>
      <c r="E782" s="885" t="s">
        <v>5661</v>
      </c>
      <c r="F782" s="520" t="s">
        <v>9396</v>
      </c>
    </row>
    <row r="783" spans="1:6" s="646" customFormat="1">
      <c r="A783" s="869" t="s">
        <v>9068</v>
      </c>
      <c r="E783" s="532" t="s">
        <v>5661</v>
      </c>
      <c r="F783" s="520" t="s">
        <v>9397</v>
      </c>
    </row>
    <row r="784" spans="1:6" s="646" customFormat="1">
      <c r="A784" s="869" t="s">
        <v>4410</v>
      </c>
      <c r="E784" s="532" t="s">
        <v>5661</v>
      </c>
      <c r="F784" s="520" t="s">
        <v>9398</v>
      </c>
    </row>
    <row r="785" spans="1:7" s="646" customFormat="1">
      <c r="A785" s="869" t="s">
        <v>3329</v>
      </c>
      <c r="C785" s="956"/>
      <c r="D785" s="956"/>
      <c r="E785" s="957" t="s">
        <v>5661</v>
      </c>
      <c r="F785" s="520" t="s">
        <v>9399</v>
      </c>
    </row>
    <row r="786" spans="1:7" s="646" customFormat="1">
      <c r="A786" s="869" t="s">
        <v>3674</v>
      </c>
      <c r="E786" s="870" t="s">
        <v>5661</v>
      </c>
      <c r="F786" s="520" t="s">
        <v>9400</v>
      </c>
    </row>
    <row r="787" spans="1:7" s="646" customFormat="1">
      <c r="A787" s="869" t="s">
        <v>157</v>
      </c>
      <c r="E787" s="960" t="s">
        <v>5661</v>
      </c>
      <c r="F787" s="520" t="s">
        <v>10491</v>
      </c>
    </row>
    <row r="788" spans="1:7" s="646" customFormat="1">
      <c r="A788" s="869" t="s">
        <v>10370</v>
      </c>
      <c r="E788" s="960" t="s">
        <v>5661</v>
      </c>
      <c r="F788" s="520" t="s">
        <v>10394</v>
      </c>
    </row>
    <row r="789" spans="1:7" s="800" customFormat="1">
      <c r="A789" s="869"/>
      <c r="E789" s="18"/>
    </row>
    <row r="790" spans="1:7" s="646" customFormat="1">
      <c r="A790" s="616" t="s">
        <v>14084</v>
      </c>
      <c r="B790" s="616"/>
      <c r="C790" s="616"/>
      <c r="D790" s="616"/>
      <c r="E790" s="616"/>
      <c r="F790" s="616"/>
      <c r="G790" s="616"/>
    </row>
    <row r="791" spans="1:7" s="646" customFormat="1">
      <c r="A791" s="879" t="s">
        <v>12868</v>
      </c>
      <c r="E791" s="532"/>
    </row>
    <row r="792" spans="1:7" s="646" customFormat="1">
      <c r="A792" s="878" t="s">
        <v>3859</v>
      </c>
      <c r="E792" s="532"/>
    </row>
    <row r="793" spans="1:7" s="646" customFormat="1">
      <c r="A793" s="869" t="s">
        <v>8649</v>
      </c>
      <c r="E793" s="532">
        <v>170093437.7422308</v>
      </c>
      <c r="F793" s="520" t="s">
        <v>8699</v>
      </c>
    </row>
    <row r="794" spans="1:7" s="646" customFormat="1">
      <c r="A794" s="869" t="s">
        <v>521</v>
      </c>
      <c r="E794" s="532">
        <v>74894688.866916031</v>
      </c>
      <c r="F794" s="520" t="s">
        <v>9234</v>
      </c>
    </row>
    <row r="795" spans="1:7" s="646" customFormat="1">
      <c r="A795" s="869" t="s">
        <v>8650</v>
      </c>
      <c r="E795" s="532">
        <v>39037499.07941176</v>
      </c>
      <c r="F795" s="520" t="s">
        <v>8700</v>
      </c>
    </row>
    <row r="796" spans="1:7" s="646" customFormat="1">
      <c r="A796" s="869" t="s">
        <v>9063</v>
      </c>
      <c r="E796" s="885">
        <v>4.3571807045379476</v>
      </c>
      <c r="F796" s="520" t="s">
        <v>9235</v>
      </c>
    </row>
    <row r="797" spans="1:7" s="646" customFormat="1">
      <c r="A797" s="869" t="s">
        <v>9064</v>
      </c>
      <c r="E797" s="885">
        <v>1.9185319406492212</v>
      </c>
      <c r="F797" s="520" t="s">
        <v>9236</v>
      </c>
    </row>
    <row r="798" spans="1:7" s="646" customFormat="1">
      <c r="A798" s="869" t="s">
        <v>9068</v>
      </c>
      <c r="E798" s="532">
        <v>7.05</v>
      </c>
      <c r="F798" s="520" t="s">
        <v>9237</v>
      </c>
    </row>
    <row r="799" spans="1:7" s="646" customFormat="1">
      <c r="A799" s="869" t="s">
        <v>11554</v>
      </c>
      <c r="E799" s="532">
        <v>5.6400000000000006</v>
      </c>
      <c r="F799" s="520" t="s">
        <v>12152</v>
      </c>
    </row>
    <row r="800" spans="1:7" s="646" customFormat="1">
      <c r="A800" s="869" t="s">
        <v>4410</v>
      </c>
      <c r="E800" s="532">
        <v>6.8236168691856829</v>
      </c>
      <c r="F800" s="520" t="s">
        <v>9238</v>
      </c>
    </row>
    <row r="801" spans="1:6" s="646" customFormat="1">
      <c r="A801" s="869" t="s">
        <v>3329</v>
      </c>
      <c r="C801" s="956"/>
      <c r="D801" s="956"/>
      <c r="E801" s="957" t="s">
        <v>4423</v>
      </c>
      <c r="F801" s="520" t="s">
        <v>9239</v>
      </c>
    </row>
    <row r="802" spans="1:6" s="646" customFormat="1">
      <c r="A802" s="869" t="s">
        <v>5912</v>
      </c>
      <c r="E802" s="870">
        <v>0.16055541192504727</v>
      </c>
      <c r="F802" s="520" t="s">
        <v>12153</v>
      </c>
    </row>
    <row r="803" spans="1:6" s="646" customFormat="1">
      <c r="A803" s="869" t="s">
        <v>11563</v>
      </c>
      <c r="E803" s="870">
        <v>4.6794918826348288</v>
      </c>
      <c r="F803" s="520" t="s">
        <v>12154</v>
      </c>
    </row>
    <row r="804" spans="1:6" s="646" customFormat="1">
      <c r="A804" s="869" t="s">
        <v>3674</v>
      </c>
      <c r="E804" s="870">
        <v>0.35857142857142854</v>
      </c>
      <c r="F804" s="520" t="s">
        <v>9240</v>
      </c>
    </row>
    <row r="805" spans="1:6" s="646" customFormat="1">
      <c r="A805" s="869" t="s">
        <v>4413</v>
      </c>
      <c r="E805" s="958">
        <v>0.66096081129302831</v>
      </c>
      <c r="F805" s="520" t="s">
        <v>12653</v>
      </c>
    </row>
    <row r="806" spans="1:6" s="646" customFormat="1">
      <c r="A806" s="869" t="s">
        <v>11388</v>
      </c>
      <c r="E806" s="958">
        <v>3.7815964926654431</v>
      </c>
      <c r="F806" s="520" t="s">
        <v>12677</v>
      </c>
    </row>
    <row r="807" spans="1:6" s="646" customFormat="1">
      <c r="A807" s="869" t="s">
        <v>5195</v>
      </c>
      <c r="E807" s="958">
        <v>2.9118470826274003</v>
      </c>
      <c r="F807" s="520" t="s">
        <v>12155</v>
      </c>
    </row>
    <row r="808" spans="1:6" s="646" customFormat="1">
      <c r="A808" s="869" t="s">
        <v>157</v>
      </c>
      <c r="E808" s="960">
        <v>85109815.429023013</v>
      </c>
      <c r="F808" s="520" t="s">
        <v>10492</v>
      </c>
    </row>
    <row r="809" spans="1:6" s="646" customFormat="1">
      <c r="A809" s="869" t="s">
        <v>10370</v>
      </c>
      <c r="E809" s="960">
        <v>2.1802066586255684</v>
      </c>
      <c r="F809" s="520" t="s">
        <v>10395</v>
      </c>
    </row>
    <row r="810" spans="1:6" s="646" customFormat="1">
      <c r="A810" s="878" t="s">
        <v>3858</v>
      </c>
      <c r="E810" s="532"/>
    </row>
    <row r="811" spans="1:6" s="646" customFormat="1">
      <c r="A811" s="869" t="s">
        <v>8649</v>
      </c>
      <c r="E811" s="532" t="s">
        <v>5661</v>
      </c>
      <c r="F811" s="520" t="s">
        <v>8701</v>
      </c>
    </row>
    <row r="812" spans="1:6" s="646" customFormat="1">
      <c r="A812" s="869" t="s">
        <v>521</v>
      </c>
      <c r="E812" s="532">
        <v>0</v>
      </c>
      <c r="F812" s="520" t="s">
        <v>9241</v>
      </c>
    </row>
    <row r="813" spans="1:6" s="646" customFormat="1">
      <c r="A813" s="869" t="s">
        <v>8650</v>
      </c>
      <c r="E813" s="532" t="s">
        <v>5661</v>
      </c>
      <c r="F813" s="520" t="s">
        <v>8702</v>
      </c>
    </row>
    <row r="814" spans="1:6" s="646" customFormat="1">
      <c r="A814" s="869" t="s">
        <v>9063</v>
      </c>
      <c r="E814" s="885" t="s">
        <v>5661</v>
      </c>
      <c r="F814" s="520" t="s">
        <v>9242</v>
      </c>
    </row>
    <row r="815" spans="1:6" s="646" customFormat="1">
      <c r="A815" s="869" t="s">
        <v>9064</v>
      </c>
      <c r="E815" s="885" t="s">
        <v>5661</v>
      </c>
      <c r="F815" s="520" t="s">
        <v>9243</v>
      </c>
    </row>
    <row r="816" spans="1:6" s="646" customFormat="1">
      <c r="A816" s="869" t="s">
        <v>9068</v>
      </c>
      <c r="E816" s="532" t="s">
        <v>5661</v>
      </c>
      <c r="F816" s="520" t="s">
        <v>9244</v>
      </c>
    </row>
    <row r="817" spans="1:6" s="646" customFormat="1">
      <c r="A817" s="869" t="s">
        <v>11554</v>
      </c>
      <c r="E817" s="532" t="s">
        <v>5661</v>
      </c>
      <c r="F817" s="520" t="s">
        <v>12156</v>
      </c>
    </row>
    <row r="818" spans="1:6" s="646" customFormat="1">
      <c r="A818" s="869" t="s">
        <v>4410</v>
      </c>
      <c r="E818" s="532" t="s">
        <v>5661</v>
      </c>
      <c r="F818" s="520" t="s">
        <v>9245</v>
      </c>
    </row>
    <row r="819" spans="1:6" s="646" customFormat="1">
      <c r="A819" s="869" t="s">
        <v>3329</v>
      </c>
      <c r="C819" s="956"/>
      <c r="D819" s="956"/>
      <c r="E819" s="957" t="s">
        <v>5661</v>
      </c>
      <c r="F819" s="520" t="s">
        <v>9246</v>
      </c>
    </row>
    <row r="820" spans="1:6" s="646" customFormat="1">
      <c r="A820" s="869" t="s">
        <v>5912</v>
      </c>
      <c r="E820" s="870" t="s">
        <v>5661</v>
      </c>
      <c r="F820" s="520" t="s">
        <v>12157</v>
      </c>
    </row>
    <row r="821" spans="1:6" s="646" customFormat="1">
      <c r="A821" s="869" t="s">
        <v>11563</v>
      </c>
      <c r="E821" s="870" t="s">
        <v>5661</v>
      </c>
      <c r="F821" s="520" t="s">
        <v>12158</v>
      </c>
    </row>
    <row r="822" spans="1:6" s="646" customFormat="1">
      <c r="A822" s="869" t="s">
        <v>3674</v>
      </c>
      <c r="E822" s="870" t="s">
        <v>5661</v>
      </c>
      <c r="F822" s="520" t="s">
        <v>9247</v>
      </c>
    </row>
    <row r="823" spans="1:6" s="646" customFormat="1">
      <c r="A823" s="869" t="s">
        <v>4413</v>
      </c>
      <c r="E823" s="958" t="s">
        <v>5661</v>
      </c>
      <c r="F823" s="520" t="s">
        <v>12654</v>
      </c>
    </row>
    <row r="824" spans="1:6" s="646" customFormat="1">
      <c r="A824" s="869" t="s">
        <v>11388</v>
      </c>
      <c r="E824" s="958" t="s">
        <v>5661</v>
      </c>
      <c r="F824" s="520" t="s">
        <v>12688</v>
      </c>
    </row>
    <row r="825" spans="1:6" s="646" customFormat="1">
      <c r="A825" s="869" t="s">
        <v>5195</v>
      </c>
      <c r="E825" s="958" t="s">
        <v>5661</v>
      </c>
      <c r="F825" s="520" t="s">
        <v>12159</v>
      </c>
    </row>
    <row r="826" spans="1:6" s="646" customFormat="1">
      <c r="A826" s="869" t="s">
        <v>157</v>
      </c>
      <c r="E826" s="960" t="s">
        <v>5661</v>
      </c>
      <c r="F826" s="520" t="s">
        <v>10493</v>
      </c>
    </row>
    <row r="827" spans="1:6" s="646" customFormat="1">
      <c r="A827" s="869" t="s">
        <v>10370</v>
      </c>
      <c r="E827" s="960" t="s">
        <v>5661</v>
      </c>
      <c r="F827" s="520" t="s">
        <v>10396</v>
      </c>
    </row>
    <row r="828" spans="1:6" s="646" customFormat="1">
      <c r="A828" s="878" t="s">
        <v>3860</v>
      </c>
      <c r="E828" s="532"/>
    </row>
    <row r="829" spans="1:6" s="646" customFormat="1">
      <c r="A829" s="869" t="s">
        <v>8649</v>
      </c>
      <c r="E829" s="532" t="s">
        <v>5661</v>
      </c>
      <c r="F829" s="520" t="s">
        <v>8703</v>
      </c>
    </row>
    <row r="830" spans="1:6" s="646" customFormat="1">
      <c r="A830" s="869" t="s">
        <v>521</v>
      </c>
      <c r="E830" s="532">
        <v>0</v>
      </c>
      <c r="F830" s="520" t="s">
        <v>9248</v>
      </c>
    </row>
    <row r="831" spans="1:6" s="646" customFormat="1">
      <c r="A831" s="869" t="s">
        <v>8650</v>
      </c>
      <c r="E831" s="532" t="s">
        <v>5661</v>
      </c>
      <c r="F831" s="520" t="s">
        <v>8704</v>
      </c>
    </row>
    <row r="832" spans="1:6" s="646" customFormat="1">
      <c r="A832" s="869" t="s">
        <v>9063</v>
      </c>
      <c r="E832" s="885" t="s">
        <v>5661</v>
      </c>
      <c r="F832" s="520" t="s">
        <v>9249</v>
      </c>
    </row>
    <row r="833" spans="1:6" s="646" customFormat="1">
      <c r="A833" s="869" t="s">
        <v>9064</v>
      </c>
      <c r="E833" s="885" t="s">
        <v>5661</v>
      </c>
      <c r="F833" s="520" t="s">
        <v>9250</v>
      </c>
    </row>
    <row r="834" spans="1:6" s="646" customFormat="1">
      <c r="A834" s="869" t="s">
        <v>9068</v>
      </c>
      <c r="E834" s="532" t="s">
        <v>5661</v>
      </c>
      <c r="F834" s="520" t="s">
        <v>9251</v>
      </c>
    </row>
    <row r="835" spans="1:6" s="646" customFormat="1">
      <c r="A835" s="869" t="s">
        <v>11554</v>
      </c>
      <c r="E835" s="532" t="s">
        <v>5661</v>
      </c>
      <c r="F835" s="520" t="s">
        <v>12160</v>
      </c>
    </row>
    <row r="836" spans="1:6" s="646" customFormat="1">
      <c r="A836" s="869" t="s">
        <v>4410</v>
      </c>
      <c r="E836" s="532" t="s">
        <v>5661</v>
      </c>
      <c r="F836" s="520" t="s">
        <v>9252</v>
      </c>
    </row>
    <row r="837" spans="1:6" s="646" customFormat="1">
      <c r="A837" s="869" t="s">
        <v>3329</v>
      </c>
      <c r="C837" s="956"/>
      <c r="D837" s="956"/>
      <c r="E837" s="957" t="s">
        <v>5661</v>
      </c>
      <c r="F837" s="520" t="s">
        <v>9253</v>
      </c>
    </row>
    <row r="838" spans="1:6" s="646" customFormat="1">
      <c r="A838" s="869" t="s">
        <v>5912</v>
      </c>
      <c r="E838" s="870" t="s">
        <v>5661</v>
      </c>
      <c r="F838" s="520" t="s">
        <v>12161</v>
      </c>
    </row>
    <row r="839" spans="1:6" s="646" customFormat="1">
      <c r="A839" s="869" t="s">
        <v>11563</v>
      </c>
      <c r="E839" s="870" t="s">
        <v>5661</v>
      </c>
      <c r="F839" s="520" t="s">
        <v>12162</v>
      </c>
    </row>
    <row r="840" spans="1:6" s="646" customFormat="1">
      <c r="A840" s="869" t="s">
        <v>3674</v>
      </c>
      <c r="E840" s="870" t="s">
        <v>5661</v>
      </c>
      <c r="F840" s="520" t="s">
        <v>9254</v>
      </c>
    </row>
    <row r="841" spans="1:6" s="646" customFormat="1">
      <c r="A841" s="869" t="s">
        <v>4413</v>
      </c>
      <c r="E841" s="958" t="s">
        <v>5661</v>
      </c>
      <c r="F841" s="520" t="s">
        <v>12655</v>
      </c>
    </row>
    <row r="842" spans="1:6" s="646" customFormat="1">
      <c r="A842" s="869" t="s">
        <v>11388</v>
      </c>
      <c r="E842" s="958" t="s">
        <v>5661</v>
      </c>
      <c r="F842" s="520" t="s">
        <v>12687</v>
      </c>
    </row>
    <row r="843" spans="1:6" s="646" customFormat="1">
      <c r="A843" s="869" t="s">
        <v>5195</v>
      </c>
      <c r="E843" s="958" t="s">
        <v>5661</v>
      </c>
      <c r="F843" s="520" t="s">
        <v>12163</v>
      </c>
    </row>
    <row r="844" spans="1:6" s="646" customFormat="1">
      <c r="A844" s="869" t="s">
        <v>157</v>
      </c>
      <c r="E844" s="960" t="s">
        <v>5661</v>
      </c>
      <c r="F844" s="520" t="s">
        <v>10494</v>
      </c>
    </row>
    <row r="845" spans="1:6" s="646" customFormat="1">
      <c r="A845" s="869" t="s">
        <v>10370</v>
      </c>
      <c r="E845" s="960" t="s">
        <v>5661</v>
      </c>
      <c r="F845" s="520" t="s">
        <v>10397</v>
      </c>
    </row>
    <row r="846" spans="1:6" s="646" customFormat="1">
      <c r="A846" s="869"/>
      <c r="E846" s="532"/>
      <c r="F846" s="520"/>
    </row>
    <row r="847" spans="1:6" s="646" customFormat="1">
      <c r="A847" s="879" t="s">
        <v>238</v>
      </c>
      <c r="E847" s="532"/>
    </row>
    <row r="848" spans="1:6" s="646" customFormat="1">
      <c r="A848" s="878" t="s">
        <v>3859</v>
      </c>
      <c r="E848" s="532"/>
    </row>
    <row r="849" spans="1:6" s="646" customFormat="1">
      <c r="A849" s="869" t="s">
        <v>8649</v>
      </c>
      <c r="E849" s="532">
        <v>155389197.36488795</v>
      </c>
      <c r="F849" s="520" t="s">
        <v>8705</v>
      </c>
    </row>
    <row r="850" spans="1:6" s="646" customFormat="1">
      <c r="A850" s="869" t="s">
        <v>521</v>
      </c>
      <c r="E850" s="532">
        <v>78440440.819043785</v>
      </c>
      <c r="F850" s="520" t="s">
        <v>9255</v>
      </c>
    </row>
    <row r="851" spans="1:6" s="646" customFormat="1">
      <c r="A851" s="869" t="s">
        <v>8650</v>
      </c>
      <c r="E851" s="532">
        <v>31719070.56341736</v>
      </c>
      <c r="F851" s="520" t="s">
        <v>8706</v>
      </c>
    </row>
    <row r="852" spans="1:6" s="646" customFormat="1">
      <c r="A852" s="869" t="s">
        <v>9063</v>
      </c>
      <c r="E852" s="885">
        <v>4.8989202585306328</v>
      </c>
      <c r="F852" s="520" t="s">
        <v>9256</v>
      </c>
    </row>
    <row r="853" spans="1:6" s="646" customFormat="1">
      <c r="A853" s="869" t="s">
        <v>9064</v>
      </c>
      <c r="E853" s="885">
        <v>2.4729741264711489</v>
      </c>
      <c r="F853" s="520" t="s">
        <v>9257</v>
      </c>
    </row>
    <row r="854" spans="1:6" s="646" customFormat="1">
      <c r="A854" s="869" t="s">
        <v>9068</v>
      </c>
      <c r="E854" s="532">
        <v>7.9</v>
      </c>
      <c r="F854" s="520" t="s">
        <v>9258</v>
      </c>
    </row>
    <row r="855" spans="1:6" s="646" customFormat="1">
      <c r="A855" s="869" t="s">
        <v>11554</v>
      </c>
      <c r="E855" s="532">
        <v>5.2929999999999993</v>
      </c>
      <c r="F855" s="520" t="s">
        <v>12164</v>
      </c>
    </row>
    <row r="856" spans="1:6" s="646" customFormat="1">
      <c r="A856" s="869" t="s">
        <v>4410</v>
      </c>
      <c r="E856" s="532">
        <v>7.3223555528989142</v>
      </c>
      <c r="F856" s="520" t="s">
        <v>9259</v>
      </c>
    </row>
    <row r="857" spans="1:6" s="646" customFormat="1">
      <c r="A857" s="869" t="s">
        <v>3329</v>
      </c>
      <c r="C857" s="956"/>
      <c r="D857" s="956"/>
      <c r="E857" s="957" t="s">
        <v>351</v>
      </c>
      <c r="F857" s="520" t="s">
        <v>9260</v>
      </c>
    </row>
    <row r="858" spans="1:6" s="646" customFormat="1">
      <c r="A858" s="869" t="s">
        <v>5912</v>
      </c>
      <c r="E858" s="870">
        <v>0.22157439474533377</v>
      </c>
      <c r="F858" s="520" t="s">
        <v>12165</v>
      </c>
    </row>
    <row r="859" spans="1:6" s="646" customFormat="1">
      <c r="A859" s="869" t="s">
        <v>11563</v>
      </c>
      <c r="E859" s="870">
        <v>0.57707173264739686</v>
      </c>
      <c r="F859" s="520" t="s">
        <v>12166</v>
      </c>
    </row>
    <row r="860" spans="1:6" s="646" customFormat="1">
      <c r="A860" s="869" t="s">
        <v>3674</v>
      </c>
      <c r="E860" s="870">
        <v>0.45857142857142852</v>
      </c>
      <c r="F860" s="520" t="s">
        <v>9261</v>
      </c>
    </row>
    <row r="861" spans="1:6" s="646" customFormat="1">
      <c r="A861" s="869" t="s">
        <v>4413</v>
      </c>
      <c r="E861" s="958">
        <v>7.6093341310249807E-2</v>
      </c>
      <c r="F861" s="520" t="s">
        <v>12656</v>
      </c>
    </row>
    <row r="862" spans="1:6" s="646" customFormat="1">
      <c r="A862" s="869" t="s">
        <v>11388</v>
      </c>
      <c r="E862" s="958">
        <v>6.1161069615909041</v>
      </c>
      <c r="F862" s="520" t="s">
        <v>12686</v>
      </c>
    </row>
    <row r="863" spans="1:6" s="646" customFormat="1">
      <c r="A863" s="869" t="s">
        <v>5195</v>
      </c>
      <c r="E863" s="958">
        <v>3.8703250594234988</v>
      </c>
      <c r="F863" s="520" t="s">
        <v>12167</v>
      </c>
    </row>
    <row r="864" spans="1:6" s="646" customFormat="1">
      <c r="A864" s="869" t="s">
        <v>157</v>
      </c>
      <c r="E864" s="960">
        <v>68135075.235023841</v>
      </c>
      <c r="F864" s="520" t="s">
        <v>10495</v>
      </c>
    </row>
    <row r="865" spans="1:6" s="646" customFormat="1">
      <c r="A865" s="869" t="s">
        <v>10370</v>
      </c>
      <c r="E865" s="960">
        <v>2.1480791846910625</v>
      </c>
      <c r="F865" s="520" t="s">
        <v>10398</v>
      </c>
    </row>
    <row r="866" spans="1:6" s="646" customFormat="1">
      <c r="A866" s="878" t="s">
        <v>3858</v>
      </c>
      <c r="E866" s="532"/>
    </row>
    <row r="867" spans="1:6" s="646" customFormat="1">
      <c r="A867" s="869" t="s">
        <v>8649</v>
      </c>
      <c r="E867" s="532">
        <v>229454766.76099265</v>
      </c>
      <c r="F867" s="520" t="s">
        <v>8707</v>
      </c>
    </row>
    <row r="868" spans="1:6" s="646" customFormat="1">
      <c r="A868" s="869" t="s">
        <v>521</v>
      </c>
      <c r="E868" s="532">
        <v>126729082.74161227</v>
      </c>
      <c r="F868" s="520" t="s">
        <v>9262</v>
      </c>
    </row>
    <row r="869" spans="1:6" s="646" customFormat="1">
      <c r="A869" s="869" t="s">
        <v>8650</v>
      </c>
      <c r="E869" s="532">
        <v>42762863.037398465</v>
      </c>
      <c r="F869" s="520" t="s">
        <v>8708</v>
      </c>
    </row>
    <row r="870" spans="1:6" s="646" customFormat="1">
      <c r="A870" s="869" t="s">
        <v>9063</v>
      </c>
      <c r="E870" s="885">
        <v>5.3657484663812589</v>
      </c>
      <c r="F870" s="520" t="s">
        <v>9263</v>
      </c>
    </row>
    <row r="871" spans="1:6" s="646" customFormat="1">
      <c r="A871" s="869" t="s">
        <v>9064</v>
      </c>
      <c r="E871" s="885">
        <v>2.9635312918777386</v>
      </c>
      <c r="F871" s="520" t="s">
        <v>9264</v>
      </c>
    </row>
    <row r="872" spans="1:6" s="646" customFormat="1">
      <c r="A872" s="869" t="s">
        <v>9068</v>
      </c>
      <c r="E872" s="532">
        <v>8</v>
      </c>
      <c r="F872" s="520" t="s">
        <v>9265</v>
      </c>
    </row>
    <row r="873" spans="1:6" s="646" customFormat="1">
      <c r="A873" s="869" t="s">
        <v>11554</v>
      </c>
      <c r="E873" s="532">
        <v>6.4</v>
      </c>
      <c r="F873" s="520" t="s">
        <v>12168</v>
      </c>
    </row>
    <row r="874" spans="1:6" s="646" customFormat="1">
      <c r="A874" s="869" t="s">
        <v>4410</v>
      </c>
      <c r="E874" s="532">
        <v>7.7846942736142406</v>
      </c>
      <c r="F874" s="520" t="s">
        <v>9266</v>
      </c>
    </row>
    <row r="875" spans="1:6" s="646" customFormat="1">
      <c r="A875" s="869" t="s">
        <v>3329</v>
      </c>
      <c r="C875" s="956"/>
      <c r="D875" s="956"/>
      <c r="E875" s="957" t="s">
        <v>4419</v>
      </c>
      <c r="F875" s="520" t="s">
        <v>9267</v>
      </c>
    </row>
    <row r="876" spans="1:6" s="646" customFormat="1">
      <c r="A876" s="869" t="s">
        <v>5912</v>
      </c>
      <c r="E876" s="870">
        <v>0.13456607899109913</v>
      </c>
      <c r="F876" s="520" t="s">
        <v>12169</v>
      </c>
    </row>
    <row r="877" spans="1:6" s="646" customFormat="1">
      <c r="A877" s="869" t="s">
        <v>11563</v>
      </c>
      <c r="E877" s="870">
        <v>11.199214877779788</v>
      </c>
      <c r="F877" s="520" t="s">
        <v>12170</v>
      </c>
    </row>
    <row r="878" spans="1:6" s="646" customFormat="1">
      <c r="A878" s="869" t="s">
        <v>3674</v>
      </c>
      <c r="E878" s="870">
        <v>0.6585714285714287</v>
      </c>
      <c r="F878" s="520" t="s">
        <v>9268</v>
      </c>
    </row>
    <row r="879" spans="1:6" s="646" customFormat="1">
      <c r="A879" s="869" t="s">
        <v>4413</v>
      </c>
      <c r="E879" s="958">
        <v>0.94499557412190027</v>
      </c>
      <c r="F879" s="520" t="s">
        <v>12657</v>
      </c>
    </row>
    <row r="880" spans="1:6" s="646" customFormat="1">
      <c r="A880" s="869" t="s">
        <v>11388</v>
      </c>
      <c r="E880" s="958">
        <v>2.8872430270073473</v>
      </c>
      <c r="F880" s="520" t="s">
        <v>12685</v>
      </c>
    </row>
    <row r="881" spans="1:6" s="646" customFormat="1">
      <c r="A881" s="869" t="s">
        <v>5195</v>
      </c>
      <c r="E881" s="958">
        <v>2.1773465941574304</v>
      </c>
      <c r="F881" s="520" t="s">
        <v>12171</v>
      </c>
    </row>
    <row r="882" spans="1:6" s="646" customFormat="1">
      <c r="A882" s="869" t="s">
        <v>157</v>
      </c>
      <c r="E882" s="960">
        <v>91563442.425410375</v>
      </c>
      <c r="F882" s="520" t="s">
        <v>10496</v>
      </c>
    </row>
    <row r="883" spans="1:6" s="646" customFormat="1">
      <c r="A883" s="869" t="s">
        <v>10370</v>
      </c>
      <c r="E883" s="960">
        <v>2.141190648187731</v>
      </c>
      <c r="F883" s="520" t="s">
        <v>10399</v>
      </c>
    </row>
    <row r="884" spans="1:6" s="646" customFormat="1">
      <c r="A884" s="878" t="s">
        <v>3860</v>
      </c>
      <c r="E884" s="532"/>
    </row>
    <row r="885" spans="1:6" s="646" customFormat="1">
      <c r="A885" s="869" t="s">
        <v>8649</v>
      </c>
      <c r="E885" s="532" t="s">
        <v>5661</v>
      </c>
      <c r="F885" s="520" t="s">
        <v>8709</v>
      </c>
    </row>
    <row r="886" spans="1:6" s="646" customFormat="1">
      <c r="A886" s="869" t="s">
        <v>521</v>
      </c>
      <c r="E886" s="532">
        <v>0</v>
      </c>
      <c r="F886" s="520" t="s">
        <v>9269</v>
      </c>
    </row>
    <row r="887" spans="1:6" s="646" customFormat="1">
      <c r="A887" s="869" t="s">
        <v>8650</v>
      </c>
      <c r="E887" s="532" t="s">
        <v>5661</v>
      </c>
      <c r="F887" s="520" t="s">
        <v>8710</v>
      </c>
    </row>
    <row r="888" spans="1:6" s="646" customFormat="1">
      <c r="A888" s="869" t="s">
        <v>9063</v>
      </c>
      <c r="E888" s="885" t="s">
        <v>5661</v>
      </c>
      <c r="F888" s="520" t="s">
        <v>9270</v>
      </c>
    </row>
    <row r="889" spans="1:6" s="646" customFormat="1">
      <c r="A889" s="869" t="s">
        <v>9064</v>
      </c>
      <c r="E889" s="885" t="s">
        <v>5661</v>
      </c>
      <c r="F889" s="520" t="s">
        <v>9271</v>
      </c>
    </row>
    <row r="890" spans="1:6" s="646" customFormat="1">
      <c r="A890" s="869" t="s">
        <v>9068</v>
      </c>
      <c r="E890" s="532" t="s">
        <v>5661</v>
      </c>
      <c r="F890" s="520" t="s">
        <v>9272</v>
      </c>
    </row>
    <row r="891" spans="1:6" s="646" customFormat="1">
      <c r="A891" s="869" t="s">
        <v>11554</v>
      </c>
      <c r="E891" s="532" t="s">
        <v>5661</v>
      </c>
      <c r="F891" s="520" t="s">
        <v>12172</v>
      </c>
    </row>
    <row r="892" spans="1:6" s="646" customFormat="1">
      <c r="A892" s="869" t="s">
        <v>4410</v>
      </c>
      <c r="E892" s="532" t="s">
        <v>5661</v>
      </c>
      <c r="F892" s="520" t="s">
        <v>9273</v>
      </c>
    </row>
    <row r="893" spans="1:6" s="646" customFormat="1">
      <c r="A893" s="869" t="s">
        <v>3329</v>
      </c>
      <c r="C893" s="956"/>
      <c r="D893" s="956"/>
      <c r="E893" s="957" t="s">
        <v>5661</v>
      </c>
      <c r="F893" s="520" t="s">
        <v>9274</v>
      </c>
    </row>
    <row r="894" spans="1:6" s="646" customFormat="1">
      <c r="A894" s="869" t="s">
        <v>5912</v>
      </c>
      <c r="E894" s="870" t="s">
        <v>5661</v>
      </c>
      <c r="F894" s="520" t="s">
        <v>12173</v>
      </c>
    </row>
    <row r="895" spans="1:6" s="646" customFormat="1">
      <c r="A895" s="869" t="s">
        <v>11563</v>
      </c>
      <c r="E895" s="870" t="s">
        <v>5661</v>
      </c>
      <c r="F895" s="520" t="s">
        <v>12174</v>
      </c>
    </row>
    <row r="896" spans="1:6" s="646" customFormat="1">
      <c r="A896" s="869" t="s">
        <v>3674</v>
      </c>
      <c r="E896" s="870" t="s">
        <v>5661</v>
      </c>
      <c r="F896" s="520" t="s">
        <v>9275</v>
      </c>
    </row>
    <row r="897" spans="1:6" s="646" customFormat="1">
      <c r="A897" s="869" t="s">
        <v>4413</v>
      </c>
      <c r="E897" s="958" t="s">
        <v>5661</v>
      </c>
      <c r="F897" s="520" t="s">
        <v>12658</v>
      </c>
    </row>
    <row r="898" spans="1:6" s="646" customFormat="1">
      <c r="A898" s="869" t="s">
        <v>11388</v>
      </c>
      <c r="E898" s="958" t="s">
        <v>5661</v>
      </c>
      <c r="F898" s="520" t="s">
        <v>12684</v>
      </c>
    </row>
    <row r="899" spans="1:6" s="646" customFormat="1">
      <c r="A899" s="869" t="s">
        <v>5195</v>
      </c>
      <c r="E899" s="958" t="s">
        <v>5661</v>
      </c>
      <c r="F899" s="520" t="s">
        <v>12175</v>
      </c>
    </row>
    <row r="900" spans="1:6" s="646" customFormat="1">
      <c r="A900" s="869" t="s">
        <v>157</v>
      </c>
      <c r="E900" s="960" t="s">
        <v>5661</v>
      </c>
      <c r="F900" s="520" t="s">
        <v>10497</v>
      </c>
    </row>
    <row r="901" spans="1:6" s="646" customFormat="1">
      <c r="A901" s="869" t="s">
        <v>10370</v>
      </c>
      <c r="E901" s="960" t="s">
        <v>5661</v>
      </c>
      <c r="F901" s="520" t="s">
        <v>10400</v>
      </c>
    </row>
    <row r="902" spans="1:6" s="646" customFormat="1">
      <c r="A902" s="869"/>
      <c r="E902" s="532"/>
      <c r="F902" s="520"/>
    </row>
    <row r="903" spans="1:6" s="646" customFormat="1">
      <c r="A903" s="879" t="s">
        <v>239</v>
      </c>
      <c r="E903" s="532"/>
    </row>
    <row r="904" spans="1:6" s="646" customFormat="1">
      <c r="A904" s="878" t="s">
        <v>3859</v>
      </c>
      <c r="E904" s="532"/>
    </row>
    <row r="905" spans="1:6" s="646" customFormat="1">
      <c r="A905" s="869" t="s">
        <v>8649</v>
      </c>
      <c r="E905" s="532">
        <v>311605115.96731067</v>
      </c>
      <c r="F905" s="520" t="s">
        <v>8711</v>
      </c>
    </row>
    <row r="906" spans="1:6" s="646" customFormat="1">
      <c r="A906" s="869" t="s">
        <v>521</v>
      </c>
      <c r="E906" s="532">
        <v>121601820.88654259</v>
      </c>
      <c r="F906" s="520" t="s">
        <v>9276</v>
      </c>
    </row>
    <row r="907" spans="1:6" s="646" customFormat="1">
      <c r="A907" s="869" t="s">
        <v>8650</v>
      </c>
      <c r="E907" s="532">
        <v>72336049.096155047</v>
      </c>
      <c r="F907" s="520" t="s">
        <v>8712</v>
      </c>
    </row>
    <row r="908" spans="1:6" s="646" customFormat="1">
      <c r="A908" s="869" t="s">
        <v>9063</v>
      </c>
      <c r="E908" s="885">
        <v>4.3077430943608688</v>
      </c>
      <c r="F908" s="520" t="s">
        <v>9277</v>
      </c>
    </row>
    <row r="909" spans="1:6" s="646" customFormat="1">
      <c r="A909" s="869" t="s">
        <v>9064</v>
      </c>
      <c r="E909" s="885">
        <v>1.6810680484484217</v>
      </c>
      <c r="F909" s="520" t="s">
        <v>9278</v>
      </c>
    </row>
    <row r="910" spans="1:6" s="646" customFormat="1">
      <c r="A910" s="869" t="s">
        <v>9068</v>
      </c>
      <c r="E910" s="532">
        <v>7.6</v>
      </c>
      <c r="F910" s="520" t="s">
        <v>9279</v>
      </c>
    </row>
    <row r="911" spans="1:6" s="646" customFormat="1">
      <c r="A911" s="869" t="s">
        <v>11554</v>
      </c>
      <c r="E911" s="532">
        <v>5.0919999999999996</v>
      </c>
      <c r="F911" s="520" t="s">
        <v>12176</v>
      </c>
    </row>
    <row r="912" spans="1:6" s="646" customFormat="1">
      <c r="A912" s="869" t="s">
        <v>4410</v>
      </c>
      <c r="E912" s="532">
        <v>6.8185793620351163</v>
      </c>
      <c r="F912" s="520" t="s">
        <v>9280</v>
      </c>
    </row>
    <row r="913" spans="1:6" s="646" customFormat="1">
      <c r="A913" s="869" t="s">
        <v>3329</v>
      </c>
      <c r="C913" s="956"/>
      <c r="D913" s="956"/>
      <c r="E913" s="957" t="s">
        <v>584</v>
      </c>
      <c r="F913" s="520" t="s">
        <v>9281</v>
      </c>
    </row>
    <row r="914" spans="1:6" s="646" customFormat="1">
      <c r="A914" s="869" t="s">
        <v>5912</v>
      </c>
      <c r="E914" s="870">
        <v>0.31157122725872566</v>
      </c>
      <c r="F914" s="520" t="s">
        <v>12177</v>
      </c>
    </row>
    <row r="915" spans="1:6" s="646" customFormat="1">
      <c r="A915" s="869" t="s">
        <v>11563</v>
      </c>
      <c r="E915" s="870">
        <v>-13.759603722979733</v>
      </c>
      <c r="F915" s="520" t="s">
        <v>12178</v>
      </c>
    </row>
    <row r="916" spans="1:6" s="646" customFormat="1">
      <c r="A916" s="869" t="s">
        <v>3674</v>
      </c>
      <c r="E916" s="870">
        <v>0.70142857142857151</v>
      </c>
      <c r="F916" s="520" t="s">
        <v>9282</v>
      </c>
    </row>
    <row r="917" spans="1:6" s="646" customFormat="1">
      <c r="A917" s="869" t="s">
        <v>4413</v>
      </c>
      <c r="E917" s="958">
        <v>-1.0932953928942934</v>
      </c>
      <c r="F917" s="520" t="s">
        <v>12659</v>
      </c>
    </row>
    <row r="918" spans="1:6" s="646" customFormat="1">
      <c r="A918" s="869" t="s">
        <v>11388</v>
      </c>
      <c r="E918" s="958">
        <v>6.3921906134580864</v>
      </c>
      <c r="F918" s="520" t="s">
        <v>12683</v>
      </c>
    </row>
    <row r="919" spans="1:6" s="646" customFormat="1">
      <c r="A919" s="869" t="s">
        <v>5195</v>
      </c>
      <c r="E919" s="958">
        <v>4.0304496290956893</v>
      </c>
      <c r="F919" s="520" t="s">
        <v>12179</v>
      </c>
    </row>
    <row r="920" spans="1:6" s="646" customFormat="1">
      <c r="A920" s="869" t="s">
        <v>157</v>
      </c>
      <c r="E920" s="960">
        <v>168076243.64763263</v>
      </c>
      <c r="F920" s="520" t="s">
        <v>10498</v>
      </c>
    </row>
    <row r="921" spans="1:6" s="646" customFormat="1">
      <c r="A921" s="869" t="s">
        <v>10370</v>
      </c>
      <c r="E921" s="960">
        <v>2.3235474669650786</v>
      </c>
      <c r="F921" s="520" t="s">
        <v>10401</v>
      </c>
    </row>
    <row r="922" spans="1:6" s="646" customFormat="1">
      <c r="A922" s="878" t="s">
        <v>3858</v>
      </c>
      <c r="E922" s="532"/>
    </row>
    <row r="923" spans="1:6" s="646" customFormat="1">
      <c r="A923" s="869" t="s">
        <v>8649</v>
      </c>
      <c r="E923" s="532" t="s">
        <v>5661</v>
      </c>
      <c r="F923" s="520" t="s">
        <v>8713</v>
      </c>
    </row>
    <row r="924" spans="1:6" s="646" customFormat="1">
      <c r="A924" s="869" t="s">
        <v>521</v>
      </c>
      <c r="E924" s="532">
        <v>0</v>
      </c>
      <c r="F924" s="520" t="s">
        <v>9283</v>
      </c>
    </row>
    <row r="925" spans="1:6" s="646" customFormat="1">
      <c r="A925" s="869" t="s">
        <v>8650</v>
      </c>
      <c r="E925" s="532" t="s">
        <v>5661</v>
      </c>
      <c r="F925" s="520" t="s">
        <v>8714</v>
      </c>
    </row>
    <row r="926" spans="1:6" s="646" customFormat="1">
      <c r="A926" s="869" t="s">
        <v>9063</v>
      </c>
      <c r="E926" s="885" t="s">
        <v>5661</v>
      </c>
      <c r="F926" s="520" t="s">
        <v>9284</v>
      </c>
    </row>
    <row r="927" spans="1:6" s="646" customFormat="1">
      <c r="A927" s="869" t="s">
        <v>9064</v>
      </c>
      <c r="E927" s="885" t="s">
        <v>5661</v>
      </c>
      <c r="F927" s="520" t="s">
        <v>9285</v>
      </c>
    </row>
    <row r="928" spans="1:6" s="646" customFormat="1">
      <c r="A928" s="869" t="s">
        <v>9068</v>
      </c>
      <c r="E928" s="532" t="s">
        <v>5661</v>
      </c>
      <c r="F928" s="520" t="s">
        <v>9286</v>
      </c>
    </row>
    <row r="929" spans="1:6" s="646" customFormat="1">
      <c r="A929" s="869" t="s">
        <v>11554</v>
      </c>
      <c r="E929" s="532" t="s">
        <v>5661</v>
      </c>
      <c r="F929" s="520" t="s">
        <v>12180</v>
      </c>
    </row>
    <row r="930" spans="1:6" s="646" customFormat="1">
      <c r="A930" s="869" t="s">
        <v>4410</v>
      </c>
      <c r="E930" s="532" t="s">
        <v>5661</v>
      </c>
      <c r="F930" s="520" t="s">
        <v>9287</v>
      </c>
    </row>
    <row r="931" spans="1:6" s="646" customFormat="1">
      <c r="A931" s="869" t="s">
        <v>3329</v>
      </c>
      <c r="C931" s="956"/>
      <c r="D931" s="956"/>
      <c r="E931" s="957" t="s">
        <v>5661</v>
      </c>
      <c r="F931" s="520" t="s">
        <v>9288</v>
      </c>
    </row>
    <row r="932" spans="1:6" s="646" customFormat="1">
      <c r="A932" s="869" t="s">
        <v>5912</v>
      </c>
      <c r="E932" s="870" t="s">
        <v>5661</v>
      </c>
      <c r="F932" s="520" t="s">
        <v>12181</v>
      </c>
    </row>
    <row r="933" spans="1:6" s="646" customFormat="1">
      <c r="A933" s="869" t="s">
        <v>11563</v>
      </c>
      <c r="E933" s="870" t="s">
        <v>5661</v>
      </c>
      <c r="F933" s="520" t="s">
        <v>12182</v>
      </c>
    </row>
    <row r="934" spans="1:6" s="646" customFormat="1">
      <c r="A934" s="869" t="s">
        <v>3674</v>
      </c>
      <c r="E934" s="870" t="s">
        <v>5661</v>
      </c>
      <c r="F934" s="520" t="s">
        <v>9289</v>
      </c>
    </row>
    <row r="935" spans="1:6" s="646" customFormat="1">
      <c r="A935" s="869" t="s">
        <v>4413</v>
      </c>
      <c r="E935" s="958" t="s">
        <v>5661</v>
      </c>
      <c r="F935" s="520" t="s">
        <v>12660</v>
      </c>
    </row>
    <row r="936" spans="1:6" s="646" customFormat="1">
      <c r="A936" s="869" t="s">
        <v>11388</v>
      </c>
      <c r="E936" s="958" t="s">
        <v>5661</v>
      </c>
      <c r="F936" s="520" t="s">
        <v>12682</v>
      </c>
    </row>
    <row r="937" spans="1:6" s="646" customFormat="1">
      <c r="A937" s="869" t="s">
        <v>5195</v>
      </c>
      <c r="E937" s="958" t="s">
        <v>5661</v>
      </c>
      <c r="F937" s="520" t="s">
        <v>12183</v>
      </c>
    </row>
    <row r="938" spans="1:6" s="646" customFormat="1">
      <c r="A938" s="869" t="s">
        <v>157</v>
      </c>
      <c r="E938" s="960" t="s">
        <v>5661</v>
      </c>
      <c r="F938" s="520" t="s">
        <v>10499</v>
      </c>
    </row>
    <row r="939" spans="1:6" s="646" customFormat="1">
      <c r="A939" s="869" t="s">
        <v>10370</v>
      </c>
      <c r="E939" s="960" t="s">
        <v>5661</v>
      </c>
      <c r="F939" s="520" t="s">
        <v>10402</v>
      </c>
    </row>
    <row r="940" spans="1:6" s="646" customFormat="1">
      <c r="A940" s="878" t="s">
        <v>3860</v>
      </c>
      <c r="E940" s="532"/>
    </row>
    <row r="941" spans="1:6" s="646" customFormat="1">
      <c r="A941" s="869" t="s">
        <v>8649</v>
      </c>
      <c r="E941" s="532" t="s">
        <v>5661</v>
      </c>
      <c r="F941" s="520" t="s">
        <v>8715</v>
      </c>
    </row>
    <row r="942" spans="1:6" s="646" customFormat="1">
      <c r="A942" s="869" t="s">
        <v>521</v>
      </c>
      <c r="E942" s="532">
        <v>0</v>
      </c>
      <c r="F942" s="520" t="s">
        <v>9290</v>
      </c>
    </row>
    <row r="943" spans="1:6" s="646" customFormat="1">
      <c r="A943" s="869" t="s">
        <v>8650</v>
      </c>
      <c r="E943" s="532" t="s">
        <v>5661</v>
      </c>
      <c r="F943" s="520" t="s">
        <v>8716</v>
      </c>
    </row>
    <row r="944" spans="1:6" s="646" customFormat="1">
      <c r="A944" s="869" t="s">
        <v>9063</v>
      </c>
      <c r="E944" s="885" t="s">
        <v>5661</v>
      </c>
      <c r="F944" s="520" t="s">
        <v>9291</v>
      </c>
    </row>
    <row r="945" spans="1:6" s="646" customFormat="1">
      <c r="A945" s="869" t="s">
        <v>9064</v>
      </c>
      <c r="E945" s="885" t="s">
        <v>5661</v>
      </c>
      <c r="F945" s="520" t="s">
        <v>9292</v>
      </c>
    </row>
    <row r="946" spans="1:6" s="646" customFormat="1">
      <c r="A946" s="869" t="s">
        <v>9068</v>
      </c>
      <c r="E946" s="532" t="s">
        <v>5661</v>
      </c>
      <c r="F946" s="520" t="s">
        <v>9293</v>
      </c>
    </row>
    <row r="947" spans="1:6" s="646" customFormat="1">
      <c r="A947" s="869" t="s">
        <v>11554</v>
      </c>
      <c r="E947" s="532" t="s">
        <v>5661</v>
      </c>
      <c r="F947" s="520" t="s">
        <v>12184</v>
      </c>
    </row>
    <row r="948" spans="1:6" s="646" customFormat="1">
      <c r="A948" s="869" t="s">
        <v>4410</v>
      </c>
      <c r="E948" s="532" t="s">
        <v>5661</v>
      </c>
      <c r="F948" s="520" t="s">
        <v>9294</v>
      </c>
    </row>
    <row r="949" spans="1:6" s="646" customFormat="1">
      <c r="A949" s="869" t="s">
        <v>3329</v>
      </c>
      <c r="C949" s="956"/>
      <c r="D949" s="956"/>
      <c r="E949" s="957" t="s">
        <v>5661</v>
      </c>
      <c r="F949" s="520" t="s">
        <v>9295</v>
      </c>
    </row>
    <row r="950" spans="1:6" s="646" customFormat="1">
      <c r="A950" s="869" t="s">
        <v>5912</v>
      </c>
      <c r="E950" s="870" t="s">
        <v>5661</v>
      </c>
      <c r="F950" s="520" t="s">
        <v>12185</v>
      </c>
    </row>
    <row r="951" spans="1:6" s="646" customFormat="1">
      <c r="A951" s="869" t="s">
        <v>11563</v>
      </c>
      <c r="E951" s="870" t="s">
        <v>5661</v>
      </c>
      <c r="F951" s="520" t="s">
        <v>12186</v>
      </c>
    </row>
    <row r="952" spans="1:6" s="646" customFormat="1">
      <c r="A952" s="869" t="s">
        <v>3674</v>
      </c>
      <c r="E952" s="870" t="s">
        <v>5661</v>
      </c>
      <c r="F952" s="520" t="s">
        <v>9296</v>
      </c>
    </row>
    <row r="953" spans="1:6" s="646" customFormat="1">
      <c r="A953" s="869" t="s">
        <v>4413</v>
      </c>
      <c r="E953" s="958" t="s">
        <v>5661</v>
      </c>
      <c r="F953" s="520" t="s">
        <v>12661</v>
      </c>
    </row>
    <row r="954" spans="1:6" s="646" customFormat="1">
      <c r="A954" s="869" t="s">
        <v>11388</v>
      </c>
      <c r="E954" s="958" t="s">
        <v>5661</v>
      </c>
      <c r="F954" s="520" t="s">
        <v>12681</v>
      </c>
    </row>
    <row r="955" spans="1:6" s="646" customFormat="1">
      <c r="A955" s="869" t="s">
        <v>5195</v>
      </c>
      <c r="E955" s="958" t="s">
        <v>5661</v>
      </c>
      <c r="F955" s="520" t="s">
        <v>12187</v>
      </c>
    </row>
    <row r="956" spans="1:6" s="646" customFormat="1">
      <c r="A956" s="869" t="s">
        <v>157</v>
      </c>
      <c r="E956" s="960" t="s">
        <v>5661</v>
      </c>
      <c r="F956" s="520" t="s">
        <v>10500</v>
      </c>
    </row>
    <row r="957" spans="1:6" s="646" customFormat="1">
      <c r="A957" s="869" t="s">
        <v>10370</v>
      </c>
      <c r="E957" s="960" t="s">
        <v>5661</v>
      </c>
      <c r="F957" s="520" t="s">
        <v>10403</v>
      </c>
    </row>
    <row r="958" spans="1:6" s="646" customFormat="1">
      <c r="A958" s="869"/>
      <c r="E958" s="532"/>
      <c r="F958" s="520"/>
    </row>
    <row r="959" spans="1:6" s="646" customFormat="1">
      <c r="A959" s="879" t="s">
        <v>240</v>
      </c>
      <c r="E959" s="532"/>
    </row>
    <row r="960" spans="1:6" s="646" customFormat="1">
      <c r="A960" s="878" t="s">
        <v>3859</v>
      </c>
      <c r="E960" s="532"/>
    </row>
    <row r="961" spans="1:6" s="646" customFormat="1">
      <c r="A961" s="869" t="s">
        <v>8649</v>
      </c>
      <c r="E961" s="532" t="s">
        <v>5661</v>
      </c>
      <c r="F961" s="520" t="s">
        <v>8717</v>
      </c>
    </row>
    <row r="962" spans="1:6" s="646" customFormat="1">
      <c r="A962" s="869" t="s">
        <v>521</v>
      </c>
      <c r="E962" s="532">
        <v>0</v>
      </c>
      <c r="F962" s="520" t="s">
        <v>9297</v>
      </c>
    </row>
    <row r="963" spans="1:6" s="646" customFormat="1">
      <c r="A963" s="869" t="s">
        <v>8650</v>
      </c>
      <c r="E963" s="532" t="s">
        <v>5661</v>
      </c>
      <c r="F963" s="520" t="s">
        <v>8718</v>
      </c>
    </row>
    <row r="964" spans="1:6" s="646" customFormat="1">
      <c r="A964" s="869" t="s">
        <v>9063</v>
      </c>
      <c r="E964" s="885" t="s">
        <v>5661</v>
      </c>
      <c r="F964" s="520" t="s">
        <v>9298</v>
      </c>
    </row>
    <row r="965" spans="1:6" s="646" customFormat="1">
      <c r="A965" s="869" t="s">
        <v>9064</v>
      </c>
      <c r="E965" s="885" t="s">
        <v>5661</v>
      </c>
      <c r="F965" s="520" t="s">
        <v>9299</v>
      </c>
    </row>
    <row r="966" spans="1:6" s="646" customFormat="1">
      <c r="A966" s="869" t="s">
        <v>9068</v>
      </c>
      <c r="E966" s="532" t="s">
        <v>5661</v>
      </c>
      <c r="F966" s="520" t="s">
        <v>9300</v>
      </c>
    </row>
    <row r="967" spans="1:6" s="646" customFormat="1">
      <c r="A967" s="869" t="s">
        <v>11554</v>
      </c>
      <c r="E967" s="532" t="s">
        <v>5661</v>
      </c>
      <c r="F967" s="520" t="s">
        <v>12188</v>
      </c>
    </row>
    <row r="968" spans="1:6" s="646" customFormat="1">
      <c r="A968" s="869" t="s">
        <v>4410</v>
      </c>
      <c r="E968" s="532" t="s">
        <v>5661</v>
      </c>
      <c r="F968" s="520" t="s">
        <v>9301</v>
      </c>
    </row>
    <row r="969" spans="1:6" s="646" customFormat="1">
      <c r="A969" s="869" t="s">
        <v>3329</v>
      </c>
      <c r="C969" s="956"/>
      <c r="D969" s="956"/>
      <c r="E969" s="957" t="s">
        <v>5661</v>
      </c>
      <c r="F969" s="520" t="s">
        <v>9302</v>
      </c>
    </row>
    <row r="970" spans="1:6" s="646" customFormat="1">
      <c r="A970" s="869" t="s">
        <v>5912</v>
      </c>
      <c r="E970" s="870" t="s">
        <v>5661</v>
      </c>
      <c r="F970" s="520" t="s">
        <v>12189</v>
      </c>
    </row>
    <row r="971" spans="1:6" s="646" customFormat="1">
      <c r="A971" s="869" t="s">
        <v>11563</v>
      </c>
      <c r="E971" s="870" t="s">
        <v>5661</v>
      </c>
      <c r="F971" s="520" t="s">
        <v>12190</v>
      </c>
    </row>
    <row r="972" spans="1:6" s="646" customFormat="1">
      <c r="A972" s="869" t="s">
        <v>3674</v>
      </c>
      <c r="E972" s="870" t="s">
        <v>5661</v>
      </c>
      <c r="F972" s="520" t="s">
        <v>9303</v>
      </c>
    </row>
    <row r="973" spans="1:6" s="646" customFormat="1">
      <c r="A973" s="869" t="s">
        <v>4413</v>
      </c>
      <c r="E973" s="958" t="s">
        <v>5661</v>
      </c>
      <c r="F973" s="520" t="s">
        <v>12662</v>
      </c>
    </row>
    <row r="974" spans="1:6" s="646" customFormat="1">
      <c r="A974" s="869" t="s">
        <v>11388</v>
      </c>
      <c r="E974" s="958" t="s">
        <v>5661</v>
      </c>
      <c r="F974" s="520" t="s">
        <v>12680</v>
      </c>
    </row>
    <row r="975" spans="1:6" s="646" customFormat="1">
      <c r="A975" s="869" t="s">
        <v>5195</v>
      </c>
      <c r="E975" s="958" t="s">
        <v>5661</v>
      </c>
      <c r="F975" s="520" t="s">
        <v>12191</v>
      </c>
    </row>
    <row r="976" spans="1:6" s="646" customFormat="1">
      <c r="A976" s="869" t="s">
        <v>157</v>
      </c>
      <c r="E976" s="960" t="s">
        <v>5661</v>
      </c>
      <c r="F976" s="520" t="s">
        <v>10501</v>
      </c>
    </row>
    <row r="977" spans="1:6" s="646" customFormat="1">
      <c r="A977" s="869" t="s">
        <v>10370</v>
      </c>
      <c r="E977" s="960" t="s">
        <v>5661</v>
      </c>
      <c r="F977" s="520" t="s">
        <v>10404</v>
      </c>
    </row>
    <row r="978" spans="1:6" s="646" customFormat="1">
      <c r="A978" s="878" t="s">
        <v>3858</v>
      </c>
      <c r="E978" s="532"/>
    </row>
    <row r="979" spans="1:6" s="646" customFormat="1">
      <c r="A979" s="869" t="s">
        <v>8649</v>
      </c>
      <c r="E979" s="532" t="s">
        <v>5661</v>
      </c>
      <c r="F979" s="520" t="s">
        <v>8719</v>
      </c>
    </row>
    <row r="980" spans="1:6" s="646" customFormat="1">
      <c r="A980" s="869" t="s">
        <v>521</v>
      </c>
      <c r="E980" s="532">
        <v>0</v>
      </c>
      <c r="F980" s="520" t="s">
        <v>9304</v>
      </c>
    </row>
    <row r="981" spans="1:6" s="646" customFormat="1">
      <c r="A981" s="869" t="s">
        <v>8650</v>
      </c>
      <c r="E981" s="532" t="s">
        <v>5661</v>
      </c>
      <c r="F981" s="520" t="s">
        <v>8720</v>
      </c>
    </row>
    <row r="982" spans="1:6" s="646" customFormat="1">
      <c r="A982" s="869" t="s">
        <v>9063</v>
      </c>
      <c r="E982" s="885" t="s">
        <v>5661</v>
      </c>
      <c r="F982" s="520" t="s">
        <v>9305</v>
      </c>
    </row>
    <row r="983" spans="1:6" s="646" customFormat="1">
      <c r="A983" s="869" t="s">
        <v>9064</v>
      </c>
      <c r="E983" s="885" t="s">
        <v>5661</v>
      </c>
      <c r="F983" s="520" t="s">
        <v>9306</v>
      </c>
    </row>
    <row r="984" spans="1:6" s="646" customFormat="1">
      <c r="A984" s="869" t="s">
        <v>9068</v>
      </c>
      <c r="E984" s="532" t="s">
        <v>5661</v>
      </c>
      <c r="F984" s="520" t="s">
        <v>9307</v>
      </c>
    </row>
    <row r="985" spans="1:6" s="646" customFormat="1">
      <c r="A985" s="869" t="s">
        <v>11554</v>
      </c>
      <c r="E985" s="532" t="s">
        <v>5661</v>
      </c>
      <c r="F985" s="520" t="s">
        <v>12192</v>
      </c>
    </row>
    <row r="986" spans="1:6" s="646" customFormat="1">
      <c r="A986" s="869" t="s">
        <v>4410</v>
      </c>
      <c r="E986" s="532" t="s">
        <v>5661</v>
      </c>
      <c r="F986" s="520" t="s">
        <v>9308</v>
      </c>
    </row>
    <row r="987" spans="1:6" s="646" customFormat="1">
      <c r="A987" s="869" t="s">
        <v>3329</v>
      </c>
      <c r="C987" s="956"/>
      <c r="D987" s="956"/>
      <c r="E987" s="957" t="s">
        <v>5661</v>
      </c>
      <c r="F987" s="520" t="s">
        <v>9309</v>
      </c>
    </row>
    <row r="988" spans="1:6" s="646" customFormat="1">
      <c r="A988" s="869" t="s">
        <v>5912</v>
      </c>
      <c r="E988" s="870" t="s">
        <v>5661</v>
      </c>
      <c r="F988" s="520" t="s">
        <v>12193</v>
      </c>
    </row>
    <row r="989" spans="1:6" s="646" customFormat="1">
      <c r="A989" s="869" t="s">
        <v>11563</v>
      </c>
      <c r="E989" s="870" t="s">
        <v>5661</v>
      </c>
      <c r="F989" s="520" t="s">
        <v>12194</v>
      </c>
    </row>
    <row r="990" spans="1:6" s="646" customFormat="1">
      <c r="A990" s="869" t="s">
        <v>3674</v>
      </c>
      <c r="E990" s="870" t="s">
        <v>5661</v>
      </c>
      <c r="F990" s="520" t="s">
        <v>9310</v>
      </c>
    </row>
    <row r="991" spans="1:6" s="646" customFormat="1">
      <c r="A991" s="869" t="s">
        <v>4413</v>
      </c>
      <c r="E991" s="958" t="s">
        <v>5661</v>
      </c>
      <c r="F991" s="520" t="s">
        <v>12663</v>
      </c>
    </row>
    <row r="992" spans="1:6" s="646" customFormat="1">
      <c r="A992" s="869" t="s">
        <v>11388</v>
      </c>
      <c r="E992" s="958" t="s">
        <v>5661</v>
      </c>
      <c r="F992" s="520" t="s">
        <v>12679</v>
      </c>
    </row>
    <row r="993" spans="1:6" s="646" customFormat="1">
      <c r="A993" s="869" t="s">
        <v>5195</v>
      </c>
      <c r="E993" s="958" t="s">
        <v>5661</v>
      </c>
      <c r="F993" s="520" t="s">
        <v>12195</v>
      </c>
    </row>
    <row r="994" spans="1:6" s="646" customFormat="1">
      <c r="A994" s="869" t="s">
        <v>157</v>
      </c>
      <c r="E994" s="960" t="s">
        <v>5661</v>
      </c>
      <c r="F994" s="520" t="s">
        <v>10502</v>
      </c>
    </row>
    <row r="995" spans="1:6" s="646" customFormat="1">
      <c r="A995" s="869" t="s">
        <v>10370</v>
      </c>
      <c r="E995" s="960" t="s">
        <v>5661</v>
      </c>
      <c r="F995" s="520" t="s">
        <v>10405</v>
      </c>
    </row>
    <row r="996" spans="1:6" s="646" customFormat="1">
      <c r="A996" s="878" t="s">
        <v>3860</v>
      </c>
      <c r="E996" s="532"/>
    </row>
    <row r="997" spans="1:6" s="646" customFormat="1">
      <c r="A997" s="869" t="s">
        <v>8649</v>
      </c>
      <c r="E997" s="532" t="s">
        <v>5661</v>
      </c>
      <c r="F997" s="520" t="s">
        <v>8721</v>
      </c>
    </row>
    <row r="998" spans="1:6" s="646" customFormat="1">
      <c r="A998" s="869" t="s">
        <v>521</v>
      </c>
      <c r="E998" s="532">
        <v>0</v>
      </c>
      <c r="F998" s="520" t="s">
        <v>9311</v>
      </c>
    </row>
    <row r="999" spans="1:6" s="646" customFormat="1">
      <c r="A999" s="869" t="s">
        <v>8650</v>
      </c>
      <c r="E999" s="532" t="s">
        <v>5661</v>
      </c>
      <c r="F999" s="520" t="s">
        <v>8722</v>
      </c>
    </row>
    <row r="1000" spans="1:6" s="646" customFormat="1">
      <c r="A1000" s="869" t="s">
        <v>9063</v>
      </c>
      <c r="E1000" s="885" t="s">
        <v>5661</v>
      </c>
      <c r="F1000" s="520" t="s">
        <v>9312</v>
      </c>
    </row>
    <row r="1001" spans="1:6" s="646" customFormat="1">
      <c r="A1001" s="869" t="s">
        <v>9064</v>
      </c>
      <c r="E1001" s="885" t="s">
        <v>5661</v>
      </c>
      <c r="F1001" s="520" t="s">
        <v>9313</v>
      </c>
    </row>
    <row r="1002" spans="1:6" s="646" customFormat="1">
      <c r="A1002" s="869" t="s">
        <v>9068</v>
      </c>
      <c r="E1002" s="532" t="s">
        <v>5661</v>
      </c>
      <c r="F1002" s="520" t="s">
        <v>9314</v>
      </c>
    </row>
    <row r="1003" spans="1:6" s="646" customFormat="1">
      <c r="A1003" s="869" t="s">
        <v>11554</v>
      </c>
      <c r="E1003" s="532" t="s">
        <v>5661</v>
      </c>
      <c r="F1003" s="520" t="s">
        <v>12196</v>
      </c>
    </row>
    <row r="1004" spans="1:6" s="646" customFormat="1">
      <c r="A1004" s="869" t="s">
        <v>4410</v>
      </c>
      <c r="E1004" s="532" t="s">
        <v>5661</v>
      </c>
      <c r="F1004" s="520" t="s">
        <v>9315</v>
      </c>
    </row>
    <row r="1005" spans="1:6" s="646" customFormat="1">
      <c r="A1005" s="869" t="s">
        <v>3329</v>
      </c>
      <c r="C1005" s="956"/>
      <c r="D1005" s="956"/>
      <c r="E1005" s="957" t="s">
        <v>5661</v>
      </c>
      <c r="F1005" s="520" t="s">
        <v>9316</v>
      </c>
    </row>
    <row r="1006" spans="1:6" s="646" customFormat="1">
      <c r="A1006" s="869" t="s">
        <v>5912</v>
      </c>
      <c r="E1006" s="870" t="s">
        <v>5661</v>
      </c>
      <c r="F1006" s="520" t="s">
        <v>12197</v>
      </c>
    </row>
    <row r="1007" spans="1:6" s="646" customFormat="1">
      <c r="A1007" s="869" t="s">
        <v>11563</v>
      </c>
      <c r="E1007" s="870" t="s">
        <v>5661</v>
      </c>
      <c r="F1007" s="520" t="s">
        <v>12198</v>
      </c>
    </row>
    <row r="1008" spans="1:6" s="646" customFormat="1">
      <c r="A1008" s="869" t="s">
        <v>3674</v>
      </c>
      <c r="E1008" s="870" t="s">
        <v>5661</v>
      </c>
      <c r="F1008" s="520" t="s">
        <v>9317</v>
      </c>
    </row>
    <row r="1009" spans="1:7" s="646" customFormat="1">
      <c r="A1009" s="869" t="s">
        <v>4413</v>
      </c>
      <c r="E1009" s="958" t="s">
        <v>5661</v>
      </c>
      <c r="F1009" s="520" t="s">
        <v>12664</v>
      </c>
    </row>
    <row r="1010" spans="1:7" s="646" customFormat="1">
      <c r="A1010" s="869" t="s">
        <v>11388</v>
      </c>
      <c r="E1010" s="958" t="s">
        <v>5661</v>
      </c>
      <c r="F1010" s="520" t="s">
        <v>12678</v>
      </c>
    </row>
    <row r="1011" spans="1:7" s="646" customFormat="1">
      <c r="A1011" s="869" t="s">
        <v>5195</v>
      </c>
      <c r="E1011" s="958" t="s">
        <v>5661</v>
      </c>
      <c r="F1011" s="520" t="s">
        <v>12199</v>
      </c>
    </row>
    <row r="1012" spans="1:7" s="646" customFormat="1">
      <c r="A1012" s="869" t="s">
        <v>157</v>
      </c>
      <c r="E1012" s="960" t="s">
        <v>5661</v>
      </c>
      <c r="F1012" s="520" t="s">
        <v>10503</v>
      </c>
    </row>
    <row r="1013" spans="1:7" s="646" customFormat="1">
      <c r="A1013" s="869" t="s">
        <v>10370</v>
      </c>
      <c r="E1013" s="960" t="s">
        <v>5661</v>
      </c>
      <c r="F1013" s="520" t="s">
        <v>10406</v>
      </c>
    </row>
    <row r="1014" spans="1:7" s="646" customFormat="1">
      <c r="A1014" s="869"/>
      <c r="E1014" s="960"/>
      <c r="F1014" s="520"/>
    </row>
    <row r="1015" spans="1:7" s="646" customFormat="1">
      <c r="A1015" s="616" t="s">
        <v>14085</v>
      </c>
      <c r="B1015" s="616"/>
      <c r="C1015" s="616"/>
      <c r="D1015" s="616"/>
      <c r="E1015" s="616"/>
      <c r="F1015" s="962"/>
      <c r="G1015" s="616"/>
    </row>
    <row r="1016" spans="1:7" s="646" customFormat="1">
      <c r="A1016" s="879" t="s">
        <v>12868</v>
      </c>
      <c r="E1016" s="532"/>
    </row>
    <row r="1017" spans="1:7" s="646" customFormat="1">
      <c r="A1017" s="878" t="s">
        <v>3859</v>
      </c>
      <c r="E1017" s="532"/>
    </row>
    <row r="1018" spans="1:7" s="646" customFormat="1">
      <c r="A1018" s="869" t="s">
        <v>8649</v>
      </c>
      <c r="E1018" s="532">
        <v>217365574.62273702</v>
      </c>
      <c r="F1018" s="520" t="s">
        <v>8723</v>
      </c>
    </row>
    <row r="1019" spans="1:7" s="646" customFormat="1">
      <c r="A1019" s="869" t="s">
        <v>521</v>
      </c>
      <c r="E1019" s="532">
        <v>110153448.8270608</v>
      </c>
      <c r="F1019" s="520" t="s">
        <v>9150</v>
      </c>
    </row>
    <row r="1020" spans="1:7" s="646" customFormat="1">
      <c r="A1020" s="869" t="s">
        <v>8650</v>
      </c>
      <c r="E1020" s="532">
        <v>49638252.362637356</v>
      </c>
      <c r="F1020" s="520" t="s">
        <v>8724</v>
      </c>
    </row>
    <row r="1021" spans="1:7" s="646" customFormat="1">
      <c r="A1021" s="869" t="s">
        <v>9063</v>
      </c>
      <c r="E1021" s="885">
        <v>4.3789933020757958</v>
      </c>
      <c r="F1021" s="520" t="s">
        <v>9151</v>
      </c>
    </row>
    <row r="1022" spans="1:7" s="646" customFormat="1">
      <c r="A1022" s="869" t="s">
        <v>9064</v>
      </c>
      <c r="E1022" s="885">
        <v>2.219124235525527</v>
      </c>
      <c r="F1022" s="520" t="s">
        <v>9152</v>
      </c>
    </row>
    <row r="1023" spans="1:7" s="646" customFormat="1">
      <c r="A1023" s="869" t="s">
        <v>9068</v>
      </c>
      <c r="E1023" s="532">
        <v>7.2</v>
      </c>
      <c r="F1023" s="520" t="s">
        <v>9153</v>
      </c>
    </row>
    <row r="1024" spans="1:7" s="646" customFormat="1">
      <c r="A1024" s="869" t="s">
        <v>11554</v>
      </c>
      <c r="E1024" s="532">
        <v>5.7600000000000007</v>
      </c>
      <c r="F1024" s="520" t="s">
        <v>12200</v>
      </c>
    </row>
    <row r="1025" spans="1:6" s="646" customFormat="1">
      <c r="A1025" s="869" t="s">
        <v>4410</v>
      </c>
      <c r="E1025" s="532">
        <v>6.8499776581464999</v>
      </c>
      <c r="F1025" s="520" t="s">
        <v>9154</v>
      </c>
    </row>
    <row r="1026" spans="1:6" s="646" customFormat="1">
      <c r="A1026" s="869" t="s">
        <v>3329</v>
      </c>
      <c r="C1026" s="956"/>
      <c r="D1026" s="956"/>
      <c r="E1026" s="957" t="s">
        <v>3766</v>
      </c>
      <c r="F1026" s="520" t="s">
        <v>9155</v>
      </c>
    </row>
    <row r="1027" spans="1:6" s="646" customFormat="1">
      <c r="A1027" s="869" t="s">
        <v>5912</v>
      </c>
      <c r="E1027" s="870">
        <v>0.24307107073159759</v>
      </c>
      <c r="F1027" s="520" t="s">
        <v>12201</v>
      </c>
    </row>
    <row r="1028" spans="1:6" s="646" customFormat="1">
      <c r="A1028" s="869" t="s">
        <v>11563</v>
      </c>
      <c r="E1028" s="870">
        <v>7.2058959459119025</v>
      </c>
      <c r="F1028" s="520" t="s">
        <v>12202</v>
      </c>
    </row>
    <row r="1029" spans="1:6" s="646" customFormat="1">
      <c r="A1029" s="869" t="s">
        <v>3674</v>
      </c>
      <c r="E1029" s="870">
        <v>0.78</v>
      </c>
      <c r="F1029" s="520" t="s">
        <v>9156</v>
      </c>
    </row>
    <row r="1030" spans="1:6" s="646" customFormat="1">
      <c r="A1030" s="869" t="s">
        <v>4413</v>
      </c>
      <c r="E1030" s="958">
        <v>0.71090688312645844</v>
      </c>
      <c r="F1030" s="520" t="s">
        <v>12665</v>
      </c>
    </row>
    <row r="1031" spans="1:6" s="646" customFormat="1">
      <c r="A1031" s="869" t="s">
        <v>11388</v>
      </c>
      <c r="E1031" s="958">
        <v>2.8535359608971587</v>
      </c>
      <c r="F1031" s="520" t="s">
        <v>12689</v>
      </c>
    </row>
    <row r="1032" spans="1:6" s="646" customFormat="1">
      <c r="A1032" s="869" t="s">
        <v>5195</v>
      </c>
      <c r="E1032" s="958">
        <v>2.2247760703903476</v>
      </c>
      <c r="F1032" s="520" t="s">
        <v>12203</v>
      </c>
    </row>
    <row r="1033" spans="1:6" s="646" customFormat="1">
      <c r="A1033" s="869" t="s">
        <v>157</v>
      </c>
      <c r="E1033" s="960">
        <v>95624990.170477837</v>
      </c>
      <c r="F1033" s="520" t="s">
        <v>10504</v>
      </c>
    </row>
    <row r="1034" spans="1:6" s="646" customFormat="1">
      <c r="A1034" s="869" t="s">
        <v>10370</v>
      </c>
      <c r="E1034" s="960">
        <v>1.9264374876029002</v>
      </c>
      <c r="F1034" s="520" t="s">
        <v>10407</v>
      </c>
    </row>
    <row r="1035" spans="1:6" s="646" customFormat="1">
      <c r="A1035" s="878" t="s">
        <v>3858</v>
      </c>
      <c r="E1035" s="532"/>
    </row>
    <row r="1036" spans="1:6" s="646" customFormat="1">
      <c r="A1036" s="869" t="s">
        <v>8649</v>
      </c>
      <c r="E1036" s="532" t="s">
        <v>5661</v>
      </c>
      <c r="F1036" s="520" t="s">
        <v>8725</v>
      </c>
    </row>
    <row r="1037" spans="1:6" s="646" customFormat="1">
      <c r="A1037" s="869" t="s">
        <v>521</v>
      </c>
      <c r="E1037" s="532">
        <v>0</v>
      </c>
      <c r="F1037" s="520" t="s">
        <v>9157</v>
      </c>
    </row>
    <row r="1038" spans="1:6" s="646" customFormat="1">
      <c r="A1038" s="869" t="s">
        <v>8650</v>
      </c>
      <c r="E1038" s="532" t="s">
        <v>5661</v>
      </c>
      <c r="F1038" s="520" t="s">
        <v>8726</v>
      </c>
    </row>
    <row r="1039" spans="1:6" s="646" customFormat="1">
      <c r="A1039" s="869" t="s">
        <v>9063</v>
      </c>
      <c r="E1039" s="885" t="s">
        <v>5661</v>
      </c>
      <c r="F1039" s="520" t="s">
        <v>9158</v>
      </c>
    </row>
    <row r="1040" spans="1:6" s="646" customFormat="1">
      <c r="A1040" s="869" t="s">
        <v>9064</v>
      </c>
      <c r="E1040" s="885" t="s">
        <v>5661</v>
      </c>
      <c r="F1040" s="520" t="s">
        <v>9159</v>
      </c>
    </row>
    <row r="1041" spans="1:6" s="646" customFormat="1">
      <c r="A1041" s="869" t="s">
        <v>9068</v>
      </c>
      <c r="E1041" s="532" t="s">
        <v>5661</v>
      </c>
      <c r="F1041" s="520" t="s">
        <v>9160</v>
      </c>
    </row>
    <row r="1042" spans="1:6" s="646" customFormat="1">
      <c r="A1042" s="869" t="s">
        <v>11554</v>
      </c>
      <c r="E1042" s="532" t="s">
        <v>5661</v>
      </c>
      <c r="F1042" s="520" t="s">
        <v>12204</v>
      </c>
    </row>
    <row r="1043" spans="1:6" s="646" customFormat="1">
      <c r="A1043" s="869" t="s">
        <v>4410</v>
      </c>
      <c r="E1043" s="532" t="s">
        <v>5661</v>
      </c>
      <c r="F1043" s="520" t="s">
        <v>9161</v>
      </c>
    </row>
    <row r="1044" spans="1:6" s="646" customFormat="1">
      <c r="A1044" s="869" t="s">
        <v>3329</v>
      </c>
      <c r="C1044" s="956"/>
      <c r="D1044" s="956"/>
      <c r="E1044" s="957" t="s">
        <v>5661</v>
      </c>
      <c r="F1044" s="520" t="s">
        <v>9162</v>
      </c>
    </row>
    <row r="1045" spans="1:6" s="646" customFormat="1">
      <c r="A1045" s="869" t="s">
        <v>5912</v>
      </c>
      <c r="E1045" s="870" t="s">
        <v>5661</v>
      </c>
      <c r="F1045" s="520" t="s">
        <v>12205</v>
      </c>
    </row>
    <row r="1046" spans="1:6" s="646" customFormat="1">
      <c r="A1046" s="869" t="s">
        <v>11563</v>
      </c>
      <c r="E1046" s="870" t="s">
        <v>5661</v>
      </c>
      <c r="F1046" s="520" t="s">
        <v>12206</v>
      </c>
    </row>
    <row r="1047" spans="1:6" s="646" customFormat="1">
      <c r="A1047" s="869" t="s">
        <v>3674</v>
      </c>
      <c r="E1047" s="870" t="s">
        <v>5661</v>
      </c>
      <c r="F1047" s="520" t="s">
        <v>9163</v>
      </c>
    </row>
    <row r="1048" spans="1:6" s="646" customFormat="1">
      <c r="A1048" s="869" t="s">
        <v>4413</v>
      </c>
      <c r="E1048" s="958" t="s">
        <v>5661</v>
      </c>
      <c r="F1048" s="520" t="s">
        <v>12666</v>
      </c>
    </row>
    <row r="1049" spans="1:6" s="646" customFormat="1">
      <c r="A1049" s="869" t="s">
        <v>11388</v>
      </c>
      <c r="E1049" s="958" t="s">
        <v>5661</v>
      </c>
      <c r="F1049" s="520" t="s">
        <v>12690</v>
      </c>
    </row>
    <row r="1050" spans="1:6" s="646" customFormat="1">
      <c r="A1050" s="869" t="s">
        <v>5195</v>
      </c>
      <c r="E1050" s="958" t="s">
        <v>5661</v>
      </c>
      <c r="F1050" s="520" t="s">
        <v>12207</v>
      </c>
    </row>
    <row r="1051" spans="1:6" s="646" customFormat="1">
      <c r="A1051" s="869" t="s">
        <v>157</v>
      </c>
      <c r="E1051" s="960" t="s">
        <v>5661</v>
      </c>
      <c r="F1051" s="520" t="s">
        <v>10505</v>
      </c>
    </row>
    <row r="1052" spans="1:6" s="646" customFormat="1">
      <c r="A1052" s="869" t="s">
        <v>10370</v>
      </c>
      <c r="E1052" s="960" t="s">
        <v>5661</v>
      </c>
      <c r="F1052" s="520" t="s">
        <v>10408</v>
      </c>
    </row>
    <row r="1053" spans="1:6" s="646" customFormat="1">
      <c r="A1053" s="878" t="s">
        <v>3860</v>
      </c>
      <c r="E1053" s="532"/>
    </row>
    <row r="1054" spans="1:6" s="646" customFormat="1">
      <c r="A1054" s="869" t="s">
        <v>8649</v>
      </c>
      <c r="E1054" s="532" t="s">
        <v>5661</v>
      </c>
      <c r="F1054" s="520" t="s">
        <v>8727</v>
      </c>
    </row>
    <row r="1055" spans="1:6" s="646" customFormat="1">
      <c r="A1055" s="869" t="s">
        <v>521</v>
      </c>
      <c r="E1055" s="532">
        <v>0</v>
      </c>
      <c r="F1055" s="520" t="s">
        <v>9164</v>
      </c>
    </row>
    <row r="1056" spans="1:6" s="646" customFormat="1">
      <c r="A1056" s="869" t="s">
        <v>8650</v>
      </c>
      <c r="E1056" s="532" t="s">
        <v>5661</v>
      </c>
      <c r="F1056" s="520" t="s">
        <v>8728</v>
      </c>
    </row>
    <row r="1057" spans="1:6" s="646" customFormat="1">
      <c r="A1057" s="869" t="s">
        <v>9063</v>
      </c>
      <c r="E1057" s="885" t="s">
        <v>5661</v>
      </c>
      <c r="F1057" s="520" t="s">
        <v>9165</v>
      </c>
    </row>
    <row r="1058" spans="1:6" s="646" customFormat="1">
      <c r="A1058" s="869" t="s">
        <v>9064</v>
      </c>
      <c r="E1058" s="885" t="s">
        <v>5661</v>
      </c>
      <c r="F1058" s="520" t="s">
        <v>9166</v>
      </c>
    </row>
    <row r="1059" spans="1:6" s="646" customFormat="1">
      <c r="A1059" s="869" t="s">
        <v>9068</v>
      </c>
      <c r="E1059" s="532" t="s">
        <v>5661</v>
      </c>
      <c r="F1059" s="520" t="s">
        <v>9167</v>
      </c>
    </row>
    <row r="1060" spans="1:6" s="646" customFormat="1">
      <c r="A1060" s="869" t="s">
        <v>11554</v>
      </c>
      <c r="E1060" s="532" t="s">
        <v>5661</v>
      </c>
      <c r="F1060" s="520" t="s">
        <v>12208</v>
      </c>
    </row>
    <row r="1061" spans="1:6" s="646" customFormat="1">
      <c r="A1061" s="869" t="s">
        <v>4410</v>
      </c>
      <c r="E1061" s="532" t="s">
        <v>5661</v>
      </c>
      <c r="F1061" s="520" t="s">
        <v>9168</v>
      </c>
    </row>
    <row r="1062" spans="1:6" s="646" customFormat="1">
      <c r="A1062" s="869" t="s">
        <v>3329</v>
      </c>
      <c r="C1062" s="956"/>
      <c r="D1062" s="956"/>
      <c r="E1062" s="957" t="s">
        <v>5661</v>
      </c>
      <c r="F1062" s="520" t="s">
        <v>9169</v>
      </c>
    </row>
    <row r="1063" spans="1:6" s="646" customFormat="1">
      <c r="A1063" s="869" t="s">
        <v>5912</v>
      </c>
      <c r="E1063" s="870" t="s">
        <v>5661</v>
      </c>
      <c r="F1063" s="520" t="s">
        <v>12209</v>
      </c>
    </row>
    <row r="1064" spans="1:6" s="646" customFormat="1">
      <c r="A1064" s="869" t="s">
        <v>11563</v>
      </c>
      <c r="E1064" s="870" t="s">
        <v>5661</v>
      </c>
      <c r="F1064" s="520" t="s">
        <v>12210</v>
      </c>
    </row>
    <row r="1065" spans="1:6" s="646" customFormat="1">
      <c r="A1065" s="869" t="s">
        <v>3674</v>
      </c>
      <c r="E1065" s="870" t="s">
        <v>5661</v>
      </c>
      <c r="F1065" s="520" t="s">
        <v>9170</v>
      </c>
    </row>
    <row r="1066" spans="1:6" s="646" customFormat="1">
      <c r="A1066" s="869" t="s">
        <v>4413</v>
      </c>
      <c r="E1066" s="958" t="s">
        <v>5661</v>
      </c>
      <c r="F1066" s="520" t="s">
        <v>12667</v>
      </c>
    </row>
    <row r="1067" spans="1:6" s="646" customFormat="1">
      <c r="A1067" s="869" t="s">
        <v>11388</v>
      </c>
      <c r="E1067" s="958" t="s">
        <v>5661</v>
      </c>
      <c r="F1067" s="520" t="s">
        <v>12691</v>
      </c>
    </row>
    <row r="1068" spans="1:6" s="646" customFormat="1">
      <c r="A1068" s="869" t="s">
        <v>5195</v>
      </c>
      <c r="E1068" s="958" t="s">
        <v>5661</v>
      </c>
      <c r="F1068" s="520" t="s">
        <v>12211</v>
      </c>
    </row>
    <row r="1069" spans="1:6" s="646" customFormat="1">
      <c r="A1069" s="869" t="s">
        <v>157</v>
      </c>
      <c r="E1069" s="960" t="s">
        <v>5661</v>
      </c>
      <c r="F1069" s="520" t="s">
        <v>10506</v>
      </c>
    </row>
    <row r="1070" spans="1:6" s="646" customFormat="1">
      <c r="A1070" s="869" t="s">
        <v>10370</v>
      </c>
      <c r="E1070" s="960" t="s">
        <v>5661</v>
      </c>
      <c r="F1070" s="520" t="s">
        <v>10409</v>
      </c>
    </row>
    <row r="1071" spans="1:6" s="646" customFormat="1">
      <c r="A1071" s="869"/>
      <c r="E1071" s="532"/>
      <c r="F1071" s="520"/>
    </row>
    <row r="1072" spans="1:6" s="646" customFormat="1">
      <c r="A1072" s="879" t="s">
        <v>238</v>
      </c>
      <c r="E1072" s="532"/>
    </row>
    <row r="1073" spans="1:6" s="646" customFormat="1">
      <c r="A1073" s="878" t="s">
        <v>3859</v>
      </c>
      <c r="E1073" s="532"/>
    </row>
    <row r="1074" spans="1:6" s="646" customFormat="1">
      <c r="A1074" s="869" t="s">
        <v>8649</v>
      </c>
      <c r="E1074" s="532">
        <v>112387272.09901221</v>
      </c>
      <c r="F1074" s="520" t="s">
        <v>8729</v>
      </c>
    </row>
    <row r="1075" spans="1:6" s="646" customFormat="1">
      <c r="A1075" s="869" t="s">
        <v>521</v>
      </c>
      <c r="E1075" s="532">
        <v>33144091.814078879</v>
      </c>
      <c r="F1075" s="520" t="s">
        <v>9171</v>
      </c>
    </row>
    <row r="1076" spans="1:6" s="646" customFormat="1">
      <c r="A1076" s="869" t="s">
        <v>8650</v>
      </c>
      <c r="E1076" s="532">
        <v>36197733.829989143</v>
      </c>
      <c r="F1076" s="520" t="s">
        <v>8730</v>
      </c>
    </row>
    <row r="1077" spans="1:6" s="646" customFormat="1">
      <c r="A1077" s="869" t="s">
        <v>9063</v>
      </c>
      <c r="E1077" s="885">
        <v>3.1048151419330416</v>
      </c>
      <c r="F1077" s="520" t="s">
        <v>9172</v>
      </c>
    </row>
    <row r="1078" spans="1:6" s="646" customFormat="1">
      <c r="A1078" s="869" t="s">
        <v>9064</v>
      </c>
      <c r="E1078" s="885">
        <v>0.91563996712467177</v>
      </c>
      <c r="F1078" s="520" t="s">
        <v>9173</v>
      </c>
    </row>
    <row r="1079" spans="1:6" s="646" customFormat="1">
      <c r="A1079" s="869" t="s">
        <v>9068</v>
      </c>
      <c r="E1079" s="532">
        <v>7.2</v>
      </c>
      <c r="F1079" s="520" t="s">
        <v>9174</v>
      </c>
    </row>
    <row r="1080" spans="1:6" s="646" customFormat="1">
      <c r="A1080" s="869" t="s">
        <v>11554</v>
      </c>
      <c r="E1080" s="532">
        <v>4.8239999999999998</v>
      </c>
      <c r="F1080" s="520" t="s">
        <v>12212</v>
      </c>
    </row>
    <row r="1081" spans="1:6" s="646" customFormat="1">
      <c r="A1081" s="869" t="s">
        <v>4410</v>
      </c>
      <c r="E1081" s="532">
        <v>5.5585020872227471</v>
      </c>
      <c r="F1081" s="520" t="s">
        <v>9175</v>
      </c>
    </row>
    <row r="1082" spans="1:6" s="646" customFormat="1">
      <c r="A1082" s="869" t="s">
        <v>3329</v>
      </c>
      <c r="C1082" s="956"/>
      <c r="D1082" s="956"/>
      <c r="E1082" s="957" t="s">
        <v>3766</v>
      </c>
      <c r="F1082" s="520" t="s">
        <v>9176</v>
      </c>
    </row>
    <row r="1083" spans="1:6" s="646" customFormat="1">
      <c r="A1083" s="869" t="s">
        <v>5912</v>
      </c>
      <c r="E1083" s="870">
        <v>0.69086612490625143</v>
      </c>
      <c r="F1083" s="520" t="s">
        <v>12213</v>
      </c>
    </row>
    <row r="1084" spans="1:6" s="646" customFormat="1">
      <c r="A1084" s="869" t="s">
        <v>11563</v>
      </c>
      <c r="E1084" s="870">
        <v>0.33053037688180165</v>
      </c>
      <c r="F1084" s="520" t="s">
        <v>12214</v>
      </c>
    </row>
    <row r="1085" spans="1:6" s="646" customFormat="1">
      <c r="A1085" s="869" t="s">
        <v>3674</v>
      </c>
      <c r="E1085" s="870">
        <v>0.78</v>
      </c>
      <c r="F1085" s="520" t="s">
        <v>9177</v>
      </c>
    </row>
    <row r="1086" spans="1:6" s="646" customFormat="1">
      <c r="A1086" s="869" t="s">
        <v>4413</v>
      </c>
      <c r="E1086" s="958">
        <v>9.9613579129688601E-2</v>
      </c>
      <c r="F1086" s="520" t="s">
        <v>12668</v>
      </c>
    </row>
    <row r="1087" spans="1:6" s="646" customFormat="1">
      <c r="A1087" s="869" t="s">
        <v>11388</v>
      </c>
      <c r="E1087" s="958">
        <v>11.291644472259984</v>
      </c>
      <c r="F1087" s="520" t="s">
        <v>12692</v>
      </c>
    </row>
    <row r="1088" spans="1:6" s="646" customFormat="1">
      <c r="A1088" s="869" t="s">
        <v>5195</v>
      </c>
      <c r="E1088" s="958">
        <v>8.109202082406183</v>
      </c>
      <c r="F1088" s="520" t="s">
        <v>12215</v>
      </c>
    </row>
    <row r="1089" spans="1:6" s="646" customFormat="1">
      <c r="A1089" s="869" t="s">
        <v>157</v>
      </c>
      <c r="E1089" s="960">
        <v>70708989.181059882</v>
      </c>
      <c r="F1089" s="520" t="s">
        <v>10507</v>
      </c>
    </row>
    <row r="1090" spans="1:6" s="646" customFormat="1">
      <c r="A1090" s="869" t="s">
        <v>10370</v>
      </c>
      <c r="E1090" s="960">
        <v>1.9534092800715279</v>
      </c>
      <c r="F1090" s="520" t="s">
        <v>10410</v>
      </c>
    </row>
    <row r="1091" spans="1:6" s="646" customFormat="1">
      <c r="A1091" s="878" t="s">
        <v>3858</v>
      </c>
      <c r="E1091" s="532"/>
    </row>
    <row r="1092" spans="1:6" s="646" customFormat="1">
      <c r="A1092" s="869" t="s">
        <v>8649</v>
      </c>
      <c r="E1092" s="532" t="s">
        <v>5661</v>
      </c>
      <c r="F1092" s="520" t="s">
        <v>8731</v>
      </c>
    </row>
    <row r="1093" spans="1:6" s="646" customFormat="1">
      <c r="A1093" s="869" t="s">
        <v>521</v>
      </c>
      <c r="E1093" s="532">
        <v>0</v>
      </c>
      <c r="F1093" s="520" t="s">
        <v>9178</v>
      </c>
    </row>
    <row r="1094" spans="1:6" s="646" customFormat="1">
      <c r="A1094" s="869" t="s">
        <v>8650</v>
      </c>
      <c r="E1094" s="532" t="s">
        <v>5661</v>
      </c>
      <c r="F1094" s="520" t="s">
        <v>8732</v>
      </c>
    </row>
    <row r="1095" spans="1:6" s="646" customFormat="1">
      <c r="A1095" s="869" t="s">
        <v>9063</v>
      </c>
      <c r="E1095" s="885" t="s">
        <v>5661</v>
      </c>
      <c r="F1095" s="520" t="s">
        <v>9179</v>
      </c>
    </row>
    <row r="1096" spans="1:6" s="646" customFormat="1">
      <c r="A1096" s="869" t="s">
        <v>9064</v>
      </c>
      <c r="E1096" s="885" t="s">
        <v>5661</v>
      </c>
      <c r="F1096" s="520" t="s">
        <v>9180</v>
      </c>
    </row>
    <row r="1097" spans="1:6" s="646" customFormat="1">
      <c r="A1097" s="869" t="s">
        <v>9068</v>
      </c>
      <c r="E1097" s="532" t="s">
        <v>5661</v>
      </c>
      <c r="F1097" s="520" t="s">
        <v>9181</v>
      </c>
    </row>
    <row r="1098" spans="1:6" s="646" customFormat="1">
      <c r="A1098" s="869" t="s">
        <v>11554</v>
      </c>
      <c r="E1098" s="532" t="s">
        <v>5661</v>
      </c>
      <c r="F1098" s="520" t="s">
        <v>12216</v>
      </c>
    </row>
    <row r="1099" spans="1:6" s="646" customFormat="1">
      <c r="A1099" s="869" t="s">
        <v>4410</v>
      </c>
      <c r="E1099" s="532" t="s">
        <v>5661</v>
      </c>
      <c r="F1099" s="520" t="s">
        <v>9182</v>
      </c>
    </row>
    <row r="1100" spans="1:6" s="646" customFormat="1">
      <c r="A1100" s="869" t="s">
        <v>3329</v>
      </c>
      <c r="C1100" s="956"/>
      <c r="D1100" s="956"/>
      <c r="E1100" s="957" t="s">
        <v>5661</v>
      </c>
      <c r="F1100" s="520" t="s">
        <v>9183</v>
      </c>
    </row>
    <row r="1101" spans="1:6" s="646" customFormat="1">
      <c r="A1101" s="869" t="s">
        <v>5912</v>
      </c>
      <c r="E1101" s="870" t="s">
        <v>5661</v>
      </c>
      <c r="F1101" s="520" t="s">
        <v>12217</v>
      </c>
    </row>
    <row r="1102" spans="1:6" s="646" customFormat="1">
      <c r="A1102" s="869" t="s">
        <v>11563</v>
      </c>
      <c r="E1102" s="870" t="s">
        <v>5661</v>
      </c>
      <c r="F1102" s="520" t="s">
        <v>12218</v>
      </c>
    </row>
    <row r="1103" spans="1:6" s="646" customFormat="1">
      <c r="A1103" s="869" t="s">
        <v>3674</v>
      </c>
      <c r="E1103" s="870" t="s">
        <v>5661</v>
      </c>
      <c r="F1103" s="520" t="s">
        <v>9184</v>
      </c>
    </row>
    <row r="1104" spans="1:6" s="646" customFormat="1">
      <c r="A1104" s="869" t="s">
        <v>4413</v>
      </c>
      <c r="E1104" s="958" t="s">
        <v>5661</v>
      </c>
      <c r="F1104" s="520" t="s">
        <v>12669</v>
      </c>
    </row>
    <row r="1105" spans="1:6" s="646" customFormat="1">
      <c r="A1105" s="869" t="s">
        <v>11388</v>
      </c>
      <c r="E1105" s="958" t="s">
        <v>5661</v>
      </c>
      <c r="F1105" s="520" t="s">
        <v>12693</v>
      </c>
    </row>
    <row r="1106" spans="1:6" s="646" customFormat="1">
      <c r="A1106" s="869" t="s">
        <v>5195</v>
      </c>
      <c r="E1106" s="958" t="s">
        <v>5661</v>
      </c>
      <c r="F1106" s="520" t="s">
        <v>12219</v>
      </c>
    </row>
    <row r="1107" spans="1:6" s="646" customFormat="1">
      <c r="A1107" s="869" t="s">
        <v>157</v>
      </c>
      <c r="E1107" s="960" t="s">
        <v>5661</v>
      </c>
      <c r="F1107" s="520" t="s">
        <v>10508</v>
      </c>
    </row>
    <row r="1108" spans="1:6" s="646" customFormat="1">
      <c r="A1108" s="869" t="s">
        <v>10370</v>
      </c>
      <c r="E1108" s="960" t="s">
        <v>5661</v>
      </c>
      <c r="F1108" s="520" t="s">
        <v>10411</v>
      </c>
    </row>
    <row r="1109" spans="1:6" s="646" customFormat="1">
      <c r="A1109" s="878" t="s">
        <v>3860</v>
      </c>
      <c r="E1109" s="532"/>
    </row>
    <row r="1110" spans="1:6" s="646" customFormat="1">
      <c r="A1110" s="869" t="s">
        <v>8649</v>
      </c>
      <c r="E1110" s="532" t="s">
        <v>5661</v>
      </c>
      <c r="F1110" s="520" t="s">
        <v>8733</v>
      </c>
    </row>
    <row r="1111" spans="1:6" s="646" customFormat="1">
      <c r="A1111" s="869" t="s">
        <v>521</v>
      </c>
      <c r="E1111" s="532">
        <v>0</v>
      </c>
      <c r="F1111" s="520" t="s">
        <v>9185</v>
      </c>
    </row>
    <row r="1112" spans="1:6" s="646" customFormat="1">
      <c r="A1112" s="869" t="s">
        <v>8650</v>
      </c>
      <c r="E1112" s="532" t="s">
        <v>5661</v>
      </c>
      <c r="F1112" s="520" t="s">
        <v>8734</v>
      </c>
    </row>
    <row r="1113" spans="1:6" s="646" customFormat="1">
      <c r="A1113" s="869" t="s">
        <v>9063</v>
      </c>
      <c r="E1113" s="885" t="s">
        <v>5661</v>
      </c>
      <c r="F1113" s="520" t="s">
        <v>9186</v>
      </c>
    </row>
    <row r="1114" spans="1:6" s="646" customFormat="1">
      <c r="A1114" s="869" t="s">
        <v>9064</v>
      </c>
      <c r="E1114" s="885" t="s">
        <v>5661</v>
      </c>
      <c r="F1114" s="520" t="s">
        <v>9187</v>
      </c>
    </row>
    <row r="1115" spans="1:6" s="646" customFormat="1">
      <c r="A1115" s="869" t="s">
        <v>9068</v>
      </c>
      <c r="E1115" s="532" t="s">
        <v>5661</v>
      </c>
      <c r="F1115" s="520" t="s">
        <v>9188</v>
      </c>
    </row>
    <row r="1116" spans="1:6" s="646" customFormat="1">
      <c r="A1116" s="869" t="s">
        <v>11554</v>
      </c>
      <c r="E1116" s="532" t="s">
        <v>5661</v>
      </c>
      <c r="F1116" s="520" t="s">
        <v>12220</v>
      </c>
    </row>
    <row r="1117" spans="1:6" s="646" customFormat="1">
      <c r="A1117" s="869" t="s">
        <v>4410</v>
      </c>
      <c r="E1117" s="532" t="s">
        <v>5661</v>
      </c>
      <c r="F1117" s="520" t="s">
        <v>9189</v>
      </c>
    </row>
    <row r="1118" spans="1:6" s="646" customFormat="1">
      <c r="A1118" s="869" t="s">
        <v>3329</v>
      </c>
      <c r="C1118" s="956"/>
      <c r="D1118" s="956"/>
      <c r="E1118" s="957" t="s">
        <v>5661</v>
      </c>
      <c r="F1118" s="520" t="s">
        <v>9190</v>
      </c>
    </row>
    <row r="1119" spans="1:6" s="646" customFormat="1">
      <c r="A1119" s="869" t="s">
        <v>5912</v>
      </c>
      <c r="E1119" s="870" t="s">
        <v>5661</v>
      </c>
      <c r="F1119" s="520" t="s">
        <v>12221</v>
      </c>
    </row>
    <row r="1120" spans="1:6" s="646" customFormat="1">
      <c r="A1120" s="869" t="s">
        <v>11563</v>
      </c>
      <c r="E1120" s="870" t="s">
        <v>5661</v>
      </c>
      <c r="F1120" s="520" t="s">
        <v>12222</v>
      </c>
    </row>
    <row r="1121" spans="1:6" s="646" customFormat="1">
      <c r="A1121" s="869" t="s">
        <v>3674</v>
      </c>
      <c r="E1121" s="870" t="s">
        <v>5661</v>
      </c>
      <c r="F1121" s="520" t="s">
        <v>9191</v>
      </c>
    </row>
    <row r="1122" spans="1:6" s="646" customFormat="1">
      <c r="A1122" s="869" t="s">
        <v>4413</v>
      </c>
      <c r="E1122" s="958" t="s">
        <v>5661</v>
      </c>
      <c r="F1122" s="520" t="s">
        <v>12670</v>
      </c>
    </row>
    <row r="1123" spans="1:6" s="646" customFormat="1">
      <c r="A1123" s="869" t="s">
        <v>11388</v>
      </c>
      <c r="E1123" s="958" t="s">
        <v>5661</v>
      </c>
      <c r="F1123" s="520" t="s">
        <v>12694</v>
      </c>
    </row>
    <row r="1124" spans="1:6" s="646" customFormat="1">
      <c r="A1124" s="869" t="s">
        <v>5195</v>
      </c>
      <c r="E1124" s="958" t="s">
        <v>5661</v>
      </c>
      <c r="F1124" s="520" t="s">
        <v>12223</v>
      </c>
    </row>
    <row r="1125" spans="1:6" s="646" customFormat="1">
      <c r="A1125" s="869" t="s">
        <v>157</v>
      </c>
      <c r="E1125" s="960" t="s">
        <v>5661</v>
      </c>
      <c r="F1125" s="520" t="s">
        <v>10509</v>
      </c>
    </row>
    <row r="1126" spans="1:6" s="646" customFormat="1">
      <c r="A1126" s="869" t="s">
        <v>10370</v>
      </c>
      <c r="E1126" s="960" t="s">
        <v>5661</v>
      </c>
      <c r="F1126" s="520" t="s">
        <v>10412</v>
      </c>
    </row>
    <row r="1127" spans="1:6" s="646" customFormat="1">
      <c r="A1127" s="869"/>
      <c r="E1127" s="532"/>
      <c r="F1127" s="520"/>
    </row>
    <row r="1128" spans="1:6" s="646" customFormat="1">
      <c r="A1128" s="879" t="s">
        <v>239</v>
      </c>
      <c r="E1128" s="532"/>
    </row>
    <row r="1129" spans="1:6" s="646" customFormat="1">
      <c r="A1129" s="878" t="s">
        <v>3859</v>
      </c>
      <c r="E1129" s="532"/>
    </row>
    <row r="1130" spans="1:6" s="646" customFormat="1">
      <c r="A1130" s="869" t="s">
        <v>8649</v>
      </c>
      <c r="E1130" s="532">
        <v>102175505.47243647</v>
      </c>
      <c r="F1130" s="520" t="s">
        <v>8735</v>
      </c>
    </row>
    <row r="1131" spans="1:6" s="646" customFormat="1">
      <c r="A1131" s="869" t="s">
        <v>521</v>
      </c>
      <c r="E1131" s="532">
        <v>55092480.095375776</v>
      </c>
      <c r="F1131" s="520" t="s">
        <v>9192</v>
      </c>
    </row>
    <row r="1132" spans="1:6" s="646" customFormat="1">
      <c r="A1132" s="869" t="s">
        <v>8650</v>
      </c>
      <c r="E1132" s="532">
        <v>21778586.864455305</v>
      </c>
      <c r="F1132" s="520" t="s">
        <v>8736</v>
      </c>
    </row>
    <row r="1133" spans="1:6" s="646" customFormat="1">
      <c r="A1133" s="869" t="s">
        <v>9063</v>
      </c>
      <c r="E1133" s="885">
        <v>4.6915580936610937</v>
      </c>
      <c r="F1133" s="520" t="s">
        <v>9193</v>
      </c>
    </row>
    <row r="1134" spans="1:6" s="646" customFormat="1">
      <c r="A1134" s="869" t="s">
        <v>9064</v>
      </c>
      <c r="E1134" s="885">
        <v>2.5296627571962378</v>
      </c>
      <c r="F1134" s="520" t="s">
        <v>9194</v>
      </c>
    </row>
    <row r="1135" spans="1:6" s="646" customFormat="1">
      <c r="A1135" s="869" t="s">
        <v>9068</v>
      </c>
      <c r="E1135" s="532">
        <v>7.2</v>
      </c>
      <c r="F1135" s="520" t="s">
        <v>9195</v>
      </c>
    </row>
    <row r="1136" spans="1:6" s="646" customFormat="1">
      <c r="A1136" s="869" t="s">
        <v>11554</v>
      </c>
      <c r="E1136" s="532">
        <v>7.2</v>
      </c>
      <c r="F1136" s="520" t="s">
        <v>12224</v>
      </c>
    </row>
    <row r="1137" spans="1:6" s="646" customFormat="1">
      <c r="A1137" s="869" t="s">
        <v>4410</v>
      </c>
      <c r="E1137" s="532">
        <v>7.2</v>
      </c>
      <c r="F1137" s="520" t="s">
        <v>9196</v>
      </c>
    </row>
    <row r="1138" spans="1:6" s="646" customFormat="1">
      <c r="A1138" s="869" t="s">
        <v>3329</v>
      </c>
      <c r="C1138" s="956"/>
      <c r="D1138" s="956"/>
      <c r="E1138" s="957" t="s">
        <v>3766</v>
      </c>
      <c r="F1138" s="520" t="s">
        <v>9197</v>
      </c>
    </row>
    <row r="1139" spans="1:6" s="646" customFormat="1">
      <c r="A1139" s="869" t="s">
        <v>5912</v>
      </c>
      <c r="E1139" s="870">
        <v>0</v>
      </c>
      <c r="F1139" s="520" t="s">
        <v>12225</v>
      </c>
    </row>
    <row r="1140" spans="1:6" s="646" customFormat="1">
      <c r="A1140" s="869" t="s">
        <v>11563</v>
      </c>
      <c r="E1140" s="870" t="s">
        <v>5661</v>
      </c>
      <c r="F1140" s="520" t="s">
        <v>12226</v>
      </c>
    </row>
    <row r="1141" spans="1:6" s="646" customFormat="1">
      <c r="A1141" s="869" t="s">
        <v>3674</v>
      </c>
      <c r="E1141" s="870">
        <v>0.78</v>
      </c>
      <c r="F1141" s="520" t="s">
        <v>9198</v>
      </c>
    </row>
    <row r="1142" spans="1:6" s="646" customFormat="1">
      <c r="A1142" s="869" t="s">
        <v>4413</v>
      </c>
      <c r="E1142" s="958" t="s">
        <v>5661</v>
      </c>
      <c r="F1142" s="520" t="s">
        <v>12671</v>
      </c>
    </row>
    <row r="1143" spans="1:6" s="646" customFormat="1">
      <c r="A1143" s="869" t="s">
        <v>11388</v>
      </c>
      <c r="E1143" s="958" t="s">
        <v>5661</v>
      </c>
      <c r="F1143" s="520" t="s">
        <v>12695</v>
      </c>
    </row>
    <row r="1144" spans="1:6" s="646" customFormat="1">
      <c r="A1144" s="869" t="s">
        <v>5195</v>
      </c>
      <c r="E1144" s="958" t="s">
        <v>5661</v>
      </c>
      <c r="F1144" s="520" t="s">
        <v>12227</v>
      </c>
    </row>
    <row r="1145" spans="1:6" s="646" customFormat="1">
      <c r="A1145" s="869" t="s">
        <v>157</v>
      </c>
      <c r="E1145" s="960">
        <v>41948377.358858354</v>
      </c>
      <c r="F1145" s="520" t="s">
        <v>10510</v>
      </c>
    </row>
    <row r="1146" spans="1:6" s="646" customFormat="1">
      <c r="A1146" s="869" t="s">
        <v>10370</v>
      </c>
      <c r="E1146" s="960">
        <v>1.9261294417280139</v>
      </c>
      <c r="F1146" s="520" t="s">
        <v>10413</v>
      </c>
    </row>
    <row r="1147" spans="1:6" s="646" customFormat="1">
      <c r="A1147" s="878" t="s">
        <v>3858</v>
      </c>
      <c r="E1147" s="532"/>
    </row>
    <row r="1148" spans="1:6" s="646" customFormat="1">
      <c r="A1148" s="869" t="s">
        <v>8649</v>
      </c>
      <c r="E1148" s="532" t="s">
        <v>5661</v>
      </c>
      <c r="F1148" s="520" t="s">
        <v>8737</v>
      </c>
    </row>
    <row r="1149" spans="1:6" s="646" customFormat="1">
      <c r="A1149" s="869" t="s">
        <v>521</v>
      </c>
      <c r="E1149" s="532">
        <v>0</v>
      </c>
      <c r="F1149" s="520" t="s">
        <v>9199</v>
      </c>
    </row>
    <row r="1150" spans="1:6" s="646" customFormat="1">
      <c r="A1150" s="869" t="s">
        <v>8650</v>
      </c>
      <c r="E1150" s="532" t="s">
        <v>5661</v>
      </c>
      <c r="F1150" s="520" t="s">
        <v>8738</v>
      </c>
    </row>
    <row r="1151" spans="1:6" s="646" customFormat="1">
      <c r="A1151" s="869" t="s">
        <v>9063</v>
      </c>
      <c r="E1151" s="885" t="s">
        <v>5661</v>
      </c>
      <c r="F1151" s="520" t="s">
        <v>9200</v>
      </c>
    </row>
    <row r="1152" spans="1:6" s="646" customFormat="1">
      <c r="A1152" s="869" t="s">
        <v>9064</v>
      </c>
      <c r="E1152" s="885" t="s">
        <v>5661</v>
      </c>
      <c r="F1152" s="520" t="s">
        <v>9201</v>
      </c>
    </row>
    <row r="1153" spans="1:6" s="646" customFormat="1">
      <c r="A1153" s="869" t="s">
        <v>9068</v>
      </c>
      <c r="E1153" s="532" t="s">
        <v>5661</v>
      </c>
      <c r="F1153" s="520" t="s">
        <v>9202</v>
      </c>
    </row>
    <row r="1154" spans="1:6" s="646" customFormat="1">
      <c r="A1154" s="869" t="s">
        <v>11554</v>
      </c>
      <c r="E1154" s="532" t="s">
        <v>5661</v>
      </c>
      <c r="F1154" s="520" t="s">
        <v>12228</v>
      </c>
    </row>
    <row r="1155" spans="1:6" s="646" customFormat="1">
      <c r="A1155" s="869" t="s">
        <v>4410</v>
      </c>
      <c r="E1155" s="532" t="s">
        <v>5661</v>
      </c>
      <c r="F1155" s="520" t="s">
        <v>9203</v>
      </c>
    </row>
    <row r="1156" spans="1:6" s="646" customFormat="1">
      <c r="A1156" s="869" t="s">
        <v>3329</v>
      </c>
      <c r="C1156" s="956"/>
      <c r="D1156" s="956"/>
      <c r="E1156" s="957" t="s">
        <v>5661</v>
      </c>
      <c r="F1156" s="520" t="s">
        <v>9204</v>
      </c>
    </row>
    <row r="1157" spans="1:6" s="646" customFormat="1">
      <c r="A1157" s="869" t="s">
        <v>5912</v>
      </c>
      <c r="E1157" s="870" t="s">
        <v>5661</v>
      </c>
      <c r="F1157" s="520" t="s">
        <v>12229</v>
      </c>
    </row>
    <row r="1158" spans="1:6" s="646" customFormat="1">
      <c r="A1158" s="869" t="s">
        <v>11563</v>
      </c>
      <c r="E1158" s="870" t="s">
        <v>5661</v>
      </c>
      <c r="F1158" s="520" t="s">
        <v>12230</v>
      </c>
    </row>
    <row r="1159" spans="1:6" s="646" customFormat="1">
      <c r="A1159" s="869" t="s">
        <v>3674</v>
      </c>
      <c r="E1159" s="870" t="s">
        <v>5661</v>
      </c>
      <c r="F1159" s="520" t="s">
        <v>9205</v>
      </c>
    </row>
    <row r="1160" spans="1:6" s="646" customFormat="1">
      <c r="A1160" s="869" t="s">
        <v>4413</v>
      </c>
      <c r="E1160" s="958" t="s">
        <v>5661</v>
      </c>
      <c r="F1160" s="520" t="s">
        <v>12672</v>
      </c>
    </row>
    <row r="1161" spans="1:6" s="646" customFormat="1">
      <c r="A1161" s="869" t="s">
        <v>11388</v>
      </c>
      <c r="E1161" s="958" t="s">
        <v>5661</v>
      </c>
      <c r="F1161" s="520" t="s">
        <v>12696</v>
      </c>
    </row>
    <row r="1162" spans="1:6" s="646" customFormat="1">
      <c r="A1162" s="869" t="s">
        <v>5195</v>
      </c>
      <c r="E1162" s="958" t="s">
        <v>5661</v>
      </c>
      <c r="F1162" s="520" t="s">
        <v>12231</v>
      </c>
    </row>
    <row r="1163" spans="1:6" s="646" customFormat="1">
      <c r="A1163" s="869" t="s">
        <v>157</v>
      </c>
      <c r="E1163" s="960" t="s">
        <v>5661</v>
      </c>
      <c r="F1163" s="520" t="s">
        <v>10511</v>
      </c>
    </row>
    <row r="1164" spans="1:6" s="646" customFormat="1">
      <c r="A1164" s="869" t="s">
        <v>10370</v>
      </c>
      <c r="E1164" s="960" t="s">
        <v>5661</v>
      </c>
      <c r="F1164" s="520" t="s">
        <v>10414</v>
      </c>
    </row>
    <row r="1165" spans="1:6" s="646" customFormat="1">
      <c r="A1165" s="878" t="s">
        <v>3860</v>
      </c>
      <c r="E1165" s="532"/>
    </row>
    <row r="1166" spans="1:6" s="646" customFormat="1">
      <c r="A1166" s="869" t="s">
        <v>8649</v>
      </c>
      <c r="E1166" s="532" t="s">
        <v>5661</v>
      </c>
      <c r="F1166" s="520" t="s">
        <v>8739</v>
      </c>
    </row>
    <row r="1167" spans="1:6" s="646" customFormat="1">
      <c r="A1167" s="869" t="s">
        <v>521</v>
      </c>
      <c r="E1167" s="532">
        <v>0</v>
      </c>
      <c r="F1167" s="520" t="s">
        <v>9206</v>
      </c>
    </row>
    <row r="1168" spans="1:6" s="646" customFormat="1">
      <c r="A1168" s="869" t="s">
        <v>8650</v>
      </c>
      <c r="E1168" s="532" t="s">
        <v>5661</v>
      </c>
      <c r="F1168" s="520" t="s">
        <v>8740</v>
      </c>
    </row>
    <row r="1169" spans="1:6" s="646" customFormat="1">
      <c r="A1169" s="869" t="s">
        <v>9063</v>
      </c>
      <c r="E1169" s="885" t="s">
        <v>5661</v>
      </c>
      <c r="F1169" s="520" t="s">
        <v>9207</v>
      </c>
    </row>
    <row r="1170" spans="1:6" s="646" customFormat="1">
      <c r="A1170" s="869" t="s">
        <v>9064</v>
      </c>
      <c r="E1170" s="885" t="s">
        <v>5661</v>
      </c>
      <c r="F1170" s="520" t="s">
        <v>9208</v>
      </c>
    </row>
    <row r="1171" spans="1:6" s="646" customFormat="1">
      <c r="A1171" s="869" t="s">
        <v>9068</v>
      </c>
      <c r="E1171" s="532" t="s">
        <v>5661</v>
      </c>
      <c r="F1171" s="520" t="s">
        <v>9209</v>
      </c>
    </row>
    <row r="1172" spans="1:6" s="646" customFormat="1">
      <c r="A1172" s="869" t="s">
        <v>11554</v>
      </c>
      <c r="E1172" s="532" t="s">
        <v>5661</v>
      </c>
      <c r="F1172" s="520" t="s">
        <v>12232</v>
      </c>
    </row>
    <row r="1173" spans="1:6" s="646" customFormat="1">
      <c r="A1173" s="869" t="s">
        <v>4410</v>
      </c>
      <c r="E1173" s="532" t="s">
        <v>5661</v>
      </c>
      <c r="F1173" s="520" t="s">
        <v>9210</v>
      </c>
    </row>
    <row r="1174" spans="1:6" s="646" customFormat="1">
      <c r="A1174" s="869" t="s">
        <v>3329</v>
      </c>
      <c r="C1174" s="956"/>
      <c r="D1174" s="956"/>
      <c r="E1174" s="957" t="s">
        <v>5661</v>
      </c>
      <c r="F1174" s="520" t="s">
        <v>9211</v>
      </c>
    </row>
    <row r="1175" spans="1:6" s="646" customFormat="1">
      <c r="A1175" s="869" t="s">
        <v>5912</v>
      </c>
      <c r="E1175" s="870" t="s">
        <v>5661</v>
      </c>
      <c r="F1175" s="520" t="s">
        <v>12233</v>
      </c>
    </row>
    <row r="1176" spans="1:6" s="646" customFormat="1">
      <c r="A1176" s="869" t="s">
        <v>11563</v>
      </c>
      <c r="E1176" s="870" t="s">
        <v>5661</v>
      </c>
      <c r="F1176" s="520" t="s">
        <v>12234</v>
      </c>
    </row>
    <row r="1177" spans="1:6" s="646" customFormat="1">
      <c r="A1177" s="869" t="s">
        <v>3674</v>
      </c>
      <c r="E1177" s="870" t="s">
        <v>5661</v>
      </c>
      <c r="F1177" s="520" t="s">
        <v>9212</v>
      </c>
    </row>
    <row r="1178" spans="1:6" s="646" customFormat="1">
      <c r="A1178" s="869" t="s">
        <v>4413</v>
      </c>
      <c r="E1178" s="958" t="s">
        <v>5661</v>
      </c>
      <c r="F1178" s="520" t="s">
        <v>12673</v>
      </c>
    </row>
    <row r="1179" spans="1:6" s="646" customFormat="1">
      <c r="A1179" s="869" t="s">
        <v>11388</v>
      </c>
      <c r="E1179" s="958" t="s">
        <v>5661</v>
      </c>
      <c r="F1179" s="520" t="s">
        <v>12697</v>
      </c>
    </row>
    <row r="1180" spans="1:6" s="646" customFormat="1">
      <c r="A1180" s="869" t="s">
        <v>5195</v>
      </c>
      <c r="E1180" s="958" t="s">
        <v>5661</v>
      </c>
      <c r="F1180" s="520" t="s">
        <v>12235</v>
      </c>
    </row>
    <row r="1181" spans="1:6" s="646" customFormat="1">
      <c r="A1181" s="869" t="s">
        <v>157</v>
      </c>
      <c r="E1181" s="960" t="s">
        <v>5661</v>
      </c>
      <c r="F1181" s="520" t="s">
        <v>10512</v>
      </c>
    </row>
    <row r="1182" spans="1:6" s="646" customFormat="1">
      <c r="A1182" s="869" t="s">
        <v>10370</v>
      </c>
      <c r="E1182" s="960" t="s">
        <v>5661</v>
      </c>
      <c r="F1182" s="520" t="s">
        <v>10415</v>
      </c>
    </row>
    <row r="1183" spans="1:6" s="646" customFormat="1">
      <c r="A1183" s="869"/>
      <c r="E1183" s="532"/>
      <c r="F1183" s="520"/>
    </row>
    <row r="1184" spans="1:6" s="646" customFormat="1">
      <c r="A1184" s="879" t="s">
        <v>240</v>
      </c>
      <c r="E1184" s="532"/>
    </row>
    <row r="1185" spans="1:6" s="646" customFormat="1">
      <c r="A1185" s="878" t="s">
        <v>3859</v>
      </c>
      <c r="E1185" s="532"/>
    </row>
    <row r="1186" spans="1:6" s="646" customFormat="1">
      <c r="A1186" s="869" t="s">
        <v>8649</v>
      </c>
      <c r="E1186" s="532">
        <v>322167938.79953289</v>
      </c>
      <c r="F1186" s="520" t="s">
        <v>8741</v>
      </c>
    </row>
    <row r="1187" spans="1:6" s="646" customFormat="1">
      <c r="A1187" s="869" t="s">
        <v>521</v>
      </c>
      <c r="E1187" s="532">
        <v>170082611.67817903</v>
      </c>
      <c r="F1187" s="520" t="s">
        <v>9213</v>
      </c>
    </row>
    <row r="1188" spans="1:6" s="646" customFormat="1">
      <c r="A1188" s="869" t="s">
        <v>8650</v>
      </c>
      <c r="E1188" s="532">
        <v>58335929.540598296</v>
      </c>
      <c r="F1188" s="520" t="s">
        <v>8742</v>
      </c>
    </row>
    <row r="1189" spans="1:6" s="646" customFormat="1">
      <c r="A1189" s="869" t="s">
        <v>9063</v>
      </c>
      <c r="E1189" s="885">
        <v>5.5226331582720967</v>
      </c>
      <c r="F1189" s="520" t="s">
        <v>9214</v>
      </c>
    </row>
    <row r="1190" spans="1:6" s="646" customFormat="1">
      <c r="A1190" s="869" t="s">
        <v>9064</v>
      </c>
      <c r="E1190" s="885">
        <v>2.9155721528327025</v>
      </c>
      <c r="F1190" s="520" t="s">
        <v>9215</v>
      </c>
    </row>
    <row r="1191" spans="1:6" s="646" customFormat="1">
      <c r="A1191" s="869" t="s">
        <v>9068</v>
      </c>
      <c r="E1191" s="532">
        <v>8.35</v>
      </c>
      <c r="F1191" s="520" t="s">
        <v>9216</v>
      </c>
    </row>
    <row r="1192" spans="1:6" s="646" customFormat="1">
      <c r="A1192" s="869" t="s">
        <v>11554</v>
      </c>
      <c r="E1192" s="532">
        <v>6.68</v>
      </c>
      <c r="F1192" s="520" t="s">
        <v>12236</v>
      </c>
    </row>
    <row r="1193" spans="1:6" s="646" customFormat="1">
      <c r="A1193" s="869" t="s">
        <v>4410</v>
      </c>
      <c r="E1193" s="532">
        <v>8.1294899959560087</v>
      </c>
      <c r="F1193" s="520" t="s">
        <v>9217</v>
      </c>
    </row>
    <row r="1194" spans="1:6" s="646" customFormat="1">
      <c r="A1194" s="869" t="s">
        <v>3329</v>
      </c>
      <c r="C1194" s="956"/>
      <c r="D1194" s="956"/>
      <c r="E1194" s="957" t="s">
        <v>584</v>
      </c>
      <c r="F1194" s="520" t="s">
        <v>9218</v>
      </c>
    </row>
    <row r="1195" spans="1:6" s="646" customFormat="1">
      <c r="A1195" s="869" t="s">
        <v>5912</v>
      </c>
      <c r="E1195" s="870">
        <v>0.13204191858921646</v>
      </c>
      <c r="F1195" s="520" t="s">
        <v>12237</v>
      </c>
    </row>
    <row r="1196" spans="1:6" s="646" customFormat="1">
      <c r="A1196" s="869" t="s">
        <v>11563</v>
      </c>
      <c r="E1196" s="870">
        <v>12.44067135401089</v>
      </c>
      <c r="F1196" s="520" t="s">
        <v>12238</v>
      </c>
    </row>
    <row r="1197" spans="1:6" s="646" customFormat="1">
      <c r="A1197" s="869" t="s">
        <v>3674</v>
      </c>
      <c r="E1197" s="870">
        <v>0.63000000000000012</v>
      </c>
      <c r="F1197" s="520" t="s">
        <v>9219</v>
      </c>
    </row>
    <row r="1198" spans="1:6" s="646" customFormat="1">
      <c r="A1198" s="869" t="s">
        <v>4413</v>
      </c>
      <c r="E1198" s="958">
        <v>0.78193417744435134</v>
      </c>
      <c r="F1198" s="520" t="s">
        <v>12674</v>
      </c>
    </row>
    <row r="1199" spans="1:6" s="646" customFormat="1">
      <c r="A1199" s="869" t="s">
        <v>11388</v>
      </c>
      <c r="E1199" s="958">
        <v>2.8032343213682296</v>
      </c>
      <c r="F1199" s="520" t="s">
        <v>12698</v>
      </c>
    </row>
    <row r="1200" spans="1:6" s="646" customFormat="1">
      <c r="A1200" s="869" t="s">
        <v>5195</v>
      </c>
      <c r="E1200" s="958">
        <v>2.0898926313492661</v>
      </c>
      <c r="F1200" s="520" t="s">
        <v>12239</v>
      </c>
    </row>
    <row r="1201" spans="1:6" s="646" customFormat="1">
      <c r="A1201" s="869" t="s">
        <v>157</v>
      </c>
      <c r="E1201" s="960">
        <v>134577179.51017979</v>
      </c>
      <c r="F1201" s="520" t="s">
        <v>10513</v>
      </c>
    </row>
    <row r="1202" spans="1:6" s="646" customFormat="1">
      <c r="A1202" s="869" t="s">
        <v>10370</v>
      </c>
      <c r="E1202" s="960">
        <v>2.3069346896499212</v>
      </c>
      <c r="F1202" s="520" t="s">
        <v>10416</v>
      </c>
    </row>
    <row r="1203" spans="1:6" s="646" customFormat="1">
      <c r="A1203" s="878" t="s">
        <v>3858</v>
      </c>
      <c r="E1203" s="532"/>
    </row>
    <row r="1204" spans="1:6" s="646" customFormat="1">
      <c r="A1204" s="869" t="s">
        <v>8649</v>
      </c>
      <c r="E1204" s="532" t="s">
        <v>5661</v>
      </c>
      <c r="F1204" s="520" t="s">
        <v>8743</v>
      </c>
    </row>
    <row r="1205" spans="1:6" s="646" customFormat="1">
      <c r="A1205" s="869" t="s">
        <v>521</v>
      </c>
      <c r="E1205" s="532">
        <v>0</v>
      </c>
      <c r="F1205" s="520" t="s">
        <v>9220</v>
      </c>
    </row>
    <row r="1206" spans="1:6" s="646" customFormat="1">
      <c r="A1206" s="869" t="s">
        <v>8650</v>
      </c>
      <c r="E1206" s="532" t="s">
        <v>5661</v>
      </c>
      <c r="F1206" s="520" t="s">
        <v>8744</v>
      </c>
    </row>
    <row r="1207" spans="1:6" s="646" customFormat="1">
      <c r="A1207" s="869" t="s">
        <v>9063</v>
      </c>
      <c r="E1207" s="885" t="s">
        <v>5661</v>
      </c>
      <c r="F1207" s="520" t="s">
        <v>9221</v>
      </c>
    </row>
    <row r="1208" spans="1:6" s="646" customFormat="1">
      <c r="A1208" s="869" t="s">
        <v>9064</v>
      </c>
      <c r="E1208" s="885" t="s">
        <v>5661</v>
      </c>
      <c r="F1208" s="520" t="s">
        <v>9222</v>
      </c>
    </row>
    <row r="1209" spans="1:6" s="646" customFormat="1">
      <c r="A1209" s="869" t="s">
        <v>9068</v>
      </c>
      <c r="E1209" s="532" t="s">
        <v>5661</v>
      </c>
      <c r="F1209" s="520" t="s">
        <v>9223</v>
      </c>
    </row>
    <row r="1210" spans="1:6" s="646" customFormat="1">
      <c r="A1210" s="869" t="s">
        <v>11554</v>
      </c>
      <c r="E1210" s="532" t="s">
        <v>5661</v>
      </c>
      <c r="F1210" s="520" t="s">
        <v>12240</v>
      </c>
    </row>
    <row r="1211" spans="1:6" s="646" customFormat="1">
      <c r="A1211" s="869" t="s">
        <v>4410</v>
      </c>
      <c r="E1211" s="532" t="s">
        <v>5661</v>
      </c>
      <c r="F1211" s="520" t="s">
        <v>9224</v>
      </c>
    </row>
    <row r="1212" spans="1:6" s="646" customFormat="1">
      <c r="A1212" s="869" t="s">
        <v>3329</v>
      </c>
      <c r="C1212" s="956"/>
      <c r="D1212" s="956"/>
      <c r="E1212" s="957" t="s">
        <v>5661</v>
      </c>
      <c r="F1212" s="520" t="s">
        <v>9225</v>
      </c>
    </row>
    <row r="1213" spans="1:6" s="646" customFormat="1">
      <c r="A1213" s="869" t="s">
        <v>5912</v>
      </c>
      <c r="E1213" s="870" t="s">
        <v>5661</v>
      </c>
      <c r="F1213" s="520" t="s">
        <v>12241</v>
      </c>
    </row>
    <row r="1214" spans="1:6" s="646" customFormat="1">
      <c r="A1214" s="869" t="s">
        <v>11563</v>
      </c>
      <c r="E1214" s="870" t="s">
        <v>5661</v>
      </c>
      <c r="F1214" s="520" t="s">
        <v>12242</v>
      </c>
    </row>
    <row r="1215" spans="1:6" s="646" customFormat="1">
      <c r="A1215" s="869" t="s">
        <v>3674</v>
      </c>
      <c r="E1215" s="870" t="s">
        <v>5661</v>
      </c>
      <c r="F1215" s="520" t="s">
        <v>9226</v>
      </c>
    </row>
    <row r="1216" spans="1:6" s="646" customFormat="1">
      <c r="A1216" s="869" t="s">
        <v>4413</v>
      </c>
      <c r="E1216" s="958" t="s">
        <v>5661</v>
      </c>
      <c r="F1216" s="520" t="s">
        <v>12675</v>
      </c>
    </row>
    <row r="1217" spans="1:6" s="646" customFormat="1">
      <c r="A1217" s="869" t="s">
        <v>11388</v>
      </c>
      <c r="E1217" s="958" t="s">
        <v>5661</v>
      </c>
      <c r="F1217" s="520" t="s">
        <v>12699</v>
      </c>
    </row>
    <row r="1218" spans="1:6" s="646" customFormat="1">
      <c r="A1218" s="869" t="s">
        <v>5195</v>
      </c>
      <c r="E1218" s="958" t="s">
        <v>5661</v>
      </c>
      <c r="F1218" s="520" t="s">
        <v>12243</v>
      </c>
    </row>
    <row r="1219" spans="1:6" s="646" customFormat="1">
      <c r="A1219" s="869" t="s">
        <v>157</v>
      </c>
      <c r="E1219" s="960" t="s">
        <v>5661</v>
      </c>
      <c r="F1219" s="520" t="s">
        <v>10514</v>
      </c>
    </row>
    <row r="1220" spans="1:6" s="646" customFormat="1">
      <c r="A1220" s="869" t="s">
        <v>10370</v>
      </c>
      <c r="E1220" s="960" t="s">
        <v>5661</v>
      </c>
      <c r="F1220" s="520" t="s">
        <v>10417</v>
      </c>
    </row>
    <row r="1221" spans="1:6" s="646" customFormat="1">
      <c r="A1221" s="878" t="s">
        <v>3860</v>
      </c>
      <c r="E1221" s="532"/>
    </row>
    <row r="1222" spans="1:6" s="646" customFormat="1">
      <c r="A1222" s="869" t="s">
        <v>8649</v>
      </c>
      <c r="E1222" s="532" t="s">
        <v>5661</v>
      </c>
      <c r="F1222" s="520" t="s">
        <v>8745</v>
      </c>
    </row>
    <row r="1223" spans="1:6" s="646" customFormat="1">
      <c r="A1223" s="869" t="s">
        <v>521</v>
      </c>
      <c r="E1223" s="532">
        <v>0</v>
      </c>
      <c r="F1223" s="520" t="s">
        <v>9227</v>
      </c>
    </row>
    <row r="1224" spans="1:6" s="646" customFormat="1">
      <c r="A1224" s="869" t="s">
        <v>8650</v>
      </c>
      <c r="E1224" s="532" t="s">
        <v>5661</v>
      </c>
      <c r="F1224" s="520" t="s">
        <v>8746</v>
      </c>
    </row>
    <row r="1225" spans="1:6" s="646" customFormat="1">
      <c r="A1225" s="869" t="s">
        <v>9063</v>
      </c>
      <c r="E1225" s="885" t="s">
        <v>5661</v>
      </c>
      <c r="F1225" s="520" t="s">
        <v>9228</v>
      </c>
    </row>
    <row r="1226" spans="1:6" s="646" customFormat="1">
      <c r="A1226" s="869" t="s">
        <v>9064</v>
      </c>
      <c r="E1226" s="885" t="s">
        <v>5661</v>
      </c>
      <c r="F1226" s="520" t="s">
        <v>9229</v>
      </c>
    </row>
    <row r="1227" spans="1:6" s="646" customFormat="1">
      <c r="A1227" s="869" t="s">
        <v>9068</v>
      </c>
      <c r="E1227" s="532" t="s">
        <v>5661</v>
      </c>
      <c r="F1227" s="520" t="s">
        <v>9230</v>
      </c>
    </row>
    <row r="1228" spans="1:6" s="646" customFormat="1">
      <c r="A1228" s="869" t="s">
        <v>11554</v>
      </c>
      <c r="E1228" s="532" t="s">
        <v>5661</v>
      </c>
      <c r="F1228" s="520" t="s">
        <v>12244</v>
      </c>
    </row>
    <row r="1229" spans="1:6" s="646" customFormat="1">
      <c r="A1229" s="869" t="s">
        <v>4410</v>
      </c>
      <c r="E1229" s="532" t="s">
        <v>5661</v>
      </c>
      <c r="F1229" s="520" t="s">
        <v>9231</v>
      </c>
    </row>
    <row r="1230" spans="1:6" s="646" customFormat="1">
      <c r="A1230" s="869" t="s">
        <v>3329</v>
      </c>
      <c r="C1230" s="956"/>
      <c r="D1230" s="956"/>
      <c r="E1230" s="957" t="s">
        <v>5661</v>
      </c>
      <c r="F1230" s="520" t="s">
        <v>9232</v>
      </c>
    </row>
    <row r="1231" spans="1:6" s="646" customFormat="1">
      <c r="A1231" s="869" t="s">
        <v>5912</v>
      </c>
      <c r="E1231" s="870" t="s">
        <v>5661</v>
      </c>
      <c r="F1231" s="520" t="s">
        <v>12245</v>
      </c>
    </row>
    <row r="1232" spans="1:6" s="646" customFormat="1">
      <c r="A1232" s="869" t="s">
        <v>11563</v>
      </c>
      <c r="E1232" s="870" t="s">
        <v>5661</v>
      </c>
      <c r="F1232" s="520" t="s">
        <v>12246</v>
      </c>
    </row>
    <row r="1233" spans="1:6" s="646" customFormat="1">
      <c r="A1233" s="869" t="s">
        <v>3674</v>
      </c>
      <c r="E1233" s="870" t="s">
        <v>5661</v>
      </c>
      <c r="F1233" s="520" t="s">
        <v>9233</v>
      </c>
    </row>
    <row r="1234" spans="1:6" s="646" customFormat="1">
      <c r="A1234" s="869" t="s">
        <v>4413</v>
      </c>
      <c r="E1234" s="958" t="s">
        <v>5661</v>
      </c>
      <c r="F1234" s="520" t="s">
        <v>12676</v>
      </c>
    </row>
    <row r="1235" spans="1:6" s="646" customFormat="1">
      <c r="A1235" s="869" t="s">
        <v>11388</v>
      </c>
      <c r="E1235" s="958" t="s">
        <v>5661</v>
      </c>
      <c r="F1235" s="520" t="s">
        <v>12700</v>
      </c>
    </row>
    <row r="1236" spans="1:6" s="646" customFormat="1">
      <c r="A1236" s="869" t="s">
        <v>5195</v>
      </c>
      <c r="E1236" s="958" t="s">
        <v>5661</v>
      </c>
      <c r="F1236" s="520" t="s">
        <v>12247</v>
      </c>
    </row>
    <row r="1237" spans="1:6" s="646" customFormat="1">
      <c r="A1237" s="869" t="s">
        <v>157</v>
      </c>
      <c r="E1237" s="960" t="s">
        <v>5661</v>
      </c>
      <c r="F1237" s="520" t="s">
        <v>10515</v>
      </c>
    </row>
    <row r="1238" spans="1:6" s="646" customFormat="1">
      <c r="A1238" s="869" t="s">
        <v>10370</v>
      </c>
      <c r="E1238" s="960" t="s">
        <v>5661</v>
      </c>
      <c r="F1238" s="520" t="s">
        <v>10418</v>
      </c>
    </row>
    <row r="1239" spans="1:6" s="646" customFormat="1">
      <c r="A1239" s="869"/>
      <c r="E1239" s="960"/>
      <c r="F1239" s="520"/>
    </row>
    <row r="1240" spans="1:6" s="646" customFormat="1">
      <c r="A1240" s="977" t="s">
        <v>13071</v>
      </c>
      <c r="E1240" s="960"/>
      <c r="F1240" s="520"/>
    </row>
    <row r="1241" spans="1:6" s="646" customFormat="1">
      <c r="A1241" s="977" t="s">
        <v>244</v>
      </c>
      <c r="E1241" s="960"/>
      <c r="F1241" s="520"/>
    </row>
    <row r="1242" spans="1:6" s="646" customFormat="1">
      <c r="A1242" s="869" t="s">
        <v>12868</v>
      </c>
      <c r="E1242" s="960"/>
      <c r="F1242" s="520"/>
    </row>
    <row r="1243" spans="1:6" s="646" customFormat="1">
      <c r="A1243" s="869" t="s">
        <v>13072</v>
      </c>
      <c r="E1243" s="960">
        <v>4</v>
      </c>
      <c r="F1243" s="520" t="s">
        <v>13078</v>
      </c>
    </row>
    <row r="1244" spans="1:6" s="646" customFormat="1">
      <c r="A1244" s="869" t="s">
        <v>13073</v>
      </c>
      <c r="E1244" s="960">
        <v>2</v>
      </c>
      <c r="F1244" s="520" t="s">
        <v>13079</v>
      </c>
    </row>
    <row r="1245" spans="1:6" s="646" customFormat="1">
      <c r="A1245" s="869" t="s">
        <v>13074</v>
      </c>
      <c r="E1245" s="960">
        <v>0</v>
      </c>
      <c r="F1245" s="520" t="s">
        <v>13080</v>
      </c>
    </row>
    <row r="1246" spans="1:6" s="646" customFormat="1">
      <c r="A1246" s="869" t="s">
        <v>13075</v>
      </c>
      <c r="E1246" s="960">
        <v>0</v>
      </c>
      <c r="F1246" s="520" t="s">
        <v>13081</v>
      </c>
    </row>
    <row r="1247" spans="1:6" s="646" customFormat="1">
      <c r="A1247" s="869" t="s">
        <v>13076</v>
      </c>
      <c r="E1247" s="960">
        <v>0</v>
      </c>
      <c r="F1247" s="520" t="s">
        <v>13082</v>
      </c>
    </row>
    <row r="1248" spans="1:6" s="646" customFormat="1">
      <c r="A1248" s="869" t="s">
        <v>13077</v>
      </c>
      <c r="E1248" s="960">
        <v>0</v>
      </c>
      <c r="F1248" s="520" t="s">
        <v>13083</v>
      </c>
    </row>
    <row r="1249" spans="1:6" s="646" customFormat="1">
      <c r="A1249" s="869" t="s">
        <v>238</v>
      </c>
      <c r="E1249" s="960"/>
      <c r="F1249" s="520"/>
    </row>
    <row r="1250" spans="1:6" s="646" customFormat="1">
      <c r="A1250" s="869" t="s">
        <v>13072</v>
      </c>
      <c r="E1250" s="960">
        <v>2</v>
      </c>
      <c r="F1250" s="520" t="s">
        <v>13096</v>
      </c>
    </row>
    <row r="1251" spans="1:6" s="646" customFormat="1">
      <c r="A1251" s="869" t="s">
        <v>13073</v>
      </c>
      <c r="E1251" s="960">
        <v>0</v>
      </c>
      <c r="F1251" s="520" t="s">
        <v>13097</v>
      </c>
    </row>
    <row r="1252" spans="1:6" s="646" customFormat="1">
      <c r="A1252" s="869" t="s">
        <v>13074</v>
      </c>
      <c r="E1252" s="960">
        <v>3</v>
      </c>
      <c r="F1252" s="520" t="s">
        <v>13098</v>
      </c>
    </row>
    <row r="1253" spans="1:6" s="646" customFormat="1">
      <c r="A1253" s="869" t="s">
        <v>13075</v>
      </c>
      <c r="E1253" s="960">
        <v>2</v>
      </c>
      <c r="F1253" s="520" t="s">
        <v>13099</v>
      </c>
    </row>
    <row r="1254" spans="1:6" s="646" customFormat="1">
      <c r="A1254" s="869" t="s">
        <v>13076</v>
      </c>
      <c r="E1254" s="960">
        <v>0</v>
      </c>
      <c r="F1254" s="520" t="s">
        <v>13100</v>
      </c>
    </row>
    <row r="1255" spans="1:6" s="646" customFormat="1">
      <c r="A1255" s="869" t="s">
        <v>13077</v>
      </c>
      <c r="E1255" s="960">
        <v>0</v>
      </c>
      <c r="F1255" s="520" t="s">
        <v>13101</v>
      </c>
    </row>
    <row r="1256" spans="1:6" s="646" customFormat="1">
      <c r="A1256" s="869" t="s">
        <v>239</v>
      </c>
      <c r="E1256" s="960"/>
      <c r="F1256" s="520"/>
    </row>
    <row r="1257" spans="1:6" s="646" customFormat="1">
      <c r="A1257" s="869" t="s">
        <v>13072</v>
      </c>
      <c r="E1257" s="960">
        <v>2</v>
      </c>
      <c r="F1257" s="520" t="s">
        <v>13090</v>
      </c>
    </row>
    <row r="1258" spans="1:6" s="646" customFormat="1">
      <c r="A1258" s="869" t="s">
        <v>13073</v>
      </c>
      <c r="E1258" s="960">
        <v>0</v>
      </c>
      <c r="F1258" s="520" t="s">
        <v>13091</v>
      </c>
    </row>
    <row r="1259" spans="1:6" s="646" customFormat="1">
      <c r="A1259" s="869" t="s">
        <v>13074</v>
      </c>
      <c r="E1259" s="960">
        <v>3</v>
      </c>
      <c r="F1259" s="520" t="s">
        <v>13092</v>
      </c>
    </row>
    <row r="1260" spans="1:6" s="646" customFormat="1">
      <c r="A1260" s="869" t="s">
        <v>13075</v>
      </c>
      <c r="E1260" s="960">
        <v>0</v>
      </c>
      <c r="F1260" s="520" t="s">
        <v>13093</v>
      </c>
    </row>
    <row r="1261" spans="1:6" s="646" customFormat="1">
      <c r="A1261" s="869" t="s">
        <v>13076</v>
      </c>
      <c r="E1261" s="960">
        <v>0</v>
      </c>
      <c r="F1261" s="520" t="s">
        <v>13094</v>
      </c>
    </row>
    <row r="1262" spans="1:6" s="646" customFormat="1">
      <c r="A1262" s="869" t="s">
        <v>13077</v>
      </c>
      <c r="E1262" s="960">
        <v>0</v>
      </c>
      <c r="F1262" s="520" t="s">
        <v>13095</v>
      </c>
    </row>
    <row r="1263" spans="1:6" s="646" customFormat="1">
      <c r="A1263" s="869" t="s">
        <v>240</v>
      </c>
      <c r="E1263" s="960"/>
      <c r="F1263" s="520"/>
    </row>
    <row r="1264" spans="1:6" s="646" customFormat="1">
      <c r="A1264" s="869" t="s">
        <v>13072</v>
      </c>
      <c r="E1264" s="960">
        <v>0</v>
      </c>
      <c r="F1264" s="520" t="s">
        <v>13084</v>
      </c>
    </row>
    <row r="1265" spans="1:6" s="646" customFormat="1">
      <c r="A1265" s="869" t="s">
        <v>13073</v>
      </c>
      <c r="E1265" s="960">
        <v>0</v>
      </c>
      <c r="F1265" s="520" t="s">
        <v>13085</v>
      </c>
    </row>
    <row r="1266" spans="1:6" s="646" customFormat="1">
      <c r="A1266" s="869" t="s">
        <v>13074</v>
      </c>
      <c r="E1266" s="960">
        <v>0</v>
      </c>
      <c r="F1266" s="520" t="s">
        <v>13086</v>
      </c>
    </row>
    <row r="1267" spans="1:6" s="646" customFormat="1">
      <c r="A1267" s="869" t="s">
        <v>13075</v>
      </c>
      <c r="E1267" s="960">
        <v>0</v>
      </c>
      <c r="F1267" s="520" t="s">
        <v>13087</v>
      </c>
    </row>
    <row r="1268" spans="1:6" s="646" customFormat="1">
      <c r="A1268" s="869" t="s">
        <v>13076</v>
      </c>
      <c r="E1268" s="960">
        <v>0</v>
      </c>
      <c r="F1268" s="520" t="s">
        <v>13088</v>
      </c>
    </row>
    <row r="1269" spans="1:6" s="646" customFormat="1">
      <c r="A1269" s="869" t="s">
        <v>13077</v>
      </c>
      <c r="E1269" s="960">
        <v>0</v>
      </c>
      <c r="F1269" s="520" t="s">
        <v>13089</v>
      </c>
    </row>
    <row r="1270" spans="1:6" s="646" customFormat="1">
      <c r="A1270" s="977" t="s">
        <v>5199</v>
      </c>
      <c r="E1270" s="960"/>
      <c r="F1270" s="520"/>
    </row>
    <row r="1271" spans="1:6" s="646" customFormat="1">
      <c r="A1271" s="869" t="s">
        <v>12868</v>
      </c>
      <c r="E1271" s="960"/>
      <c r="F1271" s="520"/>
    </row>
    <row r="1272" spans="1:6" s="646" customFormat="1">
      <c r="A1272" s="869" t="s">
        <v>13072</v>
      </c>
      <c r="E1272" s="960">
        <v>2</v>
      </c>
      <c r="F1272" s="520" t="s">
        <v>13102</v>
      </c>
    </row>
    <row r="1273" spans="1:6" s="646" customFormat="1">
      <c r="A1273" s="869" t="s">
        <v>13074</v>
      </c>
      <c r="E1273" s="960">
        <v>0</v>
      </c>
      <c r="F1273" s="520" t="s">
        <v>13103</v>
      </c>
    </row>
    <row r="1274" spans="1:6" s="646" customFormat="1">
      <c r="A1274" s="869" t="s">
        <v>13076</v>
      </c>
      <c r="E1274" s="960">
        <v>0</v>
      </c>
      <c r="F1274" s="520" t="s">
        <v>13104</v>
      </c>
    </row>
    <row r="1275" spans="1:6" s="646" customFormat="1">
      <c r="A1275" s="869" t="s">
        <v>238</v>
      </c>
      <c r="E1275" s="960"/>
      <c r="F1275" s="520"/>
    </row>
    <row r="1276" spans="1:6" s="646" customFormat="1">
      <c r="A1276" s="869" t="s">
        <v>13072</v>
      </c>
      <c r="E1276" s="960">
        <v>2</v>
      </c>
      <c r="F1276" s="520" t="s">
        <v>13105</v>
      </c>
    </row>
    <row r="1277" spans="1:6" s="646" customFormat="1">
      <c r="A1277" s="869" t="s">
        <v>13074</v>
      </c>
      <c r="E1277" s="960">
        <v>2</v>
      </c>
      <c r="F1277" s="520" t="s">
        <v>13106</v>
      </c>
    </row>
    <row r="1278" spans="1:6" s="646" customFormat="1">
      <c r="A1278" s="869" t="s">
        <v>13076</v>
      </c>
      <c r="E1278" s="960">
        <v>0</v>
      </c>
      <c r="F1278" s="520" t="s">
        <v>13107</v>
      </c>
    </row>
    <row r="1279" spans="1:6" s="646" customFormat="1">
      <c r="A1279" s="869" t="s">
        <v>239</v>
      </c>
      <c r="E1279" s="960"/>
      <c r="F1279" s="520"/>
    </row>
    <row r="1280" spans="1:6" s="646" customFormat="1">
      <c r="A1280" s="869" t="s">
        <v>13072</v>
      </c>
      <c r="E1280" s="960">
        <v>3</v>
      </c>
      <c r="F1280" s="520" t="s">
        <v>13108</v>
      </c>
    </row>
    <row r="1281" spans="1:6" s="646" customFormat="1">
      <c r="A1281" s="869" t="s">
        <v>13074</v>
      </c>
      <c r="E1281" s="960">
        <v>0</v>
      </c>
      <c r="F1281" s="520" t="s">
        <v>13109</v>
      </c>
    </row>
    <row r="1282" spans="1:6" s="646" customFormat="1">
      <c r="A1282" s="869" t="s">
        <v>13076</v>
      </c>
      <c r="E1282" s="960">
        <v>0</v>
      </c>
      <c r="F1282" s="520" t="s">
        <v>13110</v>
      </c>
    </row>
    <row r="1283" spans="1:6" s="646" customFormat="1">
      <c r="A1283" s="869" t="s">
        <v>240</v>
      </c>
      <c r="E1283" s="960"/>
      <c r="F1283" s="520"/>
    </row>
    <row r="1284" spans="1:6" s="646" customFormat="1">
      <c r="A1284" s="869" t="s">
        <v>13072</v>
      </c>
      <c r="E1284" s="960">
        <v>0</v>
      </c>
      <c r="F1284" s="520" t="s">
        <v>13111</v>
      </c>
    </row>
    <row r="1285" spans="1:6" s="646" customFormat="1">
      <c r="A1285" s="869" t="s">
        <v>13074</v>
      </c>
      <c r="E1285" s="960">
        <v>0</v>
      </c>
      <c r="F1285" s="520" t="s">
        <v>13112</v>
      </c>
    </row>
    <row r="1286" spans="1:6" s="646" customFormat="1">
      <c r="A1286" s="869" t="s">
        <v>13076</v>
      </c>
      <c r="E1286" s="960">
        <v>0</v>
      </c>
      <c r="F1286" s="520" t="s">
        <v>13113</v>
      </c>
    </row>
    <row r="1287" spans="1:6" s="646" customFormat="1">
      <c r="A1287" s="977" t="s">
        <v>246</v>
      </c>
      <c r="E1287" s="960"/>
      <c r="F1287" s="520"/>
    </row>
    <row r="1288" spans="1:6" s="646" customFormat="1">
      <c r="A1288" s="869" t="s">
        <v>12868</v>
      </c>
      <c r="E1288" s="960"/>
      <c r="F1288" s="520"/>
    </row>
    <row r="1289" spans="1:6" s="646" customFormat="1">
      <c r="A1289" s="869" t="s">
        <v>13072</v>
      </c>
      <c r="E1289" s="960">
        <v>4</v>
      </c>
      <c r="F1289" s="520" t="s">
        <v>13114</v>
      </c>
    </row>
    <row r="1290" spans="1:6" s="646" customFormat="1">
      <c r="A1290" s="869" t="s">
        <v>13074</v>
      </c>
      <c r="E1290" s="960">
        <v>0</v>
      </c>
      <c r="F1290" s="520" t="s">
        <v>13115</v>
      </c>
    </row>
    <row r="1291" spans="1:6" s="646" customFormat="1">
      <c r="A1291" s="869" t="s">
        <v>13076</v>
      </c>
      <c r="E1291" s="960">
        <v>0</v>
      </c>
      <c r="F1291" s="520" t="s">
        <v>13116</v>
      </c>
    </row>
    <row r="1292" spans="1:6" s="646" customFormat="1">
      <c r="A1292" s="869" t="s">
        <v>238</v>
      </c>
      <c r="E1292" s="960"/>
      <c r="F1292" s="520"/>
    </row>
    <row r="1293" spans="1:6" s="646" customFormat="1">
      <c r="A1293" s="869" t="s">
        <v>13072</v>
      </c>
      <c r="E1293" s="960">
        <v>8</v>
      </c>
      <c r="F1293" s="520" t="s">
        <v>13117</v>
      </c>
    </row>
    <row r="1294" spans="1:6" s="646" customFormat="1">
      <c r="A1294" s="869" t="s">
        <v>13074</v>
      </c>
      <c r="E1294" s="960">
        <v>0</v>
      </c>
      <c r="F1294" s="520" t="s">
        <v>13118</v>
      </c>
    </row>
    <row r="1295" spans="1:6" s="646" customFormat="1">
      <c r="A1295" s="869" t="s">
        <v>13076</v>
      </c>
      <c r="E1295" s="960">
        <v>0</v>
      </c>
      <c r="F1295" s="520" t="s">
        <v>13119</v>
      </c>
    </row>
    <row r="1296" spans="1:6" s="646" customFormat="1">
      <c r="A1296" s="869" t="s">
        <v>239</v>
      </c>
      <c r="E1296" s="960"/>
      <c r="F1296" s="520"/>
    </row>
    <row r="1297" spans="1:7" s="646" customFormat="1">
      <c r="A1297" s="869" t="s">
        <v>13072</v>
      </c>
      <c r="E1297" s="960">
        <v>0</v>
      </c>
      <c r="F1297" s="520" t="s">
        <v>13120</v>
      </c>
    </row>
    <row r="1298" spans="1:7" s="646" customFormat="1">
      <c r="A1298" s="869" t="s">
        <v>13074</v>
      </c>
      <c r="E1298" s="960">
        <v>0</v>
      </c>
      <c r="F1298" s="520" t="s">
        <v>13121</v>
      </c>
    </row>
    <row r="1299" spans="1:7" s="646" customFormat="1">
      <c r="A1299" s="869" t="s">
        <v>13076</v>
      </c>
      <c r="E1299" s="960">
        <v>0</v>
      </c>
      <c r="F1299" s="520" t="s">
        <v>13122</v>
      </c>
    </row>
    <row r="1300" spans="1:7" s="646" customFormat="1">
      <c r="A1300" s="869" t="s">
        <v>240</v>
      </c>
      <c r="E1300" s="960"/>
      <c r="F1300" s="520"/>
    </row>
    <row r="1301" spans="1:7" s="646" customFormat="1">
      <c r="A1301" s="869" t="s">
        <v>13072</v>
      </c>
      <c r="E1301" s="960">
        <v>2</v>
      </c>
      <c r="F1301" s="520" t="s">
        <v>13123</v>
      </c>
    </row>
    <row r="1302" spans="1:7" s="646" customFormat="1">
      <c r="A1302" s="869" t="s">
        <v>13074</v>
      </c>
      <c r="E1302" s="960">
        <v>0</v>
      </c>
      <c r="F1302" s="520" t="s">
        <v>13124</v>
      </c>
    </row>
    <row r="1303" spans="1:7" s="646" customFormat="1">
      <c r="A1303" s="869" t="s">
        <v>13076</v>
      </c>
      <c r="E1303" s="960">
        <v>0</v>
      </c>
      <c r="F1303" s="520" t="s">
        <v>13125</v>
      </c>
    </row>
    <row r="1304" spans="1:7" s="646" customFormat="1">
      <c r="A1304" s="869"/>
      <c r="E1304" s="960"/>
      <c r="F1304" s="520"/>
    </row>
    <row r="1305" spans="1:7" s="646" customFormat="1">
      <c r="A1305" s="869"/>
      <c r="E1305" s="960"/>
      <c r="F1305" s="520"/>
    </row>
    <row r="1306" spans="1:7" s="321" customFormat="1">
      <c r="A1306" s="12" t="s">
        <v>24</v>
      </c>
      <c r="B1306" s="12"/>
      <c r="C1306" s="12"/>
      <c r="D1306" s="12"/>
      <c r="E1306" s="16"/>
      <c r="F1306" s="12"/>
      <c r="G1306" s="12"/>
    </row>
    <row r="1307" spans="1:7">
      <c r="E1307" s="18" t="s">
        <v>25</v>
      </c>
    </row>
    <row r="1309" spans="1:7">
      <c r="E1309"/>
    </row>
    <row r="1310" spans="1:7">
      <c r="E1310"/>
    </row>
    <row r="1311" spans="1:7">
      <c r="E1311"/>
    </row>
    <row r="1312" spans="1:7">
      <c r="E1312"/>
    </row>
    <row r="1313" spans="5:5">
      <c r="E1313"/>
    </row>
    <row r="1314" spans="5:5">
      <c r="E1314"/>
    </row>
    <row r="1315" spans="5:5">
      <c r="E1315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1"/>
  </sheetPr>
  <dimension ref="A1:N457"/>
  <sheetViews>
    <sheetView zoomScale="63" zoomScaleNormal="63" workbookViewId="0">
      <selection activeCell="D15" sqref="D15"/>
    </sheetView>
  </sheetViews>
  <sheetFormatPr defaultRowHeight="14.25"/>
  <cols>
    <col min="2" max="2" width="28.59765625" customWidth="1"/>
    <col min="3" max="3" width="10.3984375" bestFit="1" customWidth="1"/>
    <col min="4" max="4" width="26.5" customWidth="1"/>
    <col min="5" max="5" width="14.5" style="18" bestFit="1" customWidth="1"/>
    <col min="8" max="9" width="8.69921875" style="800"/>
    <col min="10" max="10" width="10.69921875" customWidth="1"/>
    <col min="11" max="14" width="12.09765625" customWidth="1"/>
  </cols>
  <sheetData>
    <row r="1" spans="1:14" s="10" customFormat="1">
      <c r="A1" s="9" t="s">
        <v>186</v>
      </c>
      <c r="B1" s="9"/>
      <c r="E1" s="10" t="s">
        <v>5</v>
      </c>
    </row>
    <row r="2" spans="1:14" s="11" customFormat="1">
      <c r="B2" s="29"/>
      <c r="C2" s="11" t="s">
        <v>187</v>
      </c>
      <c r="D2" s="11" t="s">
        <v>188</v>
      </c>
      <c r="E2" s="11">
        <v>1</v>
      </c>
      <c r="F2" s="29" t="s">
        <v>211</v>
      </c>
    </row>
    <row r="4" spans="1:14">
      <c r="A4" t="s">
        <v>189</v>
      </c>
      <c r="B4" s="110">
        <v>102</v>
      </c>
      <c r="C4" t="s">
        <v>190</v>
      </c>
    </row>
    <row r="5" spans="1:14">
      <c r="A5" t="s">
        <v>191</v>
      </c>
      <c r="B5" s="110">
        <v>101</v>
      </c>
      <c r="C5" t="s">
        <v>192</v>
      </c>
    </row>
    <row r="6" spans="1:14" s="800" customFormat="1">
      <c r="A6" s="800" t="s">
        <v>191</v>
      </c>
      <c r="B6" s="110">
        <v>103</v>
      </c>
      <c r="C6" s="800" t="s">
        <v>10242</v>
      </c>
      <c r="E6" s="18"/>
    </row>
    <row r="7" spans="1:14" s="800" customFormat="1">
      <c r="A7" s="800" t="s">
        <v>191</v>
      </c>
      <c r="B7" s="110">
        <v>104</v>
      </c>
      <c r="C7" s="800" t="s">
        <v>10243</v>
      </c>
      <c r="E7" s="18"/>
    </row>
    <row r="9" spans="1:14" s="11" customFormat="1">
      <c r="A9" s="29" t="s">
        <v>67</v>
      </c>
      <c r="B9" s="29"/>
      <c r="F9" s="11" t="s">
        <v>83</v>
      </c>
      <c r="G9" s="11" t="s">
        <v>193</v>
      </c>
      <c r="H9" s="11" t="s">
        <v>10244</v>
      </c>
      <c r="I9" s="11" t="s">
        <v>10245</v>
      </c>
      <c r="J9" s="11" t="s">
        <v>194</v>
      </c>
      <c r="K9" s="11" t="s">
        <v>195</v>
      </c>
      <c r="L9" s="11" t="s">
        <v>196</v>
      </c>
      <c r="M9" s="11" t="s">
        <v>197</v>
      </c>
      <c r="N9" s="11" t="s">
        <v>198</v>
      </c>
    </row>
    <row r="10" spans="1:14">
      <c r="A10" s="6" t="s">
        <v>81</v>
      </c>
      <c r="B10" s="23" t="s">
        <v>199</v>
      </c>
      <c r="C10" s="23"/>
      <c r="D10" s="23"/>
      <c r="E10" s="6"/>
      <c r="F10" s="23"/>
      <c r="G10" s="23"/>
      <c r="H10" s="614"/>
      <c r="I10" s="614"/>
      <c r="J10" s="23"/>
      <c r="K10" s="23"/>
      <c r="L10" s="23"/>
      <c r="M10" s="23"/>
      <c r="N10" s="23"/>
    </row>
    <row r="11" spans="1:14">
      <c r="A11" s="90">
        <v>1</v>
      </c>
      <c r="B11" s="29" t="str">
        <f>INDEX(SI_Name,A11+1)</f>
        <v>Category Management - Hypermarkets</v>
      </c>
      <c r="C11" s="22" t="s">
        <v>200</v>
      </c>
      <c r="D11" s="22"/>
      <c r="E11" s="150" t="b">
        <f>VLOOKUP($A11,calcTableSIsLaunched,adj_IndexTeam+1,FALSE)</f>
        <v>0</v>
      </c>
      <c r="F11" s="10">
        <f>SUMIF(C13:C22,adj_FTECode,K13:K22)</f>
        <v>2</v>
      </c>
      <c r="G11" s="10">
        <f>SUMIF(C13:C22,adj_CostCode,K13:K22)</f>
        <v>3000000</v>
      </c>
      <c r="H11" s="10">
        <f>SUMIF(C13:C22,adj_RepCostCode,K13:K22)</f>
        <v>0</v>
      </c>
      <c r="I11" s="10">
        <f>SUMIF(C13:C22,adj_RepMTUCostCode,K13:K22)</f>
        <v>0</v>
      </c>
      <c r="J11" s="22"/>
      <c r="K11" s="22"/>
      <c r="L11" s="22"/>
      <c r="M11" s="22"/>
      <c r="N11" s="22"/>
    </row>
    <row r="12" spans="1:14">
      <c r="A12" s="6"/>
      <c r="B12" s="23"/>
      <c r="C12" s="23" t="s">
        <v>201</v>
      </c>
      <c r="D12" s="23"/>
      <c r="E12" s="150">
        <f>VLOOKUP($A11,calcTableSIsRoundsIntoLaunch,adj_IndexTeam+1,FALSE)</f>
        <v>0</v>
      </c>
      <c r="F12" s="23"/>
      <c r="G12" s="23"/>
      <c r="H12" s="614"/>
      <c r="I12" s="614"/>
      <c r="J12" s="23"/>
      <c r="K12" s="23"/>
      <c r="L12" s="23"/>
      <c r="M12" s="23"/>
      <c r="N12" s="23"/>
    </row>
    <row r="13" spans="1:14">
      <c r="A13" s="6"/>
      <c r="B13" s="23"/>
      <c r="C13" s="149">
        <v>101</v>
      </c>
      <c r="D13" s="79" t="str">
        <f>IFERROR(IF(OR(ISTEXT(C13),C13=""),"",VLOOKUP(C13,param!A$4:B$138,2,FALSE)),"Param Not Recognised")</f>
        <v>SI Expense</v>
      </c>
      <c r="E13" s="80">
        <f>IF(E11,INDEX($J13:$N13,E12+1),0)</f>
        <v>0</v>
      </c>
      <c r="F13" s="23"/>
      <c r="G13" s="23"/>
      <c r="H13" s="614"/>
      <c r="I13" s="614"/>
      <c r="J13" s="123">
        <v>0</v>
      </c>
      <c r="K13" s="856">
        <v>3000000</v>
      </c>
      <c r="L13" s="123"/>
      <c r="M13" s="123"/>
      <c r="N13" s="123"/>
    </row>
    <row r="14" spans="1:14">
      <c r="A14" s="6"/>
      <c r="B14" s="23"/>
      <c r="C14" s="149">
        <v>102</v>
      </c>
      <c r="D14" s="79" t="str">
        <f>IFERROR(IF(OR(ISTEXT(C14),C14=""),"",VLOOKUP(C14,param!A$4:B$138,2,FALSE)),"Param Not Recognised")</f>
        <v>MTUs</v>
      </c>
      <c r="E14" s="80">
        <f>IF(E11,INDEX($J14:$N14,E12+1),0)</f>
        <v>0</v>
      </c>
      <c r="F14" s="23"/>
      <c r="G14" s="23"/>
      <c r="H14" s="614"/>
      <c r="I14" s="614"/>
      <c r="J14" s="123">
        <v>0</v>
      </c>
      <c r="K14" s="123">
        <v>2</v>
      </c>
      <c r="L14" s="123"/>
      <c r="M14" s="123"/>
      <c r="N14" s="123"/>
    </row>
    <row r="15" spans="1:14">
      <c r="A15" s="6"/>
      <c r="B15" s="23"/>
      <c r="C15" s="149">
        <v>641</v>
      </c>
      <c r="D15" s="79" t="str">
        <f>IFERROR(IF(OR(ISTEXT(C15),C15=""),"",VLOOKUP(C15,param!A$4:B$138,2,FALSE)),"Param Not Recognised")</f>
        <v>Visibility - Hypermarkets SI Factor</v>
      </c>
      <c r="E15" s="80">
        <f>IF(E11,INDEX($J15:$N15,E12+1),0)</f>
        <v>0</v>
      </c>
      <c r="F15" s="23"/>
      <c r="G15" s="23"/>
      <c r="H15" s="614"/>
      <c r="I15" s="614"/>
      <c r="J15" s="123">
        <v>0</v>
      </c>
      <c r="K15" s="856">
        <v>1000000</v>
      </c>
      <c r="L15" s="856">
        <v>800000</v>
      </c>
      <c r="M15" s="123"/>
      <c r="N15" s="123"/>
    </row>
    <row r="16" spans="1:14">
      <c r="A16" s="6"/>
      <c r="B16" s="23"/>
      <c r="C16" s="147">
        <v>625</v>
      </c>
      <c r="D16" s="79" t="str">
        <f>IFERROR(IF(OR(ISTEXT(C16),C16=""),"",VLOOKUP(C16,param!A$4:B$138,2,FALSE)),"Param Not Recognised")</f>
        <v>Distribution - Hypermarkets SI Factor</v>
      </c>
      <c r="E16" s="80">
        <f>IF(E11,INDEX($J16:$N16,E12+1),0)</f>
        <v>0</v>
      </c>
      <c r="F16" s="23"/>
      <c r="G16" s="23"/>
      <c r="H16" s="614"/>
      <c r="I16" s="614"/>
      <c r="J16" s="123">
        <v>0</v>
      </c>
      <c r="K16" s="856">
        <v>1000000</v>
      </c>
      <c r="L16" s="856">
        <v>800000</v>
      </c>
      <c r="M16" s="123"/>
      <c r="N16" s="123"/>
    </row>
    <row r="17" spans="1:14">
      <c r="A17" s="6"/>
      <c r="B17" s="23"/>
      <c r="C17" s="149">
        <v>105</v>
      </c>
      <c r="D17" s="79" t="str">
        <f>IFERROR(IF(OR(ISTEXT(C17),C17=""),"",VLOOKUP(C17,param!A$4:B$138,2,FALSE)),"Param Not Recognised")</f>
        <v>Hypermarkets Category Growth</v>
      </c>
      <c r="E17" s="80">
        <f>IF(E11,INDEX($J17:$N17,E12+1),0)</f>
        <v>0</v>
      </c>
      <c r="F17" s="23"/>
      <c r="G17" s="23"/>
      <c r="H17" s="614"/>
      <c r="I17" s="614"/>
      <c r="J17" s="123">
        <v>0</v>
      </c>
      <c r="K17" s="625">
        <v>0.01</v>
      </c>
      <c r="L17" s="625">
        <v>0.01</v>
      </c>
      <c r="M17" s="625">
        <v>0.01</v>
      </c>
      <c r="N17" s="625">
        <v>0.01</v>
      </c>
    </row>
    <row r="18" spans="1:14">
      <c r="A18" s="6"/>
      <c r="B18" s="23"/>
      <c r="C18" s="149"/>
      <c r="D18" s="79" t="str">
        <f>IFERROR(IF(OR(ISTEXT(C18),C18=""),"",VLOOKUP(C18,param!A$4:B$138,2,FALSE)),"Param Not Recognised")</f>
        <v/>
      </c>
      <c r="E18" s="80">
        <f>IF(E11,INDEX($J18:$N18,E12+1),0)</f>
        <v>0</v>
      </c>
      <c r="F18" s="23"/>
      <c r="G18" s="23"/>
      <c r="H18" s="614"/>
      <c r="I18" s="614"/>
      <c r="J18" s="123">
        <v>0</v>
      </c>
      <c r="K18" s="123"/>
      <c r="L18" s="123"/>
      <c r="M18" s="123"/>
      <c r="N18" s="123"/>
    </row>
    <row r="19" spans="1:14">
      <c r="A19" s="6"/>
      <c r="B19" s="23"/>
      <c r="C19" s="149"/>
      <c r="D19" s="79" t="str">
        <f>IFERROR(IF(OR(ISTEXT(C19),C19=""),"",VLOOKUP(C19,param!A$4:B$138,2,FALSE)),"Param Not Recognised")</f>
        <v/>
      </c>
      <c r="E19" s="80">
        <f>IF(E11,INDEX($J19:$N19,E12+1),0)</f>
        <v>0</v>
      </c>
      <c r="F19" s="23"/>
      <c r="G19" s="23"/>
      <c r="H19" s="614"/>
      <c r="I19" s="614"/>
      <c r="J19" s="123">
        <v>0</v>
      </c>
      <c r="K19" s="123"/>
      <c r="L19" s="123"/>
      <c r="M19" s="123"/>
      <c r="N19" s="123"/>
    </row>
    <row r="20" spans="1:14">
      <c r="A20" s="6"/>
      <c r="B20" s="23"/>
      <c r="C20" s="149"/>
      <c r="D20" s="79" t="str">
        <f>IFERROR(IF(OR(ISTEXT(C20),C20=""),"",VLOOKUP(C20,param!A$4:B$138,2,FALSE)),"Param Not Recognised")</f>
        <v/>
      </c>
      <c r="E20" s="80">
        <f>IF(E11,INDEX($J20:$N20,E12+1),0)</f>
        <v>0</v>
      </c>
      <c r="F20" s="23"/>
      <c r="G20" s="23"/>
      <c r="H20" s="614"/>
      <c r="I20" s="614"/>
      <c r="J20" s="123">
        <v>0</v>
      </c>
      <c r="K20" s="123"/>
      <c r="L20" s="123"/>
      <c r="M20" s="123"/>
      <c r="N20" s="123"/>
    </row>
    <row r="21" spans="1:14">
      <c r="A21" s="6"/>
      <c r="B21" s="23"/>
      <c r="C21" s="149"/>
      <c r="D21" s="79" t="str">
        <f>IFERROR(IF(OR(ISTEXT(C21),C21=""),"",VLOOKUP(C21,param!A$4:B$138,2,FALSE)),"Param Not Recognised")</f>
        <v/>
      </c>
      <c r="E21" s="80">
        <f>IF(E11,INDEX($J21:$N21,E12+1),0)</f>
        <v>0</v>
      </c>
      <c r="F21" s="23"/>
      <c r="G21" s="23"/>
      <c r="H21" s="614"/>
      <c r="I21" s="614"/>
      <c r="J21" s="123">
        <v>0</v>
      </c>
      <c r="K21" s="123"/>
      <c r="L21" s="123"/>
      <c r="M21" s="123"/>
      <c r="N21" s="123"/>
    </row>
    <row r="22" spans="1:14">
      <c r="A22" s="6"/>
      <c r="B22" s="23"/>
      <c r="C22" s="149"/>
      <c r="D22" s="79" t="str">
        <f>IFERROR(IF(OR(ISTEXT(C22),C22=""),"",VLOOKUP(C22,param!A$4:B$138,2,FALSE)),"Param Not Recognised")</f>
        <v/>
      </c>
      <c r="E22" s="80">
        <f>IF(E11,INDEX($J22:$N22,E12+1),0)</f>
        <v>0</v>
      </c>
      <c r="F22" s="23"/>
      <c r="G22" s="23"/>
      <c r="H22" s="614"/>
      <c r="I22" s="614"/>
      <c r="J22" s="123">
        <v>0</v>
      </c>
      <c r="K22" s="123"/>
      <c r="L22" s="123"/>
      <c r="M22" s="123"/>
      <c r="N22" s="123"/>
    </row>
    <row r="23" spans="1:14">
      <c r="A23" s="18"/>
    </row>
    <row r="24" spans="1:14">
      <c r="A24" s="90">
        <v>2</v>
      </c>
      <c r="B24" s="29" t="str">
        <f>INDEX(SI_Name,A24+1)</f>
        <v>Category Management - Discounters</v>
      </c>
      <c r="C24" s="22" t="s">
        <v>200</v>
      </c>
      <c r="D24" s="22"/>
      <c r="E24" s="150" t="b">
        <f>VLOOKUP($A24,calcTableSIsLaunched,adj_IndexTeam+1,FALSE)</f>
        <v>0</v>
      </c>
      <c r="F24" s="10">
        <f>SUMIF(C26:C35,adj_FTECode,K26:K35)</f>
        <v>2</v>
      </c>
      <c r="G24" s="10">
        <f>SUMIF(C26:C35,adj_CostCode,K26:K35)</f>
        <v>3000000</v>
      </c>
      <c r="H24" s="10">
        <f>SUMIF(C26:C35,adj_RepCostCode,K26:K35)</f>
        <v>0</v>
      </c>
      <c r="I24" s="10">
        <f>SUMIF(C26:C35,adj_RepMTUCostCode,K26:K35)</f>
        <v>0</v>
      </c>
      <c r="J24" s="22"/>
      <c r="K24" s="22"/>
      <c r="L24" s="22"/>
      <c r="M24" s="22"/>
      <c r="N24" s="22"/>
    </row>
    <row r="25" spans="1:14">
      <c r="A25" s="6"/>
      <c r="B25" s="23"/>
      <c r="C25" s="23" t="s">
        <v>201</v>
      </c>
      <c r="D25" s="23"/>
      <c r="E25" s="150">
        <f>VLOOKUP($A24,calcTableSIsRoundsIntoLaunch,adj_IndexTeam+1,FALSE)</f>
        <v>0</v>
      </c>
      <c r="F25" s="23"/>
      <c r="G25" s="23"/>
      <c r="H25" s="614"/>
      <c r="I25" s="614"/>
      <c r="J25" s="23"/>
      <c r="K25" s="23"/>
      <c r="L25" s="23"/>
      <c r="M25" s="23"/>
      <c r="N25" s="23"/>
    </row>
    <row r="26" spans="1:14">
      <c r="A26" s="6"/>
      <c r="B26" s="23"/>
      <c r="C26" s="149">
        <v>101</v>
      </c>
      <c r="D26" s="79" t="str">
        <f>IFERROR(IF(OR(ISTEXT(C26),C26=""),"",VLOOKUP(C26,param!A$4:B$138,2,FALSE)),"Param Not Recognised")</f>
        <v>SI Expense</v>
      </c>
      <c r="E26" s="80">
        <f>IF(E24,INDEX($J26:$N26,E25+1),0)</f>
        <v>0</v>
      </c>
      <c r="F26" s="23"/>
      <c r="G26" s="23"/>
      <c r="H26" s="614"/>
      <c r="I26" s="614"/>
      <c r="J26" s="123">
        <v>0</v>
      </c>
      <c r="K26" s="856">
        <v>3000000</v>
      </c>
      <c r="L26" s="123"/>
      <c r="M26" s="123"/>
      <c r="N26" s="123"/>
    </row>
    <row r="27" spans="1:14">
      <c r="A27" s="6"/>
      <c r="B27" s="23"/>
      <c r="C27" s="149">
        <v>102</v>
      </c>
      <c r="D27" s="79" t="str">
        <f>IFERROR(IF(OR(ISTEXT(C27),C27=""),"",VLOOKUP(C27,param!A$4:B$138,2,FALSE)),"Param Not Recognised")</f>
        <v>MTUs</v>
      </c>
      <c r="E27" s="80">
        <f>IF(E24,INDEX($J27:$N27,E25+1),0)</f>
        <v>0</v>
      </c>
      <c r="F27" s="23"/>
      <c r="G27" s="23"/>
      <c r="H27" s="614"/>
      <c r="I27" s="614"/>
      <c r="J27" s="123">
        <v>0</v>
      </c>
      <c r="K27" s="123">
        <v>2</v>
      </c>
      <c r="L27" s="123"/>
      <c r="M27" s="123"/>
      <c r="N27" s="123"/>
    </row>
    <row r="28" spans="1:14">
      <c r="A28" s="6"/>
      <c r="B28" s="23"/>
      <c r="C28" s="149">
        <v>642</v>
      </c>
      <c r="D28" s="79" t="str">
        <f>IFERROR(IF(OR(ISTEXT(C28),C28=""),"",VLOOKUP(C28,param!A$4:B$138,2,FALSE)),"Param Not Recognised")</f>
        <v>Visibility - Discounters SI Factor</v>
      </c>
      <c r="E28" s="80">
        <f>IF(E24,INDEX($J28:$N28,E25+1),0)</f>
        <v>0</v>
      </c>
      <c r="F28" s="23"/>
      <c r="G28" s="23"/>
      <c r="H28" s="614"/>
      <c r="I28" s="614"/>
      <c r="J28" s="123">
        <v>0</v>
      </c>
      <c r="K28" s="856">
        <v>1000000</v>
      </c>
      <c r="L28" s="856">
        <v>800000</v>
      </c>
      <c r="M28" s="123"/>
      <c r="N28" s="123"/>
    </row>
    <row r="29" spans="1:14">
      <c r="A29" s="6"/>
      <c r="B29" s="23"/>
      <c r="C29" s="147">
        <v>626</v>
      </c>
      <c r="D29" s="79" t="str">
        <f>IFERROR(IF(OR(ISTEXT(C29),C29=""),"",VLOOKUP(C29,param!A$4:B$138,2,FALSE)),"Param Not Recognised")</f>
        <v>Distribution - Discounters SI Factor</v>
      </c>
      <c r="E29" s="80">
        <f>IF(E24,INDEX($J29:$N29,E25+1),0)</f>
        <v>0</v>
      </c>
      <c r="F29" s="23"/>
      <c r="G29" s="23"/>
      <c r="H29" s="614"/>
      <c r="I29" s="614"/>
      <c r="J29" s="123">
        <v>0</v>
      </c>
      <c r="K29" s="856">
        <v>1000000</v>
      </c>
      <c r="L29" s="856">
        <v>800000</v>
      </c>
      <c r="M29" s="123"/>
      <c r="N29" s="123"/>
    </row>
    <row r="30" spans="1:14">
      <c r="A30" s="6"/>
      <c r="B30" s="23"/>
      <c r="C30" s="149">
        <v>106</v>
      </c>
      <c r="D30" s="79" t="str">
        <f>IFERROR(IF(OR(ISTEXT(C30),C30=""),"",VLOOKUP(C30,param!A$4:B$138,2,FALSE)),"Param Not Recognised")</f>
        <v>Discounters Category Growth</v>
      </c>
      <c r="E30" s="80">
        <f>IF(E24,INDEX($J30:$N30,E25+1),0)</f>
        <v>0</v>
      </c>
      <c r="F30" s="23"/>
      <c r="G30" s="23"/>
      <c r="H30" s="614"/>
      <c r="I30" s="614"/>
      <c r="J30" s="123">
        <v>0</v>
      </c>
      <c r="K30" s="625">
        <v>0.01</v>
      </c>
      <c r="L30" s="625">
        <v>0.01</v>
      </c>
      <c r="M30" s="625">
        <v>0.01</v>
      </c>
      <c r="N30" s="625">
        <v>0.01</v>
      </c>
    </row>
    <row r="31" spans="1:14">
      <c r="A31" s="6"/>
      <c r="B31" s="23"/>
      <c r="C31" s="149"/>
      <c r="D31" s="79" t="str">
        <f>IFERROR(IF(OR(ISTEXT(C31),C31=""),"",VLOOKUP(C31,param!A$4:B$138,2,FALSE)),"Param Not Recognised")</f>
        <v/>
      </c>
      <c r="E31" s="80">
        <f>IF(E24,INDEX($J31:$N31,E25+1),0)</f>
        <v>0</v>
      </c>
      <c r="F31" s="23"/>
      <c r="G31" s="23"/>
      <c r="H31" s="614"/>
      <c r="I31" s="614"/>
      <c r="J31" s="123">
        <v>0</v>
      </c>
      <c r="K31" s="123"/>
      <c r="L31" s="123"/>
      <c r="M31" s="123"/>
      <c r="N31" s="123"/>
    </row>
    <row r="32" spans="1:14">
      <c r="A32" s="6"/>
      <c r="B32" s="23"/>
      <c r="C32" s="149"/>
      <c r="D32" s="79" t="str">
        <f>IFERROR(IF(OR(ISTEXT(C32),C32=""),"",VLOOKUP(C32,param!A$4:B$138,2,FALSE)),"Param Not Recognised")</f>
        <v/>
      </c>
      <c r="E32" s="80">
        <f>IF(E24,INDEX($J32:$N32,E25+1),0)</f>
        <v>0</v>
      </c>
      <c r="F32" s="23"/>
      <c r="G32" s="23"/>
      <c r="H32" s="614"/>
      <c r="I32" s="614"/>
      <c r="J32" s="123">
        <v>0</v>
      </c>
      <c r="K32" s="123"/>
      <c r="L32" s="123"/>
      <c r="M32" s="123"/>
      <c r="N32" s="123"/>
    </row>
    <row r="33" spans="1:14">
      <c r="A33" s="6"/>
      <c r="B33" s="23"/>
      <c r="C33" s="149"/>
      <c r="D33" s="79" t="str">
        <f>IFERROR(IF(OR(ISTEXT(C33),C33=""),"",VLOOKUP(C33,param!A$4:B$138,2,FALSE)),"Param Not Recognised")</f>
        <v/>
      </c>
      <c r="E33" s="80">
        <f>IF(E24,INDEX($J33:$N33,E25+1),0)</f>
        <v>0</v>
      </c>
      <c r="F33" s="23"/>
      <c r="G33" s="23"/>
      <c r="H33" s="614"/>
      <c r="I33" s="614"/>
      <c r="J33" s="123">
        <v>0</v>
      </c>
      <c r="K33" s="123"/>
      <c r="L33" s="123"/>
      <c r="M33" s="123"/>
      <c r="N33" s="123"/>
    </row>
    <row r="34" spans="1:14">
      <c r="A34" s="6"/>
      <c r="B34" s="23"/>
      <c r="C34" s="149"/>
      <c r="D34" s="79" t="str">
        <f>IFERROR(IF(OR(ISTEXT(C34),C34=""),"",VLOOKUP(C34,param!A$4:B$138,2,FALSE)),"Param Not Recognised")</f>
        <v/>
      </c>
      <c r="E34" s="80">
        <f>IF(E24,INDEX($J34:$N34,E25+1),0)</f>
        <v>0</v>
      </c>
      <c r="F34" s="23"/>
      <c r="G34" s="23"/>
      <c r="H34" s="614"/>
      <c r="I34" s="614"/>
      <c r="J34" s="123">
        <v>0</v>
      </c>
      <c r="K34" s="123"/>
      <c r="L34" s="123"/>
      <c r="M34" s="123"/>
      <c r="N34" s="123"/>
    </row>
    <row r="35" spans="1:14">
      <c r="A35" s="6"/>
      <c r="B35" s="23"/>
      <c r="C35" s="149"/>
      <c r="D35" s="79" t="str">
        <f>IFERROR(IF(OR(ISTEXT(C35),C35=""),"",VLOOKUP(C35,param!A$4:B$138,2,FALSE)),"Param Not Recognised")</f>
        <v/>
      </c>
      <c r="E35" s="80">
        <f>IF(E24,INDEX($J35:$N35,E25+1),0)</f>
        <v>0</v>
      </c>
      <c r="F35" s="23"/>
      <c r="G35" s="23"/>
      <c r="H35" s="614"/>
      <c r="I35" s="614"/>
      <c r="J35" s="123">
        <v>0</v>
      </c>
      <c r="K35" s="123"/>
      <c r="L35" s="123"/>
      <c r="M35" s="123"/>
      <c r="N35" s="123"/>
    </row>
    <row r="36" spans="1:14">
      <c r="A36" s="18"/>
    </row>
    <row r="37" spans="1:14">
      <c r="A37" s="90">
        <v>3</v>
      </c>
      <c r="B37" s="29" t="str">
        <f>INDEX(SI_Name,A37+1)</f>
        <v>Category Management - Convenience</v>
      </c>
      <c r="C37" s="22" t="s">
        <v>200</v>
      </c>
      <c r="D37" s="22"/>
      <c r="E37" s="150" t="b">
        <f>VLOOKUP($A37,calcTableSIsLaunched,adj_IndexTeam+1,FALSE)</f>
        <v>0</v>
      </c>
      <c r="F37" s="10">
        <f>SUMIF(C39:C48,adj_FTECode,K39:K48)</f>
        <v>2</v>
      </c>
      <c r="G37" s="10">
        <f>SUMIF(C39:C48,adj_CostCode,K39:K48)</f>
        <v>3000000</v>
      </c>
      <c r="H37" s="10">
        <f>SUMIF(C39:C48,adj_RepCostCode,K39:K48)</f>
        <v>0</v>
      </c>
      <c r="I37" s="10">
        <f>SUMIF(C39:C48,adj_RepMTUCostCode,K39:K48)</f>
        <v>0</v>
      </c>
      <c r="J37" s="22"/>
      <c r="K37" s="22"/>
      <c r="L37" s="22"/>
      <c r="M37" s="22"/>
      <c r="N37" s="22"/>
    </row>
    <row r="38" spans="1:14">
      <c r="A38" s="6"/>
      <c r="B38" s="23"/>
      <c r="C38" s="23" t="s">
        <v>201</v>
      </c>
      <c r="D38" s="23"/>
      <c r="E38" s="150">
        <f>VLOOKUP($A37,calcTableSIsRoundsIntoLaunch,adj_IndexTeam+1,FALSE)</f>
        <v>0</v>
      </c>
      <c r="F38" s="23"/>
      <c r="G38" s="23"/>
      <c r="H38" s="614"/>
      <c r="I38" s="614"/>
      <c r="J38" s="23"/>
      <c r="K38" s="23"/>
      <c r="L38" s="23"/>
      <c r="M38" s="23"/>
      <c r="N38" s="23"/>
    </row>
    <row r="39" spans="1:14">
      <c r="A39" s="6"/>
      <c r="B39" s="23"/>
      <c r="C39" s="149">
        <v>101</v>
      </c>
      <c r="D39" s="79" t="str">
        <f>IFERROR(IF(OR(ISTEXT(C39),C39=""),"",VLOOKUP(C39,param!A$4:B$138,2,FALSE)),"Param Not Recognised")</f>
        <v>SI Expense</v>
      </c>
      <c r="E39" s="80">
        <f>IF(E37,INDEX($J39:$N39,E38+1),0)</f>
        <v>0</v>
      </c>
      <c r="F39" s="23"/>
      <c r="G39" s="23"/>
      <c r="H39" s="614"/>
      <c r="I39" s="614"/>
      <c r="J39" s="123">
        <v>0</v>
      </c>
      <c r="K39" s="856">
        <v>3000000</v>
      </c>
      <c r="L39" s="123"/>
      <c r="M39" s="123"/>
      <c r="N39" s="123"/>
    </row>
    <row r="40" spans="1:14">
      <c r="A40" s="6"/>
      <c r="B40" s="23"/>
      <c r="C40" s="149">
        <v>102</v>
      </c>
      <c r="D40" s="79" t="str">
        <f>IFERROR(IF(OR(ISTEXT(C40),C40=""),"",VLOOKUP(C40,param!A$4:B$138,2,FALSE)),"Param Not Recognised")</f>
        <v>MTUs</v>
      </c>
      <c r="E40" s="80">
        <f>IF(E37,INDEX($J40:$N40,E38+1),0)</f>
        <v>0</v>
      </c>
      <c r="F40" s="23"/>
      <c r="G40" s="23"/>
      <c r="H40" s="614"/>
      <c r="I40" s="614"/>
      <c r="J40" s="123">
        <v>0</v>
      </c>
      <c r="K40" s="856">
        <v>2</v>
      </c>
      <c r="L40" s="123"/>
      <c r="M40" s="123"/>
      <c r="N40" s="123"/>
    </row>
    <row r="41" spans="1:14">
      <c r="A41" s="6"/>
      <c r="B41" s="23"/>
      <c r="C41" s="149">
        <v>643</v>
      </c>
      <c r="D41" s="79" t="str">
        <f>IFERROR(IF(OR(ISTEXT(C41),C41=""),"",VLOOKUP(C41,param!A$4:B$138,2,FALSE)),"Param Not Recognised")</f>
        <v>Visibility - Convenience SI Factor</v>
      </c>
      <c r="E41" s="80">
        <f>IF(E37,INDEX($J41:$N41,E38+1),0)</f>
        <v>0</v>
      </c>
      <c r="F41" s="23"/>
      <c r="G41" s="23"/>
      <c r="H41" s="614"/>
      <c r="I41" s="614"/>
      <c r="J41" s="123">
        <v>0</v>
      </c>
      <c r="K41" s="856">
        <v>1000000</v>
      </c>
      <c r="L41" s="856">
        <v>800000</v>
      </c>
      <c r="M41" s="123"/>
      <c r="N41" s="123"/>
    </row>
    <row r="42" spans="1:14">
      <c r="A42" s="6"/>
      <c r="B42" s="23"/>
      <c r="C42" s="147">
        <v>627</v>
      </c>
      <c r="D42" s="79" t="str">
        <f>IFERROR(IF(OR(ISTEXT(C42),C42=""),"",VLOOKUP(C42,param!A$4:B$138,2,FALSE)),"Param Not Recognised")</f>
        <v>Distribution - Convenience SI Factor</v>
      </c>
      <c r="E42" s="80">
        <f>IF(E37,INDEX($J42:$N42,E38+1),0)</f>
        <v>0</v>
      </c>
      <c r="F42" s="23"/>
      <c r="G42" s="23"/>
      <c r="H42" s="614"/>
      <c r="I42" s="614"/>
      <c r="J42" s="123">
        <v>0</v>
      </c>
      <c r="K42" s="856">
        <v>1000000</v>
      </c>
      <c r="L42" s="856">
        <v>800000</v>
      </c>
      <c r="M42" s="123"/>
      <c r="N42" s="123"/>
    </row>
    <row r="43" spans="1:14">
      <c r="A43" s="6"/>
      <c r="B43" s="23"/>
      <c r="C43" s="149">
        <v>107</v>
      </c>
      <c r="D43" s="79" t="str">
        <f>IFERROR(IF(OR(ISTEXT(C43),C43=""),"",VLOOKUP(C43,param!A$4:B$138,2,FALSE)),"Param Not Recognised")</f>
        <v>Convenience Category Growth</v>
      </c>
      <c r="E43" s="80">
        <f>IF(E37,INDEX($J43:$N43,E38+1),0)</f>
        <v>0</v>
      </c>
      <c r="F43" s="23"/>
      <c r="G43" s="23"/>
      <c r="H43" s="614"/>
      <c r="I43" s="614"/>
      <c r="J43" s="123">
        <v>0</v>
      </c>
      <c r="K43" s="625">
        <v>0.01</v>
      </c>
      <c r="L43" s="625">
        <v>0.01</v>
      </c>
      <c r="M43" s="625">
        <v>0.01</v>
      </c>
      <c r="N43" s="625">
        <v>0.01</v>
      </c>
    </row>
    <row r="44" spans="1:14">
      <c r="A44" s="6"/>
      <c r="B44" s="23"/>
      <c r="C44" s="149"/>
      <c r="D44" s="79" t="str">
        <f>IFERROR(IF(OR(ISTEXT(C44),C44=""),"",VLOOKUP(C44,param!A$4:B$138,2,FALSE)),"Param Not Recognised")</f>
        <v/>
      </c>
      <c r="E44" s="80">
        <f>IF(E37,INDEX($J44:$N44,E38+1),0)</f>
        <v>0</v>
      </c>
      <c r="F44" s="23"/>
      <c r="G44" s="23"/>
      <c r="H44" s="614"/>
      <c r="I44" s="614"/>
      <c r="J44" s="123">
        <v>0</v>
      </c>
      <c r="K44" s="123"/>
      <c r="L44" s="123"/>
      <c r="M44" s="123"/>
      <c r="N44" s="123"/>
    </row>
    <row r="45" spans="1:14">
      <c r="A45" s="6"/>
      <c r="B45" s="23"/>
      <c r="C45" s="149"/>
      <c r="D45" s="79" t="str">
        <f>IFERROR(IF(OR(ISTEXT(C45),C45=""),"",VLOOKUP(C45,param!A$4:B$138,2,FALSE)),"Param Not Recognised")</f>
        <v/>
      </c>
      <c r="E45" s="80">
        <f>IF(E37,INDEX($J45:$N45,E38+1),0)</f>
        <v>0</v>
      </c>
      <c r="F45" s="23"/>
      <c r="G45" s="23"/>
      <c r="H45" s="614"/>
      <c r="I45" s="614"/>
      <c r="J45" s="123">
        <v>0</v>
      </c>
      <c r="K45" s="123"/>
      <c r="L45" s="123"/>
      <c r="M45" s="123"/>
      <c r="N45" s="123"/>
    </row>
    <row r="46" spans="1:14">
      <c r="A46" s="6"/>
      <c r="B46" s="23"/>
      <c r="C46" s="149"/>
      <c r="D46" s="79" t="str">
        <f>IFERROR(IF(OR(ISTEXT(C46),C46=""),"",VLOOKUP(C46,param!A$4:B$138,2,FALSE)),"Param Not Recognised")</f>
        <v/>
      </c>
      <c r="E46" s="80">
        <f>IF(E37,INDEX($J46:$N46,E38+1),0)</f>
        <v>0</v>
      </c>
      <c r="F46" s="23"/>
      <c r="G46" s="23"/>
      <c r="H46" s="614"/>
      <c r="I46" s="614"/>
      <c r="J46" s="123">
        <v>0</v>
      </c>
      <c r="K46" s="123"/>
      <c r="L46" s="123"/>
      <c r="M46" s="123"/>
      <c r="N46" s="123"/>
    </row>
    <row r="47" spans="1:14">
      <c r="A47" s="6"/>
      <c r="B47" s="23"/>
      <c r="C47" s="149"/>
      <c r="D47" s="79" t="str">
        <f>IFERROR(IF(OR(ISTEXT(C47),C47=""),"",VLOOKUP(C47,param!A$4:B$138,2,FALSE)),"Param Not Recognised")</f>
        <v/>
      </c>
      <c r="E47" s="80">
        <f>IF(E37,INDEX($J47:$N47,E38+1),0)</f>
        <v>0</v>
      </c>
      <c r="F47" s="23"/>
      <c r="G47" s="23"/>
      <c r="H47" s="614"/>
      <c r="I47" s="614"/>
      <c r="J47" s="123">
        <v>0</v>
      </c>
      <c r="K47" s="123"/>
      <c r="L47" s="123"/>
      <c r="M47" s="123"/>
      <c r="N47" s="123"/>
    </row>
    <row r="48" spans="1:14">
      <c r="A48" s="6"/>
      <c r="B48" s="23"/>
      <c r="C48" s="149"/>
      <c r="D48" s="79" t="str">
        <f>IFERROR(IF(OR(ISTEXT(C48),C48=""),"",VLOOKUP(C48,param!A$4:B$138,2,FALSE)),"Param Not Recognised")</f>
        <v/>
      </c>
      <c r="E48" s="80">
        <f>IF(E37,INDEX($J48:$N48,E38+1),0)</f>
        <v>0</v>
      </c>
      <c r="F48" s="23"/>
      <c r="G48" s="23"/>
      <c r="H48" s="614"/>
      <c r="I48" s="614"/>
      <c r="J48" s="123">
        <v>0</v>
      </c>
      <c r="K48" s="123"/>
      <c r="L48" s="123"/>
      <c r="M48" s="123"/>
      <c r="N48" s="123"/>
    </row>
    <row r="49" spans="1:14">
      <c r="A49" s="18"/>
    </row>
    <row r="50" spans="1:14">
      <c r="A50" s="90">
        <v>4</v>
      </c>
      <c r="B50" s="29" t="str">
        <f>INDEX(SI_Name,A50+1)</f>
        <v>Category Management - On-Trade</v>
      </c>
      <c r="C50" s="22" t="s">
        <v>200</v>
      </c>
      <c r="D50" s="22"/>
      <c r="E50" s="150" t="b">
        <f>VLOOKUP($A50,calcTableSIsLaunched,adj_IndexTeam+1,FALSE)</f>
        <v>0</v>
      </c>
      <c r="F50" s="10">
        <f>SUMIF(C52:C61,adj_FTECode,K52:K61)</f>
        <v>2</v>
      </c>
      <c r="G50" s="10">
        <f>SUMIF(C52:C61,adj_CostCode,K52:K61)</f>
        <v>3000000</v>
      </c>
      <c r="H50" s="10">
        <f>SUMIF(C52:C61,adj_RepCostCode,K52:K61)</f>
        <v>0</v>
      </c>
      <c r="I50" s="10">
        <f>SUMIF(C52:C61,adj_RepMTUCostCode,K52:K61)</f>
        <v>0</v>
      </c>
      <c r="J50" s="22"/>
      <c r="K50" s="22"/>
      <c r="L50" s="22"/>
      <c r="M50" s="22"/>
      <c r="N50" s="22"/>
    </row>
    <row r="51" spans="1:14">
      <c r="A51" s="6"/>
      <c r="B51" s="23"/>
      <c r="C51" s="23" t="s">
        <v>201</v>
      </c>
      <c r="D51" s="23"/>
      <c r="E51" s="150">
        <f>VLOOKUP($A50,calcTableSIsRoundsIntoLaunch,adj_IndexTeam+1,FALSE)</f>
        <v>0</v>
      </c>
      <c r="F51" s="23"/>
      <c r="G51" s="23"/>
      <c r="H51" s="614"/>
      <c r="I51" s="614"/>
      <c r="J51" s="23"/>
      <c r="K51" s="23"/>
      <c r="L51" s="23"/>
      <c r="M51" s="23"/>
      <c r="N51" s="23"/>
    </row>
    <row r="52" spans="1:14">
      <c r="A52" s="6"/>
      <c r="B52" s="23"/>
      <c r="C52" s="149">
        <v>101</v>
      </c>
      <c r="D52" s="79" t="str">
        <f>IFERROR(IF(OR(ISTEXT(C52),C52=""),"",VLOOKUP(C52,param!A$4:B$138,2,FALSE)),"Param Not Recognised")</f>
        <v>SI Expense</v>
      </c>
      <c r="E52" s="80">
        <f>IF(E50,INDEX($J52:$N52,E51+1),0)</f>
        <v>0</v>
      </c>
      <c r="F52" s="23"/>
      <c r="G52" s="23"/>
      <c r="H52" s="614"/>
      <c r="I52" s="614"/>
      <c r="J52" s="123">
        <v>0</v>
      </c>
      <c r="K52" s="856">
        <v>3000000</v>
      </c>
      <c r="L52" s="123"/>
      <c r="M52" s="123"/>
      <c r="N52" s="123"/>
    </row>
    <row r="53" spans="1:14">
      <c r="A53" s="6"/>
      <c r="B53" s="23"/>
      <c r="C53" s="149">
        <v>102</v>
      </c>
      <c r="D53" s="79" t="str">
        <f>IFERROR(IF(OR(ISTEXT(C53),C53=""),"",VLOOKUP(C53,param!A$4:B$138,2,FALSE)),"Param Not Recognised")</f>
        <v>MTUs</v>
      </c>
      <c r="E53" s="80">
        <f>IF(E50,INDEX($J53:$N53,E51+1),0)</f>
        <v>0</v>
      </c>
      <c r="F53" s="23"/>
      <c r="G53" s="23"/>
      <c r="H53" s="614"/>
      <c r="I53" s="614"/>
      <c r="J53" s="123">
        <v>0</v>
      </c>
      <c r="K53" s="856">
        <v>2</v>
      </c>
      <c r="L53" s="123"/>
      <c r="M53" s="123"/>
      <c r="N53" s="123"/>
    </row>
    <row r="54" spans="1:14">
      <c r="A54" s="6"/>
      <c r="B54" s="23"/>
      <c r="C54" s="149">
        <v>644</v>
      </c>
      <c r="D54" s="79" t="str">
        <f>IFERROR(IF(OR(ISTEXT(C54),C54=""),"",VLOOKUP(C54,param!A$4:B$138,2,FALSE)),"Param Not Recognised")</f>
        <v>Visibility - On-Trade SI Factor</v>
      </c>
      <c r="E54" s="80">
        <f>IF(E50,INDEX($J54:$N54,E51+1),0)</f>
        <v>0</v>
      </c>
      <c r="F54" s="23"/>
      <c r="G54" s="23"/>
      <c r="H54" s="614"/>
      <c r="I54" s="614"/>
      <c r="J54" s="123">
        <v>0</v>
      </c>
      <c r="K54" s="856">
        <v>1000000</v>
      </c>
      <c r="L54" s="856">
        <v>800000</v>
      </c>
      <c r="M54" s="123"/>
      <c r="N54" s="123"/>
    </row>
    <row r="55" spans="1:14">
      <c r="A55" s="6"/>
      <c r="B55" s="23"/>
      <c r="C55" s="147">
        <v>628</v>
      </c>
      <c r="D55" s="79" t="str">
        <f>IFERROR(IF(OR(ISTEXT(C55),C55=""),"",VLOOKUP(C55,param!A$4:B$138,2,FALSE)),"Param Not Recognised")</f>
        <v>Distribution - On-Trade SI Factor</v>
      </c>
      <c r="E55" s="80">
        <f>IF(E50,INDEX($J55:$N55,E51+1),0)</f>
        <v>0</v>
      </c>
      <c r="F55" s="23"/>
      <c r="G55" s="23"/>
      <c r="H55" s="614"/>
      <c r="I55" s="614"/>
      <c r="J55" s="123">
        <v>0</v>
      </c>
      <c r="K55" s="856">
        <v>1000000</v>
      </c>
      <c r="L55" s="856">
        <v>800000</v>
      </c>
      <c r="M55" s="123"/>
      <c r="N55" s="123"/>
    </row>
    <row r="56" spans="1:14">
      <c r="A56" s="6"/>
      <c r="B56" s="23"/>
      <c r="C56" s="149">
        <v>108</v>
      </c>
      <c r="D56" s="79" t="str">
        <f>IFERROR(IF(OR(ISTEXT(C56),C56=""),"",VLOOKUP(C56,param!A$4:B$138,2,FALSE)),"Param Not Recognised")</f>
        <v>On-Trade Category Growth</v>
      </c>
      <c r="E56" s="80">
        <f>IF(E50,INDEX($J56:$N56,E51+1),0)</f>
        <v>0</v>
      </c>
      <c r="F56" s="23"/>
      <c r="G56" s="23"/>
      <c r="H56" s="614"/>
      <c r="I56" s="614"/>
      <c r="J56" s="123">
        <v>0</v>
      </c>
      <c r="K56" s="625">
        <v>0.01</v>
      </c>
      <c r="L56" s="625">
        <v>0.01</v>
      </c>
      <c r="M56" s="625">
        <v>0.01</v>
      </c>
      <c r="N56" s="625">
        <v>0.01</v>
      </c>
    </row>
    <row r="57" spans="1:14">
      <c r="A57" s="6"/>
      <c r="B57" s="23"/>
      <c r="C57" s="149"/>
      <c r="D57" s="79" t="str">
        <f>IFERROR(IF(OR(ISTEXT(C57),C57=""),"",VLOOKUP(C57,param!A$4:B$138,2,FALSE)),"Param Not Recognised")</f>
        <v/>
      </c>
      <c r="E57" s="80">
        <f>IF(E50,INDEX($J57:$N57,E51+1),0)</f>
        <v>0</v>
      </c>
      <c r="F57" s="23"/>
      <c r="G57" s="23"/>
      <c r="H57" s="614"/>
      <c r="I57" s="614"/>
      <c r="J57" s="123">
        <v>0</v>
      </c>
      <c r="K57" s="123"/>
      <c r="L57" s="123"/>
      <c r="M57" s="123"/>
      <c r="N57" s="123"/>
    </row>
    <row r="58" spans="1:14">
      <c r="A58" s="6"/>
      <c r="B58" s="23"/>
      <c r="C58" s="149"/>
      <c r="D58" s="79" t="str">
        <f>IFERROR(IF(OR(ISTEXT(C58),C58=""),"",VLOOKUP(C58,param!A$4:B$138,2,FALSE)),"Param Not Recognised")</f>
        <v/>
      </c>
      <c r="E58" s="80">
        <f>IF(E50,INDEX($J58:$N58,E51+1),0)</f>
        <v>0</v>
      </c>
      <c r="F58" s="23"/>
      <c r="G58" s="23"/>
      <c r="H58" s="614"/>
      <c r="I58" s="614"/>
      <c r="J58" s="123">
        <v>0</v>
      </c>
      <c r="K58" s="123"/>
      <c r="L58" s="123"/>
      <c r="M58" s="123"/>
      <c r="N58" s="123"/>
    </row>
    <row r="59" spans="1:14">
      <c r="A59" s="6"/>
      <c r="B59" s="23"/>
      <c r="C59" s="149"/>
      <c r="D59" s="79" t="str">
        <f>IFERROR(IF(OR(ISTEXT(C59),C59=""),"",VLOOKUP(C59,param!A$4:B$138,2,FALSE)),"Param Not Recognised")</f>
        <v/>
      </c>
      <c r="E59" s="80">
        <f>IF(E50,INDEX($J59:$N59,E51+1),0)</f>
        <v>0</v>
      </c>
      <c r="F59" s="23"/>
      <c r="G59" s="23"/>
      <c r="H59" s="614"/>
      <c r="I59" s="614"/>
      <c r="J59" s="123">
        <v>0</v>
      </c>
      <c r="K59" s="123"/>
      <c r="L59" s="123"/>
      <c r="M59" s="123"/>
      <c r="N59" s="123"/>
    </row>
    <row r="60" spans="1:14">
      <c r="A60" s="6"/>
      <c r="B60" s="23"/>
      <c r="C60" s="149"/>
      <c r="D60" s="79" t="str">
        <f>IFERROR(IF(OR(ISTEXT(C60),C60=""),"",VLOOKUP(C60,param!A$4:B$138,2,FALSE)),"Param Not Recognised")</f>
        <v/>
      </c>
      <c r="E60" s="80">
        <f>IF(E50,INDEX($J60:$N60,E51+1),0)</f>
        <v>0</v>
      </c>
      <c r="F60" s="23"/>
      <c r="G60" s="23"/>
      <c r="H60" s="614"/>
      <c r="I60" s="614"/>
      <c r="J60" s="123">
        <v>0</v>
      </c>
      <c r="K60" s="123"/>
      <c r="L60" s="123"/>
      <c r="M60" s="123"/>
      <c r="N60" s="123"/>
    </row>
    <row r="61" spans="1:14">
      <c r="A61" s="6"/>
      <c r="B61" s="23"/>
      <c r="C61" s="149"/>
      <c r="D61" s="79" t="str">
        <f>IFERROR(IF(OR(ISTEXT(C61),C61=""),"",VLOOKUP(C61,param!A$4:B$138,2,FALSE)),"Param Not Recognised")</f>
        <v/>
      </c>
      <c r="E61" s="80">
        <f>IF(E50,INDEX($J61:$N61,E51+1),0)</f>
        <v>0</v>
      </c>
      <c r="F61" s="23"/>
      <c r="G61" s="23"/>
      <c r="H61" s="614"/>
      <c r="I61" s="614"/>
      <c r="J61" s="123">
        <v>0</v>
      </c>
      <c r="K61" s="123"/>
      <c r="L61" s="123"/>
      <c r="M61" s="123"/>
      <c r="N61" s="123"/>
    </row>
    <row r="62" spans="1:14">
      <c r="A62" s="18"/>
    </row>
    <row r="63" spans="1:14">
      <c r="A63" s="90">
        <v>5</v>
      </c>
      <c r="B63" s="29" t="str">
        <f>INDEX(SI_Name,A63+1)</f>
        <v>Customer Wall</v>
      </c>
      <c r="C63" s="22" t="s">
        <v>200</v>
      </c>
      <c r="D63" s="22"/>
      <c r="E63" s="150" t="b">
        <f>VLOOKUP($A63,calcTableSIsLaunched,adj_IndexTeam+1,FALSE)</f>
        <v>0</v>
      </c>
      <c r="F63" s="10">
        <f>SUMIF(C65:C74,adj_FTECode,K65:K74)</f>
        <v>1</v>
      </c>
      <c r="G63" s="10">
        <f>SUMIF(C65:C74,adj_CostCode,K65:K74)</f>
        <v>2000000</v>
      </c>
      <c r="H63" s="10">
        <f>SUMIF(C65:C74,adj_RepCostCode,K65:K74)</f>
        <v>0</v>
      </c>
      <c r="I63" s="10">
        <f>SUMIF(C65:C74,adj_RepMTUCostCode,K65:K74)</f>
        <v>0</v>
      </c>
      <c r="J63" s="22"/>
      <c r="K63" s="22"/>
      <c r="L63" s="22"/>
      <c r="M63" s="22"/>
      <c r="N63" s="22"/>
    </row>
    <row r="64" spans="1:14">
      <c r="A64" s="6"/>
      <c r="B64" s="23"/>
      <c r="C64" s="23" t="s">
        <v>201</v>
      </c>
      <c r="D64" s="23"/>
      <c r="E64" s="150">
        <f>VLOOKUP($A63,calcTableSIsRoundsIntoLaunch,adj_IndexTeam+1,FALSE)</f>
        <v>0</v>
      </c>
      <c r="F64" s="23"/>
      <c r="G64" s="23"/>
      <c r="H64" s="614"/>
      <c r="I64" s="614"/>
      <c r="J64" s="23"/>
      <c r="K64" s="23"/>
      <c r="L64" s="23"/>
      <c r="M64" s="23"/>
      <c r="N64" s="23"/>
    </row>
    <row r="65" spans="1:14">
      <c r="A65" s="6"/>
      <c r="B65" s="23"/>
      <c r="C65" s="149">
        <v>101</v>
      </c>
      <c r="D65" s="79" t="str">
        <f>IFERROR(IF(OR(ISTEXT(C65),C65=""),"",VLOOKUP(C65,param!A$4:B$138,2,FALSE)),"Param Not Recognised")</f>
        <v>SI Expense</v>
      </c>
      <c r="E65" s="80">
        <f>IF(E63,INDEX($J65:$N65,E64+1),0)</f>
        <v>0</v>
      </c>
      <c r="F65" s="23"/>
      <c r="G65" s="23"/>
      <c r="H65" s="614"/>
      <c r="I65" s="614"/>
      <c r="J65" s="123">
        <v>0</v>
      </c>
      <c r="K65" s="856">
        <v>2000000</v>
      </c>
      <c r="L65" s="856">
        <v>500000</v>
      </c>
      <c r="M65" s="856">
        <v>500000</v>
      </c>
      <c r="N65" s="856">
        <v>500000</v>
      </c>
    </row>
    <row r="66" spans="1:14">
      <c r="A66" s="6"/>
      <c r="B66" s="23"/>
      <c r="C66" s="149">
        <v>102</v>
      </c>
      <c r="D66" s="79" t="str">
        <f>IFERROR(IF(OR(ISTEXT(C66),C66=""),"",VLOOKUP(C66,param!A$4:B$138,2,FALSE)),"Param Not Recognised")</f>
        <v>MTUs</v>
      </c>
      <c r="E66" s="80">
        <f>IF(E63,INDEX($J66:$N66,E64+1),0)</f>
        <v>0</v>
      </c>
      <c r="F66" s="23"/>
      <c r="G66" s="23"/>
      <c r="H66" s="614"/>
      <c r="I66" s="614"/>
      <c r="J66" s="123">
        <v>0</v>
      </c>
      <c r="K66" s="123">
        <v>1</v>
      </c>
      <c r="L66" s="123"/>
      <c r="M66" s="123"/>
      <c r="N66" s="627"/>
    </row>
    <row r="67" spans="1:14">
      <c r="A67" s="6"/>
      <c r="B67" s="23"/>
      <c r="C67" s="149">
        <v>641</v>
      </c>
      <c r="D67" s="79" t="str">
        <f>IFERROR(IF(OR(ISTEXT(C67),C67=""),"",VLOOKUP(C67,param!A$4:B$138,2,FALSE)),"Param Not Recognised")</f>
        <v>Visibility - Hypermarkets SI Factor</v>
      </c>
      <c r="E67" s="80">
        <f>IF(E63,INDEX($J67:$N67,E64+1),0)</f>
        <v>0</v>
      </c>
      <c r="F67" s="23"/>
      <c r="G67" s="23"/>
      <c r="H67" s="614"/>
      <c r="I67" s="614"/>
      <c r="J67" s="123">
        <v>0</v>
      </c>
      <c r="K67" s="856">
        <v>125000</v>
      </c>
      <c r="L67" s="856">
        <v>125000</v>
      </c>
      <c r="M67" s="856">
        <v>125000</v>
      </c>
      <c r="N67" s="856">
        <v>125000</v>
      </c>
    </row>
    <row r="68" spans="1:14">
      <c r="A68" s="6"/>
      <c r="B68" s="23"/>
      <c r="C68" s="147">
        <v>625</v>
      </c>
      <c r="D68" s="79" t="str">
        <f>IFERROR(IF(OR(ISTEXT(C68),C68=""),"",VLOOKUP(C68,param!A$4:B$138,2,FALSE)),"Param Not Recognised")</f>
        <v>Distribution - Hypermarkets SI Factor</v>
      </c>
      <c r="E68" s="80">
        <f>IF(E63,INDEX($J68:$N68,E64+1),0)</f>
        <v>0</v>
      </c>
      <c r="F68" s="23"/>
      <c r="G68" s="23"/>
      <c r="H68" s="614"/>
      <c r="I68" s="614"/>
      <c r="J68" s="123">
        <v>0</v>
      </c>
      <c r="K68" s="856">
        <v>125000</v>
      </c>
      <c r="L68" s="856">
        <v>125000</v>
      </c>
      <c r="M68" s="856">
        <v>125000</v>
      </c>
      <c r="N68" s="856">
        <v>125000</v>
      </c>
    </row>
    <row r="69" spans="1:14">
      <c r="A69" s="6"/>
      <c r="B69" s="23"/>
      <c r="C69" s="149">
        <v>642</v>
      </c>
      <c r="D69" s="79" t="str">
        <f>IFERROR(IF(OR(ISTEXT(C69),C69=""),"",VLOOKUP(C69,param!A$4:B$138,2,FALSE)),"Param Not Recognised")</f>
        <v>Visibility - Discounters SI Factor</v>
      </c>
      <c r="E69" s="80">
        <f>IF(E63,INDEX($J69:$N69,E64+1),0)</f>
        <v>0</v>
      </c>
      <c r="F69" s="23"/>
      <c r="G69" s="23"/>
      <c r="H69" s="614"/>
      <c r="I69" s="614"/>
      <c r="J69" s="123">
        <v>0</v>
      </c>
      <c r="K69" s="856">
        <v>125000</v>
      </c>
      <c r="L69" s="856">
        <v>125000</v>
      </c>
      <c r="M69" s="856">
        <v>125000</v>
      </c>
      <c r="N69" s="856">
        <v>125000</v>
      </c>
    </row>
    <row r="70" spans="1:14">
      <c r="A70" s="6"/>
      <c r="B70" s="23"/>
      <c r="C70" s="147">
        <v>626</v>
      </c>
      <c r="D70" s="79" t="str">
        <f>IFERROR(IF(OR(ISTEXT(C70),C70=""),"",VLOOKUP(C70,param!A$4:B$138,2,FALSE)),"Param Not Recognised")</f>
        <v>Distribution - Discounters SI Factor</v>
      </c>
      <c r="E70" s="80">
        <f>IF(E63,INDEX($J70:$N70,E64+1),0)</f>
        <v>0</v>
      </c>
      <c r="F70" s="23"/>
      <c r="G70" s="23"/>
      <c r="H70" s="614"/>
      <c r="I70" s="614"/>
      <c r="J70" s="123">
        <v>0</v>
      </c>
      <c r="K70" s="856">
        <v>125000</v>
      </c>
      <c r="L70" s="856">
        <v>125000</v>
      </c>
      <c r="M70" s="856">
        <v>125000</v>
      </c>
      <c r="N70" s="856">
        <v>125000</v>
      </c>
    </row>
    <row r="71" spans="1:14">
      <c r="A71" s="6"/>
      <c r="B71" s="23"/>
      <c r="C71" s="149">
        <v>643</v>
      </c>
      <c r="D71" s="79" t="str">
        <f>IFERROR(IF(OR(ISTEXT(C71),C71=""),"",VLOOKUP(C71,param!A$4:B$138,2,FALSE)),"Param Not Recognised")</f>
        <v>Visibility - Convenience SI Factor</v>
      </c>
      <c r="E71" s="80">
        <f>IF(E63,INDEX($J71:$N71,E64+1),0)</f>
        <v>0</v>
      </c>
      <c r="F71" s="23"/>
      <c r="G71" s="23"/>
      <c r="H71" s="614"/>
      <c r="I71" s="614"/>
      <c r="J71" s="123">
        <v>0</v>
      </c>
      <c r="K71" s="856">
        <v>125000</v>
      </c>
      <c r="L71" s="856">
        <v>125000</v>
      </c>
      <c r="M71" s="856">
        <v>125000</v>
      </c>
      <c r="N71" s="856">
        <v>125000</v>
      </c>
    </row>
    <row r="72" spans="1:14">
      <c r="A72" s="6"/>
      <c r="B72" s="23"/>
      <c r="C72" s="147">
        <v>627</v>
      </c>
      <c r="D72" s="79" t="str">
        <f>IFERROR(IF(OR(ISTEXT(C72),C72=""),"",VLOOKUP(C72,param!A$4:B$138,2,FALSE)),"Param Not Recognised")</f>
        <v>Distribution - Convenience SI Factor</v>
      </c>
      <c r="E72" s="80">
        <f>IF(E63,INDEX($J72:$N72,E64+1),0)</f>
        <v>0</v>
      </c>
      <c r="F72" s="23"/>
      <c r="G72" s="23"/>
      <c r="H72" s="614"/>
      <c r="I72" s="614"/>
      <c r="J72" s="123">
        <v>0</v>
      </c>
      <c r="K72" s="856">
        <v>125000</v>
      </c>
      <c r="L72" s="856">
        <v>125000</v>
      </c>
      <c r="M72" s="856">
        <v>125000</v>
      </c>
      <c r="N72" s="856">
        <v>125000</v>
      </c>
    </row>
    <row r="73" spans="1:14">
      <c r="A73" s="6"/>
      <c r="B73" s="23"/>
      <c r="C73" s="149">
        <v>644</v>
      </c>
      <c r="D73" s="79" t="str">
        <f>IFERROR(IF(OR(ISTEXT(C73),C73=""),"",VLOOKUP(C73,param!A$4:B$138,2,FALSE)),"Param Not Recognised")</f>
        <v>Visibility - On-Trade SI Factor</v>
      </c>
      <c r="E73" s="80">
        <f>IF(E63,INDEX($J73:$N73,E64+1),0)</f>
        <v>0</v>
      </c>
      <c r="F73" s="23"/>
      <c r="G73" s="23"/>
      <c r="H73" s="614"/>
      <c r="I73" s="614"/>
      <c r="J73" s="123">
        <v>0</v>
      </c>
      <c r="K73" s="856">
        <v>125000</v>
      </c>
      <c r="L73" s="856">
        <v>125000</v>
      </c>
      <c r="M73" s="856">
        <v>125000</v>
      </c>
      <c r="N73" s="856">
        <v>125000</v>
      </c>
    </row>
    <row r="74" spans="1:14">
      <c r="A74" s="6"/>
      <c r="B74" s="23"/>
      <c r="C74" s="147">
        <v>628</v>
      </c>
      <c r="D74" s="79" t="str">
        <f>IFERROR(IF(OR(ISTEXT(C74),C74=""),"",VLOOKUP(C74,param!A$4:B$138,2,FALSE)),"Param Not Recognised")</f>
        <v>Distribution - On-Trade SI Factor</v>
      </c>
      <c r="E74" s="80">
        <f>IF(E63,INDEX($J74:$N74,E64+1),0)</f>
        <v>0</v>
      </c>
      <c r="F74" s="23"/>
      <c r="G74" s="23"/>
      <c r="H74" s="614"/>
      <c r="I74" s="614"/>
      <c r="J74" s="123">
        <v>0</v>
      </c>
      <c r="K74" s="856">
        <v>125000</v>
      </c>
      <c r="L74" s="856">
        <v>125000</v>
      </c>
      <c r="M74" s="856">
        <v>125000</v>
      </c>
      <c r="N74" s="856">
        <v>125000</v>
      </c>
    </row>
    <row r="75" spans="1:14">
      <c r="A75" s="18"/>
    </row>
    <row r="76" spans="1:14">
      <c r="A76" s="90">
        <v>6</v>
      </c>
      <c r="B76" s="29" t="str">
        <f>INDEX(SI_Name,A76+1)</f>
        <v>Relationship building in On-Trade</v>
      </c>
      <c r="C76" s="22" t="s">
        <v>200</v>
      </c>
      <c r="D76" s="22"/>
      <c r="E76" s="150" t="b">
        <f>VLOOKUP($A76,calcTableSIsLaunched,adj_IndexTeam+1,FALSE)</f>
        <v>0</v>
      </c>
      <c r="F76" s="10">
        <f>SUMIF(C78:C87,adj_FTECode,K78:K87)</f>
        <v>2</v>
      </c>
      <c r="G76" s="10">
        <f>SUMIF(C78:C87,adj_CostCode,K78:K87)</f>
        <v>2000000</v>
      </c>
      <c r="H76" s="10">
        <f>SUMIF(C78:C87,adj_RepCostCode,K78:K87)</f>
        <v>0</v>
      </c>
      <c r="I76" s="10">
        <f>SUMIF(C78:C87,adj_RepMTUCostCode,K78:K87)</f>
        <v>0</v>
      </c>
      <c r="J76" s="22"/>
      <c r="K76" s="22"/>
      <c r="L76" s="22"/>
      <c r="M76" s="22"/>
      <c r="N76" s="22"/>
    </row>
    <row r="77" spans="1:14">
      <c r="A77" s="6"/>
      <c r="B77" s="23"/>
      <c r="C77" s="23" t="s">
        <v>201</v>
      </c>
      <c r="D77" s="23"/>
      <c r="E77" s="150">
        <f>VLOOKUP($A76,calcTableSIsRoundsIntoLaunch,adj_IndexTeam+1,FALSE)</f>
        <v>0</v>
      </c>
      <c r="F77" s="23"/>
      <c r="G77" s="23"/>
      <c r="H77" s="614"/>
      <c r="I77" s="614"/>
      <c r="J77" s="23"/>
      <c r="K77" s="23"/>
      <c r="L77" s="23"/>
      <c r="M77" s="23"/>
      <c r="N77" s="23"/>
    </row>
    <row r="78" spans="1:14">
      <c r="A78" s="6"/>
      <c r="B78" s="23"/>
      <c r="C78" s="149">
        <v>101</v>
      </c>
      <c r="D78" s="79" t="str">
        <f>IFERROR(IF(OR(ISTEXT(C78),C78=""),"",VLOOKUP(C78,param!A$4:B$138,2,FALSE)),"Param Not Recognised")</f>
        <v>SI Expense</v>
      </c>
      <c r="E78" s="80">
        <f>IF(E76,INDEX($J78:$N78,E77+1),0)</f>
        <v>0</v>
      </c>
      <c r="F78" s="23"/>
      <c r="G78" s="23"/>
      <c r="H78" s="614"/>
      <c r="I78" s="614"/>
      <c r="J78" s="123">
        <v>0</v>
      </c>
      <c r="K78" s="856">
        <v>2000000</v>
      </c>
      <c r="L78" s="856">
        <v>1000000</v>
      </c>
      <c r="M78" s="856">
        <v>1000000</v>
      </c>
      <c r="N78" s="856">
        <v>1000000</v>
      </c>
    </row>
    <row r="79" spans="1:14">
      <c r="A79" s="6"/>
      <c r="B79" s="23"/>
      <c r="C79" s="149">
        <v>102</v>
      </c>
      <c r="D79" s="79" t="str">
        <f>IFERROR(IF(OR(ISTEXT(C79),C79=""),"",VLOOKUP(C79,param!A$4:B$138,2,FALSE)),"Param Not Recognised")</f>
        <v>MTUs</v>
      </c>
      <c r="E79" s="80">
        <f>IF(E76,INDEX($J79:$N79,E77+1),0)</f>
        <v>0</v>
      </c>
      <c r="F79" s="23"/>
      <c r="G79" s="23"/>
      <c r="H79" s="614"/>
      <c r="I79" s="614"/>
      <c r="J79" s="123">
        <v>0</v>
      </c>
      <c r="K79" s="123">
        <v>2</v>
      </c>
      <c r="L79" s="123"/>
      <c r="M79" s="123"/>
      <c r="N79" s="123"/>
    </row>
    <row r="80" spans="1:14">
      <c r="A80" s="6"/>
      <c r="B80" s="23"/>
      <c r="C80" s="149">
        <v>644</v>
      </c>
      <c r="D80" s="79" t="str">
        <f>IFERROR(IF(OR(ISTEXT(C80),C80=""),"",VLOOKUP(C80,param!A$4:B$138,2,FALSE)),"Param Not Recognised")</f>
        <v>Visibility - On-Trade SI Factor</v>
      </c>
      <c r="E80" s="80">
        <f>IF(E76,INDEX($J80:$N80,E77+1),0)</f>
        <v>0</v>
      </c>
      <c r="F80" s="23"/>
      <c r="G80" s="23"/>
      <c r="H80" s="614"/>
      <c r="I80" s="614"/>
      <c r="J80" s="123">
        <v>0</v>
      </c>
      <c r="K80" s="856">
        <v>1800000</v>
      </c>
      <c r="L80" s="856">
        <v>1500000</v>
      </c>
      <c r="M80" s="856">
        <v>1500000</v>
      </c>
      <c r="N80" s="856">
        <v>1500000</v>
      </c>
    </row>
    <row r="81" spans="1:14">
      <c r="A81" s="6"/>
      <c r="B81" s="23"/>
      <c r="C81" s="149"/>
      <c r="D81" s="79" t="str">
        <f>IFERROR(IF(OR(ISTEXT(C81),C81=""),"",VLOOKUP(C81,param!A$4:B$138,2,FALSE)),"Param Not Recognised")</f>
        <v/>
      </c>
      <c r="E81" s="80">
        <f>IF(E76,INDEX($J81:$N81,E77+1),0)</f>
        <v>0</v>
      </c>
      <c r="F81" s="23"/>
      <c r="G81" s="23"/>
      <c r="H81" s="614"/>
      <c r="I81" s="614"/>
      <c r="J81" s="123">
        <v>0</v>
      </c>
      <c r="K81" s="123"/>
      <c r="L81" s="123"/>
      <c r="M81" s="123"/>
      <c r="N81" s="123"/>
    </row>
    <row r="82" spans="1:14">
      <c r="A82" s="6"/>
      <c r="B82" s="23"/>
      <c r="C82" s="149"/>
      <c r="D82" s="79" t="str">
        <f>IFERROR(IF(OR(ISTEXT(C82),C82=""),"",VLOOKUP(C82,param!A$4:B$138,2,FALSE)),"Param Not Recognised")</f>
        <v/>
      </c>
      <c r="E82" s="80">
        <f>IF(E76,INDEX($J82:$N82,E77+1),0)</f>
        <v>0</v>
      </c>
      <c r="F82" s="23"/>
      <c r="G82" s="23"/>
      <c r="H82" s="614"/>
      <c r="I82" s="614"/>
      <c r="J82" s="123">
        <v>0</v>
      </c>
      <c r="K82" s="123"/>
      <c r="L82" s="123"/>
      <c r="M82" s="123"/>
      <c r="N82" s="123"/>
    </row>
    <row r="83" spans="1:14">
      <c r="A83" s="6"/>
      <c r="B83" s="23"/>
      <c r="C83" s="149"/>
      <c r="D83" s="79" t="str">
        <f>IFERROR(IF(OR(ISTEXT(C83),C83=""),"",VLOOKUP(C83,param!A$4:B$138,2,FALSE)),"Param Not Recognised")</f>
        <v/>
      </c>
      <c r="E83" s="80">
        <f>IF(E76,INDEX($J83:$N83,E77+1),0)</f>
        <v>0</v>
      </c>
      <c r="F83" s="23"/>
      <c r="G83" s="23"/>
      <c r="H83" s="614"/>
      <c r="I83" s="614"/>
      <c r="J83" s="123">
        <v>0</v>
      </c>
      <c r="K83" s="123"/>
      <c r="L83" s="123"/>
      <c r="M83" s="123"/>
      <c r="N83" s="123"/>
    </row>
    <row r="84" spans="1:14">
      <c r="A84" s="6"/>
      <c r="B84" s="23"/>
      <c r="C84" s="149"/>
      <c r="D84" s="79" t="str">
        <f>IFERROR(IF(OR(ISTEXT(C84),C84=""),"",VLOOKUP(C84,param!A$4:B$138,2,FALSE)),"Param Not Recognised")</f>
        <v/>
      </c>
      <c r="E84" s="80">
        <f>IF(E76,INDEX($J84:$N84,E77+1),0)</f>
        <v>0</v>
      </c>
      <c r="F84" s="23"/>
      <c r="G84" s="23"/>
      <c r="H84" s="614"/>
      <c r="I84" s="614"/>
      <c r="J84" s="123">
        <v>0</v>
      </c>
      <c r="K84" s="123"/>
      <c r="L84" s="123"/>
      <c r="M84" s="123"/>
      <c r="N84" s="123"/>
    </row>
    <row r="85" spans="1:14">
      <c r="A85" s="6"/>
      <c r="B85" s="23"/>
      <c r="C85" s="149"/>
      <c r="D85" s="79" t="str">
        <f>IFERROR(IF(OR(ISTEXT(C85),C85=""),"",VLOOKUP(C85,param!A$4:B$138,2,FALSE)),"Param Not Recognised")</f>
        <v/>
      </c>
      <c r="E85" s="80">
        <f>IF(E76,INDEX($J85:$N85,E77+1),0)</f>
        <v>0</v>
      </c>
      <c r="F85" s="23"/>
      <c r="G85" s="23"/>
      <c r="H85" s="614"/>
      <c r="I85" s="614"/>
      <c r="J85" s="123">
        <v>0</v>
      </c>
      <c r="K85" s="123"/>
      <c r="L85" s="123"/>
      <c r="M85" s="123"/>
      <c r="N85" s="123"/>
    </row>
    <row r="86" spans="1:14">
      <c r="A86" s="6"/>
      <c r="B86" s="23"/>
      <c r="C86" s="149"/>
      <c r="D86" s="79" t="str">
        <f>IFERROR(IF(OR(ISTEXT(C86),C86=""),"",VLOOKUP(C86,param!A$4:B$138,2,FALSE)),"Param Not Recognised")</f>
        <v/>
      </c>
      <c r="E86" s="80">
        <f>IF(E76,INDEX($J86:$N86,E77+1),0)</f>
        <v>0</v>
      </c>
      <c r="F86" s="23"/>
      <c r="G86" s="23"/>
      <c r="H86" s="614"/>
      <c r="I86" s="614"/>
      <c r="J86" s="123">
        <v>0</v>
      </c>
      <c r="K86" s="123"/>
      <c r="L86" s="123"/>
      <c r="M86" s="123"/>
      <c r="N86" s="123"/>
    </row>
    <row r="87" spans="1:14">
      <c r="A87" s="6"/>
      <c r="B87" s="23"/>
      <c r="C87" s="149"/>
      <c r="D87" s="79" t="str">
        <f>IFERROR(IF(OR(ISTEXT(C87),C87=""),"",VLOOKUP(C87,param!A$4:B$138,2,FALSE)),"Param Not Recognised")</f>
        <v/>
      </c>
      <c r="E87" s="80">
        <f>IF(E76,INDEX($J87:$N87,E77+1),0)</f>
        <v>0</v>
      </c>
      <c r="F87" s="23"/>
      <c r="G87" s="23"/>
      <c r="H87" s="614"/>
      <c r="I87" s="614"/>
      <c r="J87" s="123">
        <v>0</v>
      </c>
      <c r="K87" s="123"/>
      <c r="L87" s="123"/>
      <c r="M87" s="123"/>
      <c r="N87" s="123"/>
    </row>
    <row r="88" spans="1:14">
      <c r="A88" s="18"/>
    </row>
    <row r="89" spans="1:14">
      <c r="A89" s="90">
        <v>7</v>
      </c>
      <c r="B89" s="29" t="str">
        <f>INDEX(SI_Name,A89+1)</f>
        <v>Hypermarkets Salesforce Development</v>
      </c>
      <c r="C89" s="22" t="s">
        <v>200</v>
      </c>
      <c r="D89" s="22"/>
      <c r="E89" s="150" t="b">
        <f>VLOOKUP($A89,calcTableSIsLaunched,adj_IndexTeam+1,FALSE)</f>
        <v>0</v>
      </c>
      <c r="F89" s="10">
        <f>SUMIF(C91:C100,adj_FTECode,K91:K100)</f>
        <v>2</v>
      </c>
      <c r="G89" s="10">
        <f>SUMIF(C91:C100,adj_CostCode,K91:K100)</f>
        <v>2000000</v>
      </c>
      <c r="H89" s="10">
        <f>SUMIF(C91:C100,adj_RepCostCode,K91:K100)</f>
        <v>0</v>
      </c>
      <c r="I89" s="10">
        <f>SUMIF(C91:C100,adj_RepMTUCostCode,K91:K100)</f>
        <v>0</v>
      </c>
      <c r="J89" s="22"/>
      <c r="K89" s="22"/>
      <c r="L89" s="22"/>
      <c r="M89" s="22"/>
      <c r="N89" s="22"/>
    </row>
    <row r="90" spans="1:14">
      <c r="A90" s="6"/>
      <c r="B90" s="23"/>
      <c r="C90" s="23" t="s">
        <v>201</v>
      </c>
      <c r="D90" s="23"/>
      <c r="E90" s="150">
        <f>VLOOKUP($A89,calcTableSIsRoundsIntoLaunch,adj_IndexTeam+1,FALSE)</f>
        <v>0</v>
      </c>
      <c r="F90" s="23"/>
      <c r="G90" s="23"/>
      <c r="H90" s="614"/>
      <c r="I90" s="614"/>
      <c r="J90" s="23"/>
      <c r="K90" s="23"/>
      <c r="L90" s="23"/>
      <c r="M90" s="23"/>
      <c r="N90" s="23"/>
    </row>
    <row r="91" spans="1:14">
      <c r="A91" s="6"/>
      <c r="B91" s="23"/>
      <c r="C91" s="149">
        <v>101</v>
      </c>
      <c r="D91" s="79" t="str">
        <f>IFERROR(IF(OR(ISTEXT(C91),C91=""),"",VLOOKUP(C91,param!A$4:B$138,2,FALSE)),"Param Not Recognised")</f>
        <v>SI Expense</v>
      </c>
      <c r="E91" s="80">
        <f>IF(E89,INDEX($J91:$N91,E90+1),0)</f>
        <v>0</v>
      </c>
      <c r="F91" s="23"/>
      <c r="G91" s="23"/>
      <c r="H91" s="614"/>
      <c r="I91" s="614"/>
      <c r="J91" s="123">
        <v>0</v>
      </c>
      <c r="K91" s="856">
        <v>2000000</v>
      </c>
      <c r="L91" s="856">
        <v>1000000</v>
      </c>
      <c r="M91" s="856">
        <v>1000000</v>
      </c>
      <c r="N91" s="856">
        <v>1000000</v>
      </c>
    </row>
    <row r="92" spans="1:14">
      <c r="A92" s="6"/>
      <c r="B92" s="23"/>
      <c r="C92" s="149">
        <v>102</v>
      </c>
      <c r="D92" s="79" t="str">
        <f>IFERROR(IF(OR(ISTEXT(C92),C92=""),"",VLOOKUP(C92,param!A$4:B$138,2,FALSE)),"Param Not Recognised")</f>
        <v>MTUs</v>
      </c>
      <c r="E92" s="80">
        <f>IF(E89,INDEX($J92:$N92,E90+1),0)</f>
        <v>0</v>
      </c>
      <c r="F92" s="23"/>
      <c r="G92" s="23"/>
      <c r="H92" s="614"/>
      <c r="I92" s="614"/>
      <c r="J92" s="123">
        <v>0</v>
      </c>
      <c r="K92" s="123">
        <v>2</v>
      </c>
      <c r="L92" s="123"/>
      <c r="M92" s="123"/>
      <c r="N92" s="123"/>
    </row>
    <row r="93" spans="1:14">
      <c r="A93" s="6"/>
      <c r="B93" s="23"/>
      <c r="C93" s="149">
        <v>621</v>
      </c>
      <c r="D93" s="79" t="str">
        <f>IFERROR(IF(OR(ISTEXT(C93),C93=""),"",VLOOKUP(C93,param!A$4:B$138,2,FALSE)),"Param Not Recognised")</f>
        <v>Hypermarkets Conditionality SI Impact</v>
      </c>
      <c r="E93" s="80">
        <f>IF(E89,INDEX($J93:$N93,E90+1),0)</f>
        <v>0</v>
      </c>
      <c r="F93" s="23"/>
      <c r="G93" s="23"/>
      <c r="H93" s="614"/>
      <c r="I93" s="614"/>
      <c r="J93" s="123">
        <v>0</v>
      </c>
      <c r="K93" s="146">
        <v>0.01</v>
      </c>
      <c r="L93" s="146">
        <v>0.02</v>
      </c>
      <c r="M93" s="146">
        <v>0.02</v>
      </c>
      <c r="N93" s="146">
        <v>0.02</v>
      </c>
    </row>
    <row r="94" spans="1:14">
      <c r="A94" s="6"/>
      <c r="B94" s="23"/>
      <c r="C94" s="149">
        <v>625</v>
      </c>
      <c r="D94" s="79" t="str">
        <f>IFERROR(IF(OR(ISTEXT(C94),C94=""),"",VLOOKUP(C94,param!A$4:B$138,2,FALSE)),"Param Not Recognised")</f>
        <v>Distribution - Hypermarkets SI Factor</v>
      </c>
      <c r="E94" s="80">
        <f>IF(E89,INDEX($J94:$N94,E90+1),0)</f>
        <v>0</v>
      </c>
      <c r="F94" s="23"/>
      <c r="G94" s="23"/>
      <c r="H94" s="614"/>
      <c r="I94" s="614"/>
      <c r="J94" s="123">
        <v>0</v>
      </c>
      <c r="K94" s="856">
        <v>250000</v>
      </c>
      <c r="L94" s="856">
        <v>350000</v>
      </c>
      <c r="M94" s="856">
        <v>350000</v>
      </c>
      <c r="N94" s="856">
        <v>350000</v>
      </c>
    </row>
    <row r="95" spans="1:14">
      <c r="A95" s="6"/>
      <c r="B95" s="23"/>
      <c r="C95" s="149">
        <v>629</v>
      </c>
      <c r="D95" s="79" t="str">
        <f>IFERROR(IF(OR(ISTEXT(C95),C95=""),"",VLOOKUP(C95,param!A$4:B$138,2,FALSE)),"Param Not Recognised")</f>
        <v>Shelf Space - Hypermarkets SI Factor</v>
      </c>
      <c r="E95" s="80">
        <f>IF(E89,INDEX($J95:$N95,E90+1),0)</f>
        <v>0</v>
      </c>
      <c r="F95" s="23"/>
      <c r="G95" s="23"/>
      <c r="H95" s="614"/>
      <c r="I95" s="614"/>
      <c r="J95" s="123">
        <v>0</v>
      </c>
      <c r="K95" s="856">
        <v>250000</v>
      </c>
      <c r="L95" s="856">
        <v>350000</v>
      </c>
      <c r="M95" s="856">
        <v>350000</v>
      </c>
      <c r="N95" s="856">
        <v>350000</v>
      </c>
    </row>
    <row r="96" spans="1:14">
      <c r="A96" s="6"/>
      <c r="B96" s="23"/>
      <c r="C96" s="149">
        <v>633</v>
      </c>
      <c r="D96" s="79" t="str">
        <f>IFERROR(IF(OR(ISTEXT(C96),C96=""),"",VLOOKUP(C96,param!A$4:B$138,2,FALSE)),"Param Not Recognised")</f>
        <v>Floor Space - Hypermarkets SI Factor</v>
      </c>
      <c r="E96" s="80">
        <f>IF(E89,INDEX($J96:$N96,E90+1),0)</f>
        <v>0</v>
      </c>
      <c r="F96" s="23"/>
      <c r="G96" s="23"/>
      <c r="H96" s="614"/>
      <c r="I96" s="614"/>
      <c r="J96" s="123">
        <v>0</v>
      </c>
      <c r="K96" s="856">
        <v>250000</v>
      </c>
      <c r="L96" s="856">
        <v>350000</v>
      </c>
      <c r="M96" s="856">
        <v>350000</v>
      </c>
      <c r="N96" s="856">
        <v>350000</v>
      </c>
    </row>
    <row r="97" spans="1:14">
      <c r="A97" s="6"/>
      <c r="B97" s="23"/>
      <c r="C97" s="149">
        <v>637</v>
      </c>
      <c r="D97" s="79" t="str">
        <f>IFERROR(IF(OR(ISTEXT(C97),C97=""),"",VLOOKUP(C97,param!A$4:B$138,2,FALSE)),"Param Not Recognised")</f>
        <v>Cool Space - Hypermarkets SI Factor</v>
      </c>
      <c r="E97" s="80">
        <f>IF(E89,INDEX($J97:$N97,E90+1),0)</f>
        <v>0</v>
      </c>
      <c r="F97" s="23"/>
      <c r="G97" s="23"/>
      <c r="H97" s="614"/>
      <c r="I97" s="614"/>
      <c r="J97" s="123">
        <v>0</v>
      </c>
      <c r="K97" s="856">
        <v>250000</v>
      </c>
      <c r="L97" s="856">
        <v>350000</v>
      </c>
      <c r="M97" s="856">
        <v>350000</v>
      </c>
      <c r="N97" s="856">
        <v>350000</v>
      </c>
    </row>
    <row r="98" spans="1:14">
      <c r="A98" s="6"/>
      <c r="B98" s="23"/>
      <c r="C98" s="149">
        <v>641</v>
      </c>
      <c r="D98" s="79" t="str">
        <f>IFERROR(IF(OR(ISTEXT(C98),C98=""),"",VLOOKUP(C98,param!A$4:B$138,2,FALSE)),"Param Not Recognised")</f>
        <v>Visibility - Hypermarkets SI Factor</v>
      </c>
      <c r="E98" s="80">
        <f>IF(E89,INDEX($J98:$N98,E90+1),0)</f>
        <v>0</v>
      </c>
      <c r="F98" s="23"/>
      <c r="G98" s="23"/>
      <c r="H98" s="614"/>
      <c r="I98" s="614"/>
      <c r="J98" s="123">
        <v>0</v>
      </c>
      <c r="K98" s="856">
        <v>250000</v>
      </c>
      <c r="L98" s="856">
        <v>350000</v>
      </c>
      <c r="M98" s="856">
        <v>350000</v>
      </c>
      <c r="N98" s="856">
        <v>350000</v>
      </c>
    </row>
    <row r="99" spans="1:14">
      <c r="A99" s="6"/>
      <c r="B99" s="23"/>
      <c r="C99" s="149"/>
      <c r="D99" s="79" t="str">
        <f>IFERROR(IF(OR(ISTEXT(C99),C99=""),"",VLOOKUP(C99,param!A$4:B$138,2,FALSE)),"Param Not Recognised")</f>
        <v/>
      </c>
      <c r="E99" s="80">
        <f>IF(E89,INDEX($J99:$N99,E90+1),0)</f>
        <v>0</v>
      </c>
      <c r="F99" s="23"/>
      <c r="G99" s="23"/>
      <c r="H99" s="614"/>
      <c r="I99" s="614"/>
      <c r="J99" s="123">
        <v>0</v>
      </c>
      <c r="K99" s="123"/>
      <c r="L99" s="123"/>
      <c r="M99" s="123"/>
      <c r="N99" s="123"/>
    </row>
    <row r="100" spans="1:14">
      <c r="A100" s="6"/>
      <c r="B100" s="23"/>
      <c r="C100" s="149"/>
      <c r="D100" s="79" t="str">
        <f>IFERROR(IF(OR(ISTEXT(C100),C100=""),"",VLOOKUP(C100,param!A$4:B$138,2,FALSE)),"Param Not Recognised")</f>
        <v/>
      </c>
      <c r="E100" s="80">
        <f>IF(E89,INDEX($J100:$N100,E90+1),0)</f>
        <v>0</v>
      </c>
      <c r="F100" s="23"/>
      <c r="G100" s="23"/>
      <c r="H100" s="614"/>
      <c r="I100" s="614"/>
      <c r="J100" s="123">
        <v>0</v>
      </c>
      <c r="K100" s="123"/>
      <c r="L100" s="123"/>
      <c r="M100" s="123"/>
      <c r="N100" s="123"/>
    </row>
    <row r="101" spans="1:14">
      <c r="A101" s="18"/>
    </row>
    <row r="102" spans="1:14">
      <c r="A102" s="90">
        <v>8</v>
      </c>
      <c r="B102" s="29" t="str">
        <f>INDEX(SI_Name,A102+1)</f>
        <v>Trade Marketing Analysis</v>
      </c>
      <c r="C102" s="22" t="s">
        <v>200</v>
      </c>
      <c r="D102" s="22"/>
      <c r="E102" s="150" t="b">
        <f>VLOOKUP($A102,calcTableSIsLaunched,adj_IndexTeam+1,FALSE)</f>
        <v>0</v>
      </c>
      <c r="F102" s="10">
        <f>SUMIF(C104:C113,adj_FTECode,K104:K113)</f>
        <v>0</v>
      </c>
      <c r="G102" s="10">
        <f>SUMIF(C104:C113,adj_CostCode,K104:K113)</f>
        <v>4000000</v>
      </c>
      <c r="H102" s="10">
        <f>SUMIF(C104:C113,adj_RepCostCode,K104:K113)</f>
        <v>0</v>
      </c>
      <c r="I102" s="10">
        <f>SUMIF(C104:C113,adj_RepMTUCostCode,K104:K113)</f>
        <v>0</v>
      </c>
      <c r="J102" s="22"/>
      <c r="K102" s="22"/>
      <c r="L102" s="22"/>
      <c r="M102" s="22"/>
      <c r="N102" s="22"/>
    </row>
    <row r="103" spans="1:14">
      <c r="A103" s="6"/>
      <c r="B103" s="23"/>
      <c r="C103" s="23" t="s">
        <v>201</v>
      </c>
      <c r="D103" s="23"/>
      <c r="E103" s="150">
        <f>VLOOKUP($A102,calcTableSIsRoundsIntoLaunch,adj_IndexTeam+1,FALSE)</f>
        <v>0</v>
      </c>
      <c r="F103" s="23"/>
      <c r="G103" s="23"/>
      <c r="H103" s="614"/>
      <c r="I103" s="614"/>
      <c r="J103" s="23"/>
      <c r="K103" s="23"/>
      <c r="L103" s="23"/>
      <c r="M103" s="23"/>
      <c r="N103" s="23"/>
    </row>
    <row r="104" spans="1:14">
      <c r="A104" s="6"/>
      <c r="B104" s="23"/>
      <c r="C104" s="149">
        <v>101</v>
      </c>
      <c r="D104" s="79" t="str">
        <f>IFERROR(IF(OR(ISTEXT(C104),C104=""),"",VLOOKUP(C104,param!A$4:B$138,2,FALSE)),"Param Not Recognised")</f>
        <v>SI Expense</v>
      </c>
      <c r="E104" s="80">
        <f>IF(E102,INDEX($J104:$N104,E103+1),0)</f>
        <v>0</v>
      </c>
      <c r="F104" s="23"/>
      <c r="G104" s="23"/>
      <c r="H104" s="614"/>
      <c r="I104" s="614"/>
      <c r="J104" s="123">
        <v>0</v>
      </c>
      <c r="K104" s="856">
        <v>4000000</v>
      </c>
      <c r="L104" s="123"/>
      <c r="M104" s="123"/>
      <c r="N104" s="123"/>
    </row>
    <row r="105" spans="1:14">
      <c r="A105" s="6"/>
      <c r="B105" s="23"/>
      <c r="C105" s="149">
        <v>102</v>
      </c>
      <c r="D105" s="79" t="str">
        <f>IFERROR(IF(OR(ISTEXT(C105),C105=""),"",VLOOKUP(C105,param!A$4:B$138,2,FALSE)),"Param Not Recognised")</f>
        <v>MTUs</v>
      </c>
      <c r="E105" s="80">
        <f>IF(E102,INDEX($J105:$N105,E103+1),0)</f>
        <v>0</v>
      </c>
      <c r="F105" s="23"/>
      <c r="G105" s="23"/>
      <c r="H105" s="614"/>
      <c r="I105" s="614"/>
      <c r="J105" s="123">
        <v>0</v>
      </c>
      <c r="K105" s="123">
        <v>0</v>
      </c>
      <c r="L105" s="123"/>
      <c r="M105" s="123"/>
      <c r="N105" s="123"/>
    </row>
    <row r="106" spans="1:14">
      <c r="A106" s="6"/>
      <c r="B106" s="928"/>
      <c r="C106" s="147">
        <v>648</v>
      </c>
      <c r="D106" s="79" t="str">
        <f>IFERROR(IF(OR(ISTEXT(C106),C106=""),"",VLOOKUP(C106,param!A$4:B$138,2,FALSE)),"Param Not Recognised")</f>
        <v>Hypermarkets Trade Marketing Efficiency</v>
      </c>
      <c r="E106" s="80">
        <f>IF(E102,INDEX($J106:$N106,E103+1),0)</f>
        <v>0</v>
      </c>
      <c r="F106" s="23"/>
      <c r="G106" s="23"/>
      <c r="H106" s="614"/>
      <c r="I106" s="614"/>
      <c r="J106" s="123">
        <v>0</v>
      </c>
      <c r="K106" s="146">
        <v>0.02</v>
      </c>
      <c r="L106" s="146">
        <v>0.02</v>
      </c>
      <c r="M106" s="146">
        <v>0.02</v>
      </c>
      <c r="N106" s="146">
        <v>0.02</v>
      </c>
    </row>
    <row r="107" spans="1:14">
      <c r="A107" s="6"/>
      <c r="B107" s="23"/>
      <c r="C107" s="147">
        <v>649</v>
      </c>
      <c r="D107" s="79" t="str">
        <f>IFERROR(IF(OR(ISTEXT(C107),C107=""),"",VLOOKUP(C107,param!A$4:B$138,2,FALSE)),"Param Not Recognised")</f>
        <v>Discounters Trade Marketing Efficiency</v>
      </c>
      <c r="E107" s="80">
        <f>IF(E102,INDEX($J107:$N107,E103+1),0)</f>
        <v>0</v>
      </c>
      <c r="F107" s="23"/>
      <c r="G107" s="23"/>
      <c r="H107" s="614"/>
      <c r="I107" s="614"/>
      <c r="J107" s="123">
        <v>0</v>
      </c>
      <c r="K107" s="146">
        <v>0.02</v>
      </c>
      <c r="L107" s="146">
        <v>0.02</v>
      </c>
      <c r="M107" s="146">
        <v>0.02</v>
      </c>
      <c r="N107" s="146">
        <v>0.02</v>
      </c>
    </row>
    <row r="108" spans="1:14">
      <c r="A108" s="6"/>
      <c r="B108" s="23"/>
      <c r="C108" s="147">
        <v>650</v>
      </c>
      <c r="D108" s="79" t="str">
        <f>IFERROR(IF(OR(ISTEXT(C108),C108=""),"",VLOOKUP(C108,param!A$4:B$138,2,FALSE)),"Param Not Recognised")</f>
        <v>Convenience Trade Marketing Efficiency</v>
      </c>
      <c r="E108" s="80">
        <f>IF(E102,INDEX($J108:$N108,E103+1),0)</f>
        <v>0</v>
      </c>
      <c r="F108" s="23"/>
      <c r="G108" s="23"/>
      <c r="H108" s="614"/>
      <c r="I108" s="614"/>
      <c r="J108" s="123">
        <v>0</v>
      </c>
      <c r="K108" s="146">
        <v>0.02</v>
      </c>
      <c r="L108" s="146">
        <v>0.02</v>
      </c>
      <c r="M108" s="146">
        <v>0.02</v>
      </c>
      <c r="N108" s="146">
        <v>0.02</v>
      </c>
    </row>
    <row r="109" spans="1:14">
      <c r="A109" s="6"/>
      <c r="B109" s="23"/>
      <c r="C109" s="147">
        <v>651</v>
      </c>
      <c r="D109" s="79" t="str">
        <f>IFERROR(IF(OR(ISTEXT(C109),C109=""),"",VLOOKUP(C109,param!A$4:B$138,2,FALSE)),"Param Not Recognised")</f>
        <v>On-Trade Trade Marketing Efficiency</v>
      </c>
      <c r="E109" s="80">
        <f>IF(E102,INDEX($J109:$N109,E103+1),0)</f>
        <v>0</v>
      </c>
      <c r="F109" s="23"/>
      <c r="G109" s="23"/>
      <c r="H109" s="614"/>
      <c r="I109" s="614"/>
      <c r="J109" s="123">
        <v>0</v>
      </c>
      <c r="K109" s="146">
        <v>0.02</v>
      </c>
      <c r="L109" s="146">
        <v>0.02</v>
      </c>
      <c r="M109" s="146">
        <v>0.02</v>
      </c>
      <c r="N109" s="146">
        <v>0.02</v>
      </c>
    </row>
    <row r="110" spans="1:14">
      <c r="A110" s="6"/>
      <c r="B110" s="23"/>
      <c r="C110" s="149"/>
      <c r="D110" s="79" t="str">
        <f>IFERROR(IF(OR(ISTEXT(C110),C110=""),"",VLOOKUP(C110,param!A$4:B$138,2,FALSE)),"Param Not Recognised")</f>
        <v/>
      </c>
      <c r="E110" s="80">
        <f>IF(E102,INDEX($J110:$N110,E103+1),0)</f>
        <v>0</v>
      </c>
      <c r="F110" s="23"/>
      <c r="G110" s="23"/>
      <c r="H110" s="614"/>
      <c r="I110" s="614"/>
      <c r="J110" s="123">
        <v>0</v>
      </c>
      <c r="K110" s="123"/>
      <c r="L110" s="123"/>
      <c r="M110" s="123"/>
      <c r="N110" s="123"/>
    </row>
    <row r="111" spans="1:14">
      <c r="A111" s="6"/>
      <c r="B111" s="23"/>
      <c r="C111" s="149"/>
      <c r="D111" s="79" t="str">
        <f>IFERROR(IF(OR(ISTEXT(C111),C111=""),"",VLOOKUP(C111,param!A$4:B$138,2,FALSE)),"Param Not Recognised")</f>
        <v/>
      </c>
      <c r="E111" s="80">
        <f>IF(E102,INDEX($J111:$N111,E103+1),0)</f>
        <v>0</v>
      </c>
      <c r="F111" s="23"/>
      <c r="G111" s="23"/>
      <c r="H111" s="614"/>
      <c r="I111" s="614"/>
      <c r="J111" s="123">
        <v>0</v>
      </c>
      <c r="K111" s="123"/>
      <c r="L111" s="123"/>
      <c r="M111" s="123"/>
      <c r="N111" s="123"/>
    </row>
    <row r="112" spans="1:14">
      <c r="A112" s="6"/>
      <c r="B112" s="23"/>
      <c r="C112" s="149"/>
      <c r="D112" s="79" t="str">
        <f>IFERROR(IF(OR(ISTEXT(C112),C112=""),"",VLOOKUP(C112,param!A$4:B$138,2,FALSE)),"Param Not Recognised")</f>
        <v/>
      </c>
      <c r="E112" s="80">
        <f>IF(E102,INDEX($J112:$N112,E103+1),0)</f>
        <v>0</v>
      </c>
      <c r="F112" s="23"/>
      <c r="G112" s="23"/>
      <c r="H112" s="614"/>
      <c r="I112" s="614"/>
      <c r="J112" s="123">
        <v>0</v>
      </c>
      <c r="K112" s="123"/>
      <c r="L112" s="123"/>
      <c r="M112" s="123"/>
      <c r="N112" s="123"/>
    </row>
    <row r="113" spans="1:14">
      <c r="A113" s="6"/>
      <c r="B113" s="23"/>
      <c r="C113" s="149"/>
      <c r="D113" s="79" t="str">
        <f>IFERROR(IF(OR(ISTEXT(C113),C113=""),"",VLOOKUP(C113,param!A$4:B$138,2,FALSE)),"Param Not Recognised")</f>
        <v/>
      </c>
      <c r="E113" s="80">
        <f>IF(E102,INDEX($J113:$N113,E103+1),0)</f>
        <v>0</v>
      </c>
      <c r="F113" s="23"/>
      <c r="G113" s="23"/>
      <c r="H113" s="614"/>
      <c r="I113" s="614"/>
      <c r="J113" s="123">
        <v>0</v>
      </c>
      <c r="K113" s="123"/>
      <c r="L113" s="123"/>
      <c r="M113" s="123"/>
      <c r="N113" s="123"/>
    </row>
    <row r="114" spans="1:14">
      <c r="A114" s="18"/>
    </row>
    <row r="115" spans="1:14">
      <c r="A115" s="90">
        <v>9</v>
      </c>
      <c r="B115" s="29" t="str">
        <f>INDEX(SI_Name,A115+1)</f>
        <v>Improve Promotion Effectiveness</v>
      </c>
      <c r="C115" s="22" t="s">
        <v>200</v>
      </c>
      <c r="D115" s="22"/>
      <c r="E115" s="150" t="b">
        <f>VLOOKUP($A115,calcTableSIsLaunched,adj_IndexTeam+1,FALSE)</f>
        <v>0</v>
      </c>
      <c r="F115" s="10">
        <f>SUMIF(C117:C126,adj_FTECode,K117:K126)</f>
        <v>2</v>
      </c>
      <c r="G115" s="10">
        <f>SUMIF(C117:C126,adj_CostCode,K117:K126)</f>
        <v>5000000</v>
      </c>
      <c r="H115" s="10">
        <f>SUMIF(C117:C126,adj_RepCostCode,K117:K126)</f>
        <v>0</v>
      </c>
      <c r="I115" s="10">
        <f>SUMIF(C117:C126,adj_RepMTUCostCode,K117:K126)</f>
        <v>0</v>
      </c>
      <c r="J115" s="22"/>
      <c r="K115" s="22"/>
      <c r="L115" s="22"/>
      <c r="M115" s="22"/>
      <c r="N115" s="22"/>
    </row>
    <row r="116" spans="1:14">
      <c r="A116" s="6"/>
      <c r="B116" s="23"/>
      <c r="C116" s="23" t="s">
        <v>201</v>
      </c>
      <c r="D116" s="23"/>
      <c r="E116" s="150">
        <f>VLOOKUP($A115,calcTableSIsRoundsIntoLaunch,adj_IndexTeam+1,FALSE)</f>
        <v>0</v>
      </c>
      <c r="F116" s="23"/>
      <c r="G116" s="23"/>
      <c r="H116" s="614"/>
      <c r="I116" s="614"/>
      <c r="J116" s="23"/>
      <c r="K116" s="23"/>
      <c r="L116" s="23"/>
      <c r="M116" s="23"/>
      <c r="N116" s="23"/>
    </row>
    <row r="117" spans="1:14">
      <c r="A117" s="6"/>
      <c r="B117" s="23"/>
      <c r="C117" s="149">
        <v>101</v>
      </c>
      <c r="D117" s="79" t="str">
        <f>IFERROR(IF(OR(ISTEXT(C117),C117=""),"",VLOOKUP(C117,param!A$4:B$138,2,FALSE)),"Param Not Recognised")</f>
        <v>SI Expense</v>
      </c>
      <c r="E117" s="80">
        <f>IF(E115,INDEX($J117:$N117,E116+1),0)</f>
        <v>0</v>
      </c>
      <c r="F117" s="23"/>
      <c r="G117" s="23"/>
      <c r="H117" s="614"/>
      <c r="I117" s="614"/>
      <c r="J117" s="123">
        <v>0</v>
      </c>
      <c r="K117" s="856">
        <v>5000000</v>
      </c>
      <c r="L117" s="123"/>
      <c r="M117" s="123"/>
      <c r="N117" s="123"/>
    </row>
    <row r="118" spans="1:14">
      <c r="A118" s="6"/>
      <c r="B118" s="23"/>
      <c r="C118" s="149">
        <v>102</v>
      </c>
      <c r="D118" s="79" t="str">
        <f>IFERROR(IF(OR(ISTEXT(C118),C118=""),"",VLOOKUP(C118,param!A$4:B$138,2,FALSE)),"Param Not Recognised")</f>
        <v>MTUs</v>
      </c>
      <c r="E118" s="80">
        <f>IF(E115,INDEX($J118:$N118,E116+1),0)</f>
        <v>0</v>
      </c>
      <c r="F118" s="23"/>
      <c r="G118" s="23"/>
      <c r="H118" s="614"/>
      <c r="I118" s="614"/>
      <c r="J118" s="123">
        <v>0</v>
      </c>
      <c r="K118" s="123">
        <v>2</v>
      </c>
      <c r="L118" s="123"/>
      <c r="M118" s="123"/>
      <c r="N118" s="123"/>
    </row>
    <row r="119" spans="1:14">
      <c r="A119" s="6"/>
      <c r="B119" s="23"/>
      <c r="C119" s="147">
        <v>641</v>
      </c>
      <c r="D119" s="79" t="str">
        <f>IFERROR(IF(OR(ISTEXT(C119),C119=""),"",VLOOKUP(C119,param!A$4:B$138,2,FALSE)),"Param Not Recognised")</f>
        <v>Visibility - Hypermarkets SI Factor</v>
      </c>
      <c r="E119" s="80">
        <f>IF(E115,INDEX($J119:$N119,E116+1),0)</f>
        <v>0</v>
      </c>
      <c r="F119" s="23"/>
      <c r="G119" s="23"/>
      <c r="H119" s="614"/>
      <c r="I119" s="614"/>
      <c r="J119" s="123">
        <v>0</v>
      </c>
      <c r="K119" s="856">
        <v>1500000</v>
      </c>
      <c r="L119" s="856">
        <v>750000</v>
      </c>
      <c r="M119" s="856">
        <v>750000</v>
      </c>
      <c r="N119" s="856">
        <v>750000</v>
      </c>
    </row>
    <row r="120" spans="1:14">
      <c r="A120" s="6"/>
      <c r="B120" s="23"/>
      <c r="C120" s="147">
        <v>642</v>
      </c>
      <c r="D120" s="79" t="str">
        <f>IFERROR(IF(OR(ISTEXT(C120),C120=""),"",VLOOKUP(C120,param!A$4:B$138,2,FALSE)),"Param Not Recognised")</f>
        <v>Visibility - Discounters SI Factor</v>
      </c>
      <c r="E120" s="80">
        <f>IF(E115,INDEX($J120:$N120,E116+1),0)</f>
        <v>0</v>
      </c>
      <c r="F120" s="23"/>
      <c r="G120" s="23"/>
      <c r="H120" s="614"/>
      <c r="I120" s="614"/>
      <c r="J120" s="123">
        <v>0</v>
      </c>
      <c r="K120" s="856">
        <v>1500000</v>
      </c>
      <c r="L120" s="856">
        <v>750000</v>
      </c>
      <c r="M120" s="856">
        <v>750000</v>
      </c>
      <c r="N120" s="856">
        <v>750000</v>
      </c>
    </row>
    <row r="121" spans="1:14">
      <c r="A121" s="6"/>
      <c r="B121" s="23"/>
      <c r="C121" s="147">
        <v>643</v>
      </c>
      <c r="D121" s="79" t="str">
        <f>IFERROR(IF(OR(ISTEXT(C121),C121=""),"",VLOOKUP(C121,param!A$4:B$138,2,FALSE)),"Param Not Recognised")</f>
        <v>Visibility - Convenience SI Factor</v>
      </c>
      <c r="E121" s="80">
        <f>IF(E115,INDEX($J121:$N121,E116+1),0)</f>
        <v>0</v>
      </c>
      <c r="F121" s="23"/>
      <c r="G121" s="23"/>
      <c r="H121" s="614"/>
      <c r="I121" s="614"/>
      <c r="J121" s="123">
        <v>0</v>
      </c>
      <c r="K121" s="856">
        <v>1500000</v>
      </c>
      <c r="L121" s="856">
        <v>750000</v>
      </c>
      <c r="M121" s="856">
        <v>750000</v>
      </c>
      <c r="N121" s="856">
        <v>750000</v>
      </c>
    </row>
    <row r="122" spans="1:14">
      <c r="A122" s="6"/>
      <c r="B122" s="23"/>
      <c r="C122" s="147">
        <v>644</v>
      </c>
      <c r="D122" s="79" t="str">
        <f>IFERROR(IF(OR(ISTEXT(C122),C122=""),"",VLOOKUP(C122,param!A$4:B$138,2,FALSE)),"Param Not Recognised")</f>
        <v>Visibility - On-Trade SI Factor</v>
      </c>
      <c r="E122" s="80">
        <f>IF(E115,INDEX($J122:$N122,E116+1),0)</f>
        <v>0</v>
      </c>
      <c r="F122" s="23"/>
      <c r="G122" s="23"/>
      <c r="H122" s="614"/>
      <c r="I122" s="614"/>
      <c r="J122" s="123">
        <v>0</v>
      </c>
      <c r="K122" s="856">
        <v>1500000</v>
      </c>
      <c r="L122" s="856">
        <v>750000</v>
      </c>
      <c r="M122" s="856">
        <v>750000</v>
      </c>
      <c r="N122" s="856">
        <v>750000</v>
      </c>
    </row>
    <row r="123" spans="1:14">
      <c r="A123" s="6"/>
      <c r="B123" s="23"/>
      <c r="C123" s="149"/>
      <c r="D123" s="79" t="str">
        <f>IFERROR(IF(OR(ISTEXT(C123),C123=""),"",VLOOKUP(C123,param!A$4:B$138,2,FALSE)),"Param Not Recognised")</f>
        <v/>
      </c>
      <c r="E123" s="80">
        <f>IF(E115,INDEX($J123:$N123,E116+1),0)</f>
        <v>0</v>
      </c>
      <c r="F123" s="23"/>
      <c r="G123" s="23"/>
      <c r="H123" s="614"/>
      <c r="I123" s="614"/>
      <c r="J123" s="123">
        <v>0</v>
      </c>
      <c r="K123" s="123"/>
      <c r="L123" s="123"/>
      <c r="M123" s="123"/>
      <c r="N123" s="123"/>
    </row>
    <row r="124" spans="1:14">
      <c r="A124" s="6"/>
      <c r="B124" s="23"/>
      <c r="C124" s="149"/>
      <c r="D124" s="79" t="str">
        <f>IFERROR(IF(OR(ISTEXT(C124),C124=""),"",VLOOKUP(C124,param!A$4:B$138,2,FALSE)),"Param Not Recognised")</f>
        <v/>
      </c>
      <c r="E124" s="80">
        <f>IF(E115,INDEX($J124:$N124,E116+1),0)</f>
        <v>0</v>
      </c>
      <c r="F124" s="23"/>
      <c r="G124" s="23"/>
      <c r="H124" s="614"/>
      <c r="I124" s="614"/>
      <c r="J124" s="123">
        <v>0</v>
      </c>
      <c r="K124" s="123"/>
      <c r="L124" s="123"/>
      <c r="M124" s="123"/>
      <c r="N124" s="123"/>
    </row>
    <row r="125" spans="1:14">
      <c r="A125" s="6"/>
      <c r="B125" s="23"/>
      <c r="C125" s="149"/>
      <c r="D125" s="79" t="str">
        <f>IFERROR(IF(OR(ISTEXT(C125),C125=""),"",VLOOKUP(C125,param!A$4:B$138,2,FALSE)),"Param Not Recognised")</f>
        <v/>
      </c>
      <c r="E125" s="80">
        <f>IF(E115,INDEX($J125:$N125,E116+1),0)</f>
        <v>0</v>
      </c>
      <c r="F125" s="23"/>
      <c r="G125" s="23"/>
      <c r="H125" s="614"/>
      <c r="I125" s="614"/>
      <c r="J125" s="123">
        <v>0</v>
      </c>
      <c r="K125" s="123"/>
      <c r="L125" s="123"/>
      <c r="M125" s="123"/>
      <c r="N125" s="123"/>
    </row>
    <row r="126" spans="1:14">
      <c r="A126" s="6"/>
      <c r="B126" s="23"/>
      <c r="C126" s="149"/>
      <c r="D126" s="79" t="str">
        <f>IFERROR(IF(OR(ISTEXT(C126),C126=""),"",VLOOKUP(C126,param!A$4:B$138,2,FALSE)),"Param Not Recognised")</f>
        <v/>
      </c>
      <c r="E126" s="80">
        <f>IF(E115,INDEX($J126:$N126,E116+1),0)</f>
        <v>0</v>
      </c>
      <c r="F126" s="23"/>
      <c r="G126" s="23"/>
      <c r="H126" s="614"/>
      <c r="I126" s="614"/>
      <c r="J126" s="123">
        <v>0</v>
      </c>
      <c r="K126" s="123"/>
      <c r="L126" s="123"/>
      <c r="M126" s="123"/>
      <c r="N126" s="123"/>
    </row>
    <row r="127" spans="1:14">
      <c r="A127" s="18"/>
    </row>
    <row r="128" spans="1:14">
      <c r="A128" s="90">
        <v>10</v>
      </c>
      <c r="B128" s="29" t="str">
        <f>INDEX(SI_Name,A128+1)</f>
        <v>Mystery Shopper Hypermarkets</v>
      </c>
      <c r="C128" s="22" t="s">
        <v>200</v>
      </c>
      <c r="D128" s="22"/>
      <c r="E128" s="150" t="b">
        <f>VLOOKUP($A128,calcTableSIsLaunched,adj_IndexTeam+1,FALSE)</f>
        <v>0</v>
      </c>
      <c r="F128" s="10">
        <f>SUMIF(C130:C139,adj_FTECode,K130:K139)</f>
        <v>1</v>
      </c>
      <c r="G128" s="10">
        <f>SUMIF(C130:C139,adj_CostCode,K130:K139)</f>
        <v>2000000</v>
      </c>
      <c r="H128" s="10">
        <f>SUMIF(C130:C139,adj_RepCostCode,K130:K139)</f>
        <v>0</v>
      </c>
      <c r="I128" s="10">
        <f>SUMIF(C130:C139,adj_RepMTUCostCode,K130:K139)</f>
        <v>0</v>
      </c>
      <c r="J128" s="22"/>
      <c r="K128" s="22"/>
      <c r="L128" s="22"/>
      <c r="M128" s="22"/>
      <c r="N128" s="22"/>
    </row>
    <row r="129" spans="1:14">
      <c r="A129" s="6"/>
      <c r="B129" s="23"/>
      <c r="C129" s="23" t="s">
        <v>201</v>
      </c>
      <c r="D129" s="23"/>
      <c r="E129" s="150">
        <f>VLOOKUP($A128,calcTableSIsRoundsIntoLaunch,adj_IndexTeam+1,FALSE)</f>
        <v>0</v>
      </c>
      <c r="F129" s="23"/>
      <c r="G129" s="23"/>
      <c r="H129" s="614"/>
      <c r="I129" s="614"/>
      <c r="J129" s="23"/>
      <c r="K129" s="23"/>
      <c r="L129" s="23"/>
      <c r="M129" s="23"/>
      <c r="N129" s="23"/>
    </row>
    <row r="130" spans="1:14">
      <c r="A130" s="6"/>
      <c r="B130" s="23"/>
      <c r="C130" s="149">
        <v>101</v>
      </c>
      <c r="D130" s="79" t="str">
        <f>IFERROR(IF(OR(ISTEXT(C130),C130=""),"",VLOOKUP(C130,param!A$4:B$138,2,FALSE)),"Param Not Recognised")</f>
        <v>SI Expense</v>
      </c>
      <c r="E130" s="80">
        <f>IF(E128,INDEX($J130:$N130,E129+1),0)</f>
        <v>0</v>
      </c>
      <c r="F130" s="23"/>
      <c r="G130" s="23"/>
      <c r="H130" s="614"/>
      <c r="I130" s="614"/>
      <c r="J130" s="123">
        <v>0</v>
      </c>
      <c r="K130" s="856">
        <v>2000000</v>
      </c>
      <c r="L130" s="856">
        <v>1000000</v>
      </c>
      <c r="M130" s="856">
        <v>1000000</v>
      </c>
      <c r="N130" s="856">
        <v>1000000</v>
      </c>
    </row>
    <row r="131" spans="1:14">
      <c r="A131" s="6"/>
      <c r="B131" s="23"/>
      <c r="C131" s="149">
        <v>102</v>
      </c>
      <c r="D131" s="79" t="str">
        <f>IFERROR(IF(OR(ISTEXT(C131),C131=""),"",VLOOKUP(C131,param!A$4:B$138,2,FALSE)),"Param Not Recognised")</f>
        <v>MTUs</v>
      </c>
      <c r="E131" s="80">
        <f>IF(E128,INDEX($J131:$N131,E129+1),0)</f>
        <v>0</v>
      </c>
      <c r="F131" s="23"/>
      <c r="G131" s="23"/>
      <c r="H131" s="614"/>
      <c r="I131" s="614"/>
      <c r="J131" s="123">
        <v>0</v>
      </c>
      <c r="K131" s="123">
        <v>1</v>
      </c>
      <c r="L131" s="123"/>
      <c r="M131" s="123"/>
      <c r="N131" s="123"/>
    </row>
    <row r="132" spans="1:14">
      <c r="A132" s="6"/>
      <c r="B132" s="23"/>
      <c r="C132" s="147">
        <v>621</v>
      </c>
      <c r="D132" s="79" t="str">
        <f>IFERROR(IF(OR(ISTEXT(C132),C132=""),"",VLOOKUP(C132,param!A$4:B$138,2,FALSE)),"Param Not Recognised")</f>
        <v>Hypermarkets Conditionality SI Impact</v>
      </c>
      <c r="E132" s="80">
        <f>IF(E128,INDEX($J132:$N132,E129+1),0)</f>
        <v>0</v>
      </c>
      <c r="F132" s="23"/>
      <c r="G132" s="23"/>
      <c r="H132" s="614"/>
      <c r="I132" s="614"/>
      <c r="J132" s="123">
        <v>0</v>
      </c>
      <c r="K132" s="625">
        <v>0.03</v>
      </c>
      <c r="L132" s="625">
        <v>0.04</v>
      </c>
      <c r="M132" s="625">
        <v>0.04</v>
      </c>
      <c r="N132" s="625">
        <v>0.04</v>
      </c>
    </row>
    <row r="133" spans="1:14">
      <c r="A133" s="6"/>
      <c r="B133" s="23"/>
      <c r="C133" s="149"/>
      <c r="D133" s="79" t="str">
        <f>IFERROR(IF(OR(ISTEXT(C133),C133=""),"",VLOOKUP(C133,param!A$4:B$138,2,FALSE)),"Param Not Recognised")</f>
        <v/>
      </c>
      <c r="E133" s="80">
        <f>IF(E128,INDEX($J133:$N133,E129+1),0)</f>
        <v>0</v>
      </c>
      <c r="F133" s="23"/>
      <c r="G133" s="23"/>
      <c r="H133" s="614"/>
      <c r="I133" s="614"/>
      <c r="J133" s="123">
        <v>0</v>
      </c>
      <c r="K133" s="123"/>
      <c r="L133" s="123"/>
      <c r="M133" s="123"/>
      <c r="N133" s="123"/>
    </row>
    <row r="134" spans="1:14">
      <c r="A134" s="6"/>
      <c r="B134" s="23"/>
      <c r="C134" s="149"/>
      <c r="D134" s="79" t="str">
        <f>IFERROR(IF(OR(ISTEXT(C134),C134=""),"",VLOOKUP(C134,param!A$4:B$138,2,FALSE)),"Param Not Recognised")</f>
        <v/>
      </c>
      <c r="E134" s="80">
        <f>IF(E128,INDEX($J134:$N134,E129+1),0)</f>
        <v>0</v>
      </c>
      <c r="F134" s="23"/>
      <c r="G134" s="23"/>
      <c r="H134" s="614"/>
      <c r="I134" s="614"/>
      <c r="J134" s="123">
        <v>0</v>
      </c>
      <c r="K134" s="123"/>
      <c r="L134" s="123"/>
      <c r="M134" s="123"/>
      <c r="N134" s="123"/>
    </row>
    <row r="135" spans="1:14">
      <c r="A135" s="6"/>
      <c r="B135" s="23"/>
      <c r="C135" s="149"/>
      <c r="D135" s="79" t="str">
        <f>IFERROR(IF(OR(ISTEXT(C135),C135=""),"",VLOOKUP(C135,param!A$4:B$138,2,FALSE)),"Param Not Recognised")</f>
        <v/>
      </c>
      <c r="E135" s="80">
        <f>IF(E128,INDEX($J135:$N135,E129+1),0)</f>
        <v>0</v>
      </c>
      <c r="F135" s="23"/>
      <c r="G135" s="23"/>
      <c r="H135" s="614"/>
      <c r="I135" s="614"/>
      <c r="J135" s="123">
        <v>0</v>
      </c>
      <c r="K135" s="123"/>
      <c r="L135" s="123"/>
      <c r="M135" s="123"/>
      <c r="N135" s="123"/>
    </row>
    <row r="136" spans="1:14">
      <c r="A136" s="6"/>
      <c r="B136" s="23"/>
      <c r="C136" s="149"/>
      <c r="D136" s="79" t="str">
        <f>IFERROR(IF(OR(ISTEXT(C136),C136=""),"",VLOOKUP(C136,param!A$4:B$138,2,FALSE)),"Param Not Recognised")</f>
        <v/>
      </c>
      <c r="E136" s="80">
        <f>IF(E128,INDEX($J136:$N136,E129+1),0)</f>
        <v>0</v>
      </c>
      <c r="F136" s="23"/>
      <c r="G136" s="23"/>
      <c r="H136" s="614"/>
      <c r="I136" s="614"/>
      <c r="J136" s="123">
        <v>0</v>
      </c>
      <c r="K136" s="123"/>
      <c r="L136" s="123"/>
      <c r="M136" s="123"/>
      <c r="N136" s="123"/>
    </row>
    <row r="137" spans="1:14">
      <c r="A137" s="6"/>
      <c r="B137" s="23"/>
      <c r="C137" s="149"/>
      <c r="D137" s="79" t="str">
        <f>IFERROR(IF(OR(ISTEXT(C137),C137=""),"",VLOOKUP(C137,param!A$4:B$138,2,FALSE)),"Param Not Recognised")</f>
        <v/>
      </c>
      <c r="E137" s="80">
        <f>IF(E128,INDEX($J137:$N137,E129+1),0)</f>
        <v>0</v>
      </c>
      <c r="F137" s="23"/>
      <c r="G137" s="23"/>
      <c r="H137" s="614"/>
      <c r="I137" s="614"/>
      <c r="J137" s="123">
        <v>0</v>
      </c>
      <c r="K137" s="123"/>
      <c r="L137" s="123"/>
      <c r="M137" s="123"/>
      <c r="N137" s="123"/>
    </row>
    <row r="138" spans="1:14">
      <c r="A138" s="6"/>
      <c r="B138" s="23"/>
      <c r="C138" s="149"/>
      <c r="D138" s="79" t="str">
        <f>IFERROR(IF(OR(ISTEXT(C138),C138=""),"",VLOOKUP(C138,param!A$4:B$138,2,FALSE)),"Param Not Recognised")</f>
        <v/>
      </c>
      <c r="E138" s="80">
        <f>IF(E128,INDEX($J138:$N138,E129+1),0)</f>
        <v>0</v>
      </c>
      <c r="F138" s="23"/>
      <c r="G138" s="23"/>
      <c r="H138" s="614"/>
      <c r="I138" s="614"/>
      <c r="J138" s="123">
        <v>0</v>
      </c>
      <c r="K138" s="123"/>
      <c r="L138" s="123"/>
      <c r="M138" s="123"/>
      <c r="N138" s="123"/>
    </row>
    <row r="139" spans="1:14">
      <c r="A139" s="6"/>
      <c r="B139" s="23"/>
      <c r="C139" s="149"/>
      <c r="D139" s="79" t="str">
        <f>IFERROR(IF(OR(ISTEXT(C139),C139=""),"",VLOOKUP(C139,param!A$4:B$138,2,FALSE)),"Param Not Recognised")</f>
        <v/>
      </c>
      <c r="E139" s="80">
        <f>IF(E128,INDEX($J139:$N139,E129+1),0)</f>
        <v>0</v>
      </c>
      <c r="F139" s="23"/>
      <c r="G139" s="23"/>
      <c r="H139" s="614"/>
      <c r="I139" s="614"/>
      <c r="J139" s="123">
        <v>0</v>
      </c>
      <c r="K139" s="123"/>
      <c r="L139" s="123"/>
      <c r="M139" s="123"/>
      <c r="N139" s="123"/>
    </row>
    <row r="140" spans="1:14">
      <c r="A140" s="18"/>
    </row>
    <row r="141" spans="1:14">
      <c r="A141" s="90">
        <v>11</v>
      </c>
      <c r="B141" s="29" t="str">
        <f>INDEX(SI_Name,A141+1)</f>
        <v>Mystery Shopper Discounters</v>
      </c>
      <c r="C141" s="22" t="s">
        <v>200</v>
      </c>
      <c r="D141" s="22"/>
      <c r="E141" s="150" t="b">
        <f>VLOOKUP($A141,calcTableSIsLaunched,adj_IndexTeam+1,FALSE)</f>
        <v>0</v>
      </c>
      <c r="F141" s="10">
        <f>SUMIF(C143:C152,adj_FTECode,K143:K152)</f>
        <v>1</v>
      </c>
      <c r="G141" s="10">
        <f>SUMIF(C143:C152,adj_CostCode,K143:K152)</f>
        <v>2000000</v>
      </c>
      <c r="H141" s="10">
        <f>SUMIF(C143:C152,adj_RepCostCode,K143:K152)</f>
        <v>0</v>
      </c>
      <c r="I141" s="10">
        <f>SUMIF(C143:C152,adj_RepMTUCostCode,K143:K152)</f>
        <v>0</v>
      </c>
      <c r="J141" s="22"/>
      <c r="K141" s="22"/>
      <c r="L141" s="22"/>
      <c r="M141" s="22"/>
      <c r="N141" s="22"/>
    </row>
    <row r="142" spans="1:14">
      <c r="A142" s="6"/>
      <c r="B142" s="23"/>
      <c r="C142" s="23" t="s">
        <v>201</v>
      </c>
      <c r="D142" s="23"/>
      <c r="E142" s="150">
        <f>VLOOKUP($A141,calcTableSIsRoundsIntoLaunch,adj_IndexTeam+1,FALSE)</f>
        <v>0</v>
      </c>
      <c r="F142" s="23"/>
      <c r="G142" s="23"/>
      <c r="H142" s="614"/>
      <c r="I142" s="614"/>
      <c r="J142" s="23"/>
      <c r="K142" s="23"/>
      <c r="L142" s="23"/>
      <c r="M142" s="23"/>
      <c r="N142" s="23"/>
    </row>
    <row r="143" spans="1:14">
      <c r="A143" s="6"/>
      <c r="B143" s="23"/>
      <c r="C143" s="149">
        <v>101</v>
      </c>
      <c r="D143" s="79" t="str">
        <f>IFERROR(IF(OR(ISTEXT(C143),C143=""),"",VLOOKUP(C143,param!A$4:B$138,2,FALSE)),"Param Not Recognised")</f>
        <v>SI Expense</v>
      </c>
      <c r="E143" s="80">
        <f>IF(E141,INDEX($J143:$N143,E142+1),0)</f>
        <v>0</v>
      </c>
      <c r="F143" s="23"/>
      <c r="G143" s="23"/>
      <c r="H143" s="614"/>
      <c r="I143" s="614"/>
      <c r="J143" s="123">
        <v>0</v>
      </c>
      <c r="K143" s="856">
        <v>2000000</v>
      </c>
      <c r="L143" s="856">
        <v>1000000</v>
      </c>
      <c r="M143" s="856">
        <v>1000000</v>
      </c>
      <c r="N143" s="856">
        <v>1000000</v>
      </c>
    </row>
    <row r="144" spans="1:14">
      <c r="A144" s="6"/>
      <c r="B144" s="23"/>
      <c r="C144" s="149">
        <v>102</v>
      </c>
      <c r="D144" s="79" t="str">
        <f>IFERROR(IF(OR(ISTEXT(C144),C144=""),"",VLOOKUP(C144,param!A$4:B$138,2,FALSE)),"Param Not Recognised")</f>
        <v>MTUs</v>
      </c>
      <c r="E144" s="80">
        <f>IF(E141,INDEX($J144:$N144,E142+1),0)</f>
        <v>0</v>
      </c>
      <c r="F144" s="23"/>
      <c r="G144" s="23"/>
      <c r="H144" s="614"/>
      <c r="I144" s="614"/>
      <c r="J144" s="123">
        <v>0</v>
      </c>
      <c r="K144" s="123">
        <v>1</v>
      </c>
      <c r="L144" s="123"/>
      <c r="M144" s="123"/>
      <c r="N144" s="123"/>
    </row>
    <row r="145" spans="1:14">
      <c r="A145" s="6"/>
      <c r="B145" s="23"/>
      <c r="C145" s="147">
        <v>622</v>
      </c>
      <c r="D145" s="79" t="str">
        <f>IFERROR(IF(OR(ISTEXT(C145),C145=""),"",VLOOKUP(C145,param!A$4:B$138,2,FALSE)),"Param Not Recognised")</f>
        <v>Discounters Conditionality SI Impact</v>
      </c>
      <c r="E145" s="80">
        <f>IF(E141,INDEX($J145:$N145,E142+1),0)</f>
        <v>0</v>
      </c>
      <c r="F145" s="23"/>
      <c r="G145" s="23"/>
      <c r="H145" s="614"/>
      <c r="I145" s="614"/>
      <c r="J145" s="123">
        <v>0</v>
      </c>
      <c r="K145" s="625">
        <v>0.03</v>
      </c>
      <c r="L145" s="625">
        <v>0.04</v>
      </c>
      <c r="M145" s="625">
        <v>0.04</v>
      </c>
      <c r="N145" s="625">
        <v>0.04</v>
      </c>
    </row>
    <row r="146" spans="1:14">
      <c r="A146" s="6"/>
      <c r="B146" s="23"/>
      <c r="C146" s="149"/>
      <c r="D146" s="79" t="str">
        <f>IFERROR(IF(OR(ISTEXT(C146),C146=""),"",VLOOKUP(C146,param!A$4:B$138,2,FALSE)),"Param Not Recognised")</f>
        <v/>
      </c>
      <c r="E146" s="80">
        <f>IF(E141,INDEX($J146:$N146,E142+1),0)</f>
        <v>0</v>
      </c>
      <c r="F146" s="23"/>
      <c r="G146" s="23"/>
      <c r="H146" s="614"/>
      <c r="I146" s="614"/>
      <c r="J146" s="123">
        <v>0</v>
      </c>
      <c r="K146" s="123"/>
      <c r="L146" s="123"/>
      <c r="M146" s="123"/>
      <c r="N146" s="123"/>
    </row>
    <row r="147" spans="1:14">
      <c r="A147" s="6"/>
      <c r="B147" s="23"/>
      <c r="C147" s="149"/>
      <c r="D147" s="79" t="str">
        <f>IFERROR(IF(OR(ISTEXT(C147),C147=""),"",VLOOKUP(C147,param!A$4:B$138,2,FALSE)),"Param Not Recognised")</f>
        <v/>
      </c>
      <c r="E147" s="80">
        <f>IF(E141,INDEX($J147:$N147,E142+1),0)</f>
        <v>0</v>
      </c>
      <c r="F147" s="23"/>
      <c r="G147" s="23"/>
      <c r="H147" s="614"/>
      <c r="I147" s="614"/>
      <c r="J147" s="123">
        <v>0</v>
      </c>
      <c r="K147" s="123"/>
      <c r="L147" s="123"/>
      <c r="M147" s="123"/>
      <c r="N147" s="123"/>
    </row>
    <row r="148" spans="1:14">
      <c r="A148" s="6"/>
      <c r="B148" s="23"/>
      <c r="C148" s="149"/>
      <c r="D148" s="79" t="str">
        <f>IFERROR(IF(OR(ISTEXT(C148),C148=""),"",VLOOKUP(C148,param!A$4:B$138,2,FALSE)),"Param Not Recognised")</f>
        <v/>
      </c>
      <c r="E148" s="80">
        <f>IF(E141,INDEX($J148:$N148,E142+1),0)</f>
        <v>0</v>
      </c>
      <c r="F148" s="23"/>
      <c r="G148" s="23"/>
      <c r="H148" s="614"/>
      <c r="I148" s="614"/>
      <c r="J148" s="123">
        <v>0</v>
      </c>
      <c r="K148" s="123"/>
      <c r="L148" s="123"/>
      <c r="M148" s="123"/>
      <c r="N148" s="123"/>
    </row>
    <row r="149" spans="1:14">
      <c r="A149" s="6"/>
      <c r="B149" s="23"/>
      <c r="C149" s="149"/>
      <c r="D149" s="79" t="str">
        <f>IFERROR(IF(OR(ISTEXT(C149),C149=""),"",VLOOKUP(C149,param!A$4:B$138,2,FALSE)),"Param Not Recognised")</f>
        <v/>
      </c>
      <c r="E149" s="80">
        <f>IF(E141,INDEX($J149:$N149,E142+1),0)</f>
        <v>0</v>
      </c>
      <c r="F149" s="23"/>
      <c r="G149" s="23"/>
      <c r="H149" s="614"/>
      <c r="I149" s="614"/>
      <c r="J149" s="123">
        <v>0</v>
      </c>
      <c r="K149" s="123"/>
      <c r="L149" s="123"/>
      <c r="M149" s="123"/>
      <c r="N149" s="123"/>
    </row>
    <row r="150" spans="1:14">
      <c r="A150" s="6"/>
      <c r="B150" s="23"/>
      <c r="C150" s="149"/>
      <c r="D150" s="79" t="str">
        <f>IFERROR(IF(OR(ISTEXT(C150),C150=""),"",VLOOKUP(C150,param!A$4:B$138,2,FALSE)),"Param Not Recognised")</f>
        <v/>
      </c>
      <c r="E150" s="80">
        <f>IF(E141,INDEX($J150:$N150,E142+1),0)</f>
        <v>0</v>
      </c>
      <c r="F150" s="23"/>
      <c r="G150" s="23"/>
      <c r="H150" s="614"/>
      <c r="I150" s="614"/>
      <c r="J150" s="123">
        <v>0</v>
      </c>
      <c r="K150" s="123"/>
      <c r="L150" s="123"/>
      <c r="M150" s="123"/>
      <c r="N150" s="123"/>
    </row>
    <row r="151" spans="1:14">
      <c r="A151" s="6"/>
      <c r="B151" s="23"/>
      <c r="C151" s="149"/>
      <c r="D151" s="79" t="str">
        <f>IFERROR(IF(OR(ISTEXT(C151),C151=""),"",VLOOKUP(C151,param!A$4:B$138,2,FALSE)),"Param Not Recognised")</f>
        <v/>
      </c>
      <c r="E151" s="80">
        <f>IF(E141,INDEX($J151:$N151,E142+1),0)</f>
        <v>0</v>
      </c>
      <c r="F151" s="23"/>
      <c r="G151" s="23"/>
      <c r="H151" s="614"/>
      <c r="I151" s="614"/>
      <c r="J151" s="123">
        <v>0</v>
      </c>
      <c r="K151" s="123"/>
      <c r="L151" s="123"/>
      <c r="M151" s="123"/>
      <c r="N151" s="123"/>
    </row>
    <row r="152" spans="1:14">
      <c r="A152" s="6"/>
      <c r="B152" s="23"/>
      <c r="C152" s="149"/>
      <c r="D152" s="79" t="str">
        <f>IFERROR(IF(OR(ISTEXT(C152),C152=""),"",VLOOKUP(C152,param!A$4:B$138,2,FALSE)),"Param Not Recognised")</f>
        <v/>
      </c>
      <c r="E152" s="80">
        <f>IF(E141,INDEX($J152:$N152,E142+1),0)</f>
        <v>0</v>
      </c>
      <c r="F152" s="23"/>
      <c r="G152" s="23"/>
      <c r="H152" s="614"/>
      <c r="I152" s="614"/>
      <c r="J152" s="123">
        <v>0</v>
      </c>
      <c r="K152" s="123"/>
      <c r="L152" s="123"/>
      <c r="M152" s="123"/>
      <c r="N152" s="123"/>
    </row>
    <row r="153" spans="1:14">
      <c r="A153" s="18"/>
    </row>
    <row r="154" spans="1:14">
      <c r="A154" s="90">
        <v>12</v>
      </c>
      <c r="B154" s="29" t="str">
        <f>INDEX(SI_Name,A154+1)</f>
        <v>Mystery Shopper Convenience</v>
      </c>
      <c r="C154" s="22" t="s">
        <v>200</v>
      </c>
      <c r="D154" s="22"/>
      <c r="E154" s="150" t="b">
        <f>VLOOKUP($A154,calcTableSIsLaunched,adj_IndexTeam+1,FALSE)</f>
        <v>0</v>
      </c>
      <c r="F154" s="10">
        <f>SUMIF(C156:C165,adj_FTECode,K156:K165)</f>
        <v>1</v>
      </c>
      <c r="G154" s="10">
        <f>SUMIF(C156:C165,adj_CostCode,K156:K165)</f>
        <v>2000000</v>
      </c>
      <c r="H154" s="10">
        <f>SUMIF(C156:C165,adj_RepCostCode,K156:K165)</f>
        <v>0</v>
      </c>
      <c r="I154" s="10">
        <f>SUMIF(C156:C165,adj_RepMTUCostCode,K156:K165)</f>
        <v>0</v>
      </c>
      <c r="J154" s="22"/>
      <c r="K154" s="22"/>
      <c r="L154" s="22"/>
      <c r="M154" s="22"/>
      <c r="N154" s="22"/>
    </row>
    <row r="155" spans="1:14">
      <c r="A155" s="6"/>
      <c r="B155" s="23"/>
      <c r="C155" s="23" t="s">
        <v>201</v>
      </c>
      <c r="D155" s="23"/>
      <c r="E155" s="150">
        <f>VLOOKUP($A154,calcTableSIsRoundsIntoLaunch,adj_IndexTeam+1,FALSE)</f>
        <v>0</v>
      </c>
      <c r="F155" s="23"/>
      <c r="G155" s="23"/>
      <c r="H155" s="614"/>
      <c r="I155" s="614"/>
      <c r="J155" s="23"/>
      <c r="K155" s="23"/>
      <c r="L155" s="23"/>
      <c r="M155" s="23"/>
      <c r="N155" s="23"/>
    </row>
    <row r="156" spans="1:14">
      <c r="A156" s="6"/>
      <c r="B156" s="23"/>
      <c r="C156" s="149">
        <v>101</v>
      </c>
      <c r="D156" s="79" t="str">
        <f>IFERROR(IF(OR(ISTEXT(C156),C156=""),"",VLOOKUP(C156,param!A$4:B$138,2,FALSE)),"Param Not Recognised")</f>
        <v>SI Expense</v>
      </c>
      <c r="E156" s="80">
        <f>IF(E154,INDEX($J156:$N156,E155+1),0)</f>
        <v>0</v>
      </c>
      <c r="F156" s="23"/>
      <c r="G156" s="23"/>
      <c r="H156" s="614"/>
      <c r="I156" s="614"/>
      <c r="J156" s="123">
        <v>0</v>
      </c>
      <c r="K156" s="856">
        <v>2000000</v>
      </c>
      <c r="L156" s="856">
        <v>1000000</v>
      </c>
      <c r="M156" s="856">
        <v>1000000</v>
      </c>
      <c r="N156" s="856">
        <v>1000000</v>
      </c>
    </row>
    <row r="157" spans="1:14">
      <c r="A157" s="6"/>
      <c r="B157" s="23"/>
      <c r="C157" s="149">
        <v>102</v>
      </c>
      <c r="D157" s="79" t="str">
        <f>IFERROR(IF(OR(ISTEXT(C157),C157=""),"",VLOOKUP(C157,param!A$4:B$138,2,FALSE)),"Param Not Recognised")</f>
        <v>MTUs</v>
      </c>
      <c r="E157" s="80">
        <f>IF(E154,INDEX($J157:$N157,E155+1),0)</f>
        <v>0</v>
      </c>
      <c r="F157" s="23"/>
      <c r="G157" s="23"/>
      <c r="H157" s="614"/>
      <c r="I157" s="614"/>
      <c r="J157" s="123">
        <v>0</v>
      </c>
      <c r="K157" s="123">
        <v>1</v>
      </c>
      <c r="L157" s="123"/>
      <c r="M157" s="123"/>
      <c r="N157" s="123"/>
    </row>
    <row r="158" spans="1:14">
      <c r="A158" s="6"/>
      <c r="B158" s="23"/>
      <c r="C158" s="147">
        <v>623</v>
      </c>
      <c r="D158" s="79" t="str">
        <f>IFERROR(IF(OR(ISTEXT(C158),C158=""),"",VLOOKUP(C158,param!A$4:B$138,2,FALSE)),"Param Not Recognised")</f>
        <v>Convenience Conditionality SI Impact</v>
      </c>
      <c r="E158" s="80">
        <f>IF(E154,INDEX($J158:$N158,E155+1),0)</f>
        <v>0</v>
      </c>
      <c r="F158" s="23"/>
      <c r="G158" s="23"/>
      <c r="H158" s="614"/>
      <c r="I158" s="614"/>
      <c r="J158" s="123">
        <v>0</v>
      </c>
      <c r="K158" s="625">
        <v>0.03</v>
      </c>
      <c r="L158" s="625">
        <v>0.04</v>
      </c>
      <c r="M158" s="625">
        <v>0.04</v>
      </c>
      <c r="N158" s="625">
        <v>0.04</v>
      </c>
    </row>
    <row r="159" spans="1:14">
      <c r="A159" s="6"/>
      <c r="B159" s="23"/>
      <c r="C159" s="149"/>
      <c r="D159" s="79" t="str">
        <f>IFERROR(IF(OR(ISTEXT(C159),C159=""),"",VLOOKUP(C159,param!A$4:B$138,2,FALSE)),"Param Not Recognised")</f>
        <v/>
      </c>
      <c r="E159" s="80">
        <f>IF(E154,INDEX($J159:$N159,E155+1),0)</f>
        <v>0</v>
      </c>
      <c r="F159" s="23"/>
      <c r="G159" s="23"/>
      <c r="H159" s="614"/>
      <c r="I159" s="614"/>
      <c r="J159" s="123">
        <v>0</v>
      </c>
      <c r="K159" s="123"/>
      <c r="L159" s="123"/>
      <c r="M159" s="123"/>
      <c r="N159" s="123"/>
    </row>
    <row r="160" spans="1:14">
      <c r="A160" s="6"/>
      <c r="B160" s="23"/>
      <c r="C160" s="149"/>
      <c r="D160" s="79" t="str">
        <f>IFERROR(IF(OR(ISTEXT(C160),C160=""),"",VLOOKUP(C160,param!A$4:B$138,2,FALSE)),"Param Not Recognised")</f>
        <v/>
      </c>
      <c r="E160" s="80">
        <f>IF(E154,INDEX($J160:$N160,E155+1),0)</f>
        <v>0</v>
      </c>
      <c r="F160" s="23"/>
      <c r="G160" s="23"/>
      <c r="H160" s="614"/>
      <c r="I160" s="614"/>
      <c r="J160" s="123">
        <v>0</v>
      </c>
      <c r="K160" s="123"/>
      <c r="L160" s="123"/>
      <c r="M160" s="123"/>
      <c r="N160" s="123"/>
    </row>
    <row r="161" spans="1:14">
      <c r="A161" s="6"/>
      <c r="B161" s="23"/>
      <c r="C161" s="149"/>
      <c r="D161" s="79" t="str">
        <f>IFERROR(IF(OR(ISTEXT(C161),C161=""),"",VLOOKUP(C161,param!A$4:B$138,2,FALSE)),"Param Not Recognised")</f>
        <v/>
      </c>
      <c r="E161" s="80">
        <f>IF(E154,INDEX($J161:$N161,E155+1),0)</f>
        <v>0</v>
      </c>
      <c r="F161" s="23"/>
      <c r="G161" s="23"/>
      <c r="H161" s="614"/>
      <c r="I161" s="614"/>
      <c r="J161" s="123">
        <v>0</v>
      </c>
      <c r="K161" s="123"/>
      <c r="L161" s="123"/>
      <c r="M161" s="123"/>
      <c r="N161" s="123"/>
    </row>
    <row r="162" spans="1:14">
      <c r="A162" s="6"/>
      <c r="B162" s="23"/>
      <c r="C162" s="149"/>
      <c r="D162" s="79" t="str">
        <f>IFERROR(IF(OR(ISTEXT(C162),C162=""),"",VLOOKUP(C162,param!A$4:B$138,2,FALSE)),"Param Not Recognised")</f>
        <v/>
      </c>
      <c r="E162" s="80">
        <f>IF(E154,INDEX($J162:$N162,E155+1),0)</f>
        <v>0</v>
      </c>
      <c r="F162" s="23"/>
      <c r="G162" s="23"/>
      <c r="H162" s="614"/>
      <c r="I162" s="614"/>
      <c r="J162" s="123">
        <v>0</v>
      </c>
      <c r="K162" s="123"/>
      <c r="L162" s="123"/>
      <c r="M162" s="123"/>
      <c r="N162" s="123"/>
    </row>
    <row r="163" spans="1:14">
      <c r="A163" s="6"/>
      <c r="B163" s="23"/>
      <c r="C163" s="149"/>
      <c r="D163" s="79" t="str">
        <f>IFERROR(IF(OR(ISTEXT(C163),C163=""),"",VLOOKUP(C163,param!A$4:B$138,2,FALSE)),"Param Not Recognised")</f>
        <v/>
      </c>
      <c r="E163" s="80">
        <f>IF(E154,INDEX($J163:$N163,E155+1),0)</f>
        <v>0</v>
      </c>
      <c r="F163" s="23"/>
      <c r="G163" s="23"/>
      <c r="H163" s="614"/>
      <c r="I163" s="614"/>
      <c r="J163" s="123">
        <v>0</v>
      </c>
      <c r="K163" s="123"/>
      <c r="L163" s="123"/>
      <c r="M163" s="123"/>
      <c r="N163" s="123"/>
    </row>
    <row r="164" spans="1:14">
      <c r="A164" s="6"/>
      <c r="B164" s="23"/>
      <c r="C164" s="149"/>
      <c r="D164" s="79" t="str">
        <f>IFERROR(IF(OR(ISTEXT(C164),C164=""),"",VLOOKUP(C164,param!A$4:B$138,2,FALSE)),"Param Not Recognised")</f>
        <v/>
      </c>
      <c r="E164" s="80">
        <f>IF(E154,INDEX($J164:$N164,E155+1),0)</f>
        <v>0</v>
      </c>
      <c r="F164" s="23"/>
      <c r="G164" s="23"/>
      <c r="H164" s="614"/>
      <c r="I164" s="614"/>
      <c r="J164" s="123">
        <v>0</v>
      </c>
      <c r="K164" s="123"/>
      <c r="L164" s="123"/>
      <c r="M164" s="123"/>
      <c r="N164" s="123"/>
    </row>
    <row r="165" spans="1:14">
      <c r="A165" s="6"/>
      <c r="B165" s="23"/>
      <c r="C165" s="149"/>
      <c r="D165" s="79" t="str">
        <f>IFERROR(IF(OR(ISTEXT(C165),C165=""),"",VLOOKUP(C165,param!A$4:B$138,2,FALSE)),"Param Not Recognised")</f>
        <v/>
      </c>
      <c r="E165" s="80">
        <f>IF(E154,INDEX($J165:$N165,E155+1),0)</f>
        <v>0</v>
      </c>
      <c r="F165" s="23"/>
      <c r="G165" s="23"/>
      <c r="H165" s="614"/>
      <c r="I165" s="614"/>
      <c r="J165" s="123">
        <v>0</v>
      </c>
      <c r="K165" s="123"/>
      <c r="L165" s="123"/>
      <c r="M165" s="123"/>
      <c r="N165" s="123"/>
    </row>
    <row r="166" spans="1:14">
      <c r="A166" s="18"/>
    </row>
    <row r="167" spans="1:14">
      <c r="A167" s="90">
        <v>13</v>
      </c>
      <c r="B167" s="29" t="str">
        <f>INDEX(SI_Name,A167+1)</f>
        <v>Mystery Shopper On-Trade</v>
      </c>
      <c r="C167" s="22" t="s">
        <v>200</v>
      </c>
      <c r="D167" s="22"/>
      <c r="E167" s="150" t="b">
        <f>VLOOKUP($A167,calcTableSIsLaunched,adj_IndexTeam+1,FALSE)</f>
        <v>0</v>
      </c>
      <c r="F167" s="10">
        <f>SUMIF(C169:C178,adj_FTECode,K169:K178)</f>
        <v>1</v>
      </c>
      <c r="G167" s="10">
        <f>SUMIF(C169:C178,adj_CostCode,K169:K178)</f>
        <v>2000000</v>
      </c>
      <c r="H167" s="10">
        <f>SUMIF(C169:C178,adj_RepCostCode,K169:K178)</f>
        <v>0</v>
      </c>
      <c r="I167" s="10">
        <f>SUMIF(C169:C178,adj_RepMTUCostCode,K169:K178)</f>
        <v>0</v>
      </c>
      <c r="J167" s="22"/>
      <c r="K167" s="22"/>
      <c r="L167" s="22"/>
      <c r="M167" s="22"/>
      <c r="N167" s="22"/>
    </row>
    <row r="168" spans="1:14">
      <c r="A168" s="6"/>
      <c r="B168" s="23"/>
      <c r="C168" s="23" t="s">
        <v>201</v>
      </c>
      <c r="D168" s="23"/>
      <c r="E168" s="150">
        <f>VLOOKUP($A167,calcTableSIsRoundsIntoLaunch,adj_IndexTeam+1,FALSE)</f>
        <v>0</v>
      </c>
      <c r="F168" s="23"/>
      <c r="G168" s="23"/>
      <c r="H168" s="614"/>
      <c r="I168" s="614"/>
      <c r="J168" s="23"/>
      <c r="K168" s="23"/>
      <c r="L168" s="23"/>
      <c r="M168" s="23"/>
      <c r="N168" s="23"/>
    </row>
    <row r="169" spans="1:14">
      <c r="A169" s="6"/>
      <c r="B169" s="23"/>
      <c r="C169" s="149">
        <v>101</v>
      </c>
      <c r="D169" s="79" t="str">
        <f>IFERROR(IF(OR(ISTEXT(C169),C169=""),"",VLOOKUP(C169,param!A$4:B$138,2,FALSE)),"Param Not Recognised")</f>
        <v>SI Expense</v>
      </c>
      <c r="E169" s="80">
        <f>IF(E167,INDEX($J169:$N169,E168+1),0)</f>
        <v>0</v>
      </c>
      <c r="F169" s="23"/>
      <c r="G169" s="23"/>
      <c r="H169" s="614"/>
      <c r="I169" s="614"/>
      <c r="J169" s="123">
        <v>0</v>
      </c>
      <c r="K169" s="856">
        <v>2000000</v>
      </c>
      <c r="L169" s="856">
        <v>1000000</v>
      </c>
      <c r="M169" s="856">
        <v>1000000</v>
      </c>
      <c r="N169" s="856">
        <v>1000000</v>
      </c>
    </row>
    <row r="170" spans="1:14">
      <c r="A170" s="6"/>
      <c r="B170" s="23"/>
      <c r="C170" s="149">
        <v>102</v>
      </c>
      <c r="D170" s="79" t="str">
        <f>IFERROR(IF(OR(ISTEXT(C170),C170=""),"",VLOOKUP(C170,param!A$4:B$138,2,FALSE)),"Param Not Recognised")</f>
        <v>MTUs</v>
      </c>
      <c r="E170" s="80">
        <f>IF(E167,INDEX($J170:$N170,E168+1),0)</f>
        <v>0</v>
      </c>
      <c r="F170" s="23"/>
      <c r="G170" s="23"/>
      <c r="H170" s="614"/>
      <c r="I170" s="614"/>
      <c r="J170" s="123">
        <v>0</v>
      </c>
      <c r="K170" s="627">
        <v>1</v>
      </c>
      <c r="L170" s="627"/>
      <c r="M170" s="627"/>
      <c r="N170" s="627"/>
    </row>
    <row r="171" spans="1:14">
      <c r="A171" s="6"/>
      <c r="B171" s="23"/>
      <c r="C171" s="147">
        <v>624</v>
      </c>
      <c r="D171" s="79" t="str">
        <f>IFERROR(IF(OR(ISTEXT(C171),C171=""),"",VLOOKUP(C171,param!A$4:B$138,2,FALSE)),"Param Not Recognised")</f>
        <v>On-Trade Conditionality SI Impact</v>
      </c>
      <c r="E171" s="80">
        <f>IF(E167,INDEX($J171:$N171,E168+1),0)</f>
        <v>0</v>
      </c>
      <c r="F171" s="23"/>
      <c r="G171" s="23"/>
      <c r="H171" s="614"/>
      <c r="I171" s="614"/>
      <c r="J171" s="123">
        <v>0</v>
      </c>
      <c r="K171" s="625">
        <v>0.03</v>
      </c>
      <c r="L171" s="625">
        <v>0.04</v>
      </c>
      <c r="M171" s="625">
        <v>0.04</v>
      </c>
      <c r="N171" s="625">
        <v>0.04</v>
      </c>
    </row>
    <row r="172" spans="1:14">
      <c r="A172" s="6"/>
      <c r="B172" s="23"/>
      <c r="C172" s="149"/>
      <c r="D172" s="79" t="str">
        <f>IFERROR(IF(OR(ISTEXT(C172),C172=""),"",VLOOKUP(C172,param!A$4:B$138,2,FALSE)),"Param Not Recognised")</f>
        <v/>
      </c>
      <c r="E172" s="80">
        <f>IF(E167,INDEX($J172:$N172,E168+1),0)</f>
        <v>0</v>
      </c>
      <c r="F172" s="23"/>
      <c r="G172" s="23"/>
      <c r="H172" s="614"/>
      <c r="I172" s="614"/>
      <c r="J172" s="123">
        <v>0</v>
      </c>
      <c r="K172" s="123"/>
      <c r="L172" s="123"/>
      <c r="M172" s="123"/>
      <c r="N172" s="123"/>
    </row>
    <row r="173" spans="1:14">
      <c r="A173" s="6"/>
      <c r="B173" s="23"/>
      <c r="C173" s="149"/>
      <c r="D173" s="79" t="str">
        <f>IFERROR(IF(OR(ISTEXT(C173),C173=""),"",VLOOKUP(C173,param!A$4:B$138,2,FALSE)),"Param Not Recognised")</f>
        <v/>
      </c>
      <c r="E173" s="80">
        <f>IF(E167,INDEX($J173:$N173,E168+1),0)</f>
        <v>0</v>
      </c>
      <c r="F173" s="23"/>
      <c r="G173" s="23"/>
      <c r="H173" s="614"/>
      <c r="I173" s="614"/>
      <c r="J173" s="123">
        <v>0</v>
      </c>
      <c r="K173" s="123"/>
      <c r="L173" s="123"/>
      <c r="M173" s="123"/>
      <c r="N173" s="123"/>
    </row>
    <row r="174" spans="1:14">
      <c r="A174" s="6"/>
      <c r="B174" s="23"/>
      <c r="C174" s="149"/>
      <c r="D174" s="79" t="str">
        <f>IFERROR(IF(OR(ISTEXT(C174),C174=""),"",VLOOKUP(C174,param!A$4:B$138,2,FALSE)),"Param Not Recognised")</f>
        <v/>
      </c>
      <c r="E174" s="80">
        <f>IF(E167,INDEX($J174:$N174,E168+1),0)</f>
        <v>0</v>
      </c>
      <c r="F174" s="23"/>
      <c r="G174" s="23"/>
      <c r="H174" s="614"/>
      <c r="I174" s="614"/>
      <c r="J174" s="123">
        <v>0</v>
      </c>
      <c r="K174" s="123"/>
      <c r="L174" s="123"/>
      <c r="M174" s="123"/>
      <c r="N174" s="123"/>
    </row>
    <row r="175" spans="1:14">
      <c r="A175" s="6"/>
      <c r="B175" s="23"/>
      <c r="C175" s="149"/>
      <c r="D175" s="79" t="str">
        <f>IFERROR(IF(OR(ISTEXT(C175),C175=""),"",VLOOKUP(C175,param!A$4:B$138,2,FALSE)),"Param Not Recognised")</f>
        <v/>
      </c>
      <c r="E175" s="80">
        <f>IF(E167,INDEX($J175:$N175,E168+1),0)</f>
        <v>0</v>
      </c>
      <c r="F175" s="23"/>
      <c r="G175" s="23"/>
      <c r="H175" s="614"/>
      <c r="I175" s="614"/>
      <c r="J175" s="123">
        <v>0</v>
      </c>
      <c r="K175" s="123"/>
      <c r="L175" s="123"/>
      <c r="M175" s="123"/>
      <c r="N175" s="123"/>
    </row>
    <row r="176" spans="1:14">
      <c r="A176" s="6"/>
      <c r="B176" s="23"/>
      <c r="C176" s="149"/>
      <c r="D176" s="79" t="str">
        <f>IFERROR(IF(OR(ISTEXT(C176),C176=""),"",VLOOKUP(C176,param!A$4:B$138,2,FALSE)),"Param Not Recognised")</f>
        <v/>
      </c>
      <c r="E176" s="80">
        <f>IF(E167,INDEX($J176:$N176,E168+1),0)</f>
        <v>0</v>
      </c>
      <c r="F176" s="23"/>
      <c r="G176" s="23"/>
      <c r="H176" s="614"/>
      <c r="I176" s="614"/>
      <c r="J176" s="123">
        <v>0</v>
      </c>
      <c r="K176" s="123"/>
      <c r="L176" s="123"/>
      <c r="M176" s="123"/>
      <c r="N176" s="123"/>
    </row>
    <row r="177" spans="1:14">
      <c r="A177" s="6"/>
      <c r="B177" s="23"/>
      <c r="C177" s="149"/>
      <c r="D177" s="79" t="str">
        <f>IFERROR(IF(OR(ISTEXT(C177),C177=""),"",VLOOKUP(C177,param!A$4:B$138,2,FALSE)),"Param Not Recognised")</f>
        <v/>
      </c>
      <c r="E177" s="80">
        <f>IF(E167,INDEX($J177:$N177,E168+1),0)</f>
        <v>0</v>
      </c>
      <c r="F177" s="23"/>
      <c r="G177" s="23"/>
      <c r="H177" s="614"/>
      <c r="I177" s="614"/>
      <c r="J177" s="123">
        <v>0</v>
      </c>
      <c r="K177" s="123"/>
      <c r="L177" s="123"/>
      <c r="M177" s="123"/>
      <c r="N177" s="123"/>
    </row>
    <row r="178" spans="1:14">
      <c r="A178" s="6"/>
      <c r="B178" s="23"/>
      <c r="C178" s="149"/>
      <c r="D178" s="79" t="str">
        <f>IFERROR(IF(OR(ISTEXT(C178),C178=""),"",VLOOKUP(C178,param!A$4:B$138,2,FALSE)),"Param Not Recognised")</f>
        <v/>
      </c>
      <c r="E178" s="80">
        <f>IF(E167,INDEX($J178:$N178,E168+1),0)</f>
        <v>0</v>
      </c>
      <c r="F178" s="23"/>
      <c r="G178" s="23"/>
      <c r="H178" s="614"/>
      <c r="I178" s="614"/>
      <c r="J178" s="123">
        <v>0</v>
      </c>
      <c r="K178" s="123"/>
      <c r="L178" s="123"/>
      <c r="M178" s="123"/>
      <c r="N178" s="123"/>
    </row>
    <row r="179" spans="1:14">
      <c r="A179" s="18"/>
    </row>
    <row r="180" spans="1:14">
      <c r="A180" s="90">
        <v>14</v>
      </c>
      <c r="B180" s="29" t="str">
        <f>INDEX(SI_Name,A180+1)</f>
        <v>Communicating value</v>
      </c>
      <c r="C180" s="22" t="s">
        <v>200</v>
      </c>
      <c r="D180" s="22"/>
      <c r="E180" s="150" t="b">
        <f>VLOOKUP($A180,calcTableSIsLaunched,adj_IndexTeam+1,FALSE)</f>
        <v>0</v>
      </c>
      <c r="F180" s="10">
        <f>SUMIF(C182:C195,adj_FTECode,K182:K195)</f>
        <v>2</v>
      </c>
      <c r="G180" s="10">
        <f>SUMIF(C182:C195,adj_CostCode,K182:K195)</f>
        <v>2000000</v>
      </c>
      <c r="H180" s="10">
        <f>SUMIF(C182:C195,adj_RepCostCode,K182:K195)</f>
        <v>0</v>
      </c>
      <c r="I180" s="10">
        <f>SUMIF(C182:C195,adj_RepMTUCostCode,K182:K195)</f>
        <v>0</v>
      </c>
      <c r="J180" s="22"/>
      <c r="K180" s="22"/>
      <c r="L180" s="22"/>
      <c r="M180" s="22"/>
      <c r="N180" s="22"/>
    </row>
    <row r="181" spans="1:14">
      <c r="A181" s="6"/>
      <c r="B181" s="23"/>
      <c r="C181" s="23" t="s">
        <v>201</v>
      </c>
      <c r="D181" s="23"/>
      <c r="E181" s="150">
        <f>VLOOKUP($A180,calcTableSIsRoundsIntoLaunch,adj_IndexTeam+1,FALSE)</f>
        <v>0</v>
      </c>
      <c r="F181" s="23"/>
      <c r="G181" s="23"/>
      <c r="H181" s="614"/>
      <c r="I181" s="614"/>
      <c r="J181" s="23"/>
      <c r="K181" s="23"/>
      <c r="L181" s="23"/>
      <c r="M181" s="23"/>
      <c r="N181" s="23"/>
    </row>
    <row r="182" spans="1:14">
      <c r="A182" s="6"/>
      <c r="B182" s="23"/>
      <c r="C182" s="149">
        <v>101</v>
      </c>
      <c r="D182" s="79" t="str">
        <f>IFERROR(IF(OR(ISTEXT(C182),C182=""),"",VLOOKUP(C182,param!A$4:B$138,2,FALSE)),"Param Not Recognised")</f>
        <v>SI Expense</v>
      </c>
      <c r="E182" s="80">
        <f>IF(E180,INDEX($J182:$N182,E181+1),0)</f>
        <v>0</v>
      </c>
      <c r="F182" s="23"/>
      <c r="G182" s="23"/>
      <c r="H182" s="614"/>
      <c r="I182" s="614"/>
      <c r="J182" s="123">
        <v>0</v>
      </c>
      <c r="K182" s="856">
        <v>2000000</v>
      </c>
      <c r="L182" s="856">
        <v>1000000</v>
      </c>
      <c r="M182" s="856">
        <v>1000000</v>
      </c>
      <c r="N182" s="856">
        <v>1000000</v>
      </c>
    </row>
    <row r="183" spans="1:14">
      <c r="A183" s="6"/>
      <c r="B183" s="23"/>
      <c r="C183" s="149">
        <v>102</v>
      </c>
      <c r="D183" s="79" t="str">
        <f>IFERROR(IF(OR(ISTEXT(C183),C183=""),"",VLOOKUP(C183,param!A$4:B$138,2,FALSE)),"Param Not Recognised")</f>
        <v>MTUs</v>
      </c>
      <c r="E183" s="80">
        <f>IF(E180,INDEX($J183:$N183,E181+1),0)</f>
        <v>0</v>
      </c>
      <c r="F183" s="23"/>
      <c r="G183" s="23"/>
      <c r="H183" s="614"/>
      <c r="I183" s="614"/>
      <c r="J183" s="123">
        <v>0</v>
      </c>
      <c r="K183" s="123">
        <v>2</v>
      </c>
      <c r="L183" s="123"/>
      <c r="M183" s="123"/>
      <c r="N183" s="123"/>
    </row>
    <row r="184" spans="1:14">
      <c r="A184" s="6"/>
      <c r="B184" s="23"/>
      <c r="C184" s="149">
        <v>621</v>
      </c>
      <c r="D184" s="79" t="str">
        <f>IFERROR(IF(OR(ISTEXT(C184),C184=""),"",VLOOKUP(C184,param!A$4:B$138,2,FALSE)),"Param Not Recognised")</f>
        <v>Hypermarkets Conditionality SI Impact</v>
      </c>
      <c r="E184" s="80">
        <f t="shared" ref="E184:E194" si="0">IF(E$180,INDEX($J184:$N184,E$181+1),0)</f>
        <v>0</v>
      </c>
      <c r="F184" s="23"/>
      <c r="G184" s="23"/>
      <c r="H184" s="614"/>
      <c r="I184" s="614"/>
      <c r="J184" s="123">
        <v>0</v>
      </c>
      <c r="K184" s="481">
        <v>5.0000000000000001E-3</v>
      </c>
      <c r="L184" s="481">
        <v>5.0000000000000001E-3</v>
      </c>
      <c r="M184" s="481">
        <v>5.0000000000000001E-3</v>
      </c>
      <c r="N184" s="481">
        <v>5.0000000000000001E-3</v>
      </c>
    </row>
    <row r="185" spans="1:14">
      <c r="A185" s="6"/>
      <c r="B185" s="23"/>
      <c r="C185" s="149">
        <v>622</v>
      </c>
      <c r="D185" s="79" t="str">
        <f>IFERROR(IF(OR(ISTEXT(C185),C185=""),"",VLOOKUP(C185,param!A$4:B$138,2,FALSE)),"Param Not Recognised")</f>
        <v>Discounters Conditionality SI Impact</v>
      </c>
      <c r="E185" s="80">
        <f t="shared" si="0"/>
        <v>0</v>
      </c>
      <c r="F185" s="23"/>
      <c r="G185" s="23"/>
      <c r="H185" s="614"/>
      <c r="I185" s="614"/>
      <c r="J185" s="123">
        <v>0</v>
      </c>
      <c r="K185" s="481">
        <v>5.0000000000000001E-3</v>
      </c>
      <c r="L185" s="481">
        <v>5.0000000000000001E-3</v>
      </c>
      <c r="M185" s="481">
        <v>5.0000000000000001E-3</v>
      </c>
      <c r="N185" s="481">
        <v>5.0000000000000001E-3</v>
      </c>
    </row>
    <row r="186" spans="1:14">
      <c r="A186" s="6"/>
      <c r="B186" s="23"/>
      <c r="C186" s="149">
        <v>623</v>
      </c>
      <c r="D186" s="79" t="str">
        <f>IFERROR(IF(OR(ISTEXT(C186),C186=""),"",VLOOKUP(C186,param!A$4:B$138,2,FALSE)),"Param Not Recognised")</f>
        <v>Convenience Conditionality SI Impact</v>
      </c>
      <c r="E186" s="80">
        <f t="shared" si="0"/>
        <v>0</v>
      </c>
      <c r="F186" s="23"/>
      <c r="G186" s="23"/>
      <c r="H186" s="614"/>
      <c r="I186" s="614"/>
      <c r="J186" s="123">
        <v>0</v>
      </c>
      <c r="K186" s="481">
        <v>5.0000000000000001E-3</v>
      </c>
      <c r="L186" s="481">
        <v>5.0000000000000001E-3</v>
      </c>
      <c r="M186" s="481">
        <v>5.0000000000000001E-3</v>
      </c>
      <c r="N186" s="481">
        <v>5.0000000000000001E-3</v>
      </c>
    </row>
    <row r="187" spans="1:14">
      <c r="A187" s="6"/>
      <c r="B187" s="23"/>
      <c r="C187" s="149">
        <v>624</v>
      </c>
      <c r="D187" s="79" t="str">
        <f>IFERROR(IF(OR(ISTEXT(C187),C187=""),"",VLOOKUP(C187,param!A$4:B$138,2,FALSE)),"Param Not Recognised")</f>
        <v>On-Trade Conditionality SI Impact</v>
      </c>
      <c r="E187" s="80">
        <f t="shared" si="0"/>
        <v>0</v>
      </c>
      <c r="F187" s="23"/>
      <c r="G187" s="23"/>
      <c r="H187" s="614"/>
      <c r="I187" s="614"/>
      <c r="J187" s="123">
        <v>0</v>
      </c>
      <c r="K187" s="481">
        <v>5.0000000000000001E-3</v>
      </c>
      <c r="L187" s="481">
        <v>5.0000000000000001E-3</v>
      </c>
      <c r="M187" s="481">
        <v>5.0000000000000001E-3</v>
      </c>
      <c r="N187" s="481">
        <v>5.0000000000000001E-3</v>
      </c>
    </row>
    <row r="188" spans="1:14" s="800" customFormat="1">
      <c r="A188" s="610"/>
      <c r="B188" s="614"/>
      <c r="C188" s="149">
        <v>641</v>
      </c>
      <c r="D188" s="79" t="str">
        <f>IFERROR(IF(OR(ISTEXT(C188),C188=""),"",VLOOKUP(C188,param!A$4:B$138,2,FALSE)),"Param Not Recognised")</f>
        <v>Visibility - Hypermarkets SI Factor</v>
      </c>
      <c r="E188" s="80">
        <f t="shared" si="0"/>
        <v>0</v>
      </c>
      <c r="F188" s="614"/>
      <c r="G188" s="614"/>
      <c r="H188" s="614"/>
      <c r="I188" s="614"/>
      <c r="J188" s="627">
        <v>0</v>
      </c>
      <c r="K188" s="856">
        <v>100000</v>
      </c>
      <c r="L188" s="856">
        <v>100000</v>
      </c>
      <c r="M188" s="856">
        <v>100000</v>
      </c>
      <c r="N188" s="856">
        <v>100000</v>
      </c>
    </row>
    <row r="189" spans="1:14" s="800" customFormat="1">
      <c r="A189" s="610"/>
      <c r="B189" s="614"/>
      <c r="C189" s="149">
        <v>642</v>
      </c>
      <c r="D189" s="79" t="str">
        <f>IFERROR(IF(OR(ISTEXT(C189),C189=""),"",VLOOKUP(C189,param!A$4:B$138,2,FALSE)),"Param Not Recognised")</f>
        <v>Visibility - Discounters SI Factor</v>
      </c>
      <c r="E189" s="80">
        <f t="shared" si="0"/>
        <v>0</v>
      </c>
      <c r="F189" s="614"/>
      <c r="G189" s="614"/>
      <c r="H189" s="614"/>
      <c r="I189" s="614"/>
      <c r="J189" s="627">
        <v>0</v>
      </c>
      <c r="K189" s="856">
        <v>100000</v>
      </c>
      <c r="L189" s="856">
        <v>100000</v>
      </c>
      <c r="M189" s="856">
        <v>100000</v>
      </c>
      <c r="N189" s="856">
        <v>100000</v>
      </c>
    </row>
    <row r="190" spans="1:14" s="800" customFormat="1">
      <c r="A190" s="610"/>
      <c r="B190" s="614"/>
      <c r="C190" s="149">
        <v>643</v>
      </c>
      <c r="D190" s="79" t="str">
        <f>IFERROR(IF(OR(ISTEXT(C190),C190=""),"",VLOOKUP(C190,param!A$4:B$138,2,FALSE)),"Param Not Recognised")</f>
        <v>Visibility - Convenience SI Factor</v>
      </c>
      <c r="E190" s="80">
        <f t="shared" si="0"/>
        <v>0</v>
      </c>
      <c r="F190" s="614"/>
      <c r="G190" s="614"/>
      <c r="H190" s="614"/>
      <c r="I190" s="614"/>
      <c r="J190" s="627">
        <v>0</v>
      </c>
      <c r="K190" s="856">
        <v>100000</v>
      </c>
      <c r="L190" s="856">
        <v>100000</v>
      </c>
      <c r="M190" s="856">
        <v>100000</v>
      </c>
      <c r="N190" s="856">
        <v>100000</v>
      </c>
    </row>
    <row r="191" spans="1:14">
      <c r="A191" s="6"/>
      <c r="B191" s="23"/>
      <c r="C191" s="149">
        <v>644</v>
      </c>
      <c r="D191" s="79" t="str">
        <f>IFERROR(IF(OR(ISTEXT(C191),C191=""),"",VLOOKUP(C191,param!A$4:B$138,2,FALSE)),"Param Not Recognised")</f>
        <v>Visibility - On-Trade SI Factor</v>
      </c>
      <c r="E191" s="80">
        <f t="shared" si="0"/>
        <v>0</v>
      </c>
      <c r="F191" s="23"/>
      <c r="G191" s="23"/>
      <c r="H191" s="614"/>
      <c r="I191" s="614"/>
      <c r="J191" s="123">
        <v>0</v>
      </c>
      <c r="K191" s="856">
        <v>100000</v>
      </c>
      <c r="L191" s="856">
        <v>100000</v>
      </c>
      <c r="M191" s="856">
        <v>100000</v>
      </c>
      <c r="N191" s="856">
        <v>100000</v>
      </c>
    </row>
    <row r="192" spans="1:14">
      <c r="A192" s="6"/>
      <c r="B192" s="23"/>
      <c r="C192" s="149">
        <v>625</v>
      </c>
      <c r="D192" s="79" t="str">
        <f>IFERROR(IF(OR(ISTEXT(C192),C192=""),"",VLOOKUP(C192,param!A$4:B$138,2,FALSE)),"Param Not Recognised")</f>
        <v>Distribution - Hypermarkets SI Factor</v>
      </c>
      <c r="E192" s="80">
        <f t="shared" si="0"/>
        <v>0</v>
      </c>
      <c r="F192" s="23"/>
      <c r="G192" s="23"/>
      <c r="H192" s="614"/>
      <c r="I192" s="614"/>
      <c r="J192" s="123">
        <v>0</v>
      </c>
      <c r="K192" s="856">
        <v>100000</v>
      </c>
      <c r="L192" s="856">
        <v>100000</v>
      </c>
      <c r="M192" s="856">
        <v>100000</v>
      </c>
      <c r="N192" s="856">
        <v>100000</v>
      </c>
    </row>
    <row r="193" spans="1:14">
      <c r="A193" s="6"/>
      <c r="B193" s="23"/>
      <c r="C193" s="149">
        <v>626</v>
      </c>
      <c r="D193" s="79" t="str">
        <f>IFERROR(IF(OR(ISTEXT(C193),C193=""),"",VLOOKUP(C193,param!A$4:B$138,2,FALSE)),"Param Not Recognised")</f>
        <v>Distribution - Discounters SI Factor</v>
      </c>
      <c r="E193" s="80">
        <f t="shared" si="0"/>
        <v>0</v>
      </c>
      <c r="F193" s="23"/>
      <c r="G193" s="23"/>
      <c r="H193" s="614"/>
      <c r="I193" s="614"/>
      <c r="J193" s="123">
        <v>0</v>
      </c>
      <c r="K193" s="856">
        <v>100000</v>
      </c>
      <c r="L193" s="856">
        <v>100000</v>
      </c>
      <c r="M193" s="856">
        <v>100000</v>
      </c>
      <c r="N193" s="856">
        <v>100000</v>
      </c>
    </row>
    <row r="194" spans="1:14" s="800" customFormat="1">
      <c r="A194" s="610"/>
      <c r="B194" s="614"/>
      <c r="C194" s="149">
        <v>627</v>
      </c>
      <c r="D194" s="79" t="str">
        <f>IFERROR(IF(OR(ISTEXT(C194),C194=""),"",VLOOKUP(C194,param!A$4:B$138,2,FALSE)),"Param Not Recognised")</f>
        <v>Distribution - Convenience SI Factor</v>
      </c>
      <c r="E194" s="80">
        <f t="shared" si="0"/>
        <v>0</v>
      </c>
      <c r="F194" s="614"/>
      <c r="G194" s="614"/>
      <c r="H194" s="614"/>
      <c r="I194" s="614"/>
      <c r="J194" s="627">
        <v>0</v>
      </c>
      <c r="K194" s="856">
        <v>100000</v>
      </c>
      <c r="L194" s="856">
        <v>100000</v>
      </c>
      <c r="M194" s="856">
        <v>100000</v>
      </c>
      <c r="N194" s="856">
        <v>100000</v>
      </c>
    </row>
    <row r="195" spans="1:14">
      <c r="A195" s="6"/>
      <c r="B195" s="23"/>
      <c r="C195" s="149">
        <v>628</v>
      </c>
      <c r="D195" s="79" t="str">
        <f>IFERROR(IF(OR(ISTEXT(C195),C195=""),"",VLOOKUP(C195,param!A$4:B$138,2,FALSE)),"Param Not Recognised")</f>
        <v>Distribution - On-Trade SI Factor</v>
      </c>
      <c r="E195" s="80">
        <f>IF(E180,INDEX($J195:$N195,E181+1),0)</f>
        <v>0</v>
      </c>
      <c r="F195" s="23"/>
      <c r="G195" s="23"/>
      <c r="H195" s="614"/>
      <c r="I195" s="614"/>
      <c r="J195" s="123">
        <v>0</v>
      </c>
      <c r="K195" s="856">
        <v>100000</v>
      </c>
      <c r="L195" s="856">
        <v>100000</v>
      </c>
      <c r="M195" s="856">
        <v>100000</v>
      </c>
      <c r="N195" s="856">
        <v>100000</v>
      </c>
    </row>
    <row r="196" spans="1:14">
      <c r="A196" s="18"/>
    </row>
    <row r="197" spans="1:14">
      <c r="A197" s="90">
        <v>15</v>
      </c>
      <c r="B197" s="29" t="str">
        <f>INDEX(SI_Name,A197+1)</f>
        <v>Optimising Packaging Materials</v>
      </c>
      <c r="C197" s="22" t="s">
        <v>200</v>
      </c>
      <c r="D197" s="22"/>
      <c r="E197" s="150" t="b">
        <f>VLOOKUP($A197,calcTableSIsLaunched,adj_IndexTeam+1,FALSE)</f>
        <v>0</v>
      </c>
      <c r="F197" s="10">
        <f>SUMIF(C199:C208,adj_FTECode,K199:K208)</f>
        <v>1</v>
      </c>
      <c r="G197" s="10">
        <f>SUMIF(C199:C208,adj_CostCode,K199:K208)</f>
        <v>4000000</v>
      </c>
      <c r="H197" s="10">
        <f>SUMIF(C199:C208,adj_RepCostCode,K199:K208)</f>
        <v>0</v>
      </c>
      <c r="I197" s="10">
        <f>SUMIF(C199:C208,adj_RepMTUCostCode,K199:K208)</f>
        <v>0</v>
      </c>
      <c r="J197" s="22"/>
      <c r="K197" s="22"/>
      <c r="L197" s="22"/>
      <c r="M197" s="22"/>
      <c r="N197" s="22"/>
    </row>
    <row r="198" spans="1:14">
      <c r="A198" s="6"/>
      <c r="B198" s="23"/>
      <c r="C198" s="23" t="s">
        <v>201</v>
      </c>
      <c r="D198" s="23"/>
      <c r="E198" s="150">
        <f>VLOOKUP($A197,calcTableSIsRoundsIntoLaunch,adj_IndexTeam+1,FALSE)</f>
        <v>0</v>
      </c>
      <c r="F198" s="23"/>
      <c r="G198" s="23"/>
      <c r="H198" s="614"/>
      <c r="I198" s="614"/>
      <c r="J198" s="23"/>
      <c r="K198" s="23"/>
      <c r="L198" s="23"/>
      <c r="M198" s="23"/>
      <c r="N198" s="23"/>
    </row>
    <row r="199" spans="1:14">
      <c r="A199" s="6"/>
      <c r="B199" s="23"/>
      <c r="C199" s="149">
        <v>101</v>
      </c>
      <c r="D199" s="79" t="str">
        <f>IFERROR(IF(OR(ISTEXT(C199),C199=""),"",VLOOKUP(C199,param!A$4:B$138,2,FALSE)),"Param Not Recognised")</f>
        <v>SI Expense</v>
      </c>
      <c r="E199" s="80">
        <f>IF(E197,INDEX($J199:$N199,E198+1),0)</f>
        <v>0</v>
      </c>
      <c r="F199" s="23"/>
      <c r="G199" s="23"/>
      <c r="H199" s="614"/>
      <c r="I199" s="614"/>
      <c r="J199" s="123">
        <v>0</v>
      </c>
      <c r="K199" s="856">
        <v>4000000</v>
      </c>
      <c r="L199" s="123"/>
      <c r="M199" s="123"/>
      <c r="N199" s="123"/>
    </row>
    <row r="200" spans="1:14">
      <c r="A200" s="6"/>
      <c r="B200" s="23"/>
      <c r="C200" s="149">
        <v>102</v>
      </c>
      <c r="D200" s="79" t="str">
        <f>IFERROR(IF(OR(ISTEXT(C200),C200=""),"",VLOOKUP(C200,param!A$4:B$138,2,FALSE)),"Param Not Recognised")</f>
        <v>MTUs</v>
      </c>
      <c r="E200" s="80">
        <f>IF(E197,INDEX($J200:$N200,E198+1),0)</f>
        <v>0</v>
      </c>
      <c r="F200" s="23"/>
      <c r="G200" s="23"/>
      <c r="H200" s="614"/>
      <c r="I200" s="614"/>
      <c r="J200" s="123">
        <v>0</v>
      </c>
      <c r="K200" s="123">
        <v>1</v>
      </c>
      <c r="L200" s="123"/>
      <c r="M200" s="123"/>
      <c r="N200" s="123"/>
    </row>
    <row r="201" spans="1:14">
      <c r="A201" s="6"/>
      <c r="B201" s="23"/>
      <c r="C201" s="147">
        <v>301</v>
      </c>
      <c r="D201" s="79" t="str">
        <f>IFERROR(IF(OR(ISTEXT(C201),C201=""),"",VLOOKUP(C201,param!A$4:B$138,2,FALSE)),"Param Not Recognised")</f>
        <v>Greenborg Material Exp SI</v>
      </c>
      <c r="E201" s="80">
        <f>IF(E197,INDEX($J201:$N201,E198+1),0)</f>
        <v>0</v>
      </c>
      <c r="F201" s="23"/>
      <c r="G201" s="23"/>
      <c r="H201" s="614"/>
      <c r="I201" s="614"/>
      <c r="J201" s="123">
        <v>0</v>
      </c>
      <c r="K201" s="916">
        <v>-2.5000000000000001E-2</v>
      </c>
      <c r="L201" s="916">
        <v>-2.5000000000000001E-2</v>
      </c>
      <c r="M201" s="916">
        <v>-2.5000000000000001E-2</v>
      </c>
      <c r="N201" s="916">
        <v>-2.5000000000000001E-2</v>
      </c>
    </row>
    <row r="202" spans="1:14">
      <c r="A202" s="6"/>
      <c r="B202" s="23"/>
      <c r="C202" s="147">
        <v>302</v>
      </c>
      <c r="D202" s="79" t="str">
        <f>IFERROR(IF(OR(ISTEXT(C202),C202=""),"",VLOOKUP(C202,param!A$4:B$138,2,FALSE)),"Param Not Recognised")</f>
        <v>Harken Material Exp SI</v>
      </c>
      <c r="E202" s="80">
        <f>IF(E197,INDEX($J202:$N202,E198+1),0)</f>
        <v>0</v>
      </c>
      <c r="F202" s="23"/>
      <c r="G202" s="23"/>
      <c r="H202" s="614"/>
      <c r="I202" s="614"/>
      <c r="J202" s="123">
        <v>0</v>
      </c>
      <c r="K202" s="916">
        <v>-2.5000000000000001E-2</v>
      </c>
      <c r="L202" s="916">
        <v>-2.5000000000000001E-2</v>
      </c>
      <c r="M202" s="916">
        <v>-2.5000000000000001E-2</v>
      </c>
      <c r="N202" s="916">
        <v>-2.5000000000000001E-2</v>
      </c>
    </row>
    <row r="203" spans="1:14">
      <c r="A203" s="6"/>
      <c r="B203" s="23"/>
      <c r="C203" s="147">
        <v>303</v>
      </c>
      <c r="D203" s="79" t="str">
        <f>IFERROR(IF(OR(ISTEXT(C203),C203=""),"",VLOOKUP(C203,param!A$4:B$138,2,FALSE)),"Param Not Recognised")</f>
        <v>Kara Material Exp SI</v>
      </c>
      <c r="E203" s="80">
        <f>IF(E197,INDEX($J203:$N203,E198+1),0)</f>
        <v>0</v>
      </c>
      <c r="F203" s="23"/>
      <c r="G203" s="23"/>
      <c r="H203" s="614"/>
      <c r="I203" s="614"/>
      <c r="J203" s="123">
        <v>0</v>
      </c>
      <c r="K203" s="916">
        <v>-2.5000000000000001E-2</v>
      </c>
      <c r="L203" s="916">
        <v>-2.5000000000000001E-2</v>
      </c>
      <c r="M203" s="916">
        <v>-2.5000000000000001E-2</v>
      </c>
      <c r="N203" s="916">
        <v>-2.5000000000000001E-2</v>
      </c>
    </row>
    <row r="204" spans="1:14">
      <c r="A204" s="6"/>
      <c r="B204" s="23"/>
      <c r="C204" s="147">
        <v>304</v>
      </c>
      <c r="D204" s="79" t="str">
        <f>IFERROR(IF(OR(ISTEXT(C204),C204=""),"",VLOOKUP(C204,param!A$4:B$138,2,FALSE)),"Param Not Recognised")</f>
        <v>Brew Master Material Exp SI</v>
      </c>
      <c r="E204" s="80">
        <f>IF(E197,INDEX($J204:$N204,E198+1),0)</f>
        <v>0</v>
      </c>
      <c r="F204" s="23"/>
      <c r="G204" s="23"/>
      <c r="H204" s="614"/>
      <c r="I204" s="614"/>
      <c r="J204" s="123">
        <v>0</v>
      </c>
      <c r="K204" s="916">
        <v>-2.5000000000000001E-2</v>
      </c>
      <c r="L204" s="916">
        <v>-2.5000000000000001E-2</v>
      </c>
      <c r="M204" s="916">
        <v>-2.5000000000000001E-2</v>
      </c>
      <c r="N204" s="916">
        <v>-2.5000000000000001E-2</v>
      </c>
    </row>
    <row r="205" spans="1:14">
      <c r="A205" s="6"/>
      <c r="B205" s="23"/>
      <c r="C205" s="149"/>
      <c r="D205" s="79" t="str">
        <f>IFERROR(IF(OR(ISTEXT(C205),C205=""),"",VLOOKUP(C205,param!A$4:B$138,2,FALSE)),"Param Not Recognised")</f>
        <v/>
      </c>
      <c r="E205" s="80">
        <f>IF(E197,INDEX($J205:$N205,E198+1),0)</f>
        <v>0</v>
      </c>
      <c r="F205" s="23"/>
      <c r="G205" s="23"/>
      <c r="H205" s="614"/>
      <c r="I205" s="614"/>
      <c r="J205" s="123">
        <v>0</v>
      </c>
      <c r="K205" s="123"/>
      <c r="L205" s="123"/>
      <c r="M205" s="123"/>
      <c r="N205" s="123"/>
    </row>
    <row r="206" spans="1:14">
      <c r="A206" s="6"/>
      <c r="B206" s="23"/>
      <c r="C206" s="149"/>
      <c r="D206" s="79" t="str">
        <f>IFERROR(IF(OR(ISTEXT(C206),C206=""),"",VLOOKUP(C206,param!A$4:B$138,2,FALSE)),"Param Not Recognised")</f>
        <v/>
      </c>
      <c r="E206" s="80">
        <f>IF(E197,INDEX($J206:$N206,E198+1),0)</f>
        <v>0</v>
      </c>
      <c r="F206" s="23"/>
      <c r="G206" s="23"/>
      <c r="H206" s="614"/>
      <c r="I206" s="614"/>
      <c r="J206" s="123">
        <v>0</v>
      </c>
      <c r="K206" s="123"/>
      <c r="L206" s="123"/>
      <c r="M206" s="123"/>
      <c r="N206" s="123"/>
    </row>
    <row r="207" spans="1:14">
      <c r="A207" s="6"/>
      <c r="B207" s="23"/>
      <c r="C207" s="149"/>
      <c r="D207" s="79" t="str">
        <f>IFERROR(IF(OR(ISTEXT(C207),C207=""),"",VLOOKUP(C207,param!A$4:B$138,2,FALSE)),"Param Not Recognised")</f>
        <v/>
      </c>
      <c r="E207" s="80">
        <f>IF(E197,INDEX($J207:$N207,E198+1),0)</f>
        <v>0</v>
      </c>
      <c r="F207" s="23"/>
      <c r="G207" s="23"/>
      <c r="H207" s="614"/>
      <c r="I207" s="614"/>
      <c r="J207" s="123">
        <v>0</v>
      </c>
      <c r="K207" s="123"/>
      <c r="L207" s="123"/>
      <c r="M207" s="123"/>
      <c r="N207" s="123"/>
    </row>
    <row r="208" spans="1:14">
      <c r="A208" s="6"/>
      <c r="B208" s="23"/>
      <c r="C208" s="149"/>
      <c r="D208" s="79" t="str">
        <f>IFERROR(IF(OR(ISTEXT(C208),C208=""),"",VLOOKUP(C208,param!A$4:B$138,2,FALSE)),"Param Not Recognised")</f>
        <v/>
      </c>
      <c r="E208" s="80">
        <f>IF(E197,INDEX($J208:$N208,E198+1),0)</f>
        <v>0</v>
      </c>
      <c r="F208" s="23"/>
      <c r="G208" s="23"/>
      <c r="H208" s="614"/>
      <c r="I208" s="614"/>
      <c r="J208" s="123">
        <v>0</v>
      </c>
      <c r="K208" s="123"/>
      <c r="L208" s="123"/>
      <c r="M208" s="123"/>
      <c r="N208" s="123"/>
    </row>
    <row r="209" spans="1:14">
      <c r="A209" s="18"/>
    </row>
    <row r="210" spans="1:14">
      <c r="A210" s="90">
        <v>16</v>
      </c>
      <c r="B210" s="29" t="str">
        <f>INDEX(SI_Name,A210+1)</f>
        <v>Sales and Operations Planning</v>
      </c>
      <c r="C210" s="22" t="s">
        <v>200</v>
      </c>
      <c r="D210" s="22"/>
      <c r="E210" s="150" t="b">
        <f>VLOOKUP($A210,calcTableSIsLaunched,adj_IndexTeam+1,FALSE)</f>
        <v>0</v>
      </c>
      <c r="F210" s="10">
        <f>SUMIF(C212:C221,adj_FTECode,K212:K221)</f>
        <v>2</v>
      </c>
      <c r="G210" s="10">
        <f>SUMIF(C212:C221,adj_CostCode,K212:K221)</f>
        <v>2000000</v>
      </c>
      <c r="H210" s="10">
        <f>SUMIF(C212:C221,adj_RepCostCode,K212:K221)</f>
        <v>0</v>
      </c>
      <c r="I210" s="10">
        <f>SUMIF(C212:C221,adj_RepMTUCostCode,K212:K221)</f>
        <v>0</v>
      </c>
      <c r="J210" s="22"/>
      <c r="K210" s="22"/>
      <c r="L210" s="22"/>
      <c r="M210" s="22"/>
      <c r="N210" s="22"/>
    </row>
    <row r="211" spans="1:14">
      <c r="A211" s="6"/>
      <c r="B211" s="23"/>
      <c r="C211" s="23" t="s">
        <v>201</v>
      </c>
      <c r="D211" s="23"/>
      <c r="E211" s="150">
        <f>VLOOKUP($A210,calcTableSIsRoundsIntoLaunch,adj_IndexTeam+1,FALSE)</f>
        <v>0</v>
      </c>
      <c r="F211" s="23"/>
      <c r="G211" s="23"/>
      <c r="H211" s="614"/>
      <c r="I211" s="614"/>
      <c r="J211" s="23"/>
      <c r="K211" s="23"/>
      <c r="L211" s="23"/>
      <c r="M211" s="23"/>
      <c r="N211" s="23"/>
    </row>
    <row r="212" spans="1:14">
      <c r="A212" s="6"/>
      <c r="B212" s="23"/>
      <c r="C212" s="149">
        <v>101</v>
      </c>
      <c r="D212" s="79" t="str">
        <f>IFERROR(IF(OR(ISTEXT(C212),C212=""),"",VLOOKUP(C212,param!A$4:B$138,2,FALSE)),"Param Not Recognised")</f>
        <v>SI Expense</v>
      </c>
      <c r="E212" s="80">
        <f>IF(E210,INDEX($J212:$N212,E211+1),0)</f>
        <v>0</v>
      </c>
      <c r="F212" s="23"/>
      <c r="G212" s="23"/>
      <c r="H212" s="614"/>
      <c r="I212" s="614"/>
      <c r="J212" s="123">
        <v>0</v>
      </c>
      <c r="K212" s="856">
        <v>2000000</v>
      </c>
      <c r="L212" s="123"/>
      <c r="M212" s="123"/>
      <c r="N212" s="123"/>
    </row>
    <row r="213" spans="1:14">
      <c r="A213" s="6"/>
      <c r="B213" s="23"/>
      <c r="C213" s="149">
        <v>102</v>
      </c>
      <c r="D213" s="79" t="str">
        <f>IFERROR(IF(OR(ISTEXT(C213),C213=""),"",VLOOKUP(C213,param!A$4:B$138,2,FALSE)),"Param Not Recognised")</f>
        <v>MTUs</v>
      </c>
      <c r="E213" s="80">
        <f>IF(E210,INDEX($J213:$N213,E211+1),0)</f>
        <v>0</v>
      </c>
      <c r="F213" s="23"/>
      <c r="G213" s="23"/>
      <c r="H213" s="614"/>
      <c r="I213" s="614"/>
      <c r="J213" s="123">
        <v>0</v>
      </c>
      <c r="K213" s="123">
        <v>2</v>
      </c>
      <c r="L213" s="123"/>
      <c r="M213" s="123"/>
      <c r="N213" s="123"/>
    </row>
    <row r="214" spans="1:14">
      <c r="A214" s="6"/>
      <c r="B214" s="23"/>
      <c r="C214" s="147">
        <v>309</v>
      </c>
      <c r="D214" s="79" t="str">
        <f>IFERROR(IF(OR(ISTEXT(C214),C214=""),"",VLOOKUP(C214,param!A$4:B$138,2,FALSE)),"Param Not Recognised")</f>
        <v>Greenborg Log Exp SI</v>
      </c>
      <c r="E214" s="80">
        <f>IF(E210,INDEX($J214:$N214,E211+1),0)</f>
        <v>0</v>
      </c>
      <c r="F214" s="23"/>
      <c r="G214" s="23"/>
      <c r="H214" s="614"/>
      <c r="I214" s="614"/>
      <c r="J214" s="123">
        <v>0</v>
      </c>
      <c r="K214" s="916">
        <v>-1.4999999999999999E-2</v>
      </c>
      <c r="L214" s="916">
        <v>-1.4999999999999999E-2</v>
      </c>
      <c r="M214" s="916">
        <v>-1.4999999999999999E-2</v>
      </c>
      <c r="N214" s="916">
        <v>-1.4999999999999999E-2</v>
      </c>
    </row>
    <row r="215" spans="1:14">
      <c r="A215" s="6"/>
      <c r="B215" s="23"/>
      <c r="C215" s="147">
        <v>310</v>
      </c>
      <c r="D215" s="79" t="str">
        <f>IFERROR(IF(OR(ISTEXT(C215),C215=""),"",VLOOKUP(C215,param!A$4:B$138,2,FALSE)),"Param Not Recognised")</f>
        <v>Harken Log Exp SI</v>
      </c>
      <c r="E215" s="80">
        <f>IF(E210,INDEX($J215:$N215,E211+1),0)</f>
        <v>0</v>
      </c>
      <c r="F215" s="23"/>
      <c r="G215" s="23"/>
      <c r="H215" s="614"/>
      <c r="I215" s="614"/>
      <c r="J215" s="123">
        <v>0</v>
      </c>
      <c r="K215" s="916">
        <v>-1.4999999999999999E-2</v>
      </c>
      <c r="L215" s="916">
        <v>-1.4999999999999999E-2</v>
      </c>
      <c r="M215" s="916">
        <v>-1.4999999999999999E-2</v>
      </c>
      <c r="N215" s="916">
        <v>-1.4999999999999999E-2</v>
      </c>
    </row>
    <row r="216" spans="1:14">
      <c r="A216" s="6"/>
      <c r="B216" s="23"/>
      <c r="C216" s="147">
        <v>311</v>
      </c>
      <c r="D216" s="79" t="str">
        <f>IFERROR(IF(OR(ISTEXT(C216),C216=""),"",VLOOKUP(C216,param!A$4:B$138,2,FALSE)),"Param Not Recognised")</f>
        <v>Kara Log Exp SI</v>
      </c>
      <c r="E216" s="80">
        <f>IF(E210,INDEX($J216:$N216,E211+1),0)</f>
        <v>0</v>
      </c>
      <c r="F216" s="23"/>
      <c r="G216" s="23"/>
      <c r="H216" s="614"/>
      <c r="I216" s="614"/>
      <c r="J216" s="123">
        <v>0</v>
      </c>
      <c r="K216" s="916">
        <v>-1.4999999999999999E-2</v>
      </c>
      <c r="L216" s="916">
        <v>-1.4999999999999999E-2</v>
      </c>
      <c r="M216" s="916">
        <v>-1.4999999999999999E-2</v>
      </c>
      <c r="N216" s="916">
        <v>-1.4999999999999999E-2</v>
      </c>
    </row>
    <row r="217" spans="1:14">
      <c r="A217" s="6"/>
      <c r="B217" s="23"/>
      <c r="C217" s="147">
        <v>312</v>
      </c>
      <c r="D217" s="79" t="str">
        <f>IFERROR(IF(OR(ISTEXT(C217),C217=""),"",VLOOKUP(C217,param!A$4:B$138,2,FALSE)),"Param Not Recognised")</f>
        <v>Brew Master Log Exp SI</v>
      </c>
      <c r="E217" s="80">
        <f>IF(E210,INDEX($J217:$N217,E211+1),0)</f>
        <v>0</v>
      </c>
      <c r="F217" s="23"/>
      <c r="G217" s="23"/>
      <c r="H217" s="614"/>
      <c r="I217" s="614"/>
      <c r="J217" s="123">
        <v>0</v>
      </c>
      <c r="K217" s="916">
        <v>-1.4999999999999999E-2</v>
      </c>
      <c r="L217" s="916">
        <v>-1.4999999999999999E-2</v>
      </c>
      <c r="M217" s="916">
        <v>-1.4999999999999999E-2</v>
      </c>
      <c r="N217" s="916">
        <v>-1.4999999999999999E-2</v>
      </c>
    </row>
    <row r="218" spans="1:14">
      <c r="A218" s="6"/>
      <c r="B218" s="23"/>
      <c r="C218" s="149"/>
      <c r="D218" s="79" t="str">
        <f>IFERROR(IF(OR(ISTEXT(C218),C218=""),"",VLOOKUP(C218,param!A$4:B$138,2,FALSE)),"Param Not Recognised")</f>
        <v/>
      </c>
      <c r="E218" s="80">
        <f>IF(E210,INDEX($J218:$N218,E211+1),0)</f>
        <v>0</v>
      </c>
      <c r="F218" s="23"/>
      <c r="G218" s="23"/>
      <c r="H218" s="614"/>
      <c r="I218" s="614"/>
      <c r="J218" s="123">
        <v>0</v>
      </c>
      <c r="K218" s="123"/>
      <c r="L218" s="123"/>
      <c r="M218" s="123"/>
      <c r="N218" s="123"/>
    </row>
    <row r="219" spans="1:14">
      <c r="A219" s="6"/>
      <c r="B219" s="23"/>
      <c r="C219" s="149"/>
      <c r="D219" s="79" t="str">
        <f>IFERROR(IF(OR(ISTEXT(C219),C219=""),"",VLOOKUP(C219,param!A$4:B$138,2,FALSE)),"Param Not Recognised")</f>
        <v/>
      </c>
      <c r="E219" s="80">
        <f>IF(E210,INDEX($J219:$N219,E211+1),0)</f>
        <v>0</v>
      </c>
      <c r="F219" s="23"/>
      <c r="G219" s="23"/>
      <c r="H219" s="614"/>
      <c r="I219" s="614"/>
      <c r="J219" s="123">
        <v>0</v>
      </c>
      <c r="K219" s="123"/>
      <c r="L219" s="123"/>
      <c r="M219" s="123"/>
      <c r="N219" s="123"/>
    </row>
    <row r="220" spans="1:14">
      <c r="A220" s="6"/>
      <c r="B220" s="23"/>
      <c r="C220" s="149"/>
      <c r="D220" s="79" t="str">
        <f>IFERROR(IF(OR(ISTEXT(C220),C220=""),"",VLOOKUP(C220,param!A$4:B$138,2,FALSE)),"Param Not Recognised")</f>
        <v/>
      </c>
      <c r="E220" s="80">
        <f>IF(E210,INDEX($J220:$N220,E211+1),0)</f>
        <v>0</v>
      </c>
      <c r="F220" s="23"/>
      <c r="G220" s="23"/>
      <c r="H220" s="614"/>
      <c r="I220" s="614"/>
      <c r="J220" s="123">
        <v>0</v>
      </c>
      <c r="K220" s="123"/>
      <c r="L220" s="123"/>
      <c r="M220" s="123"/>
      <c r="N220" s="123"/>
    </row>
    <row r="221" spans="1:14">
      <c r="A221" s="6"/>
      <c r="B221" s="23"/>
      <c r="C221" s="149"/>
      <c r="D221" s="79" t="str">
        <f>IFERROR(IF(OR(ISTEXT(C221),C221=""),"",VLOOKUP(C221,param!A$4:B$138,2,FALSE)),"Param Not Recognised")</f>
        <v/>
      </c>
      <c r="E221" s="80">
        <f>IF(E210,INDEX($J221:$N221,E211+1),0)</f>
        <v>0</v>
      </c>
      <c r="F221" s="23"/>
      <c r="G221" s="23"/>
      <c r="H221" s="614"/>
      <c r="I221" s="614"/>
      <c r="J221" s="123">
        <v>0</v>
      </c>
      <c r="K221" s="123"/>
      <c r="L221" s="123"/>
      <c r="M221" s="123"/>
      <c r="N221" s="123"/>
    </row>
    <row r="222" spans="1:14">
      <c r="A222" s="18"/>
    </row>
    <row r="223" spans="1:14">
      <c r="A223" s="90">
        <v>17</v>
      </c>
      <c r="B223" s="29" t="str">
        <f>INDEX(SI_Name,A223+1)</f>
        <v>Next Generation Packaging</v>
      </c>
      <c r="C223" s="22" t="s">
        <v>200</v>
      </c>
      <c r="D223" s="22"/>
      <c r="E223" s="150" t="b">
        <f>VLOOKUP($A223,calcTableSIsLaunched,adj_IndexTeam+1,FALSE)</f>
        <v>0</v>
      </c>
      <c r="F223" s="10">
        <f>SUMIF(C225:C234,adj_FTECode,K225:K234)</f>
        <v>2</v>
      </c>
      <c r="G223" s="10">
        <f>SUMIF(C225:C234,adj_CostCode,K225:K234)</f>
        <v>6000000</v>
      </c>
      <c r="H223" s="10">
        <f>SUMIF(C225:C234,adj_RepCostCode,K225:K234)</f>
        <v>0</v>
      </c>
      <c r="I223" s="10">
        <f>SUMIF(C225:C234,adj_RepMTUCostCode,K225:K234)</f>
        <v>0</v>
      </c>
      <c r="J223" s="22"/>
      <c r="K223" s="22"/>
      <c r="L223" s="22"/>
      <c r="M223" s="22"/>
      <c r="N223" s="22"/>
    </row>
    <row r="224" spans="1:14">
      <c r="A224" s="6"/>
      <c r="B224" s="23"/>
      <c r="C224" s="23" t="s">
        <v>201</v>
      </c>
      <c r="D224" s="23"/>
      <c r="E224" s="150">
        <f>VLOOKUP($A223,calcTableSIsRoundsIntoLaunch,adj_IndexTeam+1,FALSE)</f>
        <v>0</v>
      </c>
      <c r="F224" s="23"/>
      <c r="G224" s="23"/>
      <c r="H224" s="614"/>
      <c r="I224" s="614"/>
      <c r="J224" s="23"/>
      <c r="K224" s="23"/>
      <c r="L224" s="23"/>
      <c r="M224" s="23"/>
      <c r="N224" s="23"/>
    </row>
    <row r="225" spans="1:14">
      <c r="A225" s="6"/>
      <c r="B225" s="23"/>
      <c r="C225" s="149">
        <v>101</v>
      </c>
      <c r="D225" s="79" t="str">
        <f>IFERROR(IF(OR(ISTEXT(C225),C225=""),"",VLOOKUP(C225,param!A$4:B$138,2,FALSE)),"Param Not Recognised")</f>
        <v>SI Expense</v>
      </c>
      <c r="E225" s="80">
        <f>IF(E223,INDEX($J225:$N225,E224+1),0)</f>
        <v>0</v>
      </c>
      <c r="F225" s="23"/>
      <c r="G225" s="23"/>
      <c r="H225" s="614"/>
      <c r="I225" s="614"/>
      <c r="J225" s="123">
        <v>0</v>
      </c>
      <c r="K225" s="856">
        <v>6000000</v>
      </c>
      <c r="L225" s="856">
        <v>2000000</v>
      </c>
      <c r="M225" s="856">
        <v>2000000</v>
      </c>
      <c r="N225" s="856">
        <v>2000000</v>
      </c>
    </row>
    <row r="226" spans="1:14">
      <c r="A226" s="6"/>
      <c r="B226" s="23"/>
      <c r="C226" s="149">
        <v>102</v>
      </c>
      <c r="D226" s="79" t="str">
        <f>IFERROR(IF(OR(ISTEXT(C226),C226=""),"",VLOOKUP(C226,param!A$4:B$138,2,FALSE)),"Param Not Recognised")</f>
        <v>MTUs</v>
      </c>
      <c r="E226" s="80">
        <f>IF(E223,INDEX($J226:$N226,E224+1),0)</f>
        <v>0</v>
      </c>
      <c r="F226" s="23"/>
      <c r="G226" s="23"/>
      <c r="H226" s="614"/>
      <c r="I226" s="614"/>
      <c r="J226" s="123">
        <v>0</v>
      </c>
      <c r="K226" s="123">
        <v>2</v>
      </c>
      <c r="L226" s="123"/>
      <c r="M226" s="123"/>
      <c r="N226" s="123"/>
    </row>
    <row r="227" spans="1:14">
      <c r="A227" s="6"/>
      <c r="B227" s="23"/>
      <c r="C227" s="149">
        <v>301</v>
      </c>
      <c r="D227" s="79" t="str">
        <f>IFERROR(IF(OR(ISTEXT(C227),C227=""),"",VLOOKUP(C227,param!A$4:B$138,2,FALSE)),"Param Not Recognised")</f>
        <v>Greenborg Material Exp SI</v>
      </c>
      <c r="E227" s="80">
        <f>IF(E223,INDEX($J227:$N227,E224+1),0)</f>
        <v>0</v>
      </c>
      <c r="F227" s="23"/>
      <c r="G227" s="23"/>
      <c r="H227" s="614"/>
      <c r="I227" s="614"/>
      <c r="J227" s="123">
        <v>0</v>
      </c>
      <c r="K227" s="915">
        <v>-2.1000000000000001E-2</v>
      </c>
      <c r="L227" s="915">
        <v>-2.1000000000000001E-2</v>
      </c>
      <c r="M227" s="915">
        <v>-2.1000000000000001E-2</v>
      </c>
      <c r="N227" s="915">
        <v>-2.1000000000000001E-2</v>
      </c>
    </row>
    <row r="228" spans="1:14">
      <c r="A228" s="6"/>
      <c r="B228" s="23"/>
      <c r="C228" s="149">
        <v>302</v>
      </c>
      <c r="D228" s="79" t="str">
        <f>IFERROR(IF(OR(ISTEXT(C228),C228=""),"",VLOOKUP(C228,param!A$4:B$138,2,FALSE)),"Param Not Recognised")</f>
        <v>Harken Material Exp SI</v>
      </c>
      <c r="E228" s="80">
        <f>IF(E223,INDEX($J228:$N228,E224+1),0)</f>
        <v>0</v>
      </c>
      <c r="F228" s="23"/>
      <c r="G228" s="23"/>
      <c r="H228" s="614"/>
      <c r="I228" s="614"/>
      <c r="J228" s="123">
        <v>0</v>
      </c>
      <c r="K228" s="915">
        <v>-2.1000000000000001E-2</v>
      </c>
      <c r="L228" s="915">
        <v>-2.1000000000000001E-2</v>
      </c>
      <c r="M228" s="915">
        <v>-2.1000000000000001E-2</v>
      </c>
      <c r="N228" s="915">
        <v>-2.1000000000000001E-2</v>
      </c>
    </row>
    <row r="229" spans="1:14">
      <c r="A229" s="6"/>
      <c r="B229" s="23"/>
      <c r="C229" s="149">
        <v>303</v>
      </c>
      <c r="D229" s="79" t="str">
        <f>IFERROR(IF(OR(ISTEXT(C229),C229=""),"",VLOOKUP(C229,param!A$4:B$138,2,FALSE)),"Param Not Recognised")</f>
        <v>Kara Material Exp SI</v>
      </c>
      <c r="E229" s="80">
        <f>IF(E223,INDEX($J229:$N229,E224+1),0)</f>
        <v>0</v>
      </c>
      <c r="F229" s="23"/>
      <c r="G229" s="23"/>
      <c r="H229" s="614"/>
      <c r="I229" s="614"/>
      <c r="J229" s="123">
        <v>0</v>
      </c>
      <c r="K229" s="915">
        <v>-2.1000000000000001E-2</v>
      </c>
      <c r="L229" s="915">
        <v>-2.1000000000000001E-2</v>
      </c>
      <c r="M229" s="915">
        <v>-2.1000000000000001E-2</v>
      </c>
      <c r="N229" s="915">
        <v>-2.1000000000000001E-2</v>
      </c>
    </row>
    <row r="230" spans="1:14">
      <c r="A230" s="6"/>
      <c r="B230" s="23"/>
      <c r="C230" s="149">
        <v>304</v>
      </c>
      <c r="D230" s="79" t="str">
        <f>IFERROR(IF(OR(ISTEXT(C230),C230=""),"",VLOOKUP(C230,param!A$4:B$138,2,FALSE)),"Param Not Recognised")</f>
        <v>Brew Master Material Exp SI</v>
      </c>
      <c r="E230" s="80">
        <f>IF(E223,INDEX($J230:$N230,E224+1),0)</f>
        <v>0</v>
      </c>
      <c r="F230" s="23"/>
      <c r="G230" s="23"/>
      <c r="H230" s="614"/>
      <c r="I230" s="614"/>
      <c r="J230" s="123">
        <v>0</v>
      </c>
      <c r="K230" s="915">
        <v>-2.1000000000000001E-2</v>
      </c>
      <c r="L230" s="915">
        <v>-2.1000000000000001E-2</v>
      </c>
      <c r="M230" s="915">
        <v>-2.1000000000000001E-2</v>
      </c>
      <c r="N230" s="915">
        <v>-2.1000000000000001E-2</v>
      </c>
    </row>
    <row r="231" spans="1:14">
      <c r="A231" s="6"/>
      <c r="B231" s="23"/>
      <c r="C231" s="149">
        <v>404</v>
      </c>
      <c r="D231" s="79" t="str">
        <f>IFERROR(IF(OR(ISTEXT(C231),C231=""),"",VLOOKUP(C231,param!A$4:B$138,2,FALSE)),"Param Not Recognised")</f>
        <v>Brewery Machinery Cost Per Hour</v>
      </c>
      <c r="E231" s="80">
        <f>IF(E223,INDEX($J231:$N231,E224+1),0)</f>
        <v>0</v>
      </c>
      <c r="F231" s="23"/>
      <c r="G231" s="23"/>
      <c r="H231" s="614"/>
      <c r="I231" s="614"/>
      <c r="J231" s="123">
        <v>0</v>
      </c>
      <c r="K231" s="915">
        <v>-10</v>
      </c>
      <c r="L231" s="915">
        <v>-10</v>
      </c>
      <c r="M231" s="915">
        <v>-10</v>
      </c>
      <c r="N231" s="915">
        <v>-10</v>
      </c>
    </row>
    <row r="232" spans="1:14">
      <c r="A232" s="6"/>
      <c r="B232" s="23"/>
      <c r="C232" s="149">
        <v>811</v>
      </c>
      <c r="D232" s="79" t="str">
        <f>IFERROR(IF(OR(ISTEXT(C232),C232=""),"",VLOOKUP(C232,param!A$4:B$138,2,FALSE)),"Param Not Recognised")</f>
        <v>Innovation Exp Discount</v>
      </c>
      <c r="E232" s="80">
        <f>IF(E223,INDEX($J232:$N232,E224+1),0)</f>
        <v>0</v>
      </c>
      <c r="F232" s="23"/>
      <c r="G232" s="23"/>
      <c r="H232" s="614"/>
      <c r="I232" s="614"/>
      <c r="J232" s="123">
        <v>0</v>
      </c>
      <c r="K232" s="915">
        <v>0.1</v>
      </c>
      <c r="L232" s="915">
        <v>0.1</v>
      </c>
      <c r="M232" s="915">
        <v>0.1</v>
      </c>
      <c r="N232" s="915">
        <v>0.1</v>
      </c>
    </row>
    <row r="233" spans="1:14">
      <c r="A233" s="6"/>
      <c r="B233" s="23"/>
      <c r="C233" s="149"/>
      <c r="D233" s="79" t="str">
        <f>IFERROR(IF(OR(ISTEXT(C233),C233=""),"",VLOOKUP(C233,param!A$4:B$138,2,FALSE)),"Param Not Recognised")</f>
        <v/>
      </c>
      <c r="E233" s="80">
        <f>IF(E223,INDEX($J233:$N233,E224+1),0)</f>
        <v>0</v>
      </c>
      <c r="F233" s="23"/>
      <c r="G233" s="23"/>
      <c r="H233" s="614"/>
      <c r="I233" s="614"/>
      <c r="J233" s="123">
        <v>0</v>
      </c>
      <c r="K233" s="915"/>
      <c r="L233" s="915"/>
      <c r="M233" s="915"/>
      <c r="N233" s="915"/>
    </row>
    <row r="234" spans="1:14">
      <c r="A234" s="6"/>
      <c r="B234" s="23"/>
      <c r="C234" s="149"/>
      <c r="D234" s="79" t="str">
        <f>IFERROR(IF(OR(ISTEXT(C234),C234=""),"",VLOOKUP(C234,param!A$4:B$138,2,FALSE)),"Param Not Recognised")</f>
        <v/>
      </c>
      <c r="E234" s="80">
        <f>IF(E223,INDEX($J234:$N234,E224+1),0)</f>
        <v>0</v>
      </c>
      <c r="F234" s="23"/>
      <c r="G234" s="23"/>
      <c r="H234" s="614"/>
      <c r="I234" s="614"/>
      <c r="J234" s="123">
        <v>0</v>
      </c>
      <c r="K234" s="915"/>
      <c r="L234" s="915"/>
      <c r="M234" s="915"/>
      <c r="N234" s="915"/>
    </row>
    <row r="235" spans="1:14">
      <c r="A235" s="18"/>
    </row>
    <row r="236" spans="1:14">
      <c r="A236" s="90">
        <v>18</v>
      </c>
      <c r="B236" s="29">
        <f>INDEX(SI_Name,A236+1)</f>
        <v>0</v>
      </c>
      <c r="C236" s="22" t="s">
        <v>200</v>
      </c>
      <c r="D236" s="22"/>
      <c r="E236" s="150" t="b">
        <f>VLOOKUP($A236,calcTableSIsLaunched,adj_IndexTeam+1,FALSE)</f>
        <v>0</v>
      </c>
      <c r="F236" s="10">
        <f>SUMIF(C238:C247,adj_FTECode,K238:K247)</f>
        <v>0</v>
      </c>
      <c r="G236" s="10">
        <f>SUMIF(C238:C247,adj_CostCode,K238:K247)</f>
        <v>0</v>
      </c>
      <c r="H236" s="10">
        <f>SUMIF(C238:C247,adj_RepCostCode,K238:K247)</f>
        <v>0</v>
      </c>
      <c r="I236" s="10">
        <f>SUMIF(C238:C247,adj_RepMTUCostCode,K238:K247)</f>
        <v>0</v>
      </c>
      <c r="J236" s="22"/>
      <c r="K236" s="22"/>
      <c r="L236" s="22"/>
      <c r="M236" s="22"/>
      <c r="N236" s="22"/>
    </row>
    <row r="237" spans="1:14">
      <c r="A237" s="6"/>
      <c r="B237" s="23"/>
      <c r="C237" s="23" t="s">
        <v>201</v>
      </c>
      <c r="D237" s="23"/>
      <c r="E237" s="150">
        <f>VLOOKUP($A236,calcTableSIsRoundsIntoLaunch,adj_IndexTeam+1,FALSE)</f>
        <v>0</v>
      </c>
      <c r="F237" s="23"/>
      <c r="G237" s="23"/>
      <c r="H237" s="614"/>
      <c r="I237" s="614"/>
      <c r="J237" s="23"/>
      <c r="K237" s="23"/>
      <c r="L237" s="23"/>
      <c r="M237" s="23"/>
      <c r="N237" s="23"/>
    </row>
    <row r="238" spans="1:14">
      <c r="A238" s="6"/>
      <c r="B238" s="23"/>
      <c r="C238" s="149"/>
      <c r="D238" s="79" t="str">
        <f>IFERROR(IF(OR(ISTEXT(C238),C238=""),"",VLOOKUP(C238,param!A$4:B$138,2,FALSE)),"Param Not Recognised")</f>
        <v/>
      </c>
      <c r="E238" s="80">
        <f>IF(E236,INDEX($J238:$N238,E237+1),0)</f>
        <v>0</v>
      </c>
      <c r="F238" s="23"/>
      <c r="G238" s="23"/>
      <c r="H238" s="614"/>
      <c r="I238" s="614"/>
      <c r="J238" s="123">
        <v>0</v>
      </c>
      <c r="K238" s="856"/>
      <c r="L238" s="856"/>
      <c r="M238" s="856"/>
      <c r="N238" s="856"/>
    </row>
    <row r="239" spans="1:14">
      <c r="A239" s="6"/>
      <c r="B239" s="23"/>
      <c r="C239" s="149"/>
      <c r="D239" s="79" t="str">
        <f>IFERROR(IF(OR(ISTEXT(C239),C239=""),"",VLOOKUP(C239,param!A$4:B$138,2,FALSE)),"Param Not Recognised")</f>
        <v/>
      </c>
      <c r="E239" s="80">
        <f>IF(E236,INDEX($J239:$N239,E237+1),0)</f>
        <v>0</v>
      </c>
      <c r="F239" s="23"/>
      <c r="G239" s="23"/>
      <c r="H239" s="614"/>
      <c r="I239" s="614"/>
      <c r="J239" s="123">
        <v>0</v>
      </c>
      <c r="K239" s="123"/>
      <c r="L239" s="123"/>
      <c r="M239" s="123"/>
      <c r="N239" s="123"/>
    </row>
    <row r="240" spans="1:14">
      <c r="A240" s="6"/>
      <c r="B240" s="23"/>
      <c r="C240" s="149"/>
      <c r="D240" s="79" t="str">
        <f>IFERROR(IF(OR(ISTEXT(C240),C240=""),"",VLOOKUP(C240,param!A$4:B$138,2,FALSE)),"Param Not Recognised")</f>
        <v/>
      </c>
      <c r="E240" s="80">
        <f>IF(E236,INDEX($J240:$N240,E237+1),0)</f>
        <v>0</v>
      </c>
      <c r="F240" s="23"/>
      <c r="G240" s="23"/>
      <c r="H240" s="614"/>
      <c r="I240" s="614"/>
      <c r="J240" s="123">
        <v>0</v>
      </c>
      <c r="K240" s="123"/>
      <c r="L240" s="627"/>
      <c r="M240" s="627"/>
      <c r="N240" s="627"/>
    </row>
    <row r="241" spans="1:14">
      <c r="A241" s="6"/>
      <c r="B241" s="23"/>
      <c r="C241" s="149"/>
      <c r="D241" s="79" t="str">
        <f>IFERROR(IF(OR(ISTEXT(C241),C241=""),"",VLOOKUP(C241,param!A$4:B$138,2,FALSE)),"Param Not Recognised")</f>
        <v/>
      </c>
      <c r="E241" s="80">
        <f>IF(E236,INDEX($J241:$N241,E237+1),0)</f>
        <v>0</v>
      </c>
      <c r="F241" s="23"/>
      <c r="G241" s="23"/>
      <c r="H241" s="614"/>
      <c r="I241" s="614"/>
      <c r="J241" s="123">
        <v>0</v>
      </c>
      <c r="K241" s="627"/>
      <c r="L241" s="627"/>
      <c r="M241" s="627"/>
      <c r="N241" s="627"/>
    </row>
    <row r="242" spans="1:14">
      <c r="A242" s="6"/>
      <c r="B242" s="23"/>
      <c r="C242" s="149"/>
      <c r="D242" s="79" t="str">
        <f>IFERROR(IF(OR(ISTEXT(C242),C242=""),"",VLOOKUP(C242,param!A$4:B$138,2,FALSE)),"Param Not Recognised")</f>
        <v/>
      </c>
      <c r="E242" s="80">
        <f>IF(E236,INDEX($J242:$N242,E237+1),0)</f>
        <v>0</v>
      </c>
      <c r="F242" s="23"/>
      <c r="G242" s="23"/>
      <c r="H242" s="614"/>
      <c r="I242" s="614"/>
      <c r="J242" s="123">
        <v>0</v>
      </c>
      <c r="K242" s="627"/>
      <c r="L242" s="627"/>
      <c r="M242" s="627"/>
      <c r="N242" s="627"/>
    </row>
    <row r="243" spans="1:14">
      <c r="A243" s="6"/>
      <c r="B243" s="23"/>
      <c r="C243" s="149"/>
      <c r="D243" s="79" t="str">
        <f>IFERROR(IF(OR(ISTEXT(C243),C243=""),"",VLOOKUP(C243,param!A$4:B$138,2,FALSE)),"Param Not Recognised")</f>
        <v/>
      </c>
      <c r="E243" s="80">
        <f>IF(E236,INDEX($J243:$N243,E237+1),0)</f>
        <v>0</v>
      </c>
      <c r="F243" s="23"/>
      <c r="G243" s="23"/>
      <c r="H243" s="614"/>
      <c r="I243" s="614"/>
      <c r="J243" s="123">
        <v>0</v>
      </c>
      <c r="K243" s="627"/>
      <c r="L243" s="627"/>
      <c r="M243" s="627"/>
      <c r="N243" s="627"/>
    </row>
    <row r="244" spans="1:14">
      <c r="A244" s="6"/>
      <c r="B244" s="23"/>
      <c r="C244" s="147"/>
      <c r="D244" s="79" t="str">
        <f>IFERROR(IF(OR(ISTEXT(C244),C244=""),"",VLOOKUP(C244,param!A$4:B$138,2,FALSE)),"Param Not Recognised")</f>
        <v/>
      </c>
      <c r="E244" s="80">
        <f>IF(E236,INDEX($J244:$N244,E237+1),0)</f>
        <v>0</v>
      </c>
      <c r="F244" s="23"/>
      <c r="G244" s="23"/>
      <c r="H244" s="614"/>
      <c r="I244" s="614"/>
      <c r="J244" s="123">
        <v>0</v>
      </c>
      <c r="K244" s="123"/>
      <c r="L244" s="627"/>
      <c r="M244" s="627"/>
      <c r="N244" s="627"/>
    </row>
    <row r="245" spans="1:14">
      <c r="A245" s="6"/>
      <c r="B245" s="23"/>
      <c r="C245" s="149"/>
      <c r="D245" s="79" t="str">
        <f>IFERROR(IF(OR(ISTEXT(C245),C245=""),"",VLOOKUP(C245,param!A$4:B$138,2,FALSE)),"Param Not Recognised")</f>
        <v/>
      </c>
      <c r="E245" s="80">
        <f>IF(E236,INDEX($J245:$N245,E237+1),0)</f>
        <v>0</v>
      </c>
      <c r="F245" s="23"/>
      <c r="G245" s="23"/>
      <c r="H245" s="614"/>
      <c r="I245" s="614"/>
      <c r="J245" s="123">
        <v>0</v>
      </c>
      <c r="K245" s="146"/>
      <c r="L245" s="146"/>
      <c r="M245" s="146"/>
      <c r="N245" s="146"/>
    </row>
    <row r="246" spans="1:14">
      <c r="A246" s="6"/>
      <c r="B246" s="23"/>
      <c r="C246" s="149"/>
      <c r="D246" s="79" t="str">
        <f>IFERROR(IF(OR(ISTEXT(C246),C246=""),"",VLOOKUP(C246,param!A$4:B$138,2,FALSE)),"Param Not Recognised")</f>
        <v/>
      </c>
      <c r="E246" s="80">
        <f>IF(E236,INDEX($J246:$N246,E237+1),0)</f>
        <v>0</v>
      </c>
      <c r="F246" s="23"/>
      <c r="G246" s="23"/>
      <c r="H246" s="614"/>
      <c r="I246" s="614"/>
      <c r="J246" s="123">
        <v>0</v>
      </c>
      <c r="K246" s="146"/>
      <c r="L246" s="146"/>
      <c r="M246" s="146"/>
      <c r="N246" s="146"/>
    </row>
    <row r="247" spans="1:14">
      <c r="A247" s="6"/>
      <c r="B247" s="23"/>
      <c r="C247" s="149"/>
      <c r="D247" s="79" t="str">
        <f>IFERROR(IF(OR(ISTEXT(C247),C247=""),"",VLOOKUP(C247,param!A$4:B$138,2,FALSE)),"Param Not Recognised")</f>
        <v/>
      </c>
      <c r="E247" s="80">
        <f>IF(E236,INDEX($J247:$N247,E237+1),0)</f>
        <v>0</v>
      </c>
      <c r="F247" s="23"/>
      <c r="G247" s="23"/>
      <c r="H247" s="614"/>
      <c r="I247" s="614"/>
      <c r="J247" s="123">
        <v>0</v>
      </c>
      <c r="K247" s="123"/>
      <c r="L247" s="123"/>
      <c r="M247" s="123"/>
      <c r="N247" s="123"/>
    </row>
    <row r="248" spans="1:14" s="802" customFormat="1">
      <c r="A248" s="90"/>
      <c r="B248" s="645"/>
      <c r="C248" s="645"/>
      <c r="D248" s="645"/>
      <c r="E248" s="913"/>
      <c r="F248" s="645"/>
      <c r="G248" s="645"/>
      <c r="H248" s="645"/>
      <c r="I248" s="645"/>
      <c r="J248" s="90"/>
      <c r="K248" s="90"/>
      <c r="L248" s="90"/>
      <c r="M248" s="90"/>
      <c r="N248" s="90"/>
    </row>
    <row r="249" spans="1:14">
      <c r="A249" s="18"/>
    </row>
    <row r="250" spans="1:14">
      <c r="A250" s="90">
        <v>19</v>
      </c>
      <c r="B250" s="29">
        <f>INDEX(SI_Name,A250+1)</f>
        <v>0</v>
      </c>
      <c r="C250" s="22" t="s">
        <v>200</v>
      </c>
      <c r="D250" s="22"/>
      <c r="E250" s="150" t="b">
        <f>VLOOKUP($A250,calcTableSIsLaunched,adj_IndexTeam+1,FALSE)</f>
        <v>0</v>
      </c>
      <c r="F250" s="10">
        <f>SUMIF(C252:C261,adj_FTECode,K252:K261)</f>
        <v>0</v>
      </c>
      <c r="G250" s="10">
        <f>SUMIF(C252:C261,adj_CostCode,K252:K261)</f>
        <v>0</v>
      </c>
      <c r="H250" s="10">
        <f>SUMIF(C252:C261,adj_RepCostCode,K252:K261)</f>
        <v>0</v>
      </c>
      <c r="I250" s="10">
        <f>SUMIF(C252:C261,adj_RepMTUCostCode,K252:K261)</f>
        <v>0</v>
      </c>
      <c r="J250" s="22"/>
      <c r="K250" s="22"/>
      <c r="L250" s="22"/>
      <c r="M250" s="22"/>
      <c r="N250" s="22"/>
    </row>
    <row r="251" spans="1:14">
      <c r="A251" s="610"/>
      <c r="B251" s="23"/>
      <c r="C251" s="23" t="s">
        <v>201</v>
      </c>
      <c r="D251" s="23"/>
      <c r="E251" s="150">
        <f>VLOOKUP($A250,calcTableSIsRoundsIntoLaunch,adj_IndexTeam+1,FALSE)</f>
        <v>0</v>
      </c>
      <c r="F251" s="23"/>
      <c r="G251" s="23"/>
      <c r="H251" s="614"/>
      <c r="I251" s="614"/>
      <c r="J251" s="23"/>
      <c r="K251" s="23"/>
      <c r="L251" s="23"/>
      <c r="M251" s="23"/>
      <c r="N251" s="23"/>
    </row>
    <row r="252" spans="1:14">
      <c r="A252" s="610"/>
      <c r="B252" s="23"/>
      <c r="C252" s="149">
        <v>1002</v>
      </c>
      <c r="D252" s="79" t="str">
        <f>IFERROR(IF(OR(ISTEXT(C252),C252=""),"",VLOOKUP(C252,param!A$4:B$138,2,FALSE)),"Param Not Recognised")</f>
        <v>Param Not Recognised</v>
      </c>
      <c r="E252" s="80">
        <f>IF(E250,INDEX($J252:$N252,E251+1),0)</f>
        <v>0</v>
      </c>
      <c r="F252" s="23"/>
      <c r="G252" s="23"/>
      <c r="H252" s="614"/>
      <c r="I252" s="614"/>
      <c r="J252" s="123">
        <v>0</v>
      </c>
      <c r="K252" s="123"/>
      <c r="L252" s="123"/>
      <c r="M252" s="123"/>
      <c r="N252" s="123"/>
    </row>
    <row r="253" spans="1:14">
      <c r="A253" s="610"/>
      <c r="B253" s="23"/>
      <c r="C253" s="149"/>
      <c r="D253" s="79" t="str">
        <f>IFERROR(IF(OR(ISTEXT(C253),C253=""),"",VLOOKUP(C253,param!A$4:B$138,2,FALSE)),"Param Not Recognised")</f>
        <v/>
      </c>
      <c r="E253" s="80">
        <f>IF(E250,INDEX($J253:$N253,E251+1),0)</f>
        <v>0</v>
      </c>
      <c r="F253" s="23"/>
      <c r="G253" s="23"/>
      <c r="H253" s="614"/>
      <c r="I253" s="614"/>
      <c r="J253" s="123">
        <v>0</v>
      </c>
      <c r="K253" s="123"/>
      <c r="L253" s="123"/>
      <c r="M253" s="123"/>
      <c r="N253" s="123"/>
    </row>
    <row r="254" spans="1:14">
      <c r="A254" s="610"/>
      <c r="B254" s="23"/>
      <c r="C254" s="149"/>
      <c r="D254" s="79" t="str">
        <f>IFERROR(IF(OR(ISTEXT(C254),C254=""),"",VLOOKUP(C254,param!A$4:B$138,2,FALSE)),"Param Not Recognised")</f>
        <v/>
      </c>
      <c r="E254" s="80">
        <f>IF(E250,INDEX($J254:$N254,E251+1),0)</f>
        <v>0</v>
      </c>
      <c r="F254" s="23"/>
      <c r="G254" s="23"/>
      <c r="H254" s="614"/>
      <c r="I254" s="614"/>
      <c r="J254" s="123">
        <v>0</v>
      </c>
      <c r="K254" s="123"/>
      <c r="L254" s="123"/>
      <c r="M254" s="123"/>
      <c r="N254" s="123"/>
    </row>
    <row r="255" spans="1:14">
      <c r="A255" s="610"/>
      <c r="B255" s="23"/>
      <c r="C255" s="149"/>
      <c r="D255" s="79" t="str">
        <f>IFERROR(IF(OR(ISTEXT(C255),C255=""),"",VLOOKUP(C255,param!A$4:B$138,2,FALSE)),"Param Not Recognised")</f>
        <v/>
      </c>
      <c r="E255" s="80">
        <f>IF(E250,INDEX($J255:$N255,E251+1),0)</f>
        <v>0</v>
      </c>
      <c r="F255" s="23"/>
      <c r="G255" s="23"/>
      <c r="H255" s="614"/>
      <c r="I255" s="614"/>
      <c r="J255" s="123">
        <v>0</v>
      </c>
      <c r="K255" s="123"/>
      <c r="L255" s="123"/>
      <c r="M255" s="123"/>
      <c r="N255" s="123"/>
    </row>
    <row r="256" spans="1:14">
      <c r="A256" s="610"/>
      <c r="B256" s="23"/>
      <c r="C256" s="149"/>
      <c r="D256" s="79" t="str">
        <f>IFERROR(IF(OR(ISTEXT(C256),C256=""),"",VLOOKUP(C256,param!A$4:B$138,2,FALSE)),"Param Not Recognised")</f>
        <v/>
      </c>
      <c r="E256" s="80">
        <f>IF(E250,INDEX($J256:$N256,E251+1),0)</f>
        <v>0</v>
      </c>
      <c r="F256" s="23"/>
      <c r="G256" s="23"/>
      <c r="H256" s="614"/>
      <c r="I256" s="614"/>
      <c r="J256" s="123">
        <v>0</v>
      </c>
      <c r="K256" s="123"/>
      <c r="L256" s="123"/>
      <c r="M256" s="123"/>
      <c r="N256" s="123"/>
    </row>
    <row r="257" spans="1:14">
      <c r="A257" s="610"/>
      <c r="B257" s="23"/>
      <c r="C257" s="149"/>
      <c r="D257" s="79" t="str">
        <f>IFERROR(IF(OR(ISTEXT(C257),C257=""),"",VLOOKUP(C257,param!A$4:B$138,2,FALSE)),"Param Not Recognised")</f>
        <v/>
      </c>
      <c r="E257" s="80">
        <f>IF(E250,INDEX($J257:$N257,E251+1),0)</f>
        <v>0</v>
      </c>
      <c r="F257" s="23"/>
      <c r="G257" s="23"/>
      <c r="H257" s="614"/>
      <c r="I257" s="614"/>
      <c r="J257" s="123">
        <v>0</v>
      </c>
      <c r="K257" s="123"/>
      <c r="L257" s="123"/>
      <c r="M257" s="123"/>
      <c r="N257" s="123"/>
    </row>
    <row r="258" spans="1:14">
      <c r="A258" s="610"/>
      <c r="B258" s="23"/>
      <c r="C258" s="149"/>
      <c r="D258" s="79" t="str">
        <f>IFERROR(IF(OR(ISTEXT(C258),C258=""),"",VLOOKUP(C258,param!A$4:B$138,2,FALSE)),"Param Not Recognised")</f>
        <v/>
      </c>
      <c r="E258" s="80">
        <f>IF(E250,INDEX($J258:$N258,E251+1),0)</f>
        <v>0</v>
      </c>
      <c r="F258" s="23"/>
      <c r="G258" s="23"/>
      <c r="H258" s="614"/>
      <c r="I258" s="614"/>
      <c r="J258" s="123">
        <v>0</v>
      </c>
      <c r="K258" s="123"/>
      <c r="L258" s="123"/>
      <c r="M258" s="123"/>
      <c r="N258" s="123"/>
    </row>
    <row r="259" spans="1:14">
      <c r="A259" s="610"/>
      <c r="B259" s="23"/>
      <c r="C259" s="149"/>
      <c r="D259" s="79" t="str">
        <f>IFERROR(IF(OR(ISTEXT(C259),C259=""),"",VLOOKUP(C259,param!A$4:B$138,2,FALSE)),"Param Not Recognised")</f>
        <v/>
      </c>
      <c r="E259" s="80">
        <f>IF(E250,INDEX($J259:$N259,E251+1),0)</f>
        <v>0</v>
      </c>
      <c r="F259" s="23"/>
      <c r="G259" s="23"/>
      <c r="H259" s="614"/>
      <c r="I259" s="614"/>
      <c r="J259" s="123">
        <v>0</v>
      </c>
      <c r="K259" s="123"/>
      <c r="L259" s="123"/>
      <c r="M259" s="123"/>
      <c r="N259" s="123"/>
    </row>
    <row r="260" spans="1:14">
      <c r="A260" s="610"/>
      <c r="B260" s="23"/>
      <c r="C260" s="149"/>
      <c r="D260" s="79" t="str">
        <f>IFERROR(IF(OR(ISTEXT(C260),C260=""),"",VLOOKUP(C260,param!A$4:B$138,2,FALSE)),"Param Not Recognised")</f>
        <v/>
      </c>
      <c r="E260" s="80">
        <f>IF(E250,INDEX($J260:$N260,E251+1),0)</f>
        <v>0</v>
      </c>
      <c r="F260" s="23"/>
      <c r="G260" s="23"/>
      <c r="H260" s="614"/>
      <c r="I260" s="614"/>
      <c r="J260" s="123">
        <v>0</v>
      </c>
      <c r="K260" s="123"/>
      <c r="L260" s="123"/>
      <c r="M260" s="123"/>
      <c r="N260" s="123"/>
    </row>
    <row r="261" spans="1:14">
      <c r="A261" s="610"/>
      <c r="B261" s="23"/>
      <c r="C261" s="149"/>
      <c r="D261" s="79" t="str">
        <f>IFERROR(IF(OR(ISTEXT(C261),C261=""),"",VLOOKUP(C261,param!A$4:B$138,2,FALSE)),"Param Not Recognised")</f>
        <v/>
      </c>
      <c r="E261" s="80">
        <f>IF(E250,INDEX($J261:$N261,E251+1),0)</f>
        <v>0</v>
      </c>
      <c r="F261" s="23"/>
      <c r="G261" s="23"/>
      <c r="H261" s="614"/>
      <c r="I261" s="614"/>
      <c r="J261" s="123">
        <v>0</v>
      </c>
      <c r="K261" s="123"/>
      <c r="L261" s="123"/>
      <c r="M261" s="123"/>
      <c r="N261" s="123"/>
    </row>
    <row r="262" spans="1:14">
      <c r="A262" s="18"/>
    </row>
    <row r="263" spans="1:14">
      <c r="A263" s="90">
        <v>20</v>
      </c>
      <c r="B263" s="29">
        <f>INDEX(SI_Name,A263+1)</f>
        <v>0</v>
      </c>
      <c r="C263" s="22" t="s">
        <v>200</v>
      </c>
      <c r="D263" s="22"/>
      <c r="E263" s="150" t="b">
        <f>VLOOKUP($A263,calcTableSIsLaunched,adj_IndexTeam+1,FALSE)</f>
        <v>0</v>
      </c>
      <c r="F263" s="10">
        <f>SUMIF(C265:C274,adj_FTECode,K265:K274)</f>
        <v>0</v>
      </c>
      <c r="G263" s="10">
        <f>SUMIF(C265:C274,adj_CostCode,K265:K274)</f>
        <v>0</v>
      </c>
      <c r="H263" s="10">
        <f>SUMIF(C265:C274,adj_RepCostCode,K265:K274)</f>
        <v>0</v>
      </c>
      <c r="I263" s="10">
        <f>SUMIF(C265:C274,adj_RepMTUCostCode,K265:K274)</f>
        <v>0</v>
      </c>
      <c r="J263" s="22"/>
      <c r="K263" s="22"/>
      <c r="L263" s="22"/>
      <c r="M263" s="22"/>
      <c r="N263" s="22"/>
    </row>
    <row r="264" spans="1:14">
      <c r="A264" s="610"/>
      <c r="B264" s="23"/>
      <c r="C264" s="23" t="s">
        <v>201</v>
      </c>
      <c r="D264" s="23"/>
      <c r="E264" s="150">
        <f>VLOOKUP($A263,calcTableSIsRoundsIntoLaunch,adj_IndexTeam+1,FALSE)</f>
        <v>0</v>
      </c>
      <c r="F264" s="23"/>
      <c r="G264" s="23"/>
      <c r="H264" s="614"/>
      <c r="I264" s="614"/>
      <c r="J264" s="23"/>
      <c r="K264" s="23"/>
      <c r="L264" s="23"/>
      <c r="M264" s="23"/>
      <c r="N264" s="23"/>
    </row>
    <row r="265" spans="1:14">
      <c r="A265" s="610"/>
      <c r="B265" s="23"/>
      <c r="C265" s="149">
        <v>1002</v>
      </c>
      <c r="D265" s="79" t="str">
        <f>IFERROR(IF(OR(ISTEXT(C265),C265=""),"",VLOOKUP(C265,param!A$4:B$138,2,FALSE)),"Param Not Recognised")</f>
        <v>Param Not Recognised</v>
      </c>
      <c r="E265" s="80">
        <f>IF(E263,INDEX($J265:$N265,E264+1),0)</f>
        <v>0</v>
      </c>
      <c r="F265" s="23"/>
      <c r="G265" s="23"/>
      <c r="H265" s="614"/>
      <c r="I265" s="614"/>
      <c r="J265" s="123">
        <v>0</v>
      </c>
      <c r="K265" s="123"/>
      <c r="L265" s="123"/>
      <c r="M265" s="123"/>
      <c r="N265" s="123"/>
    </row>
    <row r="266" spans="1:14">
      <c r="A266" s="610"/>
      <c r="B266" s="23"/>
      <c r="C266" s="149"/>
      <c r="D266" s="79" t="str">
        <f>IFERROR(IF(OR(ISTEXT(C266),C266=""),"",VLOOKUP(C266,param!A$4:B$138,2,FALSE)),"Param Not Recognised")</f>
        <v/>
      </c>
      <c r="E266" s="80">
        <f>IF(E263,INDEX($J266:$N266,E264+1),0)</f>
        <v>0</v>
      </c>
      <c r="F266" s="23"/>
      <c r="G266" s="23"/>
      <c r="H266" s="614"/>
      <c r="I266" s="614"/>
      <c r="J266" s="123">
        <v>0</v>
      </c>
      <c r="K266" s="123"/>
      <c r="L266" s="123"/>
      <c r="M266" s="123"/>
      <c r="N266" s="123"/>
    </row>
    <row r="267" spans="1:14">
      <c r="A267" s="610"/>
      <c r="B267" s="23"/>
      <c r="C267" s="149"/>
      <c r="D267" s="79" t="str">
        <f>IFERROR(IF(OR(ISTEXT(C267),C267=""),"",VLOOKUP(C267,param!A$4:B$138,2,FALSE)),"Param Not Recognised")</f>
        <v/>
      </c>
      <c r="E267" s="80">
        <f>IF(E263,INDEX($J267:$N267,E264+1),0)</f>
        <v>0</v>
      </c>
      <c r="F267" s="23"/>
      <c r="G267" s="23"/>
      <c r="H267" s="614"/>
      <c r="I267" s="614"/>
      <c r="J267" s="123">
        <v>0</v>
      </c>
      <c r="K267" s="123"/>
      <c r="L267" s="123"/>
      <c r="M267" s="123"/>
      <c r="N267" s="123"/>
    </row>
    <row r="268" spans="1:14">
      <c r="A268" s="610"/>
      <c r="B268" s="23"/>
      <c r="C268" s="149"/>
      <c r="D268" s="79" t="str">
        <f>IFERROR(IF(OR(ISTEXT(C268),C268=""),"",VLOOKUP(C268,param!A$4:B$138,2,FALSE)),"Param Not Recognised")</f>
        <v/>
      </c>
      <c r="E268" s="80">
        <f>IF(E263,INDEX($J268:$N268,E264+1),0)</f>
        <v>0</v>
      </c>
      <c r="F268" s="23"/>
      <c r="G268" s="23"/>
      <c r="H268" s="614"/>
      <c r="I268" s="614"/>
      <c r="J268" s="123">
        <v>0</v>
      </c>
      <c r="K268" s="123"/>
      <c r="L268" s="123"/>
      <c r="M268" s="123"/>
      <c r="N268" s="123"/>
    </row>
    <row r="269" spans="1:14">
      <c r="A269" s="610"/>
      <c r="B269" s="23"/>
      <c r="C269" s="149"/>
      <c r="D269" s="79" t="str">
        <f>IFERROR(IF(OR(ISTEXT(C269),C269=""),"",VLOOKUP(C269,param!A$4:B$138,2,FALSE)),"Param Not Recognised")</f>
        <v/>
      </c>
      <c r="E269" s="80">
        <f>IF(E263,INDEX($J269:$N269,E264+1),0)</f>
        <v>0</v>
      </c>
      <c r="F269" s="23"/>
      <c r="G269" s="23"/>
      <c r="H269" s="614"/>
      <c r="I269" s="614"/>
      <c r="J269" s="123">
        <v>0</v>
      </c>
      <c r="K269" s="123"/>
      <c r="L269" s="123"/>
      <c r="M269" s="123"/>
      <c r="N269" s="123"/>
    </row>
    <row r="270" spans="1:14">
      <c r="A270" s="610"/>
      <c r="B270" s="23"/>
      <c r="C270" s="149"/>
      <c r="D270" s="79" t="str">
        <f>IFERROR(IF(OR(ISTEXT(C270),C270=""),"",VLOOKUP(C270,param!A$4:B$138,2,FALSE)),"Param Not Recognised")</f>
        <v/>
      </c>
      <c r="E270" s="80">
        <f>IF(E263,INDEX($J270:$N270,E264+1),0)</f>
        <v>0</v>
      </c>
      <c r="F270" s="23"/>
      <c r="G270" s="23"/>
      <c r="H270" s="614"/>
      <c r="I270" s="614"/>
      <c r="J270" s="123">
        <v>0</v>
      </c>
      <c r="K270" s="123"/>
      <c r="L270" s="123"/>
      <c r="M270" s="123"/>
      <c r="N270" s="123"/>
    </row>
    <row r="271" spans="1:14">
      <c r="A271" s="610"/>
      <c r="B271" s="23"/>
      <c r="C271" s="149"/>
      <c r="D271" s="79" t="str">
        <f>IFERROR(IF(OR(ISTEXT(C271),C271=""),"",VLOOKUP(C271,param!A$4:B$138,2,FALSE)),"Param Not Recognised")</f>
        <v/>
      </c>
      <c r="E271" s="80">
        <f>IF(E263,INDEX($J271:$N271,E264+1),0)</f>
        <v>0</v>
      </c>
      <c r="F271" s="23"/>
      <c r="G271" s="23"/>
      <c r="H271" s="614"/>
      <c r="I271" s="614"/>
      <c r="J271" s="123">
        <v>0</v>
      </c>
      <c r="K271" s="123"/>
      <c r="L271" s="123"/>
      <c r="M271" s="123"/>
      <c r="N271" s="123"/>
    </row>
    <row r="272" spans="1:14">
      <c r="A272" s="610"/>
      <c r="B272" s="23"/>
      <c r="C272" s="149"/>
      <c r="D272" s="79" t="str">
        <f>IFERROR(IF(OR(ISTEXT(C272),C272=""),"",VLOOKUP(C272,param!A$4:B$138,2,FALSE)),"Param Not Recognised")</f>
        <v/>
      </c>
      <c r="E272" s="80">
        <f>IF(E263,INDEX($J272:$N272,E264+1),0)</f>
        <v>0</v>
      </c>
      <c r="F272" s="23"/>
      <c r="G272" s="23"/>
      <c r="H272" s="614"/>
      <c r="I272" s="614"/>
      <c r="J272" s="123">
        <v>0</v>
      </c>
      <c r="K272" s="123"/>
      <c r="L272" s="123"/>
      <c r="M272" s="123"/>
      <c r="N272" s="123"/>
    </row>
    <row r="273" spans="1:14">
      <c r="A273" s="610"/>
      <c r="B273" s="23"/>
      <c r="C273" s="149"/>
      <c r="D273" s="79" t="str">
        <f>IFERROR(IF(OR(ISTEXT(C273),C273=""),"",VLOOKUP(C273,param!A$4:B$138,2,FALSE)),"Param Not Recognised")</f>
        <v/>
      </c>
      <c r="E273" s="80">
        <f>IF(E263,INDEX($J273:$N273,E264+1),0)</f>
        <v>0</v>
      </c>
      <c r="F273" s="23"/>
      <c r="G273" s="23"/>
      <c r="H273" s="614"/>
      <c r="I273" s="614"/>
      <c r="J273" s="123">
        <v>0</v>
      </c>
      <c r="K273" s="123"/>
      <c r="L273" s="123"/>
      <c r="M273" s="123"/>
      <c r="N273" s="123"/>
    </row>
    <row r="274" spans="1:14">
      <c r="A274" s="610"/>
      <c r="B274" s="23"/>
      <c r="C274" s="149"/>
      <c r="D274" s="79" t="str">
        <f>IFERROR(IF(OR(ISTEXT(C274),C274=""),"",VLOOKUP(C274,param!A$4:B$138,2,FALSE)),"Param Not Recognised")</f>
        <v/>
      </c>
      <c r="E274" s="80">
        <f>IF(E263,INDEX($J274:$N274,E264+1),0)</f>
        <v>0</v>
      </c>
      <c r="F274" s="23"/>
      <c r="G274" s="23"/>
      <c r="H274" s="614"/>
      <c r="I274" s="614"/>
      <c r="J274" s="123">
        <v>0</v>
      </c>
      <c r="K274" s="123"/>
      <c r="L274" s="123"/>
      <c r="M274" s="123"/>
      <c r="N274" s="123"/>
    </row>
    <row r="275" spans="1:14">
      <c r="A275" s="18"/>
    </row>
    <row r="276" spans="1:14">
      <c r="A276" s="90">
        <v>21</v>
      </c>
      <c r="B276" s="29">
        <f>INDEX(SI_Name,A276+1)</f>
        <v>0</v>
      </c>
      <c r="C276" s="22" t="s">
        <v>200</v>
      </c>
      <c r="D276" s="22"/>
      <c r="E276" s="150" t="b">
        <f>VLOOKUP($A276,calcTableSIsLaunched,adj_IndexTeam+1,FALSE)</f>
        <v>0</v>
      </c>
      <c r="F276" s="10">
        <f>SUMIF(C278:C287,adj_FTECode,K278:K287)</f>
        <v>0</v>
      </c>
      <c r="G276" s="10">
        <f>SUMIF(C278:C287,adj_CostCode,K278:K287)</f>
        <v>0</v>
      </c>
      <c r="H276" s="10">
        <f>SUMIF(C278:C287,adj_RepCostCode,K278:K287)</f>
        <v>0</v>
      </c>
      <c r="I276" s="10">
        <f>SUMIF(C278:C287,adj_RepMTUCostCode,K278:K287)</f>
        <v>0</v>
      </c>
      <c r="J276" s="22"/>
      <c r="K276" s="22"/>
      <c r="L276" s="22"/>
      <c r="M276" s="22"/>
      <c r="N276" s="22"/>
    </row>
    <row r="277" spans="1:14">
      <c r="A277" s="6"/>
      <c r="B277" s="23"/>
      <c r="C277" s="23" t="s">
        <v>201</v>
      </c>
      <c r="D277" s="23"/>
      <c r="E277" s="150">
        <f>VLOOKUP($A276,calcTableSIsRoundsIntoLaunch,adj_IndexTeam+1,FALSE)</f>
        <v>0</v>
      </c>
      <c r="F277" s="23"/>
      <c r="G277" s="23"/>
      <c r="H277" s="614"/>
      <c r="I277" s="614"/>
      <c r="J277" s="23"/>
      <c r="K277" s="23"/>
      <c r="L277" s="23"/>
      <c r="M277" s="23"/>
      <c r="N277" s="23"/>
    </row>
    <row r="278" spans="1:14">
      <c r="A278" s="6"/>
      <c r="B278" s="23"/>
      <c r="C278" s="149">
        <v>1002</v>
      </c>
      <c r="D278" s="79" t="str">
        <f>IFERROR(IF(OR(ISTEXT(C278),C278=""),"",VLOOKUP(C278,param!A$4:B$138,2,FALSE)),"Param Not Recognised")</f>
        <v>Param Not Recognised</v>
      </c>
      <c r="E278" s="80">
        <f>IF(E276,INDEX($J278:$N278,E277+1),0)</f>
        <v>0</v>
      </c>
      <c r="F278" s="23"/>
      <c r="G278" s="23"/>
      <c r="H278" s="614"/>
      <c r="I278" s="614"/>
      <c r="J278" s="123">
        <v>0</v>
      </c>
      <c r="K278" s="123"/>
      <c r="L278" s="123"/>
      <c r="M278" s="123"/>
      <c r="N278" s="123"/>
    </row>
    <row r="279" spans="1:14">
      <c r="A279" s="6"/>
      <c r="B279" s="23"/>
      <c r="C279" s="149"/>
      <c r="D279" s="79" t="str">
        <f>IFERROR(IF(OR(ISTEXT(C279),C279=""),"",VLOOKUP(C279,param!A$4:B$138,2,FALSE)),"Param Not Recognised")</f>
        <v/>
      </c>
      <c r="E279" s="80">
        <f>IF(E276,INDEX($J279:$N279,E277+1),0)</f>
        <v>0</v>
      </c>
      <c r="F279" s="23"/>
      <c r="G279" s="23"/>
      <c r="H279" s="614"/>
      <c r="I279" s="614"/>
      <c r="J279" s="123">
        <v>0</v>
      </c>
      <c r="K279" s="123"/>
      <c r="L279" s="123"/>
      <c r="M279" s="123"/>
      <c r="N279" s="123"/>
    </row>
    <row r="280" spans="1:14">
      <c r="A280" s="6"/>
      <c r="B280" s="23"/>
      <c r="C280" s="149"/>
      <c r="D280" s="79" t="str">
        <f>IFERROR(IF(OR(ISTEXT(C280),C280=""),"",VLOOKUP(C280,param!A$4:B$138,2,FALSE)),"Param Not Recognised")</f>
        <v/>
      </c>
      <c r="E280" s="80">
        <f>IF(E276,INDEX($J280:$N280,E277+1),0)</f>
        <v>0</v>
      </c>
      <c r="F280" s="23"/>
      <c r="G280" s="23"/>
      <c r="H280" s="614"/>
      <c r="I280" s="614"/>
      <c r="J280" s="123">
        <v>0</v>
      </c>
      <c r="K280" s="123"/>
      <c r="L280" s="123"/>
      <c r="M280" s="123"/>
      <c r="N280" s="123"/>
    </row>
    <row r="281" spans="1:14">
      <c r="A281" s="6"/>
      <c r="B281" s="23"/>
      <c r="C281" s="149"/>
      <c r="D281" s="79" t="str">
        <f>IFERROR(IF(OR(ISTEXT(C281),C281=""),"",VLOOKUP(C281,param!A$4:B$138,2,FALSE)),"Param Not Recognised")</f>
        <v/>
      </c>
      <c r="E281" s="80">
        <f>IF(E276,INDEX($J281:$N281,E277+1),0)</f>
        <v>0</v>
      </c>
      <c r="F281" s="23"/>
      <c r="G281" s="23"/>
      <c r="H281" s="614"/>
      <c r="I281" s="614"/>
      <c r="J281" s="123">
        <v>0</v>
      </c>
      <c r="K281" s="123"/>
      <c r="L281" s="123"/>
      <c r="M281" s="123"/>
      <c r="N281" s="123"/>
    </row>
    <row r="282" spans="1:14">
      <c r="A282" s="6"/>
      <c r="B282" s="23"/>
      <c r="C282" s="149"/>
      <c r="D282" s="79" t="str">
        <f>IFERROR(IF(OR(ISTEXT(C282),C282=""),"",VLOOKUP(C282,param!A$4:B$138,2,FALSE)),"Param Not Recognised")</f>
        <v/>
      </c>
      <c r="E282" s="80">
        <f>IF(E276,INDEX($J282:$N282,E277+1),0)</f>
        <v>0</v>
      </c>
      <c r="F282" s="23"/>
      <c r="G282" s="23"/>
      <c r="H282" s="614"/>
      <c r="I282" s="614"/>
      <c r="J282" s="123">
        <v>0</v>
      </c>
      <c r="K282" s="123"/>
      <c r="L282" s="123"/>
      <c r="M282" s="123"/>
      <c r="N282" s="123"/>
    </row>
    <row r="283" spans="1:14">
      <c r="A283" s="6"/>
      <c r="B283" s="23"/>
      <c r="C283" s="149"/>
      <c r="D283" s="79" t="str">
        <f>IFERROR(IF(OR(ISTEXT(C283),C283=""),"",VLOOKUP(C283,param!A$4:B$138,2,FALSE)),"Param Not Recognised")</f>
        <v/>
      </c>
      <c r="E283" s="80">
        <f>IF(E276,INDEX($J283:$N283,E277+1),0)</f>
        <v>0</v>
      </c>
      <c r="F283" s="23"/>
      <c r="G283" s="23"/>
      <c r="H283" s="614"/>
      <c r="I283" s="614"/>
      <c r="J283" s="123">
        <v>0</v>
      </c>
      <c r="K283" s="123"/>
      <c r="L283" s="123"/>
      <c r="M283" s="123"/>
      <c r="N283" s="123"/>
    </row>
    <row r="284" spans="1:14">
      <c r="A284" s="6"/>
      <c r="B284" s="23"/>
      <c r="C284" s="149"/>
      <c r="D284" s="79" t="str">
        <f>IFERROR(IF(OR(ISTEXT(C284),C284=""),"",VLOOKUP(C284,param!A$4:B$138,2,FALSE)),"Param Not Recognised")</f>
        <v/>
      </c>
      <c r="E284" s="80">
        <f>IF(E276,INDEX($J284:$N284,E277+1),0)</f>
        <v>0</v>
      </c>
      <c r="F284" s="23"/>
      <c r="G284" s="23"/>
      <c r="H284" s="614"/>
      <c r="I284" s="614"/>
      <c r="J284" s="123">
        <v>0</v>
      </c>
      <c r="K284" s="123"/>
      <c r="L284" s="123"/>
      <c r="M284" s="123"/>
      <c r="N284" s="123"/>
    </row>
    <row r="285" spans="1:14">
      <c r="A285" s="6"/>
      <c r="B285" s="23"/>
      <c r="C285" s="149"/>
      <c r="D285" s="79" t="str">
        <f>IFERROR(IF(OR(ISTEXT(C285),C285=""),"",VLOOKUP(C285,param!A$4:B$138,2,FALSE)),"Param Not Recognised")</f>
        <v/>
      </c>
      <c r="E285" s="80">
        <f>IF(E276,INDEX($J285:$N285,E277+1),0)</f>
        <v>0</v>
      </c>
      <c r="F285" s="23"/>
      <c r="G285" s="23"/>
      <c r="H285" s="614"/>
      <c r="I285" s="614"/>
      <c r="J285" s="123">
        <v>0</v>
      </c>
      <c r="K285" s="123"/>
      <c r="L285" s="123"/>
      <c r="M285" s="123"/>
      <c r="N285" s="123"/>
    </row>
    <row r="286" spans="1:14">
      <c r="A286" s="6"/>
      <c r="B286" s="23"/>
      <c r="C286" s="149"/>
      <c r="D286" s="79" t="str">
        <f>IFERROR(IF(OR(ISTEXT(C286),C286=""),"",VLOOKUP(C286,param!A$4:B$138,2,FALSE)),"Param Not Recognised")</f>
        <v/>
      </c>
      <c r="E286" s="80">
        <f>IF(E276,INDEX($J286:$N286,E277+1),0)</f>
        <v>0</v>
      </c>
      <c r="F286" s="23"/>
      <c r="G286" s="23"/>
      <c r="H286" s="614"/>
      <c r="I286" s="614"/>
      <c r="J286" s="123">
        <v>0</v>
      </c>
      <c r="K286" s="123"/>
      <c r="L286" s="123"/>
      <c r="M286" s="123"/>
      <c r="N286" s="123"/>
    </row>
    <row r="287" spans="1:14">
      <c r="A287" s="6"/>
      <c r="B287" s="23"/>
      <c r="C287" s="149"/>
      <c r="D287" s="79" t="str">
        <f>IFERROR(IF(OR(ISTEXT(C287),C287=""),"",VLOOKUP(C287,param!A$4:B$138,2,FALSE)),"Param Not Recognised")</f>
        <v/>
      </c>
      <c r="E287" s="80">
        <f>IF(E276,INDEX($J287:$N287,E277+1),0)</f>
        <v>0</v>
      </c>
      <c r="F287" s="23"/>
      <c r="G287" s="23"/>
      <c r="H287" s="614"/>
      <c r="I287" s="614"/>
      <c r="J287" s="123">
        <v>0</v>
      </c>
      <c r="K287" s="123"/>
      <c r="L287" s="123"/>
      <c r="M287" s="123"/>
      <c r="N287" s="123"/>
    </row>
    <row r="288" spans="1:14">
      <c r="A288" s="18"/>
    </row>
    <row r="289" spans="1:14">
      <c r="A289" s="90">
        <v>22</v>
      </c>
      <c r="B289" s="29">
        <f>INDEX(SI_Name,A289+1)</f>
        <v>0</v>
      </c>
      <c r="C289" s="22" t="s">
        <v>200</v>
      </c>
      <c r="D289" s="22"/>
      <c r="E289" s="150" t="b">
        <f>VLOOKUP($A289,calcTableSIsLaunched,adj_IndexTeam+1,FALSE)</f>
        <v>0</v>
      </c>
      <c r="F289" s="10">
        <f>SUMIF(C291:C300,adj_FTECode,K291:K300)</f>
        <v>0</v>
      </c>
      <c r="G289" s="10">
        <f>SUMIF(C291:C300,adj_CostCode,K291:K300)</f>
        <v>0</v>
      </c>
      <c r="H289" s="10"/>
      <c r="I289" s="10"/>
      <c r="J289" s="22"/>
      <c r="K289" s="22"/>
      <c r="L289" s="22"/>
      <c r="M289" s="22"/>
      <c r="N289" s="22"/>
    </row>
    <row r="290" spans="1:14">
      <c r="A290" s="6"/>
      <c r="B290" s="23"/>
      <c r="C290" s="23" t="s">
        <v>201</v>
      </c>
      <c r="D290" s="23"/>
      <c r="E290" s="150">
        <f>VLOOKUP($A289,calcTableSIsRoundsIntoLaunch,adj_IndexTeam+1,FALSE)</f>
        <v>0</v>
      </c>
      <c r="F290" s="23"/>
      <c r="G290" s="23"/>
      <c r="H290" s="614"/>
      <c r="I290" s="614"/>
      <c r="J290" s="23"/>
      <c r="K290" s="23"/>
      <c r="L290" s="23"/>
      <c r="M290" s="23"/>
      <c r="N290" s="23"/>
    </row>
    <row r="291" spans="1:14">
      <c r="A291" s="6"/>
      <c r="B291" s="23"/>
      <c r="C291" s="149">
        <v>1002</v>
      </c>
      <c r="D291" s="79" t="str">
        <f>IFERROR(IF(OR(ISTEXT(C291),C291=""),"",VLOOKUP(C291,param!A$4:B$138,2,FALSE)),"Param Not Recognised")</f>
        <v>Param Not Recognised</v>
      </c>
      <c r="E291" s="80">
        <f>IF(E289,INDEX($J291:$N291,E290+1),0)</f>
        <v>0</v>
      </c>
      <c r="F291" s="23"/>
      <c r="G291" s="23"/>
      <c r="H291" s="614"/>
      <c r="I291" s="614"/>
      <c r="J291" s="123">
        <v>0</v>
      </c>
      <c r="K291" s="123"/>
      <c r="L291" s="123"/>
      <c r="M291" s="123"/>
      <c r="N291" s="123"/>
    </row>
    <row r="292" spans="1:14">
      <c r="A292" s="6"/>
      <c r="B292" s="23"/>
      <c r="C292" s="149"/>
      <c r="D292" s="79" t="str">
        <f>IFERROR(IF(OR(ISTEXT(C292),C292=""),"",VLOOKUP(C292,param!A$4:B$138,2,FALSE)),"Param Not Recognised")</f>
        <v/>
      </c>
      <c r="E292" s="80">
        <f>IF(E289,INDEX($J292:$N292,E290+1),0)</f>
        <v>0</v>
      </c>
      <c r="F292" s="23"/>
      <c r="G292" s="23"/>
      <c r="H292" s="614"/>
      <c r="I292" s="614"/>
      <c r="J292" s="123">
        <v>0</v>
      </c>
      <c r="K292" s="123"/>
      <c r="L292" s="123"/>
      <c r="M292" s="123"/>
      <c r="N292" s="123"/>
    </row>
    <row r="293" spans="1:14">
      <c r="A293" s="6"/>
      <c r="B293" s="23"/>
      <c r="C293" s="149"/>
      <c r="D293" s="79" t="str">
        <f>IFERROR(IF(OR(ISTEXT(C293),C293=""),"",VLOOKUP(C293,param!A$4:B$138,2,FALSE)),"Param Not Recognised")</f>
        <v/>
      </c>
      <c r="E293" s="80">
        <f>IF(E289,INDEX($J293:$N293,E290+1),0)</f>
        <v>0</v>
      </c>
      <c r="F293" s="23"/>
      <c r="G293" s="23"/>
      <c r="H293" s="614"/>
      <c r="I293" s="614"/>
      <c r="J293" s="123">
        <v>0</v>
      </c>
      <c r="K293" s="123"/>
      <c r="L293" s="123"/>
      <c r="M293" s="123"/>
      <c r="N293" s="123"/>
    </row>
    <row r="294" spans="1:14">
      <c r="A294" s="6"/>
      <c r="B294" s="23"/>
      <c r="C294" s="149"/>
      <c r="D294" s="79" t="str">
        <f>IFERROR(IF(OR(ISTEXT(C294),C294=""),"",VLOOKUP(C294,param!A$4:B$138,2,FALSE)),"Param Not Recognised")</f>
        <v/>
      </c>
      <c r="E294" s="80">
        <f>IF(E289,INDEX($J294:$N294,E290+1),0)</f>
        <v>0</v>
      </c>
      <c r="F294" s="23"/>
      <c r="G294" s="23"/>
      <c r="H294" s="614"/>
      <c r="I294" s="614"/>
      <c r="J294" s="123">
        <v>0</v>
      </c>
      <c r="K294" s="123"/>
      <c r="L294" s="123"/>
      <c r="M294" s="123"/>
      <c r="N294" s="123"/>
    </row>
    <row r="295" spans="1:14">
      <c r="A295" s="6"/>
      <c r="B295" s="23"/>
      <c r="C295" s="149"/>
      <c r="D295" s="79" t="str">
        <f>IFERROR(IF(OR(ISTEXT(C295),C295=""),"",VLOOKUP(C295,param!A$4:B$138,2,FALSE)),"Param Not Recognised")</f>
        <v/>
      </c>
      <c r="E295" s="80">
        <f>IF(E289,INDEX($J295:$N295,E290+1),0)</f>
        <v>0</v>
      </c>
      <c r="F295" s="23"/>
      <c r="G295" s="23"/>
      <c r="H295" s="614"/>
      <c r="I295" s="614"/>
      <c r="J295" s="123">
        <v>0</v>
      </c>
      <c r="K295" s="123"/>
      <c r="L295" s="123"/>
      <c r="M295" s="123"/>
      <c r="N295" s="123"/>
    </row>
    <row r="296" spans="1:14">
      <c r="A296" s="6"/>
      <c r="B296" s="23"/>
      <c r="C296" s="149"/>
      <c r="D296" s="79" t="str">
        <f>IFERROR(IF(OR(ISTEXT(C296),C296=""),"",VLOOKUP(C296,param!A$4:B$138,2,FALSE)),"Param Not Recognised")</f>
        <v/>
      </c>
      <c r="E296" s="80">
        <f>IF(E289,INDEX($J296:$N296,E290+1),0)</f>
        <v>0</v>
      </c>
      <c r="F296" s="23"/>
      <c r="G296" s="23"/>
      <c r="H296" s="614"/>
      <c r="I296" s="614"/>
      <c r="J296" s="123">
        <v>0</v>
      </c>
      <c r="K296" s="123"/>
      <c r="L296" s="123"/>
      <c r="M296" s="123"/>
      <c r="N296" s="123"/>
    </row>
    <row r="297" spans="1:14">
      <c r="A297" s="6"/>
      <c r="B297" s="23"/>
      <c r="C297" s="149"/>
      <c r="D297" s="79" t="str">
        <f>IFERROR(IF(OR(ISTEXT(C297),C297=""),"",VLOOKUP(C297,param!A$4:B$138,2,FALSE)),"Param Not Recognised")</f>
        <v/>
      </c>
      <c r="E297" s="80">
        <f>IF(E289,INDEX($J297:$N297,E290+1),0)</f>
        <v>0</v>
      </c>
      <c r="F297" s="23"/>
      <c r="G297" s="23"/>
      <c r="H297" s="614"/>
      <c r="I297" s="614"/>
      <c r="J297" s="123">
        <v>0</v>
      </c>
      <c r="K297" s="123"/>
      <c r="L297" s="123"/>
      <c r="M297" s="123"/>
      <c r="N297" s="123"/>
    </row>
    <row r="298" spans="1:14">
      <c r="A298" s="6"/>
      <c r="B298" s="23"/>
      <c r="C298" s="149"/>
      <c r="D298" s="79" t="str">
        <f>IFERROR(IF(OR(ISTEXT(C298),C298=""),"",VLOOKUP(C298,param!A$4:B$138,2,FALSE)),"Param Not Recognised")</f>
        <v/>
      </c>
      <c r="E298" s="80">
        <f>IF(E289,INDEX($J298:$N298,E290+1),0)</f>
        <v>0</v>
      </c>
      <c r="F298" s="23"/>
      <c r="G298" s="23"/>
      <c r="H298" s="614"/>
      <c r="I298" s="614"/>
      <c r="J298" s="123">
        <v>0</v>
      </c>
      <c r="K298" s="123"/>
      <c r="L298" s="123"/>
      <c r="M298" s="123"/>
      <c r="N298" s="123"/>
    </row>
    <row r="299" spans="1:14">
      <c r="A299" s="6"/>
      <c r="B299" s="23"/>
      <c r="C299" s="149"/>
      <c r="D299" s="79" t="str">
        <f>IFERROR(IF(OR(ISTEXT(C299),C299=""),"",VLOOKUP(C299,param!A$4:B$138,2,FALSE)),"Param Not Recognised")</f>
        <v/>
      </c>
      <c r="E299" s="80">
        <f>IF(E289,INDEX($J299:$N299,E290+1),0)</f>
        <v>0</v>
      </c>
      <c r="F299" s="23"/>
      <c r="G299" s="23"/>
      <c r="H299" s="614"/>
      <c r="I299" s="614"/>
      <c r="J299" s="123">
        <v>0</v>
      </c>
      <c r="K299" s="123"/>
      <c r="L299" s="123"/>
      <c r="M299" s="123"/>
      <c r="N299" s="123"/>
    </row>
    <row r="300" spans="1:14">
      <c r="A300" s="6"/>
      <c r="B300" s="23"/>
      <c r="C300" s="149"/>
      <c r="D300" s="79" t="str">
        <f>IFERROR(IF(OR(ISTEXT(C300),C300=""),"",VLOOKUP(C300,param!A$4:B$138,2,FALSE)),"Param Not Recognised")</f>
        <v/>
      </c>
      <c r="E300" s="80">
        <f>IF(E289,INDEX($J300:$N300,E290+1),0)</f>
        <v>0</v>
      </c>
      <c r="F300" s="23"/>
      <c r="G300" s="23"/>
      <c r="H300" s="614"/>
      <c r="I300" s="614"/>
      <c r="J300" s="123">
        <v>0</v>
      </c>
      <c r="K300" s="123"/>
      <c r="L300" s="123"/>
      <c r="M300" s="123"/>
      <c r="N300" s="123"/>
    </row>
    <row r="301" spans="1:14">
      <c r="A301" s="18"/>
    </row>
    <row r="302" spans="1:14">
      <c r="A302" s="90">
        <v>23</v>
      </c>
      <c r="B302" s="29">
        <f>INDEX(SI_Name,A302+1)</f>
        <v>0</v>
      </c>
      <c r="C302" s="22" t="s">
        <v>200</v>
      </c>
      <c r="D302" s="22"/>
      <c r="E302" s="150" t="b">
        <f>VLOOKUP($A302,calcTableSIsLaunched,adj_IndexTeam+1,FALSE)</f>
        <v>0</v>
      </c>
      <c r="F302" s="10">
        <f>SUMIF(C304:C313,adj_FTECode,K304:K313)</f>
        <v>0</v>
      </c>
      <c r="G302" s="10">
        <f>SUMIF(C304:C313,adj_CostCode,K304:K313)</f>
        <v>0</v>
      </c>
      <c r="H302" s="10"/>
      <c r="I302" s="10"/>
      <c r="J302" s="22"/>
      <c r="K302" s="22"/>
      <c r="L302" s="22"/>
      <c r="M302" s="22"/>
      <c r="N302" s="22"/>
    </row>
    <row r="303" spans="1:14">
      <c r="A303" s="6"/>
      <c r="B303" s="23"/>
      <c r="C303" s="23" t="s">
        <v>201</v>
      </c>
      <c r="D303" s="23"/>
      <c r="E303" s="150">
        <f>VLOOKUP($A302,calcTableSIsRoundsIntoLaunch,adj_IndexTeam+1,FALSE)</f>
        <v>0</v>
      </c>
      <c r="F303" s="23"/>
      <c r="G303" s="23"/>
      <c r="H303" s="614"/>
      <c r="I303" s="614"/>
      <c r="J303" s="23"/>
      <c r="K303" s="23"/>
      <c r="L303" s="23"/>
      <c r="M303" s="23"/>
      <c r="N303" s="23"/>
    </row>
    <row r="304" spans="1:14">
      <c r="A304" s="6"/>
      <c r="B304" s="23"/>
      <c r="C304" s="149">
        <v>1002</v>
      </c>
      <c r="D304" s="79" t="str">
        <f>IFERROR(IF(OR(ISTEXT(C304),C304=""),"",VLOOKUP(C304,param!A$4:B$138,2,FALSE)),"Param Not Recognised")</f>
        <v>Param Not Recognised</v>
      </c>
      <c r="E304" s="80">
        <f>IF(E302,INDEX($J304:$N304,E303+1),0)</f>
        <v>0</v>
      </c>
      <c r="F304" s="23"/>
      <c r="G304" s="23"/>
      <c r="H304" s="614"/>
      <c r="I304" s="614"/>
      <c r="J304" s="123">
        <v>0</v>
      </c>
      <c r="K304" s="123"/>
      <c r="L304" s="123"/>
      <c r="M304" s="123"/>
      <c r="N304" s="123"/>
    </row>
    <row r="305" spans="1:14">
      <c r="A305" s="6"/>
      <c r="B305" s="23"/>
      <c r="C305" s="149"/>
      <c r="D305" s="79" t="str">
        <f>IFERROR(IF(OR(ISTEXT(C305),C305=""),"",VLOOKUP(C305,param!A$4:B$138,2,FALSE)),"Param Not Recognised")</f>
        <v/>
      </c>
      <c r="E305" s="80">
        <f>IF(E302,INDEX($J305:$N305,E303+1),0)</f>
        <v>0</v>
      </c>
      <c r="F305" s="23"/>
      <c r="G305" s="23"/>
      <c r="H305" s="614"/>
      <c r="I305" s="614"/>
      <c r="J305" s="123">
        <v>0</v>
      </c>
      <c r="K305" s="123"/>
      <c r="L305" s="123"/>
      <c r="M305" s="123"/>
      <c r="N305" s="123"/>
    </row>
    <row r="306" spans="1:14">
      <c r="A306" s="6"/>
      <c r="B306" s="23"/>
      <c r="C306" s="149"/>
      <c r="D306" s="79" t="str">
        <f>IFERROR(IF(OR(ISTEXT(C306),C306=""),"",VLOOKUP(C306,param!A$4:B$138,2,FALSE)),"Param Not Recognised")</f>
        <v/>
      </c>
      <c r="E306" s="80">
        <f>IF(E302,INDEX($J306:$N306,E303+1),0)</f>
        <v>0</v>
      </c>
      <c r="F306" s="23"/>
      <c r="G306" s="23"/>
      <c r="H306" s="614"/>
      <c r="I306" s="614"/>
      <c r="J306" s="123">
        <v>0</v>
      </c>
      <c r="K306" s="123"/>
      <c r="L306" s="123"/>
      <c r="M306" s="123"/>
      <c r="N306" s="123"/>
    </row>
    <row r="307" spans="1:14">
      <c r="A307" s="6"/>
      <c r="B307" s="23"/>
      <c r="C307" s="149"/>
      <c r="D307" s="79" t="str">
        <f>IFERROR(IF(OR(ISTEXT(C307),C307=""),"",VLOOKUP(C307,param!A$4:B$138,2,FALSE)),"Param Not Recognised")</f>
        <v/>
      </c>
      <c r="E307" s="80">
        <f>IF(E302,INDEX($J307:$N307,E303+1),0)</f>
        <v>0</v>
      </c>
      <c r="F307" s="23"/>
      <c r="G307" s="23"/>
      <c r="H307" s="614"/>
      <c r="I307" s="614"/>
      <c r="J307" s="123">
        <v>0</v>
      </c>
      <c r="K307" s="123"/>
      <c r="L307" s="123"/>
      <c r="M307" s="123"/>
      <c r="N307" s="123"/>
    </row>
    <row r="308" spans="1:14">
      <c r="A308" s="6"/>
      <c r="B308" s="23"/>
      <c r="C308" s="149"/>
      <c r="D308" s="79" t="str">
        <f>IFERROR(IF(OR(ISTEXT(C308),C308=""),"",VLOOKUP(C308,param!A$4:B$138,2,FALSE)),"Param Not Recognised")</f>
        <v/>
      </c>
      <c r="E308" s="80">
        <f>IF(E302,INDEX($J308:$N308,E303+1),0)</f>
        <v>0</v>
      </c>
      <c r="F308" s="23"/>
      <c r="G308" s="23"/>
      <c r="H308" s="614"/>
      <c r="I308" s="614"/>
      <c r="J308" s="123">
        <v>0</v>
      </c>
      <c r="K308" s="123"/>
      <c r="L308" s="123"/>
      <c r="M308" s="123"/>
      <c r="N308" s="123"/>
    </row>
    <row r="309" spans="1:14">
      <c r="A309" s="6"/>
      <c r="B309" s="23"/>
      <c r="C309" s="149"/>
      <c r="D309" s="79" t="str">
        <f>IFERROR(IF(OR(ISTEXT(C309),C309=""),"",VLOOKUP(C309,param!A$4:B$138,2,FALSE)),"Param Not Recognised")</f>
        <v/>
      </c>
      <c r="E309" s="80">
        <f>IF(E302,INDEX($J309:$N309,E303+1),0)</f>
        <v>0</v>
      </c>
      <c r="F309" s="23"/>
      <c r="G309" s="23"/>
      <c r="H309" s="614"/>
      <c r="I309" s="614"/>
      <c r="J309" s="123">
        <v>0</v>
      </c>
      <c r="K309" s="123"/>
      <c r="L309" s="123"/>
      <c r="M309" s="123"/>
      <c r="N309" s="123"/>
    </row>
    <row r="310" spans="1:14">
      <c r="A310" s="6"/>
      <c r="B310" s="23"/>
      <c r="C310" s="149"/>
      <c r="D310" s="79" t="str">
        <f>IFERROR(IF(OR(ISTEXT(C310),C310=""),"",VLOOKUP(C310,param!A$4:B$138,2,FALSE)),"Param Not Recognised")</f>
        <v/>
      </c>
      <c r="E310" s="80">
        <f>IF(E302,INDEX($J310:$N310,E303+1),0)</f>
        <v>0</v>
      </c>
      <c r="F310" s="23"/>
      <c r="G310" s="23"/>
      <c r="H310" s="614"/>
      <c r="I310" s="614"/>
      <c r="J310" s="123">
        <v>0</v>
      </c>
      <c r="K310" s="123"/>
      <c r="L310" s="123"/>
      <c r="M310" s="123"/>
      <c r="N310" s="123"/>
    </row>
    <row r="311" spans="1:14">
      <c r="A311" s="6"/>
      <c r="B311" s="23"/>
      <c r="C311" s="149"/>
      <c r="D311" s="79" t="str">
        <f>IFERROR(IF(OR(ISTEXT(C311),C311=""),"",VLOOKUP(C311,param!A$4:B$138,2,FALSE)),"Param Not Recognised")</f>
        <v/>
      </c>
      <c r="E311" s="80">
        <f>IF(E302,INDEX($J311:$N311,E303+1),0)</f>
        <v>0</v>
      </c>
      <c r="F311" s="23"/>
      <c r="G311" s="23"/>
      <c r="H311" s="614"/>
      <c r="I311" s="614"/>
      <c r="J311" s="123">
        <v>0</v>
      </c>
      <c r="K311" s="123"/>
      <c r="L311" s="123"/>
      <c r="M311" s="123"/>
      <c r="N311" s="123"/>
    </row>
    <row r="312" spans="1:14">
      <c r="A312" s="6"/>
      <c r="B312" s="23"/>
      <c r="C312" s="149"/>
      <c r="D312" s="79" t="str">
        <f>IFERROR(IF(OR(ISTEXT(C312),C312=""),"",VLOOKUP(C312,param!A$4:B$138,2,FALSE)),"Param Not Recognised")</f>
        <v/>
      </c>
      <c r="E312" s="80">
        <f>IF(E302,INDEX($J312:$N312,E303+1),0)</f>
        <v>0</v>
      </c>
      <c r="F312" s="23"/>
      <c r="G312" s="23"/>
      <c r="H312" s="614"/>
      <c r="I312" s="614"/>
      <c r="J312" s="123">
        <v>0</v>
      </c>
      <c r="K312" s="123"/>
      <c r="L312" s="123"/>
      <c r="M312" s="123"/>
      <c r="N312" s="123"/>
    </row>
    <row r="313" spans="1:14">
      <c r="A313" s="6"/>
      <c r="B313" s="23"/>
      <c r="C313" s="149"/>
      <c r="D313" s="79" t="str">
        <f>IFERROR(IF(OR(ISTEXT(C313),C313=""),"",VLOOKUP(C313,param!A$4:B$138,2,FALSE)),"Param Not Recognised")</f>
        <v/>
      </c>
      <c r="E313" s="80">
        <f>IF(E302,INDEX($J313:$N313,E303+1),0)</f>
        <v>0</v>
      </c>
      <c r="F313" s="23"/>
      <c r="G313" s="23"/>
      <c r="H313" s="614"/>
      <c r="I313" s="614"/>
      <c r="J313" s="123">
        <v>0</v>
      </c>
      <c r="K313" s="123"/>
      <c r="L313" s="123"/>
      <c r="M313" s="123"/>
      <c r="N313" s="123"/>
    </row>
    <row r="314" spans="1:14">
      <c r="A314" s="18"/>
    </row>
    <row r="315" spans="1:14">
      <c r="A315" s="90">
        <v>24</v>
      </c>
      <c r="B315" s="29">
        <f>INDEX(SI_Name,A315+1)</f>
        <v>0</v>
      </c>
      <c r="C315" s="22" t="s">
        <v>200</v>
      </c>
      <c r="D315" s="22"/>
      <c r="E315" s="150" t="b">
        <f>VLOOKUP($A315,calcTableSIsLaunched,adj_IndexTeam+1,FALSE)</f>
        <v>0</v>
      </c>
      <c r="F315" s="10">
        <f>SUMIF(C317:C326,adj_FTECode,K317:K326)</f>
        <v>0</v>
      </c>
      <c r="G315" s="10">
        <f>SUMIF(C317:C326,adj_CostCode,K317:K326)</f>
        <v>0</v>
      </c>
      <c r="H315" s="10"/>
      <c r="I315" s="10"/>
      <c r="J315" s="22"/>
      <c r="K315" s="22"/>
      <c r="L315" s="22"/>
      <c r="M315" s="22"/>
      <c r="N315" s="22"/>
    </row>
    <row r="316" spans="1:14">
      <c r="A316" s="6"/>
      <c r="B316" s="23"/>
      <c r="C316" s="23" t="s">
        <v>201</v>
      </c>
      <c r="D316" s="23"/>
      <c r="E316" s="150">
        <f>VLOOKUP($A315,calcTableSIsRoundsIntoLaunch,adj_IndexTeam+1,FALSE)</f>
        <v>0</v>
      </c>
      <c r="F316" s="23"/>
      <c r="G316" s="23"/>
      <c r="H316" s="614"/>
      <c r="I316" s="614"/>
      <c r="J316" s="23"/>
      <c r="K316" s="23"/>
      <c r="L316" s="23"/>
      <c r="M316" s="23"/>
      <c r="N316" s="23"/>
    </row>
    <row r="317" spans="1:14">
      <c r="A317" s="6"/>
      <c r="B317" s="23"/>
      <c r="C317" s="149">
        <v>1002</v>
      </c>
      <c r="D317" s="79" t="str">
        <f>IFERROR(IF(OR(ISTEXT(C317),C317=""),"",VLOOKUP(C317,param!A$4:B$138,2,FALSE)),"Param Not Recognised")</f>
        <v>Param Not Recognised</v>
      </c>
      <c r="E317" s="80">
        <f>IF(E315,INDEX($J317:$N317,E316+1),0)</f>
        <v>0</v>
      </c>
      <c r="F317" s="23"/>
      <c r="G317" s="23"/>
      <c r="H317" s="614"/>
      <c r="I317" s="614"/>
      <c r="J317" s="123">
        <v>0</v>
      </c>
      <c r="K317" s="123"/>
      <c r="L317" s="123"/>
      <c r="M317" s="123"/>
      <c r="N317" s="123"/>
    </row>
    <row r="318" spans="1:14">
      <c r="A318" s="6"/>
      <c r="B318" s="23"/>
      <c r="C318" s="149"/>
      <c r="D318" s="79" t="str">
        <f>IFERROR(IF(OR(ISTEXT(C318),C318=""),"",VLOOKUP(C318,param!A$4:B$138,2,FALSE)),"Param Not Recognised")</f>
        <v/>
      </c>
      <c r="E318" s="80">
        <f>IF(E315,INDEX($J318:$N318,E316+1),0)</f>
        <v>0</v>
      </c>
      <c r="F318" s="23"/>
      <c r="G318" s="23"/>
      <c r="H318" s="614"/>
      <c r="I318" s="614"/>
      <c r="J318" s="123">
        <v>0</v>
      </c>
      <c r="K318" s="123"/>
      <c r="L318" s="123"/>
      <c r="M318" s="123"/>
      <c r="N318" s="123"/>
    </row>
    <row r="319" spans="1:14">
      <c r="A319" s="6"/>
      <c r="B319" s="23"/>
      <c r="C319" s="149"/>
      <c r="D319" s="79" t="str">
        <f>IFERROR(IF(OR(ISTEXT(C319),C319=""),"",VLOOKUP(C319,param!A$4:B$138,2,FALSE)),"Param Not Recognised")</f>
        <v/>
      </c>
      <c r="E319" s="80">
        <f>IF(E315,INDEX($J319:$N319,E316+1),0)</f>
        <v>0</v>
      </c>
      <c r="F319" s="23"/>
      <c r="G319" s="23"/>
      <c r="H319" s="614"/>
      <c r="I319" s="614"/>
      <c r="J319" s="123">
        <v>0</v>
      </c>
      <c r="K319" s="123"/>
      <c r="L319" s="123"/>
      <c r="M319" s="123"/>
      <c r="N319" s="123"/>
    </row>
    <row r="320" spans="1:14">
      <c r="A320" s="6"/>
      <c r="B320" s="23"/>
      <c r="C320" s="149"/>
      <c r="D320" s="79" t="str">
        <f>IFERROR(IF(OR(ISTEXT(C320),C320=""),"",VLOOKUP(C320,param!A$4:B$138,2,FALSE)),"Param Not Recognised")</f>
        <v/>
      </c>
      <c r="E320" s="80">
        <f>IF(E315,INDEX($J320:$N320,E316+1),0)</f>
        <v>0</v>
      </c>
      <c r="F320" s="23"/>
      <c r="G320" s="23"/>
      <c r="H320" s="614"/>
      <c r="I320" s="614"/>
      <c r="J320" s="123">
        <v>0</v>
      </c>
      <c r="K320" s="123"/>
      <c r="L320" s="123"/>
      <c r="M320" s="123"/>
      <c r="N320" s="123"/>
    </row>
    <row r="321" spans="1:14">
      <c r="A321" s="6"/>
      <c r="B321" s="23"/>
      <c r="C321" s="149"/>
      <c r="D321" s="79" t="str">
        <f>IFERROR(IF(OR(ISTEXT(C321),C321=""),"",VLOOKUP(C321,param!A$4:B$138,2,FALSE)),"Param Not Recognised")</f>
        <v/>
      </c>
      <c r="E321" s="80">
        <f>IF(E315,INDEX($J321:$N321,E316+1),0)</f>
        <v>0</v>
      </c>
      <c r="F321" s="23"/>
      <c r="G321" s="23"/>
      <c r="H321" s="614"/>
      <c r="I321" s="614"/>
      <c r="J321" s="123">
        <v>0</v>
      </c>
      <c r="K321" s="123"/>
      <c r="L321" s="123"/>
      <c r="M321" s="123"/>
      <c r="N321" s="123"/>
    </row>
    <row r="322" spans="1:14">
      <c r="A322" s="6"/>
      <c r="B322" s="23"/>
      <c r="C322" s="149"/>
      <c r="D322" s="79" t="str">
        <f>IFERROR(IF(OR(ISTEXT(C322),C322=""),"",VLOOKUP(C322,param!A$4:B$138,2,FALSE)),"Param Not Recognised")</f>
        <v/>
      </c>
      <c r="E322" s="80">
        <f>IF(E315,INDEX($J322:$N322,E316+1),0)</f>
        <v>0</v>
      </c>
      <c r="F322" s="23"/>
      <c r="G322" s="23"/>
      <c r="H322" s="614"/>
      <c r="I322" s="614"/>
      <c r="J322" s="123">
        <v>0</v>
      </c>
      <c r="K322" s="123"/>
      <c r="L322" s="123"/>
      <c r="M322" s="123"/>
      <c r="N322" s="123"/>
    </row>
    <row r="323" spans="1:14">
      <c r="A323" s="6"/>
      <c r="B323" s="23"/>
      <c r="C323" s="149"/>
      <c r="D323" s="79" t="str">
        <f>IFERROR(IF(OR(ISTEXT(C323),C323=""),"",VLOOKUP(C323,param!A$4:B$138,2,FALSE)),"Param Not Recognised")</f>
        <v/>
      </c>
      <c r="E323" s="80">
        <f>IF(E315,INDEX($J323:$N323,E316+1),0)</f>
        <v>0</v>
      </c>
      <c r="F323" s="23"/>
      <c r="G323" s="23"/>
      <c r="H323" s="614"/>
      <c r="I323" s="614"/>
      <c r="J323" s="123">
        <v>0</v>
      </c>
      <c r="K323" s="123"/>
      <c r="L323" s="123"/>
      <c r="M323" s="123"/>
      <c r="N323" s="123"/>
    </row>
    <row r="324" spans="1:14">
      <c r="A324" s="6"/>
      <c r="B324" s="23"/>
      <c r="C324" s="149"/>
      <c r="D324" s="79" t="str">
        <f>IFERROR(IF(OR(ISTEXT(C324),C324=""),"",VLOOKUP(C324,param!A$4:B$138,2,FALSE)),"Param Not Recognised")</f>
        <v/>
      </c>
      <c r="E324" s="80">
        <f>IF(E315,INDEX($J324:$N324,E316+1),0)</f>
        <v>0</v>
      </c>
      <c r="F324" s="23"/>
      <c r="G324" s="23"/>
      <c r="H324" s="614"/>
      <c r="I324" s="614"/>
      <c r="J324" s="123">
        <v>0</v>
      </c>
      <c r="K324" s="123"/>
      <c r="L324" s="123"/>
      <c r="M324" s="123"/>
      <c r="N324" s="123"/>
    </row>
    <row r="325" spans="1:14">
      <c r="A325" s="6"/>
      <c r="B325" s="23"/>
      <c r="C325" s="149"/>
      <c r="D325" s="79" t="str">
        <f>IFERROR(IF(OR(ISTEXT(C325),C325=""),"",VLOOKUP(C325,param!A$4:B$138,2,FALSE)),"Param Not Recognised")</f>
        <v/>
      </c>
      <c r="E325" s="80">
        <f>IF(E315,INDEX($J325:$N325,E316+1),0)</f>
        <v>0</v>
      </c>
      <c r="F325" s="23"/>
      <c r="G325" s="23"/>
      <c r="H325" s="614"/>
      <c r="I325" s="614"/>
      <c r="J325" s="123">
        <v>0</v>
      </c>
      <c r="K325" s="123"/>
      <c r="L325" s="123"/>
      <c r="M325" s="123"/>
      <c r="N325" s="123"/>
    </row>
    <row r="326" spans="1:14">
      <c r="A326" s="6"/>
      <c r="B326" s="23"/>
      <c r="C326" s="149"/>
      <c r="D326" s="79" t="str">
        <f>IFERROR(IF(OR(ISTEXT(C326),C326=""),"",VLOOKUP(C326,param!A$4:B$138,2,FALSE)),"Param Not Recognised")</f>
        <v/>
      </c>
      <c r="E326" s="80">
        <f>IF(E315,INDEX($J326:$N326,E316+1),0)</f>
        <v>0</v>
      </c>
      <c r="F326" s="23"/>
      <c r="G326" s="23"/>
      <c r="H326" s="614"/>
      <c r="I326" s="614"/>
      <c r="J326" s="123">
        <v>0</v>
      </c>
      <c r="K326" s="123"/>
      <c r="L326" s="123"/>
      <c r="M326" s="123"/>
      <c r="N326" s="123"/>
    </row>
    <row r="327" spans="1:14">
      <c r="A327" s="18"/>
    </row>
    <row r="328" spans="1:14">
      <c r="A328" s="90">
        <v>25</v>
      </c>
      <c r="B328" s="29">
        <f>INDEX(SI_Name,A328+1)</f>
        <v>0</v>
      </c>
      <c r="C328" s="22" t="s">
        <v>200</v>
      </c>
      <c r="D328" s="22"/>
      <c r="E328" s="150" t="b">
        <f>VLOOKUP($A328,calcTableSIsLaunched,adj_IndexTeam+1,FALSE)</f>
        <v>0</v>
      </c>
      <c r="F328" s="10">
        <f>SUMIF(C330:C339,adj_FTECode,K330:K339)</f>
        <v>0</v>
      </c>
      <c r="G328" s="10">
        <f>SUMIF(C330:C339,adj_CostCode,K330:K339)</f>
        <v>0</v>
      </c>
      <c r="H328" s="10"/>
      <c r="I328" s="10"/>
      <c r="J328" s="22"/>
      <c r="K328" s="22"/>
      <c r="L328" s="22"/>
      <c r="M328" s="22"/>
      <c r="N328" s="22"/>
    </row>
    <row r="329" spans="1:14">
      <c r="A329" s="6"/>
      <c r="B329" s="23"/>
      <c r="C329" s="23" t="s">
        <v>201</v>
      </c>
      <c r="D329" s="23"/>
      <c r="E329" s="150">
        <f>VLOOKUP($A328,calcTableSIsRoundsIntoLaunch,adj_IndexTeam+1,FALSE)</f>
        <v>0</v>
      </c>
      <c r="F329" s="23"/>
      <c r="G329" s="23"/>
      <c r="H329" s="614"/>
      <c r="I329" s="614"/>
      <c r="J329" s="23"/>
      <c r="K329" s="23"/>
      <c r="L329" s="23"/>
      <c r="M329" s="23"/>
      <c r="N329" s="23"/>
    </row>
    <row r="330" spans="1:14">
      <c r="A330" s="6"/>
      <c r="B330" s="23"/>
      <c r="C330" s="149">
        <v>1002</v>
      </c>
      <c r="D330" s="79" t="str">
        <f>IFERROR(IF(OR(ISTEXT(C330),C330=""),"",VLOOKUP(C330,param!A$4:B$138,2,FALSE)),"Param Not Recognised")</f>
        <v>Param Not Recognised</v>
      </c>
      <c r="E330" s="80">
        <f>IF(E328,INDEX($J330:$N330,E329+1),0)</f>
        <v>0</v>
      </c>
      <c r="F330" s="23"/>
      <c r="G330" s="23"/>
      <c r="H330" s="614"/>
      <c r="I330" s="614"/>
      <c r="J330" s="123">
        <v>0</v>
      </c>
      <c r="K330" s="123"/>
      <c r="L330" s="123"/>
      <c r="M330" s="123"/>
      <c r="N330" s="123"/>
    </row>
    <row r="331" spans="1:14">
      <c r="A331" s="6"/>
      <c r="B331" s="23"/>
      <c r="C331" s="149"/>
      <c r="D331" s="79" t="str">
        <f>IFERROR(IF(OR(ISTEXT(C331),C331=""),"",VLOOKUP(C331,param!A$4:B$138,2,FALSE)),"Param Not Recognised")</f>
        <v/>
      </c>
      <c r="E331" s="80">
        <f>IF(E328,INDEX($J331:$N331,E329+1),0)</f>
        <v>0</v>
      </c>
      <c r="F331" s="23"/>
      <c r="G331" s="23"/>
      <c r="H331" s="614"/>
      <c r="I331" s="614"/>
      <c r="J331" s="123">
        <v>0</v>
      </c>
      <c r="K331" s="123"/>
      <c r="L331" s="123"/>
      <c r="M331" s="123"/>
      <c r="N331" s="123"/>
    </row>
    <row r="332" spans="1:14">
      <c r="A332" s="6"/>
      <c r="B332" s="23"/>
      <c r="C332" s="149"/>
      <c r="D332" s="79" t="str">
        <f>IFERROR(IF(OR(ISTEXT(C332),C332=""),"",VLOOKUP(C332,param!A$4:B$138,2,FALSE)),"Param Not Recognised")</f>
        <v/>
      </c>
      <c r="E332" s="80">
        <f>IF(E328,INDEX($J332:$N332,E329+1),0)</f>
        <v>0</v>
      </c>
      <c r="F332" s="23"/>
      <c r="G332" s="23"/>
      <c r="H332" s="614"/>
      <c r="I332" s="614"/>
      <c r="J332" s="123">
        <v>0</v>
      </c>
      <c r="K332" s="123"/>
      <c r="L332" s="123"/>
      <c r="M332" s="123"/>
      <c r="N332" s="123"/>
    </row>
    <row r="333" spans="1:14">
      <c r="A333" s="6"/>
      <c r="B333" s="23"/>
      <c r="C333" s="149"/>
      <c r="D333" s="79" t="str">
        <f>IFERROR(IF(OR(ISTEXT(C333),C333=""),"",VLOOKUP(C333,param!A$4:B$138,2,FALSE)),"Param Not Recognised")</f>
        <v/>
      </c>
      <c r="E333" s="80">
        <f>IF(E328,INDEX($J333:$N333,E329+1),0)</f>
        <v>0</v>
      </c>
      <c r="F333" s="23"/>
      <c r="G333" s="23"/>
      <c r="H333" s="614"/>
      <c r="I333" s="614"/>
      <c r="J333" s="123">
        <v>0</v>
      </c>
      <c r="K333" s="123"/>
      <c r="L333" s="123"/>
      <c r="M333" s="123"/>
      <c r="N333" s="123"/>
    </row>
    <row r="334" spans="1:14">
      <c r="A334" s="6"/>
      <c r="B334" s="23"/>
      <c r="C334" s="149"/>
      <c r="D334" s="79" t="str">
        <f>IFERROR(IF(OR(ISTEXT(C334),C334=""),"",VLOOKUP(C334,param!A$4:B$138,2,FALSE)),"Param Not Recognised")</f>
        <v/>
      </c>
      <c r="E334" s="80">
        <f>IF(E328,INDEX($J334:$N334,E329+1),0)</f>
        <v>0</v>
      </c>
      <c r="F334" s="23"/>
      <c r="G334" s="23"/>
      <c r="H334" s="614"/>
      <c r="I334" s="614"/>
      <c r="J334" s="123">
        <v>0</v>
      </c>
      <c r="K334" s="123"/>
      <c r="L334" s="123"/>
      <c r="M334" s="123"/>
      <c r="N334" s="123"/>
    </row>
    <row r="335" spans="1:14">
      <c r="A335" s="6"/>
      <c r="B335" s="23"/>
      <c r="C335" s="149"/>
      <c r="D335" s="79" t="str">
        <f>IFERROR(IF(OR(ISTEXT(C335),C335=""),"",VLOOKUP(C335,param!A$4:B$138,2,FALSE)),"Param Not Recognised")</f>
        <v/>
      </c>
      <c r="E335" s="80">
        <f>IF(E328,INDEX($J335:$N335,E329+1),0)</f>
        <v>0</v>
      </c>
      <c r="F335" s="23"/>
      <c r="G335" s="23"/>
      <c r="H335" s="614"/>
      <c r="I335" s="614"/>
      <c r="J335" s="123">
        <v>0</v>
      </c>
      <c r="K335" s="123"/>
      <c r="L335" s="123"/>
      <c r="M335" s="123"/>
      <c r="N335" s="123"/>
    </row>
    <row r="336" spans="1:14">
      <c r="A336" s="6"/>
      <c r="B336" s="23"/>
      <c r="C336" s="149"/>
      <c r="D336" s="79" t="str">
        <f>IFERROR(IF(OR(ISTEXT(C336),C336=""),"",VLOOKUP(C336,param!A$4:B$138,2,FALSE)),"Param Not Recognised")</f>
        <v/>
      </c>
      <c r="E336" s="80">
        <f>IF(E328,INDEX($J336:$N336,E329+1),0)</f>
        <v>0</v>
      </c>
      <c r="F336" s="23"/>
      <c r="G336" s="23"/>
      <c r="H336" s="614"/>
      <c r="I336" s="614"/>
      <c r="J336" s="123">
        <v>0</v>
      </c>
      <c r="K336" s="123"/>
      <c r="L336" s="123"/>
      <c r="M336" s="123"/>
      <c r="N336" s="123"/>
    </row>
    <row r="337" spans="1:14">
      <c r="A337" s="6"/>
      <c r="B337" s="23"/>
      <c r="C337" s="149"/>
      <c r="D337" s="79" t="str">
        <f>IFERROR(IF(OR(ISTEXT(C337),C337=""),"",VLOOKUP(C337,param!A$4:B$138,2,FALSE)),"Param Not Recognised")</f>
        <v/>
      </c>
      <c r="E337" s="80">
        <f>IF(E328,INDEX($J337:$N337,E329+1),0)</f>
        <v>0</v>
      </c>
      <c r="F337" s="23"/>
      <c r="G337" s="23"/>
      <c r="H337" s="614"/>
      <c r="I337" s="614"/>
      <c r="J337" s="123">
        <v>0</v>
      </c>
      <c r="K337" s="123"/>
      <c r="L337" s="123"/>
      <c r="M337" s="123"/>
      <c r="N337" s="123"/>
    </row>
    <row r="338" spans="1:14">
      <c r="A338" s="6"/>
      <c r="B338" s="23"/>
      <c r="C338" s="149"/>
      <c r="D338" s="79" t="str">
        <f>IFERROR(IF(OR(ISTEXT(C338),C338=""),"",VLOOKUP(C338,param!A$4:B$138,2,FALSE)),"Param Not Recognised")</f>
        <v/>
      </c>
      <c r="E338" s="80">
        <f>IF(E328,INDEX($J338:$N338,E329+1),0)</f>
        <v>0</v>
      </c>
      <c r="F338" s="23"/>
      <c r="G338" s="23"/>
      <c r="H338" s="614"/>
      <c r="I338" s="614"/>
      <c r="J338" s="123">
        <v>0</v>
      </c>
      <c r="K338" s="123"/>
      <c r="L338" s="123"/>
      <c r="M338" s="123"/>
      <c r="N338" s="123"/>
    </row>
    <row r="339" spans="1:14">
      <c r="A339" s="6"/>
      <c r="B339" s="23"/>
      <c r="C339" s="149"/>
      <c r="D339" s="79" t="str">
        <f>IFERROR(IF(OR(ISTEXT(C339),C339=""),"",VLOOKUP(C339,param!A$4:B$138,2,FALSE)),"Param Not Recognised")</f>
        <v/>
      </c>
      <c r="E339" s="80">
        <f>IF(E328,INDEX($J339:$N339,E329+1),0)</f>
        <v>0</v>
      </c>
      <c r="F339" s="23"/>
      <c r="G339" s="23"/>
      <c r="H339" s="614"/>
      <c r="I339" s="614"/>
      <c r="J339" s="123">
        <v>0</v>
      </c>
      <c r="K339" s="123"/>
      <c r="L339" s="123"/>
      <c r="M339" s="123"/>
      <c r="N339" s="123"/>
    </row>
    <row r="340" spans="1:14">
      <c r="A340" s="18"/>
    </row>
    <row r="341" spans="1:14">
      <c r="A341" s="90">
        <v>26</v>
      </c>
      <c r="B341" s="29">
        <f>INDEX(SI_Name,A341+1)</f>
        <v>0</v>
      </c>
      <c r="C341" s="22" t="s">
        <v>200</v>
      </c>
      <c r="D341" s="22"/>
      <c r="E341" s="150" t="b">
        <f>VLOOKUP($A341,calcTableSIsLaunched,adj_IndexTeam+1,FALSE)</f>
        <v>0</v>
      </c>
      <c r="F341" s="10">
        <f>SUMIF(C343:C352,adj_FTECode,K343:K352)</f>
        <v>0</v>
      </c>
      <c r="G341" s="10">
        <f>SUMIF(C343:C352,adj_CostCode,K343:K352)</f>
        <v>0</v>
      </c>
      <c r="H341" s="10"/>
      <c r="I341" s="10"/>
      <c r="J341" s="22"/>
      <c r="K341" s="22"/>
      <c r="L341" s="22"/>
      <c r="M341" s="22"/>
      <c r="N341" s="22"/>
    </row>
    <row r="342" spans="1:14">
      <c r="A342" s="6"/>
      <c r="B342" s="23"/>
      <c r="C342" s="23" t="s">
        <v>201</v>
      </c>
      <c r="D342" s="23"/>
      <c r="E342" s="150">
        <f>VLOOKUP($A341,calcTableSIsRoundsIntoLaunch,adj_IndexTeam+1,FALSE)</f>
        <v>0</v>
      </c>
      <c r="F342" s="23"/>
      <c r="G342" s="23"/>
      <c r="H342" s="614"/>
      <c r="I342" s="614"/>
      <c r="J342" s="23"/>
      <c r="K342" s="23"/>
      <c r="L342" s="23"/>
      <c r="M342" s="23"/>
      <c r="N342" s="23"/>
    </row>
    <row r="343" spans="1:14">
      <c r="A343" s="6"/>
      <c r="B343" s="23"/>
      <c r="C343" s="149">
        <v>1002</v>
      </c>
      <c r="D343" s="79" t="str">
        <f>IFERROR(IF(OR(ISTEXT(C343),C343=""),"",VLOOKUP(C343,param!A$4:B$138,2,FALSE)),"Param Not Recognised")</f>
        <v>Param Not Recognised</v>
      </c>
      <c r="E343" s="80">
        <f>IF(E341,INDEX($J343:$N343,E342+1),0)</f>
        <v>0</v>
      </c>
      <c r="F343" s="23"/>
      <c r="G343" s="23"/>
      <c r="H343" s="614"/>
      <c r="I343" s="614"/>
      <c r="J343" s="123">
        <v>0</v>
      </c>
      <c r="K343" s="123"/>
      <c r="L343" s="123"/>
      <c r="M343" s="123"/>
      <c r="N343" s="123"/>
    </row>
    <row r="344" spans="1:14">
      <c r="A344" s="6"/>
      <c r="B344" s="23"/>
      <c r="C344" s="149"/>
      <c r="D344" s="79" t="str">
        <f>IFERROR(IF(OR(ISTEXT(C344),C344=""),"",VLOOKUP(C344,param!A$4:B$138,2,FALSE)),"Param Not Recognised")</f>
        <v/>
      </c>
      <c r="E344" s="80">
        <f>IF(E341,INDEX($J344:$N344,E342+1),0)</f>
        <v>0</v>
      </c>
      <c r="F344" s="23"/>
      <c r="G344" s="23"/>
      <c r="H344" s="614"/>
      <c r="I344" s="614"/>
      <c r="J344" s="123">
        <v>0</v>
      </c>
      <c r="K344" s="123"/>
      <c r="L344" s="123"/>
      <c r="M344" s="123"/>
      <c r="N344" s="123"/>
    </row>
    <row r="345" spans="1:14">
      <c r="A345" s="6"/>
      <c r="B345" s="23"/>
      <c r="C345" s="149"/>
      <c r="D345" s="79" t="str">
        <f>IFERROR(IF(OR(ISTEXT(C345),C345=""),"",VLOOKUP(C345,param!A$4:B$138,2,FALSE)),"Param Not Recognised")</f>
        <v/>
      </c>
      <c r="E345" s="80">
        <f>IF(E341,INDEX($J345:$N345,E342+1),0)</f>
        <v>0</v>
      </c>
      <c r="F345" s="23"/>
      <c r="G345" s="23"/>
      <c r="H345" s="614"/>
      <c r="I345" s="614"/>
      <c r="J345" s="123">
        <v>0</v>
      </c>
      <c r="K345" s="123"/>
      <c r="L345" s="123"/>
      <c r="M345" s="123"/>
      <c r="N345" s="123"/>
    </row>
    <row r="346" spans="1:14">
      <c r="A346" s="6"/>
      <c r="B346" s="23"/>
      <c r="C346" s="149"/>
      <c r="D346" s="79" t="str">
        <f>IFERROR(IF(OR(ISTEXT(C346),C346=""),"",VLOOKUP(C346,param!A$4:B$138,2,FALSE)),"Param Not Recognised")</f>
        <v/>
      </c>
      <c r="E346" s="80">
        <f>IF(E341,INDEX($J346:$N346,E342+1),0)</f>
        <v>0</v>
      </c>
      <c r="F346" s="23"/>
      <c r="G346" s="23"/>
      <c r="H346" s="614"/>
      <c r="I346" s="614"/>
      <c r="J346" s="123">
        <v>0</v>
      </c>
      <c r="K346" s="123"/>
      <c r="L346" s="123"/>
      <c r="M346" s="123"/>
      <c r="N346" s="123"/>
    </row>
    <row r="347" spans="1:14">
      <c r="A347" s="6"/>
      <c r="B347" s="23"/>
      <c r="C347" s="149"/>
      <c r="D347" s="79" t="str">
        <f>IFERROR(IF(OR(ISTEXT(C347),C347=""),"",VLOOKUP(C347,param!A$4:B$138,2,FALSE)),"Param Not Recognised")</f>
        <v/>
      </c>
      <c r="E347" s="80">
        <f>IF(E341,INDEX($J347:$N347,E342+1),0)</f>
        <v>0</v>
      </c>
      <c r="F347" s="23"/>
      <c r="G347" s="23"/>
      <c r="H347" s="614"/>
      <c r="I347" s="614"/>
      <c r="J347" s="123">
        <v>0</v>
      </c>
      <c r="K347" s="123"/>
      <c r="L347" s="123"/>
      <c r="M347" s="123"/>
      <c r="N347" s="123"/>
    </row>
    <row r="348" spans="1:14">
      <c r="A348" s="6"/>
      <c r="B348" s="23"/>
      <c r="C348" s="149"/>
      <c r="D348" s="79" t="str">
        <f>IFERROR(IF(OR(ISTEXT(C348),C348=""),"",VLOOKUP(C348,param!A$4:B$138,2,FALSE)),"Param Not Recognised")</f>
        <v/>
      </c>
      <c r="E348" s="80">
        <f>IF(E341,INDEX($J348:$N348,E342+1),0)</f>
        <v>0</v>
      </c>
      <c r="F348" s="23"/>
      <c r="G348" s="23"/>
      <c r="H348" s="614"/>
      <c r="I348" s="614"/>
      <c r="J348" s="123">
        <v>0</v>
      </c>
      <c r="K348" s="123"/>
      <c r="L348" s="123"/>
      <c r="M348" s="123"/>
      <c r="N348" s="123"/>
    </row>
    <row r="349" spans="1:14">
      <c r="A349" s="6"/>
      <c r="B349" s="23"/>
      <c r="C349" s="149"/>
      <c r="D349" s="79" t="str">
        <f>IFERROR(IF(OR(ISTEXT(C349),C349=""),"",VLOOKUP(C349,param!A$4:B$138,2,FALSE)),"Param Not Recognised")</f>
        <v/>
      </c>
      <c r="E349" s="80">
        <f>IF(E341,INDEX($J349:$N349,E342+1),0)</f>
        <v>0</v>
      </c>
      <c r="F349" s="23"/>
      <c r="G349" s="23"/>
      <c r="H349" s="614"/>
      <c r="I349" s="614"/>
      <c r="J349" s="123">
        <v>0</v>
      </c>
      <c r="K349" s="123"/>
      <c r="L349" s="123"/>
      <c r="M349" s="123"/>
      <c r="N349" s="123"/>
    </row>
    <row r="350" spans="1:14">
      <c r="A350" s="6"/>
      <c r="B350" s="23"/>
      <c r="C350" s="149"/>
      <c r="D350" s="79" t="str">
        <f>IFERROR(IF(OR(ISTEXT(C350),C350=""),"",VLOOKUP(C350,param!A$4:B$138,2,FALSE)),"Param Not Recognised")</f>
        <v/>
      </c>
      <c r="E350" s="80">
        <f>IF(E341,INDEX($J350:$N350,E342+1),0)</f>
        <v>0</v>
      </c>
      <c r="F350" s="23"/>
      <c r="G350" s="23"/>
      <c r="H350" s="614"/>
      <c r="I350" s="614"/>
      <c r="J350" s="123">
        <v>0</v>
      </c>
      <c r="K350" s="123"/>
      <c r="L350" s="123"/>
      <c r="M350" s="123"/>
      <c r="N350" s="123"/>
    </row>
    <row r="351" spans="1:14">
      <c r="A351" s="6"/>
      <c r="B351" s="23"/>
      <c r="C351" s="149"/>
      <c r="D351" s="79" t="str">
        <f>IFERROR(IF(OR(ISTEXT(C351),C351=""),"",VLOOKUP(C351,param!A$4:B$138,2,FALSE)),"Param Not Recognised")</f>
        <v/>
      </c>
      <c r="E351" s="80">
        <f>IF(E341,INDEX($J351:$N351,E342+1),0)</f>
        <v>0</v>
      </c>
      <c r="F351" s="23"/>
      <c r="G351" s="23"/>
      <c r="H351" s="614"/>
      <c r="I351" s="614"/>
      <c r="J351" s="123">
        <v>0</v>
      </c>
      <c r="K351" s="123"/>
      <c r="L351" s="123"/>
      <c r="M351" s="123"/>
      <c r="N351" s="123"/>
    </row>
    <row r="352" spans="1:14">
      <c r="A352" s="6"/>
      <c r="B352" s="23"/>
      <c r="C352" s="149"/>
      <c r="D352" s="79" t="str">
        <f>IFERROR(IF(OR(ISTEXT(C352),C352=""),"",VLOOKUP(C352,param!A$4:B$138,2,FALSE)),"Param Not Recognised")</f>
        <v/>
      </c>
      <c r="E352" s="80">
        <f>IF(E341,INDEX($J352:$N352,E342+1),0)</f>
        <v>0</v>
      </c>
      <c r="F352" s="23"/>
      <c r="G352" s="23"/>
      <c r="H352" s="614"/>
      <c r="I352" s="614"/>
      <c r="J352" s="123">
        <v>0</v>
      </c>
      <c r="K352" s="123"/>
      <c r="L352" s="123"/>
      <c r="M352" s="123"/>
      <c r="N352" s="123"/>
    </row>
    <row r="353" spans="1:14">
      <c r="A353" s="18"/>
    </row>
    <row r="354" spans="1:14">
      <c r="A354" s="90">
        <v>27</v>
      </c>
      <c r="B354" s="29">
        <f>INDEX(SI_Name,A354+1)</f>
        <v>0</v>
      </c>
      <c r="C354" s="22" t="s">
        <v>200</v>
      </c>
      <c r="D354" s="22"/>
      <c r="E354" s="150" t="b">
        <f>VLOOKUP($A354,calcTableSIsLaunched,adj_IndexTeam+1,FALSE)</f>
        <v>0</v>
      </c>
      <c r="F354" s="10">
        <f>SUMIF(C356:C365,adj_FTECode,K356:K365)</f>
        <v>0</v>
      </c>
      <c r="G354" s="10">
        <f>SUMIF(C356:C365,adj_CostCode,K356:K365)</f>
        <v>0</v>
      </c>
      <c r="H354" s="10"/>
      <c r="I354" s="10"/>
      <c r="J354" s="22"/>
      <c r="K354" s="22"/>
      <c r="L354" s="22"/>
      <c r="M354" s="22"/>
      <c r="N354" s="22"/>
    </row>
    <row r="355" spans="1:14">
      <c r="A355" s="6"/>
      <c r="B355" s="23"/>
      <c r="C355" s="23" t="s">
        <v>201</v>
      </c>
      <c r="D355" s="23"/>
      <c r="E355" s="150">
        <f>VLOOKUP($A354,calcTableSIsRoundsIntoLaunch,adj_IndexTeam+1,FALSE)</f>
        <v>0</v>
      </c>
      <c r="F355" s="23"/>
      <c r="G355" s="23"/>
      <c r="H355" s="614"/>
      <c r="I355" s="614"/>
      <c r="J355" s="23"/>
      <c r="K355" s="23"/>
      <c r="L355" s="23"/>
      <c r="M355" s="23"/>
      <c r="N355" s="23"/>
    </row>
    <row r="356" spans="1:14">
      <c r="A356" s="6"/>
      <c r="B356" s="23"/>
      <c r="C356" s="149">
        <v>1002</v>
      </c>
      <c r="D356" s="79" t="str">
        <f>IFERROR(IF(OR(ISTEXT(C356),C356=""),"",VLOOKUP(C356,param!A$4:B$138,2,FALSE)),"Param Not Recognised")</f>
        <v>Param Not Recognised</v>
      </c>
      <c r="E356" s="80">
        <f>IF(E354,INDEX($J356:$N356,E355+1),0)</f>
        <v>0</v>
      </c>
      <c r="F356" s="23"/>
      <c r="G356" s="23"/>
      <c r="H356" s="614"/>
      <c r="I356" s="614"/>
      <c r="J356" s="123">
        <v>0</v>
      </c>
      <c r="K356" s="123"/>
      <c r="L356" s="123"/>
      <c r="M356" s="123"/>
      <c r="N356" s="123"/>
    </row>
    <row r="357" spans="1:14">
      <c r="A357" s="6"/>
      <c r="B357" s="23"/>
      <c r="C357" s="149"/>
      <c r="D357" s="79" t="str">
        <f>IFERROR(IF(OR(ISTEXT(C357),C357=""),"",VLOOKUP(C357,param!A$4:B$138,2,FALSE)),"Param Not Recognised")</f>
        <v/>
      </c>
      <c r="E357" s="80">
        <f>IF(E354,INDEX($J357:$N357,E355+1),0)</f>
        <v>0</v>
      </c>
      <c r="F357" s="23"/>
      <c r="G357" s="23"/>
      <c r="H357" s="614"/>
      <c r="I357" s="614"/>
      <c r="J357" s="123">
        <v>0</v>
      </c>
      <c r="K357" s="123"/>
      <c r="L357" s="123"/>
      <c r="M357" s="123"/>
      <c r="N357" s="123"/>
    </row>
    <row r="358" spans="1:14">
      <c r="A358" s="6"/>
      <c r="B358" s="23"/>
      <c r="C358" s="149"/>
      <c r="D358" s="79" t="str">
        <f>IFERROR(IF(OR(ISTEXT(C358),C358=""),"",VLOOKUP(C358,param!A$4:B$138,2,FALSE)),"Param Not Recognised")</f>
        <v/>
      </c>
      <c r="E358" s="80">
        <f>IF(E354,INDEX($J358:$N358,E355+1),0)</f>
        <v>0</v>
      </c>
      <c r="F358" s="23"/>
      <c r="G358" s="23"/>
      <c r="H358" s="614"/>
      <c r="I358" s="614"/>
      <c r="J358" s="123">
        <v>0</v>
      </c>
      <c r="K358" s="123"/>
      <c r="L358" s="123"/>
      <c r="M358" s="123"/>
      <c r="N358" s="123"/>
    </row>
    <row r="359" spans="1:14">
      <c r="A359" s="6"/>
      <c r="B359" s="23"/>
      <c r="C359" s="149"/>
      <c r="D359" s="79" t="str">
        <f>IFERROR(IF(OR(ISTEXT(C359),C359=""),"",VLOOKUP(C359,param!A$4:B$138,2,FALSE)),"Param Not Recognised")</f>
        <v/>
      </c>
      <c r="E359" s="80">
        <f>IF(E354,INDEX($J359:$N359,E355+1),0)</f>
        <v>0</v>
      </c>
      <c r="F359" s="23"/>
      <c r="G359" s="23"/>
      <c r="H359" s="614"/>
      <c r="I359" s="614"/>
      <c r="J359" s="123">
        <v>0</v>
      </c>
      <c r="K359" s="123"/>
      <c r="L359" s="123"/>
      <c r="M359" s="123"/>
      <c r="N359" s="123"/>
    </row>
    <row r="360" spans="1:14">
      <c r="A360" s="6"/>
      <c r="B360" s="23"/>
      <c r="C360" s="149"/>
      <c r="D360" s="79" t="str">
        <f>IFERROR(IF(OR(ISTEXT(C360),C360=""),"",VLOOKUP(C360,param!A$4:B$138,2,FALSE)),"Param Not Recognised")</f>
        <v/>
      </c>
      <c r="E360" s="80">
        <f>IF(E354,INDEX($J360:$N360,E355+1),0)</f>
        <v>0</v>
      </c>
      <c r="F360" s="23"/>
      <c r="G360" s="23"/>
      <c r="H360" s="614"/>
      <c r="I360" s="614"/>
      <c r="J360" s="123">
        <v>0</v>
      </c>
      <c r="K360" s="123"/>
      <c r="L360" s="123"/>
      <c r="M360" s="123"/>
      <c r="N360" s="123"/>
    </row>
    <row r="361" spans="1:14">
      <c r="A361" s="6"/>
      <c r="B361" s="23"/>
      <c r="C361" s="149"/>
      <c r="D361" s="79" t="str">
        <f>IFERROR(IF(OR(ISTEXT(C361),C361=""),"",VLOOKUP(C361,param!A$4:B$138,2,FALSE)),"Param Not Recognised")</f>
        <v/>
      </c>
      <c r="E361" s="80">
        <f>IF(E354,INDEX($J361:$N361,E355+1),0)</f>
        <v>0</v>
      </c>
      <c r="F361" s="23"/>
      <c r="G361" s="23"/>
      <c r="H361" s="614"/>
      <c r="I361" s="614"/>
      <c r="J361" s="123">
        <v>0</v>
      </c>
      <c r="K361" s="123"/>
      <c r="L361" s="123"/>
      <c r="M361" s="123"/>
      <c r="N361" s="123"/>
    </row>
    <row r="362" spans="1:14">
      <c r="A362" s="6"/>
      <c r="B362" s="23"/>
      <c r="C362" s="149"/>
      <c r="D362" s="79" t="str">
        <f>IFERROR(IF(OR(ISTEXT(C362),C362=""),"",VLOOKUP(C362,param!A$4:B$138,2,FALSE)),"Param Not Recognised")</f>
        <v/>
      </c>
      <c r="E362" s="80">
        <f>IF(E354,INDEX($J362:$N362,E355+1),0)</f>
        <v>0</v>
      </c>
      <c r="F362" s="23"/>
      <c r="G362" s="23"/>
      <c r="H362" s="614"/>
      <c r="I362" s="614"/>
      <c r="J362" s="123">
        <v>0</v>
      </c>
      <c r="K362" s="123"/>
      <c r="L362" s="123"/>
      <c r="M362" s="123"/>
      <c r="N362" s="123"/>
    </row>
    <row r="363" spans="1:14">
      <c r="A363" s="6"/>
      <c r="B363" s="23"/>
      <c r="C363" s="149"/>
      <c r="D363" s="79" t="str">
        <f>IFERROR(IF(OR(ISTEXT(C363),C363=""),"",VLOOKUP(C363,param!A$4:B$138,2,FALSE)),"Param Not Recognised")</f>
        <v/>
      </c>
      <c r="E363" s="80">
        <f>IF(E354,INDEX($J363:$N363,E355+1),0)</f>
        <v>0</v>
      </c>
      <c r="F363" s="23"/>
      <c r="G363" s="23"/>
      <c r="H363" s="614"/>
      <c r="I363" s="614"/>
      <c r="J363" s="123">
        <v>0</v>
      </c>
      <c r="K363" s="123"/>
      <c r="L363" s="123"/>
      <c r="M363" s="123"/>
      <c r="N363" s="123"/>
    </row>
    <row r="364" spans="1:14">
      <c r="A364" s="6"/>
      <c r="B364" s="23"/>
      <c r="C364" s="149"/>
      <c r="D364" s="79" t="str">
        <f>IFERROR(IF(OR(ISTEXT(C364),C364=""),"",VLOOKUP(C364,param!A$4:B$138,2,FALSE)),"Param Not Recognised")</f>
        <v/>
      </c>
      <c r="E364" s="80">
        <f>IF(E354,INDEX($J364:$N364,E355+1),0)</f>
        <v>0</v>
      </c>
      <c r="F364" s="23"/>
      <c r="G364" s="23"/>
      <c r="H364" s="614"/>
      <c r="I364" s="614"/>
      <c r="J364" s="123">
        <v>0</v>
      </c>
      <c r="K364" s="123"/>
      <c r="L364" s="123"/>
      <c r="M364" s="123"/>
      <c r="N364" s="123"/>
    </row>
    <row r="365" spans="1:14">
      <c r="A365" s="6"/>
      <c r="B365" s="23"/>
      <c r="C365" s="149"/>
      <c r="D365" s="79" t="str">
        <f>IFERROR(IF(OR(ISTEXT(C365),C365=""),"",VLOOKUP(C365,param!A$4:B$138,2,FALSE)),"Param Not Recognised")</f>
        <v/>
      </c>
      <c r="E365" s="80">
        <f>IF(E354,INDEX($J365:$N365,E355+1),0)</f>
        <v>0</v>
      </c>
      <c r="F365" s="23"/>
      <c r="G365" s="23"/>
      <c r="H365" s="614"/>
      <c r="I365" s="614"/>
      <c r="J365" s="123">
        <v>0</v>
      </c>
      <c r="K365" s="123"/>
      <c r="L365" s="123"/>
      <c r="M365" s="123"/>
      <c r="N365" s="123"/>
    </row>
    <row r="366" spans="1:14">
      <c r="A366" s="18"/>
    </row>
    <row r="367" spans="1:14">
      <c r="A367" s="90">
        <v>28</v>
      </c>
      <c r="B367" s="29">
        <f>INDEX(SI_Name,A367+1)</f>
        <v>0</v>
      </c>
      <c r="C367" s="22" t="s">
        <v>200</v>
      </c>
      <c r="D367" s="22"/>
      <c r="E367" s="150" t="b">
        <f>VLOOKUP($A367,calcTableSIsLaunched,adj_IndexTeam+1,FALSE)</f>
        <v>0</v>
      </c>
      <c r="F367" s="10">
        <f>SUMIF(C369:C378,adj_FTECode,K369:K378)</f>
        <v>0</v>
      </c>
      <c r="G367" s="10">
        <f>SUMIF(C369:C378,adj_CostCode,K369:K378)</f>
        <v>0</v>
      </c>
      <c r="H367" s="10"/>
      <c r="I367" s="10"/>
      <c r="J367" s="22"/>
      <c r="K367" s="22"/>
      <c r="L367" s="22"/>
      <c r="M367" s="22"/>
      <c r="N367" s="22"/>
    </row>
    <row r="368" spans="1:14">
      <c r="A368" s="6"/>
      <c r="B368" s="23"/>
      <c r="C368" s="23" t="s">
        <v>201</v>
      </c>
      <c r="D368" s="23"/>
      <c r="E368" s="150">
        <f>VLOOKUP($A367,calcTableSIsRoundsIntoLaunch,adj_IndexTeam+1,FALSE)</f>
        <v>0</v>
      </c>
      <c r="F368" s="23"/>
      <c r="G368" s="23"/>
      <c r="H368" s="614"/>
      <c r="I368" s="614"/>
      <c r="J368" s="23"/>
      <c r="K368" s="23"/>
      <c r="L368" s="23"/>
      <c r="M368" s="23"/>
      <c r="N368" s="23"/>
    </row>
    <row r="369" spans="1:14">
      <c r="A369" s="6"/>
      <c r="B369" s="23"/>
      <c r="C369" s="149">
        <v>1002</v>
      </c>
      <c r="D369" s="79" t="str">
        <f>IFERROR(IF(OR(ISTEXT(C369),C369=""),"",VLOOKUP(C369,param!A$4:B$138,2,FALSE)),"Param Not Recognised")</f>
        <v>Param Not Recognised</v>
      </c>
      <c r="E369" s="80">
        <f>IF(E367,INDEX($J369:$N369,E368+1),0)</f>
        <v>0</v>
      </c>
      <c r="F369" s="23"/>
      <c r="G369" s="23"/>
      <c r="H369" s="614"/>
      <c r="I369" s="614"/>
      <c r="J369" s="123">
        <v>0</v>
      </c>
      <c r="K369" s="123"/>
      <c r="L369" s="123"/>
      <c r="M369" s="123"/>
      <c r="N369" s="123"/>
    </row>
    <row r="370" spans="1:14">
      <c r="A370" s="6"/>
      <c r="B370" s="23"/>
      <c r="C370" s="149"/>
      <c r="D370" s="79" t="str">
        <f>IFERROR(IF(OR(ISTEXT(C370),C370=""),"",VLOOKUP(C370,param!A$4:B$138,2,FALSE)),"Param Not Recognised")</f>
        <v/>
      </c>
      <c r="E370" s="80">
        <f>IF(E367,INDEX($J370:$N370,E368+1),0)</f>
        <v>0</v>
      </c>
      <c r="F370" s="23"/>
      <c r="G370" s="23"/>
      <c r="H370" s="614"/>
      <c r="I370" s="614"/>
      <c r="J370" s="123">
        <v>0</v>
      </c>
      <c r="K370" s="123"/>
      <c r="L370" s="123"/>
      <c r="M370" s="123"/>
      <c r="N370" s="123"/>
    </row>
    <row r="371" spans="1:14">
      <c r="A371" s="6"/>
      <c r="B371" s="23"/>
      <c r="C371" s="149"/>
      <c r="D371" s="79" t="str">
        <f>IFERROR(IF(OR(ISTEXT(C371),C371=""),"",VLOOKUP(C371,param!A$4:B$138,2,FALSE)),"Param Not Recognised")</f>
        <v/>
      </c>
      <c r="E371" s="80">
        <f>IF(E367,INDEX($J371:$N371,E368+1),0)</f>
        <v>0</v>
      </c>
      <c r="F371" s="23"/>
      <c r="G371" s="23"/>
      <c r="H371" s="614"/>
      <c r="I371" s="614"/>
      <c r="J371" s="123">
        <v>0</v>
      </c>
      <c r="K371" s="123"/>
      <c r="L371" s="123"/>
      <c r="M371" s="123"/>
      <c r="N371" s="123"/>
    </row>
    <row r="372" spans="1:14">
      <c r="A372" s="6"/>
      <c r="B372" s="23"/>
      <c r="C372" s="149"/>
      <c r="D372" s="79" t="str">
        <f>IFERROR(IF(OR(ISTEXT(C372),C372=""),"",VLOOKUP(C372,param!A$4:B$138,2,FALSE)),"Param Not Recognised")</f>
        <v/>
      </c>
      <c r="E372" s="80">
        <f>IF(E367,INDEX($J372:$N372,E368+1),0)</f>
        <v>0</v>
      </c>
      <c r="F372" s="23"/>
      <c r="G372" s="23"/>
      <c r="H372" s="614"/>
      <c r="I372" s="614"/>
      <c r="J372" s="123">
        <v>0</v>
      </c>
      <c r="K372" s="123"/>
      <c r="L372" s="123"/>
      <c r="M372" s="123"/>
      <c r="N372" s="123"/>
    </row>
    <row r="373" spans="1:14">
      <c r="A373" s="6"/>
      <c r="B373" s="23"/>
      <c r="C373" s="149"/>
      <c r="D373" s="79" t="str">
        <f>IFERROR(IF(OR(ISTEXT(C373),C373=""),"",VLOOKUP(C373,param!A$4:B$138,2,FALSE)),"Param Not Recognised")</f>
        <v/>
      </c>
      <c r="E373" s="80">
        <f>IF(E367,INDEX($J373:$N373,E368+1),0)</f>
        <v>0</v>
      </c>
      <c r="F373" s="23"/>
      <c r="G373" s="23"/>
      <c r="H373" s="614"/>
      <c r="I373" s="614"/>
      <c r="J373" s="123">
        <v>0</v>
      </c>
      <c r="K373" s="123"/>
      <c r="L373" s="123"/>
      <c r="M373" s="123"/>
      <c r="N373" s="123"/>
    </row>
    <row r="374" spans="1:14">
      <c r="A374" s="6"/>
      <c r="B374" s="23"/>
      <c r="C374" s="149"/>
      <c r="D374" s="79" t="str">
        <f>IFERROR(IF(OR(ISTEXT(C374),C374=""),"",VLOOKUP(C374,param!A$4:B$138,2,FALSE)),"Param Not Recognised")</f>
        <v/>
      </c>
      <c r="E374" s="80">
        <f>IF(E367,INDEX($J374:$N374,E368+1),0)</f>
        <v>0</v>
      </c>
      <c r="F374" s="23"/>
      <c r="G374" s="23"/>
      <c r="H374" s="614"/>
      <c r="I374" s="614"/>
      <c r="J374" s="123">
        <v>0</v>
      </c>
      <c r="K374" s="123"/>
      <c r="L374" s="123"/>
      <c r="M374" s="123"/>
      <c r="N374" s="123"/>
    </row>
    <row r="375" spans="1:14">
      <c r="A375" s="6"/>
      <c r="B375" s="23"/>
      <c r="C375" s="149"/>
      <c r="D375" s="79" t="str">
        <f>IFERROR(IF(OR(ISTEXT(C375),C375=""),"",VLOOKUP(C375,param!A$4:B$138,2,FALSE)),"Param Not Recognised")</f>
        <v/>
      </c>
      <c r="E375" s="80">
        <f>IF(E367,INDEX($J375:$N375,E368+1),0)</f>
        <v>0</v>
      </c>
      <c r="F375" s="23"/>
      <c r="G375" s="23"/>
      <c r="H375" s="614"/>
      <c r="I375" s="614"/>
      <c r="J375" s="123">
        <v>0</v>
      </c>
      <c r="K375" s="123"/>
      <c r="L375" s="123"/>
      <c r="M375" s="123"/>
      <c r="N375" s="123"/>
    </row>
    <row r="376" spans="1:14">
      <c r="A376" s="6"/>
      <c r="B376" s="23"/>
      <c r="C376" s="149"/>
      <c r="D376" s="79" t="str">
        <f>IFERROR(IF(OR(ISTEXT(C376),C376=""),"",VLOOKUP(C376,param!A$4:B$138,2,FALSE)),"Param Not Recognised")</f>
        <v/>
      </c>
      <c r="E376" s="80">
        <f>IF(E367,INDEX($J376:$N376,E368+1),0)</f>
        <v>0</v>
      </c>
      <c r="F376" s="23"/>
      <c r="G376" s="23"/>
      <c r="H376" s="614"/>
      <c r="I376" s="614"/>
      <c r="J376" s="123">
        <v>0</v>
      </c>
      <c r="K376" s="123"/>
      <c r="L376" s="123"/>
      <c r="M376" s="123"/>
      <c r="N376" s="123"/>
    </row>
    <row r="377" spans="1:14">
      <c r="A377" s="6"/>
      <c r="B377" s="23"/>
      <c r="C377" s="149"/>
      <c r="D377" s="79" t="str">
        <f>IFERROR(IF(OR(ISTEXT(C377),C377=""),"",VLOOKUP(C377,param!A$4:B$138,2,FALSE)),"Param Not Recognised")</f>
        <v/>
      </c>
      <c r="E377" s="80">
        <f>IF(E367,INDEX($J377:$N377,E368+1),0)</f>
        <v>0</v>
      </c>
      <c r="F377" s="23"/>
      <c r="G377" s="23"/>
      <c r="H377" s="614"/>
      <c r="I377" s="614"/>
      <c r="J377" s="123">
        <v>0</v>
      </c>
      <c r="K377" s="123"/>
      <c r="L377" s="123"/>
      <c r="M377" s="123"/>
      <c r="N377" s="123"/>
    </row>
    <row r="378" spans="1:14">
      <c r="A378" s="6"/>
      <c r="B378" s="23"/>
      <c r="C378" s="149"/>
      <c r="D378" s="79" t="str">
        <f>IFERROR(IF(OR(ISTEXT(C378),C378=""),"",VLOOKUP(C378,param!A$4:B$138,2,FALSE)),"Param Not Recognised")</f>
        <v/>
      </c>
      <c r="E378" s="80">
        <f>IF(E367,INDEX($J378:$N378,E368+1),0)</f>
        <v>0</v>
      </c>
      <c r="F378" s="23"/>
      <c r="G378" s="23"/>
      <c r="H378" s="614"/>
      <c r="I378" s="614"/>
      <c r="J378" s="123">
        <v>0</v>
      </c>
      <c r="K378" s="123"/>
      <c r="L378" s="123"/>
      <c r="M378" s="123"/>
      <c r="N378" s="123"/>
    </row>
    <row r="379" spans="1:14">
      <c r="A379" s="18"/>
    </row>
    <row r="380" spans="1:14">
      <c r="A380" s="90">
        <v>29</v>
      </c>
      <c r="B380" s="29">
        <f>INDEX(SI_Name,A380+1)</f>
        <v>0</v>
      </c>
      <c r="C380" s="22" t="s">
        <v>200</v>
      </c>
      <c r="D380" s="22"/>
      <c r="E380" s="150" t="b">
        <f>VLOOKUP($A380,calcTableSIsLaunched,adj_IndexTeam+1,FALSE)</f>
        <v>0</v>
      </c>
      <c r="F380" s="10">
        <f>SUMIF(C382:C391,adj_FTECode,K382:K391)</f>
        <v>0</v>
      </c>
      <c r="G380" s="10">
        <f>SUMIF(C382:C391,adj_CostCode,K382:K391)</f>
        <v>0</v>
      </c>
      <c r="H380" s="10"/>
      <c r="I380" s="10"/>
      <c r="J380" s="22"/>
      <c r="K380" s="22"/>
      <c r="L380" s="22"/>
      <c r="M380" s="22"/>
      <c r="N380" s="22"/>
    </row>
    <row r="381" spans="1:14">
      <c r="A381" s="6"/>
      <c r="B381" s="23"/>
      <c r="C381" s="23" t="s">
        <v>201</v>
      </c>
      <c r="D381" s="23"/>
      <c r="E381" s="150">
        <f>VLOOKUP($A380,calcTableSIsRoundsIntoLaunch,adj_IndexTeam+1,FALSE)</f>
        <v>0</v>
      </c>
      <c r="F381" s="23"/>
      <c r="G381" s="23"/>
      <c r="H381" s="614"/>
      <c r="I381" s="614"/>
      <c r="J381" s="23"/>
      <c r="K381" s="23"/>
      <c r="L381" s="23"/>
      <c r="M381" s="23"/>
      <c r="N381" s="23"/>
    </row>
    <row r="382" spans="1:14">
      <c r="A382" s="6"/>
      <c r="B382" s="23"/>
      <c r="C382" s="149">
        <v>1002</v>
      </c>
      <c r="D382" s="79" t="str">
        <f>IFERROR(IF(OR(ISTEXT(C382),C382=""),"",VLOOKUP(C382,param!A$4:B$138,2,FALSE)),"Param Not Recognised")</f>
        <v>Param Not Recognised</v>
      </c>
      <c r="E382" s="80">
        <f>IF(E380,INDEX($J382:$N382,E381+1),0)</f>
        <v>0</v>
      </c>
      <c r="F382" s="23"/>
      <c r="G382" s="23"/>
      <c r="H382" s="614"/>
      <c r="I382" s="614"/>
      <c r="J382" s="123">
        <v>0</v>
      </c>
      <c r="K382" s="123"/>
      <c r="L382" s="123"/>
      <c r="M382" s="123"/>
      <c r="N382" s="123"/>
    </row>
    <row r="383" spans="1:14">
      <c r="A383" s="6"/>
      <c r="B383" s="23"/>
      <c r="C383" s="149"/>
      <c r="D383" s="79" t="str">
        <f>IFERROR(IF(OR(ISTEXT(C383),C383=""),"",VLOOKUP(C383,param!A$4:B$138,2,FALSE)),"Param Not Recognised")</f>
        <v/>
      </c>
      <c r="E383" s="80">
        <f>IF(E380,INDEX($J383:$N383,E381+1),0)</f>
        <v>0</v>
      </c>
      <c r="F383" s="23"/>
      <c r="G383" s="23"/>
      <c r="H383" s="614"/>
      <c r="I383" s="614"/>
      <c r="J383" s="123">
        <v>0</v>
      </c>
      <c r="K383" s="123"/>
      <c r="L383" s="123"/>
      <c r="M383" s="123"/>
      <c r="N383" s="123"/>
    </row>
    <row r="384" spans="1:14">
      <c r="A384" s="6"/>
      <c r="B384" s="23"/>
      <c r="C384" s="149"/>
      <c r="D384" s="79" t="str">
        <f>IFERROR(IF(OR(ISTEXT(C384),C384=""),"",VLOOKUP(C384,param!A$4:B$138,2,FALSE)),"Param Not Recognised")</f>
        <v/>
      </c>
      <c r="E384" s="80">
        <f>IF(E380,INDEX($J384:$N384,E381+1),0)</f>
        <v>0</v>
      </c>
      <c r="F384" s="23"/>
      <c r="G384" s="23"/>
      <c r="H384" s="614"/>
      <c r="I384" s="614"/>
      <c r="J384" s="123">
        <v>0</v>
      </c>
      <c r="K384" s="123"/>
      <c r="L384" s="123"/>
      <c r="M384" s="123"/>
      <c r="N384" s="123"/>
    </row>
    <row r="385" spans="1:14">
      <c r="A385" s="6"/>
      <c r="B385" s="23"/>
      <c r="C385" s="149"/>
      <c r="D385" s="79" t="str">
        <f>IFERROR(IF(OR(ISTEXT(C385),C385=""),"",VLOOKUP(C385,param!A$4:B$138,2,FALSE)),"Param Not Recognised")</f>
        <v/>
      </c>
      <c r="E385" s="80">
        <f>IF(E380,INDEX($J385:$N385,E381+1),0)</f>
        <v>0</v>
      </c>
      <c r="F385" s="23"/>
      <c r="G385" s="23"/>
      <c r="H385" s="614"/>
      <c r="I385" s="614"/>
      <c r="J385" s="123">
        <v>0</v>
      </c>
      <c r="K385" s="123"/>
      <c r="L385" s="123"/>
      <c r="M385" s="123"/>
      <c r="N385" s="123"/>
    </row>
    <row r="386" spans="1:14">
      <c r="A386" s="6"/>
      <c r="B386" s="23"/>
      <c r="C386" s="149"/>
      <c r="D386" s="79" t="str">
        <f>IFERROR(IF(OR(ISTEXT(C386),C386=""),"",VLOOKUP(C386,param!A$4:B$138,2,FALSE)),"Param Not Recognised")</f>
        <v/>
      </c>
      <c r="E386" s="80">
        <f>IF(E380,INDEX($J386:$N386,E381+1),0)</f>
        <v>0</v>
      </c>
      <c r="F386" s="23"/>
      <c r="G386" s="23"/>
      <c r="H386" s="614"/>
      <c r="I386" s="614"/>
      <c r="J386" s="123">
        <v>0</v>
      </c>
      <c r="K386" s="123"/>
      <c r="L386" s="123"/>
      <c r="M386" s="123"/>
      <c r="N386" s="123"/>
    </row>
    <row r="387" spans="1:14">
      <c r="A387" s="6"/>
      <c r="B387" s="23"/>
      <c r="C387" s="149"/>
      <c r="D387" s="79" t="str">
        <f>IFERROR(IF(OR(ISTEXT(C387),C387=""),"",VLOOKUP(C387,param!A$4:B$138,2,FALSE)),"Param Not Recognised")</f>
        <v/>
      </c>
      <c r="E387" s="80">
        <f>IF(E380,INDEX($J387:$N387,E381+1),0)</f>
        <v>0</v>
      </c>
      <c r="F387" s="23"/>
      <c r="G387" s="23"/>
      <c r="H387" s="614"/>
      <c r="I387" s="614"/>
      <c r="J387" s="123">
        <v>0</v>
      </c>
      <c r="K387" s="123"/>
      <c r="L387" s="123"/>
      <c r="M387" s="123"/>
      <c r="N387" s="123"/>
    </row>
    <row r="388" spans="1:14">
      <c r="A388" s="6"/>
      <c r="B388" s="23"/>
      <c r="C388" s="149"/>
      <c r="D388" s="79" t="str">
        <f>IFERROR(IF(OR(ISTEXT(C388),C388=""),"",VLOOKUP(C388,param!A$4:B$138,2,FALSE)),"Param Not Recognised")</f>
        <v/>
      </c>
      <c r="E388" s="80">
        <f>IF(E380,INDEX($J388:$N388,E381+1),0)</f>
        <v>0</v>
      </c>
      <c r="F388" s="23"/>
      <c r="G388" s="23"/>
      <c r="H388" s="614"/>
      <c r="I388" s="614"/>
      <c r="J388" s="123">
        <v>0</v>
      </c>
      <c r="K388" s="123"/>
      <c r="L388" s="123"/>
      <c r="M388" s="123"/>
      <c r="N388" s="123"/>
    </row>
    <row r="389" spans="1:14">
      <c r="A389" s="6"/>
      <c r="B389" s="23"/>
      <c r="C389" s="149"/>
      <c r="D389" s="79" t="str">
        <f>IFERROR(IF(OR(ISTEXT(C389),C389=""),"",VLOOKUP(C389,param!A$4:B$138,2,FALSE)),"Param Not Recognised")</f>
        <v/>
      </c>
      <c r="E389" s="80">
        <f>IF(E380,INDEX($J389:$N389,E381+1),0)</f>
        <v>0</v>
      </c>
      <c r="F389" s="23"/>
      <c r="G389" s="23"/>
      <c r="H389" s="614"/>
      <c r="I389" s="614"/>
      <c r="J389" s="123">
        <v>0</v>
      </c>
      <c r="K389" s="123"/>
      <c r="L389" s="123"/>
      <c r="M389" s="123"/>
      <c r="N389" s="123"/>
    </row>
    <row r="390" spans="1:14">
      <c r="A390" s="6"/>
      <c r="B390" s="23"/>
      <c r="C390" s="149"/>
      <c r="D390" s="79" t="str">
        <f>IFERROR(IF(OR(ISTEXT(C390),C390=""),"",VLOOKUP(C390,param!A$4:B$138,2,FALSE)),"Param Not Recognised")</f>
        <v/>
      </c>
      <c r="E390" s="80">
        <f>IF(E380,INDEX($J390:$N390,E381+1),0)</f>
        <v>0</v>
      </c>
      <c r="F390" s="23"/>
      <c r="G390" s="23"/>
      <c r="H390" s="614"/>
      <c r="I390" s="614"/>
      <c r="J390" s="123">
        <v>0</v>
      </c>
      <c r="K390" s="123"/>
      <c r="L390" s="123"/>
      <c r="M390" s="123"/>
      <c r="N390" s="123"/>
    </row>
    <row r="391" spans="1:14">
      <c r="A391" s="6"/>
      <c r="B391" s="23"/>
      <c r="C391" s="149"/>
      <c r="D391" s="79" t="str">
        <f>IFERROR(IF(OR(ISTEXT(C391),C391=""),"",VLOOKUP(C391,param!A$4:B$138,2,FALSE)),"Param Not Recognised")</f>
        <v/>
      </c>
      <c r="E391" s="80">
        <f>IF(E380,INDEX($J391:$N391,E381+1),0)</f>
        <v>0</v>
      </c>
      <c r="F391" s="23"/>
      <c r="G391" s="23"/>
      <c r="H391" s="614"/>
      <c r="I391" s="614"/>
      <c r="J391" s="123">
        <v>0</v>
      </c>
      <c r="K391" s="123"/>
      <c r="L391" s="123"/>
      <c r="M391" s="123"/>
      <c r="N391" s="123"/>
    </row>
    <row r="392" spans="1:14">
      <c r="A392" s="18"/>
    </row>
    <row r="393" spans="1:14">
      <c r="A393" s="90">
        <v>30</v>
      </c>
      <c r="B393" s="29">
        <f>INDEX(SI_Name,A393+1)</f>
        <v>0</v>
      </c>
      <c r="C393" s="22" t="s">
        <v>200</v>
      </c>
      <c r="D393" s="22"/>
      <c r="E393" s="150" t="b">
        <f>VLOOKUP($A393,calcTableSIsLaunched,adj_IndexTeam+1,FALSE)</f>
        <v>0</v>
      </c>
      <c r="F393" s="10">
        <f>SUMIF(C395:C404,adj_FTECode,K395:K404)</f>
        <v>0</v>
      </c>
      <c r="G393" s="10">
        <f>SUMIF(C395:C404,adj_CostCode,K395:K404)</f>
        <v>0</v>
      </c>
      <c r="H393" s="10"/>
      <c r="I393" s="10"/>
      <c r="J393" s="22"/>
      <c r="K393" s="22"/>
      <c r="L393" s="22"/>
      <c r="M393" s="22"/>
      <c r="N393" s="22"/>
    </row>
    <row r="394" spans="1:14">
      <c r="A394" s="6"/>
      <c r="B394" s="23"/>
      <c r="C394" s="23" t="s">
        <v>201</v>
      </c>
      <c r="D394" s="23"/>
      <c r="E394" s="150">
        <f>VLOOKUP($A393,calcTableSIsRoundsIntoLaunch,adj_IndexTeam+1,FALSE)</f>
        <v>0</v>
      </c>
      <c r="F394" s="23"/>
      <c r="G394" s="23"/>
      <c r="H394" s="614"/>
      <c r="I394" s="614"/>
      <c r="J394" s="23"/>
      <c r="K394" s="23"/>
      <c r="L394" s="23"/>
      <c r="M394" s="23"/>
      <c r="N394" s="23"/>
    </row>
    <row r="395" spans="1:14">
      <c r="A395" s="6"/>
      <c r="B395" s="23"/>
      <c r="C395" s="149">
        <v>1002</v>
      </c>
      <c r="D395" s="79" t="str">
        <f>IFERROR(IF(OR(ISTEXT(C395),C395=""),"",VLOOKUP(C395,param!A$4:B$138,2,FALSE)),"Param Not Recognised")</f>
        <v>Param Not Recognised</v>
      </c>
      <c r="E395" s="80">
        <f>IF(E393,INDEX($J395:$N395,E394+1),0)</f>
        <v>0</v>
      </c>
      <c r="F395" s="23"/>
      <c r="G395" s="23"/>
      <c r="H395" s="614"/>
      <c r="I395" s="614"/>
      <c r="J395" s="123">
        <v>0</v>
      </c>
      <c r="K395" s="123"/>
      <c r="L395" s="123"/>
      <c r="M395" s="123"/>
      <c r="N395" s="123"/>
    </row>
    <row r="396" spans="1:14">
      <c r="A396" s="6"/>
      <c r="B396" s="23"/>
      <c r="C396" s="149"/>
      <c r="D396" s="79" t="str">
        <f>IFERROR(IF(OR(ISTEXT(C396),C396=""),"",VLOOKUP(C396,param!A$4:B$138,2,FALSE)),"Param Not Recognised")</f>
        <v/>
      </c>
      <c r="E396" s="80">
        <f>IF(E393,INDEX($J396:$N396,E394+1),0)</f>
        <v>0</v>
      </c>
      <c r="F396" s="23"/>
      <c r="G396" s="23"/>
      <c r="H396" s="614"/>
      <c r="I396" s="614"/>
      <c r="J396" s="123">
        <v>0</v>
      </c>
      <c r="K396" s="123"/>
      <c r="L396" s="123"/>
      <c r="M396" s="123"/>
      <c r="N396" s="123"/>
    </row>
    <row r="397" spans="1:14">
      <c r="A397" s="6"/>
      <c r="B397" s="23"/>
      <c r="C397" s="149"/>
      <c r="D397" s="79" t="str">
        <f>IFERROR(IF(OR(ISTEXT(C397),C397=""),"",VLOOKUP(C397,param!A$4:B$138,2,FALSE)),"Param Not Recognised")</f>
        <v/>
      </c>
      <c r="E397" s="80">
        <f>IF(E393,INDEX($J397:$N397,E394+1),0)</f>
        <v>0</v>
      </c>
      <c r="F397" s="23"/>
      <c r="G397" s="23"/>
      <c r="H397" s="614"/>
      <c r="I397" s="614"/>
      <c r="J397" s="123">
        <v>0</v>
      </c>
      <c r="K397" s="123"/>
      <c r="L397" s="123"/>
      <c r="M397" s="123"/>
      <c r="N397" s="123"/>
    </row>
    <row r="398" spans="1:14">
      <c r="A398" s="6"/>
      <c r="B398" s="23"/>
      <c r="C398" s="149"/>
      <c r="D398" s="79" t="str">
        <f>IFERROR(IF(OR(ISTEXT(C398),C398=""),"",VLOOKUP(C398,param!A$4:B$138,2,FALSE)),"Param Not Recognised")</f>
        <v/>
      </c>
      <c r="E398" s="80">
        <f>IF(E393,INDEX($J398:$N398,E394+1),0)</f>
        <v>0</v>
      </c>
      <c r="F398" s="23"/>
      <c r="G398" s="23"/>
      <c r="H398" s="614"/>
      <c r="I398" s="614"/>
      <c r="J398" s="123">
        <v>0</v>
      </c>
      <c r="K398" s="123"/>
      <c r="L398" s="123"/>
      <c r="M398" s="123"/>
      <c r="N398" s="123"/>
    </row>
    <row r="399" spans="1:14">
      <c r="A399" s="6"/>
      <c r="B399" s="23"/>
      <c r="C399" s="149"/>
      <c r="D399" s="79" t="str">
        <f>IFERROR(IF(OR(ISTEXT(C399),C399=""),"",VLOOKUP(C399,param!A$4:B$138,2,FALSE)),"Param Not Recognised")</f>
        <v/>
      </c>
      <c r="E399" s="80">
        <f>IF(E393,INDEX($J399:$N399,E394+1),0)</f>
        <v>0</v>
      </c>
      <c r="F399" s="23"/>
      <c r="G399" s="23"/>
      <c r="H399" s="614"/>
      <c r="I399" s="614"/>
      <c r="J399" s="123">
        <v>0</v>
      </c>
      <c r="K399" s="123"/>
      <c r="L399" s="123"/>
      <c r="M399" s="123"/>
      <c r="N399" s="123"/>
    </row>
    <row r="400" spans="1:14">
      <c r="A400" s="6"/>
      <c r="B400" s="23"/>
      <c r="C400" s="149"/>
      <c r="D400" s="79" t="str">
        <f>IFERROR(IF(OR(ISTEXT(C400),C400=""),"",VLOOKUP(C400,param!A$4:B$138,2,FALSE)),"Param Not Recognised")</f>
        <v/>
      </c>
      <c r="E400" s="80">
        <f>IF(E393,INDEX($J400:$N400,E394+1),0)</f>
        <v>0</v>
      </c>
      <c r="F400" s="23"/>
      <c r="G400" s="23"/>
      <c r="H400" s="614"/>
      <c r="I400" s="614"/>
      <c r="J400" s="123">
        <v>0</v>
      </c>
      <c r="K400" s="123"/>
      <c r="L400" s="123"/>
      <c r="M400" s="123"/>
      <c r="N400" s="123"/>
    </row>
    <row r="401" spans="1:14">
      <c r="A401" s="6"/>
      <c r="B401" s="23"/>
      <c r="C401" s="149"/>
      <c r="D401" s="79" t="str">
        <f>IFERROR(IF(OR(ISTEXT(C401),C401=""),"",VLOOKUP(C401,param!A$4:B$138,2,FALSE)),"Param Not Recognised")</f>
        <v/>
      </c>
      <c r="E401" s="80">
        <f>IF(E393,INDEX($J401:$N401,E394+1),0)</f>
        <v>0</v>
      </c>
      <c r="F401" s="23"/>
      <c r="G401" s="23"/>
      <c r="H401" s="614"/>
      <c r="I401" s="614"/>
      <c r="J401" s="123">
        <v>0</v>
      </c>
      <c r="K401" s="123"/>
      <c r="L401" s="123"/>
      <c r="M401" s="123"/>
      <c r="N401" s="123"/>
    </row>
    <row r="402" spans="1:14">
      <c r="A402" s="6"/>
      <c r="B402" s="23"/>
      <c r="C402" s="149"/>
      <c r="D402" s="79" t="str">
        <f>IFERROR(IF(OR(ISTEXT(C402),C402=""),"",VLOOKUP(C402,param!A$4:B$138,2,FALSE)),"Param Not Recognised")</f>
        <v/>
      </c>
      <c r="E402" s="80">
        <f>IF(E393,INDEX($J402:$N402,E394+1),0)</f>
        <v>0</v>
      </c>
      <c r="F402" s="23"/>
      <c r="G402" s="23"/>
      <c r="H402" s="614"/>
      <c r="I402" s="614"/>
      <c r="J402" s="123">
        <v>0</v>
      </c>
      <c r="K402" s="123"/>
      <c r="L402" s="123"/>
      <c r="M402" s="123"/>
      <c r="N402" s="123"/>
    </row>
    <row r="403" spans="1:14">
      <c r="A403" s="6"/>
      <c r="B403" s="23"/>
      <c r="C403" s="149"/>
      <c r="D403" s="79" t="str">
        <f>IFERROR(IF(OR(ISTEXT(C403),C403=""),"",VLOOKUP(C403,param!A$4:B$138,2,FALSE)),"Param Not Recognised")</f>
        <v/>
      </c>
      <c r="E403" s="80">
        <f>IF(E393,INDEX($J403:$N403,E394+1),0)</f>
        <v>0</v>
      </c>
      <c r="F403" s="23"/>
      <c r="G403" s="23"/>
      <c r="H403" s="614"/>
      <c r="I403" s="614"/>
      <c r="J403" s="123">
        <v>0</v>
      </c>
      <c r="K403" s="123"/>
      <c r="L403" s="123"/>
      <c r="M403" s="123"/>
      <c r="N403" s="123"/>
    </row>
    <row r="404" spans="1:14">
      <c r="A404" s="6"/>
      <c r="B404" s="23"/>
      <c r="C404" s="149"/>
      <c r="D404" s="79" t="str">
        <f>IFERROR(IF(OR(ISTEXT(C404),C404=""),"",VLOOKUP(C404,param!A$4:B$138,2,FALSE)),"Param Not Recognised")</f>
        <v/>
      </c>
      <c r="E404" s="80">
        <f>IF(E393,INDEX($J404:$N404,E394+1),0)</f>
        <v>0</v>
      </c>
      <c r="F404" s="23"/>
      <c r="G404" s="23"/>
      <c r="H404" s="614"/>
      <c r="I404" s="614"/>
      <c r="J404" s="123">
        <v>0</v>
      </c>
      <c r="K404" s="123"/>
      <c r="L404" s="123"/>
      <c r="M404" s="123"/>
      <c r="N404" s="123"/>
    </row>
    <row r="405" spans="1:14">
      <c r="A405" s="18"/>
    </row>
    <row r="406" spans="1:14">
      <c r="A406" s="90">
        <v>31</v>
      </c>
      <c r="B406" s="29">
        <f>INDEX(SI_Name,A406+1)</f>
        <v>0</v>
      </c>
      <c r="C406" s="22" t="s">
        <v>200</v>
      </c>
      <c r="D406" s="22"/>
      <c r="E406" s="150" t="b">
        <f>VLOOKUP($A406,calcTableSIsLaunched,adj_IndexTeam+1,FALSE)</f>
        <v>0</v>
      </c>
      <c r="F406" s="10">
        <f>SUMIF(C408:C417,adj_FTECode,K408:K417)</f>
        <v>0</v>
      </c>
      <c r="G406" s="10">
        <f>SUMIF(C408:C417,adj_CostCode,K408:K417)</f>
        <v>0</v>
      </c>
      <c r="H406" s="10"/>
      <c r="I406" s="10"/>
      <c r="J406" s="22"/>
      <c r="K406" s="22"/>
      <c r="L406" s="22"/>
      <c r="M406" s="22"/>
      <c r="N406" s="22"/>
    </row>
    <row r="407" spans="1:14">
      <c r="A407" s="6"/>
      <c r="B407" s="23"/>
      <c r="C407" s="23" t="s">
        <v>201</v>
      </c>
      <c r="D407" s="23"/>
      <c r="E407" s="150">
        <f>VLOOKUP($A406,calcTableSIsRoundsIntoLaunch,adj_IndexTeam+1,FALSE)</f>
        <v>0</v>
      </c>
      <c r="F407" s="23"/>
      <c r="G407" s="23"/>
      <c r="H407" s="614"/>
      <c r="I407" s="614"/>
      <c r="J407" s="23"/>
      <c r="K407" s="23"/>
      <c r="L407" s="23"/>
      <c r="M407" s="23"/>
      <c r="N407" s="23"/>
    </row>
    <row r="408" spans="1:14">
      <c r="A408" s="6"/>
      <c r="B408" s="23"/>
      <c r="C408" s="149">
        <v>1002</v>
      </c>
      <c r="D408" s="79" t="str">
        <f>IFERROR(IF(OR(ISTEXT(C408),C408=""),"",VLOOKUP(C408,param!A$4:B$138,2,FALSE)),"Param Not Recognised")</f>
        <v>Param Not Recognised</v>
      </c>
      <c r="E408" s="80">
        <f>IF(E406,INDEX($J408:$N408,E407+1),0)</f>
        <v>0</v>
      </c>
      <c r="F408" s="23"/>
      <c r="G408" s="23"/>
      <c r="H408" s="614"/>
      <c r="I408" s="614"/>
      <c r="J408" s="123">
        <v>0</v>
      </c>
      <c r="K408" s="123"/>
      <c r="L408" s="123"/>
      <c r="M408" s="123"/>
      <c r="N408" s="123"/>
    </row>
    <row r="409" spans="1:14">
      <c r="A409" s="6"/>
      <c r="B409" s="23"/>
      <c r="C409" s="149"/>
      <c r="D409" s="79" t="str">
        <f>IFERROR(IF(OR(ISTEXT(C409),C409=""),"",VLOOKUP(C409,param!A$4:B$138,2,FALSE)),"Param Not Recognised")</f>
        <v/>
      </c>
      <c r="E409" s="80">
        <f>IF(E406,INDEX($J409:$N409,E407+1),0)</f>
        <v>0</v>
      </c>
      <c r="F409" s="23"/>
      <c r="G409" s="23"/>
      <c r="H409" s="614"/>
      <c r="I409" s="614"/>
      <c r="J409" s="123">
        <v>0</v>
      </c>
      <c r="K409" s="123"/>
      <c r="L409" s="123"/>
      <c r="M409" s="123"/>
      <c r="N409" s="123"/>
    </row>
    <row r="410" spans="1:14">
      <c r="A410" s="6"/>
      <c r="B410" s="23"/>
      <c r="C410" s="149"/>
      <c r="D410" s="79" t="str">
        <f>IFERROR(IF(OR(ISTEXT(C410),C410=""),"",VLOOKUP(C410,param!A$4:B$138,2,FALSE)),"Param Not Recognised")</f>
        <v/>
      </c>
      <c r="E410" s="80">
        <f>IF(E406,INDEX($J410:$N410,E407+1),0)</f>
        <v>0</v>
      </c>
      <c r="F410" s="23"/>
      <c r="G410" s="23"/>
      <c r="H410" s="614"/>
      <c r="I410" s="614"/>
      <c r="J410" s="123">
        <v>0</v>
      </c>
      <c r="K410" s="123"/>
      <c r="L410" s="123"/>
      <c r="M410" s="123"/>
      <c r="N410" s="123"/>
    </row>
    <row r="411" spans="1:14">
      <c r="A411" s="6"/>
      <c r="B411" s="23"/>
      <c r="C411" s="149"/>
      <c r="D411" s="79" t="str">
        <f>IFERROR(IF(OR(ISTEXT(C411),C411=""),"",VLOOKUP(C411,param!A$4:B$138,2,FALSE)),"Param Not Recognised")</f>
        <v/>
      </c>
      <c r="E411" s="80">
        <f>IF(E406,INDEX($J411:$N411,E407+1),0)</f>
        <v>0</v>
      </c>
      <c r="F411" s="23"/>
      <c r="G411" s="23"/>
      <c r="H411" s="614"/>
      <c r="I411" s="614"/>
      <c r="J411" s="123">
        <v>0</v>
      </c>
      <c r="K411" s="123"/>
      <c r="L411" s="123"/>
      <c r="M411" s="123"/>
      <c r="N411" s="123"/>
    </row>
    <row r="412" spans="1:14">
      <c r="A412" s="6"/>
      <c r="B412" s="23"/>
      <c r="C412" s="149"/>
      <c r="D412" s="79" t="str">
        <f>IFERROR(IF(OR(ISTEXT(C412),C412=""),"",VLOOKUP(C412,param!A$4:B$138,2,FALSE)),"Param Not Recognised")</f>
        <v/>
      </c>
      <c r="E412" s="80">
        <f>IF(E406,INDEX($J412:$N412,E407+1),0)</f>
        <v>0</v>
      </c>
      <c r="F412" s="23"/>
      <c r="G412" s="23"/>
      <c r="H412" s="614"/>
      <c r="I412" s="614"/>
      <c r="J412" s="123">
        <v>0</v>
      </c>
      <c r="K412" s="123"/>
      <c r="L412" s="123"/>
      <c r="M412" s="123"/>
      <c r="N412" s="123"/>
    </row>
    <row r="413" spans="1:14">
      <c r="A413" s="6"/>
      <c r="B413" s="23"/>
      <c r="C413" s="149"/>
      <c r="D413" s="79" t="str">
        <f>IFERROR(IF(OR(ISTEXT(C413),C413=""),"",VLOOKUP(C413,param!A$4:B$138,2,FALSE)),"Param Not Recognised")</f>
        <v/>
      </c>
      <c r="E413" s="80">
        <f>IF(E406,INDEX($J413:$N413,E407+1),0)</f>
        <v>0</v>
      </c>
      <c r="F413" s="23"/>
      <c r="G413" s="23"/>
      <c r="H413" s="614"/>
      <c r="I413" s="614"/>
      <c r="J413" s="123">
        <v>0</v>
      </c>
      <c r="K413" s="123"/>
      <c r="L413" s="123"/>
      <c r="M413" s="123"/>
      <c r="N413" s="123"/>
    </row>
    <row r="414" spans="1:14">
      <c r="A414" s="6"/>
      <c r="B414" s="23"/>
      <c r="C414" s="149"/>
      <c r="D414" s="79" t="str">
        <f>IFERROR(IF(OR(ISTEXT(C414),C414=""),"",VLOOKUP(C414,param!A$4:B$138,2,FALSE)),"Param Not Recognised")</f>
        <v/>
      </c>
      <c r="E414" s="80">
        <f>IF(E406,INDEX($J414:$N414,E407+1),0)</f>
        <v>0</v>
      </c>
      <c r="F414" s="23"/>
      <c r="G414" s="23"/>
      <c r="H414" s="614"/>
      <c r="I414" s="614"/>
      <c r="J414" s="123">
        <v>0</v>
      </c>
      <c r="K414" s="123"/>
      <c r="L414" s="123"/>
      <c r="M414" s="123"/>
      <c r="N414" s="123"/>
    </row>
    <row r="415" spans="1:14">
      <c r="A415" s="6"/>
      <c r="B415" s="23"/>
      <c r="C415" s="149"/>
      <c r="D415" s="79" t="str">
        <f>IFERROR(IF(OR(ISTEXT(C415),C415=""),"",VLOOKUP(C415,param!A$4:B$138,2,FALSE)),"Param Not Recognised")</f>
        <v/>
      </c>
      <c r="E415" s="80">
        <f>IF(E406,INDEX($J415:$N415,E407+1),0)</f>
        <v>0</v>
      </c>
      <c r="F415" s="23"/>
      <c r="G415" s="23"/>
      <c r="H415" s="614"/>
      <c r="I415" s="614"/>
      <c r="J415" s="123">
        <v>0</v>
      </c>
      <c r="K415" s="123"/>
      <c r="L415" s="123"/>
      <c r="M415" s="123"/>
      <c r="N415" s="123"/>
    </row>
    <row r="416" spans="1:14">
      <c r="A416" s="6"/>
      <c r="B416" s="23"/>
      <c r="C416" s="149"/>
      <c r="D416" s="79" t="str">
        <f>IFERROR(IF(OR(ISTEXT(C416),C416=""),"",VLOOKUP(C416,param!A$4:B$138,2,FALSE)),"Param Not Recognised")</f>
        <v/>
      </c>
      <c r="E416" s="80">
        <f>IF(E406,INDEX($J416:$N416,E407+1),0)</f>
        <v>0</v>
      </c>
      <c r="F416" s="23"/>
      <c r="G416" s="23"/>
      <c r="H416" s="614"/>
      <c r="I416" s="614"/>
      <c r="J416" s="123">
        <v>0</v>
      </c>
      <c r="K416" s="123"/>
      <c r="L416" s="123"/>
      <c r="M416" s="123"/>
      <c r="N416" s="123"/>
    </row>
    <row r="417" spans="1:14">
      <c r="A417" s="6"/>
      <c r="B417" s="23"/>
      <c r="C417" s="149"/>
      <c r="D417" s="79" t="str">
        <f>IFERROR(IF(OR(ISTEXT(C417),C417=""),"",VLOOKUP(C417,param!A$4:B$138,2,FALSE)),"Param Not Recognised")</f>
        <v/>
      </c>
      <c r="E417" s="80">
        <f>IF(E406,INDEX($J417:$N417,E407+1),0)</f>
        <v>0</v>
      </c>
      <c r="F417" s="23"/>
      <c r="G417" s="23"/>
      <c r="H417" s="614"/>
      <c r="I417" s="614"/>
      <c r="J417" s="123">
        <v>0</v>
      </c>
      <c r="K417" s="123"/>
      <c r="L417" s="123"/>
      <c r="M417" s="123"/>
      <c r="N417" s="123"/>
    </row>
    <row r="418" spans="1:14">
      <c r="A418" s="18"/>
    </row>
    <row r="419" spans="1:14">
      <c r="A419" s="90">
        <v>32</v>
      </c>
      <c r="B419" s="29">
        <f>INDEX(SI_Name,A419+1)</f>
        <v>0</v>
      </c>
      <c r="C419" s="22" t="s">
        <v>200</v>
      </c>
      <c r="D419" s="22"/>
      <c r="E419" s="150" t="b">
        <f>VLOOKUP($A419,calcTableSIsLaunched,adj_IndexTeam+1,FALSE)</f>
        <v>0</v>
      </c>
      <c r="F419" s="10">
        <f>SUMIF(C421:C430,adj_FTECode,K421:K430)</f>
        <v>0</v>
      </c>
      <c r="G419" s="10">
        <f>SUMIF(C421:C430,adj_CostCode,K421:K430)</f>
        <v>0</v>
      </c>
      <c r="H419" s="10"/>
      <c r="I419" s="10"/>
      <c r="J419" s="22"/>
      <c r="K419" s="22"/>
      <c r="L419" s="22"/>
      <c r="M419" s="22"/>
      <c r="N419" s="22"/>
    </row>
    <row r="420" spans="1:14">
      <c r="A420" s="6"/>
      <c r="B420" s="23"/>
      <c r="C420" s="23" t="s">
        <v>201</v>
      </c>
      <c r="D420" s="23"/>
      <c r="E420" s="150">
        <f>VLOOKUP($A419,calcTableSIsRoundsIntoLaunch,adj_IndexTeam+1,FALSE)</f>
        <v>0</v>
      </c>
      <c r="F420" s="23"/>
      <c r="G420" s="23"/>
      <c r="H420" s="614"/>
      <c r="I420" s="614"/>
      <c r="J420" s="23"/>
      <c r="K420" s="23"/>
      <c r="L420" s="23"/>
      <c r="M420" s="23"/>
      <c r="N420" s="23"/>
    </row>
    <row r="421" spans="1:14">
      <c r="A421" s="6"/>
      <c r="B421" s="23"/>
      <c r="C421" s="149">
        <v>1002</v>
      </c>
      <c r="D421" s="79" t="str">
        <f>IFERROR(IF(OR(ISTEXT(C421),C421=""),"",VLOOKUP(C421,param!A$4:B$138,2,FALSE)),"Param Not Recognised")</f>
        <v>Param Not Recognised</v>
      </c>
      <c r="E421" s="80">
        <f>IF(E419,INDEX($J421:$N421,E420+1),0)</f>
        <v>0</v>
      </c>
      <c r="F421" s="23"/>
      <c r="G421" s="23"/>
      <c r="H421" s="614"/>
      <c r="I421" s="614"/>
      <c r="J421" s="123">
        <v>0</v>
      </c>
      <c r="K421" s="123"/>
      <c r="L421" s="123"/>
      <c r="M421" s="123"/>
      <c r="N421" s="123"/>
    </row>
    <row r="422" spans="1:14">
      <c r="A422" s="6"/>
      <c r="B422" s="23"/>
      <c r="C422" s="149"/>
      <c r="D422" s="79" t="str">
        <f>IFERROR(IF(OR(ISTEXT(C422),C422=""),"",VLOOKUP(C422,param!A$4:B$138,2,FALSE)),"Param Not Recognised")</f>
        <v/>
      </c>
      <c r="E422" s="80">
        <f>IF(E419,INDEX($J422:$N422,E420+1),0)</f>
        <v>0</v>
      </c>
      <c r="F422" s="23"/>
      <c r="G422" s="23"/>
      <c r="H422" s="614"/>
      <c r="I422" s="614"/>
      <c r="J422" s="123">
        <v>0</v>
      </c>
      <c r="K422" s="123"/>
      <c r="L422" s="123"/>
      <c r="M422" s="123"/>
      <c r="N422" s="123"/>
    </row>
    <row r="423" spans="1:14">
      <c r="A423" s="6"/>
      <c r="B423" s="23"/>
      <c r="C423" s="149"/>
      <c r="D423" s="79" t="str">
        <f>IFERROR(IF(OR(ISTEXT(C423),C423=""),"",VLOOKUP(C423,param!A$4:B$138,2,FALSE)),"Param Not Recognised")</f>
        <v/>
      </c>
      <c r="E423" s="80">
        <f>IF(E419,INDEX($J423:$N423,E420+1),0)</f>
        <v>0</v>
      </c>
      <c r="F423" s="23"/>
      <c r="G423" s="23"/>
      <c r="H423" s="614"/>
      <c r="I423" s="614"/>
      <c r="J423" s="123">
        <v>0</v>
      </c>
      <c r="K423" s="123"/>
      <c r="L423" s="123"/>
      <c r="M423" s="123"/>
      <c r="N423" s="123"/>
    </row>
    <row r="424" spans="1:14">
      <c r="A424" s="6"/>
      <c r="B424" s="23"/>
      <c r="C424" s="149"/>
      <c r="D424" s="79" t="str">
        <f>IFERROR(IF(OR(ISTEXT(C424),C424=""),"",VLOOKUP(C424,param!A$4:B$138,2,FALSE)),"Param Not Recognised")</f>
        <v/>
      </c>
      <c r="E424" s="80">
        <f>IF(E419,INDEX($J424:$N424,E420+1),0)</f>
        <v>0</v>
      </c>
      <c r="F424" s="23"/>
      <c r="G424" s="23"/>
      <c r="H424" s="614"/>
      <c r="I424" s="614"/>
      <c r="J424" s="123">
        <v>0</v>
      </c>
      <c r="K424" s="123"/>
      <c r="L424" s="123"/>
      <c r="M424" s="123"/>
      <c r="N424" s="123"/>
    </row>
    <row r="425" spans="1:14">
      <c r="A425" s="6"/>
      <c r="B425" s="23"/>
      <c r="C425" s="149"/>
      <c r="D425" s="79" t="str">
        <f>IFERROR(IF(OR(ISTEXT(C425),C425=""),"",VLOOKUP(C425,param!A$4:B$138,2,FALSE)),"Param Not Recognised")</f>
        <v/>
      </c>
      <c r="E425" s="80">
        <f>IF(E419,INDEX($J425:$N425,E420+1),0)</f>
        <v>0</v>
      </c>
      <c r="F425" s="23"/>
      <c r="G425" s="23"/>
      <c r="H425" s="614"/>
      <c r="I425" s="614"/>
      <c r="J425" s="123">
        <v>0</v>
      </c>
      <c r="K425" s="123"/>
      <c r="L425" s="123"/>
      <c r="M425" s="123"/>
      <c r="N425" s="123"/>
    </row>
    <row r="426" spans="1:14">
      <c r="A426" s="6"/>
      <c r="B426" s="23"/>
      <c r="C426" s="149"/>
      <c r="D426" s="79" t="str">
        <f>IFERROR(IF(OR(ISTEXT(C426),C426=""),"",VLOOKUP(C426,param!A$4:B$138,2,FALSE)),"Param Not Recognised")</f>
        <v/>
      </c>
      <c r="E426" s="80">
        <f>IF(E419,INDEX($J426:$N426,E420+1),0)</f>
        <v>0</v>
      </c>
      <c r="F426" s="23"/>
      <c r="G426" s="23"/>
      <c r="H426" s="614"/>
      <c r="I426" s="614"/>
      <c r="J426" s="123">
        <v>0</v>
      </c>
      <c r="K426" s="123"/>
      <c r="L426" s="123"/>
      <c r="M426" s="123"/>
      <c r="N426" s="123"/>
    </row>
    <row r="427" spans="1:14">
      <c r="A427" s="6"/>
      <c r="B427" s="23"/>
      <c r="C427" s="149"/>
      <c r="D427" s="79" t="str">
        <f>IFERROR(IF(OR(ISTEXT(C427),C427=""),"",VLOOKUP(C427,param!A$4:B$138,2,FALSE)),"Param Not Recognised")</f>
        <v/>
      </c>
      <c r="E427" s="80">
        <f>IF(E419,INDEX($J427:$N427,E420+1),0)</f>
        <v>0</v>
      </c>
      <c r="F427" s="23"/>
      <c r="G427" s="23"/>
      <c r="H427" s="614"/>
      <c r="I427" s="614"/>
      <c r="J427" s="123">
        <v>0</v>
      </c>
      <c r="K427" s="123"/>
      <c r="L427" s="123"/>
      <c r="M427" s="123"/>
      <c r="N427" s="123"/>
    </row>
    <row r="428" spans="1:14">
      <c r="A428" s="6"/>
      <c r="B428" s="23"/>
      <c r="C428" s="149"/>
      <c r="D428" s="79" t="str">
        <f>IFERROR(IF(OR(ISTEXT(C428),C428=""),"",VLOOKUP(C428,param!A$4:B$138,2,FALSE)),"Param Not Recognised")</f>
        <v/>
      </c>
      <c r="E428" s="80">
        <f>IF(E419,INDEX($J428:$N428,E420+1),0)</f>
        <v>0</v>
      </c>
      <c r="F428" s="23"/>
      <c r="G428" s="23"/>
      <c r="H428" s="614"/>
      <c r="I428" s="614"/>
      <c r="J428" s="123">
        <v>0</v>
      </c>
      <c r="K428" s="123"/>
      <c r="L428" s="123"/>
      <c r="M428" s="123"/>
      <c r="N428" s="123"/>
    </row>
    <row r="429" spans="1:14">
      <c r="A429" s="6"/>
      <c r="B429" s="23"/>
      <c r="C429" s="149"/>
      <c r="D429" s="79" t="str">
        <f>IFERROR(IF(OR(ISTEXT(C429),C429=""),"",VLOOKUP(C429,param!A$4:B$138,2,FALSE)),"Param Not Recognised")</f>
        <v/>
      </c>
      <c r="E429" s="80">
        <f>IF(E419,INDEX($J429:$N429,E420+1),0)</f>
        <v>0</v>
      </c>
      <c r="F429" s="23"/>
      <c r="G429" s="23"/>
      <c r="H429" s="614"/>
      <c r="I429" s="614"/>
      <c r="J429" s="123">
        <v>0</v>
      </c>
      <c r="K429" s="123"/>
      <c r="L429" s="123"/>
      <c r="M429" s="123"/>
      <c r="N429" s="123"/>
    </row>
    <row r="430" spans="1:14">
      <c r="A430" s="6"/>
      <c r="B430" s="23"/>
      <c r="C430" s="149"/>
      <c r="D430" s="79" t="str">
        <f>IFERROR(IF(OR(ISTEXT(C430),C430=""),"",VLOOKUP(C430,param!A$4:B$138,2,FALSE)),"Param Not Recognised")</f>
        <v/>
      </c>
      <c r="E430" s="80">
        <f>IF(E419,INDEX($J430:$N430,E420+1),0)</f>
        <v>0</v>
      </c>
      <c r="F430" s="23"/>
      <c r="G430" s="23"/>
      <c r="H430" s="614"/>
      <c r="I430" s="614"/>
      <c r="J430" s="123">
        <v>0</v>
      </c>
      <c r="K430" s="123"/>
      <c r="L430" s="123"/>
      <c r="M430" s="123"/>
      <c r="N430" s="123"/>
    </row>
    <row r="431" spans="1:14">
      <c r="A431" s="18"/>
    </row>
    <row r="432" spans="1:14">
      <c r="A432" s="90">
        <v>33</v>
      </c>
      <c r="B432" s="29">
        <f>INDEX(SI_Name,A432+1)</f>
        <v>0</v>
      </c>
      <c r="C432" s="22" t="s">
        <v>200</v>
      </c>
      <c r="D432" s="22"/>
      <c r="E432" s="150" t="b">
        <f>VLOOKUP($A432,calcTableSIsLaunched,adj_IndexTeam+1,FALSE)</f>
        <v>0</v>
      </c>
      <c r="F432" s="10">
        <f>SUMIF(C434:C443,adj_FTECode,K434:K443)</f>
        <v>0</v>
      </c>
      <c r="G432" s="10">
        <f>SUMIF(C434:C443,adj_CostCode,K434:K443)</f>
        <v>0</v>
      </c>
      <c r="H432" s="10"/>
      <c r="I432" s="10"/>
      <c r="J432" s="22"/>
      <c r="K432" s="22"/>
      <c r="L432" s="22"/>
      <c r="M432" s="22"/>
      <c r="N432" s="22"/>
    </row>
    <row r="433" spans="1:14">
      <c r="A433" s="6"/>
      <c r="B433" s="23"/>
      <c r="C433" s="23" t="s">
        <v>201</v>
      </c>
      <c r="D433" s="23"/>
      <c r="E433" s="150">
        <f>VLOOKUP($A432,calcTableSIsRoundsIntoLaunch,adj_IndexTeam+1,FALSE)</f>
        <v>0</v>
      </c>
      <c r="F433" s="23"/>
      <c r="G433" s="23"/>
      <c r="H433" s="614"/>
      <c r="I433" s="614"/>
      <c r="J433" s="23"/>
      <c r="K433" s="23"/>
      <c r="L433" s="23"/>
      <c r="M433" s="23"/>
      <c r="N433" s="23"/>
    </row>
    <row r="434" spans="1:14">
      <c r="A434" s="6"/>
      <c r="B434" s="23"/>
      <c r="C434" s="149">
        <v>1002</v>
      </c>
      <c r="D434" s="79" t="str">
        <f>IFERROR(IF(OR(ISTEXT(C434),C434=""),"",VLOOKUP(C434,param!A$4:B$138,2,FALSE)),"Param Not Recognised")</f>
        <v>Param Not Recognised</v>
      </c>
      <c r="E434" s="80">
        <f>IF(E432,INDEX($J434:$N434,E433+1),0)</f>
        <v>0</v>
      </c>
      <c r="F434" s="23"/>
      <c r="G434" s="23"/>
      <c r="H434" s="614"/>
      <c r="I434" s="614"/>
      <c r="J434" s="123">
        <v>0</v>
      </c>
      <c r="K434" s="123"/>
      <c r="L434" s="123"/>
      <c r="M434" s="123"/>
      <c r="N434" s="123"/>
    </row>
    <row r="435" spans="1:14">
      <c r="A435" s="6"/>
      <c r="B435" s="23"/>
      <c r="C435" s="149"/>
      <c r="D435" s="79" t="str">
        <f>IFERROR(IF(OR(ISTEXT(C435),C435=""),"",VLOOKUP(C435,param!A$4:B$138,2,FALSE)),"Param Not Recognised")</f>
        <v/>
      </c>
      <c r="E435" s="80">
        <f>IF(E432,INDEX($J435:$N435,E433+1),0)</f>
        <v>0</v>
      </c>
      <c r="F435" s="23"/>
      <c r="G435" s="23"/>
      <c r="H435" s="614"/>
      <c r="I435" s="614"/>
      <c r="J435" s="123">
        <v>0</v>
      </c>
      <c r="K435" s="123"/>
      <c r="L435" s="123"/>
      <c r="M435" s="123"/>
      <c r="N435" s="123"/>
    </row>
    <row r="436" spans="1:14">
      <c r="A436" s="6"/>
      <c r="B436" s="23"/>
      <c r="C436" s="149"/>
      <c r="D436" s="79" t="str">
        <f>IFERROR(IF(OR(ISTEXT(C436),C436=""),"",VLOOKUP(C436,param!A$4:B$138,2,FALSE)),"Param Not Recognised")</f>
        <v/>
      </c>
      <c r="E436" s="80">
        <f>IF(E432,INDEX($J436:$N436,E433+1),0)</f>
        <v>0</v>
      </c>
      <c r="F436" s="23"/>
      <c r="G436" s="23"/>
      <c r="H436" s="614"/>
      <c r="I436" s="614"/>
      <c r="J436" s="123">
        <v>0</v>
      </c>
      <c r="K436" s="123"/>
      <c r="L436" s="123"/>
      <c r="M436" s="123"/>
      <c r="N436" s="123"/>
    </row>
    <row r="437" spans="1:14">
      <c r="A437" s="6"/>
      <c r="B437" s="23"/>
      <c r="C437" s="149"/>
      <c r="D437" s="79" t="str">
        <f>IFERROR(IF(OR(ISTEXT(C437),C437=""),"",VLOOKUP(C437,param!A$4:B$138,2,FALSE)),"Param Not Recognised")</f>
        <v/>
      </c>
      <c r="E437" s="80">
        <f>IF(E432,INDEX($J437:$N437,E433+1),0)</f>
        <v>0</v>
      </c>
      <c r="F437" s="23"/>
      <c r="G437" s="23"/>
      <c r="H437" s="614"/>
      <c r="I437" s="614"/>
      <c r="J437" s="123">
        <v>0</v>
      </c>
      <c r="K437" s="123"/>
      <c r="L437" s="123"/>
      <c r="M437" s="123"/>
      <c r="N437" s="123"/>
    </row>
    <row r="438" spans="1:14">
      <c r="A438" s="6"/>
      <c r="B438" s="23"/>
      <c r="C438" s="149"/>
      <c r="D438" s="79" t="str">
        <f>IFERROR(IF(OR(ISTEXT(C438),C438=""),"",VLOOKUP(C438,param!A$4:B$138,2,FALSE)),"Param Not Recognised")</f>
        <v/>
      </c>
      <c r="E438" s="80">
        <f>IF(E432,INDEX($J438:$N438,E433+1),0)</f>
        <v>0</v>
      </c>
      <c r="F438" s="23"/>
      <c r="G438" s="23"/>
      <c r="H438" s="614"/>
      <c r="I438" s="614"/>
      <c r="J438" s="123">
        <v>0</v>
      </c>
      <c r="K438" s="123"/>
      <c r="L438" s="123"/>
      <c r="M438" s="123"/>
      <c r="N438" s="123"/>
    </row>
    <row r="439" spans="1:14">
      <c r="A439" s="6"/>
      <c r="B439" s="23"/>
      <c r="C439" s="149"/>
      <c r="D439" s="79" t="str">
        <f>IFERROR(IF(OR(ISTEXT(C439),C439=""),"",VLOOKUP(C439,param!A$4:B$138,2,FALSE)),"Param Not Recognised")</f>
        <v/>
      </c>
      <c r="E439" s="80">
        <f>IF(E432,INDEX($J439:$N439,E433+1),0)</f>
        <v>0</v>
      </c>
      <c r="F439" s="23"/>
      <c r="G439" s="23"/>
      <c r="H439" s="614"/>
      <c r="I439" s="614"/>
      <c r="J439" s="123">
        <v>0</v>
      </c>
      <c r="K439" s="123"/>
      <c r="L439" s="123"/>
      <c r="M439" s="123"/>
      <c r="N439" s="123"/>
    </row>
    <row r="440" spans="1:14">
      <c r="A440" s="6"/>
      <c r="B440" s="23"/>
      <c r="C440" s="149"/>
      <c r="D440" s="79" t="str">
        <f>IFERROR(IF(OR(ISTEXT(C440),C440=""),"",VLOOKUP(C440,param!A$4:B$138,2,FALSE)),"Param Not Recognised")</f>
        <v/>
      </c>
      <c r="E440" s="80">
        <f>IF(E432,INDEX($J440:$N440,E433+1),0)</f>
        <v>0</v>
      </c>
      <c r="F440" s="23"/>
      <c r="G440" s="23"/>
      <c r="H440" s="614"/>
      <c r="I440" s="614"/>
      <c r="J440" s="123">
        <v>0</v>
      </c>
      <c r="K440" s="123"/>
      <c r="L440" s="123"/>
      <c r="M440" s="123"/>
      <c r="N440" s="123"/>
    </row>
    <row r="441" spans="1:14">
      <c r="A441" s="6"/>
      <c r="B441" s="23"/>
      <c r="C441" s="149"/>
      <c r="D441" s="79" t="str">
        <f>IFERROR(IF(OR(ISTEXT(C441),C441=""),"",VLOOKUP(C441,param!A$4:B$138,2,FALSE)),"Param Not Recognised")</f>
        <v/>
      </c>
      <c r="E441" s="80">
        <f>IF(E432,INDEX($J441:$N441,E433+1),0)</f>
        <v>0</v>
      </c>
      <c r="F441" s="23"/>
      <c r="G441" s="23"/>
      <c r="H441" s="614"/>
      <c r="I441" s="614"/>
      <c r="J441" s="123">
        <v>0</v>
      </c>
      <c r="K441" s="123"/>
      <c r="L441" s="123"/>
      <c r="M441" s="123"/>
      <c r="N441" s="123"/>
    </row>
    <row r="442" spans="1:14">
      <c r="A442" s="6"/>
      <c r="B442" s="23"/>
      <c r="C442" s="149"/>
      <c r="D442" s="79" t="str">
        <f>IFERROR(IF(OR(ISTEXT(C442),C442=""),"",VLOOKUP(C442,param!A$4:B$138,2,FALSE)),"Param Not Recognised")</f>
        <v/>
      </c>
      <c r="E442" s="80">
        <f>IF(E432,INDEX($J442:$N442,E433+1),0)</f>
        <v>0</v>
      </c>
      <c r="F442" s="23"/>
      <c r="G442" s="23"/>
      <c r="H442" s="614"/>
      <c r="I442" s="614"/>
      <c r="J442" s="123">
        <v>0</v>
      </c>
      <c r="K442" s="123"/>
      <c r="L442" s="123"/>
      <c r="M442" s="123"/>
      <c r="N442" s="123"/>
    </row>
    <row r="443" spans="1:14">
      <c r="A443" s="6"/>
      <c r="B443" s="23"/>
      <c r="C443" s="149"/>
      <c r="D443" s="79" t="str">
        <f>IFERROR(IF(OR(ISTEXT(C443),C443=""),"",VLOOKUP(C443,param!A$4:B$138,2,FALSE)),"Param Not Recognised")</f>
        <v/>
      </c>
      <c r="E443" s="80">
        <f>IF(E432,INDEX($J443:$N443,E433+1),0)</f>
        <v>0</v>
      </c>
      <c r="F443" s="23"/>
      <c r="G443" s="23"/>
      <c r="H443" s="614"/>
      <c r="I443" s="614"/>
      <c r="J443" s="123">
        <v>0</v>
      </c>
      <c r="K443" s="123"/>
      <c r="L443" s="123"/>
      <c r="M443" s="123"/>
      <c r="N443" s="123"/>
    </row>
    <row r="444" spans="1:14">
      <c r="A444" s="18"/>
    </row>
    <row r="445" spans="1:14">
      <c r="A445" s="90">
        <v>34</v>
      </c>
      <c r="B445" s="29">
        <f>INDEX(SI_Name,A445+1)</f>
        <v>0</v>
      </c>
      <c r="C445" s="22" t="s">
        <v>200</v>
      </c>
      <c r="D445" s="22"/>
      <c r="E445" s="150" t="b">
        <f>VLOOKUP($A445,calcTableSIsLaunched,adj_IndexTeam+1,FALSE)</f>
        <v>0</v>
      </c>
      <c r="F445" s="10">
        <f>SUMIF(C447:C456,adj_FTECode,K447:K456)</f>
        <v>0</v>
      </c>
      <c r="G445" s="10">
        <f>SUMIF(C447:C456,adj_CostCode,K447:K456)</f>
        <v>0</v>
      </c>
      <c r="H445" s="10"/>
      <c r="I445" s="10"/>
      <c r="J445" s="22"/>
      <c r="K445" s="22"/>
      <c r="L445" s="22"/>
      <c r="M445" s="22"/>
      <c r="N445" s="22"/>
    </row>
    <row r="446" spans="1:14">
      <c r="A446" s="6"/>
      <c r="B446" s="23"/>
      <c r="C446" s="23" t="s">
        <v>201</v>
      </c>
      <c r="D446" s="23"/>
      <c r="E446" s="150">
        <f>VLOOKUP($A445,calcTableSIsRoundsIntoLaunch,adj_IndexTeam+1,FALSE)</f>
        <v>0</v>
      </c>
      <c r="F446" s="23"/>
      <c r="G446" s="23"/>
      <c r="H446" s="614"/>
      <c r="I446" s="614"/>
      <c r="J446" s="23"/>
      <c r="K446" s="23"/>
      <c r="L446" s="23"/>
      <c r="M446" s="23"/>
      <c r="N446" s="23"/>
    </row>
    <row r="447" spans="1:14">
      <c r="A447" s="6"/>
      <c r="B447" s="23"/>
      <c r="C447" s="149">
        <v>1002</v>
      </c>
      <c r="D447" s="79" t="str">
        <f>IFERROR(IF(OR(ISTEXT(C447),C447=""),"",VLOOKUP(C447,param!A$4:B$138,2,FALSE)),"Param Not Recognised")</f>
        <v>Param Not Recognised</v>
      </c>
      <c r="E447" s="80">
        <f>IF(E445,INDEX($J447:$N447,E446+1),0)</f>
        <v>0</v>
      </c>
      <c r="F447" s="23"/>
      <c r="G447" s="23"/>
      <c r="H447" s="614"/>
      <c r="I447" s="614"/>
      <c r="J447" s="123">
        <v>0</v>
      </c>
      <c r="K447" s="123"/>
      <c r="L447" s="123"/>
      <c r="M447" s="123"/>
      <c r="N447" s="123"/>
    </row>
    <row r="448" spans="1:14">
      <c r="A448" s="6"/>
      <c r="B448" s="23"/>
      <c r="C448" s="149"/>
      <c r="D448" s="79" t="str">
        <f>IFERROR(IF(OR(ISTEXT(C448),C448=""),"",VLOOKUP(C448,param!A$4:B$138,2,FALSE)),"Param Not Recognised")</f>
        <v/>
      </c>
      <c r="E448" s="80">
        <f>IF(E445,INDEX($J448:$N448,E446+1),0)</f>
        <v>0</v>
      </c>
      <c r="F448" s="23"/>
      <c r="G448" s="23"/>
      <c r="H448" s="614"/>
      <c r="I448" s="614"/>
      <c r="J448" s="123">
        <v>0</v>
      </c>
      <c r="K448" s="123"/>
      <c r="L448" s="123"/>
      <c r="M448" s="123"/>
      <c r="N448" s="123"/>
    </row>
    <row r="449" spans="1:14">
      <c r="A449" s="6"/>
      <c r="B449" s="23"/>
      <c r="C449" s="149"/>
      <c r="D449" s="79" t="str">
        <f>IFERROR(IF(OR(ISTEXT(C449),C449=""),"",VLOOKUP(C449,param!A$4:B$138,2,FALSE)),"Param Not Recognised")</f>
        <v/>
      </c>
      <c r="E449" s="80">
        <f>IF(E445,INDEX($J449:$N449,E446+1),0)</f>
        <v>0</v>
      </c>
      <c r="F449" s="23"/>
      <c r="G449" s="23"/>
      <c r="H449" s="614"/>
      <c r="I449" s="614"/>
      <c r="J449" s="123">
        <v>0</v>
      </c>
      <c r="K449" s="123"/>
      <c r="L449" s="123"/>
      <c r="M449" s="123"/>
      <c r="N449" s="123"/>
    </row>
    <row r="450" spans="1:14">
      <c r="A450" s="6"/>
      <c r="B450" s="23"/>
      <c r="C450" s="149"/>
      <c r="D450" s="79" t="str">
        <f>IFERROR(IF(OR(ISTEXT(C450),C450=""),"",VLOOKUP(C450,param!A$4:B$138,2,FALSE)),"Param Not Recognised")</f>
        <v/>
      </c>
      <c r="E450" s="80">
        <f>IF(E445,INDEX($J450:$N450,E446+1),0)</f>
        <v>0</v>
      </c>
      <c r="F450" s="23"/>
      <c r="G450" s="23"/>
      <c r="H450" s="614"/>
      <c r="I450" s="614"/>
      <c r="J450" s="123">
        <v>0</v>
      </c>
      <c r="K450" s="123"/>
      <c r="L450" s="123"/>
      <c r="M450" s="123"/>
      <c r="N450" s="123"/>
    </row>
    <row r="451" spans="1:14">
      <c r="A451" s="6"/>
      <c r="B451" s="23"/>
      <c r="C451" s="149"/>
      <c r="D451" s="79" t="str">
        <f>IFERROR(IF(OR(ISTEXT(C451),C451=""),"",VLOOKUP(C451,param!A$4:B$138,2,FALSE)),"Param Not Recognised")</f>
        <v/>
      </c>
      <c r="E451" s="80">
        <f>IF(E445,INDEX($J451:$N451,E446+1),0)</f>
        <v>0</v>
      </c>
      <c r="F451" s="23"/>
      <c r="G451" s="23"/>
      <c r="H451" s="614"/>
      <c r="I451" s="614"/>
      <c r="J451" s="123">
        <v>0</v>
      </c>
      <c r="K451" s="123"/>
      <c r="L451" s="123"/>
      <c r="M451" s="123"/>
      <c r="N451" s="123"/>
    </row>
    <row r="452" spans="1:14">
      <c r="A452" s="6"/>
      <c r="B452" s="23"/>
      <c r="C452" s="149"/>
      <c r="D452" s="79" t="str">
        <f>IFERROR(IF(OR(ISTEXT(C452),C452=""),"",VLOOKUP(C452,param!A$4:B$138,2,FALSE)),"Param Not Recognised")</f>
        <v/>
      </c>
      <c r="E452" s="80">
        <f>IF(E445,INDEX($J452:$N452,E446+1),0)</f>
        <v>0</v>
      </c>
      <c r="F452" s="23"/>
      <c r="G452" s="23"/>
      <c r="H452" s="614"/>
      <c r="I452" s="614"/>
      <c r="J452" s="123">
        <v>0</v>
      </c>
      <c r="K452" s="123"/>
      <c r="L452" s="123"/>
      <c r="M452" s="123"/>
      <c r="N452" s="123"/>
    </row>
    <row r="453" spans="1:14">
      <c r="A453" s="6"/>
      <c r="B453" s="23"/>
      <c r="C453" s="149"/>
      <c r="D453" s="79" t="str">
        <f>IFERROR(IF(OR(ISTEXT(C453),C453=""),"",VLOOKUP(C453,param!A$4:B$138,2,FALSE)),"Param Not Recognised")</f>
        <v/>
      </c>
      <c r="E453" s="80">
        <f>IF(E445,INDEX($J453:$N453,E446+1),0)</f>
        <v>0</v>
      </c>
      <c r="F453" s="23"/>
      <c r="G453" s="23"/>
      <c r="H453" s="614"/>
      <c r="I453" s="614"/>
      <c r="J453" s="123">
        <v>0</v>
      </c>
      <c r="K453" s="123"/>
      <c r="L453" s="123"/>
      <c r="M453" s="123"/>
      <c r="N453" s="123"/>
    </row>
    <row r="454" spans="1:14">
      <c r="A454" s="6"/>
      <c r="B454" s="23"/>
      <c r="C454" s="149"/>
      <c r="D454" s="79" t="str">
        <f>IFERROR(IF(OR(ISTEXT(C454),C454=""),"",VLOOKUP(C454,param!A$4:B$138,2,FALSE)),"Param Not Recognised")</f>
        <v/>
      </c>
      <c r="E454" s="80">
        <f>IF(E445,INDEX($J454:$N454,E446+1),0)</f>
        <v>0</v>
      </c>
      <c r="F454" s="23"/>
      <c r="G454" s="23"/>
      <c r="H454" s="614"/>
      <c r="I454" s="614"/>
      <c r="J454" s="123">
        <v>0</v>
      </c>
      <c r="K454" s="123"/>
      <c r="L454" s="123"/>
      <c r="M454" s="123"/>
      <c r="N454" s="123"/>
    </row>
    <row r="455" spans="1:14">
      <c r="A455" s="6"/>
      <c r="B455" s="23"/>
      <c r="C455" s="149"/>
      <c r="D455" s="79" t="str">
        <f>IFERROR(IF(OR(ISTEXT(C455),C455=""),"",VLOOKUP(C455,param!A$4:B$138,2,FALSE)),"Param Not Recognised")</f>
        <v/>
      </c>
      <c r="E455" s="80">
        <f>IF(E445,INDEX($J455:$N455,E446+1),0)</f>
        <v>0</v>
      </c>
      <c r="F455" s="23"/>
      <c r="G455" s="23"/>
      <c r="H455" s="614"/>
      <c r="I455" s="614"/>
      <c r="J455" s="123">
        <v>0</v>
      </c>
      <c r="K455" s="123"/>
      <c r="L455" s="123"/>
      <c r="M455" s="123"/>
      <c r="N455" s="123"/>
    </row>
    <row r="456" spans="1:14">
      <c r="A456" s="6"/>
      <c r="B456" s="23"/>
      <c r="C456" s="149"/>
      <c r="D456" s="79" t="str">
        <f>IFERROR(IF(OR(ISTEXT(C456),C456=""),"",VLOOKUP(C456,param!A$4:B$138,2,FALSE)),"Param Not Recognised")</f>
        <v/>
      </c>
      <c r="E456" s="80">
        <f>IF(E445,INDEX($J456:$N456,E446+1),0)</f>
        <v>0</v>
      </c>
      <c r="F456" s="23"/>
      <c r="G456" s="23"/>
      <c r="H456" s="614"/>
      <c r="I456" s="614"/>
      <c r="J456" s="123">
        <v>0</v>
      </c>
      <c r="K456" s="123"/>
      <c r="L456" s="123"/>
      <c r="M456" s="123"/>
      <c r="N456" s="123"/>
    </row>
    <row r="457" spans="1:14">
      <c r="A457" s="18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I138"/>
  <sheetViews>
    <sheetView zoomScale="70" zoomScaleNormal="70" workbookViewId="0">
      <pane ySplit="3" topLeftCell="A4" activePane="bottomLeft" state="frozen"/>
      <selection activeCell="AF47" sqref="AF47"/>
      <selection pane="bottomLeft" activeCell="F23" sqref="F23"/>
    </sheetView>
  </sheetViews>
  <sheetFormatPr defaultColWidth="8.796875" defaultRowHeight="14.25"/>
  <cols>
    <col min="1" max="1" width="14.69921875" style="6" customWidth="1"/>
    <col min="2" max="2" width="27.5" style="7" customWidth="1"/>
    <col min="3" max="3" width="8.796875" style="6"/>
    <col min="4" max="4" width="9.796875" style="6" customWidth="1"/>
    <col min="5" max="5" width="13.296875" style="6" bestFit="1" customWidth="1"/>
    <col min="6" max="6" width="25.8984375" style="6" bestFit="1" customWidth="1"/>
    <col min="7" max="7" width="8.796875" style="6"/>
    <col min="8" max="8" width="10.8984375" style="6" bestFit="1" customWidth="1"/>
    <col min="9" max="9" width="12.3984375" style="6" bestFit="1" customWidth="1"/>
    <col min="10" max="16384" width="8.796875" style="6"/>
  </cols>
  <sheetData>
    <row r="1" spans="1:7" s="10" customFormat="1">
      <c r="A1" s="10" t="s">
        <v>176</v>
      </c>
      <c r="B1" s="9"/>
      <c r="E1" s="10" t="s">
        <v>5</v>
      </c>
      <c r="G1" s="10" t="s">
        <v>5</v>
      </c>
    </row>
    <row r="2" spans="1:7" s="11" customFormat="1">
      <c r="A2" s="11" t="s">
        <v>177</v>
      </c>
      <c r="B2" s="29" t="s">
        <v>50</v>
      </c>
      <c r="C2" s="11" t="s">
        <v>178</v>
      </c>
      <c r="D2" s="11" t="s">
        <v>179</v>
      </c>
      <c r="F2" s="11" t="s">
        <v>180</v>
      </c>
    </row>
    <row r="3" spans="1:7" s="11" customFormat="1">
      <c r="A3" s="29" t="s">
        <v>181</v>
      </c>
      <c r="B3" s="29"/>
    </row>
    <row r="4" spans="1:7">
      <c r="A4" s="7" t="s">
        <v>182</v>
      </c>
    </row>
    <row r="5" spans="1:7">
      <c r="A5" s="147">
        <v>101</v>
      </c>
      <c r="B5" s="148" t="s">
        <v>784</v>
      </c>
      <c r="C5" s="123" t="s">
        <v>183</v>
      </c>
      <c r="D5" s="145">
        <v>0</v>
      </c>
      <c r="E5" s="6">
        <f t="shared" ref="E5:E12" si="0">IF($C5="R",$D5*(1+G5),$D5+G5)</f>
        <v>0</v>
      </c>
      <c r="F5" s="611" t="s">
        <v>751</v>
      </c>
      <c r="G5" s="610">
        <f>SUMIF(adj!$C$3:$C$2933,$A5,adj!E$3:E$2933)</f>
        <v>0</v>
      </c>
    </row>
    <row r="6" spans="1:7">
      <c r="A6" s="147">
        <v>102</v>
      </c>
      <c r="B6" s="148" t="str">
        <f>nmEmp1</f>
        <v>MTUs</v>
      </c>
      <c r="C6" s="123" t="s">
        <v>183</v>
      </c>
      <c r="D6" s="145">
        <v>0</v>
      </c>
      <c r="E6" s="6">
        <f t="shared" si="0"/>
        <v>0</v>
      </c>
      <c r="F6" s="611" t="s">
        <v>750</v>
      </c>
      <c r="G6" s="610">
        <f>SUMIF(adj!$C$3:$C$2933,$A6,adj!E$3:E$2933)</f>
        <v>0</v>
      </c>
    </row>
    <row r="7" spans="1:7" s="610" customFormat="1">
      <c r="A7" s="147">
        <v>103</v>
      </c>
      <c r="B7" s="148" t="s">
        <v>10238</v>
      </c>
      <c r="C7" s="627" t="s">
        <v>183</v>
      </c>
      <c r="D7" s="952">
        <v>4000000</v>
      </c>
      <c r="E7" s="610">
        <f t="shared" si="0"/>
        <v>4000000</v>
      </c>
      <c r="F7" s="611" t="s">
        <v>10240</v>
      </c>
      <c r="G7" s="610">
        <f>SUMIF(adj!$C$3:$C$2933,$A7,adj!E$3:E$2933)</f>
        <v>0</v>
      </c>
    </row>
    <row r="8" spans="1:7" s="610" customFormat="1">
      <c r="A8" s="147">
        <v>104</v>
      </c>
      <c r="B8" s="148" t="s">
        <v>10239</v>
      </c>
      <c r="C8" s="627" t="s">
        <v>183</v>
      </c>
      <c r="D8" s="145">
        <v>1</v>
      </c>
      <c r="E8" s="610">
        <f t="shared" si="0"/>
        <v>1</v>
      </c>
      <c r="F8" s="611" t="s">
        <v>10241</v>
      </c>
      <c r="G8" s="610">
        <f>SUMIF(adj!$C$3:$C$2933,$A8,adj!E$3:E$2933)</f>
        <v>0</v>
      </c>
    </row>
    <row r="9" spans="1:7" s="610" customFormat="1">
      <c r="A9" s="147">
        <v>105</v>
      </c>
      <c r="B9" s="148" t="str">
        <f>nmCh1&amp;" Category Growth"</f>
        <v>Hypermarkets Category Growth</v>
      </c>
      <c r="C9" s="627" t="s">
        <v>183</v>
      </c>
      <c r="D9" s="271">
        <v>0</v>
      </c>
      <c r="E9" s="376">
        <f t="shared" si="0"/>
        <v>0</v>
      </c>
      <c r="F9" s="611" t="s">
        <v>11309</v>
      </c>
      <c r="G9" s="610">
        <f>SUMIF(adj!$C$3:$C$2933,$A9,adj!E$3:E$2933)</f>
        <v>0</v>
      </c>
    </row>
    <row r="10" spans="1:7" s="610" customFormat="1">
      <c r="A10" s="147">
        <v>106</v>
      </c>
      <c r="B10" s="148" t="str">
        <f>nmCh2&amp;" Category Growth"</f>
        <v>Discounters Category Growth</v>
      </c>
      <c r="C10" s="627" t="s">
        <v>183</v>
      </c>
      <c r="D10" s="271">
        <v>0</v>
      </c>
      <c r="E10" s="376">
        <f t="shared" si="0"/>
        <v>0</v>
      </c>
      <c r="F10" s="611" t="s">
        <v>11310</v>
      </c>
      <c r="G10" s="610">
        <f>SUMIF(adj!$C$3:$C$2933,$A10,adj!E$3:E$2933)</f>
        <v>0</v>
      </c>
    </row>
    <row r="11" spans="1:7" s="610" customFormat="1">
      <c r="A11" s="147">
        <v>107</v>
      </c>
      <c r="B11" s="148" t="str">
        <f>nmCh3&amp;" Category Growth"</f>
        <v>Convenience Category Growth</v>
      </c>
      <c r="C11" s="627" t="s">
        <v>183</v>
      </c>
      <c r="D11" s="271">
        <v>0</v>
      </c>
      <c r="E11" s="376">
        <f t="shared" si="0"/>
        <v>0</v>
      </c>
      <c r="F11" s="611" t="s">
        <v>11312</v>
      </c>
      <c r="G11" s="610">
        <f>SUMIF(adj!$C$3:$C$2933,$A11,adj!E$3:E$2933)</f>
        <v>0</v>
      </c>
    </row>
    <row r="12" spans="1:7" s="610" customFormat="1">
      <c r="A12" s="147">
        <v>108</v>
      </c>
      <c r="B12" s="148" t="str">
        <f>nmCh4&amp;" Category Growth"</f>
        <v>On-Trade Category Growth</v>
      </c>
      <c r="C12" s="627" t="s">
        <v>183</v>
      </c>
      <c r="D12" s="271">
        <v>0</v>
      </c>
      <c r="E12" s="376">
        <f t="shared" si="0"/>
        <v>0</v>
      </c>
      <c r="F12" s="611" t="s">
        <v>11311</v>
      </c>
      <c r="G12" s="610">
        <f>SUMIF(adj!$C$3:$C$2933,$A12,adj!E$3:E$2933)</f>
        <v>0</v>
      </c>
    </row>
    <row r="13" spans="1:7">
      <c r="A13" s="7" t="str">
        <f>nmEmp1</f>
        <v>MTUs</v>
      </c>
      <c r="F13" s="611"/>
      <c r="G13" s="610"/>
    </row>
    <row r="14" spans="1:7">
      <c r="A14" s="147">
        <v>201</v>
      </c>
      <c r="B14" s="148" t="str">
        <f>nmEmp1&amp;" Attrition rate"</f>
        <v>MTUs Attrition rate</v>
      </c>
      <c r="C14" s="123" t="s">
        <v>184</v>
      </c>
      <c r="D14" s="271">
        <v>0</v>
      </c>
      <c r="E14" s="376">
        <f>IF($C14="A",$D14*(1+G14),$D14+G14)</f>
        <v>0</v>
      </c>
      <c r="F14" s="7" t="s">
        <v>773</v>
      </c>
      <c r="G14" s="610">
        <f>SUMIF(adj!$C$3:$C$2933,$A14,adj!E$3:E$2933)</f>
        <v>0</v>
      </c>
    </row>
    <row r="15" spans="1:7">
      <c r="A15" s="147">
        <v>202</v>
      </c>
      <c r="B15" s="148" t="str">
        <f>nmEmp1&amp;" Recruition rate"</f>
        <v>MTUs Recruition rate</v>
      </c>
      <c r="C15" s="123" t="s">
        <v>184</v>
      </c>
      <c r="D15" s="271">
        <v>0</v>
      </c>
      <c r="E15" s="376">
        <f>IF($C15="A",$D15*(1+G15),$D15+G15)</f>
        <v>0</v>
      </c>
      <c r="F15" s="7" t="s">
        <v>774</v>
      </c>
      <c r="G15" s="610">
        <f>SUMIF(adj!$C$3:$C$2933,$A15,adj!E$3:E$2933)</f>
        <v>0</v>
      </c>
    </row>
    <row r="16" spans="1:7">
      <c r="A16" s="147">
        <v>203</v>
      </c>
      <c r="B16" s="148" t="str">
        <f>nmEmp1&amp;" Salary"</f>
        <v>MTUs Salary</v>
      </c>
      <c r="C16" s="123" t="s">
        <v>184</v>
      </c>
      <c r="D16" s="952">
        <v>180000</v>
      </c>
      <c r="E16" s="917">
        <f>IF($C16="A",$D16*(1+G16),$D16+G16)</f>
        <v>180000</v>
      </c>
      <c r="F16" s="7" t="s">
        <v>775</v>
      </c>
      <c r="G16" s="610">
        <f>SUMIF(adj!$C$3:$C$2933,$A16,adj!E$3:E$2933)</f>
        <v>0</v>
      </c>
    </row>
    <row r="17" spans="1:7">
      <c r="A17" s="147">
        <v>204</v>
      </c>
      <c r="B17" s="148" t="str">
        <f>nmEmp1&amp;" Recruit/dismissal Cost"</f>
        <v>MTUs Recruit/dismissal Cost</v>
      </c>
      <c r="C17" s="123" t="s">
        <v>184</v>
      </c>
      <c r="D17" s="271">
        <v>0.5</v>
      </c>
      <c r="E17" s="376">
        <f>IF($C17="A",$D17*(1+G17),$D17+G17)</f>
        <v>0.5</v>
      </c>
      <c r="F17" s="7" t="s">
        <v>776</v>
      </c>
      <c r="G17" s="610">
        <f>SUMIF(adj!$C$3:$C$2933,$A17,adj!E$3:E$2933)</f>
        <v>0</v>
      </c>
    </row>
    <row r="18" spans="1:7">
      <c r="A18" s="147">
        <v>205</v>
      </c>
      <c r="B18" s="148" t="str">
        <f>nmEmp1&amp;" Admin Cost as Pct of salary"</f>
        <v>MTUs Admin Cost as Pct of salary</v>
      </c>
      <c r="C18" s="123" t="s">
        <v>184</v>
      </c>
      <c r="D18" s="271">
        <v>0.2</v>
      </c>
      <c r="E18" s="376">
        <f>IF($C18="A",$D18*(1+G18),$D18+G18)</f>
        <v>0.2</v>
      </c>
      <c r="F18" s="7" t="s">
        <v>777</v>
      </c>
      <c r="G18" s="610">
        <f>SUMIF(adj!$C$3:$C$2933,$A18,adj!E$3:E$2933)</f>
        <v>0</v>
      </c>
    </row>
    <row r="19" spans="1:7">
      <c r="B19" s="6"/>
      <c r="F19" s="7"/>
      <c r="G19" s="610"/>
    </row>
    <row r="20" spans="1:7">
      <c r="A20" s="7" t="s">
        <v>524</v>
      </c>
      <c r="G20" s="610"/>
    </row>
    <row r="21" spans="1:7">
      <c r="A21" s="147">
        <v>301</v>
      </c>
      <c r="B21" s="148" t="str">
        <f>nmProd1&amp;" Material Exp SI"</f>
        <v>Greenborg Material Exp SI</v>
      </c>
      <c r="C21" s="123" t="s">
        <v>184</v>
      </c>
      <c r="D21" s="339">
        <v>0</v>
      </c>
      <c r="E21" s="384">
        <f t="shared" ref="E21:E32" si="1">IF($C21="A",$D21*(1+G21),$D21+G21)</f>
        <v>0</v>
      </c>
      <c r="F21" s="7" t="s">
        <v>3777</v>
      </c>
      <c r="G21" s="610">
        <f>SUMIF(adj!$C$3:$C$2933,$A21,adj!E$3:E$2933)</f>
        <v>0</v>
      </c>
    </row>
    <row r="22" spans="1:7">
      <c r="A22" s="147">
        <v>302</v>
      </c>
      <c r="B22" s="148" t="str">
        <f>nmProd2&amp;" Material Exp SI"</f>
        <v>Harken Material Exp SI</v>
      </c>
      <c r="C22" s="123" t="s">
        <v>184</v>
      </c>
      <c r="D22" s="339">
        <v>0</v>
      </c>
      <c r="E22" s="384">
        <f t="shared" si="1"/>
        <v>0</v>
      </c>
      <c r="F22" s="7" t="s">
        <v>3778</v>
      </c>
      <c r="G22" s="610">
        <f>SUMIF(adj!$C$3:$C$2933,$A22,adj!E$3:E$2933)</f>
        <v>0</v>
      </c>
    </row>
    <row r="23" spans="1:7">
      <c r="A23" s="147">
        <v>303</v>
      </c>
      <c r="B23" s="148" t="str">
        <f>nmProd3&amp;" Material Exp SI"</f>
        <v>Kara Material Exp SI</v>
      </c>
      <c r="C23" s="123" t="s">
        <v>184</v>
      </c>
      <c r="D23" s="339">
        <v>0</v>
      </c>
      <c r="E23" s="384">
        <f t="shared" si="1"/>
        <v>0</v>
      </c>
      <c r="F23" s="7" t="s">
        <v>3779</v>
      </c>
      <c r="G23" s="610">
        <f>SUMIF(adj!$C$3:$C$2933,$A23,adj!E$3:E$2933)</f>
        <v>0</v>
      </c>
    </row>
    <row r="24" spans="1:7">
      <c r="A24" s="147">
        <v>304</v>
      </c>
      <c r="B24" s="148" t="str">
        <f>nmProd4&amp;" Material Exp SI"</f>
        <v>Brew Master Material Exp SI</v>
      </c>
      <c r="C24" s="123" t="s">
        <v>184</v>
      </c>
      <c r="D24" s="339">
        <v>0</v>
      </c>
      <c r="E24" s="384">
        <f t="shared" si="1"/>
        <v>0</v>
      </c>
      <c r="F24" s="7" t="s">
        <v>3780</v>
      </c>
      <c r="G24" s="610">
        <f>SUMIF(adj!$C$3:$C$2933,$A24,adj!E$3:E$2933)</f>
        <v>0</v>
      </c>
    </row>
    <row r="25" spans="1:7">
      <c r="A25" s="147">
        <v>305</v>
      </c>
      <c r="B25" s="148" t="str">
        <f>nmProd1&amp;" Labour Exp SI"</f>
        <v>Greenborg Labour Exp SI</v>
      </c>
      <c r="C25" s="123" t="s">
        <v>184</v>
      </c>
      <c r="D25" s="339">
        <v>0</v>
      </c>
      <c r="E25" s="384">
        <f t="shared" si="1"/>
        <v>0</v>
      </c>
      <c r="F25" s="7" t="s">
        <v>3781</v>
      </c>
      <c r="G25" s="610">
        <f>SUMIF(adj!$C$3:$C$2933,$A25,adj!E$3:E$2933)</f>
        <v>0</v>
      </c>
    </row>
    <row r="26" spans="1:7">
      <c r="A26" s="147">
        <v>306</v>
      </c>
      <c r="B26" s="148" t="str">
        <f>nmProd2&amp;" Labour Exp SI"</f>
        <v>Harken Labour Exp SI</v>
      </c>
      <c r="C26" s="123" t="s">
        <v>184</v>
      </c>
      <c r="D26" s="339">
        <v>0</v>
      </c>
      <c r="E26" s="384">
        <f t="shared" si="1"/>
        <v>0</v>
      </c>
      <c r="F26" s="7" t="s">
        <v>3782</v>
      </c>
      <c r="G26" s="610">
        <f>SUMIF(adj!$C$3:$C$2933,$A26,adj!E$3:E$2933)</f>
        <v>0</v>
      </c>
    </row>
    <row r="27" spans="1:7">
      <c r="A27" s="147">
        <v>307</v>
      </c>
      <c r="B27" s="148" t="str">
        <f>nmProd3&amp;" Labour Exp SI"</f>
        <v>Kara Labour Exp SI</v>
      </c>
      <c r="C27" s="123" t="s">
        <v>184</v>
      </c>
      <c r="D27" s="339">
        <v>0</v>
      </c>
      <c r="E27" s="384">
        <f t="shared" si="1"/>
        <v>0</v>
      </c>
      <c r="F27" s="7" t="s">
        <v>3783</v>
      </c>
      <c r="G27" s="610">
        <f>SUMIF(adj!$C$3:$C$2933,$A27,adj!E$3:E$2933)</f>
        <v>0</v>
      </c>
    </row>
    <row r="28" spans="1:7">
      <c r="A28" s="147">
        <v>308</v>
      </c>
      <c r="B28" s="148" t="str">
        <f>nmProd4&amp;" Labour Exp SI"</f>
        <v>Brew Master Labour Exp SI</v>
      </c>
      <c r="C28" s="123" t="s">
        <v>184</v>
      </c>
      <c r="D28" s="339">
        <v>0</v>
      </c>
      <c r="E28" s="384">
        <f t="shared" si="1"/>
        <v>0</v>
      </c>
      <c r="F28" s="7" t="s">
        <v>3784</v>
      </c>
      <c r="G28" s="610">
        <f>SUMIF(adj!$C$3:$C$2933,$A28,adj!E$3:E$2933)</f>
        <v>0</v>
      </c>
    </row>
    <row r="29" spans="1:7">
      <c r="A29" s="147">
        <v>309</v>
      </c>
      <c r="B29" s="148" t="str">
        <f>nmProd1&amp;" Log Exp SI"</f>
        <v>Greenborg Log Exp SI</v>
      </c>
      <c r="C29" s="123" t="s">
        <v>184</v>
      </c>
      <c r="D29" s="339">
        <v>0</v>
      </c>
      <c r="E29" s="384">
        <f t="shared" si="1"/>
        <v>0</v>
      </c>
      <c r="F29" s="7" t="s">
        <v>3785</v>
      </c>
      <c r="G29" s="610">
        <f>SUMIF(adj!$C$3:$C$2933,$A29,adj!E$3:E$2933)</f>
        <v>0</v>
      </c>
    </row>
    <row r="30" spans="1:7">
      <c r="A30" s="147">
        <v>310</v>
      </c>
      <c r="B30" s="148" t="str">
        <f>nmProd2&amp;" Log Exp SI"</f>
        <v>Harken Log Exp SI</v>
      </c>
      <c r="C30" s="123" t="s">
        <v>184</v>
      </c>
      <c r="D30" s="339">
        <v>0</v>
      </c>
      <c r="E30" s="384">
        <f t="shared" si="1"/>
        <v>0</v>
      </c>
      <c r="F30" s="7" t="s">
        <v>3786</v>
      </c>
      <c r="G30" s="610">
        <f>SUMIF(adj!$C$3:$C$2933,$A30,adj!E$3:E$2933)</f>
        <v>0</v>
      </c>
    </row>
    <row r="31" spans="1:7">
      <c r="A31" s="147">
        <v>311</v>
      </c>
      <c r="B31" s="148" t="str">
        <f>nmProd3&amp;" Log Exp SI"</f>
        <v>Kara Log Exp SI</v>
      </c>
      <c r="C31" s="123" t="s">
        <v>184</v>
      </c>
      <c r="D31" s="339">
        <v>0</v>
      </c>
      <c r="E31" s="384">
        <f t="shared" si="1"/>
        <v>0</v>
      </c>
      <c r="F31" s="7" t="s">
        <v>3787</v>
      </c>
      <c r="G31" s="610">
        <f>SUMIF(adj!$C$3:$C$2933,$A31,adj!E$3:E$2933)</f>
        <v>0</v>
      </c>
    </row>
    <row r="32" spans="1:7">
      <c r="A32" s="147">
        <v>312</v>
      </c>
      <c r="B32" s="148" t="str">
        <f>nmProd4&amp;" Log Exp SI"</f>
        <v>Brew Master Log Exp SI</v>
      </c>
      <c r="C32" s="123" t="s">
        <v>184</v>
      </c>
      <c r="D32" s="339">
        <v>0</v>
      </c>
      <c r="E32" s="384">
        <f t="shared" si="1"/>
        <v>0</v>
      </c>
      <c r="F32" s="7" t="s">
        <v>3788</v>
      </c>
      <c r="G32" s="610">
        <f>SUMIF(adj!$C$3:$C$2933,$A32,adj!E$3:E$2933)</f>
        <v>0</v>
      </c>
    </row>
    <row r="33" spans="1:9">
      <c r="G33" s="610"/>
    </row>
    <row r="34" spans="1:9">
      <c r="A34" s="7" t="s">
        <v>558</v>
      </c>
      <c r="G34" s="610"/>
    </row>
    <row r="35" spans="1:9">
      <c r="A35" s="147">
        <v>401</v>
      </c>
      <c r="B35" s="148" t="str">
        <f>nmPlant1&amp;" Investment Cost Per Unit"</f>
        <v>Brewery Investment Cost Per Unit</v>
      </c>
      <c r="C35" s="123" t="s">
        <v>184</v>
      </c>
      <c r="D35" s="269">
        <v>25000000</v>
      </c>
      <c r="E35" s="6">
        <f t="shared" ref="E35:E46" si="2">IF($C35="A",$D35*(1+G35),$D35+G35)</f>
        <v>25000000</v>
      </c>
      <c r="F35" s="7" t="s">
        <v>550</v>
      </c>
      <c r="G35" s="610">
        <f>SUMIF(adj!$C$3:$C$2933,$A35,adj!E$3:E$2933)</f>
        <v>0</v>
      </c>
    </row>
    <row r="36" spans="1:9">
      <c r="A36" s="147">
        <v>402</v>
      </c>
      <c r="B36" s="148" t="s">
        <v>1287</v>
      </c>
      <c r="C36" s="123" t="s">
        <v>184</v>
      </c>
      <c r="D36" s="270">
        <v>0.25</v>
      </c>
      <c r="E36" s="610">
        <f t="shared" si="2"/>
        <v>0.25</v>
      </c>
      <c r="F36" s="7" t="s">
        <v>551</v>
      </c>
      <c r="G36" s="610">
        <f>SUMIF(adj!$C$3:$C$2933,$A36,adj!E$3:E$2933)</f>
        <v>0</v>
      </c>
    </row>
    <row r="37" spans="1:9">
      <c r="A37" s="147">
        <v>403</v>
      </c>
      <c r="B37" s="148" t="str">
        <f>nmPlant1&amp;" Machine Hours Per Plant Unit"</f>
        <v>Brewery Machine Hours Per Plant Unit</v>
      </c>
      <c r="C37" s="123" t="s">
        <v>184</v>
      </c>
      <c r="D37" s="269">
        <v>8000</v>
      </c>
      <c r="E37" s="610">
        <f t="shared" si="2"/>
        <v>8000</v>
      </c>
      <c r="F37" s="7" t="s">
        <v>552</v>
      </c>
      <c r="G37" s="610">
        <f>SUMIF(adj!$C$3:$C$2933,$A37,adj!E$3:E$2933)</f>
        <v>0</v>
      </c>
    </row>
    <row r="38" spans="1:9">
      <c r="A38" s="147">
        <v>404</v>
      </c>
      <c r="B38" s="148" t="str">
        <f>nmPlant1&amp;" Machinery Cost Per Hour"</f>
        <v>Brewery Machinery Cost Per Hour</v>
      </c>
      <c r="C38" s="123" t="s">
        <v>184</v>
      </c>
      <c r="D38" s="269">
        <v>1050</v>
      </c>
      <c r="E38" s="610">
        <f t="shared" si="2"/>
        <v>1050</v>
      </c>
      <c r="F38" s="7" t="s">
        <v>553</v>
      </c>
      <c r="G38" s="610">
        <f>SUMIF(adj!$C$3:$C$2933,$A38,adj!E$3:E$2933)</f>
        <v>0</v>
      </c>
      <c r="I38" s="126"/>
    </row>
    <row r="39" spans="1:9">
      <c r="A39" s="147">
        <v>405</v>
      </c>
      <c r="B39" s="148" t="str">
        <f>nmPlant1&amp;" Deprecation Rate"</f>
        <v>Brewery Deprecation Rate</v>
      </c>
      <c r="C39" s="123" t="s">
        <v>184</v>
      </c>
      <c r="D39" s="256">
        <v>0.1</v>
      </c>
      <c r="E39" s="376">
        <f t="shared" si="2"/>
        <v>0.1</v>
      </c>
      <c r="F39" s="7" t="s">
        <v>554</v>
      </c>
      <c r="G39" s="610">
        <f>SUMIF(adj!$C$3:$C$2933,$A39,adj!E$3:E$2933)</f>
        <v>0</v>
      </c>
    </row>
    <row r="40" spans="1:9">
      <c r="A40" s="147">
        <v>406</v>
      </c>
      <c r="B40" s="148" t="str">
        <f>nmPlant1&amp;" Plant Ramp Up Pct"</f>
        <v>Brewery Plant Ramp Up Pct</v>
      </c>
      <c r="C40" s="123" t="s">
        <v>184</v>
      </c>
      <c r="D40" s="256">
        <v>1</v>
      </c>
      <c r="E40" s="376">
        <f t="shared" si="2"/>
        <v>1</v>
      </c>
      <c r="F40" s="7" t="s">
        <v>555</v>
      </c>
      <c r="G40" s="610">
        <f>SUMIF(adj!$C$3:$C$2933,$A40,adj!E$3:E$2933)</f>
        <v>0</v>
      </c>
    </row>
    <row r="41" spans="1:9">
      <c r="A41" s="147">
        <v>407</v>
      </c>
      <c r="B41" s="148" t="str">
        <f>nmPlant1&amp;" Divestment Revenue per Unit"</f>
        <v>Brewery Divestment Revenue per Unit</v>
      </c>
      <c r="C41" s="123" t="s">
        <v>184</v>
      </c>
      <c r="D41" s="269">
        <f>D35*0.3</f>
        <v>7500000</v>
      </c>
      <c r="E41" s="6">
        <f t="shared" si="2"/>
        <v>7500000</v>
      </c>
      <c r="F41" s="7" t="s">
        <v>556</v>
      </c>
      <c r="G41" s="610">
        <f>SUMIF(adj!$C$3:$C$2933,$A41,adj!E$3:E$2933)</f>
        <v>0</v>
      </c>
    </row>
    <row r="42" spans="1:9">
      <c r="A42" s="147">
        <v>408</v>
      </c>
      <c r="B42" s="148" t="str">
        <f>nmPlant1&amp;" Max Utilization"</f>
        <v>Brewery Max Utilization</v>
      </c>
      <c r="C42" s="123" t="s">
        <v>184</v>
      </c>
      <c r="D42" s="271">
        <v>0.9</v>
      </c>
      <c r="E42" s="376">
        <f t="shared" si="2"/>
        <v>0.9</v>
      </c>
      <c r="F42" s="7" t="s">
        <v>557</v>
      </c>
      <c r="G42" s="610">
        <f>SUMIF(adj!$C$3:$C$2933,$A42,adj!E$3:E$2933)</f>
        <v>0</v>
      </c>
    </row>
    <row r="43" spans="1:9">
      <c r="A43" s="147">
        <v>409</v>
      </c>
      <c r="B43" s="148" t="s">
        <v>563</v>
      </c>
      <c r="C43" s="123" t="s">
        <v>184</v>
      </c>
      <c r="D43" s="145">
        <v>4</v>
      </c>
      <c r="E43" s="6">
        <f t="shared" si="2"/>
        <v>4</v>
      </c>
      <c r="F43" s="272" t="s">
        <v>564</v>
      </c>
      <c r="G43" s="610">
        <f>SUMIF(adj!$C$3:$C$2933,$A43,adj!E$3:E$2933)</f>
        <v>0</v>
      </c>
    </row>
    <row r="44" spans="1:9">
      <c r="A44" s="147">
        <v>410</v>
      </c>
      <c r="B44" s="148" t="s">
        <v>566</v>
      </c>
      <c r="C44" s="123" t="s">
        <v>184</v>
      </c>
      <c r="D44" s="256">
        <v>0.2</v>
      </c>
      <c r="E44" s="376">
        <f t="shared" si="2"/>
        <v>0.2</v>
      </c>
      <c r="F44" s="7" t="s">
        <v>565</v>
      </c>
      <c r="G44" s="610">
        <f>SUMIF(adj!$C$3:$C$2933,$A44,adj!E$3:E$2933)</f>
        <v>0</v>
      </c>
    </row>
    <row r="45" spans="1:9">
      <c r="A45" s="147">
        <v>411</v>
      </c>
      <c r="B45" s="148" t="s">
        <v>2967</v>
      </c>
      <c r="C45" s="123" t="s">
        <v>184</v>
      </c>
      <c r="D45" s="256">
        <v>0.5</v>
      </c>
      <c r="E45" s="376">
        <f t="shared" si="2"/>
        <v>0.5</v>
      </c>
      <c r="F45" s="7" t="s">
        <v>2968</v>
      </c>
      <c r="G45" s="610">
        <f>SUMIF(adj!$C$3:$C$2933,$A45,adj!E$3:E$2933)</f>
        <v>0</v>
      </c>
    </row>
    <row r="46" spans="1:9">
      <c r="A46" s="147">
        <v>412</v>
      </c>
      <c r="B46" s="148" t="s">
        <v>2970</v>
      </c>
      <c r="C46" s="123" t="s">
        <v>184</v>
      </c>
      <c r="D46" s="256">
        <v>0.02</v>
      </c>
      <c r="E46" s="376">
        <f t="shared" si="2"/>
        <v>0.02</v>
      </c>
      <c r="F46" s="7" t="s">
        <v>2971</v>
      </c>
      <c r="G46" s="610">
        <f>SUMIF(adj!$C$3:$C$2933,$A46,adj!E$3:E$2933)</f>
        <v>0</v>
      </c>
    </row>
    <row r="47" spans="1:9">
      <c r="D47" s="127"/>
      <c r="E47"/>
      <c r="F47" s="7"/>
      <c r="G47" s="610"/>
    </row>
    <row r="48" spans="1:9">
      <c r="A48" s="7" t="s">
        <v>575</v>
      </c>
      <c r="D48" s="127"/>
      <c r="E48"/>
      <c r="F48" s="7"/>
      <c r="G48" s="610"/>
    </row>
    <row r="49" spans="1:7">
      <c r="A49" s="147">
        <v>501</v>
      </c>
      <c r="B49" s="148" t="s">
        <v>971</v>
      </c>
      <c r="C49" s="123" t="s">
        <v>184</v>
      </c>
      <c r="D49" s="339">
        <v>5</v>
      </c>
      <c r="E49" s="6">
        <f>IF($C49="A",$D49*(1+G49),$D49+G49)</f>
        <v>5</v>
      </c>
      <c r="F49" s="7" t="s">
        <v>972</v>
      </c>
      <c r="G49" s="610">
        <f>SUMIF(adj!$C$3:$C$2933,$A49,adj!E$3:E$2933)</f>
        <v>0</v>
      </c>
    </row>
    <row r="50" spans="1:7">
      <c r="A50" s="7"/>
      <c r="D50" s="127"/>
      <c r="F50" s="7"/>
      <c r="G50" s="610"/>
    </row>
    <row r="51" spans="1:7">
      <c r="A51" s="7" t="s">
        <v>1303</v>
      </c>
      <c r="D51" s="127"/>
      <c r="F51" s="7"/>
      <c r="G51" s="610"/>
    </row>
    <row r="52" spans="1:7">
      <c r="A52" s="147">
        <v>601</v>
      </c>
      <c r="B52" s="148" t="str">
        <f>nmValDriv1&amp;" Unconditionality Factor"</f>
        <v>Distribution Unconditionality Factor</v>
      </c>
      <c r="C52" s="123" t="s">
        <v>184</v>
      </c>
      <c r="D52" s="256">
        <v>0.4</v>
      </c>
      <c r="E52" s="376">
        <f t="shared" ref="E52:E71" si="3">IF($C52="A",$D52*(1+G52),$D52+G52)</f>
        <v>0.4</v>
      </c>
      <c r="F52" s="7" t="s">
        <v>3664</v>
      </c>
      <c r="G52" s="610">
        <f>SUMIF(adj!$C$3:$C$2933,$A52,adj!E$3:E$2933)</f>
        <v>0</v>
      </c>
    </row>
    <row r="53" spans="1:7">
      <c r="A53" s="147">
        <v>602</v>
      </c>
      <c r="B53" s="148" t="str">
        <f>nmValDriv1&amp;" Unconditionality Factor"</f>
        <v>Distribution Unconditionality Factor</v>
      </c>
      <c r="C53" s="123" t="s">
        <v>184</v>
      </c>
      <c r="D53" s="256">
        <v>0.4</v>
      </c>
      <c r="E53" s="376">
        <f t="shared" si="3"/>
        <v>0.4</v>
      </c>
      <c r="F53" s="7" t="s">
        <v>3665</v>
      </c>
      <c r="G53" s="610">
        <f>SUMIF(adj!$C$3:$C$2933,$A53,adj!E$3:E$2933)</f>
        <v>0</v>
      </c>
    </row>
    <row r="54" spans="1:7">
      <c r="A54" s="147">
        <v>603</v>
      </c>
      <c r="B54" s="148" t="str">
        <f>nmValDriv1&amp;" Unconditionality Factor"</f>
        <v>Distribution Unconditionality Factor</v>
      </c>
      <c r="C54" s="123" t="s">
        <v>184</v>
      </c>
      <c r="D54" s="256">
        <v>0.5</v>
      </c>
      <c r="E54" s="376">
        <f t="shared" si="3"/>
        <v>0.5</v>
      </c>
      <c r="F54" s="7" t="s">
        <v>3666</v>
      </c>
      <c r="G54" s="610">
        <f>SUMIF(adj!$C$3:$C$2933,$A54,adj!E$3:E$2933)</f>
        <v>0</v>
      </c>
    </row>
    <row r="55" spans="1:7">
      <c r="A55" s="147">
        <v>604</v>
      </c>
      <c r="B55" s="148" t="str">
        <f>nmValDriv1&amp;" Unconditionality Factor"</f>
        <v>Distribution Unconditionality Factor</v>
      </c>
      <c r="C55" s="123" t="s">
        <v>184</v>
      </c>
      <c r="D55" s="256">
        <v>0.6</v>
      </c>
      <c r="E55" s="376">
        <f t="shared" si="3"/>
        <v>0.6</v>
      </c>
      <c r="F55" s="7" t="s">
        <v>3667</v>
      </c>
      <c r="G55" s="610">
        <f>SUMIF(adj!$C$3:$C$2933,$A55,adj!E$3:E$2933)</f>
        <v>0</v>
      </c>
    </row>
    <row r="56" spans="1:7">
      <c r="A56" s="147">
        <v>605</v>
      </c>
      <c r="B56" s="148" t="str">
        <f>nmValDriv2&amp;" Unconditionality Factor"</f>
        <v>Shelf Space Unconditionality Factor</v>
      </c>
      <c r="C56" s="123" t="s">
        <v>184</v>
      </c>
      <c r="D56" s="256">
        <v>0.4</v>
      </c>
      <c r="E56" s="376">
        <f t="shared" si="3"/>
        <v>0.4</v>
      </c>
      <c r="F56" s="7" t="s">
        <v>3316</v>
      </c>
      <c r="G56" s="610">
        <f>SUMIF(adj!$C$3:$C$2933,$A56,adj!E$3:E$2933)</f>
        <v>0</v>
      </c>
    </row>
    <row r="57" spans="1:7">
      <c r="A57" s="147">
        <v>606</v>
      </c>
      <c r="B57" s="148" t="str">
        <f>nmValDriv2&amp;" Unconditionality Factor"</f>
        <v>Shelf Space Unconditionality Factor</v>
      </c>
      <c r="C57" s="123" t="s">
        <v>184</v>
      </c>
      <c r="D57" s="256">
        <v>0.4</v>
      </c>
      <c r="E57" s="376">
        <f t="shared" si="3"/>
        <v>0.4</v>
      </c>
      <c r="F57" s="7" t="s">
        <v>3317</v>
      </c>
      <c r="G57" s="610">
        <f>SUMIF(adj!$C$3:$C$2933,$A57,adj!E$3:E$2933)</f>
        <v>0</v>
      </c>
    </row>
    <row r="58" spans="1:7">
      <c r="A58" s="147">
        <v>607</v>
      </c>
      <c r="B58" s="148" t="str">
        <f>nmValDriv2&amp;" Unconditionality Factor"</f>
        <v>Shelf Space Unconditionality Factor</v>
      </c>
      <c r="C58" s="123" t="s">
        <v>184</v>
      </c>
      <c r="D58" s="256">
        <v>0.5</v>
      </c>
      <c r="E58" s="376">
        <f t="shared" si="3"/>
        <v>0.5</v>
      </c>
      <c r="F58" s="7" t="s">
        <v>3318</v>
      </c>
      <c r="G58" s="610">
        <f>SUMIF(adj!$C$3:$C$2933,$A58,adj!E$3:E$2933)</f>
        <v>0</v>
      </c>
    </row>
    <row r="59" spans="1:7">
      <c r="A59" s="147">
        <v>608</v>
      </c>
      <c r="B59" s="148" t="str">
        <f>nmValDriv2&amp;" Unconditionality Factor"</f>
        <v>Shelf Space Unconditionality Factor</v>
      </c>
      <c r="C59" s="123" t="s">
        <v>184</v>
      </c>
      <c r="D59" s="256">
        <v>0.6</v>
      </c>
      <c r="E59" s="376">
        <f t="shared" si="3"/>
        <v>0.6</v>
      </c>
      <c r="F59" s="7" t="s">
        <v>3319</v>
      </c>
      <c r="G59" s="610">
        <f>SUMIF(adj!$C$3:$C$2933,$A59,adj!E$3:E$2933)</f>
        <v>0</v>
      </c>
    </row>
    <row r="60" spans="1:7">
      <c r="A60" s="147">
        <v>609</v>
      </c>
      <c r="B60" s="148" t="str">
        <f>nmValDriv3&amp;" Unconditionality Factor"</f>
        <v>Floor Space Unconditionality Factor</v>
      </c>
      <c r="C60" s="123" t="s">
        <v>184</v>
      </c>
      <c r="D60" s="256">
        <v>0.4</v>
      </c>
      <c r="E60" s="376">
        <f t="shared" si="3"/>
        <v>0.4</v>
      </c>
      <c r="F60" s="7" t="s">
        <v>3320</v>
      </c>
      <c r="G60" s="610">
        <f>SUMIF(adj!$C$3:$C$2933,$A60,adj!E$3:E$2933)</f>
        <v>0</v>
      </c>
    </row>
    <row r="61" spans="1:7">
      <c r="A61" s="147">
        <v>610</v>
      </c>
      <c r="B61" s="148" t="str">
        <f>nmValDriv3&amp;" Unconditionality Factor"</f>
        <v>Floor Space Unconditionality Factor</v>
      </c>
      <c r="C61" s="123" t="s">
        <v>184</v>
      </c>
      <c r="D61" s="256">
        <v>0.4</v>
      </c>
      <c r="E61" s="376">
        <f t="shared" si="3"/>
        <v>0.4</v>
      </c>
      <c r="F61" s="7" t="s">
        <v>3321</v>
      </c>
      <c r="G61" s="610">
        <f>SUMIF(adj!$C$3:$C$2933,$A61,adj!E$3:E$2933)</f>
        <v>0</v>
      </c>
    </row>
    <row r="62" spans="1:7">
      <c r="A62" s="147">
        <v>611</v>
      </c>
      <c r="B62" s="148" t="str">
        <f>nmValDriv3&amp;" Unconditionality Factor"</f>
        <v>Floor Space Unconditionality Factor</v>
      </c>
      <c r="C62" s="123" t="s">
        <v>184</v>
      </c>
      <c r="D62" s="256">
        <v>0.5</v>
      </c>
      <c r="E62" s="376">
        <f t="shared" si="3"/>
        <v>0.5</v>
      </c>
      <c r="F62" s="7" t="s">
        <v>3322</v>
      </c>
      <c r="G62" s="610">
        <f>SUMIF(adj!$C$3:$C$2933,$A62,adj!E$3:E$2933)</f>
        <v>0</v>
      </c>
    </row>
    <row r="63" spans="1:7">
      <c r="A63" s="147">
        <v>612</v>
      </c>
      <c r="B63" s="148" t="str">
        <f>nmValDriv3&amp;" Unconditionality Factor"</f>
        <v>Floor Space Unconditionality Factor</v>
      </c>
      <c r="C63" s="123" t="s">
        <v>184</v>
      </c>
      <c r="D63" s="256">
        <v>0.6</v>
      </c>
      <c r="E63" s="376">
        <f t="shared" si="3"/>
        <v>0.6</v>
      </c>
      <c r="F63" s="7" t="s">
        <v>3323</v>
      </c>
      <c r="G63" s="610">
        <f>SUMIF(adj!$C$3:$C$2933,$A63,adj!E$3:E$2933)</f>
        <v>0</v>
      </c>
    </row>
    <row r="64" spans="1:7" s="610" customFormat="1">
      <c r="A64" s="147">
        <v>613</v>
      </c>
      <c r="B64" s="148" t="str">
        <f>nmValDriv4&amp;" Unconditionality Factor"</f>
        <v>Cool Space Unconditionality Factor</v>
      </c>
      <c r="C64" s="627" t="s">
        <v>184</v>
      </c>
      <c r="D64" s="256">
        <v>0.4</v>
      </c>
      <c r="E64" s="376">
        <f t="shared" si="3"/>
        <v>0.4</v>
      </c>
      <c r="F64" s="611" t="s">
        <v>8370</v>
      </c>
      <c r="G64" s="610">
        <f>SUMIF(adj!$C$3:$C$2933,$A64,adj!E$3:E$2933)</f>
        <v>0</v>
      </c>
    </row>
    <row r="65" spans="1:7" s="610" customFormat="1">
      <c r="A65" s="147">
        <v>614</v>
      </c>
      <c r="B65" s="148" t="str">
        <f>nmValDriv4&amp;" Unconditionality Factor"</f>
        <v>Cool Space Unconditionality Factor</v>
      </c>
      <c r="C65" s="627" t="s">
        <v>184</v>
      </c>
      <c r="D65" s="256">
        <v>0.4</v>
      </c>
      <c r="E65" s="376">
        <f t="shared" si="3"/>
        <v>0.4</v>
      </c>
      <c r="F65" s="611" t="s">
        <v>8371</v>
      </c>
      <c r="G65" s="610">
        <f>SUMIF(adj!$C$3:$C$2933,$A65,adj!E$3:E$2933)</f>
        <v>0</v>
      </c>
    </row>
    <row r="66" spans="1:7" s="610" customFormat="1">
      <c r="A66" s="147">
        <v>615</v>
      </c>
      <c r="B66" s="148" t="str">
        <f>nmValDriv4&amp;" Unconditionality Factor"</f>
        <v>Cool Space Unconditionality Factor</v>
      </c>
      <c r="C66" s="627" t="s">
        <v>184</v>
      </c>
      <c r="D66" s="256">
        <v>0.5</v>
      </c>
      <c r="E66" s="376">
        <f t="shared" si="3"/>
        <v>0.5</v>
      </c>
      <c r="F66" s="611" t="s">
        <v>8372</v>
      </c>
      <c r="G66" s="610">
        <f>SUMIF(adj!$C$3:$C$2933,$A66,adj!E$3:E$2933)</f>
        <v>0</v>
      </c>
    </row>
    <row r="67" spans="1:7" s="610" customFormat="1">
      <c r="A67" s="147">
        <v>616</v>
      </c>
      <c r="B67" s="148" t="str">
        <f>nmValDriv4&amp;" Unconditionality Factor"</f>
        <v>Cool Space Unconditionality Factor</v>
      </c>
      <c r="C67" s="627" t="s">
        <v>184</v>
      </c>
      <c r="D67" s="256">
        <v>0.6</v>
      </c>
      <c r="E67" s="376">
        <f t="shared" si="3"/>
        <v>0.6</v>
      </c>
      <c r="F67" s="611" t="s">
        <v>8373</v>
      </c>
      <c r="G67" s="610">
        <f>SUMIF(adj!$C$3:$C$2933,$A67,adj!E$3:E$2933)</f>
        <v>0</v>
      </c>
    </row>
    <row r="68" spans="1:7" s="610" customFormat="1">
      <c r="A68" s="147">
        <v>617</v>
      </c>
      <c r="B68" s="148" t="str">
        <f>nmValDriv5&amp;" Unconditionality Factor"</f>
        <v>Visibility Unconditionality Factor</v>
      </c>
      <c r="C68" s="627" t="s">
        <v>184</v>
      </c>
      <c r="D68" s="256">
        <v>0.4</v>
      </c>
      <c r="E68" s="376">
        <f t="shared" si="3"/>
        <v>0.4</v>
      </c>
      <c r="F68" s="611" t="s">
        <v>8374</v>
      </c>
      <c r="G68" s="610">
        <f>SUMIF(adj!$C$3:$C$2933,$A68,adj!E$3:E$2933)</f>
        <v>0</v>
      </c>
    </row>
    <row r="69" spans="1:7" s="610" customFormat="1">
      <c r="A69" s="147">
        <v>618</v>
      </c>
      <c r="B69" s="148" t="str">
        <f>nmValDriv5&amp;" Unconditionality Factor"</f>
        <v>Visibility Unconditionality Factor</v>
      </c>
      <c r="C69" s="627" t="s">
        <v>184</v>
      </c>
      <c r="D69" s="256">
        <v>0.4</v>
      </c>
      <c r="E69" s="376">
        <f t="shared" si="3"/>
        <v>0.4</v>
      </c>
      <c r="F69" s="611" t="s">
        <v>8375</v>
      </c>
      <c r="G69" s="610">
        <f>SUMIF(adj!$C$3:$C$2933,$A69,adj!E$3:E$2933)</f>
        <v>0</v>
      </c>
    </row>
    <row r="70" spans="1:7" s="610" customFormat="1">
      <c r="A70" s="147">
        <v>619</v>
      </c>
      <c r="B70" s="148" t="str">
        <f>nmValDriv5&amp;" Unconditionality Factor"</f>
        <v>Visibility Unconditionality Factor</v>
      </c>
      <c r="C70" s="627" t="s">
        <v>184</v>
      </c>
      <c r="D70" s="256">
        <v>0.5</v>
      </c>
      <c r="E70" s="376">
        <f t="shared" si="3"/>
        <v>0.5</v>
      </c>
      <c r="F70" s="611" t="s">
        <v>8376</v>
      </c>
      <c r="G70" s="610">
        <f>SUMIF(adj!$C$3:$C$2933,$A70,adj!E$3:E$2933)</f>
        <v>0</v>
      </c>
    </row>
    <row r="71" spans="1:7" s="610" customFormat="1">
      <c r="A71" s="147">
        <v>620</v>
      </c>
      <c r="B71" s="148" t="str">
        <f>nmValDriv5&amp;" Unconditionality Factor"</f>
        <v>Visibility Unconditionality Factor</v>
      </c>
      <c r="C71" s="627" t="s">
        <v>184</v>
      </c>
      <c r="D71" s="256">
        <v>0.6</v>
      </c>
      <c r="E71" s="376">
        <f t="shared" si="3"/>
        <v>0.6</v>
      </c>
      <c r="F71" s="611" t="s">
        <v>8377</v>
      </c>
      <c r="G71" s="610">
        <f>SUMIF(adj!$C$3:$C$2933,$A71,adj!E$3:E$2933)</f>
        <v>0</v>
      </c>
    </row>
    <row r="72" spans="1:7">
      <c r="A72" s="147">
        <v>621</v>
      </c>
      <c r="B72" s="148" t="str">
        <f>nmCh1&amp;" Conditionality SI Impact"</f>
        <v>Hypermarkets Conditionality SI Impact</v>
      </c>
      <c r="C72" s="123" t="s">
        <v>183</v>
      </c>
      <c r="D72" s="256">
        <v>0</v>
      </c>
      <c r="E72" s="376">
        <f t="shared" ref="E72:E102" si="4">IF($C72="R",$D72*(1+G72),$D72+G72)</f>
        <v>0</v>
      </c>
      <c r="F72" s="7" t="s">
        <v>3311</v>
      </c>
      <c r="G72" s="610">
        <f>SUMIF(adj!$C$3:$C$2933,$A72,adj!E$3:E$2933)</f>
        <v>0</v>
      </c>
    </row>
    <row r="73" spans="1:7">
      <c r="A73" s="147">
        <v>622</v>
      </c>
      <c r="B73" s="148" t="str">
        <f>nmCh2&amp;" Conditionality SI Impact"</f>
        <v>Discounters Conditionality SI Impact</v>
      </c>
      <c r="C73" s="123" t="s">
        <v>183</v>
      </c>
      <c r="D73" s="256">
        <v>0</v>
      </c>
      <c r="E73" s="376">
        <f t="shared" si="4"/>
        <v>0</v>
      </c>
      <c r="F73" s="7" t="s">
        <v>3314</v>
      </c>
      <c r="G73" s="610">
        <f>SUMIF(adj!$C$3:$C$2933,$A73,adj!E$3:E$2933)</f>
        <v>0</v>
      </c>
    </row>
    <row r="74" spans="1:7">
      <c r="A74" s="147">
        <v>623</v>
      </c>
      <c r="B74" s="148" t="str">
        <f>nmCh3&amp;" Conditionality SI Impact"</f>
        <v>Convenience Conditionality SI Impact</v>
      </c>
      <c r="C74" s="123" t="s">
        <v>183</v>
      </c>
      <c r="D74" s="256">
        <v>0</v>
      </c>
      <c r="E74" s="376">
        <f t="shared" si="4"/>
        <v>0</v>
      </c>
      <c r="F74" s="7" t="s">
        <v>3313</v>
      </c>
      <c r="G74" s="610">
        <f>SUMIF(adj!$C$3:$C$2933,$A74,adj!E$3:E$2933)</f>
        <v>0</v>
      </c>
    </row>
    <row r="75" spans="1:7">
      <c r="A75" s="147">
        <v>624</v>
      </c>
      <c r="B75" s="148" t="str">
        <f>nmCh4&amp;" Conditionality SI Impact"</f>
        <v>On-Trade Conditionality SI Impact</v>
      </c>
      <c r="C75" s="123" t="s">
        <v>183</v>
      </c>
      <c r="D75" s="256">
        <v>0</v>
      </c>
      <c r="E75" s="376">
        <f t="shared" si="4"/>
        <v>0</v>
      </c>
      <c r="F75" s="7" t="s">
        <v>3312</v>
      </c>
      <c r="G75" s="610">
        <f>SUMIF(adj!$C$3:$C$2933,$A75,adj!E$3:E$2933)</f>
        <v>0</v>
      </c>
    </row>
    <row r="76" spans="1:7" s="610" customFormat="1">
      <c r="A76" s="147">
        <v>625</v>
      </c>
      <c r="B76" s="148" t="str">
        <f>nmValDriv1&amp;" - "&amp;nmCh1&amp;" SI Factor"</f>
        <v>Distribution - Hypermarkets SI Factor</v>
      </c>
      <c r="C76" s="627" t="s">
        <v>183</v>
      </c>
      <c r="D76" s="339">
        <v>0</v>
      </c>
      <c r="E76" s="384">
        <f t="shared" si="4"/>
        <v>0</v>
      </c>
      <c r="F76" s="611" t="s">
        <v>8378</v>
      </c>
      <c r="G76" s="610">
        <f>SUMIF(adj!$C$3:$C$2933,$A76,adj!E$3:E$2933)</f>
        <v>0</v>
      </c>
    </row>
    <row r="77" spans="1:7" s="610" customFormat="1">
      <c r="A77" s="147">
        <v>626</v>
      </c>
      <c r="B77" s="148" t="str">
        <f>nmValDriv1&amp;" - "&amp;nmCh2&amp;" SI Factor"</f>
        <v>Distribution - Discounters SI Factor</v>
      </c>
      <c r="C77" s="627" t="s">
        <v>183</v>
      </c>
      <c r="D77" s="339">
        <v>0</v>
      </c>
      <c r="E77" s="384">
        <f t="shared" si="4"/>
        <v>0</v>
      </c>
      <c r="F77" s="611" t="s">
        <v>8379</v>
      </c>
      <c r="G77" s="610">
        <f>SUMIF(adj!$C$3:$C$2933,$A77,adj!E$3:E$2933)</f>
        <v>0</v>
      </c>
    </row>
    <row r="78" spans="1:7" s="610" customFormat="1">
      <c r="A78" s="147">
        <v>627</v>
      </c>
      <c r="B78" s="148" t="str">
        <f>nmValDriv1&amp;" - "&amp;nmCh3&amp;" SI Factor"</f>
        <v>Distribution - Convenience SI Factor</v>
      </c>
      <c r="C78" s="627" t="s">
        <v>183</v>
      </c>
      <c r="D78" s="339">
        <v>0</v>
      </c>
      <c r="E78" s="384">
        <f t="shared" si="4"/>
        <v>0</v>
      </c>
      <c r="F78" s="611" t="s">
        <v>8380</v>
      </c>
      <c r="G78" s="610">
        <f>SUMIF(adj!$C$3:$C$2933,$A78,adj!E$3:E$2933)</f>
        <v>0</v>
      </c>
    </row>
    <row r="79" spans="1:7" s="610" customFormat="1">
      <c r="A79" s="147">
        <v>628</v>
      </c>
      <c r="B79" s="148" t="str">
        <f>nmValDriv1&amp;" - "&amp;nmCh4&amp;" SI Factor"</f>
        <v>Distribution - On-Trade SI Factor</v>
      </c>
      <c r="C79" s="627" t="s">
        <v>183</v>
      </c>
      <c r="D79" s="339">
        <v>0</v>
      </c>
      <c r="E79" s="384">
        <f t="shared" si="4"/>
        <v>0</v>
      </c>
      <c r="F79" s="611" t="s">
        <v>8381</v>
      </c>
      <c r="G79" s="610">
        <f>SUMIF(adj!$C$3:$C$2933,$A79,adj!E$3:E$2933)</f>
        <v>0</v>
      </c>
    </row>
    <row r="80" spans="1:7" s="610" customFormat="1">
      <c r="A80" s="147">
        <v>629</v>
      </c>
      <c r="B80" s="148" t="str">
        <f>nmValDriv2&amp;" - "&amp;nmCh1&amp;" SI Factor"</f>
        <v>Shelf Space - Hypermarkets SI Factor</v>
      </c>
      <c r="C80" s="627" t="s">
        <v>183</v>
      </c>
      <c r="D80" s="339">
        <v>0</v>
      </c>
      <c r="E80" s="384">
        <f t="shared" si="4"/>
        <v>0</v>
      </c>
      <c r="F80" s="611" t="s">
        <v>8382</v>
      </c>
      <c r="G80" s="610">
        <f>SUMIF(adj!$C$3:$C$2933,$A80,adj!E$3:E$2933)</f>
        <v>0</v>
      </c>
    </row>
    <row r="81" spans="1:7" s="610" customFormat="1">
      <c r="A81" s="147">
        <v>630</v>
      </c>
      <c r="B81" s="148" t="str">
        <f>nmValDriv2&amp;" - "&amp;nmCh2&amp;" SI Factor"</f>
        <v>Shelf Space - Discounters SI Factor</v>
      </c>
      <c r="C81" s="627" t="s">
        <v>183</v>
      </c>
      <c r="D81" s="339">
        <v>0</v>
      </c>
      <c r="E81" s="384">
        <f t="shared" si="4"/>
        <v>0</v>
      </c>
      <c r="F81" s="611" t="s">
        <v>8383</v>
      </c>
      <c r="G81" s="610">
        <f>SUMIF(adj!$C$3:$C$2933,$A81,adj!E$3:E$2933)</f>
        <v>0</v>
      </c>
    </row>
    <row r="82" spans="1:7" s="610" customFormat="1">
      <c r="A82" s="147">
        <v>631</v>
      </c>
      <c r="B82" s="148" t="str">
        <f>nmValDriv2&amp;" - "&amp;nmCh3&amp;" SI Factor"</f>
        <v>Shelf Space - Convenience SI Factor</v>
      </c>
      <c r="C82" s="627" t="s">
        <v>183</v>
      </c>
      <c r="D82" s="339">
        <v>0</v>
      </c>
      <c r="E82" s="384">
        <f t="shared" si="4"/>
        <v>0</v>
      </c>
      <c r="F82" s="611" t="s">
        <v>8384</v>
      </c>
      <c r="G82" s="610">
        <f>SUMIF(adj!$C$3:$C$2933,$A82,adj!E$3:E$2933)</f>
        <v>0</v>
      </c>
    </row>
    <row r="83" spans="1:7" s="610" customFormat="1">
      <c r="A83" s="147">
        <v>632</v>
      </c>
      <c r="B83" s="148" t="str">
        <f>nmValDriv2&amp;" - "&amp;nmCh4&amp;" SI Factor"</f>
        <v>Shelf Space - On-Trade SI Factor</v>
      </c>
      <c r="C83" s="627" t="s">
        <v>183</v>
      </c>
      <c r="D83" s="339">
        <v>0</v>
      </c>
      <c r="E83" s="384">
        <f t="shared" si="4"/>
        <v>0</v>
      </c>
      <c r="F83" s="611" t="s">
        <v>8385</v>
      </c>
      <c r="G83" s="610">
        <f>SUMIF(adj!$C$3:$C$2933,$A83,adj!E$3:E$2933)</f>
        <v>0</v>
      </c>
    </row>
    <row r="84" spans="1:7" s="610" customFormat="1">
      <c r="A84" s="147">
        <v>633</v>
      </c>
      <c r="B84" s="148" t="str">
        <f>nmValDriv3&amp;" - "&amp;nmCh1&amp;" SI Factor"</f>
        <v>Floor Space - Hypermarkets SI Factor</v>
      </c>
      <c r="C84" s="627" t="s">
        <v>183</v>
      </c>
      <c r="D84" s="339">
        <v>0</v>
      </c>
      <c r="E84" s="384">
        <f t="shared" si="4"/>
        <v>0</v>
      </c>
      <c r="F84" s="611" t="s">
        <v>8386</v>
      </c>
      <c r="G84" s="610">
        <f>SUMIF(adj!$C$3:$C$2933,$A84,adj!E$3:E$2933)</f>
        <v>0</v>
      </c>
    </row>
    <row r="85" spans="1:7" s="610" customFormat="1">
      <c r="A85" s="147">
        <v>634</v>
      </c>
      <c r="B85" s="148" t="str">
        <f>nmValDriv3&amp;" - "&amp;nmCh2&amp;" SI Factor"</f>
        <v>Floor Space - Discounters SI Factor</v>
      </c>
      <c r="C85" s="627" t="s">
        <v>183</v>
      </c>
      <c r="D85" s="339">
        <v>0</v>
      </c>
      <c r="E85" s="384">
        <f t="shared" si="4"/>
        <v>0</v>
      </c>
      <c r="F85" s="611" t="s">
        <v>8387</v>
      </c>
      <c r="G85" s="610">
        <f>SUMIF(adj!$C$3:$C$2933,$A85,adj!E$3:E$2933)</f>
        <v>0</v>
      </c>
    </row>
    <row r="86" spans="1:7" s="610" customFormat="1">
      <c r="A86" s="147">
        <v>635</v>
      </c>
      <c r="B86" s="148" t="str">
        <f>nmValDriv3&amp;" - "&amp;nmCh3&amp;" SI Factor"</f>
        <v>Floor Space - Convenience SI Factor</v>
      </c>
      <c r="C86" s="627" t="s">
        <v>183</v>
      </c>
      <c r="D86" s="339">
        <v>0</v>
      </c>
      <c r="E86" s="384">
        <f t="shared" si="4"/>
        <v>0</v>
      </c>
      <c r="F86" s="611" t="s">
        <v>8388</v>
      </c>
      <c r="G86" s="610">
        <f>SUMIF(adj!$C$3:$C$2933,$A86,adj!E$3:E$2933)</f>
        <v>0</v>
      </c>
    </row>
    <row r="87" spans="1:7" s="610" customFormat="1">
      <c r="A87" s="147">
        <v>636</v>
      </c>
      <c r="B87" s="148" t="str">
        <f>nmValDriv3&amp;" - "&amp;nmCh4&amp;" SI Factor"</f>
        <v>Floor Space - On-Trade SI Factor</v>
      </c>
      <c r="C87" s="627" t="s">
        <v>183</v>
      </c>
      <c r="D87" s="339">
        <v>0</v>
      </c>
      <c r="E87" s="384">
        <f t="shared" si="4"/>
        <v>0</v>
      </c>
      <c r="F87" s="611" t="s">
        <v>8389</v>
      </c>
      <c r="G87" s="610">
        <f>SUMIF(adj!$C$3:$C$2933,$A87,adj!E$3:E$2933)</f>
        <v>0</v>
      </c>
    </row>
    <row r="88" spans="1:7" s="610" customFormat="1">
      <c r="A88" s="147">
        <v>637</v>
      </c>
      <c r="B88" s="148" t="str">
        <f>nmValDriv4&amp;" - "&amp;nmCh1&amp;" SI Factor"</f>
        <v>Cool Space - Hypermarkets SI Factor</v>
      </c>
      <c r="C88" s="627" t="s">
        <v>183</v>
      </c>
      <c r="D88" s="339">
        <v>0</v>
      </c>
      <c r="E88" s="384">
        <f t="shared" si="4"/>
        <v>0</v>
      </c>
      <c r="F88" s="611" t="s">
        <v>8390</v>
      </c>
      <c r="G88" s="610">
        <f>SUMIF(adj!$C$3:$C$2933,$A88,adj!E$3:E$2933)</f>
        <v>0</v>
      </c>
    </row>
    <row r="89" spans="1:7" s="610" customFormat="1">
      <c r="A89" s="147">
        <v>638</v>
      </c>
      <c r="B89" s="148" t="str">
        <f>nmValDriv4&amp;" - "&amp;nmCh2&amp;" SI Factor"</f>
        <v>Cool Space - Discounters SI Factor</v>
      </c>
      <c r="C89" s="627" t="s">
        <v>183</v>
      </c>
      <c r="D89" s="339">
        <v>0</v>
      </c>
      <c r="E89" s="384">
        <f t="shared" si="4"/>
        <v>0</v>
      </c>
      <c r="F89" s="611" t="s">
        <v>8391</v>
      </c>
      <c r="G89" s="610">
        <f>SUMIF(adj!$C$3:$C$2933,$A89,adj!E$3:E$2933)</f>
        <v>0</v>
      </c>
    </row>
    <row r="90" spans="1:7" s="610" customFormat="1">
      <c r="A90" s="147">
        <v>639</v>
      </c>
      <c r="B90" s="148" t="str">
        <f>nmValDriv4&amp;" - "&amp;nmCh3&amp;" SI Factor"</f>
        <v>Cool Space - Convenience SI Factor</v>
      </c>
      <c r="C90" s="627" t="s">
        <v>183</v>
      </c>
      <c r="D90" s="339">
        <v>0</v>
      </c>
      <c r="E90" s="384">
        <f t="shared" si="4"/>
        <v>0</v>
      </c>
      <c r="F90" s="611" t="s">
        <v>8392</v>
      </c>
      <c r="G90" s="610">
        <f>SUMIF(adj!$C$3:$C$2933,$A90,adj!E$3:E$2933)</f>
        <v>0</v>
      </c>
    </row>
    <row r="91" spans="1:7" s="610" customFormat="1">
      <c r="A91" s="147">
        <v>640</v>
      </c>
      <c r="B91" s="148" t="str">
        <f>nmValDriv4&amp;" - "&amp;nmCh4&amp;" SI Factor"</f>
        <v>Cool Space - On-Trade SI Factor</v>
      </c>
      <c r="C91" s="627" t="s">
        <v>183</v>
      </c>
      <c r="D91" s="339">
        <v>0</v>
      </c>
      <c r="E91" s="384">
        <f t="shared" si="4"/>
        <v>0</v>
      </c>
      <c r="F91" s="611" t="s">
        <v>8393</v>
      </c>
      <c r="G91" s="610">
        <f>SUMIF(adj!$C$3:$C$2933,$A91,adj!E$3:E$2933)</f>
        <v>0</v>
      </c>
    </row>
    <row r="92" spans="1:7" s="610" customFormat="1">
      <c r="A92" s="147">
        <v>641</v>
      </c>
      <c r="B92" s="148" t="str">
        <f>nmValDriv5&amp;" - "&amp;nmCh1&amp;" SI Factor"</f>
        <v>Visibility - Hypermarkets SI Factor</v>
      </c>
      <c r="C92" s="627" t="s">
        <v>183</v>
      </c>
      <c r="D92" s="339">
        <v>0</v>
      </c>
      <c r="E92" s="384">
        <f t="shared" si="4"/>
        <v>0</v>
      </c>
      <c r="F92" s="611" t="s">
        <v>8394</v>
      </c>
      <c r="G92" s="610">
        <f>SUMIF(adj!$C$3:$C$2933,$A92,adj!E$3:E$2933)</f>
        <v>0</v>
      </c>
    </row>
    <row r="93" spans="1:7" s="610" customFormat="1">
      <c r="A93" s="147">
        <v>642</v>
      </c>
      <c r="B93" s="148" t="str">
        <f>nmValDriv5&amp;" - "&amp;nmCh2&amp;" SI Factor"</f>
        <v>Visibility - Discounters SI Factor</v>
      </c>
      <c r="C93" s="627" t="s">
        <v>183</v>
      </c>
      <c r="D93" s="339">
        <v>0</v>
      </c>
      <c r="E93" s="384">
        <f t="shared" si="4"/>
        <v>0</v>
      </c>
      <c r="F93" s="611" t="s">
        <v>8395</v>
      </c>
      <c r="G93" s="610">
        <f>SUMIF(adj!$C$3:$C$2933,$A93,adj!E$3:E$2933)</f>
        <v>0</v>
      </c>
    </row>
    <row r="94" spans="1:7" s="610" customFormat="1">
      <c r="A94" s="147">
        <v>643</v>
      </c>
      <c r="B94" s="148" t="str">
        <f>nmValDriv5&amp;" - "&amp;nmCh3&amp;" SI Factor"</f>
        <v>Visibility - Convenience SI Factor</v>
      </c>
      <c r="C94" s="627" t="s">
        <v>183</v>
      </c>
      <c r="D94" s="339">
        <v>0</v>
      </c>
      <c r="E94" s="384">
        <f t="shared" si="4"/>
        <v>0</v>
      </c>
      <c r="F94" s="611" t="s">
        <v>8396</v>
      </c>
      <c r="G94" s="610">
        <f>SUMIF(adj!$C$3:$C$2933,$A94,adj!E$3:E$2933)</f>
        <v>0</v>
      </c>
    </row>
    <row r="95" spans="1:7" s="610" customFormat="1">
      <c r="A95" s="147">
        <v>644</v>
      </c>
      <c r="B95" s="148" t="str">
        <f>nmValDriv5&amp;" - "&amp;nmCh4&amp;" SI Factor"</f>
        <v>Visibility - On-Trade SI Factor</v>
      </c>
      <c r="C95" s="627" t="s">
        <v>183</v>
      </c>
      <c r="D95" s="339">
        <v>0</v>
      </c>
      <c r="E95" s="384">
        <f t="shared" si="4"/>
        <v>0</v>
      </c>
      <c r="F95" s="611" t="s">
        <v>8397</v>
      </c>
      <c r="G95" s="610">
        <f>SUMIF(adj!$C$3:$C$2933,$A95,adj!E$3:E$2933)</f>
        <v>0</v>
      </c>
    </row>
    <row r="96" spans="1:7" s="610" customFormat="1">
      <c r="A96" s="147">
        <v>645</v>
      </c>
      <c r="B96" s="148" t="s">
        <v>8863</v>
      </c>
      <c r="C96" s="627" t="s">
        <v>183</v>
      </c>
      <c r="D96" s="339">
        <v>0</v>
      </c>
      <c r="E96" s="384">
        <f t="shared" si="4"/>
        <v>0</v>
      </c>
      <c r="F96" s="611" t="s">
        <v>10366</v>
      </c>
      <c r="G96" s="610">
        <f>SUMIF(adj!$C$3:$C$2933,$A96,adj!E$3:E$2933)</f>
        <v>0</v>
      </c>
    </row>
    <row r="97" spans="1:7" s="610" customFormat="1">
      <c r="A97" s="147">
        <v>646</v>
      </c>
      <c r="B97" s="148" t="str">
        <f>nmValDriv2&amp;" Share to Visibility"</f>
        <v>Shelf Space Share to Visibility</v>
      </c>
      <c r="C97" s="627" t="s">
        <v>184</v>
      </c>
      <c r="D97" s="256">
        <v>0.5</v>
      </c>
      <c r="E97" s="376">
        <f t="shared" si="4"/>
        <v>0.5</v>
      </c>
      <c r="F97" s="611" t="s">
        <v>11236</v>
      </c>
      <c r="G97" s="610">
        <f>SUMIF(adj!$C$3:$C$2933,$A97,adj!E$3:E$2933)</f>
        <v>0</v>
      </c>
    </row>
    <row r="98" spans="1:7" s="610" customFormat="1">
      <c r="A98" s="147">
        <v>647</v>
      </c>
      <c r="B98" s="148" t="str">
        <f>nmValDriv3&amp;" Share to Visibility"</f>
        <v>Floor Space Share to Visibility</v>
      </c>
      <c r="C98" s="627" t="s">
        <v>184</v>
      </c>
      <c r="D98" s="256">
        <v>0.5</v>
      </c>
      <c r="E98" s="376">
        <f t="shared" si="4"/>
        <v>0.5</v>
      </c>
      <c r="F98" s="611" t="s">
        <v>11237</v>
      </c>
      <c r="G98" s="610">
        <f>SUMIF(adj!$C$3:$C$2933,$A98,adj!E$3:E$2933)</f>
        <v>0</v>
      </c>
    </row>
    <row r="99" spans="1:7" s="610" customFormat="1">
      <c r="A99" s="147">
        <v>648</v>
      </c>
      <c r="B99" s="148" t="str">
        <f>nmCh1&amp;" Trade Marketing Efficiency"</f>
        <v>Hypermarkets Trade Marketing Efficiency</v>
      </c>
      <c r="C99" s="627" t="s">
        <v>183</v>
      </c>
      <c r="D99" s="256">
        <v>0</v>
      </c>
      <c r="E99" s="376">
        <f t="shared" si="4"/>
        <v>0</v>
      </c>
      <c r="F99" s="611" t="s">
        <v>11370</v>
      </c>
      <c r="G99" s="610">
        <f>SUMIF(adj!$C$3:$C$2933,$A99,adj!E$3:E$2933)</f>
        <v>0</v>
      </c>
    </row>
    <row r="100" spans="1:7" s="610" customFormat="1">
      <c r="A100" s="147">
        <v>649</v>
      </c>
      <c r="B100" s="148" t="str">
        <f>nmCh2&amp;" Trade Marketing Efficiency"</f>
        <v>Discounters Trade Marketing Efficiency</v>
      </c>
      <c r="C100" s="627" t="s">
        <v>183</v>
      </c>
      <c r="D100" s="256">
        <v>0</v>
      </c>
      <c r="E100" s="376">
        <f t="shared" si="4"/>
        <v>0</v>
      </c>
      <c r="F100" s="611" t="s">
        <v>11371</v>
      </c>
      <c r="G100" s="610">
        <f>SUMIF(adj!$C$3:$C$2933,$A100,adj!E$3:E$2933)</f>
        <v>0</v>
      </c>
    </row>
    <row r="101" spans="1:7" s="610" customFormat="1">
      <c r="A101" s="147">
        <v>650</v>
      </c>
      <c r="B101" s="148" t="str">
        <f>nmCh3&amp;" Trade Marketing Efficiency"</f>
        <v>Convenience Trade Marketing Efficiency</v>
      </c>
      <c r="C101" s="627" t="s">
        <v>183</v>
      </c>
      <c r="D101" s="256">
        <v>0</v>
      </c>
      <c r="E101" s="376">
        <f t="shared" si="4"/>
        <v>0</v>
      </c>
      <c r="F101" s="611" t="s">
        <v>11372</v>
      </c>
      <c r="G101" s="610">
        <f>SUMIF(adj!$C$3:$C$2933,$A101,adj!E$3:E$2933)</f>
        <v>0</v>
      </c>
    </row>
    <row r="102" spans="1:7" s="610" customFormat="1">
      <c r="A102" s="147">
        <v>651</v>
      </c>
      <c r="B102" s="148" t="str">
        <f>nmCh4&amp;" Trade Marketing Efficiency"</f>
        <v>On-Trade Trade Marketing Efficiency</v>
      </c>
      <c r="C102" s="627" t="s">
        <v>183</v>
      </c>
      <c r="D102" s="256">
        <v>0</v>
      </c>
      <c r="E102" s="376">
        <f t="shared" si="4"/>
        <v>0</v>
      </c>
      <c r="F102" s="611" t="s">
        <v>11373</v>
      </c>
      <c r="G102" s="610">
        <f>SUMIF(adj!$C$3:$C$2933,$A102,adj!E$3:E$2933)</f>
        <v>0</v>
      </c>
    </row>
    <row r="103" spans="1:7">
      <c r="D103" s="127"/>
      <c r="F103" s="7"/>
      <c r="G103" s="610"/>
    </row>
    <row r="104" spans="1:7">
      <c r="A104" s="7" t="s">
        <v>1707</v>
      </c>
      <c r="D104" s="127"/>
      <c r="F104" s="7"/>
      <c r="G104" s="610"/>
    </row>
    <row r="105" spans="1:7">
      <c r="A105" s="147">
        <v>701</v>
      </c>
      <c r="B105" s="148" t="s">
        <v>1708</v>
      </c>
      <c r="C105" s="123" t="s">
        <v>184</v>
      </c>
      <c r="D105" s="874">
        <v>79000000</v>
      </c>
      <c r="E105" s="875">
        <f t="shared" ref="E105:E112" si="5">IF($C105="A",$D105*(1+G105),$D105+G105)</f>
        <v>79000000</v>
      </c>
      <c r="F105" s="7" t="s">
        <v>1709</v>
      </c>
      <c r="G105" s="610">
        <f>SUMIF(adj!$C$3:$C$2933,$A105,adj!E$3:E$2933)</f>
        <v>0</v>
      </c>
    </row>
    <row r="106" spans="1:7">
      <c r="A106" s="147">
        <v>702</v>
      </c>
      <c r="B106" s="148" t="s">
        <v>1714</v>
      </c>
      <c r="C106" s="123" t="s">
        <v>184</v>
      </c>
      <c r="D106" s="385">
        <v>5.1999999999999998E-2</v>
      </c>
      <c r="E106" s="376">
        <f t="shared" si="5"/>
        <v>5.1999999999999998E-2</v>
      </c>
      <c r="F106" s="7" t="s">
        <v>1715</v>
      </c>
      <c r="G106" s="610">
        <f>SUMIF(adj!$C$3:$C$2933,$A106,adj!E$3:E$2933)</f>
        <v>0</v>
      </c>
    </row>
    <row r="107" spans="1:7">
      <c r="A107" s="147">
        <v>703</v>
      </c>
      <c r="B107" s="148" t="s">
        <v>1713</v>
      </c>
      <c r="C107" s="123" t="s">
        <v>184</v>
      </c>
      <c r="D107" s="874">
        <v>43000000</v>
      </c>
      <c r="E107" s="875">
        <f t="shared" si="5"/>
        <v>43000000</v>
      </c>
      <c r="F107" s="7" t="s">
        <v>1710</v>
      </c>
      <c r="G107" s="610">
        <f>SUMIF(adj!$C$3:$C$2933,$A107,adj!E$3:E$2933)</f>
        <v>0</v>
      </c>
    </row>
    <row r="108" spans="1:7">
      <c r="A108" s="147">
        <v>704</v>
      </c>
      <c r="B108" s="148" t="s">
        <v>1716</v>
      </c>
      <c r="C108" s="123" t="s">
        <v>184</v>
      </c>
      <c r="D108" s="874">
        <v>30000000</v>
      </c>
      <c r="E108" s="875">
        <f t="shared" si="5"/>
        <v>30000000</v>
      </c>
      <c r="F108" s="7" t="s">
        <v>1711</v>
      </c>
      <c r="G108" s="610">
        <f>SUMIF(adj!$C$3:$C$2933,$A108,adj!E$3:E$2933)</f>
        <v>0</v>
      </c>
    </row>
    <row r="109" spans="1:7">
      <c r="A109" s="147">
        <v>705</v>
      </c>
      <c r="B109" s="148" t="s">
        <v>1717</v>
      </c>
      <c r="C109" s="123" t="s">
        <v>184</v>
      </c>
      <c r="D109" s="385">
        <v>0.04</v>
      </c>
      <c r="E109" s="376">
        <f t="shared" si="5"/>
        <v>0.04</v>
      </c>
      <c r="F109" s="7" t="s">
        <v>1718</v>
      </c>
      <c r="G109" s="610">
        <f>SUMIF(adj!$C$3:$C$2933,$A109,adj!E$3:E$2933)</f>
        <v>0</v>
      </c>
    </row>
    <row r="110" spans="1:7">
      <c r="A110" s="147">
        <v>706</v>
      </c>
      <c r="B110" s="148" t="s">
        <v>1720</v>
      </c>
      <c r="C110" s="123" t="s">
        <v>184</v>
      </c>
      <c r="D110" s="874">
        <v>2000000</v>
      </c>
      <c r="E110" s="875">
        <f t="shared" si="5"/>
        <v>2000000</v>
      </c>
      <c r="F110" s="7" t="s">
        <v>1721</v>
      </c>
      <c r="G110" s="610">
        <f>SUMIF(adj!$C$3:$C$2933,$A110,adj!E$3:E$2933)</f>
        <v>0</v>
      </c>
    </row>
    <row r="111" spans="1:7">
      <c r="A111" s="147">
        <v>707</v>
      </c>
      <c r="B111" s="148" t="s">
        <v>4327</v>
      </c>
      <c r="C111" s="123" t="s">
        <v>184</v>
      </c>
      <c r="D111" s="385">
        <v>0.01</v>
      </c>
      <c r="E111" s="376">
        <f t="shared" si="5"/>
        <v>0.01</v>
      </c>
      <c r="F111" s="7" t="s">
        <v>4328</v>
      </c>
      <c r="G111" s="610">
        <f>SUMIF(adj!$C$3:$C$2933,$A111,adj!E$3:E$2933)</f>
        <v>0</v>
      </c>
    </row>
    <row r="112" spans="1:7">
      <c r="A112" s="147">
        <v>708</v>
      </c>
      <c r="B112" s="148" t="s">
        <v>1712</v>
      </c>
      <c r="C112" s="123" t="s">
        <v>184</v>
      </c>
      <c r="D112" s="982">
        <v>0.09</v>
      </c>
      <c r="E112" s="983">
        <f t="shared" si="5"/>
        <v>0.09</v>
      </c>
      <c r="F112" s="7" t="s">
        <v>1724</v>
      </c>
      <c r="G112" s="610">
        <f>SUMIF(adj!$C$3:$C$2933,$A112,adj!E$3:E$2933)</f>
        <v>0</v>
      </c>
    </row>
    <row r="113" spans="1:7" s="90" customFormat="1">
      <c r="A113" s="441"/>
      <c r="B113" s="268"/>
      <c r="D113" s="284"/>
      <c r="E113"/>
      <c r="F113" s="442"/>
      <c r="G113" s="610"/>
    </row>
    <row r="114" spans="1:7" s="90" customFormat="1">
      <c r="A114" s="268" t="s">
        <v>2915</v>
      </c>
      <c r="B114" s="268"/>
      <c r="D114" s="284"/>
      <c r="E114"/>
      <c r="F114" s="442"/>
      <c r="G114" s="610"/>
    </row>
    <row r="115" spans="1:7">
      <c r="A115" s="147">
        <v>801</v>
      </c>
      <c r="B115" s="148" t="s">
        <v>2969</v>
      </c>
      <c r="C115" s="627" t="s">
        <v>183</v>
      </c>
      <c r="D115" s="443">
        <v>30</v>
      </c>
      <c r="E115" s="444">
        <f t="shared" ref="E115:E125" si="6">IF($C115="A",$D115*(1+G115),$D115+G115)</f>
        <v>30</v>
      </c>
      <c r="F115" s="400" t="s">
        <v>2914</v>
      </c>
      <c r="G115" s="610">
        <f>SUMIF(adj!$C$3:$C$2933,$A115,adj!E$3:E$2933)</f>
        <v>0</v>
      </c>
    </row>
    <row r="116" spans="1:7">
      <c r="A116" s="147">
        <v>802</v>
      </c>
      <c r="B116" s="148" t="s">
        <v>1722</v>
      </c>
      <c r="C116" s="627" t="s">
        <v>183</v>
      </c>
      <c r="D116" s="271">
        <v>0.03</v>
      </c>
      <c r="E116" s="376">
        <f t="shared" si="6"/>
        <v>0.03</v>
      </c>
      <c r="F116" s="7" t="s">
        <v>1725</v>
      </c>
      <c r="G116" s="610">
        <f>SUMIF(adj!$C$3:$C$2933,$A116,adj!E$3:E$2933)</f>
        <v>0</v>
      </c>
    </row>
    <row r="117" spans="1:7">
      <c r="A117" s="147">
        <v>803</v>
      </c>
      <c r="B117" s="148" t="s">
        <v>1723</v>
      </c>
      <c r="C117" s="627" t="s">
        <v>183</v>
      </c>
      <c r="D117" s="271">
        <v>0.05</v>
      </c>
      <c r="E117" s="376">
        <f t="shared" si="6"/>
        <v>0.05</v>
      </c>
      <c r="F117" s="7" t="s">
        <v>1726</v>
      </c>
      <c r="G117" s="610">
        <f>SUMIF(adj!$C$3:$C$2933,$A117,adj!E$3:E$2933)</f>
        <v>0</v>
      </c>
    </row>
    <row r="118" spans="1:7">
      <c r="A118" s="147">
        <v>804</v>
      </c>
      <c r="B118" s="148" t="s">
        <v>1729</v>
      </c>
      <c r="C118" s="627" t="s">
        <v>183</v>
      </c>
      <c r="D118" s="271">
        <v>0.3</v>
      </c>
      <c r="E118" s="376">
        <f t="shared" si="6"/>
        <v>0.3</v>
      </c>
      <c r="F118" s="7" t="s">
        <v>1730</v>
      </c>
      <c r="G118" s="610">
        <f>SUMIF(adj!$C$3:$C$2933,$A118,adj!E$3:E$2933)</f>
        <v>0</v>
      </c>
    </row>
    <row r="119" spans="1:7">
      <c r="A119" s="147">
        <v>805</v>
      </c>
      <c r="B119" s="148" t="str">
        <f>"Excise for "&amp;nmProd1</f>
        <v>Excise for Greenborg</v>
      </c>
      <c r="C119" s="627" t="s">
        <v>183</v>
      </c>
      <c r="D119" s="504">
        <v>2.4500000000000002</v>
      </c>
      <c r="E119" s="444">
        <f t="shared" si="6"/>
        <v>2.4500000000000002</v>
      </c>
      <c r="F119" s="400" t="s">
        <v>1766</v>
      </c>
      <c r="G119" s="610">
        <f>SUMIF(adj!$C$3:$C$2933,$A119,adj!E$3:E$2933)</f>
        <v>0</v>
      </c>
    </row>
    <row r="120" spans="1:7">
      <c r="A120" s="147">
        <v>806</v>
      </c>
      <c r="B120" s="148" t="str">
        <f>"Excise for "&amp;nmProd2</f>
        <v>Excise for Harken</v>
      </c>
      <c r="C120" s="627" t="s">
        <v>183</v>
      </c>
      <c r="D120" s="504">
        <f t="shared" ref="D120" si="7">8*0.3</f>
        <v>2.4</v>
      </c>
      <c r="E120" s="444">
        <f t="shared" si="6"/>
        <v>2.4</v>
      </c>
      <c r="F120" s="400" t="s">
        <v>1767</v>
      </c>
      <c r="G120" s="610">
        <f>SUMIF(adj!$C$3:$C$2933,$A120,adj!E$3:E$2933)</f>
        <v>0</v>
      </c>
    </row>
    <row r="121" spans="1:7">
      <c r="A121" s="147">
        <v>807</v>
      </c>
      <c r="B121" s="148" t="str">
        <f>"Excise for "&amp;nmProd3</f>
        <v>Excise for Kara</v>
      </c>
      <c r="C121" s="627" t="s">
        <v>183</v>
      </c>
      <c r="D121" s="504">
        <v>2.5</v>
      </c>
      <c r="E121" s="444">
        <f t="shared" si="6"/>
        <v>2.5</v>
      </c>
      <c r="F121" s="400" t="s">
        <v>1768</v>
      </c>
      <c r="G121" s="610">
        <f>SUMIF(adj!$C$3:$C$2933,$A121,adj!E$3:E$2933)</f>
        <v>0</v>
      </c>
    </row>
    <row r="122" spans="1:7">
      <c r="A122" s="147">
        <v>808</v>
      </c>
      <c r="B122" s="148" t="str">
        <f>"Excise for "&amp;nmProd4</f>
        <v>Excise for Brew Master</v>
      </c>
      <c r="C122" s="627" t="s">
        <v>183</v>
      </c>
      <c r="D122" s="504">
        <v>2.6</v>
      </c>
      <c r="E122" s="444">
        <f t="shared" si="6"/>
        <v>2.6</v>
      </c>
      <c r="F122" s="400" t="s">
        <v>1769</v>
      </c>
      <c r="G122" s="610">
        <f>SUMIF(adj!$C$3:$C$2933,$A122,adj!E$3:E$2933)</f>
        <v>0</v>
      </c>
    </row>
    <row r="123" spans="1:7">
      <c r="A123" s="147">
        <v>809</v>
      </c>
      <c r="B123" s="148" t="s">
        <v>2916</v>
      </c>
      <c r="C123" s="627" t="s">
        <v>183</v>
      </c>
      <c r="D123" s="443">
        <v>60</v>
      </c>
      <c r="E123" s="444">
        <f t="shared" si="6"/>
        <v>60</v>
      </c>
      <c r="F123" s="400" t="s">
        <v>2917</v>
      </c>
      <c r="G123" s="610">
        <f>SUMIF(adj!$C$3:$C$2933,$A123,adj!E$3:E$2933)</f>
        <v>0</v>
      </c>
    </row>
    <row r="124" spans="1:7" s="610" customFormat="1">
      <c r="A124" s="147">
        <v>810</v>
      </c>
      <c r="B124" s="148" t="s">
        <v>10262</v>
      </c>
      <c r="C124" s="627" t="s">
        <v>183</v>
      </c>
      <c r="D124" s="443">
        <v>0</v>
      </c>
      <c r="E124" s="444">
        <f t="shared" si="6"/>
        <v>0</v>
      </c>
      <c r="F124" s="400" t="s">
        <v>10261</v>
      </c>
      <c r="G124" s="610">
        <f>SUMIF(adj!$C$3:$C$2933,$A124,adj!E$3:E$2933)</f>
        <v>0</v>
      </c>
    </row>
    <row r="125" spans="1:7" s="610" customFormat="1">
      <c r="A125" s="147">
        <v>811</v>
      </c>
      <c r="B125" s="148" t="s">
        <v>11374</v>
      </c>
      <c r="C125" s="627" t="s">
        <v>183</v>
      </c>
      <c r="D125" s="385">
        <v>0</v>
      </c>
      <c r="E125" s="376">
        <f t="shared" si="6"/>
        <v>0</v>
      </c>
      <c r="F125" s="400" t="s">
        <v>11375</v>
      </c>
      <c r="G125" s="610">
        <f>SUMIF(adj!$C$3:$C$2933,$A125,adj!E$3:E$2933)</f>
        <v>0</v>
      </c>
    </row>
    <row r="126" spans="1:7" ht="12" customHeight="1">
      <c r="A126" s="444"/>
      <c r="B126" s="444"/>
      <c r="C126" s="444"/>
      <c r="D126" s="444"/>
      <c r="E126" s="444"/>
      <c r="F126" s="400"/>
    </row>
    <row r="127" spans="1:7" s="90" customFormat="1">
      <c r="A127" s="268" t="s">
        <v>9001</v>
      </c>
      <c r="B127" s="268"/>
      <c r="D127" s="284"/>
      <c r="E127" s="800"/>
      <c r="F127" s="442"/>
      <c r="G127" s="610"/>
    </row>
    <row r="128" spans="1:7" s="610" customFormat="1">
      <c r="A128" s="147">
        <v>901</v>
      </c>
      <c r="B128" s="148" t="str">
        <f>"Number of "&amp;nmEmp1&amp;" Required - "&amp;nmCh1</f>
        <v>Number of MTUs Required - Hypermarkets</v>
      </c>
      <c r="C128" s="627" t="s">
        <v>183</v>
      </c>
      <c r="D128" s="443">
        <v>1</v>
      </c>
      <c r="E128" s="444">
        <f t="shared" ref="E128:E135" si="8">IF($C128="R",$D128*(1+G128),$D128+G128)</f>
        <v>1</v>
      </c>
      <c r="F128" s="400" t="s">
        <v>9002</v>
      </c>
      <c r="G128" s="610">
        <f>SUMIF(adj!$C$3:$C$2933,$A128,adj!E$3:E$2933)</f>
        <v>0</v>
      </c>
    </row>
    <row r="129" spans="1:7" s="610" customFormat="1">
      <c r="A129" s="147">
        <v>902</v>
      </c>
      <c r="B129" s="148" t="str">
        <f>"Number of "&amp;nmEmp1&amp;" Required - "&amp;nmCh2</f>
        <v>Number of MTUs Required - Discounters</v>
      </c>
      <c r="C129" s="627" t="s">
        <v>183</v>
      </c>
      <c r="D129" s="443">
        <v>1</v>
      </c>
      <c r="E129" s="444">
        <f t="shared" si="8"/>
        <v>1</v>
      </c>
      <c r="F129" s="400" t="s">
        <v>9003</v>
      </c>
      <c r="G129" s="610">
        <f>SUMIF(adj!$C$3:$C$2933,$A129,adj!E$3:E$2933)</f>
        <v>0</v>
      </c>
    </row>
    <row r="130" spans="1:7" s="610" customFormat="1">
      <c r="A130" s="147">
        <v>903</v>
      </c>
      <c r="B130" s="148" t="str">
        <f>"Number of "&amp;nmEmp1&amp;" Required - "&amp;nmCh3</f>
        <v>Number of MTUs Required - Convenience</v>
      </c>
      <c r="C130" s="627" t="s">
        <v>183</v>
      </c>
      <c r="D130" s="443">
        <v>1</v>
      </c>
      <c r="E130" s="444">
        <f t="shared" si="8"/>
        <v>1</v>
      </c>
      <c r="F130" s="400" t="s">
        <v>9004</v>
      </c>
      <c r="G130" s="610">
        <f>SUMIF(adj!$C$3:$C$2933,$A130,adj!E$3:E$2933)</f>
        <v>0</v>
      </c>
    </row>
    <row r="131" spans="1:7" s="610" customFormat="1">
      <c r="A131" s="147">
        <v>904</v>
      </c>
      <c r="B131" s="148" t="str">
        <f>"Number of "&amp;nmEmp1&amp;" Required - "&amp;nmCh4</f>
        <v>Number of MTUs Required - On-Trade</v>
      </c>
      <c r="C131" s="627" t="s">
        <v>183</v>
      </c>
      <c r="D131" s="443">
        <v>1</v>
      </c>
      <c r="E131" s="444">
        <f t="shared" si="8"/>
        <v>1</v>
      </c>
      <c r="F131" s="400" t="s">
        <v>9005</v>
      </c>
      <c r="G131" s="610">
        <f>SUMIF(adj!$C$3:$C$2933,$A131,adj!E$3:E$2933)</f>
        <v>0</v>
      </c>
    </row>
    <row r="132" spans="1:7" s="610" customFormat="1">
      <c r="A132" s="147">
        <v>905</v>
      </c>
      <c r="B132" s="148" t="str">
        <f>"Expense - "&amp;nmCh1</f>
        <v>Expense - Hypermarkets</v>
      </c>
      <c r="C132" s="627" t="s">
        <v>183</v>
      </c>
      <c r="D132" s="874">
        <v>1000000</v>
      </c>
      <c r="E132" s="914">
        <f t="shared" si="8"/>
        <v>1000000</v>
      </c>
      <c r="F132" s="400" t="s">
        <v>9007</v>
      </c>
      <c r="G132" s="610">
        <f>SUMIF(adj!$C$3:$C$2933,$A132,adj!E$3:E$2933)</f>
        <v>0</v>
      </c>
    </row>
    <row r="133" spans="1:7" s="610" customFormat="1">
      <c r="A133" s="147">
        <v>906</v>
      </c>
      <c r="B133" s="148" t="str">
        <f>"Expense - "&amp;nmCh2</f>
        <v>Expense - Discounters</v>
      </c>
      <c r="C133" s="627" t="s">
        <v>183</v>
      </c>
      <c r="D133" s="874">
        <v>1000000</v>
      </c>
      <c r="E133" s="914">
        <f t="shared" si="8"/>
        <v>1000000</v>
      </c>
      <c r="F133" s="400" t="s">
        <v>9008</v>
      </c>
      <c r="G133" s="610">
        <f>SUMIF(adj!$C$3:$C$2933,$A133,adj!E$3:E$2933)</f>
        <v>0</v>
      </c>
    </row>
    <row r="134" spans="1:7" s="610" customFormat="1">
      <c r="A134" s="147">
        <v>907</v>
      </c>
      <c r="B134" s="148" t="str">
        <f>"Expense - "&amp;nmCh3</f>
        <v>Expense - Convenience</v>
      </c>
      <c r="C134" s="627" t="s">
        <v>183</v>
      </c>
      <c r="D134" s="874">
        <v>1000000</v>
      </c>
      <c r="E134" s="914">
        <f t="shared" si="8"/>
        <v>1000000</v>
      </c>
      <c r="F134" s="400" t="s">
        <v>9009</v>
      </c>
      <c r="G134" s="610">
        <f>SUMIF(adj!$C$3:$C$2933,$A134,adj!E$3:E$2933)</f>
        <v>0</v>
      </c>
    </row>
    <row r="135" spans="1:7" s="610" customFormat="1">
      <c r="A135" s="147">
        <v>908</v>
      </c>
      <c r="B135" s="148" t="str">
        <f>"Expense - "&amp;nmCh4</f>
        <v>Expense - On-Trade</v>
      </c>
      <c r="C135" s="627" t="s">
        <v>183</v>
      </c>
      <c r="D135" s="874">
        <v>1000000</v>
      </c>
      <c r="E135" s="914">
        <f t="shared" si="8"/>
        <v>1000000</v>
      </c>
      <c r="F135" s="400" t="s">
        <v>9006</v>
      </c>
      <c r="G135" s="610">
        <f>SUMIF(adj!$C$3:$C$2933,$A135,adj!E$3:E$2933)</f>
        <v>0</v>
      </c>
    </row>
    <row r="136" spans="1:7">
      <c r="A136" s="444"/>
      <c r="B136" s="444"/>
      <c r="C136" s="444"/>
      <c r="D136" s="444"/>
      <c r="E136" s="444"/>
      <c r="F136" s="400"/>
    </row>
    <row r="137" spans="1:7">
      <c r="D137" s="127"/>
      <c r="F137" s="7"/>
    </row>
    <row r="138" spans="1:7" s="78" customFormat="1">
      <c r="A138" s="10" t="s">
        <v>185</v>
      </c>
      <c r="B138" s="77"/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I87"/>
  <sheetViews>
    <sheetView workbookViewId="0">
      <selection activeCell="C20" sqref="C20"/>
    </sheetView>
  </sheetViews>
  <sheetFormatPr defaultRowHeight="14.25"/>
  <cols>
    <col min="1" max="2" width="2.69921875" customWidth="1"/>
    <col min="3" max="3" width="24.69921875" customWidth="1"/>
    <col min="4" max="7" width="14.69921875" customWidth="1"/>
    <col min="9" max="9" width="11.5" bestFit="1" customWidth="1"/>
    <col min="11" max="11" width="10.19921875" customWidth="1"/>
  </cols>
  <sheetData>
    <row r="1" spans="1:9" s="12" customFormat="1">
      <c r="A1" s="12" t="s">
        <v>70</v>
      </c>
    </row>
    <row r="4" spans="1:9">
      <c r="B4" s="19" t="s">
        <v>21</v>
      </c>
    </row>
    <row r="5" spans="1:9">
      <c r="D5" s="129">
        <v>1000000</v>
      </c>
      <c r="E5" s="21" t="s">
        <v>86</v>
      </c>
    </row>
    <row r="6" spans="1:9">
      <c r="D6" s="129">
        <v>365</v>
      </c>
      <c r="E6" s="21" t="s">
        <v>236</v>
      </c>
    </row>
    <row r="7" spans="1:9">
      <c r="D7" s="129">
        <v>52</v>
      </c>
      <c r="E7" s="21" t="s">
        <v>10573</v>
      </c>
    </row>
    <row r="8" spans="1:9">
      <c r="E8" s="21"/>
    </row>
    <row r="9" spans="1:9">
      <c r="B9" s="19" t="s">
        <v>165</v>
      </c>
      <c r="E9" t="s">
        <v>71</v>
      </c>
      <c r="F9" t="s">
        <v>72</v>
      </c>
      <c r="G9" t="s">
        <v>73</v>
      </c>
      <c r="I9" t="s">
        <v>863</v>
      </c>
    </row>
    <row r="10" spans="1:9">
      <c r="B10" s="19"/>
      <c r="C10" t="s">
        <v>170</v>
      </c>
      <c r="D10" s="13" t="s">
        <v>237</v>
      </c>
      <c r="E10" s="128" t="s">
        <v>237</v>
      </c>
      <c r="F10" s="128"/>
      <c r="G10" s="128"/>
      <c r="I10" s="109" t="s">
        <v>244</v>
      </c>
    </row>
    <row r="11" spans="1:9">
      <c r="B11" s="19"/>
      <c r="C11" t="s">
        <v>171</v>
      </c>
      <c r="D11" s="13" t="s">
        <v>338</v>
      </c>
      <c r="E11" s="128" t="s">
        <v>338</v>
      </c>
      <c r="F11" s="128"/>
      <c r="G11" s="128"/>
      <c r="I11" s="317" t="s">
        <v>245</v>
      </c>
    </row>
    <row r="12" spans="1:9">
      <c r="C12" t="s">
        <v>75</v>
      </c>
      <c r="D12" s="13" t="s">
        <v>9</v>
      </c>
      <c r="E12" s="128" t="s">
        <v>9</v>
      </c>
      <c r="F12" s="128"/>
      <c r="G12" s="128"/>
      <c r="I12" s="318" t="s">
        <v>5199</v>
      </c>
    </row>
    <row r="13" spans="1:9">
      <c r="C13" t="s">
        <v>76</v>
      </c>
      <c r="D13" s="13" t="s">
        <v>15</v>
      </c>
      <c r="E13" s="128" t="s">
        <v>15</v>
      </c>
      <c r="F13" s="128"/>
      <c r="G13" s="128"/>
      <c r="I13" s="319" t="s">
        <v>246</v>
      </c>
    </row>
    <row r="14" spans="1:9">
      <c r="C14" t="s">
        <v>77</v>
      </c>
      <c r="D14" s="13" t="s">
        <v>11</v>
      </c>
      <c r="E14" s="128" t="s">
        <v>11</v>
      </c>
      <c r="F14" s="128"/>
      <c r="G14" s="128"/>
    </row>
    <row r="15" spans="1:9">
      <c r="C15" t="s">
        <v>808</v>
      </c>
      <c r="D15" s="13" t="s">
        <v>67</v>
      </c>
      <c r="E15" s="128" t="s">
        <v>67</v>
      </c>
      <c r="F15" s="128"/>
      <c r="G15" s="128"/>
    </row>
    <row r="17" spans="3:7">
      <c r="C17" t="s">
        <v>163</v>
      </c>
      <c r="D17" s="13" t="s">
        <v>164</v>
      </c>
      <c r="E17" s="128" t="s">
        <v>164</v>
      </c>
      <c r="F17" s="128"/>
      <c r="G17" s="128"/>
    </row>
    <row r="19" spans="3:7">
      <c r="C19" t="s">
        <v>149</v>
      </c>
      <c r="D19" s="13" t="s">
        <v>12868</v>
      </c>
      <c r="E19" s="128" t="s">
        <v>12868</v>
      </c>
      <c r="F19" s="128"/>
      <c r="G19" s="128"/>
    </row>
    <row r="20" spans="3:7">
      <c r="C20" t="s">
        <v>225</v>
      </c>
      <c r="D20" s="13" t="s">
        <v>238</v>
      </c>
      <c r="E20" s="128" t="s">
        <v>238</v>
      </c>
      <c r="F20" s="128"/>
      <c r="G20" s="128"/>
    </row>
    <row r="21" spans="3:7">
      <c r="C21" t="s">
        <v>226</v>
      </c>
      <c r="D21" s="13" t="s">
        <v>239</v>
      </c>
      <c r="E21" s="804" t="s">
        <v>239</v>
      </c>
      <c r="F21" s="128"/>
      <c r="G21" s="128"/>
    </row>
    <row r="22" spans="3:7">
      <c r="C22" t="s">
        <v>227</v>
      </c>
      <c r="D22" s="13" t="s">
        <v>240</v>
      </c>
      <c r="E22" s="128" t="s">
        <v>240</v>
      </c>
      <c r="F22" s="128"/>
      <c r="G22" s="128"/>
    </row>
    <row r="23" spans="3:7">
      <c r="C23" t="s">
        <v>821</v>
      </c>
      <c r="D23" s="13" t="s">
        <v>822</v>
      </c>
      <c r="E23" s="128" t="s">
        <v>822</v>
      </c>
      <c r="F23" s="128"/>
      <c r="G23" s="128"/>
    </row>
    <row r="24" spans="3:7" s="21" customFormat="1"/>
    <row r="25" spans="3:7">
      <c r="C25" s="21" t="s">
        <v>573</v>
      </c>
      <c r="D25" s="13" t="s">
        <v>548</v>
      </c>
      <c r="E25" s="128" t="s">
        <v>548</v>
      </c>
      <c r="F25" s="128"/>
      <c r="G25" s="128"/>
    </row>
    <row r="26" spans="3:7">
      <c r="C26" s="21"/>
      <c r="D26" s="21"/>
      <c r="E26" s="21"/>
      <c r="F26" s="21"/>
      <c r="G26" s="21"/>
    </row>
    <row r="27" spans="3:7">
      <c r="C27" s="21" t="s">
        <v>574</v>
      </c>
      <c r="D27" s="13" t="s">
        <v>749</v>
      </c>
      <c r="E27" s="128" t="s">
        <v>749</v>
      </c>
      <c r="F27" s="128"/>
      <c r="G27" s="128"/>
    </row>
    <row r="29" spans="3:7">
      <c r="C29" t="s">
        <v>228</v>
      </c>
      <c r="D29" s="13" t="s">
        <v>241</v>
      </c>
      <c r="E29" s="128" t="s">
        <v>241</v>
      </c>
      <c r="F29" s="128"/>
      <c r="G29" s="128"/>
    </row>
    <row r="30" spans="3:7">
      <c r="C30" t="s">
        <v>229</v>
      </c>
      <c r="D30" s="13" t="s">
        <v>242</v>
      </c>
      <c r="E30" s="128" t="s">
        <v>242</v>
      </c>
      <c r="F30" s="128"/>
      <c r="G30" s="128"/>
    </row>
    <row r="31" spans="3:7">
      <c r="C31" t="s">
        <v>230</v>
      </c>
      <c r="D31" s="13" t="s">
        <v>4353</v>
      </c>
      <c r="E31" s="128" t="s">
        <v>4353</v>
      </c>
      <c r="F31" s="128"/>
      <c r="G31" s="128"/>
    </row>
    <row r="32" spans="3:7">
      <c r="C32" t="s">
        <v>231</v>
      </c>
      <c r="D32" s="13" t="s">
        <v>243</v>
      </c>
      <c r="E32" s="128" t="s">
        <v>243</v>
      </c>
      <c r="F32" s="128"/>
      <c r="G32" s="128"/>
    </row>
    <row r="34" spans="3:7">
      <c r="C34" t="s">
        <v>232</v>
      </c>
      <c r="D34" s="13" t="s">
        <v>244</v>
      </c>
      <c r="E34" s="128" t="s">
        <v>244</v>
      </c>
      <c r="F34" s="128"/>
      <c r="G34" s="128"/>
    </row>
    <row r="35" spans="3:7">
      <c r="C35" t="s">
        <v>233</v>
      </c>
      <c r="D35" s="13" t="s">
        <v>245</v>
      </c>
      <c r="E35" s="128" t="s">
        <v>245</v>
      </c>
      <c r="F35" s="128"/>
      <c r="G35" s="128"/>
    </row>
    <row r="36" spans="3:7">
      <c r="C36" t="s">
        <v>234</v>
      </c>
      <c r="D36" s="13" t="s">
        <v>5199</v>
      </c>
      <c r="E36" s="128" t="s">
        <v>5199</v>
      </c>
      <c r="F36" s="128"/>
      <c r="G36" s="128"/>
    </row>
    <row r="37" spans="3:7">
      <c r="C37" t="s">
        <v>235</v>
      </c>
      <c r="D37" s="13" t="s">
        <v>246</v>
      </c>
      <c r="E37" s="128" t="s">
        <v>246</v>
      </c>
      <c r="F37" s="128"/>
      <c r="G37" s="128"/>
    </row>
    <row r="39" spans="3:7">
      <c r="C39" t="s">
        <v>152</v>
      </c>
      <c r="D39" s="13" t="s">
        <v>153</v>
      </c>
      <c r="E39" s="128" t="s">
        <v>153</v>
      </c>
      <c r="F39" s="128"/>
      <c r="G39" s="128"/>
    </row>
    <row r="40" spans="3:7">
      <c r="C40" t="s">
        <v>150</v>
      </c>
      <c r="D40" s="13" t="s">
        <v>151</v>
      </c>
      <c r="E40" s="128" t="s">
        <v>151</v>
      </c>
      <c r="F40" s="128"/>
      <c r="G40" s="128"/>
    </row>
    <row r="41" spans="3:7">
      <c r="C41" t="s">
        <v>154</v>
      </c>
      <c r="D41" s="13" t="s">
        <v>155</v>
      </c>
      <c r="E41" s="128" t="s">
        <v>155</v>
      </c>
      <c r="F41" s="128"/>
      <c r="G41" s="128"/>
    </row>
    <row r="43" spans="3:7">
      <c r="C43" t="s">
        <v>78</v>
      </c>
      <c r="D43" s="13" t="s">
        <v>67</v>
      </c>
      <c r="E43" s="128" t="s">
        <v>67</v>
      </c>
      <c r="F43" s="128"/>
      <c r="G43" s="128"/>
    </row>
    <row r="46" spans="3:7">
      <c r="C46" t="s">
        <v>156</v>
      </c>
      <c r="D46" s="13" t="s">
        <v>31</v>
      </c>
      <c r="E46" s="128" t="s">
        <v>31</v>
      </c>
      <c r="F46" s="128"/>
      <c r="G46" s="128"/>
    </row>
    <row r="47" spans="3:7">
      <c r="C47" t="s">
        <v>158</v>
      </c>
      <c r="D47" s="13" t="s">
        <v>157</v>
      </c>
      <c r="E47" s="128" t="s">
        <v>157</v>
      </c>
      <c r="F47" s="128"/>
      <c r="G47" s="128"/>
    </row>
    <row r="48" spans="3:7">
      <c r="C48" t="s">
        <v>159</v>
      </c>
      <c r="D48" s="13" t="s">
        <v>160</v>
      </c>
      <c r="E48" s="128" t="s">
        <v>160</v>
      </c>
      <c r="F48" s="128"/>
      <c r="G48" s="128"/>
    </row>
    <row r="49" spans="3:7">
      <c r="C49" t="s">
        <v>161</v>
      </c>
      <c r="D49" s="13" t="s">
        <v>162</v>
      </c>
      <c r="E49" s="128" t="s">
        <v>162</v>
      </c>
      <c r="F49" s="128"/>
      <c r="G49" s="128"/>
    </row>
    <row r="51" spans="3:7">
      <c r="C51" t="s">
        <v>925</v>
      </c>
      <c r="D51" s="13" t="s">
        <v>352</v>
      </c>
      <c r="E51" s="128" t="s">
        <v>352</v>
      </c>
      <c r="F51" s="128"/>
      <c r="G51" s="128"/>
    </row>
    <row r="52" spans="3:7">
      <c r="C52" t="s">
        <v>926</v>
      </c>
      <c r="D52" s="13" t="s">
        <v>351</v>
      </c>
      <c r="E52" s="128" t="s">
        <v>351</v>
      </c>
      <c r="F52" s="128"/>
      <c r="G52" s="128"/>
    </row>
    <row r="53" spans="3:7">
      <c r="C53" t="s">
        <v>927</v>
      </c>
      <c r="D53" s="13" t="s">
        <v>353</v>
      </c>
      <c r="E53" s="128" t="s">
        <v>353</v>
      </c>
      <c r="F53" s="128"/>
      <c r="G53" s="128"/>
    </row>
    <row r="54" spans="3:7">
      <c r="C54" t="s">
        <v>928</v>
      </c>
      <c r="D54" s="13" t="s">
        <v>584</v>
      </c>
      <c r="E54" s="128" t="s">
        <v>584</v>
      </c>
      <c r="F54" s="128"/>
      <c r="G54" s="128"/>
    </row>
    <row r="55" spans="3:7">
      <c r="C55" t="s">
        <v>929</v>
      </c>
      <c r="D55" s="13" t="s">
        <v>2107</v>
      </c>
      <c r="E55" s="128" t="s">
        <v>2107</v>
      </c>
      <c r="F55" s="128"/>
      <c r="G55" s="128"/>
    </row>
    <row r="56" spans="3:7">
      <c r="C56" t="s">
        <v>930</v>
      </c>
      <c r="D56" s="13" t="s">
        <v>2108</v>
      </c>
      <c r="E56" s="128" t="s">
        <v>2108</v>
      </c>
      <c r="F56" s="128"/>
      <c r="G56" s="128"/>
    </row>
    <row r="57" spans="3:7">
      <c r="C57" t="s">
        <v>931</v>
      </c>
      <c r="D57" s="13" t="s">
        <v>354</v>
      </c>
      <c r="E57" s="128" t="s">
        <v>354</v>
      </c>
      <c r="F57" s="128"/>
      <c r="G57" s="128"/>
    </row>
    <row r="58" spans="3:7">
      <c r="C58" t="s">
        <v>932</v>
      </c>
      <c r="D58" s="13" t="s">
        <v>355</v>
      </c>
      <c r="E58" s="128" t="s">
        <v>355</v>
      </c>
      <c r="F58" s="128"/>
      <c r="G58" s="128"/>
    </row>
    <row r="59" spans="3:7">
      <c r="C59" t="s">
        <v>933</v>
      </c>
      <c r="D59" s="13" t="s">
        <v>3765</v>
      </c>
      <c r="E59" s="128" t="s">
        <v>3765</v>
      </c>
      <c r="F59" s="128"/>
      <c r="G59" s="128"/>
    </row>
    <row r="60" spans="3:7">
      <c r="C60" t="s">
        <v>934</v>
      </c>
      <c r="D60" s="13" t="s">
        <v>3766</v>
      </c>
      <c r="E60" s="128" t="s">
        <v>3766</v>
      </c>
      <c r="F60" s="128"/>
      <c r="G60" s="128"/>
    </row>
    <row r="61" spans="3:7">
      <c r="C61" t="s">
        <v>935</v>
      </c>
      <c r="D61" s="13" t="s">
        <v>4417</v>
      </c>
      <c r="E61" s="128" t="s">
        <v>4417</v>
      </c>
      <c r="F61" s="128"/>
      <c r="G61" s="128"/>
    </row>
    <row r="62" spans="3:7">
      <c r="C62" t="s">
        <v>936</v>
      </c>
      <c r="D62" s="13" t="s">
        <v>4418</v>
      </c>
      <c r="E62" s="128" t="s">
        <v>4418</v>
      </c>
      <c r="F62" s="128"/>
      <c r="G62" s="128"/>
    </row>
    <row r="63" spans="3:7">
      <c r="C63" t="s">
        <v>937</v>
      </c>
      <c r="D63" s="13" t="s">
        <v>4419</v>
      </c>
      <c r="E63" s="128" t="s">
        <v>4419</v>
      </c>
      <c r="F63" s="128"/>
      <c r="G63" s="128"/>
    </row>
    <row r="64" spans="3:7">
      <c r="C64" t="s">
        <v>938</v>
      </c>
      <c r="D64" s="13" t="s">
        <v>4420</v>
      </c>
      <c r="E64" s="128" t="s">
        <v>4420</v>
      </c>
      <c r="F64" s="128"/>
      <c r="G64" s="128"/>
    </row>
    <row r="65" spans="3:7">
      <c r="C65" t="s">
        <v>939</v>
      </c>
      <c r="D65" s="13" t="s">
        <v>4421</v>
      </c>
      <c r="E65" s="128" t="s">
        <v>4421</v>
      </c>
      <c r="F65" s="128"/>
      <c r="G65" s="128"/>
    </row>
    <row r="66" spans="3:7">
      <c r="C66" t="s">
        <v>940</v>
      </c>
      <c r="D66" s="13" t="s">
        <v>4422</v>
      </c>
      <c r="E66" s="128" t="s">
        <v>4422</v>
      </c>
      <c r="F66" s="128"/>
      <c r="G66" s="128"/>
    </row>
    <row r="67" spans="3:7">
      <c r="C67" t="s">
        <v>941</v>
      </c>
      <c r="D67" s="13" t="s">
        <v>4423</v>
      </c>
      <c r="E67" s="128" t="s">
        <v>4423</v>
      </c>
      <c r="F67" s="128"/>
      <c r="G67" s="128"/>
    </row>
    <row r="68" spans="3:7">
      <c r="C68" t="s">
        <v>942</v>
      </c>
      <c r="D68" s="13" t="s">
        <v>4424</v>
      </c>
      <c r="E68" s="128" t="s">
        <v>4424</v>
      </c>
      <c r="F68" s="128"/>
      <c r="G68" s="128"/>
    </row>
    <row r="69" spans="3:7">
      <c r="C69" t="s">
        <v>943</v>
      </c>
      <c r="D69" s="13" t="s">
        <v>4425</v>
      </c>
      <c r="E69" s="128" t="s">
        <v>4425</v>
      </c>
      <c r="F69" s="128"/>
      <c r="G69" s="128"/>
    </row>
    <row r="70" spans="3:7">
      <c r="C70" t="s">
        <v>944</v>
      </c>
      <c r="D70" s="13" t="s">
        <v>4426</v>
      </c>
      <c r="E70" s="128" t="s">
        <v>4426</v>
      </c>
      <c r="F70" s="128"/>
      <c r="G70" s="128"/>
    </row>
    <row r="71" spans="3:7">
      <c r="C71" t="s">
        <v>945</v>
      </c>
      <c r="D71" s="13" t="s">
        <v>8369</v>
      </c>
      <c r="E71" s="128" t="s">
        <v>8369</v>
      </c>
      <c r="F71" s="128"/>
      <c r="G71" s="128"/>
    </row>
    <row r="72" spans="3:7">
      <c r="C72" t="s">
        <v>946</v>
      </c>
      <c r="D72" s="13" t="s">
        <v>4427</v>
      </c>
      <c r="E72" s="128" t="s">
        <v>4427</v>
      </c>
      <c r="F72" s="128"/>
      <c r="G72" s="128"/>
    </row>
    <row r="73" spans="3:7">
      <c r="C73" t="s">
        <v>947</v>
      </c>
      <c r="D73" s="13" t="s">
        <v>8368</v>
      </c>
      <c r="E73" s="128" t="s">
        <v>8368</v>
      </c>
      <c r="F73" s="128"/>
      <c r="G73" s="128"/>
    </row>
    <row r="74" spans="3:7">
      <c r="C74" t="s">
        <v>948</v>
      </c>
      <c r="D74" s="13" t="s">
        <v>4428</v>
      </c>
      <c r="E74" s="128" t="s">
        <v>4428</v>
      </c>
      <c r="F74" s="128"/>
      <c r="G74" s="128"/>
    </row>
    <row r="75" spans="3:7">
      <c r="C75" t="s">
        <v>949</v>
      </c>
      <c r="D75" s="13" t="s">
        <v>4429</v>
      </c>
      <c r="E75" s="128" t="s">
        <v>4429</v>
      </c>
      <c r="F75" s="128"/>
      <c r="G75" s="128"/>
    </row>
    <row r="76" spans="3:7">
      <c r="C76" t="s">
        <v>950</v>
      </c>
      <c r="D76" s="13" t="s">
        <v>5661</v>
      </c>
      <c r="E76" s="128" t="s">
        <v>5661</v>
      </c>
      <c r="F76" s="128"/>
      <c r="G76" s="128"/>
    </row>
    <row r="77" spans="3:7">
      <c r="C77" t="s">
        <v>951</v>
      </c>
      <c r="D77" s="13" t="s">
        <v>5661</v>
      </c>
      <c r="E77" s="128" t="s">
        <v>5661</v>
      </c>
      <c r="F77" s="128"/>
      <c r="G77" s="128"/>
    </row>
    <row r="78" spans="3:7">
      <c r="C78" t="s">
        <v>952</v>
      </c>
      <c r="D78" s="13" t="s">
        <v>5661</v>
      </c>
      <c r="E78" s="128" t="s">
        <v>5661</v>
      </c>
      <c r="F78" s="128"/>
      <c r="G78" s="128"/>
    </row>
    <row r="79" spans="3:7">
      <c r="C79" t="s">
        <v>953</v>
      </c>
      <c r="D79" s="13" t="s">
        <v>5661</v>
      </c>
      <c r="E79" s="128" t="s">
        <v>5661</v>
      </c>
      <c r="F79" s="128"/>
      <c r="G79" s="128"/>
    </row>
    <row r="80" spans="3:7">
      <c r="C80" t="s">
        <v>954</v>
      </c>
      <c r="D80" s="13" t="s">
        <v>5661</v>
      </c>
      <c r="E80" s="128" t="s">
        <v>5661</v>
      </c>
      <c r="F80" s="128"/>
      <c r="G80" s="128"/>
    </row>
    <row r="82" spans="3:7">
      <c r="C82" t="s">
        <v>1288</v>
      </c>
      <c r="D82" s="13" t="s">
        <v>1293</v>
      </c>
      <c r="E82" s="128" t="s">
        <v>1293</v>
      </c>
      <c r="F82" s="128"/>
      <c r="G82" s="128"/>
    </row>
    <row r="83" spans="3:7">
      <c r="C83" t="s">
        <v>1289</v>
      </c>
      <c r="D83" s="13" t="s">
        <v>1411</v>
      </c>
      <c r="E83" s="128" t="s">
        <v>1411</v>
      </c>
      <c r="F83" s="128"/>
      <c r="G83" s="128"/>
    </row>
    <row r="84" spans="3:7">
      <c r="C84" t="s">
        <v>1290</v>
      </c>
      <c r="D84" s="13" t="s">
        <v>1294</v>
      </c>
      <c r="E84" s="128" t="s">
        <v>1294</v>
      </c>
      <c r="F84" s="128"/>
      <c r="G84" s="128"/>
    </row>
    <row r="85" spans="3:7">
      <c r="C85" t="s">
        <v>1291</v>
      </c>
      <c r="D85" s="13" t="s">
        <v>5196</v>
      </c>
      <c r="E85" s="128" t="s">
        <v>5196</v>
      </c>
      <c r="F85" s="128"/>
      <c r="G85" s="128"/>
    </row>
    <row r="86" spans="3:7">
      <c r="C86" t="s">
        <v>1292</v>
      </c>
      <c r="D86" s="13" t="s">
        <v>812</v>
      </c>
      <c r="E86" s="128" t="s">
        <v>812</v>
      </c>
      <c r="F86" s="128"/>
      <c r="G86" s="128"/>
    </row>
    <row r="87" spans="3:7">
      <c r="C87" t="s">
        <v>1412</v>
      </c>
      <c r="D87" s="13" t="s">
        <v>1410</v>
      </c>
      <c r="E87" s="128" t="s">
        <v>1410</v>
      </c>
      <c r="F87" s="128"/>
      <c r="G87" s="128"/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ES1622"/>
  <sheetViews>
    <sheetView zoomScale="85" zoomScaleNormal="85" workbookViewId="0">
      <selection activeCell="D36" sqref="D36"/>
    </sheetView>
  </sheetViews>
  <sheetFormatPr defaultRowHeight="14.25"/>
  <cols>
    <col min="1" max="2" width="2.69921875" style="6" customWidth="1"/>
    <col min="3" max="3" width="28.59765625" style="7" customWidth="1"/>
    <col min="4" max="10" width="15.09765625" style="6" customWidth="1"/>
    <col min="11" max="11" width="10.59765625" style="6" customWidth="1"/>
    <col min="12" max="12" width="10" style="6" customWidth="1"/>
    <col min="13" max="13" width="14.59765625" style="6" customWidth="1"/>
    <col min="14" max="14" width="10.59765625" style="6" customWidth="1"/>
    <col min="15" max="15" width="8.796875" style="6"/>
    <col min="16" max="16" width="11.5" style="6" customWidth="1"/>
    <col min="17" max="17" width="8.796875" style="6"/>
    <col min="18" max="18" width="9.8984375" style="6" bestFit="1" customWidth="1"/>
    <col min="19" max="21" width="8.796875" style="6"/>
    <col min="22" max="22" width="12.296875" style="6" customWidth="1"/>
    <col min="23" max="23" width="8.796875" style="6"/>
    <col min="24" max="24" width="9.8984375" style="6" bestFit="1" customWidth="1"/>
    <col min="25" max="25" width="20.19921875" style="6" bestFit="1" customWidth="1"/>
    <col min="26" max="26" width="10.3984375" style="6" customWidth="1"/>
    <col min="27" max="27" width="10.19921875" style="6" customWidth="1"/>
    <col min="28" max="16384" width="8.796875" style="6"/>
  </cols>
  <sheetData>
    <row r="1" spans="1:16" s="10" customFormat="1">
      <c r="A1" s="98" t="s">
        <v>247</v>
      </c>
      <c r="C1" s="9"/>
    </row>
    <row r="2" spans="1:16" s="99" customFormat="1">
      <c r="C2" s="100"/>
      <c r="D2" s="100"/>
      <c r="E2" s="100"/>
      <c r="F2" s="100"/>
      <c r="G2" s="100"/>
      <c r="I2" s="100"/>
      <c r="J2" s="100"/>
      <c r="K2" s="100"/>
      <c r="L2" s="100"/>
      <c r="M2" s="100"/>
      <c r="N2" s="100"/>
      <c r="O2" s="100"/>
    </row>
    <row r="3" spans="1:16" s="99" customFormat="1">
      <c r="C3" s="99" t="s">
        <v>220</v>
      </c>
      <c r="D3" s="101" t="s">
        <v>248</v>
      </c>
      <c r="F3" s="101"/>
      <c r="G3" s="102"/>
      <c r="I3" s="102"/>
      <c r="J3" s="102"/>
      <c r="K3" s="102"/>
      <c r="L3" s="102"/>
      <c r="M3" s="102"/>
      <c r="N3" s="102"/>
      <c r="O3" s="102"/>
    </row>
    <row r="4" spans="1:16" s="103" customFormat="1"/>
    <row r="5" spans="1:16" s="15" customFormat="1">
      <c r="A5" s="104"/>
      <c r="B5" s="15" t="s">
        <v>219</v>
      </c>
      <c r="D5" s="132"/>
      <c r="G5" s="16"/>
      <c r="H5" s="16"/>
      <c r="I5" s="16"/>
      <c r="J5" s="16"/>
      <c r="K5" s="16"/>
      <c r="L5" s="16"/>
      <c r="M5" s="16"/>
      <c r="N5" s="16"/>
      <c r="O5" s="16"/>
      <c r="P5" s="16"/>
    </row>
    <row r="6" spans="1:16" s="103" customFormat="1">
      <c r="D6" s="404"/>
    </row>
    <row r="7" spans="1:16" s="103" customFormat="1">
      <c r="C7" s="19" t="s">
        <v>249</v>
      </c>
      <c r="D7" s="19"/>
      <c r="E7" s="19"/>
      <c r="F7" s="19"/>
      <c r="G7" s="105" t="s">
        <v>250</v>
      </c>
    </row>
    <row r="8" spans="1:16" s="103" customFormat="1">
      <c r="C8" s="106"/>
      <c r="D8" s="107" t="s">
        <v>251</v>
      </c>
      <c r="G8" s="108"/>
      <c r="H8" s="107" t="s">
        <v>252</v>
      </c>
    </row>
    <row r="9" spans="1:16" s="103" customFormat="1">
      <c r="C9" s="109"/>
      <c r="D9" s="107" t="s">
        <v>218</v>
      </c>
    </row>
    <row r="10" spans="1:16" s="103" customFormat="1">
      <c r="C10" s="110"/>
      <c r="D10" s="107" t="s">
        <v>253</v>
      </c>
    </row>
    <row r="12" spans="1:16" s="11" customFormat="1">
      <c r="A12" s="29"/>
      <c r="B12" s="29" t="s">
        <v>254</v>
      </c>
    </row>
    <row r="14" spans="1:16">
      <c r="B14" s="7" t="s">
        <v>255</v>
      </c>
      <c r="D14" s="111">
        <v>5</v>
      </c>
      <c r="E14" s="123" t="s">
        <v>256</v>
      </c>
      <c r="F14" s="131" t="s">
        <v>257</v>
      </c>
      <c r="G14" s="123"/>
    </row>
    <row r="16" spans="1:16" s="11" customFormat="1">
      <c r="A16" s="29"/>
      <c r="B16" s="29" t="s">
        <v>258</v>
      </c>
      <c r="E16" s="130"/>
      <c r="F16" s="130"/>
      <c r="G16" s="130"/>
    </row>
    <row r="18" spans="3:9">
      <c r="C18" s="6"/>
      <c r="D18" s="6" t="s">
        <v>259</v>
      </c>
      <c r="E18" s="123" t="s">
        <v>260</v>
      </c>
      <c r="F18" s="123" t="s">
        <v>261</v>
      </c>
      <c r="G18" s="123" t="s">
        <v>262</v>
      </c>
    </row>
    <row r="19" spans="3:9">
      <c r="C19" s="7" t="s">
        <v>31</v>
      </c>
      <c r="D19" s="113">
        <v>100000000</v>
      </c>
      <c r="E19" s="113">
        <v>115500000</v>
      </c>
      <c r="F19" s="113">
        <v>145200000</v>
      </c>
      <c r="G19" s="113">
        <v>197340000</v>
      </c>
      <c r="I19" s="112" t="s">
        <v>263</v>
      </c>
    </row>
    <row r="20" spans="3:9">
      <c r="C20" s="7" t="s">
        <v>264</v>
      </c>
      <c r="D20" s="114">
        <v>20000000</v>
      </c>
      <c r="E20" s="113">
        <v>21945000</v>
      </c>
      <c r="F20" s="113">
        <v>26136000</v>
      </c>
      <c r="G20" s="113">
        <v>33547800</v>
      </c>
      <c r="I20" s="112" t="s">
        <v>265</v>
      </c>
    </row>
    <row r="21" spans="3:9" ht="0.75" customHeight="1">
      <c r="C21" s="115"/>
      <c r="D21" s="115"/>
      <c r="E21" s="123"/>
      <c r="F21" s="123"/>
      <c r="G21" s="123"/>
    </row>
    <row r="22" spans="3:9">
      <c r="C22" s="7" t="s">
        <v>160</v>
      </c>
      <c r="D22" s="114">
        <v>80000000</v>
      </c>
      <c r="E22" s="114">
        <v>93555000</v>
      </c>
      <c r="F22" s="114">
        <v>119064000</v>
      </c>
      <c r="G22" s="114">
        <v>163792200</v>
      </c>
      <c r="I22" s="112" t="s">
        <v>266</v>
      </c>
    </row>
    <row r="23" spans="3:9">
      <c r="C23" s="7" t="s">
        <v>162</v>
      </c>
      <c r="D23" s="116">
        <v>0.8</v>
      </c>
      <c r="E23" s="116">
        <v>0.81</v>
      </c>
      <c r="F23" s="116">
        <v>0.82</v>
      </c>
      <c r="G23" s="116">
        <v>0.83</v>
      </c>
    </row>
    <row r="24" spans="3:9">
      <c r="E24" s="123"/>
      <c r="F24" s="123"/>
      <c r="G24" s="123"/>
    </row>
    <row r="25" spans="3:9">
      <c r="C25" s="7" t="s">
        <v>267</v>
      </c>
      <c r="D25" s="114">
        <v>30000000</v>
      </c>
      <c r="E25" s="113">
        <v>35805000</v>
      </c>
      <c r="F25" s="113">
        <v>46464000</v>
      </c>
      <c r="G25" s="113">
        <v>65122200</v>
      </c>
    </row>
    <row r="26" spans="3:9">
      <c r="C26" s="7" t="s">
        <v>268</v>
      </c>
      <c r="D26" s="116">
        <v>0.3</v>
      </c>
      <c r="E26" s="116">
        <v>0.31</v>
      </c>
      <c r="F26" s="116">
        <v>0.32</v>
      </c>
      <c r="G26" s="116">
        <v>0.33</v>
      </c>
    </row>
    <row r="28" spans="3:9">
      <c r="C28" s="7" t="s">
        <v>269</v>
      </c>
      <c r="D28" s="114">
        <v>20000000</v>
      </c>
      <c r="E28" s="113">
        <v>23100000</v>
      </c>
      <c r="F28" s="113">
        <v>29040000</v>
      </c>
      <c r="G28" s="113">
        <v>39468000</v>
      </c>
    </row>
    <row r="29" spans="3:9">
      <c r="C29" s="7" t="s">
        <v>270</v>
      </c>
      <c r="D29" s="116">
        <v>0.2</v>
      </c>
      <c r="E29" s="116">
        <v>0.2</v>
      </c>
      <c r="F29" s="116">
        <v>0.2</v>
      </c>
      <c r="G29" s="116">
        <v>0.2</v>
      </c>
    </row>
    <row r="30" spans="3:9">
      <c r="E30" s="123"/>
      <c r="F30" s="123"/>
      <c r="G30" s="123"/>
    </row>
    <row r="31" spans="3:9">
      <c r="C31" s="7" t="s">
        <v>271</v>
      </c>
      <c r="D31" s="114">
        <v>10000000</v>
      </c>
      <c r="E31" s="113">
        <v>9240000</v>
      </c>
      <c r="F31" s="113">
        <v>10164000.000000002</v>
      </c>
      <c r="G31" s="113">
        <v>9867000</v>
      </c>
    </row>
    <row r="32" spans="3:9">
      <c r="C32" s="7" t="s">
        <v>272</v>
      </c>
      <c r="D32" s="116">
        <v>0.1</v>
      </c>
      <c r="E32" s="116">
        <v>0.08</v>
      </c>
      <c r="F32" s="116">
        <v>7.0000000000000007E-2</v>
      </c>
      <c r="G32" s="116">
        <v>0.05</v>
      </c>
    </row>
    <row r="33" spans="1:14">
      <c r="E33" s="123"/>
      <c r="F33" s="123"/>
      <c r="G33" s="123"/>
    </row>
    <row r="34" spans="1:14">
      <c r="C34" s="7" t="s">
        <v>273</v>
      </c>
      <c r="D34" s="114">
        <v>20000000</v>
      </c>
      <c r="E34" s="113">
        <v>25410000</v>
      </c>
      <c r="F34" s="113">
        <v>33396000</v>
      </c>
      <c r="G34" s="113">
        <v>49335000</v>
      </c>
    </row>
    <row r="35" spans="1:14">
      <c r="C35" s="7" t="s">
        <v>274</v>
      </c>
      <c r="D35" s="117">
        <v>0.2</v>
      </c>
      <c r="E35" s="116">
        <v>0.22</v>
      </c>
      <c r="F35" s="116">
        <v>0.23</v>
      </c>
      <c r="G35" s="116">
        <v>0.25</v>
      </c>
    </row>
    <row r="37" spans="1:14" s="11" customFormat="1">
      <c r="A37" s="29"/>
      <c r="B37" s="29" t="s">
        <v>13764</v>
      </c>
    </row>
    <row r="39" spans="1:14">
      <c r="B39" s="7" t="s">
        <v>275</v>
      </c>
      <c r="D39" s="6" t="s">
        <v>590</v>
      </c>
      <c r="E39" s="6" t="s">
        <v>591</v>
      </c>
      <c r="F39" s="6" t="s">
        <v>592</v>
      </c>
      <c r="G39" s="6" t="s">
        <v>259</v>
      </c>
      <c r="H39" s="6" t="s">
        <v>260</v>
      </c>
      <c r="I39" s="6" t="s">
        <v>261</v>
      </c>
      <c r="J39" s="6" t="s">
        <v>262</v>
      </c>
      <c r="M39" s="6" t="s">
        <v>276</v>
      </c>
    </row>
    <row r="40" spans="1:14">
      <c r="C40" s="7" t="s">
        <v>600</v>
      </c>
      <c r="D40" s="119">
        <v>58572504.480000004</v>
      </c>
      <c r="E40" s="119">
        <v>57998264.240000002</v>
      </c>
      <c r="F40" s="119">
        <v>57998264.240000002</v>
      </c>
      <c r="G40" s="118">
        <v>57424024</v>
      </c>
      <c r="H40" s="119">
        <v>57998264.240000002</v>
      </c>
      <c r="I40" s="119">
        <v>58578246.882400006</v>
      </c>
      <c r="J40" s="119">
        <v>59164029.351224005</v>
      </c>
      <c r="K40" s="7" t="s">
        <v>593</v>
      </c>
      <c r="M40" s="120">
        <v>1.0000000000000009E-2</v>
      </c>
    </row>
    <row r="41" spans="1:14">
      <c r="C41" s="7" t="s">
        <v>277</v>
      </c>
      <c r="D41" s="116">
        <v>0.02</v>
      </c>
      <c r="E41" s="116">
        <v>0.01</v>
      </c>
      <c r="F41" s="116">
        <v>0.01</v>
      </c>
      <c r="H41" s="481">
        <v>0.01</v>
      </c>
      <c r="I41" s="481">
        <v>0.01</v>
      </c>
      <c r="J41" s="481">
        <v>0.01</v>
      </c>
    </row>
    <row r="42" spans="1:14" s="90" customFormat="1">
      <c r="C42" s="268"/>
    </row>
    <row r="43" spans="1:14">
      <c r="B43" s="7" t="s">
        <v>278</v>
      </c>
      <c r="D43" s="6" t="s">
        <v>590</v>
      </c>
      <c r="E43" s="6" t="s">
        <v>591</v>
      </c>
      <c r="F43" s="6" t="s">
        <v>592</v>
      </c>
      <c r="G43" s="6" t="s">
        <v>259</v>
      </c>
      <c r="H43" s="123" t="s">
        <v>260</v>
      </c>
      <c r="I43" s="123" t="s">
        <v>261</v>
      </c>
      <c r="J43" s="123" t="s">
        <v>262</v>
      </c>
    </row>
    <row r="44" spans="1:14">
      <c r="C44" s="7" t="s">
        <v>605</v>
      </c>
      <c r="D44" s="119">
        <v>292862522.40000004</v>
      </c>
      <c r="E44" s="119">
        <v>289991321.19999999</v>
      </c>
      <c r="F44" s="119">
        <v>289991321.19999999</v>
      </c>
      <c r="G44" s="119">
        <v>287120120</v>
      </c>
      <c r="H44" s="119">
        <v>289991321.19999999</v>
      </c>
      <c r="I44" s="119">
        <v>292891234.41200006</v>
      </c>
      <c r="J44" s="119">
        <v>295820146.75612003</v>
      </c>
      <c r="K44" s="7" t="s">
        <v>594</v>
      </c>
      <c r="N44" s="112" t="s">
        <v>279</v>
      </c>
    </row>
    <row r="45" spans="1:14">
      <c r="G45" s="281"/>
      <c r="H45" s="281"/>
      <c r="I45" s="281"/>
      <c r="J45" s="281"/>
      <c r="K45" s="7"/>
      <c r="N45" s="112"/>
    </row>
    <row r="46" spans="1:14">
      <c r="G46" s="281"/>
      <c r="H46" s="281"/>
      <c r="I46" s="281"/>
      <c r="J46" s="281"/>
      <c r="K46" s="7"/>
      <c r="N46" s="112"/>
    </row>
    <row r="47" spans="1:14">
      <c r="C47" s="7" t="s">
        <v>598</v>
      </c>
      <c r="D47" s="6" t="s">
        <v>259</v>
      </c>
      <c r="E47" s="6" t="s">
        <v>260</v>
      </c>
      <c r="F47" s="6" t="s">
        <v>261</v>
      </c>
      <c r="G47" s="6" t="s">
        <v>262</v>
      </c>
      <c r="H47" s="281"/>
      <c r="I47" s="281"/>
      <c r="J47" s="281"/>
      <c r="K47" s="7"/>
      <c r="N47" s="112"/>
    </row>
    <row r="48" spans="1:14">
      <c r="C48" s="7" t="s">
        <v>586</v>
      </c>
      <c r="D48" s="146">
        <v>0.3</v>
      </c>
      <c r="E48" s="146">
        <v>0.3</v>
      </c>
      <c r="F48" s="146">
        <v>0.3</v>
      </c>
      <c r="G48" s="146">
        <v>0.3</v>
      </c>
      <c r="H48" s="904" t="s">
        <v>241</v>
      </c>
      <c r="K48" s="7"/>
      <c r="N48" s="112"/>
    </row>
    <row r="49" spans="2:14">
      <c r="C49" s="7" t="s">
        <v>587</v>
      </c>
      <c r="D49" s="146">
        <v>0.15</v>
      </c>
      <c r="E49" s="146">
        <v>0.15</v>
      </c>
      <c r="F49" s="146">
        <v>0.15</v>
      </c>
      <c r="G49" s="146">
        <v>0.15</v>
      </c>
      <c r="H49" s="904" t="s">
        <v>242</v>
      </c>
      <c r="K49" s="7"/>
      <c r="N49" s="112"/>
    </row>
    <row r="50" spans="2:14">
      <c r="C50" s="7" t="s">
        <v>588</v>
      </c>
      <c r="D50" s="146">
        <v>0.3</v>
      </c>
      <c r="E50" s="146">
        <v>0.3</v>
      </c>
      <c r="F50" s="146">
        <v>0.3</v>
      </c>
      <c r="G50" s="146">
        <v>0.3</v>
      </c>
      <c r="H50" s="904" t="s">
        <v>4353</v>
      </c>
      <c r="K50" s="7"/>
      <c r="N50" s="112"/>
    </row>
    <row r="51" spans="2:14">
      <c r="C51" s="7" t="s">
        <v>589</v>
      </c>
      <c r="D51" s="146">
        <v>0.25</v>
      </c>
      <c r="E51" s="146">
        <v>0.25</v>
      </c>
      <c r="F51" s="146">
        <v>0.25</v>
      </c>
      <c r="G51" s="146">
        <v>0.25</v>
      </c>
      <c r="H51" s="904" t="s">
        <v>243</v>
      </c>
      <c r="K51" s="7"/>
      <c r="N51" s="112"/>
    </row>
    <row r="52" spans="2:14">
      <c r="D52" s="284"/>
      <c r="E52" s="284"/>
      <c r="F52" s="284"/>
      <c r="G52" s="284"/>
      <c r="K52" s="7"/>
      <c r="N52" s="112"/>
    </row>
    <row r="53" spans="2:14">
      <c r="C53" s="7" t="s">
        <v>597</v>
      </c>
      <c r="D53" s="281"/>
      <c r="E53" s="281"/>
      <c r="F53" s="281"/>
      <c r="G53" s="281"/>
      <c r="K53" s="7"/>
      <c r="N53" s="112"/>
    </row>
    <row r="54" spans="2:14">
      <c r="C54" s="7" t="s">
        <v>586</v>
      </c>
      <c r="D54" s="283">
        <v>86136036</v>
      </c>
      <c r="E54" s="283">
        <v>86997396.359999999</v>
      </c>
      <c r="F54" s="283">
        <v>87867370.323600009</v>
      </c>
      <c r="G54" s="283">
        <v>88746044.026836008</v>
      </c>
      <c r="H54" s="611" t="s">
        <v>11261</v>
      </c>
      <c r="K54" s="7"/>
      <c r="N54" s="112"/>
    </row>
    <row r="55" spans="2:14">
      <c r="C55" s="7" t="s">
        <v>587</v>
      </c>
      <c r="D55" s="283">
        <v>43068018</v>
      </c>
      <c r="E55" s="283">
        <v>43498698.18</v>
      </c>
      <c r="F55" s="283">
        <v>43933685.161800005</v>
      </c>
      <c r="G55" s="283">
        <v>44373022.013418004</v>
      </c>
      <c r="H55" s="611" t="s">
        <v>11264</v>
      </c>
      <c r="K55" s="7"/>
      <c r="N55" s="112"/>
    </row>
    <row r="56" spans="2:14">
      <c r="C56" s="7" t="s">
        <v>588</v>
      </c>
      <c r="D56" s="283">
        <v>86136036</v>
      </c>
      <c r="E56" s="283">
        <v>86997396.359999999</v>
      </c>
      <c r="F56" s="283">
        <v>87867370.323600009</v>
      </c>
      <c r="G56" s="283">
        <v>88746044.026836008</v>
      </c>
      <c r="H56" s="611" t="s">
        <v>11263</v>
      </c>
      <c r="K56" s="7"/>
      <c r="N56" s="112"/>
    </row>
    <row r="57" spans="2:14">
      <c r="C57" s="7" t="s">
        <v>589</v>
      </c>
      <c r="D57" s="283">
        <v>71780030</v>
      </c>
      <c r="E57" s="283">
        <v>72497830.299999997</v>
      </c>
      <c r="F57" s="283">
        <v>73222808.603000015</v>
      </c>
      <c r="G57" s="283">
        <v>73955036.689030007</v>
      </c>
      <c r="H57" s="611" t="s">
        <v>11262</v>
      </c>
      <c r="K57" s="7"/>
      <c r="N57" s="112"/>
    </row>
    <row r="58" spans="2:14" s="26" customFormat="1">
      <c r="C58" s="286"/>
      <c r="D58" s="287"/>
      <c r="E58" s="287"/>
      <c r="F58" s="287"/>
      <c r="G58" s="287"/>
      <c r="H58" s="286"/>
      <c r="K58" s="288"/>
    </row>
    <row r="59" spans="2:14">
      <c r="B59" s="7" t="s">
        <v>275</v>
      </c>
      <c r="D59" s="6" t="s">
        <v>590</v>
      </c>
      <c r="E59" s="6" t="s">
        <v>591</v>
      </c>
      <c r="F59" s="6" t="s">
        <v>592</v>
      </c>
      <c r="G59" s="6" t="s">
        <v>259</v>
      </c>
      <c r="H59" s="6" t="s">
        <v>260</v>
      </c>
      <c r="I59" s="6" t="s">
        <v>261</v>
      </c>
      <c r="J59" s="6" t="s">
        <v>262</v>
      </c>
      <c r="M59" s="6" t="s">
        <v>276</v>
      </c>
    </row>
    <row r="60" spans="2:14">
      <c r="C60" s="7" t="s">
        <v>599</v>
      </c>
      <c r="D60" s="119">
        <v>241180800</v>
      </c>
      <c r="E60" s="119">
        <v>256254600</v>
      </c>
      <c r="F60" s="119">
        <v>271328400</v>
      </c>
      <c r="G60" s="118">
        <v>301476000</v>
      </c>
      <c r="H60" s="119">
        <v>304490760</v>
      </c>
      <c r="I60" s="119">
        <v>310580575.19999999</v>
      </c>
      <c r="J60" s="119">
        <v>313686380.95199996</v>
      </c>
      <c r="K60" s="7" t="s">
        <v>610</v>
      </c>
      <c r="M60" s="120">
        <v>1.3322392348783074E-2</v>
      </c>
    </row>
    <row r="61" spans="2:14">
      <c r="C61" s="7" t="s">
        <v>277</v>
      </c>
      <c r="D61" s="116">
        <v>-0.2</v>
      </c>
      <c r="E61" s="116">
        <v>-0.15</v>
      </c>
      <c r="F61" s="116">
        <v>-0.1</v>
      </c>
      <c r="H61" s="116">
        <v>0.01</v>
      </c>
      <c r="I61" s="116">
        <v>0.02</v>
      </c>
      <c r="J61" s="116">
        <v>0.01</v>
      </c>
    </row>
    <row r="62" spans="2:14">
      <c r="B62" s="90"/>
      <c r="C62" s="268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</row>
    <row r="63" spans="2:14">
      <c r="B63" s="7" t="s">
        <v>278</v>
      </c>
      <c r="D63" s="6" t="s">
        <v>590</v>
      </c>
      <c r="E63" s="6" t="s">
        <v>591</v>
      </c>
      <c r="F63" s="6" t="s">
        <v>592</v>
      </c>
      <c r="G63" s="6" t="s">
        <v>259</v>
      </c>
      <c r="H63" s="123" t="s">
        <v>260</v>
      </c>
      <c r="I63" s="123" t="s">
        <v>261</v>
      </c>
      <c r="J63" s="123" t="s">
        <v>262</v>
      </c>
    </row>
    <row r="64" spans="2:14">
      <c r="C64" s="7" t="s">
        <v>606</v>
      </c>
      <c r="D64" s="119">
        <v>1205904000</v>
      </c>
      <c r="E64" s="119">
        <v>1281273000</v>
      </c>
      <c r="F64" s="119">
        <v>1356642000</v>
      </c>
      <c r="G64" s="119">
        <v>1507380000</v>
      </c>
      <c r="H64" s="119">
        <v>1522453800</v>
      </c>
      <c r="I64" s="119">
        <v>1552902876</v>
      </c>
      <c r="J64" s="119">
        <v>1568431904.7599998</v>
      </c>
      <c r="K64" s="7" t="s">
        <v>609</v>
      </c>
      <c r="N64" s="112" t="s">
        <v>279</v>
      </c>
    </row>
    <row r="65" spans="2:23">
      <c r="G65" s="281"/>
      <c r="H65" s="281"/>
      <c r="I65" s="281"/>
      <c r="J65" s="281"/>
      <c r="K65" s="7"/>
      <c r="N65" s="112"/>
    </row>
    <row r="66" spans="2:23">
      <c r="G66" s="281"/>
      <c r="H66" s="281"/>
      <c r="I66" s="281"/>
      <c r="J66" s="281"/>
      <c r="K66" s="7"/>
      <c r="N66" s="112"/>
    </row>
    <row r="67" spans="2:23">
      <c r="C67" s="7" t="s">
        <v>595</v>
      </c>
      <c r="D67" s="6" t="s">
        <v>259</v>
      </c>
      <c r="E67" s="6" t="s">
        <v>260</v>
      </c>
      <c r="F67" s="6" t="s">
        <v>261</v>
      </c>
      <c r="G67" s="6" t="s">
        <v>262</v>
      </c>
      <c r="H67" s="281"/>
      <c r="I67" s="281"/>
      <c r="J67" s="281"/>
      <c r="K67" s="7"/>
      <c r="N67" s="112"/>
    </row>
    <row r="68" spans="2:23">
      <c r="C68" s="7" t="s">
        <v>586</v>
      </c>
      <c r="D68" s="146">
        <v>0.08</v>
      </c>
      <c r="E68" s="146">
        <v>0.08</v>
      </c>
      <c r="F68" s="146">
        <v>0.08</v>
      </c>
      <c r="G68" s="146">
        <v>0.08</v>
      </c>
      <c r="K68" s="7"/>
      <c r="N68" s="112"/>
    </row>
    <row r="69" spans="2:23">
      <c r="C69" s="7" t="s">
        <v>587</v>
      </c>
      <c r="D69" s="146">
        <v>0.12</v>
      </c>
      <c r="E69" s="146">
        <v>0.12</v>
      </c>
      <c r="F69" s="146">
        <v>0.12</v>
      </c>
      <c r="G69" s="146">
        <v>0.12</v>
      </c>
      <c r="K69" s="7"/>
      <c r="N69" s="112"/>
    </row>
    <row r="70" spans="2:23">
      <c r="C70" s="7" t="s">
        <v>588</v>
      </c>
      <c r="D70" s="146">
        <v>0.34</v>
      </c>
      <c r="E70" s="146">
        <v>0.34</v>
      </c>
      <c r="F70" s="146">
        <v>0.34</v>
      </c>
      <c r="G70" s="146">
        <v>0.34</v>
      </c>
      <c r="K70" s="7"/>
      <c r="N70" s="112"/>
    </row>
    <row r="71" spans="2:23">
      <c r="C71" s="7" t="s">
        <v>589</v>
      </c>
      <c r="D71" s="146">
        <v>0.45</v>
      </c>
      <c r="E71" s="146">
        <v>0.45</v>
      </c>
      <c r="F71" s="146">
        <v>0.45</v>
      </c>
      <c r="G71" s="146">
        <v>0.45</v>
      </c>
      <c r="K71" s="7"/>
      <c r="N71" s="112"/>
    </row>
    <row r="72" spans="2:23">
      <c r="D72" s="284"/>
      <c r="E72" s="284"/>
      <c r="F72" s="284"/>
      <c r="G72" s="284"/>
      <c r="K72" s="7"/>
      <c r="N72" s="112"/>
    </row>
    <row r="73" spans="2:23">
      <c r="C73" s="7" t="s">
        <v>596</v>
      </c>
      <c r="D73" s="281"/>
      <c r="E73" s="281"/>
      <c r="F73" s="281"/>
      <c r="G73" s="281"/>
      <c r="K73" s="7"/>
      <c r="N73" s="112"/>
    </row>
    <row r="74" spans="2:23">
      <c r="C74" s="7" t="s">
        <v>586</v>
      </c>
      <c r="D74" s="283">
        <v>120590400</v>
      </c>
      <c r="E74" s="283">
        <v>121796304</v>
      </c>
      <c r="F74" s="283">
        <v>124232230.08</v>
      </c>
      <c r="G74" s="283">
        <v>125474552.38079998</v>
      </c>
      <c r="H74" s="611" t="s">
        <v>11265</v>
      </c>
      <c r="K74" s="7"/>
      <c r="N74" s="112"/>
    </row>
    <row r="75" spans="2:23">
      <c r="C75" s="7" t="s">
        <v>587</v>
      </c>
      <c r="D75" s="283">
        <v>180885600</v>
      </c>
      <c r="E75" s="283">
        <v>182694456</v>
      </c>
      <c r="F75" s="283">
        <v>186348345.12</v>
      </c>
      <c r="G75" s="283">
        <v>188211828.57119995</v>
      </c>
      <c r="H75" s="611" t="s">
        <v>11266</v>
      </c>
      <c r="K75" s="7"/>
      <c r="N75" s="112"/>
    </row>
    <row r="76" spans="2:23">
      <c r="C76" s="7" t="s">
        <v>588</v>
      </c>
      <c r="D76" s="283">
        <v>512509200.00000006</v>
      </c>
      <c r="E76" s="283">
        <v>517634292.00000006</v>
      </c>
      <c r="F76" s="283">
        <v>527986977.84000003</v>
      </c>
      <c r="G76" s="283">
        <v>533266847.61839998</v>
      </c>
      <c r="H76" s="611" t="s">
        <v>11267</v>
      </c>
      <c r="K76" s="7"/>
      <c r="N76" s="112"/>
    </row>
    <row r="77" spans="2:23">
      <c r="C77" s="7" t="s">
        <v>589</v>
      </c>
      <c r="D77" s="283">
        <v>678321000</v>
      </c>
      <c r="E77" s="283">
        <v>685104210</v>
      </c>
      <c r="F77" s="283">
        <v>698806294.20000005</v>
      </c>
      <c r="G77" s="283">
        <v>705794357.14199996</v>
      </c>
      <c r="H77" s="611" t="s">
        <v>11268</v>
      </c>
      <c r="K77" s="7"/>
      <c r="N77" s="112"/>
    </row>
    <row r="78" spans="2:23" s="26" customFormat="1">
      <c r="C78" s="286"/>
      <c r="D78" s="287"/>
      <c r="E78" s="287"/>
      <c r="F78" s="287"/>
      <c r="G78" s="287"/>
      <c r="H78" s="286"/>
      <c r="K78" s="288"/>
    </row>
    <row r="79" spans="2:23">
      <c r="B79" s="7" t="s">
        <v>275</v>
      </c>
      <c r="D79" s="6" t="s">
        <v>590</v>
      </c>
      <c r="E79" s="6" t="s">
        <v>591</v>
      </c>
      <c r="F79" s="6" t="s">
        <v>592</v>
      </c>
      <c r="G79" s="6" t="s">
        <v>259</v>
      </c>
      <c r="H79" s="6" t="s">
        <v>260</v>
      </c>
      <c r="I79" s="6" t="s">
        <v>261</v>
      </c>
      <c r="J79" s="6" t="s">
        <v>262</v>
      </c>
      <c r="M79" s="6" t="s">
        <v>276</v>
      </c>
    </row>
    <row r="80" spans="2:23">
      <c r="C80" s="7" t="s">
        <v>601</v>
      </c>
      <c r="D80" s="119">
        <v>16000000</v>
      </c>
      <c r="E80" s="119">
        <v>17000000</v>
      </c>
      <c r="F80" s="119">
        <v>18000000</v>
      </c>
      <c r="G80" s="486">
        <v>20000000</v>
      </c>
      <c r="H80" s="119">
        <v>21000000</v>
      </c>
      <c r="I80" s="119">
        <v>22470000</v>
      </c>
      <c r="J80" s="119">
        <v>24492300</v>
      </c>
      <c r="K80" s="7" t="s">
        <v>607</v>
      </c>
      <c r="M80" s="120">
        <v>6.9875374893320075E-2</v>
      </c>
      <c r="Q80" s="611" t="s">
        <v>11347</v>
      </c>
      <c r="R80" s="127"/>
      <c r="S80" s="127">
        <v>0.05</v>
      </c>
      <c r="T80" s="127">
        <v>7.0000000000000007E-2</v>
      </c>
      <c r="U80" s="127">
        <v>0.09</v>
      </c>
      <c r="W80" s="611" t="s">
        <v>11346</v>
      </c>
    </row>
    <row r="81" spans="2:31">
      <c r="C81" s="7" t="s">
        <v>277</v>
      </c>
      <c r="D81" s="116">
        <v>-0.2</v>
      </c>
      <c r="E81" s="116">
        <v>-0.15</v>
      </c>
      <c r="F81" s="116">
        <v>-0.1</v>
      </c>
      <c r="H81" s="116">
        <v>0.05</v>
      </c>
      <c r="I81" s="116">
        <v>7.0000000000000007E-2</v>
      </c>
      <c r="J81" s="116">
        <v>0.09</v>
      </c>
      <c r="R81" s="6" t="s">
        <v>259</v>
      </c>
      <c r="S81" s="610" t="s">
        <v>260</v>
      </c>
      <c r="T81" s="610" t="s">
        <v>261</v>
      </c>
      <c r="U81" s="610" t="s">
        <v>262</v>
      </c>
      <c r="W81" s="610"/>
      <c r="X81" s="610" t="s">
        <v>259</v>
      </c>
      <c r="Y81" s="610" t="s">
        <v>260</v>
      </c>
      <c r="Z81" s="610" t="s">
        <v>261</v>
      </c>
      <c r="AA81" s="610" t="s">
        <v>262</v>
      </c>
    </row>
    <row r="82" spans="2:31" s="90" customFormat="1">
      <c r="C82" s="268"/>
      <c r="Q82" s="145">
        <v>0</v>
      </c>
      <c r="R82" s="626">
        <v>26000</v>
      </c>
      <c r="S82" s="119">
        <v>27300</v>
      </c>
      <c r="T82" s="119">
        <v>29211</v>
      </c>
      <c r="U82" s="119">
        <v>31839.99</v>
      </c>
      <c r="W82" s="145">
        <v>0</v>
      </c>
      <c r="X82" s="119">
        <v>26000000</v>
      </c>
      <c r="Y82" s="119">
        <v>27300000</v>
      </c>
      <c r="Z82" s="119">
        <v>29211000</v>
      </c>
      <c r="AA82" s="119">
        <v>31839990</v>
      </c>
    </row>
    <row r="83" spans="2:31">
      <c r="B83" s="7" t="s">
        <v>278</v>
      </c>
      <c r="D83" s="6" t="s">
        <v>590</v>
      </c>
      <c r="E83" s="6" t="s">
        <v>591</v>
      </c>
      <c r="F83" s="6" t="s">
        <v>592</v>
      </c>
      <c r="G83" s="6" t="s">
        <v>259</v>
      </c>
      <c r="H83" s="123" t="s">
        <v>260</v>
      </c>
      <c r="I83" s="123" t="s">
        <v>261</v>
      </c>
      <c r="J83" s="123" t="s">
        <v>262</v>
      </c>
      <c r="Q83" s="145">
        <v>1</v>
      </c>
      <c r="R83" s="626">
        <v>26000</v>
      </c>
      <c r="S83" s="119">
        <v>27300</v>
      </c>
      <c r="T83" s="119">
        <v>29211</v>
      </c>
      <c r="U83" s="119">
        <v>31839.99</v>
      </c>
      <c r="V83" s="90"/>
      <c r="W83" s="145">
        <v>1</v>
      </c>
      <c r="X83" s="119">
        <v>26000000</v>
      </c>
      <c r="Y83" s="119">
        <v>27300000</v>
      </c>
      <c r="Z83" s="119">
        <v>29211000</v>
      </c>
      <c r="AA83" s="119">
        <v>31839990</v>
      </c>
      <c r="AB83" s="90"/>
      <c r="AC83" s="90"/>
      <c r="AD83" s="90"/>
      <c r="AE83" s="90"/>
    </row>
    <row r="84" spans="2:31">
      <c r="C84" s="7" t="s">
        <v>602</v>
      </c>
      <c r="D84" s="119">
        <v>80000000</v>
      </c>
      <c r="E84" s="119">
        <v>85000000</v>
      </c>
      <c r="F84" s="119">
        <v>90000000</v>
      </c>
      <c r="G84" s="119">
        <v>100000000</v>
      </c>
      <c r="H84" s="119">
        <v>105000000</v>
      </c>
      <c r="I84" s="119">
        <v>112350000</v>
      </c>
      <c r="J84" s="119">
        <v>122461500</v>
      </c>
      <c r="K84" s="7"/>
      <c r="N84" s="112" t="s">
        <v>279</v>
      </c>
      <c r="Q84" s="145">
        <v>2</v>
      </c>
      <c r="R84" s="626">
        <v>24000</v>
      </c>
      <c r="S84" s="119">
        <v>25200</v>
      </c>
      <c r="T84" s="119">
        <v>26964</v>
      </c>
      <c r="U84" s="119">
        <v>29390.760000000002</v>
      </c>
      <c r="W84" s="145">
        <v>2</v>
      </c>
      <c r="X84" s="119">
        <v>48000000</v>
      </c>
      <c r="Y84" s="119">
        <v>50400000</v>
      </c>
      <c r="Z84" s="119">
        <v>53928000</v>
      </c>
      <c r="AA84" s="119">
        <v>58781520.000000007</v>
      </c>
      <c r="AB84" s="90"/>
      <c r="AC84" s="90"/>
      <c r="AD84" s="90"/>
      <c r="AE84" s="90"/>
    </row>
    <row r="85" spans="2:31">
      <c r="G85" s="281"/>
      <c r="H85" s="281"/>
      <c r="I85" s="281"/>
      <c r="J85" s="281"/>
      <c r="K85" s="7"/>
      <c r="N85" s="112"/>
      <c r="Q85" s="145">
        <v>3</v>
      </c>
      <c r="R85" s="626">
        <v>22000</v>
      </c>
      <c r="S85" s="119">
        <v>23100</v>
      </c>
      <c r="T85" s="119">
        <v>24717</v>
      </c>
      <c r="U85" s="119">
        <v>26941.530000000002</v>
      </c>
      <c r="W85" s="145">
        <v>3</v>
      </c>
      <c r="X85" s="119">
        <v>66000000</v>
      </c>
      <c r="Y85" s="119">
        <v>69300000</v>
      </c>
      <c r="Z85" s="119">
        <v>74151000</v>
      </c>
      <c r="AA85" s="119">
        <v>80824590.000000015</v>
      </c>
      <c r="AB85" s="90"/>
      <c r="AC85" s="90"/>
      <c r="AD85" s="90"/>
      <c r="AE85" s="90"/>
    </row>
    <row r="86" spans="2:31">
      <c r="G86" s="281"/>
      <c r="H86" s="281"/>
      <c r="I86" s="281"/>
      <c r="J86" s="281"/>
      <c r="K86" s="7"/>
      <c r="N86" s="112"/>
      <c r="Q86" s="145">
        <v>4</v>
      </c>
      <c r="R86" s="626">
        <v>20000</v>
      </c>
      <c r="S86" s="119">
        <v>21000</v>
      </c>
      <c r="T86" s="119">
        <v>22470</v>
      </c>
      <c r="U86" s="119">
        <v>24492.300000000003</v>
      </c>
      <c r="W86" s="145">
        <v>4</v>
      </c>
      <c r="X86" s="119">
        <v>80000000</v>
      </c>
      <c r="Y86" s="119">
        <v>84000000</v>
      </c>
      <c r="Z86" s="119">
        <v>89880000</v>
      </c>
      <c r="AA86" s="119">
        <v>97969200.000000015</v>
      </c>
      <c r="AB86" s="90"/>
      <c r="AC86" s="90"/>
      <c r="AD86" s="90"/>
      <c r="AE86" s="90"/>
    </row>
    <row r="87" spans="2:31">
      <c r="C87" s="7" t="s">
        <v>603</v>
      </c>
      <c r="D87" s="6" t="s">
        <v>259</v>
      </c>
      <c r="E87" s="6" t="s">
        <v>260</v>
      </c>
      <c r="F87" s="6" t="s">
        <v>261</v>
      </c>
      <c r="G87" s="6" t="s">
        <v>262</v>
      </c>
      <c r="H87" s="281"/>
      <c r="I87" s="281"/>
      <c r="J87" s="281"/>
      <c r="K87" s="7"/>
      <c r="N87" s="112"/>
      <c r="Q87" s="145">
        <v>5</v>
      </c>
      <c r="R87" s="626">
        <v>18000</v>
      </c>
      <c r="S87" s="119">
        <v>18900</v>
      </c>
      <c r="T87" s="119">
        <v>20223</v>
      </c>
      <c r="U87" s="119">
        <v>22043.070000000003</v>
      </c>
      <c r="W87" s="145">
        <v>5</v>
      </c>
      <c r="X87" s="119">
        <v>90000000</v>
      </c>
      <c r="Y87" s="119">
        <v>94500000</v>
      </c>
      <c r="Z87" s="119">
        <v>101115000</v>
      </c>
      <c r="AA87" s="119">
        <v>110215350.00000001</v>
      </c>
    </row>
    <row r="88" spans="2:31">
      <c r="C88" s="7" t="s">
        <v>586</v>
      </c>
      <c r="D88" s="146">
        <v>0.3</v>
      </c>
      <c r="E88" s="146">
        <v>0.3</v>
      </c>
      <c r="F88" s="146">
        <v>0.3</v>
      </c>
      <c r="G88" s="146">
        <v>0.3</v>
      </c>
      <c r="H88" s="611" t="s">
        <v>11376</v>
      </c>
      <c r="K88" s="7"/>
      <c r="N88" s="112"/>
      <c r="S88" s="90"/>
      <c r="T88" s="90"/>
      <c r="U88" s="90"/>
      <c r="W88" s="611" t="s">
        <v>608</v>
      </c>
    </row>
    <row r="89" spans="2:31">
      <c r="C89" s="7" t="s">
        <v>587</v>
      </c>
      <c r="D89" s="146">
        <v>0.05</v>
      </c>
      <c r="E89" s="146">
        <v>0.05</v>
      </c>
      <c r="F89" s="146">
        <v>0.05</v>
      </c>
      <c r="G89" s="146">
        <v>0.05</v>
      </c>
      <c r="H89" s="611" t="s">
        <v>11377</v>
      </c>
      <c r="K89" s="7"/>
      <c r="N89" s="112"/>
    </row>
    <row r="90" spans="2:31">
      <c r="C90" s="7" t="s">
        <v>588</v>
      </c>
      <c r="D90" s="146">
        <v>0.45</v>
      </c>
      <c r="E90" s="146">
        <v>0.45</v>
      </c>
      <c r="F90" s="146">
        <v>0.45</v>
      </c>
      <c r="G90" s="146">
        <v>0.45</v>
      </c>
      <c r="H90" s="611" t="s">
        <v>11378</v>
      </c>
      <c r="K90" s="7"/>
      <c r="N90" s="112"/>
      <c r="R90" s="126">
        <v>26</v>
      </c>
      <c r="S90" s="126">
        <v>27</v>
      </c>
      <c r="T90" s="126">
        <v>29</v>
      </c>
      <c r="U90" s="126">
        <v>32</v>
      </c>
    </row>
    <row r="91" spans="2:31">
      <c r="C91" s="7" t="s">
        <v>589</v>
      </c>
      <c r="D91" s="146">
        <v>0.2</v>
      </c>
      <c r="E91" s="146">
        <v>0.2</v>
      </c>
      <c r="F91" s="146">
        <v>0.2</v>
      </c>
      <c r="G91" s="146">
        <v>0.2</v>
      </c>
      <c r="H91" s="611" t="s">
        <v>11379</v>
      </c>
      <c r="K91" s="7"/>
      <c r="N91" s="112"/>
      <c r="R91" s="126">
        <v>24</v>
      </c>
      <c r="S91" s="126">
        <v>25</v>
      </c>
      <c r="T91" s="126">
        <v>27</v>
      </c>
      <c r="U91" s="126">
        <v>29</v>
      </c>
    </row>
    <row r="92" spans="2:31">
      <c r="D92" s="284"/>
      <c r="E92" s="284"/>
      <c r="F92" s="284"/>
      <c r="G92" s="284"/>
      <c r="H92" s="90"/>
      <c r="K92" s="7"/>
      <c r="N92" s="112"/>
      <c r="R92" s="126">
        <v>22</v>
      </c>
      <c r="S92" s="126">
        <v>23</v>
      </c>
      <c r="T92" s="126">
        <v>25</v>
      </c>
      <c r="U92" s="126">
        <v>27</v>
      </c>
    </row>
    <row r="93" spans="2:31">
      <c r="C93" s="7" t="s">
        <v>604</v>
      </c>
      <c r="D93" s="281"/>
      <c r="E93" s="281"/>
      <c r="F93" s="281"/>
      <c r="G93" s="281"/>
      <c r="K93" s="7"/>
      <c r="N93" s="112"/>
      <c r="R93" s="126">
        <v>20</v>
      </c>
      <c r="S93" s="126">
        <v>21</v>
      </c>
      <c r="T93" s="126">
        <v>22</v>
      </c>
      <c r="U93" s="126">
        <v>24</v>
      </c>
    </row>
    <row r="94" spans="2:31">
      <c r="C94" s="7" t="s">
        <v>586</v>
      </c>
      <c r="D94" s="283">
        <v>30000000</v>
      </c>
      <c r="E94" s="283">
        <v>31500000</v>
      </c>
      <c r="F94" s="283">
        <v>33705000</v>
      </c>
      <c r="G94" s="283">
        <v>36738450</v>
      </c>
      <c r="H94" s="611" t="s">
        <v>11272</v>
      </c>
      <c r="K94" s="7"/>
      <c r="N94" s="112"/>
      <c r="R94" s="126">
        <v>18</v>
      </c>
      <c r="S94" s="126">
        <v>19</v>
      </c>
      <c r="T94" s="126">
        <v>20</v>
      </c>
      <c r="U94" s="126">
        <v>22</v>
      </c>
    </row>
    <row r="95" spans="2:31">
      <c r="C95" s="7" t="s">
        <v>587</v>
      </c>
      <c r="D95" s="283">
        <v>5000000</v>
      </c>
      <c r="E95" s="283">
        <v>5250000</v>
      </c>
      <c r="F95" s="283">
        <v>5617500</v>
      </c>
      <c r="G95" s="283">
        <v>6123075</v>
      </c>
      <c r="H95" s="611" t="s">
        <v>11271</v>
      </c>
      <c r="K95" s="7"/>
      <c r="N95" s="112"/>
    </row>
    <row r="96" spans="2:31">
      <c r="C96" s="7" t="s">
        <v>588</v>
      </c>
      <c r="D96" s="283">
        <v>45000000</v>
      </c>
      <c r="E96" s="283">
        <v>47250000</v>
      </c>
      <c r="F96" s="283">
        <v>50557500</v>
      </c>
      <c r="G96" s="283">
        <v>55107675</v>
      </c>
      <c r="H96" s="611" t="s">
        <v>11270</v>
      </c>
      <c r="K96" s="7"/>
      <c r="N96" s="112"/>
    </row>
    <row r="97" spans="1:14">
      <c r="C97" s="7" t="s">
        <v>589</v>
      </c>
      <c r="D97" s="283">
        <v>20000000</v>
      </c>
      <c r="E97" s="283">
        <v>21000000</v>
      </c>
      <c r="F97" s="283">
        <v>22470000</v>
      </c>
      <c r="G97" s="283">
        <v>24492300</v>
      </c>
      <c r="H97" s="611" t="s">
        <v>11269</v>
      </c>
      <c r="K97" s="7"/>
      <c r="N97" s="112"/>
    </row>
    <row r="98" spans="1:14" s="90" customFormat="1">
      <c r="C98" s="268"/>
      <c r="D98" s="285"/>
      <c r="E98" s="285"/>
      <c r="F98" s="285"/>
      <c r="G98" s="285"/>
      <c r="K98" s="268"/>
      <c r="N98" s="289"/>
    </row>
    <row r="99" spans="1:14" s="11" customFormat="1">
      <c r="A99" s="29"/>
      <c r="B99" s="29" t="s">
        <v>13765</v>
      </c>
    </row>
    <row r="101" spans="1:14">
      <c r="B101" s="7" t="s">
        <v>275</v>
      </c>
      <c r="D101" s="6" t="s">
        <v>590</v>
      </c>
      <c r="E101" s="6" t="s">
        <v>591</v>
      </c>
      <c r="F101" s="6" t="s">
        <v>592</v>
      </c>
      <c r="G101" s="6" t="s">
        <v>259</v>
      </c>
      <c r="H101" s="6" t="s">
        <v>260</v>
      </c>
      <c r="I101" s="6" t="s">
        <v>261</v>
      </c>
      <c r="J101" s="6" t="s">
        <v>262</v>
      </c>
      <c r="M101" s="6" t="s">
        <v>276</v>
      </c>
    </row>
    <row r="102" spans="1:14">
      <c r="C102" s="7" t="s">
        <v>600</v>
      </c>
      <c r="D102" s="119">
        <v>16761600</v>
      </c>
      <c r="E102" s="119">
        <v>17809200</v>
      </c>
      <c r="F102" s="119">
        <v>18856800</v>
      </c>
      <c r="G102" s="118">
        <v>20952000</v>
      </c>
      <c r="H102" s="119">
        <v>21056759.999999996</v>
      </c>
      <c r="I102" s="119">
        <v>21162043.799999993</v>
      </c>
      <c r="J102" s="119">
        <v>21267854.01899999</v>
      </c>
      <c r="K102" s="7" t="s">
        <v>611</v>
      </c>
      <c r="M102" s="120">
        <v>4.9999999999998934E-3</v>
      </c>
    </row>
    <row r="103" spans="1:14">
      <c r="C103" s="7" t="s">
        <v>277</v>
      </c>
      <c r="D103" s="116">
        <v>-0.2</v>
      </c>
      <c r="E103" s="116">
        <v>-0.15</v>
      </c>
      <c r="F103" s="116">
        <v>-0.1</v>
      </c>
      <c r="H103" s="481">
        <v>5.0000000000000001E-3</v>
      </c>
      <c r="I103" s="481">
        <v>5.0000000000000001E-3</v>
      </c>
      <c r="J103" s="481">
        <v>5.0000000000000001E-3</v>
      </c>
    </row>
    <row r="104" spans="1:14" s="90" customFormat="1">
      <c r="C104" s="268"/>
    </row>
    <row r="105" spans="1:14">
      <c r="B105" s="7" t="s">
        <v>278</v>
      </c>
      <c r="D105" s="6" t="s">
        <v>590</v>
      </c>
      <c r="E105" s="6" t="s">
        <v>591</v>
      </c>
      <c r="F105" s="6" t="s">
        <v>592</v>
      </c>
      <c r="G105" s="6" t="s">
        <v>259</v>
      </c>
      <c r="H105" s="123" t="s">
        <v>260</v>
      </c>
      <c r="I105" s="123" t="s">
        <v>261</v>
      </c>
      <c r="J105" s="123" t="s">
        <v>262</v>
      </c>
    </row>
    <row r="106" spans="1:14">
      <c r="C106" s="7" t="s">
        <v>605</v>
      </c>
      <c r="D106" s="119">
        <v>83808000</v>
      </c>
      <c r="E106" s="119">
        <v>89046000</v>
      </c>
      <c r="F106" s="119">
        <v>94284000</v>
      </c>
      <c r="G106" s="119">
        <v>104760000</v>
      </c>
      <c r="H106" s="119">
        <v>105283799.99999999</v>
      </c>
      <c r="I106" s="119">
        <v>105810218.99999997</v>
      </c>
      <c r="J106" s="119">
        <v>106339270.09499995</v>
      </c>
      <c r="K106" s="7" t="s">
        <v>612</v>
      </c>
      <c r="N106" s="112" t="s">
        <v>279</v>
      </c>
    </row>
    <row r="107" spans="1:14">
      <c r="G107" s="281"/>
      <c r="H107" s="281"/>
      <c r="I107" s="281"/>
      <c r="J107" s="281"/>
      <c r="K107" s="7"/>
      <c r="N107" s="112"/>
    </row>
    <row r="108" spans="1:14">
      <c r="G108" s="281"/>
      <c r="H108" s="281"/>
      <c r="I108" s="281"/>
      <c r="J108" s="281"/>
      <c r="K108" s="7"/>
      <c r="N108" s="112"/>
    </row>
    <row r="109" spans="1:14">
      <c r="C109" s="7" t="s">
        <v>598</v>
      </c>
      <c r="D109" s="6" t="s">
        <v>259</v>
      </c>
      <c r="E109" s="6" t="s">
        <v>260</v>
      </c>
      <c r="F109" s="6" t="s">
        <v>261</v>
      </c>
      <c r="G109" s="6" t="s">
        <v>262</v>
      </c>
      <c r="H109" s="281"/>
      <c r="I109" s="281"/>
      <c r="J109" s="281"/>
      <c r="K109" s="7"/>
      <c r="N109" s="112"/>
    </row>
    <row r="110" spans="1:14">
      <c r="C110" s="7" t="s">
        <v>586</v>
      </c>
      <c r="D110" s="146">
        <v>0.02</v>
      </c>
      <c r="E110" s="146">
        <v>0.02</v>
      </c>
      <c r="F110" s="146">
        <v>0.02</v>
      </c>
      <c r="G110" s="146">
        <v>0.02</v>
      </c>
      <c r="K110" s="7"/>
      <c r="N110" s="112"/>
    </row>
    <row r="111" spans="1:14">
      <c r="C111" s="7" t="s">
        <v>587</v>
      </c>
      <c r="D111" s="146">
        <v>0.2</v>
      </c>
      <c r="E111" s="146">
        <v>0.2</v>
      </c>
      <c r="F111" s="146">
        <v>0.2</v>
      </c>
      <c r="G111" s="146">
        <v>0.2</v>
      </c>
      <c r="K111" s="7"/>
      <c r="N111" s="112"/>
    </row>
    <row r="112" spans="1:14">
      <c r="C112" s="7" t="s">
        <v>588</v>
      </c>
      <c r="D112" s="146">
        <v>0.33</v>
      </c>
      <c r="E112" s="146">
        <v>0.33</v>
      </c>
      <c r="F112" s="146">
        <v>0.33</v>
      </c>
      <c r="G112" s="146">
        <v>0.33</v>
      </c>
      <c r="K112" s="7"/>
      <c r="N112" s="112"/>
    </row>
    <row r="113" spans="2:14">
      <c r="C113" s="7" t="s">
        <v>589</v>
      </c>
      <c r="D113" s="146">
        <v>0.45</v>
      </c>
      <c r="E113" s="146">
        <v>0.45</v>
      </c>
      <c r="F113" s="146">
        <v>0.45</v>
      </c>
      <c r="G113" s="146">
        <v>0.45</v>
      </c>
      <c r="K113" s="7"/>
      <c r="N113" s="112"/>
    </row>
    <row r="114" spans="2:14">
      <c r="D114" s="284"/>
      <c r="E114" s="284"/>
      <c r="F114" s="284"/>
      <c r="G114" s="284"/>
      <c r="K114" s="7"/>
      <c r="N114" s="112"/>
    </row>
    <row r="115" spans="2:14">
      <c r="C115" s="7" t="s">
        <v>597</v>
      </c>
      <c r="D115" s="281"/>
      <c r="E115" s="281"/>
      <c r="F115" s="281"/>
      <c r="G115" s="281"/>
      <c r="K115" s="7"/>
      <c r="N115" s="112"/>
    </row>
    <row r="116" spans="2:14">
      <c r="C116" s="7" t="s">
        <v>586</v>
      </c>
      <c r="D116" s="283">
        <v>2095200</v>
      </c>
      <c r="E116" s="283">
        <v>2105675.9999999995</v>
      </c>
      <c r="F116" s="283">
        <v>2116204.3799999994</v>
      </c>
      <c r="G116" s="283">
        <v>2126785.401899999</v>
      </c>
      <c r="H116" s="611" t="s">
        <v>11273</v>
      </c>
      <c r="K116" s="7"/>
      <c r="N116" s="112"/>
    </row>
    <row r="117" spans="2:14">
      <c r="C117" s="7" t="s">
        <v>587</v>
      </c>
      <c r="D117" s="283">
        <v>20952000</v>
      </c>
      <c r="E117" s="283">
        <v>21056760</v>
      </c>
      <c r="F117" s="283">
        <v>21162043.799999997</v>
      </c>
      <c r="G117" s="283">
        <v>21267854.018999994</v>
      </c>
      <c r="H117" s="611" t="s">
        <v>11274</v>
      </c>
      <c r="K117" s="7"/>
      <c r="N117" s="112"/>
    </row>
    <row r="118" spans="2:14">
      <c r="C118" s="7" t="s">
        <v>588</v>
      </c>
      <c r="D118" s="283">
        <v>34570800</v>
      </c>
      <c r="E118" s="283">
        <v>34743654</v>
      </c>
      <c r="F118" s="283">
        <v>34917372.269999988</v>
      </c>
      <c r="G118" s="283">
        <v>35091959.131349988</v>
      </c>
      <c r="H118" s="611" t="s">
        <v>11275</v>
      </c>
      <c r="K118" s="7"/>
      <c r="N118" s="112"/>
    </row>
    <row r="119" spans="2:14">
      <c r="C119" s="7" t="s">
        <v>589</v>
      </c>
      <c r="D119" s="283">
        <v>47142000</v>
      </c>
      <c r="E119" s="283">
        <v>47377709.999999993</v>
      </c>
      <c r="F119" s="283">
        <v>47614598.54999999</v>
      </c>
      <c r="G119" s="283">
        <v>47852671.542749979</v>
      </c>
      <c r="H119" s="611" t="s">
        <v>11276</v>
      </c>
      <c r="K119" s="7"/>
      <c r="N119" s="112"/>
    </row>
    <row r="120" spans="2:14" s="26" customFormat="1">
      <c r="C120" s="286"/>
      <c r="D120" s="287"/>
      <c r="E120" s="287"/>
      <c r="F120" s="287"/>
      <c r="G120" s="287"/>
      <c r="H120" s="286"/>
      <c r="K120" s="288"/>
    </row>
    <row r="121" spans="2:14">
      <c r="B121" s="7" t="s">
        <v>275</v>
      </c>
      <c r="D121" s="6" t="s">
        <v>590</v>
      </c>
      <c r="E121" s="6" t="s">
        <v>591</v>
      </c>
      <c r="F121" s="6" t="s">
        <v>592</v>
      </c>
      <c r="G121" s="6" t="s">
        <v>259</v>
      </c>
      <c r="H121" s="6" t="s">
        <v>260</v>
      </c>
      <c r="I121" s="6" t="s">
        <v>261</v>
      </c>
      <c r="J121" s="6" t="s">
        <v>262</v>
      </c>
      <c r="M121" s="6" t="s">
        <v>276</v>
      </c>
    </row>
    <row r="122" spans="2:14">
      <c r="C122" s="7" t="s">
        <v>599</v>
      </c>
      <c r="D122" s="119">
        <v>192758400</v>
      </c>
      <c r="E122" s="119">
        <v>204805800</v>
      </c>
      <c r="F122" s="119">
        <v>216853200</v>
      </c>
      <c r="G122" s="118">
        <v>240948000</v>
      </c>
      <c r="H122" s="119">
        <v>242152739.99999997</v>
      </c>
      <c r="I122" s="119">
        <v>243363503.69999996</v>
      </c>
      <c r="J122" s="119">
        <v>244580321.21849993</v>
      </c>
      <c r="K122" s="7" t="s">
        <v>613</v>
      </c>
      <c r="M122" s="120">
        <v>4.9999999999998934E-3</v>
      </c>
    </row>
    <row r="123" spans="2:14">
      <c r="C123" s="7" t="s">
        <v>277</v>
      </c>
      <c r="D123" s="116">
        <v>-0.2</v>
      </c>
      <c r="E123" s="116">
        <v>-0.15</v>
      </c>
      <c r="F123" s="116">
        <v>-0.1</v>
      </c>
      <c r="H123" s="481">
        <v>5.0000000000000001E-3</v>
      </c>
      <c r="I123" s="481">
        <v>5.0000000000000001E-3</v>
      </c>
      <c r="J123" s="481">
        <v>5.0000000000000001E-3</v>
      </c>
    </row>
    <row r="124" spans="2:14">
      <c r="B124" s="90"/>
      <c r="C124" s="268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</row>
    <row r="125" spans="2:14">
      <c r="B125" s="7" t="s">
        <v>278</v>
      </c>
      <c r="D125" s="6" t="s">
        <v>590</v>
      </c>
      <c r="E125" s="6" t="s">
        <v>591</v>
      </c>
      <c r="F125" s="6" t="s">
        <v>592</v>
      </c>
      <c r="G125" s="6" t="s">
        <v>259</v>
      </c>
      <c r="H125" s="123" t="s">
        <v>260</v>
      </c>
      <c r="I125" s="123" t="s">
        <v>261</v>
      </c>
      <c r="J125" s="123" t="s">
        <v>262</v>
      </c>
    </row>
    <row r="126" spans="2:14">
      <c r="C126" s="7" t="s">
        <v>606</v>
      </c>
      <c r="D126" s="119">
        <v>963792000</v>
      </c>
      <c r="E126" s="119">
        <v>1024029000</v>
      </c>
      <c r="F126" s="119">
        <v>1084266000</v>
      </c>
      <c r="G126" s="119">
        <v>1204740000</v>
      </c>
      <c r="H126" s="119">
        <v>1210763699.9999998</v>
      </c>
      <c r="I126" s="119">
        <v>1216817518.4999998</v>
      </c>
      <c r="J126" s="119">
        <v>1222901606.0924997</v>
      </c>
      <c r="K126" s="7" t="s">
        <v>614</v>
      </c>
      <c r="N126" s="112" t="s">
        <v>279</v>
      </c>
    </row>
    <row r="127" spans="2:14">
      <c r="G127" s="281"/>
      <c r="H127" s="281"/>
      <c r="I127" s="281"/>
      <c r="J127" s="281"/>
      <c r="K127" s="7"/>
      <c r="N127" s="112"/>
    </row>
    <row r="128" spans="2:14">
      <c r="G128" s="281"/>
      <c r="H128" s="281"/>
      <c r="I128" s="281"/>
      <c r="J128" s="281"/>
      <c r="K128" s="7"/>
      <c r="N128" s="112"/>
    </row>
    <row r="129" spans="2:27">
      <c r="C129" s="7" t="s">
        <v>595</v>
      </c>
      <c r="D129" s="6" t="s">
        <v>259</v>
      </c>
      <c r="E129" s="6" t="s">
        <v>260</v>
      </c>
      <c r="F129" s="6" t="s">
        <v>261</v>
      </c>
      <c r="G129" s="6" t="s">
        <v>262</v>
      </c>
      <c r="H129" s="281"/>
      <c r="I129" s="281"/>
      <c r="J129" s="281"/>
      <c r="K129" s="7"/>
      <c r="N129" s="112"/>
    </row>
    <row r="130" spans="2:27">
      <c r="C130" s="7" t="s">
        <v>586</v>
      </c>
      <c r="D130" s="146">
        <v>0.02</v>
      </c>
      <c r="E130" s="146">
        <v>0.02</v>
      </c>
      <c r="F130" s="146">
        <v>0.02</v>
      </c>
      <c r="G130" s="146">
        <v>0.02</v>
      </c>
      <c r="K130" s="7"/>
      <c r="N130" s="112"/>
    </row>
    <row r="131" spans="2:27">
      <c r="C131" s="7" t="s">
        <v>587</v>
      </c>
      <c r="D131" s="146">
        <v>0.1</v>
      </c>
      <c r="E131" s="146">
        <v>0.1</v>
      </c>
      <c r="F131" s="146">
        <v>0.1</v>
      </c>
      <c r="G131" s="146">
        <v>0.1</v>
      </c>
      <c r="K131" s="7"/>
      <c r="N131" s="112"/>
    </row>
    <row r="132" spans="2:27">
      <c r="C132" s="7" t="s">
        <v>588</v>
      </c>
      <c r="D132" s="146">
        <v>0.35</v>
      </c>
      <c r="E132" s="146">
        <v>0.35</v>
      </c>
      <c r="F132" s="146">
        <v>0.35</v>
      </c>
      <c r="G132" s="146">
        <v>0.35</v>
      </c>
      <c r="K132" s="7"/>
      <c r="N132" s="112"/>
    </row>
    <row r="133" spans="2:27">
      <c r="C133" s="7" t="s">
        <v>589</v>
      </c>
      <c r="D133" s="146">
        <v>0.53</v>
      </c>
      <c r="E133" s="146">
        <v>0.53</v>
      </c>
      <c r="F133" s="146">
        <v>0.53</v>
      </c>
      <c r="G133" s="146">
        <v>0.53</v>
      </c>
      <c r="K133" s="7"/>
      <c r="N133" s="112"/>
    </row>
    <row r="134" spans="2:27">
      <c r="D134" s="284"/>
      <c r="E134" s="284"/>
      <c r="F134" s="284"/>
      <c r="G134" s="284"/>
      <c r="K134" s="7"/>
      <c r="N134" s="112"/>
    </row>
    <row r="135" spans="2:27">
      <c r="C135" s="7" t="s">
        <v>596</v>
      </c>
      <c r="D135" s="281"/>
      <c r="E135" s="281"/>
      <c r="F135" s="281"/>
      <c r="G135" s="281"/>
      <c r="K135" s="7"/>
      <c r="N135" s="112"/>
    </row>
    <row r="136" spans="2:27">
      <c r="C136" s="7" t="s">
        <v>586</v>
      </c>
      <c r="D136" s="283">
        <v>24094800</v>
      </c>
      <c r="E136" s="283">
        <v>24215273.999999996</v>
      </c>
      <c r="F136" s="283">
        <v>24336350.369999997</v>
      </c>
      <c r="G136" s="283">
        <v>24458032.121849995</v>
      </c>
      <c r="H136" s="611" t="s">
        <v>11277</v>
      </c>
      <c r="K136" s="7"/>
      <c r="N136" s="112"/>
    </row>
    <row r="137" spans="2:27">
      <c r="C137" s="7" t="s">
        <v>587</v>
      </c>
      <c r="D137" s="283">
        <v>120474000</v>
      </c>
      <c r="E137" s="283">
        <v>121076369.99999999</v>
      </c>
      <c r="F137" s="283">
        <v>121681751.84999998</v>
      </c>
      <c r="G137" s="283">
        <v>122290160.60924998</v>
      </c>
      <c r="H137" s="611" t="s">
        <v>11278</v>
      </c>
      <c r="K137" s="7"/>
      <c r="N137" s="112"/>
    </row>
    <row r="138" spans="2:27">
      <c r="C138" s="7" t="s">
        <v>588</v>
      </c>
      <c r="D138" s="283">
        <v>421659000</v>
      </c>
      <c r="E138" s="283">
        <v>423767294.99999988</v>
      </c>
      <c r="F138" s="283">
        <v>425886131.4749999</v>
      </c>
      <c r="G138" s="283">
        <v>428015562.13237488</v>
      </c>
      <c r="H138" s="611" t="s">
        <v>11279</v>
      </c>
      <c r="K138" s="7"/>
      <c r="N138" s="112"/>
    </row>
    <row r="139" spans="2:27">
      <c r="C139" s="7" t="s">
        <v>589</v>
      </c>
      <c r="D139" s="283">
        <v>638512200</v>
      </c>
      <c r="E139" s="283">
        <v>641704760.99999988</v>
      </c>
      <c r="F139" s="283">
        <v>644913284.80499995</v>
      </c>
      <c r="G139" s="283">
        <v>648137851.22902489</v>
      </c>
      <c r="H139" s="611" t="s">
        <v>11280</v>
      </c>
      <c r="K139" s="7"/>
      <c r="N139" s="112"/>
    </row>
    <row r="140" spans="2:27" s="26" customFormat="1">
      <c r="C140" s="286"/>
      <c r="D140" s="287"/>
      <c r="E140" s="287"/>
      <c r="F140" s="287"/>
      <c r="G140" s="287"/>
      <c r="H140" s="286"/>
      <c r="K140" s="288"/>
    </row>
    <row r="141" spans="2:27">
      <c r="B141" s="7" t="s">
        <v>275</v>
      </c>
      <c r="D141" s="6" t="s">
        <v>590</v>
      </c>
      <c r="E141" s="6" t="s">
        <v>591</v>
      </c>
      <c r="F141" s="6" t="s">
        <v>592</v>
      </c>
      <c r="G141" s="6" t="s">
        <v>259</v>
      </c>
      <c r="H141" s="6" t="s">
        <v>260</v>
      </c>
      <c r="I141" s="6" t="s">
        <v>261</v>
      </c>
      <c r="J141" s="6" t="s">
        <v>262</v>
      </c>
      <c r="M141" s="6" t="s">
        <v>276</v>
      </c>
    </row>
    <row r="142" spans="2:27">
      <c r="C142" s="7" t="s">
        <v>601</v>
      </c>
      <c r="D142" s="119">
        <v>8000000</v>
      </c>
      <c r="E142" s="119">
        <v>8500000</v>
      </c>
      <c r="F142" s="119">
        <v>9000000</v>
      </c>
      <c r="G142" s="486">
        <v>10000000</v>
      </c>
      <c r="H142" s="119">
        <v>10500000</v>
      </c>
      <c r="I142" s="119">
        <v>11235000</v>
      </c>
      <c r="J142" s="119">
        <v>12246150</v>
      </c>
      <c r="K142" s="7" t="s">
        <v>615</v>
      </c>
      <c r="M142" s="120">
        <v>6.9875374893320075E-2</v>
      </c>
      <c r="Q142" s="611" t="s">
        <v>11347</v>
      </c>
      <c r="R142" s="127"/>
      <c r="S142" s="127">
        <v>0.05</v>
      </c>
      <c r="T142" s="127">
        <v>0.1</v>
      </c>
      <c r="U142" s="127">
        <v>0.35</v>
      </c>
      <c r="V142" s="610"/>
      <c r="W142" s="611" t="s">
        <v>11346</v>
      </c>
      <c r="X142" s="610"/>
      <c r="Y142" s="610"/>
      <c r="Z142" s="610"/>
      <c r="AA142" s="610"/>
    </row>
    <row r="143" spans="2:27">
      <c r="C143" s="7" t="s">
        <v>277</v>
      </c>
      <c r="D143" s="116">
        <v>-0.2</v>
      </c>
      <c r="E143" s="116">
        <v>-0.15</v>
      </c>
      <c r="F143" s="116">
        <v>-0.1</v>
      </c>
      <c r="H143" s="116">
        <v>0.05</v>
      </c>
      <c r="I143" s="116">
        <v>7.0000000000000007E-2</v>
      </c>
      <c r="J143" s="116">
        <v>0.09</v>
      </c>
      <c r="Q143" s="610"/>
      <c r="R143" s="610" t="s">
        <v>259</v>
      </c>
      <c r="S143" s="610" t="s">
        <v>260</v>
      </c>
      <c r="T143" s="610" t="s">
        <v>261</v>
      </c>
      <c r="U143" s="610" t="s">
        <v>262</v>
      </c>
      <c r="V143" s="610"/>
      <c r="W143" s="610"/>
      <c r="X143" s="610" t="s">
        <v>259</v>
      </c>
      <c r="Y143" s="610" t="s">
        <v>260</v>
      </c>
      <c r="Z143" s="610" t="s">
        <v>261</v>
      </c>
      <c r="AA143" s="610" t="s">
        <v>262</v>
      </c>
    </row>
    <row r="144" spans="2:27" s="90" customFormat="1">
      <c r="C144" s="268"/>
      <c r="Q144" s="145">
        <v>0</v>
      </c>
      <c r="R144" s="626">
        <v>13000</v>
      </c>
      <c r="S144" s="119">
        <v>13650</v>
      </c>
      <c r="T144" s="119">
        <v>15015.000000000002</v>
      </c>
      <c r="U144" s="119">
        <v>20270.250000000004</v>
      </c>
      <c r="W144" s="145">
        <v>0</v>
      </c>
      <c r="X144" s="119">
        <v>13000000</v>
      </c>
      <c r="Y144" s="119">
        <v>13650000</v>
      </c>
      <c r="Z144" s="119">
        <v>15015000.000000002</v>
      </c>
      <c r="AA144" s="119">
        <v>20270250.000000004</v>
      </c>
    </row>
    <row r="145" spans="2:27">
      <c r="B145" s="7" t="s">
        <v>278</v>
      </c>
      <c r="D145" s="6" t="s">
        <v>590</v>
      </c>
      <c r="E145" s="6" t="s">
        <v>591</v>
      </c>
      <c r="F145" s="6" t="s">
        <v>592</v>
      </c>
      <c r="G145" s="6" t="s">
        <v>259</v>
      </c>
      <c r="H145" s="123" t="s">
        <v>260</v>
      </c>
      <c r="I145" s="123" t="s">
        <v>261</v>
      </c>
      <c r="J145" s="123" t="s">
        <v>262</v>
      </c>
      <c r="Q145" s="145">
        <v>1</v>
      </c>
      <c r="R145" s="626">
        <v>13000</v>
      </c>
      <c r="S145" s="119">
        <v>13650</v>
      </c>
      <c r="T145" s="119">
        <v>15015.000000000002</v>
      </c>
      <c r="U145" s="119">
        <v>20270.250000000004</v>
      </c>
      <c r="V145" s="90"/>
      <c r="W145" s="145">
        <v>1</v>
      </c>
      <c r="X145" s="119">
        <v>13000000</v>
      </c>
      <c r="Y145" s="119">
        <v>13650000</v>
      </c>
      <c r="Z145" s="119">
        <v>15015000.000000002</v>
      </c>
      <c r="AA145" s="119">
        <v>20270250.000000004</v>
      </c>
    </row>
    <row r="146" spans="2:27">
      <c r="C146" s="7" t="s">
        <v>602</v>
      </c>
      <c r="D146" s="119">
        <v>40000000</v>
      </c>
      <c r="E146" s="119">
        <v>42500000</v>
      </c>
      <c r="F146" s="119">
        <v>45000000</v>
      </c>
      <c r="G146" s="119">
        <v>50000000</v>
      </c>
      <c r="H146" s="119">
        <v>52500000</v>
      </c>
      <c r="I146" s="119">
        <v>56175000</v>
      </c>
      <c r="J146" s="119">
        <v>61230750</v>
      </c>
      <c r="K146" s="7"/>
      <c r="N146" s="112" t="s">
        <v>279</v>
      </c>
      <c r="Q146" s="145">
        <v>2</v>
      </c>
      <c r="R146" s="626">
        <v>12000</v>
      </c>
      <c r="S146" s="119">
        <v>12600</v>
      </c>
      <c r="T146" s="119">
        <v>13860.000000000002</v>
      </c>
      <c r="U146" s="119">
        <v>18711.000000000004</v>
      </c>
      <c r="V146" s="610"/>
      <c r="W146" s="145">
        <v>2</v>
      </c>
      <c r="X146" s="119">
        <v>24000000</v>
      </c>
      <c r="Y146" s="119">
        <v>25200000</v>
      </c>
      <c r="Z146" s="119">
        <v>27720000.000000004</v>
      </c>
      <c r="AA146" s="119">
        <v>37422000.000000007</v>
      </c>
    </row>
    <row r="147" spans="2:27">
      <c r="G147" s="281"/>
      <c r="H147" s="281"/>
      <c r="I147" s="281"/>
      <c r="J147" s="281"/>
      <c r="K147" s="7"/>
      <c r="N147" s="112"/>
      <c r="Q147" s="145">
        <v>3</v>
      </c>
      <c r="R147" s="626">
        <v>11000</v>
      </c>
      <c r="S147" s="119">
        <v>11550</v>
      </c>
      <c r="T147" s="119">
        <v>12705.000000000002</v>
      </c>
      <c r="U147" s="119">
        <v>17151.750000000004</v>
      </c>
      <c r="V147" s="610"/>
      <c r="W147" s="145">
        <v>3</v>
      </c>
      <c r="X147" s="119">
        <v>33000000</v>
      </c>
      <c r="Y147" s="119">
        <v>34650000</v>
      </c>
      <c r="Z147" s="119">
        <v>38115000.000000007</v>
      </c>
      <c r="AA147" s="119">
        <v>51455250.000000015</v>
      </c>
    </row>
    <row r="148" spans="2:27">
      <c r="G148" s="281"/>
      <c r="H148" s="281"/>
      <c r="I148" s="281"/>
      <c r="J148" s="281"/>
      <c r="K148" s="7"/>
      <c r="N148" s="112"/>
      <c r="Q148" s="145">
        <v>4</v>
      </c>
      <c r="R148" s="626">
        <v>10000</v>
      </c>
      <c r="S148" s="119">
        <v>10500</v>
      </c>
      <c r="T148" s="119">
        <v>11550.000000000002</v>
      </c>
      <c r="U148" s="119">
        <v>15592.500000000004</v>
      </c>
      <c r="V148" s="610"/>
      <c r="W148" s="145">
        <v>4</v>
      </c>
      <c r="X148" s="119">
        <v>40000000</v>
      </c>
      <c r="Y148" s="119">
        <v>42000000</v>
      </c>
      <c r="Z148" s="119">
        <v>46200000.000000007</v>
      </c>
      <c r="AA148" s="119">
        <v>62370000.000000015</v>
      </c>
    </row>
    <row r="149" spans="2:27">
      <c r="C149" s="7" t="s">
        <v>603</v>
      </c>
      <c r="D149" s="6" t="s">
        <v>259</v>
      </c>
      <c r="E149" s="6" t="s">
        <v>260</v>
      </c>
      <c r="F149" s="6" t="s">
        <v>261</v>
      </c>
      <c r="G149" s="6" t="s">
        <v>262</v>
      </c>
      <c r="H149" s="281"/>
      <c r="I149" s="281"/>
      <c r="J149" s="281"/>
      <c r="K149" s="7"/>
      <c r="N149" s="112"/>
      <c r="Q149" s="145">
        <v>5</v>
      </c>
      <c r="R149" s="626">
        <v>9000</v>
      </c>
      <c r="S149" s="119">
        <v>9450</v>
      </c>
      <c r="T149" s="119">
        <v>10395</v>
      </c>
      <c r="U149" s="119">
        <v>14033.250000000002</v>
      </c>
      <c r="V149" s="610"/>
      <c r="W149" s="145">
        <v>5</v>
      </c>
      <c r="X149" s="119">
        <v>45000000</v>
      </c>
      <c r="Y149" s="119">
        <v>47250000</v>
      </c>
      <c r="Z149" s="119">
        <v>51975000</v>
      </c>
      <c r="AA149" s="119">
        <v>70166250.000000015</v>
      </c>
    </row>
    <row r="150" spans="2:27">
      <c r="C150" s="7" t="s">
        <v>586</v>
      </c>
      <c r="D150" s="146">
        <v>0.05</v>
      </c>
      <c r="E150" s="146">
        <v>0.05</v>
      </c>
      <c r="F150" s="146">
        <v>0.05</v>
      </c>
      <c r="G150" s="146">
        <v>0.05</v>
      </c>
      <c r="H150" s="611" t="s">
        <v>11380</v>
      </c>
      <c r="K150" s="7"/>
      <c r="N150" s="112"/>
      <c r="R150" s="610"/>
      <c r="S150" s="90"/>
      <c r="T150" s="90"/>
      <c r="U150" s="90"/>
      <c r="V150" s="610"/>
      <c r="W150" s="611" t="s">
        <v>616</v>
      </c>
      <c r="X150" s="610"/>
      <c r="Y150" s="610"/>
      <c r="Z150" s="610"/>
      <c r="AA150" s="610"/>
    </row>
    <row r="151" spans="2:27">
      <c r="C151" s="7" t="s">
        <v>587</v>
      </c>
      <c r="D151" s="146">
        <v>0.25</v>
      </c>
      <c r="E151" s="146">
        <v>0.25</v>
      </c>
      <c r="F151" s="146">
        <v>0.25</v>
      </c>
      <c r="G151" s="146">
        <v>0.25</v>
      </c>
      <c r="H151" s="611" t="s">
        <v>11381</v>
      </c>
      <c r="K151" s="7"/>
      <c r="N151" s="112"/>
      <c r="Q151" s="610"/>
      <c r="R151" s="126">
        <v>13</v>
      </c>
      <c r="S151" s="126">
        <v>14</v>
      </c>
      <c r="T151" s="126">
        <v>15</v>
      </c>
      <c r="U151" s="126">
        <v>20</v>
      </c>
      <c r="V151" s="610"/>
      <c r="W151" s="610"/>
      <c r="X151" s="610"/>
      <c r="Y151" s="610"/>
      <c r="Z151" s="610"/>
      <c r="AA151" s="610"/>
    </row>
    <row r="152" spans="2:27">
      <c r="C152" s="7" t="s">
        <v>588</v>
      </c>
      <c r="D152" s="146">
        <v>0.3</v>
      </c>
      <c r="E152" s="146">
        <v>0.3</v>
      </c>
      <c r="F152" s="146">
        <v>0.3</v>
      </c>
      <c r="G152" s="146">
        <v>0.3</v>
      </c>
      <c r="H152" s="611" t="s">
        <v>11382</v>
      </c>
      <c r="K152" s="7"/>
      <c r="N152" s="112"/>
      <c r="Q152" s="610"/>
      <c r="R152" s="126">
        <v>12</v>
      </c>
      <c r="S152" s="126">
        <v>13</v>
      </c>
      <c r="T152" s="126">
        <v>14</v>
      </c>
      <c r="U152" s="126">
        <v>19</v>
      </c>
      <c r="V152" s="610"/>
      <c r="W152" s="610"/>
      <c r="X152" s="610"/>
      <c r="Y152" s="610"/>
      <c r="Z152" s="610"/>
      <c r="AA152" s="610"/>
    </row>
    <row r="153" spans="2:27">
      <c r="C153" s="7" t="s">
        <v>589</v>
      </c>
      <c r="D153" s="146">
        <v>0.4</v>
      </c>
      <c r="E153" s="146">
        <v>0.4</v>
      </c>
      <c r="F153" s="146">
        <v>0.4</v>
      </c>
      <c r="G153" s="146">
        <v>0.4</v>
      </c>
      <c r="H153" s="611" t="s">
        <v>11383</v>
      </c>
      <c r="K153" s="7"/>
      <c r="N153" s="112"/>
      <c r="Q153" s="610"/>
      <c r="R153" s="126">
        <v>11</v>
      </c>
      <c r="S153" s="126">
        <v>12</v>
      </c>
      <c r="T153" s="126">
        <v>13</v>
      </c>
      <c r="U153" s="126">
        <v>17</v>
      </c>
      <c r="V153" s="610"/>
      <c r="W153" s="610"/>
      <c r="X153" s="610"/>
      <c r="Y153" s="610"/>
      <c r="Z153" s="610"/>
      <c r="AA153" s="610"/>
    </row>
    <row r="154" spans="2:27">
      <c r="D154" s="284"/>
      <c r="E154" s="284"/>
      <c r="F154" s="284"/>
      <c r="G154" s="284"/>
      <c r="K154" s="7"/>
      <c r="N154" s="112"/>
      <c r="Q154" s="610"/>
      <c r="R154" s="126">
        <v>10</v>
      </c>
      <c r="S154" s="126">
        <v>11</v>
      </c>
      <c r="T154" s="126">
        <v>12</v>
      </c>
      <c r="U154" s="126">
        <v>16</v>
      </c>
      <c r="V154" s="610"/>
      <c r="W154" s="610"/>
      <c r="X154" s="610"/>
      <c r="Y154" s="610"/>
      <c r="Z154" s="610"/>
      <c r="AA154" s="610"/>
    </row>
    <row r="155" spans="2:27">
      <c r="C155" s="7" t="s">
        <v>604</v>
      </c>
      <c r="D155" s="281"/>
      <c r="E155" s="281"/>
      <c r="F155" s="281"/>
      <c r="G155" s="281"/>
      <c r="K155" s="7"/>
      <c r="N155" s="112"/>
      <c r="Q155" s="610"/>
      <c r="R155" s="126">
        <v>9</v>
      </c>
      <c r="S155" s="126">
        <v>9</v>
      </c>
      <c r="T155" s="126">
        <v>10</v>
      </c>
      <c r="U155" s="126">
        <v>14</v>
      </c>
      <c r="V155" s="610"/>
      <c r="W155" s="610"/>
      <c r="X155" s="610"/>
      <c r="Y155" s="610"/>
      <c r="Z155" s="610"/>
      <c r="AA155" s="610"/>
    </row>
    <row r="156" spans="2:27">
      <c r="C156" s="7" t="s">
        <v>586</v>
      </c>
      <c r="D156" s="283">
        <v>2500000</v>
      </c>
      <c r="E156" s="283">
        <v>2625000</v>
      </c>
      <c r="F156" s="283">
        <v>2808750</v>
      </c>
      <c r="G156" s="283">
        <v>3061537.5</v>
      </c>
      <c r="H156" s="611" t="s">
        <v>11281</v>
      </c>
      <c r="K156" s="7"/>
      <c r="N156" s="112"/>
    </row>
    <row r="157" spans="2:27">
      <c r="C157" s="7" t="s">
        <v>587</v>
      </c>
      <c r="D157" s="283">
        <v>12500000</v>
      </c>
      <c r="E157" s="283">
        <v>13125000</v>
      </c>
      <c r="F157" s="283">
        <v>14043750</v>
      </c>
      <c r="G157" s="283">
        <v>15307687.5</v>
      </c>
      <c r="H157" s="611" t="s">
        <v>11282</v>
      </c>
      <c r="K157" s="7"/>
      <c r="N157" s="112"/>
    </row>
    <row r="158" spans="2:27">
      <c r="C158" s="7" t="s">
        <v>588</v>
      </c>
      <c r="D158" s="283">
        <v>15000000</v>
      </c>
      <c r="E158" s="283">
        <v>15750000</v>
      </c>
      <c r="F158" s="283">
        <v>16852500</v>
      </c>
      <c r="G158" s="283">
        <v>18369225</v>
      </c>
      <c r="H158" s="611" t="s">
        <v>11283</v>
      </c>
      <c r="K158" s="7"/>
      <c r="N158" s="112"/>
    </row>
    <row r="159" spans="2:27">
      <c r="C159" s="7" t="s">
        <v>589</v>
      </c>
      <c r="D159" s="283">
        <v>20000000</v>
      </c>
      <c r="E159" s="283">
        <v>21000000</v>
      </c>
      <c r="F159" s="283">
        <v>22470000</v>
      </c>
      <c r="G159" s="283">
        <v>24492300</v>
      </c>
      <c r="H159" s="611" t="s">
        <v>11284</v>
      </c>
      <c r="K159" s="7"/>
      <c r="N159" s="112"/>
    </row>
    <row r="160" spans="2:27">
      <c r="D160" s="285"/>
      <c r="E160" s="285"/>
      <c r="F160" s="285"/>
      <c r="G160" s="285"/>
      <c r="H160" s="286"/>
      <c r="K160" s="7"/>
      <c r="N160" s="112"/>
    </row>
    <row r="161" spans="1:14" s="11" customFormat="1">
      <c r="A161" s="29"/>
      <c r="B161" s="29" t="s">
        <v>13766</v>
      </c>
    </row>
    <row r="163" spans="1:14">
      <c r="B163" s="7" t="s">
        <v>275</v>
      </c>
      <c r="D163" s="6" t="s">
        <v>590</v>
      </c>
      <c r="E163" s="6" t="s">
        <v>591</v>
      </c>
      <c r="F163" s="6" t="s">
        <v>592</v>
      </c>
      <c r="G163" s="6" t="s">
        <v>259</v>
      </c>
      <c r="H163" s="6" t="s">
        <v>260</v>
      </c>
      <c r="I163" s="6" t="s">
        <v>261</v>
      </c>
      <c r="J163" s="6" t="s">
        <v>262</v>
      </c>
      <c r="M163" s="6" t="s">
        <v>276</v>
      </c>
    </row>
    <row r="164" spans="1:14">
      <c r="C164" s="7" t="s">
        <v>600</v>
      </c>
      <c r="D164" s="119">
        <v>30962400</v>
      </c>
      <c r="E164" s="119">
        <v>32897550</v>
      </c>
      <c r="F164" s="119">
        <v>34832700</v>
      </c>
      <c r="G164" s="118">
        <v>38703000</v>
      </c>
      <c r="H164" s="119">
        <v>38509485</v>
      </c>
      <c r="I164" s="119">
        <v>38316937.575000003</v>
      </c>
      <c r="J164" s="119">
        <v>38316937.575000003</v>
      </c>
      <c r="K164" s="7" t="s">
        <v>617</v>
      </c>
      <c r="M164" s="120">
        <v>-3.3361173020149959E-3</v>
      </c>
    </row>
    <row r="165" spans="1:14">
      <c r="C165" s="7" t="s">
        <v>277</v>
      </c>
      <c r="D165" s="116">
        <v>-0.2</v>
      </c>
      <c r="E165" s="116">
        <v>-0.15</v>
      </c>
      <c r="F165" s="116">
        <v>-0.1</v>
      </c>
      <c r="H165" s="481">
        <v>-5.0000000000000001E-3</v>
      </c>
      <c r="I165" s="481">
        <v>-5.0000000000000001E-3</v>
      </c>
      <c r="J165" s="481">
        <v>0</v>
      </c>
    </row>
    <row r="166" spans="1:14" s="90" customFormat="1">
      <c r="C166" s="268"/>
    </row>
    <row r="167" spans="1:14">
      <c r="B167" s="7" t="s">
        <v>278</v>
      </c>
      <c r="D167" s="6" t="s">
        <v>590</v>
      </c>
      <c r="E167" s="6" t="s">
        <v>591</v>
      </c>
      <c r="F167" s="6" t="s">
        <v>592</v>
      </c>
      <c r="G167" s="6" t="s">
        <v>259</v>
      </c>
      <c r="H167" s="123" t="s">
        <v>260</v>
      </c>
      <c r="I167" s="123" t="s">
        <v>261</v>
      </c>
      <c r="J167" s="123" t="s">
        <v>262</v>
      </c>
    </row>
    <row r="168" spans="1:14">
      <c r="C168" s="7" t="s">
        <v>605</v>
      </c>
      <c r="D168" s="119">
        <v>154812000</v>
      </c>
      <c r="E168" s="119">
        <v>164487750</v>
      </c>
      <c r="F168" s="119">
        <v>174163500</v>
      </c>
      <c r="G168" s="119">
        <v>193515000</v>
      </c>
      <c r="H168" s="119">
        <v>192547425</v>
      </c>
      <c r="I168" s="119">
        <v>191584687.875</v>
      </c>
      <c r="J168" s="119">
        <v>191584687.875</v>
      </c>
      <c r="K168" s="7" t="s">
        <v>618</v>
      </c>
      <c r="N168" s="112" t="s">
        <v>279</v>
      </c>
    </row>
    <row r="169" spans="1:14">
      <c r="G169" s="281"/>
      <c r="H169" s="281"/>
      <c r="I169" s="281"/>
      <c r="J169" s="281"/>
      <c r="K169" s="7"/>
      <c r="N169" s="112"/>
    </row>
    <row r="170" spans="1:14">
      <c r="G170" s="281"/>
      <c r="H170" s="281"/>
      <c r="I170" s="281"/>
      <c r="J170" s="281"/>
      <c r="K170" s="7"/>
      <c r="N170" s="112"/>
    </row>
    <row r="171" spans="1:14">
      <c r="C171" s="7" t="s">
        <v>598</v>
      </c>
      <c r="D171" s="6" t="s">
        <v>259</v>
      </c>
      <c r="E171" s="6" t="s">
        <v>260</v>
      </c>
      <c r="F171" s="6" t="s">
        <v>261</v>
      </c>
      <c r="G171" s="6" t="s">
        <v>262</v>
      </c>
      <c r="H171" s="281"/>
      <c r="I171" s="281"/>
      <c r="J171" s="281"/>
      <c r="K171" s="7"/>
      <c r="N171" s="112"/>
    </row>
    <row r="172" spans="1:14">
      <c r="C172" s="7" t="s">
        <v>586</v>
      </c>
      <c r="D172" s="146">
        <v>0.2</v>
      </c>
      <c r="E172" s="146">
        <v>0.2</v>
      </c>
      <c r="F172" s="146">
        <v>0.2</v>
      </c>
      <c r="G172" s="146">
        <v>0.2</v>
      </c>
      <c r="K172" s="7"/>
      <c r="N172" s="112"/>
    </row>
    <row r="173" spans="1:14">
      <c r="C173" s="7" t="s">
        <v>587</v>
      </c>
      <c r="D173" s="146">
        <v>0.2</v>
      </c>
      <c r="E173" s="146">
        <v>0.2</v>
      </c>
      <c r="F173" s="146">
        <v>0.2</v>
      </c>
      <c r="G173" s="146">
        <v>0.2</v>
      </c>
      <c r="K173" s="7"/>
      <c r="N173" s="112"/>
    </row>
    <row r="174" spans="1:14">
      <c r="C174" s="7" t="s">
        <v>588</v>
      </c>
      <c r="D174" s="146">
        <v>0.24</v>
      </c>
      <c r="E174" s="146">
        <v>0.24</v>
      </c>
      <c r="F174" s="146">
        <v>0.24</v>
      </c>
      <c r="G174" s="146">
        <v>0.24</v>
      </c>
      <c r="K174" s="7"/>
      <c r="N174" s="112"/>
    </row>
    <row r="175" spans="1:14">
      <c r="C175" s="7" t="s">
        <v>589</v>
      </c>
      <c r="D175" s="146">
        <v>0.36</v>
      </c>
      <c r="E175" s="146">
        <v>0.36</v>
      </c>
      <c r="F175" s="146">
        <v>0.36</v>
      </c>
      <c r="G175" s="146">
        <v>0.36</v>
      </c>
      <c r="K175" s="7"/>
      <c r="N175" s="112"/>
    </row>
    <row r="176" spans="1:14">
      <c r="D176" s="284"/>
      <c r="E176" s="284"/>
      <c r="F176" s="284"/>
      <c r="G176" s="284"/>
      <c r="K176" s="7"/>
      <c r="N176" s="112"/>
    </row>
    <row r="177" spans="2:14">
      <c r="C177" s="7" t="s">
        <v>597</v>
      </c>
      <c r="D177" s="281"/>
      <c r="E177" s="281"/>
      <c r="F177" s="281"/>
      <c r="G177" s="281"/>
      <c r="K177" s="7"/>
      <c r="N177" s="112"/>
    </row>
    <row r="178" spans="2:14">
      <c r="C178" s="7" t="s">
        <v>586</v>
      </c>
      <c r="D178" s="283">
        <v>38703000</v>
      </c>
      <c r="E178" s="283">
        <v>38509485</v>
      </c>
      <c r="F178" s="283">
        <v>38316937.575000003</v>
      </c>
      <c r="G178" s="283">
        <v>38316937.575000003</v>
      </c>
      <c r="H178" s="611" t="s">
        <v>11293</v>
      </c>
      <c r="K178" s="7"/>
      <c r="N178" s="112"/>
    </row>
    <row r="179" spans="2:14">
      <c r="C179" s="7" t="s">
        <v>587</v>
      </c>
      <c r="D179" s="283">
        <v>38703000</v>
      </c>
      <c r="E179" s="283">
        <v>38509485</v>
      </c>
      <c r="F179" s="283">
        <v>38316937.575000003</v>
      </c>
      <c r="G179" s="283">
        <v>38316937.575000003</v>
      </c>
      <c r="H179" s="611" t="s">
        <v>11294</v>
      </c>
      <c r="K179" s="7"/>
      <c r="N179" s="112"/>
    </row>
    <row r="180" spans="2:14">
      <c r="C180" s="7" t="s">
        <v>588</v>
      </c>
      <c r="D180" s="283">
        <v>46443600</v>
      </c>
      <c r="E180" s="283">
        <v>46211382</v>
      </c>
      <c r="F180" s="283">
        <v>45980325.089999996</v>
      </c>
      <c r="G180" s="283">
        <v>45980325.089999996</v>
      </c>
      <c r="H180" s="611" t="s">
        <v>11295</v>
      </c>
      <c r="K180" s="7"/>
      <c r="N180" s="112"/>
    </row>
    <row r="181" spans="2:14">
      <c r="C181" s="7" t="s">
        <v>589</v>
      </c>
      <c r="D181" s="283">
        <v>69665400</v>
      </c>
      <c r="E181" s="283">
        <v>69317073</v>
      </c>
      <c r="F181" s="283">
        <v>68970487.63499999</v>
      </c>
      <c r="G181" s="283">
        <v>68970487.63499999</v>
      </c>
      <c r="H181" s="611" t="s">
        <v>11296</v>
      </c>
      <c r="K181" s="7"/>
      <c r="N181" s="112"/>
    </row>
    <row r="182" spans="2:14" s="26" customFormat="1">
      <c r="C182" s="286"/>
      <c r="D182" s="287"/>
      <c r="E182" s="287"/>
      <c r="F182" s="287"/>
      <c r="G182" s="287"/>
      <c r="H182" s="286"/>
      <c r="K182" s="288"/>
    </row>
    <row r="183" spans="2:14">
      <c r="B183" s="7" t="s">
        <v>275</v>
      </c>
      <c r="D183" s="6" t="s">
        <v>590</v>
      </c>
      <c r="E183" s="6" t="s">
        <v>591</v>
      </c>
      <c r="F183" s="6" t="s">
        <v>592</v>
      </c>
      <c r="G183" s="6" t="s">
        <v>259</v>
      </c>
      <c r="H183" s="6" t="s">
        <v>260</v>
      </c>
      <c r="I183" s="6" t="s">
        <v>261</v>
      </c>
      <c r="J183" s="6" t="s">
        <v>262</v>
      </c>
      <c r="M183" s="6" t="s">
        <v>276</v>
      </c>
    </row>
    <row r="184" spans="2:14">
      <c r="C184" s="7" t="s">
        <v>599</v>
      </c>
      <c r="D184" s="119">
        <v>116477600</v>
      </c>
      <c r="E184" s="119">
        <v>123757450</v>
      </c>
      <c r="F184" s="119">
        <v>131037300</v>
      </c>
      <c r="G184" s="118">
        <v>145597000</v>
      </c>
      <c r="H184" s="119">
        <v>144869015</v>
      </c>
      <c r="I184" s="119">
        <v>144144669.92500001</v>
      </c>
      <c r="J184" s="119">
        <v>144144669.92500001</v>
      </c>
      <c r="K184" s="7" t="s">
        <v>619</v>
      </c>
      <c r="M184" s="120">
        <v>-3.3361173020149959E-3</v>
      </c>
    </row>
    <row r="185" spans="2:14">
      <c r="C185" s="7" t="s">
        <v>277</v>
      </c>
      <c r="D185" s="116">
        <v>-0.2</v>
      </c>
      <c r="E185" s="116">
        <v>-0.15</v>
      </c>
      <c r="F185" s="116">
        <v>-0.1</v>
      </c>
      <c r="H185" s="481">
        <v>-5.0000000000000001E-3</v>
      </c>
      <c r="I185" s="481">
        <v>-5.0000000000000001E-3</v>
      </c>
      <c r="J185" s="481">
        <v>0</v>
      </c>
    </row>
    <row r="186" spans="2:14">
      <c r="B186" s="90"/>
      <c r="C186" s="268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</row>
    <row r="187" spans="2:14">
      <c r="B187" s="7" t="s">
        <v>278</v>
      </c>
      <c r="D187" s="6" t="s">
        <v>590</v>
      </c>
      <c r="E187" s="6" t="s">
        <v>591</v>
      </c>
      <c r="F187" s="6" t="s">
        <v>592</v>
      </c>
      <c r="G187" s="6" t="s">
        <v>259</v>
      </c>
      <c r="H187" s="123" t="s">
        <v>260</v>
      </c>
      <c r="I187" s="123" t="s">
        <v>261</v>
      </c>
      <c r="J187" s="123" t="s">
        <v>262</v>
      </c>
    </row>
    <row r="188" spans="2:14">
      <c r="C188" s="7" t="s">
        <v>606</v>
      </c>
      <c r="D188" s="119">
        <v>582388000</v>
      </c>
      <c r="E188" s="119">
        <v>618787250</v>
      </c>
      <c r="F188" s="119">
        <v>655186500</v>
      </c>
      <c r="G188" s="119">
        <v>727985000</v>
      </c>
      <c r="H188" s="119">
        <v>724345075</v>
      </c>
      <c r="I188" s="119">
        <v>720723349.625</v>
      </c>
      <c r="J188" s="119">
        <v>720723349.625</v>
      </c>
      <c r="K188" s="7" t="s">
        <v>620</v>
      </c>
      <c r="N188" s="112" t="s">
        <v>279</v>
      </c>
    </row>
    <row r="189" spans="2:14">
      <c r="G189" s="281"/>
      <c r="H189" s="281"/>
      <c r="I189" s="281"/>
      <c r="J189" s="281"/>
      <c r="K189" s="7"/>
      <c r="N189" s="112"/>
    </row>
    <row r="190" spans="2:14">
      <c r="G190" s="281"/>
      <c r="H190" s="281"/>
      <c r="I190" s="281"/>
      <c r="J190" s="281"/>
      <c r="K190" s="7"/>
      <c r="N190" s="112"/>
    </row>
    <row r="191" spans="2:14">
      <c r="C191" s="7" t="s">
        <v>595</v>
      </c>
      <c r="D191" s="6" t="s">
        <v>259</v>
      </c>
      <c r="E191" s="6" t="s">
        <v>260</v>
      </c>
      <c r="F191" s="6" t="s">
        <v>261</v>
      </c>
      <c r="G191" s="6" t="s">
        <v>262</v>
      </c>
      <c r="H191" s="281"/>
      <c r="I191" s="281"/>
      <c r="J191" s="281"/>
      <c r="K191" s="7"/>
      <c r="N191" s="112"/>
    </row>
    <row r="192" spans="2:14">
      <c r="C192" s="7" t="s">
        <v>586</v>
      </c>
      <c r="D192" s="146">
        <v>0.05</v>
      </c>
      <c r="E192" s="146">
        <v>0.05</v>
      </c>
      <c r="F192" s="146">
        <v>0.05</v>
      </c>
      <c r="G192" s="146">
        <v>0.05</v>
      </c>
      <c r="K192" s="7"/>
      <c r="N192" s="112"/>
    </row>
    <row r="193" spans="2:27">
      <c r="C193" s="7" t="s">
        <v>587</v>
      </c>
      <c r="D193" s="146">
        <v>0.35</v>
      </c>
      <c r="E193" s="146">
        <v>0.35</v>
      </c>
      <c r="F193" s="146">
        <v>0.35</v>
      </c>
      <c r="G193" s="146">
        <v>0.35</v>
      </c>
      <c r="K193" s="7"/>
      <c r="N193" s="112"/>
    </row>
    <row r="194" spans="2:27">
      <c r="C194" s="7" t="s">
        <v>588</v>
      </c>
      <c r="D194" s="146">
        <v>0.32</v>
      </c>
      <c r="E194" s="146">
        <v>0.32</v>
      </c>
      <c r="F194" s="146">
        <v>0.32</v>
      </c>
      <c r="G194" s="146">
        <v>0.32</v>
      </c>
      <c r="K194" s="7"/>
      <c r="N194" s="112"/>
    </row>
    <row r="195" spans="2:27">
      <c r="C195" s="7" t="s">
        <v>589</v>
      </c>
      <c r="D195" s="146">
        <v>0.28000000000000003</v>
      </c>
      <c r="E195" s="146">
        <v>0.28000000000000003</v>
      </c>
      <c r="F195" s="146">
        <v>0.28000000000000003</v>
      </c>
      <c r="G195" s="146">
        <v>0.28000000000000003</v>
      </c>
      <c r="K195" s="7"/>
      <c r="N195" s="112"/>
    </row>
    <row r="196" spans="2:27">
      <c r="D196" s="284"/>
      <c r="E196" s="284"/>
      <c r="F196" s="284"/>
      <c r="G196" s="284"/>
      <c r="K196" s="7"/>
      <c r="N196" s="112"/>
    </row>
    <row r="197" spans="2:27">
      <c r="C197" s="7" t="s">
        <v>596</v>
      </c>
      <c r="D197" s="281"/>
      <c r="E197" s="281"/>
      <c r="F197" s="281"/>
      <c r="G197" s="281"/>
      <c r="K197" s="7"/>
      <c r="N197" s="112"/>
    </row>
    <row r="198" spans="2:27">
      <c r="C198" s="7" t="s">
        <v>586</v>
      </c>
      <c r="D198" s="283">
        <v>36399250</v>
      </c>
      <c r="E198" s="283">
        <v>36217253.75</v>
      </c>
      <c r="F198" s="283">
        <v>36036167.481250003</v>
      </c>
      <c r="G198" s="283">
        <v>36036167.481250003</v>
      </c>
      <c r="H198" s="611" t="s">
        <v>11289</v>
      </c>
      <c r="K198" s="7"/>
      <c r="N198" s="112"/>
    </row>
    <row r="199" spans="2:27">
      <c r="C199" s="7" t="s">
        <v>587</v>
      </c>
      <c r="D199" s="283">
        <v>254794749.99999997</v>
      </c>
      <c r="E199" s="283">
        <v>253520776.24999997</v>
      </c>
      <c r="F199" s="283">
        <v>252253172.36874998</v>
      </c>
      <c r="G199" s="283">
        <v>252253172.36874998</v>
      </c>
      <c r="H199" s="611" t="s">
        <v>11290</v>
      </c>
      <c r="K199" s="7"/>
      <c r="N199" s="112"/>
    </row>
    <row r="200" spans="2:27">
      <c r="C200" s="7" t="s">
        <v>588</v>
      </c>
      <c r="D200" s="283">
        <v>232955200</v>
      </c>
      <c r="E200" s="283">
        <v>231790424</v>
      </c>
      <c r="F200" s="283">
        <v>230631471.88</v>
      </c>
      <c r="G200" s="283">
        <v>230631471.88</v>
      </c>
      <c r="H200" s="611" t="s">
        <v>11291</v>
      </c>
      <c r="K200" s="7"/>
      <c r="N200" s="112"/>
    </row>
    <row r="201" spans="2:27">
      <c r="C201" s="7" t="s">
        <v>589</v>
      </c>
      <c r="D201" s="283">
        <v>203835800.00000003</v>
      </c>
      <c r="E201" s="283">
        <v>202816621.00000003</v>
      </c>
      <c r="F201" s="283">
        <v>201802537.89500001</v>
      </c>
      <c r="G201" s="283">
        <v>201802537.89500001</v>
      </c>
      <c r="H201" s="611" t="s">
        <v>11292</v>
      </c>
      <c r="K201" s="7"/>
      <c r="N201" s="112"/>
    </row>
    <row r="202" spans="2:27" s="26" customFormat="1">
      <c r="C202" s="286"/>
      <c r="D202" s="287"/>
      <c r="E202" s="287"/>
      <c r="F202" s="287"/>
      <c r="G202" s="287"/>
      <c r="H202" s="286"/>
      <c r="K202" s="288"/>
    </row>
    <row r="203" spans="2:27">
      <c r="B203" s="7" t="s">
        <v>275</v>
      </c>
      <c r="D203" s="6" t="s">
        <v>590</v>
      </c>
      <c r="E203" s="6" t="s">
        <v>591</v>
      </c>
      <c r="F203" s="6" t="s">
        <v>592</v>
      </c>
      <c r="G203" s="6" t="s">
        <v>259</v>
      </c>
      <c r="H203" s="6" t="s">
        <v>260</v>
      </c>
      <c r="I203" s="6" t="s">
        <v>261</v>
      </c>
      <c r="J203" s="6" t="s">
        <v>262</v>
      </c>
      <c r="M203" s="6" t="s">
        <v>276</v>
      </c>
    </row>
    <row r="204" spans="2:27">
      <c r="C204" s="7" t="s">
        <v>601</v>
      </c>
      <c r="D204" s="119">
        <v>8000000</v>
      </c>
      <c r="E204" s="119">
        <v>8500000</v>
      </c>
      <c r="F204" s="119">
        <v>9000000</v>
      </c>
      <c r="G204" s="486">
        <v>10000000</v>
      </c>
      <c r="H204" s="119">
        <v>10500000</v>
      </c>
      <c r="I204" s="119">
        <v>11235000</v>
      </c>
      <c r="J204" s="119">
        <v>12246150</v>
      </c>
      <c r="K204" s="7" t="s">
        <v>621</v>
      </c>
      <c r="M204" s="120">
        <v>6.9875374893320075E-2</v>
      </c>
      <c r="Q204" s="611" t="s">
        <v>11347</v>
      </c>
      <c r="R204" s="127"/>
      <c r="S204" s="127">
        <v>0.05</v>
      </c>
      <c r="T204" s="127">
        <v>0.1</v>
      </c>
      <c r="U204" s="127">
        <v>0.35</v>
      </c>
      <c r="V204" s="610"/>
      <c r="W204" s="611" t="s">
        <v>11346</v>
      </c>
      <c r="X204" s="610"/>
      <c r="Y204" s="610"/>
      <c r="Z204" s="610"/>
      <c r="AA204" s="610"/>
    </row>
    <row r="205" spans="2:27">
      <c r="C205" s="7" t="s">
        <v>277</v>
      </c>
      <c r="D205" s="116">
        <v>-0.2</v>
      </c>
      <c r="E205" s="116">
        <v>-0.15</v>
      </c>
      <c r="F205" s="116">
        <v>-0.1</v>
      </c>
      <c r="H205" s="116">
        <v>0.05</v>
      </c>
      <c r="I205" s="116">
        <v>7.0000000000000007E-2</v>
      </c>
      <c r="J205" s="116">
        <v>0.09</v>
      </c>
      <c r="Q205" s="610"/>
      <c r="R205" s="610" t="s">
        <v>259</v>
      </c>
      <c r="S205" s="610" t="s">
        <v>260</v>
      </c>
      <c r="T205" s="610" t="s">
        <v>261</v>
      </c>
      <c r="U205" s="610" t="s">
        <v>262</v>
      </c>
      <c r="V205" s="610"/>
      <c r="W205" s="610"/>
      <c r="X205" s="610" t="s">
        <v>259</v>
      </c>
      <c r="Y205" s="610" t="s">
        <v>260</v>
      </c>
      <c r="Z205" s="610" t="s">
        <v>261</v>
      </c>
      <c r="AA205" s="610" t="s">
        <v>262</v>
      </c>
    </row>
    <row r="206" spans="2:27" s="90" customFormat="1">
      <c r="C206" s="268"/>
      <c r="Q206" s="145">
        <v>0</v>
      </c>
      <c r="R206" s="626">
        <v>20000</v>
      </c>
      <c r="S206" s="119">
        <v>21000</v>
      </c>
      <c r="T206" s="119">
        <v>23100.000000000004</v>
      </c>
      <c r="U206" s="119">
        <v>31185.000000000007</v>
      </c>
      <c r="W206" s="145">
        <v>0</v>
      </c>
      <c r="X206" s="119">
        <v>20000000</v>
      </c>
      <c r="Y206" s="119">
        <v>21000000</v>
      </c>
      <c r="Z206" s="119">
        <v>23100000.000000004</v>
      </c>
      <c r="AA206" s="119">
        <v>31185000.000000007</v>
      </c>
    </row>
    <row r="207" spans="2:27">
      <c r="B207" s="7" t="s">
        <v>278</v>
      </c>
      <c r="D207" s="6" t="s">
        <v>590</v>
      </c>
      <c r="E207" s="6" t="s">
        <v>591</v>
      </c>
      <c r="F207" s="6" t="s">
        <v>592</v>
      </c>
      <c r="G207" s="6" t="s">
        <v>259</v>
      </c>
      <c r="H207" s="123" t="s">
        <v>260</v>
      </c>
      <c r="I207" s="123" t="s">
        <v>261</v>
      </c>
      <c r="J207" s="123" t="s">
        <v>262</v>
      </c>
      <c r="Q207" s="145">
        <v>1</v>
      </c>
      <c r="R207" s="626">
        <v>20000</v>
      </c>
      <c r="S207" s="119">
        <v>21000</v>
      </c>
      <c r="T207" s="119">
        <v>23100.000000000004</v>
      </c>
      <c r="U207" s="119">
        <v>31185.000000000007</v>
      </c>
      <c r="V207" s="90"/>
      <c r="W207" s="145">
        <v>1</v>
      </c>
      <c r="X207" s="119">
        <v>20000000</v>
      </c>
      <c r="Y207" s="119">
        <v>21000000</v>
      </c>
      <c r="Z207" s="119">
        <v>23100000.000000004</v>
      </c>
      <c r="AA207" s="119">
        <v>31185000.000000007</v>
      </c>
    </row>
    <row r="208" spans="2:27">
      <c r="C208" s="7" t="s">
        <v>602</v>
      </c>
      <c r="D208" s="119">
        <v>40000000</v>
      </c>
      <c r="E208" s="119">
        <v>42500000</v>
      </c>
      <c r="F208" s="119">
        <v>45000000</v>
      </c>
      <c r="G208" s="119">
        <v>50000000</v>
      </c>
      <c r="H208" s="119">
        <v>52500000</v>
      </c>
      <c r="I208" s="119">
        <v>56175000</v>
      </c>
      <c r="J208" s="119">
        <v>61230750</v>
      </c>
      <c r="K208" s="7"/>
      <c r="N208" s="112" t="s">
        <v>279</v>
      </c>
      <c r="Q208" s="145">
        <v>2</v>
      </c>
      <c r="R208" s="626">
        <v>19000</v>
      </c>
      <c r="S208" s="119">
        <v>19950</v>
      </c>
      <c r="T208" s="119">
        <v>21945</v>
      </c>
      <c r="U208" s="119">
        <v>29625.750000000004</v>
      </c>
      <c r="V208" s="610"/>
      <c r="W208" s="145">
        <v>2</v>
      </c>
      <c r="X208" s="119">
        <v>38000000</v>
      </c>
      <c r="Y208" s="119">
        <v>39900000</v>
      </c>
      <c r="Z208" s="119">
        <v>43890000</v>
      </c>
      <c r="AA208" s="119">
        <v>59251500.000000007</v>
      </c>
    </row>
    <row r="209" spans="1:27">
      <c r="G209" s="281"/>
      <c r="H209" s="281"/>
      <c r="I209" s="281"/>
      <c r="J209" s="281"/>
      <c r="K209" s="7"/>
      <c r="N209" s="112"/>
      <c r="Q209" s="145">
        <v>3</v>
      </c>
      <c r="R209" s="626">
        <v>18000</v>
      </c>
      <c r="S209" s="119">
        <v>18900</v>
      </c>
      <c r="T209" s="119">
        <v>20790</v>
      </c>
      <c r="U209" s="119">
        <v>28066.500000000004</v>
      </c>
      <c r="V209" s="610"/>
      <c r="W209" s="145">
        <v>3</v>
      </c>
      <c r="X209" s="119">
        <v>54000000</v>
      </c>
      <c r="Y209" s="119">
        <v>56700000</v>
      </c>
      <c r="Z209" s="119">
        <v>62370000</v>
      </c>
      <c r="AA209" s="119">
        <v>84199500.000000015</v>
      </c>
    </row>
    <row r="210" spans="1:27">
      <c r="G210" s="281"/>
      <c r="H210" s="281"/>
      <c r="I210" s="281"/>
      <c r="J210" s="281"/>
      <c r="K210" s="7"/>
      <c r="N210" s="112"/>
      <c r="Q210" s="145">
        <v>4</v>
      </c>
      <c r="R210" s="626">
        <v>17000</v>
      </c>
      <c r="S210" s="119">
        <v>17850</v>
      </c>
      <c r="T210" s="119">
        <v>19635</v>
      </c>
      <c r="U210" s="119">
        <v>26507.25</v>
      </c>
      <c r="V210" s="610"/>
      <c r="W210" s="145">
        <v>4</v>
      </c>
      <c r="X210" s="119">
        <v>68000000</v>
      </c>
      <c r="Y210" s="119">
        <v>71400000</v>
      </c>
      <c r="Z210" s="119">
        <v>78540000</v>
      </c>
      <c r="AA210" s="119">
        <v>106029000</v>
      </c>
    </row>
    <row r="211" spans="1:27">
      <c r="C211" s="7" t="s">
        <v>603</v>
      </c>
      <c r="D211" s="6" t="s">
        <v>259</v>
      </c>
      <c r="E211" s="6" t="s">
        <v>260</v>
      </c>
      <c r="F211" s="6" t="s">
        <v>261</v>
      </c>
      <c r="G211" s="6" t="s">
        <v>262</v>
      </c>
      <c r="H211" s="281"/>
      <c r="I211" s="281"/>
      <c r="J211" s="281"/>
      <c r="K211" s="7"/>
      <c r="N211" s="112"/>
      <c r="Q211" s="145">
        <v>5</v>
      </c>
      <c r="R211" s="626">
        <v>16000</v>
      </c>
      <c r="S211" s="119">
        <v>16800</v>
      </c>
      <c r="T211" s="119">
        <v>18480</v>
      </c>
      <c r="U211" s="119">
        <v>24948</v>
      </c>
      <c r="V211" s="610"/>
      <c r="W211" s="145">
        <v>5</v>
      </c>
      <c r="X211" s="119">
        <v>80000000</v>
      </c>
      <c r="Y211" s="119">
        <v>84000000</v>
      </c>
      <c r="Z211" s="119">
        <v>92400000</v>
      </c>
      <c r="AA211" s="119">
        <v>124740000</v>
      </c>
    </row>
    <row r="212" spans="1:27">
      <c r="C212" s="7" t="s">
        <v>586</v>
      </c>
      <c r="D212" s="146">
        <v>0.2</v>
      </c>
      <c r="E212" s="146">
        <v>0.2</v>
      </c>
      <c r="F212" s="146">
        <v>0.2</v>
      </c>
      <c r="G212" s="146">
        <v>0.2</v>
      </c>
      <c r="H212" s="611" t="s">
        <v>11384</v>
      </c>
      <c r="K212" s="7"/>
      <c r="N212" s="112"/>
      <c r="R212" s="610"/>
      <c r="S212" s="90"/>
      <c r="T212" s="90"/>
      <c r="U212" s="90"/>
      <c r="V212" s="610"/>
      <c r="W212" s="611" t="s">
        <v>622</v>
      </c>
      <c r="X212" s="610"/>
      <c r="Y212" s="610"/>
      <c r="Z212" s="610"/>
      <c r="AA212" s="610"/>
    </row>
    <row r="213" spans="1:27">
      <c r="C213" s="7" t="s">
        <v>587</v>
      </c>
      <c r="D213" s="146">
        <v>0.2</v>
      </c>
      <c r="E213" s="146">
        <v>0.2</v>
      </c>
      <c r="F213" s="146">
        <v>0.2</v>
      </c>
      <c r="G213" s="146">
        <v>0.2</v>
      </c>
      <c r="H213" s="611" t="s">
        <v>11385</v>
      </c>
      <c r="K213" s="7"/>
      <c r="N213" s="112"/>
      <c r="Q213" s="610"/>
      <c r="R213" s="126">
        <v>20</v>
      </c>
      <c r="S213" s="126">
        <v>21</v>
      </c>
      <c r="T213" s="126">
        <v>23</v>
      </c>
      <c r="U213" s="126">
        <v>31</v>
      </c>
      <c r="V213" s="610"/>
      <c r="W213" s="610"/>
      <c r="X213" s="610"/>
      <c r="Y213" s="610"/>
      <c r="Z213" s="610"/>
      <c r="AA213" s="610"/>
    </row>
    <row r="214" spans="1:27">
      <c r="C214" s="7" t="s">
        <v>588</v>
      </c>
      <c r="D214" s="146">
        <v>0.27</v>
      </c>
      <c r="E214" s="146">
        <v>0.27</v>
      </c>
      <c r="F214" s="146">
        <v>0.27</v>
      </c>
      <c r="G214" s="146">
        <v>0.27</v>
      </c>
      <c r="H214" s="611" t="s">
        <v>11386</v>
      </c>
      <c r="K214" s="7"/>
      <c r="N214" s="112"/>
      <c r="Q214" s="610"/>
      <c r="R214" s="126">
        <v>19</v>
      </c>
      <c r="S214" s="126">
        <v>20</v>
      </c>
      <c r="T214" s="126">
        <v>22</v>
      </c>
      <c r="U214" s="126">
        <v>30</v>
      </c>
      <c r="V214" s="610"/>
      <c r="W214" s="610"/>
      <c r="X214" s="610"/>
      <c r="Y214" s="610"/>
      <c r="Z214" s="610"/>
      <c r="AA214" s="610"/>
    </row>
    <row r="215" spans="1:27">
      <c r="C215" s="7" t="s">
        <v>589</v>
      </c>
      <c r="D215" s="146">
        <v>0.33</v>
      </c>
      <c r="E215" s="146">
        <v>0.33</v>
      </c>
      <c r="F215" s="146">
        <v>0.33</v>
      </c>
      <c r="G215" s="146">
        <v>0.33</v>
      </c>
      <c r="H215" s="611" t="s">
        <v>11387</v>
      </c>
      <c r="K215" s="7"/>
      <c r="N215" s="112"/>
      <c r="Q215" s="610"/>
      <c r="R215" s="126">
        <v>18</v>
      </c>
      <c r="S215" s="126">
        <v>19</v>
      </c>
      <c r="T215" s="126">
        <v>21</v>
      </c>
      <c r="U215" s="126">
        <v>28</v>
      </c>
      <c r="V215" s="610"/>
      <c r="W215" s="610"/>
      <c r="X215" s="610"/>
      <c r="Y215" s="610"/>
      <c r="Z215" s="610"/>
      <c r="AA215" s="610"/>
    </row>
    <row r="216" spans="1:27">
      <c r="D216" s="284"/>
      <c r="E216" s="284"/>
      <c r="F216" s="284"/>
      <c r="G216" s="284"/>
      <c r="K216" s="7"/>
      <c r="N216" s="112"/>
      <c r="Q216" s="610"/>
      <c r="R216" s="126">
        <v>17</v>
      </c>
      <c r="S216" s="126">
        <v>18</v>
      </c>
      <c r="T216" s="126">
        <v>20</v>
      </c>
      <c r="U216" s="126">
        <v>27</v>
      </c>
      <c r="V216" s="610"/>
      <c r="W216" s="610"/>
      <c r="X216" s="610"/>
      <c r="Y216" s="610"/>
      <c r="Z216" s="610"/>
      <c r="AA216" s="610"/>
    </row>
    <row r="217" spans="1:27">
      <c r="C217" s="7" t="s">
        <v>604</v>
      </c>
      <c r="D217" s="281"/>
      <c r="E217" s="281"/>
      <c r="F217" s="281"/>
      <c r="G217" s="281"/>
      <c r="K217" s="7"/>
      <c r="N217" s="112"/>
      <c r="Q217" s="610"/>
      <c r="R217" s="126">
        <v>16</v>
      </c>
      <c r="S217" s="126">
        <v>17</v>
      </c>
      <c r="T217" s="126">
        <v>18</v>
      </c>
      <c r="U217" s="126">
        <v>25</v>
      </c>
      <c r="V217" s="610"/>
      <c r="W217" s="610"/>
      <c r="X217" s="610"/>
      <c r="Y217" s="610"/>
      <c r="Z217" s="610"/>
      <c r="AA217" s="610"/>
    </row>
    <row r="218" spans="1:27">
      <c r="C218" s="7" t="s">
        <v>586</v>
      </c>
      <c r="D218" s="283">
        <v>10000000</v>
      </c>
      <c r="E218" s="283">
        <v>10500000</v>
      </c>
      <c r="F218" s="283">
        <v>11235000</v>
      </c>
      <c r="G218" s="283">
        <v>12246150</v>
      </c>
      <c r="H218" s="611" t="s">
        <v>11285</v>
      </c>
      <c r="K218" s="7"/>
      <c r="N218" s="112"/>
    </row>
    <row r="219" spans="1:27">
      <c r="C219" s="7" t="s">
        <v>587</v>
      </c>
      <c r="D219" s="283">
        <v>10000000</v>
      </c>
      <c r="E219" s="283">
        <v>10500000</v>
      </c>
      <c r="F219" s="283">
        <v>11235000</v>
      </c>
      <c r="G219" s="283">
        <v>12246150</v>
      </c>
      <c r="H219" s="611" t="s">
        <v>11286</v>
      </c>
      <c r="K219" s="7"/>
      <c r="N219" s="112"/>
    </row>
    <row r="220" spans="1:27">
      <c r="C220" s="7" t="s">
        <v>588</v>
      </c>
      <c r="D220" s="283">
        <v>13500000</v>
      </c>
      <c r="E220" s="283">
        <v>14175000.000000002</v>
      </c>
      <c r="F220" s="283">
        <v>15167250.000000002</v>
      </c>
      <c r="G220" s="283">
        <v>16532302.500000002</v>
      </c>
      <c r="H220" s="611" t="s">
        <v>11287</v>
      </c>
      <c r="K220" s="7"/>
      <c r="N220" s="112"/>
    </row>
    <row r="221" spans="1:27">
      <c r="C221" s="7" t="s">
        <v>589</v>
      </c>
      <c r="D221" s="283">
        <v>16500000</v>
      </c>
      <c r="E221" s="283">
        <v>17325000</v>
      </c>
      <c r="F221" s="283">
        <v>18537750</v>
      </c>
      <c r="G221" s="283">
        <v>20206147.5</v>
      </c>
      <c r="H221" s="611" t="s">
        <v>11288</v>
      </c>
      <c r="K221" s="7"/>
      <c r="N221" s="112"/>
    </row>
    <row r="222" spans="1:27">
      <c r="D222" s="285"/>
      <c r="E222" s="285"/>
      <c r="F222" s="285"/>
      <c r="G222" s="285"/>
      <c r="H222" s="90"/>
      <c r="K222" s="7"/>
      <c r="N222" s="112"/>
    </row>
    <row r="223" spans="1:27" s="11" customFormat="1">
      <c r="A223" s="29"/>
      <c r="B223" s="29" t="s">
        <v>13767</v>
      </c>
    </row>
    <row r="225" spans="2:14">
      <c r="B225" s="7" t="s">
        <v>275</v>
      </c>
      <c r="D225" s="6" t="s">
        <v>590</v>
      </c>
      <c r="E225" s="6" t="s">
        <v>591</v>
      </c>
      <c r="F225" s="6" t="s">
        <v>592</v>
      </c>
      <c r="G225" s="6" t="s">
        <v>259</v>
      </c>
      <c r="H225" s="6" t="s">
        <v>260</v>
      </c>
      <c r="I225" s="6" t="s">
        <v>261</v>
      </c>
      <c r="J225" s="6" t="s">
        <v>262</v>
      </c>
      <c r="M225" s="6" t="s">
        <v>276</v>
      </c>
    </row>
    <row r="226" spans="2:14">
      <c r="C226" s="7" t="s">
        <v>600</v>
      </c>
      <c r="D226" s="119">
        <v>39576000</v>
      </c>
      <c r="E226" s="119">
        <v>42049500</v>
      </c>
      <c r="F226" s="119">
        <v>44523000</v>
      </c>
      <c r="G226" s="118">
        <v>49470000</v>
      </c>
      <c r="H226" s="119">
        <v>50706749.999999993</v>
      </c>
      <c r="I226" s="119">
        <v>52481486.249999985</v>
      </c>
      <c r="J226" s="119">
        <v>54318338.268749982</v>
      </c>
      <c r="K226" s="7" t="s">
        <v>623</v>
      </c>
      <c r="M226" s="120">
        <v>3.1655873295675319E-2</v>
      </c>
    </row>
    <row r="227" spans="2:14">
      <c r="C227" s="7" t="s">
        <v>277</v>
      </c>
      <c r="D227" s="116">
        <v>-0.2</v>
      </c>
      <c r="E227" s="116">
        <v>-0.15</v>
      </c>
      <c r="F227" s="116">
        <v>-0.1</v>
      </c>
      <c r="H227" s="481">
        <v>2.5000000000000001E-2</v>
      </c>
      <c r="I227" s="481">
        <v>3.5000000000000003E-2</v>
      </c>
      <c r="J227" s="481">
        <v>3.5000000000000003E-2</v>
      </c>
    </row>
    <row r="228" spans="2:14" s="90" customFormat="1">
      <c r="C228" s="268"/>
    </row>
    <row r="229" spans="2:14">
      <c r="B229" s="7" t="s">
        <v>278</v>
      </c>
      <c r="D229" s="6" t="s">
        <v>590</v>
      </c>
      <c r="E229" s="6" t="s">
        <v>591</v>
      </c>
      <c r="F229" s="6" t="s">
        <v>592</v>
      </c>
      <c r="G229" s="6" t="s">
        <v>259</v>
      </c>
      <c r="H229" s="123" t="s">
        <v>260</v>
      </c>
      <c r="I229" s="123" t="s">
        <v>261</v>
      </c>
      <c r="J229" s="123" t="s">
        <v>262</v>
      </c>
    </row>
    <row r="230" spans="2:14">
      <c r="C230" s="7" t="s">
        <v>605</v>
      </c>
      <c r="D230" s="119">
        <v>197880000</v>
      </c>
      <c r="E230" s="119">
        <v>210247500</v>
      </c>
      <c r="F230" s="119">
        <v>222615000</v>
      </c>
      <c r="G230" s="119">
        <v>247350000</v>
      </c>
      <c r="H230" s="119">
        <v>253533749.99999997</v>
      </c>
      <c r="I230" s="119">
        <v>262407431.24999994</v>
      </c>
      <c r="J230" s="119">
        <v>271591691.34374988</v>
      </c>
      <c r="K230" s="7" t="s">
        <v>624</v>
      </c>
      <c r="N230" s="112" t="s">
        <v>279</v>
      </c>
    </row>
    <row r="231" spans="2:14">
      <c r="G231" s="281"/>
      <c r="H231" s="281"/>
      <c r="I231" s="281"/>
      <c r="J231" s="281"/>
      <c r="K231" s="7"/>
      <c r="N231" s="112"/>
    </row>
    <row r="232" spans="2:14">
      <c r="G232" s="281"/>
      <c r="H232" s="281"/>
      <c r="I232" s="281"/>
      <c r="J232" s="281"/>
      <c r="K232" s="7"/>
      <c r="N232" s="112"/>
    </row>
    <row r="233" spans="2:14">
      <c r="C233" s="7" t="s">
        <v>598</v>
      </c>
      <c r="D233" s="6" t="s">
        <v>259</v>
      </c>
      <c r="E233" s="6" t="s">
        <v>260</v>
      </c>
      <c r="F233" s="6" t="s">
        <v>261</v>
      </c>
      <c r="G233" s="6" t="s">
        <v>262</v>
      </c>
      <c r="H233" s="281"/>
      <c r="I233" s="281"/>
      <c r="J233" s="281"/>
      <c r="K233" s="7"/>
      <c r="N233" s="112"/>
    </row>
    <row r="234" spans="2:14">
      <c r="C234" s="7" t="s">
        <v>586</v>
      </c>
      <c r="D234" s="146">
        <v>0.4</v>
      </c>
      <c r="E234" s="146">
        <v>0.4</v>
      </c>
      <c r="F234" s="146">
        <v>0.4</v>
      </c>
      <c r="G234" s="146">
        <v>0.4</v>
      </c>
      <c r="K234" s="7"/>
      <c r="N234" s="112"/>
    </row>
    <row r="235" spans="2:14">
      <c r="C235" s="7" t="s">
        <v>587</v>
      </c>
      <c r="D235" s="146">
        <v>0.3</v>
      </c>
      <c r="E235" s="146">
        <v>0.3</v>
      </c>
      <c r="F235" s="146">
        <v>0.3</v>
      </c>
      <c r="G235" s="146">
        <v>0.3</v>
      </c>
      <c r="K235" s="7"/>
      <c r="N235" s="112"/>
    </row>
    <row r="236" spans="2:14">
      <c r="C236" s="7" t="s">
        <v>588</v>
      </c>
      <c r="D236" s="146">
        <v>0.1</v>
      </c>
      <c r="E236" s="146">
        <v>0.1</v>
      </c>
      <c r="F236" s="146">
        <v>0.1</v>
      </c>
      <c r="G236" s="146">
        <v>0.1</v>
      </c>
      <c r="K236" s="7"/>
      <c r="N236" s="112"/>
    </row>
    <row r="237" spans="2:14">
      <c r="C237" s="7" t="s">
        <v>589</v>
      </c>
      <c r="D237" s="146">
        <v>0.2</v>
      </c>
      <c r="E237" s="146">
        <v>0.2</v>
      </c>
      <c r="F237" s="146">
        <v>0.2</v>
      </c>
      <c r="G237" s="146">
        <v>0.2</v>
      </c>
      <c r="K237" s="7"/>
      <c r="N237" s="112"/>
    </row>
    <row r="238" spans="2:14">
      <c r="D238" s="284"/>
      <c r="E238" s="284"/>
      <c r="F238" s="284"/>
      <c r="G238" s="284"/>
      <c r="K238" s="7"/>
      <c r="N238" s="112"/>
    </row>
    <row r="239" spans="2:14">
      <c r="C239" s="7" t="s">
        <v>597</v>
      </c>
      <c r="D239" s="281"/>
      <c r="E239" s="281"/>
      <c r="F239" s="281"/>
      <c r="G239" s="281"/>
      <c r="K239" s="7"/>
      <c r="N239" s="112"/>
    </row>
    <row r="240" spans="2:14">
      <c r="C240" s="7" t="s">
        <v>586</v>
      </c>
      <c r="D240" s="283">
        <v>98940000</v>
      </c>
      <c r="E240" s="283">
        <v>101413500</v>
      </c>
      <c r="F240" s="283">
        <v>104962972.49999999</v>
      </c>
      <c r="G240" s="283">
        <v>108636676.53749996</v>
      </c>
      <c r="H240" s="611" t="s">
        <v>11297</v>
      </c>
      <c r="K240" s="7"/>
      <c r="N240" s="112"/>
    </row>
    <row r="241" spans="2:14">
      <c r="C241" s="7" t="s">
        <v>587</v>
      </c>
      <c r="D241" s="283">
        <v>74205000</v>
      </c>
      <c r="E241" s="283">
        <v>76060124.999999985</v>
      </c>
      <c r="F241" s="283">
        <v>78722229.374999985</v>
      </c>
      <c r="G241" s="283">
        <v>81477507.403124958</v>
      </c>
      <c r="H241" s="611" t="s">
        <v>11298</v>
      </c>
      <c r="K241" s="7"/>
      <c r="N241" s="112"/>
    </row>
    <row r="242" spans="2:14">
      <c r="C242" s="7" t="s">
        <v>588</v>
      </c>
      <c r="D242" s="283">
        <v>24735000</v>
      </c>
      <c r="E242" s="283">
        <v>25353375</v>
      </c>
      <c r="F242" s="283">
        <v>26240743.124999996</v>
      </c>
      <c r="G242" s="283">
        <v>27159169.134374991</v>
      </c>
      <c r="H242" s="611" t="s">
        <v>11299</v>
      </c>
      <c r="K242" s="7"/>
      <c r="N242" s="112"/>
    </row>
    <row r="243" spans="2:14">
      <c r="C243" s="7" t="s">
        <v>589</v>
      </c>
      <c r="D243" s="283">
        <v>49470000</v>
      </c>
      <c r="E243" s="283">
        <v>50706750</v>
      </c>
      <c r="F243" s="283">
        <v>52481486.249999993</v>
      </c>
      <c r="G243" s="283">
        <v>54318338.268749982</v>
      </c>
      <c r="H243" s="611" t="s">
        <v>11300</v>
      </c>
      <c r="K243" s="7"/>
      <c r="N243" s="112"/>
    </row>
    <row r="244" spans="2:14" s="26" customFormat="1">
      <c r="C244" s="286"/>
      <c r="D244" s="287"/>
      <c r="E244" s="287"/>
      <c r="F244" s="287"/>
      <c r="G244" s="287"/>
      <c r="H244" s="286"/>
      <c r="K244" s="288"/>
    </row>
    <row r="245" spans="2:14">
      <c r="B245" s="7" t="s">
        <v>275</v>
      </c>
      <c r="D245" s="6" t="s">
        <v>590</v>
      </c>
      <c r="E245" s="6" t="s">
        <v>591</v>
      </c>
      <c r="F245" s="6" t="s">
        <v>592</v>
      </c>
      <c r="G245" s="6" t="s">
        <v>259</v>
      </c>
      <c r="H245" s="6" t="s">
        <v>260</v>
      </c>
      <c r="I245" s="6" t="s">
        <v>261</v>
      </c>
      <c r="J245" s="6" t="s">
        <v>262</v>
      </c>
      <c r="M245" s="6" t="s">
        <v>276</v>
      </c>
    </row>
    <row r="246" spans="2:14">
      <c r="C246" s="7" t="s">
        <v>599</v>
      </c>
      <c r="D246" s="119">
        <v>46172000</v>
      </c>
      <c r="E246" s="119">
        <v>49057750</v>
      </c>
      <c r="F246" s="119">
        <v>51943500</v>
      </c>
      <c r="G246" s="118">
        <v>57715000</v>
      </c>
      <c r="H246" s="119">
        <v>58869300</v>
      </c>
      <c r="I246" s="119">
        <v>60635379</v>
      </c>
      <c r="J246" s="119">
        <v>62454440.370000005</v>
      </c>
      <c r="K246" s="7" t="s">
        <v>625</v>
      </c>
      <c r="M246" s="120">
        <v>2.6655820615915093E-2</v>
      </c>
    </row>
    <row r="247" spans="2:14">
      <c r="C247" s="7" t="s">
        <v>277</v>
      </c>
      <c r="D247" s="116">
        <v>-0.2</v>
      </c>
      <c r="E247" s="116">
        <v>-0.15</v>
      </c>
      <c r="F247" s="116">
        <v>-0.1</v>
      </c>
      <c r="H247" s="116">
        <v>0.02</v>
      </c>
      <c r="I247" s="116">
        <v>0.03</v>
      </c>
      <c r="J247" s="116">
        <v>0.03</v>
      </c>
    </row>
    <row r="248" spans="2:14">
      <c r="B248" s="90"/>
      <c r="C248" s="268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</row>
    <row r="249" spans="2:14">
      <c r="B249" s="7" t="s">
        <v>278</v>
      </c>
      <c r="D249" s="6" t="s">
        <v>590</v>
      </c>
      <c r="E249" s="6" t="s">
        <v>591</v>
      </c>
      <c r="F249" s="6" t="s">
        <v>592</v>
      </c>
      <c r="G249" s="6" t="s">
        <v>259</v>
      </c>
      <c r="H249" s="123" t="s">
        <v>260</v>
      </c>
      <c r="I249" s="123" t="s">
        <v>261</v>
      </c>
      <c r="J249" s="123" t="s">
        <v>262</v>
      </c>
    </row>
    <row r="250" spans="2:14">
      <c r="C250" s="7" t="s">
        <v>606</v>
      </c>
      <c r="D250" s="119">
        <v>230860000</v>
      </c>
      <c r="E250" s="119">
        <v>245288750</v>
      </c>
      <c r="F250" s="119">
        <v>259717500</v>
      </c>
      <c r="G250" s="119">
        <v>288575000</v>
      </c>
      <c r="H250" s="119">
        <v>294346500</v>
      </c>
      <c r="I250" s="119">
        <v>303176895</v>
      </c>
      <c r="J250" s="119">
        <v>312272201.85000002</v>
      </c>
      <c r="K250" s="7" t="s">
        <v>626</v>
      </c>
      <c r="N250" s="112" t="s">
        <v>279</v>
      </c>
    </row>
    <row r="251" spans="2:14">
      <c r="G251" s="281"/>
      <c r="H251" s="281"/>
      <c r="I251" s="281"/>
      <c r="J251" s="281"/>
      <c r="K251" s="7"/>
      <c r="N251" s="112"/>
    </row>
    <row r="252" spans="2:14">
      <c r="G252" s="281"/>
      <c r="H252" s="281"/>
      <c r="I252" s="281"/>
      <c r="J252" s="281"/>
      <c r="K252" s="7"/>
      <c r="N252" s="112"/>
    </row>
    <row r="253" spans="2:14">
      <c r="C253" s="7" t="s">
        <v>595</v>
      </c>
      <c r="D253" s="6" t="s">
        <v>259</v>
      </c>
      <c r="E253" s="6" t="s">
        <v>260</v>
      </c>
      <c r="F253" s="6" t="s">
        <v>261</v>
      </c>
      <c r="G253" s="6" t="s">
        <v>262</v>
      </c>
      <c r="H253" s="281"/>
      <c r="I253" s="281"/>
      <c r="J253" s="281"/>
      <c r="K253" s="7"/>
      <c r="N253" s="112"/>
    </row>
    <row r="254" spans="2:14">
      <c r="C254" s="7" t="s">
        <v>586</v>
      </c>
      <c r="D254" s="146">
        <v>0.1</v>
      </c>
      <c r="E254" s="146">
        <v>0.1</v>
      </c>
      <c r="F254" s="146">
        <v>0.1</v>
      </c>
      <c r="G254" s="146">
        <v>0.1</v>
      </c>
      <c r="K254" s="7"/>
      <c r="N254" s="112"/>
    </row>
    <row r="255" spans="2:14">
      <c r="C255" s="7" t="s">
        <v>587</v>
      </c>
      <c r="D255" s="146">
        <v>0.4</v>
      </c>
      <c r="E255" s="146">
        <v>0.4</v>
      </c>
      <c r="F255" s="146">
        <v>0.4</v>
      </c>
      <c r="G255" s="146">
        <v>0.4</v>
      </c>
      <c r="K255" s="7"/>
      <c r="N255" s="112"/>
    </row>
    <row r="256" spans="2:14">
      <c r="C256" s="7" t="s">
        <v>588</v>
      </c>
      <c r="D256" s="146">
        <v>0.15</v>
      </c>
      <c r="E256" s="146">
        <v>0.15</v>
      </c>
      <c r="F256" s="146">
        <v>0.15</v>
      </c>
      <c r="G256" s="146">
        <v>0.15</v>
      </c>
      <c r="K256" s="7"/>
      <c r="N256" s="112"/>
    </row>
    <row r="257" spans="2:14">
      <c r="C257" s="7" t="s">
        <v>589</v>
      </c>
      <c r="D257" s="146">
        <v>0.35</v>
      </c>
      <c r="E257" s="146">
        <v>0.35</v>
      </c>
      <c r="F257" s="146">
        <v>0.35</v>
      </c>
      <c r="G257" s="146">
        <v>0.35</v>
      </c>
      <c r="K257" s="7"/>
      <c r="N257" s="112"/>
    </row>
    <row r="258" spans="2:14">
      <c r="D258" s="284"/>
      <c r="E258" s="284"/>
      <c r="F258" s="284"/>
      <c r="G258" s="284"/>
      <c r="K258" s="7"/>
      <c r="N258" s="112"/>
    </row>
    <row r="259" spans="2:14">
      <c r="C259" s="7" t="s">
        <v>596</v>
      </c>
      <c r="D259" s="281"/>
      <c r="E259" s="281"/>
      <c r="F259" s="281"/>
      <c r="G259" s="281"/>
      <c r="K259" s="7"/>
      <c r="N259" s="112"/>
    </row>
    <row r="260" spans="2:14">
      <c r="C260" s="7" t="s">
        <v>586</v>
      </c>
      <c r="D260" s="283">
        <v>28857500</v>
      </c>
      <c r="E260" s="283">
        <v>29434650</v>
      </c>
      <c r="F260" s="283">
        <v>30317689.5</v>
      </c>
      <c r="G260" s="283">
        <v>31227220.185000002</v>
      </c>
      <c r="H260" s="611" t="s">
        <v>11301</v>
      </c>
      <c r="K260" s="7"/>
      <c r="N260" s="112"/>
    </row>
    <row r="261" spans="2:14">
      <c r="C261" s="7" t="s">
        <v>587</v>
      </c>
      <c r="D261" s="283">
        <v>115430000</v>
      </c>
      <c r="E261" s="283">
        <v>117738600</v>
      </c>
      <c r="F261" s="283">
        <v>121270758</v>
      </c>
      <c r="G261" s="283">
        <v>124908880.74000001</v>
      </c>
      <c r="H261" s="611" t="s">
        <v>11302</v>
      </c>
      <c r="K261" s="7"/>
      <c r="N261" s="112"/>
    </row>
    <row r="262" spans="2:14">
      <c r="C262" s="7" t="s">
        <v>588</v>
      </c>
      <c r="D262" s="283">
        <v>43286250</v>
      </c>
      <c r="E262" s="283">
        <v>44151975</v>
      </c>
      <c r="F262" s="283">
        <v>45476534.25</v>
      </c>
      <c r="G262" s="283">
        <v>46840830.277500004</v>
      </c>
      <c r="H262" s="611" t="s">
        <v>11303</v>
      </c>
      <c r="K262" s="7"/>
      <c r="N262" s="112"/>
    </row>
    <row r="263" spans="2:14">
      <c r="C263" s="7" t="s">
        <v>589</v>
      </c>
      <c r="D263" s="283">
        <v>101001250</v>
      </c>
      <c r="E263" s="283">
        <v>103021275</v>
      </c>
      <c r="F263" s="283">
        <v>106111913.25</v>
      </c>
      <c r="G263" s="283">
        <v>109295270.64750001</v>
      </c>
      <c r="H263" s="611" t="s">
        <v>11304</v>
      </c>
      <c r="K263" s="7"/>
      <c r="N263" s="112"/>
    </row>
    <row r="264" spans="2:14" s="26" customFormat="1">
      <c r="C264" s="286"/>
      <c r="D264" s="287"/>
      <c r="E264" s="287"/>
      <c r="F264" s="287"/>
      <c r="G264" s="287"/>
      <c r="H264" s="286"/>
      <c r="K264" s="288"/>
    </row>
    <row r="265" spans="2:14">
      <c r="B265" s="7" t="s">
        <v>275</v>
      </c>
      <c r="D265" s="6" t="s">
        <v>590</v>
      </c>
      <c r="E265" s="6" t="s">
        <v>591</v>
      </c>
      <c r="F265" s="6" t="s">
        <v>592</v>
      </c>
      <c r="G265" s="6" t="s">
        <v>259</v>
      </c>
      <c r="H265" s="6" t="s">
        <v>260</v>
      </c>
      <c r="I265" s="6" t="s">
        <v>261</v>
      </c>
      <c r="J265" s="6" t="s">
        <v>262</v>
      </c>
      <c r="M265" s="6" t="s">
        <v>276</v>
      </c>
    </row>
    <row r="266" spans="2:14">
      <c r="C266" s="7" t="s">
        <v>601</v>
      </c>
      <c r="D266" s="119">
        <v>46172000</v>
      </c>
      <c r="E266" s="119">
        <v>49057750</v>
      </c>
      <c r="F266" s="119">
        <v>51943500</v>
      </c>
      <c r="G266" s="118">
        <v>57715000</v>
      </c>
      <c r="H266" s="119">
        <v>60600750</v>
      </c>
      <c r="I266" s="119">
        <v>64842802.500000007</v>
      </c>
      <c r="J266" s="119">
        <v>70678654.725000009</v>
      </c>
      <c r="K266" s="7" t="s">
        <v>627</v>
      </c>
      <c r="M266" s="120">
        <v>6.9875374893320075E-2</v>
      </c>
    </row>
    <row r="267" spans="2:14">
      <c r="C267" s="7" t="s">
        <v>277</v>
      </c>
      <c r="D267" s="116">
        <v>-0.2</v>
      </c>
      <c r="E267" s="116">
        <v>-0.15</v>
      </c>
      <c r="F267" s="116">
        <v>-0.1</v>
      </c>
      <c r="H267" s="116">
        <v>0.05</v>
      </c>
      <c r="I267" s="116">
        <v>7.0000000000000007E-2</v>
      </c>
      <c r="J267" s="116">
        <v>0.09</v>
      </c>
    </row>
    <row r="268" spans="2:14" s="90" customFormat="1">
      <c r="C268" s="268"/>
    </row>
    <row r="269" spans="2:14">
      <c r="B269" s="7" t="s">
        <v>278</v>
      </c>
      <c r="D269" s="6" t="s">
        <v>590</v>
      </c>
      <c r="E269" s="6" t="s">
        <v>591</v>
      </c>
      <c r="F269" s="6" t="s">
        <v>592</v>
      </c>
      <c r="G269" s="6" t="s">
        <v>259</v>
      </c>
      <c r="H269" s="123" t="s">
        <v>260</v>
      </c>
      <c r="I269" s="123" t="s">
        <v>261</v>
      </c>
      <c r="J269" s="123" t="s">
        <v>262</v>
      </c>
    </row>
    <row r="270" spans="2:14">
      <c r="C270" s="7" t="s">
        <v>602</v>
      </c>
      <c r="D270" s="119">
        <v>230860000</v>
      </c>
      <c r="E270" s="119">
        <v>245288750</v>
      </c>
      <c r="F270" s="119">
        <v>259717500</v>
      </c>
      <c r="G270" s="119">
        <v>288575000</v>
      </c>
      <c r="H270" s="119">
        <v>303003750</v>
      </c>
      <c r="I270" s="119">
        <v>324214012.50000006</v>
      </c>
      <c r="J270" s="119">
        <v>353393273.62500006</v>
      </c>
      <c r="K270" s="7" t="s">
        <v>628</v>
      </c>
      <c r="N270" s="112" t="s">
        <v>279</v>
      </c>
    </row>
    <row r="271" spans="2:14">
      <c r="G271" s="281"/>
      <c r="H271" s="281"/>
      <c r="I271" s="281"/>
      <c r="J271" s="281"/>
      <c r="K271" s="7"/>
      <c r="N271" s="112"/>
    </row>
    <row r="272" spans="2:14">
      <c r="G272" s="281"/>
      <c r="H272" s="281"/>
      <c r="I272" s="281"/>
      <c r="J272" s="281"/>
      <c r="K272" s="7"/>
      <c r="N272" s="112"/>
    </row>
    <row r="273" spans="1:27">
      <c r="C273" s="7" t="s">
        <v>603</v>
      </c>
      <c r="D273" s="6" t="s">
        <v>259</v>
      </c>
      <c r="E273" s="6" t="s">
        <v>260</v>
      </c>
      <c r="F273" s="6" t="s">
        <v>261</v>
      </c>
      <c r="G273" s="6" t="s">
        <v>262</v>
      </c>
      <c r="H273" s="281"/>
      <c r="I273" s="281"/>
      <c r="J273" s="281"/>
      <c r="K273" s="7"/>
      <c r="N273" s="112"/>
    </row>
    <row r="274" spans="1:27">
      <c r="C274" s="7" t="s">
        <v>586</v>
      </c>
      <c r="D274" s="146">
        <v>0.35</v>
      </c>
      <c r="E274" s="146">
        <v>0.35</v>
      </c>
      <c r="F274" s="146">
        <v>0.35</v>
      </c>
      <c r="G274" s="146">
        <v>0.35</v>
      </c>
      <c r="K274" s="7"/>
      <c r="N274" s="112"/>
    </row>
    <row r="275" spans="1:27">
      <c r="C275" s="7" t="s">
        <v>587</v>
      </c>
      <c r="D275" s="146">
        <v>0.45</v>
      </c>
      <c r="E275" s="146">
        <v>0.45</v>
      </c>
      <c r="F275" s="146">
        <v>0.45</v>
      </c>
      <c r="G275" s="146">
        <v>0.45</v>
      </c>
      <c r="K275" s="7"/>
      <c r="N275" s="112"/>
    </row>
    <row r="276" spans="1:27">
      <c r="C276" s="7" t="s">
        <v>588</v>
      </c>
      <c r="D276" s="146">
        <v>0.15</v>
      </c>
      <c r="E276" s="146">
        <v>0.15</v>
      </c>
      <c r="F276" s="146">
        <v>0.15</v>
      </c>
      <c r="G276" s="146">
        <v>0.15</v>
      </c>
      <c r="K276" s="7"/>
      <c r="N276" s="112"/>
    </row>
    <row r="277" spans="1:27">
      <c r="C277" s="7" t="s">
        <v>589</v>
      </c>
      <c r="D277" s="146">
        <v>0.05</v>
      </c>
      <c r="E277" s="146">
        <v>0.05</v>
      </c>
      <c r="F277" s="146">
        <v>0.05</v>
      </c>
      <c r="G277" s="146">
        <v>0.05</v>
      </c>
      <c r="K277" s="7"/>
      <c r="N277" s="112"/>
    </row>
    <row r="278" spans="1:27">
      <c r="D278" s="284"/>
      <c r="E278" s="284"/>
      <c r="F278" s="284"/>
      <c r="G278" s="284"/>
      <c r="K278" s="7"/>
      <c r="N278" s="112"/>
    </row>
    <row r="279" spans="1:27">
      <c r="C279" s="7" t="s">
        <v>604</v>
      </c>
      <c r="D279" s="281"/>
      <c r="E279" s="281"/>
      <c r="F279" s="281"/>
      <c r="G279" s="281"/>
      <c r="K279" s="7"/>
      <c r="N279" s="112"/>
    </row>
    <row r="280" spans="1:27">
      <c r="C280" s="7" t="s">
        <v>586</v>
      </c>
      <c r="D280" s="283">
        <v>101001250</v>
      </c>
      <c r="E280" s="283">
        <v>106051312.5</v>
      </c>
      <c r="F280" s="283">
        <v>113474904.37500001</v>
      </c>
      <c r="G280" s="283">
        <v>123687645.76875001</v>
      </c>
      <c r="H280" s="611" t="s">
        <v>11305</v>
      </c>
      <c r="K280" s="7"/>
      <c r="N280" s="112"/>
    </row>
    <row r="281" spans="1:27">
      <c r="C281" s="7" t="s">
        <v>587</v>
      </c>
      <c r="D281" s="283">
        <v>129858750</v>
      </c>
      <c r="E281" s="283">
        <v>136351687.5</v>
      </c>
      <c r="F281" s="283">
        <v>145896305.62500003</v>
      </c>
      <c r="G281" s="283">
        <v>159026973.13125002</v>
      </c>
      <c r="H281" s="611" t="s">
        <v>11306</v>
      </c>
      <c r="K281" s="7"/>
      <c r="N281" s="112"/>
    </row>
    <row r="282" spans="1:27">
      <c r="C282" s="7" t="s">
        <v>588</v>
      </c>
      <c r="D282" s="283">
        <v>43286250</v>
      </c>
      <c r="E282" s="283">
        <v>45450562.5</v>
      </c>
      <c r="F282" s="283">
        <v>48632101.875000007</v>
      </c>
      <c r="G282" s="283">
        <v>53008991.04375001</v>
      </c>
      <c r="H282" s="611" t="s">
        <v>11307</v>
      </c>
      <c r="K282" s="7"/>
      <c r="N282" s="112"/>
    </row>
    <row r="283" spans="1:27">
      <c r="C283" s="7" t="s">
        <v>589</v>
      </c>
      <c r="D283" s="283">
        <v>14428750</v>
      </c>
      <c r="E283" s="283">
        <v>15150187.5</v>
      </c>
      <c r="F283" s="283">
        <v>16210700.625000004</v>
      </c>
      <c r="G283" s="283">
        <v>17669663.681250002</v>
      </c>
      <c r="H283" s="611" t="s">
        <v>11308</v>
      </c>
      <c r="K283" s="7"/>
      <c r="N283" s="112"/>
    </row>
    <row r="284" spans="1:27">
      <c r="C284" s="268"/>
      <c r="D284" s="284"/>
      <c r="E284" s="281"/>
      <c r="F284" s="281"/>
      <c r="G284" s="281"/>
      <c r="H284" s="268"/>
      <c r="K284" s="112"/>
    </row>
    <row r="285" spans="1:27">
      <c r="D285" s="281"/>
      <c r="E285" s="281"/>
      <c r="F285" s="281"/>
      <c r="G285" s="281"/>
      <c r="H285" s="7"/>
      <c r="K285" s="112"/>
    </row>
    <row r="286" spans="1:27" s="11" customFormat="1">
      <c r="B286" s="29" t="s">
        <v>280</v>
      </c>
    </row>
    <row r="287" spans="1:27">
      <c r="A287" s="314"/>
    </row>
    <row r="288" spans="1:27">
      <c r="A288" s="314"/>
      <c r="B288" s="7" t="s">
        <v>13768</v>
      </c>
      <c r="J288" s="7" t="s">
        <v>13769</v>
      </c>
      <c r="K288" s="7"/>
      <c r="R288" s="7" t="s">
        <v>13770</v>
      </c>
      <c r="S288" s="7"/>
      <c r="Z288" s="7" t="s">
        <v>13771</v>
      </c>
      <c r="AA288" s="7"/>
    </row>
    <row r="289" spans="1:32">
      <c r="A289" s="314"/>
      <c r="C289" s="7" t="s">
        <v>281</v>
      </c>
      <c r="D289" s="6" t="s">
        <v>282</v>
      </c>
      <c r="E289" s="610" t="s">
        <v>259</v>
      </c>
      <c r="F289" s="610" t="s">
        <v>260</v>
      </c>
      <c r="G289" s="610" t="s">
        <v>261</v>
      </c>
      <c r="H289" s="610" t="s">
        <v>262</v>
      </c>
      <c r="K289" s="7" t="s">
        <v>281</v>
      </c>
      <c r="L289" s="6" t="s">
        <v>282</v>
      </c>
      <c r="M289" s="610" t="s">
        <v>259</v>
      </c>
      <c r="N289" s="610" t="s">
        <v>260</v>
      </c>
      <c r="O289" s="610" t="s">
        <v>261</v>
      </c>
      <c r="P289" s="610" t="s">
        <v>262</v>
      </c>
      <c r="S289" s="7" t="s">
        <v>281</v>
      </c>
      <c r="T289" s="6" t="s">
        <v>282</v>
      </c>
      <c r="U289" s="610" t="s">
        <v>259</v>
      </c>
      <c r="V289" s="610" t="s">
        <v>260</v>
      </c>
      <c r="W289" s="610" t="s">
        <v>261</v>
      </c>
      <c r="X289" s="610" t="s">
        <v>262</v>
      </c>
      <c r="AA289" s="7" t="s">
        <v>281</v>
      </c>
      <c r="AB289" s="6" t="s">
        <v>282</v>
      </c>
      <c r="AC289" s="610" t="s">
        <v>259</v>
      </c>
      <c r="AD289" s="610" t="s">
        <v>260</v>
      </c>
      <c r="AE289" s="610" t="s">
        <v>261</v>
      </c>
      <c r="AF289" s="610" t="s">
        <v>262</v>
      </c>
    </row>
    <row r="290" spans="1:32">
      <c r="A290" s="314"/>
      <c r="B290" s="6">
        <v>1</v>
      </c>
      <c r="C290" s="121" t="s">
        <v>151</v>
      </c>
      <c r="D290" s="122">
        <v>-1</v>
      </c>
      <c r="E290" s="123">
        <v>20</v>
      </c>
      <c r="F290" s="627">
        <v>20</v>
      </c>
      <c r="G290" s="627">
        <v>20</v>
      </c>
      <c r="H290" s="627">
        <v>20</v>
      </c>
      <c r="J290" s="6">
        <v>1</v>
      </c>
      <c r="K290" s="320" t="s">
        <v>151</v>
      </c>
      <c r="L290" s="122">
        <v>-1</v>
      </c>
      <c r="M290" s="123">
        <v>28</v>
      </c>
      <c r="N290" s="627">
        <v>28</v>
      </c>
      <c r="O290" s="627">
        <v>28</v>
      </c>
      <c r="P290" s="627">
        <v>28</v>
      </c>
      <c r="R290" s="6">
        <v>1</v>
      </c>
      <c r="S290" s="320" t="s">
        <v>151</v>
      </c>
      <c r="T290" s="122">
        <v>-1</v>
      </c>
      <c r="U290" s="123">
        <v>34</v>
      </c>
      <c r="V290" s="627">
        <v>34</v>
      </c>
      <c r="W290" s="627">
        <v>34</v>
      </c>
      <c r="X290" s="627">
        <v>34</v>
      </c>
      <c r="Z290" s="6">
        <v>1</v>
      </c>
      <c r="AA290" s="320" t="s">
        <v>151</v>
      </c>
      <c r="AB290" s="122">
        <v>-1</v>
      </c>
      <c r="AC290" s="123">
        <v>32</v>
      </c>
      <c r="AD290" s="627">
        <v>32</v>
      </c>
      <c r="AE290" s="627">
        <v>32</v>
      </c>
      <c r="AF290" s="627">
        <v>32</v>
      </c>
    </row>
    <row r="291" spans="1:32">
      <c r="A291" s="314"/>
      <c r="B291" s="6">
        <v>2</v>
      </c>
      <c r="C291" s="121" t="s">
        <v>4415</v>
      </c>
      <c r="D291" s="122">
        <v>1</v>
      </c>
      <c r="E291" s="123">
        <v>18</v>
      </c>
      <c r="F291" s="627">
        <v>18</v>
      </c>
      <c r="G291" s="627">
        <v>18</v>
      </c>
      <c r="H291" s="627">
        <v>18</v>
      </c>
      <c r="J291" s="6">
        <v>2</v>
      </c>
      <c r="K291" s="320" t="s">
        <v>4415</v>
      </c>
      <c r="L291" s="122">
        <v>1</v>
      </c>
      <c r="M291" s="123">
        <v>14</v>
      </c>
      <c r="N291" s="627">
        <v>14</v>
      </c>
      <c r="O291" s="627">
        <v>14</v>
      </c>
      <c r="P291" s="627">
        <v>14</v>
      </c>
      <c r="R291" s="6">
        <v>2</v>
      </c>
      <c r="S291" s="320" t="s">
        <v>4415</v>
      </c>
      <c r="T291" s="122">
        <v>1</v>
      </c>
      <c r="U291" s="123">
        <v>12</v>
      </c>
      <c r="V291" s="627">
        <v>12</v>
      </c>
      <c r="W291" s="627">
        <v>12</v>
      </c>
      <c r="X291" s="627">
        <v>12</v>
      </c>
      <c r="Z291" s="6">
        <v>2</v>
      </c>
      <c r="AA291" s="320" t="s">
        <v>4415</v>
      </c>
      <c r="AB291" s="122">
        <v>1</v>
      </c>
      <c r="AC291" s="123">
        <v>8</v>
      </c>
      <c r="AD291" s="627">
        <v>8</v>
      </c>
      <c r="AE291" s="627">
        <v>8</v>
      </c>
      <c r="AF291" s="627">
        <v>8</v>
      </c>
    </row>
    <row r="292" spans="1:32">
      <c r="A292" s="314"/>
      <c r="B292" s="6">
        <v>3</v>
      </c>
      <c r="C292" s="121" t="s">
        <v>4416</v>
      </c>
      <c r="D292" s="122">
        <v>1</v>
      </c>
      <c r="E292" s="123">
        <v>12</v>
      </c>
      <c r="F292" s="627">
        <v>12</v>
      </c>
      <c r="G292" s="627">
        <v>12</v>
      </c>
      <c r="H292" s="627">
        <v>12</v>
      </c>
      <c r="J292" s="6">
        <v>3</v>
      </c>
      <c r="K292" s="320" t="s">
        <v>4416</v>
      </c>
      <c r="L292" s="122">
        <v>1</v>
      </c>
      <c r="M292" s="123">
        <v>12</v>
      </c>
      <c r="N292" s="627">
        <v>12</v>
      </c>
      <c r="O292" s="627">
        <v>12</v>
      </c>
      <c r="P292" s="627">
        <v>12</v>
      </c>
      <c r="R292" s="6">
        <v>3</v>
      </c>
      <c r="S292" s="320" t="s">
        <v>4416</v>
      </c>
      <c r="T292" s="122">
        <v>1</v>
      </c>
      <c r="U292" s="123">
        <v>10</v>
      </c>
      <c r="V292" s="627">
        <v>10</v>
      </c>
      <c r="W292" s="627">
        <v>10</v>
      </c>
      <c r="X292" s="627">
        <v>10</v>
      </c>
      <c r="Z292" s="6">
        <v>3</v>
      </c>
      <c r="AA292" s="320" t="s">
        <v>4416</v>
      </c>
      <c r="AB292" s="122">
        <v>1</v>
      </c>
      <c r="AC292" s="123">
        <v>12</v>
      </c>
      <c r="AD292" s="627">
        <v>12</v>
      </c>
      <c r="AE292" s="627">
        <v>12</v>
      </c>
      <c r="AF292" s="627">
        <v>12</v>
      </c>
    </row>
    <row r="293" spans="1:32">
      <c r="A293" s="314"/>
      <c r="B293" s="6">
        <v>4</v>
      </c>
      <c r="C293" s="121" t="s">
        <v>812</v>
      </c>
      <c r="D293" s="122">
        <v>1</v>
      </c>
      <c r="E293" s="123">
        <v>24</v>
      </c>
      <c r="F293" s="627">
        <v>24</v>
      </c>
      <c r="G293" s="627">
        <v>24</v>
      </c>
      <c r="H293" s="627">
        <v>24</v>
      </c>
      <c r="J293" s="6">
        <v>4</v>
      </c>
      <c r="K293" s="320" t="s">
        <v>812</v>
      </c>
      <c r="L293" s="122">
        <v>1</v>
      </c>
      <c r="M293" s="123">
        <v>18</v>
      </c>
      <c r="N293" s="627">
        <v>18</v>
      </c>
      <c r="O293" s="627">
        <v>18</v>
      </c>
      <c r="P293" s="627">
        <v>18</v>
      </c>
      <c r="R293" s="6">
        <v>4</v>
      </c>
      <c r="S293" s="320" t="s">
        <v>812</v>
      </c>
      <c r="T293" s="122">
        <v>1</v>
      </c>
      <c r="U293" s="123">
        <v>14</v>
      </c>
      <c r="V293" s="627">
        <v>14</v>
      </c>
      <c r="W293" s="627">
        <v>14</v>
      </c>
      <c r="X293" s="627">
        <v>14</v>
      </c>
      <c r="Z293" s="6">
        <v>4</v>
      </c>
      <c r="AA293" s="320" t="s">
        <v>812</v>
      </c>
      <c r="AB293" s="122">
        <v>1</v>
      </c>
      <c r="AC293" s="123">
        <v>18</v>
      </c>
      <c r="AD293" s="627">
        <v>18</v>
      </c>
      <c r="AE293" s="627">
        <v>18</v>
      </c>
      <c r="AF293" s="627">
        <v>18</v>
      </c>
    </row>
    <row r="294" spans="1:32">
      <c r="A294" s="314"/>
      <c r="B294" s="6">
        <v>5</v>
      </c>
      <c r="C294" s="121" t="s">
        <v>5196</v>
      </c>
      <c r="D294" s="122">
        <v>1</v>
      </c>
      <c r="E294" s="123">
        <v>10</v>
      </c>
      <c r="F294" s="627">
        <v>10</v>
      </c>
      <c r="G294" s="627">
        <v>10</v>
      </c>
      <c r="H294" s="627">
        <v>10</v>
      </c>
      <c r="J294" s="6">
        <v>5</v>
      </c>
      <c r="K294" s="320" t="s">
        <v>5196</v>
      </c>
      <c r="L294" s="122">
        <v>1</v>
      </c>
      <c r="M294" s="123">
        <v>6</v>
      </c>
      <c r="N294" s="627">
        <v>6</v>
      </c>
      <c r="O294" s="627">
        <v>6</v>
      </c>
      <c r="P294" s="627">
        <v>6</v>
      </c>
      <c r="R294" s="6">
        <v>5</v>
      </c>
      <c r="S294" s="320" t="s">
        <v>5196</v>
      </c>
      <c r="T294" s="122">
        <v>1</v>
      </c>
      <c r="U294" s="123">
        <v>4</v>
      </c>
      <c r="V294" s="627">
        <v>4</v>
      </c>
      <c r="W294" s="627">
        <v>4</v>
      </c>
      <c r="X294" s="627">
        <v>4</v>
      </c>
      <c r="Z294" s="6">
        <v>5</v>
      </c>
      <c r="AA294" s="320" t="s">
        <v>5196</v>
      </c>
      <c r="AB294" s="122">
        <v>1</v>
      </c>
      <c r="AC294" s="123">
        <v>4</v>
      </c>
      <c r="AD294" s="627">
        <v>4</v>
      </c>
      <c r="AE294" s="627">
        <v>4</v>
      </c>
      <c r="AF294" s="627">
        <v>4</v>
      </c>
    </row>
    <row r="295" spans="1:32">
      <c r="A295" s="314"/>
      <c r="B295" s="6">
        <v>6</v>
      </c>
      <c r="C295" s="121" t="s">
        <v>780</v>
      </c>
      <c r="D295" s="122">
        <v>1</v>
      </c>
      <c r="E295" s="123">
        <v>16</v>
      </c>
      <c r="F295" s="627">
        <v>16</v>
      </c>
      <c r="G295" s="627">
        <v>16</v>
      </c>
      <c r="H295" s="627">
        <v>16</v>
      </c>
      <c r="J295" s="6">
        <v>6</v>
      </c>
      <c r="K295" s="320" t="s">
        <v>780</v>
      </c>
      <c r="L295" s="122">
        <v>1</v>
      </c>
      <c r="M295" s="123">
        <v>22</v>
      </c>
      <c r="N295" s="627">
        <v>22</v>
      </c>
      <c r="O295" s="627">
        <v>22</v>
      </c>
      <c r="P295" s="627">
        <v>22</v>
      </c>
      <c r="R295" s="6">
        <v>6</v>
      </c>
      <c r="S295" s="320" t="s">
        <v>780</v>
      </c>
      <c r="T295" s="122">
        <v>1</v>
      </c>
      <c r="U295" s="123">
        <v>26</v>
      </c>
      <c r="V295" s="627">
        <v>26</v>
      </c>
      <c r="W295" s="627">
        <v>26</v>
      </c>
      <c r="X295" s="627">
        <v>26</v>
      </c>
      <c r="Z295" s="6">
        <v>6</v>
      </c>
      <c r="AA295" s="320" t="s">
        <v>780</v>
      </c>
      <c r="AB295" s="122">
        <v>1</v>
      </c>
      <c r="AC295" s="123">
        <v>26</v>
      </c>
      <c r="AD295" s="627">
        <v>26</v>
      </c>
      <c r="AE295" s="627">
        <v>26</v>
      </c>
      <c r="AF295" s="627">
        <v>26</v>
      </c>
    </row>
    <row r="296" spans="1:32">
      <c r="A296" s="314"/>
      <c r="B296" s="6">
        <v>7</v>
      </c>
      <c r="C296" s="121"/>
      <c r="D296" s="122">
        <v>1</v>
      </c>
      <c r="E296" s="123"/>
      <c r="F296" s="627">
        <v>0</v>
      </c>
      <c r="G296" s="627">
        <v>0</v>
      </c>
      <c r="H296" s="627">
        <v>0</v>
      </c>
      <c r="J296" s="6">
        <v>7</v>
      </c>
      <c r="K296" s="320">
        <v>0</v>
      </c>
      <c r="L296" s="122">
        <v>1</v>
      </c>
      <c r="M296" s="123">
        <v>0</v>
      </c>
      <c r="N296" s="627">
        <v>0</v>
      </c>
      <c r="O296" s="627">
        <v>0</v>
      </c>
      <c r="P296" s="627">
        <v>0</v>
      </c>
      <c r="R296" s="6">
        <v>7</v>
      </c>
      <c r="S296" s="320">
        <v>0</v>
      </c>
      <c r="T296" s="122">
        <v>1</v>
      </c>
      <c r="U296" s="123"/>
      <c r="V296" s="627">
        <v>0</v>
      </c>
      <c r="W296" s="627">
        <v>0</v>
      </c>
      <c r="X296" s="627">
        <v>0</v>
      </c>
      <c r="Z296" s="6">
        <v>7</v>
      </c>
      <c r="AA296" s="320">
        <v>0</v>
      </c>
      <c r="AB296" s="122">
        <v>1</v>
      </c>
      <c r="AC296" s="123"/>
      <c r="AD296" s="627">
        <v>0</v>
      </c>
      <c r="AE296" s="627">
        <v>0</v>
      </c>
      <c r="AF296" s="627">
        <v>0</v>
      </c>
    </row>
    <row r="297" spans="1:32">
      <c r="A297" s="314"/>
      <c r="B297" s="6">
        <v>8</v>
      </c>
      <c r="C297" s="121"/>
      <c r="D297" s="122">
        <v>1</v>
      </c>
      <c r="E297" s="123"/>
      <c r="F297" s="627">
        <v>0</v>
      </c>
      <c r="G297" s="627">
        <v>0</v>
      </c>
      <c r="H297" s="627">
        <v>0</v>
      </c>
      <c r="J297" s="6">
        <v>8</v>
      </c>
      <c r="K297" s="320">
        <v>0</v>
      </c>
      <c r="L297" s="122">
        <v>1</v>
      </c>
      <c r="M297" s="123">
        <v>0</v>
      </c>
      <c r="N297" s="627">
        <v>0</v>
      </c>
      <c r="O297" s="627">
        <v>0</v>
      </c>
      <c r="P297" s="627">
        <v>0</v>
      </c>
      <c r="R297" s="6">
        <v>8</v>
      </c>
      <c r="S297" s="320">
        <v>0</v>
      </c>
      <c r="T297" s="122">
        <v>1</v>
      </c>
      <c r="U297" s="123"/>
      <c r="V297" s="627">
        <v>0</v>
      </c>
      <c r="W297" s="627">
        <v>0</v>
      </c>
      <c r="X297" s="627">
        <v>0</v>
      </c>
      <c r="Z297" s="6">
        <v>8</v>
      </c>
      <c r="AA297" s="320">
        <v>0</v>
      </c>
      <c r="AB297" s="122">
        <v>1</v>
      </c>
      <c r="AC297" s="123"/>
      <c r="AD297" s="627">
        <v>0</v>
      </c>
      <c r="AE297" s="627">
        <v>0</v>
      </c>
      <c r="AF297" s="627">
        <v>0</v>
      </c>
    </row>
    <row r="298" spans="1:32">
      <c r="A298" s="314"/>
      <c r="B298" s="6">
        <v>9</v>
      </c>
      <c r="C298" s="121"/>
      <c r="D298" s="122">
        <v>1</v>
      </c>
      <c r="E298" s="123"/>
      <c r="F298" s="627">
        <v>0</v>
      </c>
      <c r="G298" s="627">
        <v>0</v>
      </c>
      <c r="H298" s="627">
        <v>0</v>
      </c>
      <c r="J298" s="6">
        <v>9</v>
      </c>
      <c r="K298" s="320">
        <v>0</v>
      </c>
      <c r="L298" s="122">
        <v>1</v>
      </c>
      <c r="M298" s="123">
        <v>0</v>
      </c>
      <c r="N298" s="627">
        <v>0</v>
      </c>
      <c r="O298" s="627">
        <v>0</v>
      </c>
      <c r="P298" s="627">
        <v>0</v>
      </c>
      <c r="R298" s="6">
        <v>9</v>
      </c>
      <c r="S298" s="320">
        <v>0</v>
      </c>
      <c r="T298" s="122">
        <v>1</v>
      </c>
      <c r="U298" s="123"/>
      <c r="V298" s="627">
        <v>0</v>
      </c>
      <c r="W298" s="627">
        <v>0</v>
      </c>
      <c r="X298" s="627">
        <v>0</v>
      </c>
      <c r="Z298" s="6">
        <v>9</v>
      </c>
      <c r="AA298" s="320">
        <v>0</v>
      </c>
      <c r="AB298" s="122">
        <v>1</v>
      </c>
      <c r="AC298" s="123"/>
      <c r="AD298" s="627">
        <v>0</v>
      </c>
      <c r="AE298" s="627">
        <v>0</v>
      </c>
      <c r="AF298" s="627">
        <v>0</v>
      </c>
    </row>
    <row r="299" spans="1:32">
      <c r="A299" s="314"/>
      <c r="B299" s="6">
        <v>10</v>
      </c>
      <c r="C299" s="121"/>
      <c r="D299" s="122">
        <v>1</v>
      </c>
      <c r="E299" s="123"/>
      <c r="F299" s="627">
        <v>0</v>
      </c>
      <c r="G299" s="627">
        <v>0</v>
      </c>
      <c r="H299" s="627">
        <v>0</v>
      </c>
      <c r="J299" s="6">
        <v>10</v>
      </c>
      <c r="K299" s="320">
        <v>0</v>
      </c>
      <c r="L299" s="122">
        <v>1</v>
      </c>
      <c r="M299" s="123">
        <v>0</v>
      </c>
      <c r="N299" s="627">
        <v>0</v>
      </c>
      <c r="O299" s="627">
        <v>0</v>
      </c>
      <c r="P299" s="627">
        <v>0</v>
      </c>
      <c r="R299" s="6">
        <v>10</v>
      </c>
      <c r="S299" s="320">
        <v>0</v>
      </c>
      <c r="T299" s="122">
        <v>1</v>
      </c>
      <c r="U299" s="123"/>
      <c r="V299" s="627">
        <v>0</v>
      </c>
      <c r="W299" s="627">
        <v>0</v>
      </c>
      <c r="X299" s="627">
        <v>0</v>
      </c>
      <c r="Z299" s="6">
        <v>10</v>
      </c>
      <c r="AA299" s="320">
        <v>0</v>
      </c>
      <c r="AB299" s="122">
        <v>1</v>
      </c>
      <c r="AC299" s="123"/>
      <c r="AD299" s="627">
        <v>0</v>
      </c>
      <c r="AE299" s="627">
        <v>0</v>
      </c>
      <c r="AF299" s="627">
        <v>0</v>
      </c>
    </row>
    <row r="300" spans="1:32">
      <c r="A300" s="314"/>
      <c r="C300" s="7" t="s">
        <v>814</v>
      </c>
      <c r="E300" s="6">
        <v>100</v>
      </c>
      <c r="F300" s="610">
        <v>100</v>
      </c>
      <c r="G300" s="610">
        <v>100</v>
      </c>
      <c r="H300" s="610">
        <v>100</v>
      </c>
      <c r="K300" s="7" t="s">
        <v>813</v>
      </c>
      <c r="M300" s="6">
        <v>100</v>
      </c>
      <c r="P300" s="610"/>
      <c r="S300" s="7" t="s">
        <v>816</v>
      </c>
      <c r="U300" s="6">
        <v>100</v>
      </c>
      <c r="X300" s="610"/>
      <c r="AA300" s="7" t="s">
        <v>815</v>
      </c>
      <c r="AC300" s="6">
        <v>100</v>
      </c>
      <c r="AF300" s="610"/>
    </row>
    <row r="301" spans="1:32">
      <c r="A301" s="314"/>
      <c r="C301" s="112" t="s">
        <v>283</v>
      </c>
      <c r="H301" s="610"/>
      <c r="J301" s="112" t="s">
        <v>283</v>
      </c>
      <c r="K301" s="112"/>
      <c r="L301" s="112"/>
      <c r="P301" s="610"/>
      <c r="R301" s="112" t="s">
        <v>283</v>
      </c>
      <c r="X301" s="610"/>
      <c r="AA301" s="112" t="s">
        <v>283</v>
      </c>
      <c r="AF301" s="610"/>
    </row>
    <row r="302" spans="1:32">
      <c r="A302" s="314"/>
      <c r="H302" s="610"/>
      <c r="P302" s="610"/>
      <c r="X302" s="610"/>
      <c r="AF302" s="610"/>
    </row>
    <row r="303" spans="1:32">
      <c r="A303" s="314"/>
      <c r="B303" s="7" t="s">
        <v>13772</v>
      </c>
      <c r="H303" s="610"/>
      <c r="J303" s="7" t="s">
        <v>13773</v>
      </c>
      <c r="K303" s="7"/>
      <c r="P303" s="610"/>
      <c r="R303" s="7" t="s">
        <v>13774</v>
      </c>
      <c r="S303" s="7"/>
      <c r="X303" s="610"/>
      <c r="Z303" s="7" t="s">
        <v>13775</v>
      </c>
      <c r="AA303" s="7"/>
      <c r="AF303" s="610"/>
    </row>
    <row r="304" spans="1:32">
      <c r="A304" s="314"/>
      <c r="C304" s="7" t="s">
        <v>281</v>
      </c>
      <c r="D304" s="6" t="s">
        <v>282</v>
      </c>
      <c r="E304" s="610" t="s">
        <v>259</v>
      </c>
      <c r="F304" s="610" t="s">
        <v>260</v>
      </c>
      <c r="G304" s="610" t="s">
        <v>261</v>
      </c>
      <c r="H304" s="610" t="s">
        <v>262</v>
      </c>
      <c r="K304" s="7" t="s">
        <v>281</v>
      </c>
      <c r="L304" s="6" t="s">
        <v>282</v>
      </c>
      <c r="M304" s="610" t="s">
        <v>259</v>
      </c>
      <c r="N304" s="610" t="s">
        <v>260</v>
      </c>
      <c r="O304" s="610" t="s">
        <v>261</v>
      </c>
      <c r="P304" s="610" t="s">
        <v>262</v>
      </c>
      <c r="S304" s="7" t="s">
        <v>281</v>
      </c>
      <c r="T304" s="6" t="s">
        <v>282</v>
      </c>
      <c r="U304" s="610" t="s">
        <v>259</v>
      </c>
      <c r="V304" s="610" t="s">
        <v>260</v>
      </c>
      <c r="W304" s="610" t="s">
        <v>261</v>
      </c>
      <c r="X304" s="610" t="s">
        <v>262</v>
      </c>
      <c r="AA304" s="7" t="s">
        <v>281</v>
      </c>
      <c r="AB304" s="6" t="s">
        <v>282</v>
      </c>
      <c r="AC304" s="610" t="s">
        <v>259</v>
      </c>
      <c r="AD304" s="610" t="s">
        <v>260</v>
      </c>
      <c r="AE304" s="610" t="s">
        <v>261</v>
      </c>
      <c r="AF304" s="610" t="s">
        <v>262</v>
      </c>
    </row>
    <row r="305" spans="1:32">
      <c r="A305" s="314"/>
      <c r="B305" s="6">
        <v>1</v>
      </c>
      <c r="C305" s="320" t="s">
        <v>151</v>
      </c>
      <c r="D305" s="122">
        <v>-1</v>
      </c>
      <c r="E305" s="123">
        <v>20</v>
      </c>
      <c r="F305" s="627">
        <v>20</v>
      </c>
      <c r="G305" s="627">
        <v>20</v>
      </c>
      <c r="H305" s="627">
        <v>20</v>
      </c>
      <c r="J305" s="6">
        <v>1</v>
      </c>
      <c r="K305" s="320" t="s">
        <v>151</v>
      </c>
      <c r="L305" s="122">
        <v>-1</v>
      </c>
      <c r="M305" s="627">
        <v>28</v>
      </c>
      <c r="N305" s="627">
        <v>28</v>
      </c>
      <c r="O305" s="627">
        <v>28</v>
      </c>
      <c r="P305" s="627">
        <v>28</v>
      </c>
      <c r="R305" s="6">
        <v>1</v>
      </c>
      <c r="S305" s="320" t="s">
        <v>151</v>
      </c>
      <c r="T305" s="122">
        <v>-1</v>
      </c>
      <c r="U305" s="627">
        <v>34</v>
      </c>
      <c r="V305" s="627">
        <v>34</v>
      </c>
      <c r="W305" s="627">
        <v>34</v>
      </c>
      <c r="X305" s="627">
        <v>34</v>
      </c>
      <c r="Z305" s="6">
        <v>1</v>
      </c>
      <c r="AA305" s="320" t="s">
        <v>151</v>
      </c>
      <c r="AB305" s="122">
        <v>-1</v>
      </c>
      <c r="AC305" s="627">
        <v>32</v>
      </c>
      <c r="AD305" s="627">
        <v>32</v>
      </c>
      <c r="AE305" s="627">
        <v>32</v>
      </c>
      <c r="AF305" s="627">
        <v>32</v>
      </c>
    </row>
    <row r="306" spans="1:32">
      <c r="A306" s="314"/>
      <c r="B306" s="6">
        <v>2</v>
      </c>
      <c r="C306" s="320" t="s">
        <v>4415</v>
      </c>
      <c r="D306" s="122">
        <v>1</v>
      </c>
      <c r="E306" s="627">
        <v>18</v>
      </c>
      <c r="F306" s="627">
        <v>18</v>
      </c>
      <c r="G306" s="627">
        <v>18</v>
      </c>
      <c r="H306" s="627">
        <v>18</v>
      </c>
      <c r="J306" s="6">
        <v>2</v>
      </c>
      <c r="K306" s="320" t="s">
        <v>4415</v>
      </c>
      <c r="L306" s="122">
        <v>1</v>
      </c>
      <c r="M306" s="627">
        <v>14</v>
      </c>
      <c r="N306" s="627">
        <v>14</v>
      </c>
      <c r="O306" s="627">
        <v>14</v>
      </c>
      <c r="P306" s="627">
        <v>14</v>
      </c>
      <c r="R306" s="6">
        <v>2</v>
      </c>
      <c r="S306" s="320" t="s">
        <v>4415</v>
      </c>
      <c r="T306" s="122">
        <v>1</v>
      </c>
      <c r="U306" s="627">
        <v>12</v>
      </c>
      <c r="V306" s="627">
        <v>12</v>
      </c>
      <c r="W306" s="627">
        <v>12</v>
      </c>
      <c r="X306" s="627">
        <v>12</v>
      </c>
      <c r="Z306" s="6">
        <v>2</v>
      </c>
      <c r="AA306" s="320" t="s">
        <v>4415</v>
      </c>
      <c r="AB306" s="122">
        <v>1</v>
      </c>
      <c r="AC306" s="627">
        <v>8</v>
      </c>
      <c r="AD306" s="627">
        <v>8</v>
      </c>
      <c r="AE306" s="627">
        <v>8</v>
      </c>
      <c r="AF306" s="627">
        <v>8</v>
      </c>
    </row>
    <row r="307" spans="1:32">
      <c r="A307" s="314"/>
      <c r="B307" s="6">
        <v>3</v>
      </c>
      <c r="C307" s="320" t="s">
        <v>4416</v>
      </c>
      <c r="D307" s="122">
        <v>1</v>
      </c>
      <c r="E307" s="627">
        <v>12</v>
      </c>
      <c r="F307" s="627">
        <v>12</v>
      </c>
      <c r="G307" s="627">
        <v>12</v>
      </c>
      <c r="H307" s="627">
        <v>12</v>
      </c>
      <c r="J307" s="6">
        <v>3</v>
      </c>
      <c r="K307" s="320" t="s">
        <v>4416</v>
      </c>
      <c r="L307" s="122">
        <v>1</v>
      </c>
      <c r="M307" s="627">
        <v>12</v>
      </c>
      <c r="N307" s="627">
        <v>12</v>
      </c>
      <c r="O307" s="627">
        <v>12</v>
      </c>
      <c r="P307" s="627">
        <v>12</v>
      </c>
      <c r="R307" s="6">
        <v>3</v>
      </c>
      <c r="S307" s="320" t="s">
        <v>4416</v>
      </c>
      <c r="T307" s="122">
        <v>1</v>
      </c>
      <c r="U307" s="627">
        <v>10</v>
      </c>
      <c r="V307" s="627">
        <v>10</v>
      </c>
      <c r="W307" s="627">
        <v>10</v>
      </c>
      <c r="X307" s="627">
        <v>10</v>
      </c>
      <c r="Z307" s="6">
        <v>3</v>
      </c>
      <c r="AA307" s="320" t="s">
        <v>4416</v>
      </c>
      <c r="AB307" s="122">
        <v>1</v>
      </c>
      <c r="AC307" s="627">
        <v>12</v>
      </c>
      <c r="AD307" s="627">
        <v>12</v>
      </c>
      <c r="AE307" s="627">
        <v>12</v>
      </c>
      <c r="AF307" s="627">
        <v>12</v>
      </c>
    </row>
    <row r="308" spans="1:32">
      <c r="A308" s="314"/>
      <c r="B308" s="6">
        <v>4</v>
      </c>
      <c r="C308" s="320" t="s">
        <v>812</v>
      </c>
      <c r="D308" s="122">
        <v>1</v>
      </c>
      <c r="E308" s="627">
        <v>24</v>
      </c>
      <c r="F308" s="627">
        <v>24</v>
      </c>
      <c r="G308" s="627">
        <v>24</v>
      </c>
      <c r="H308" s="627">
        <v>24</v>
      </c>
      <c r="J308" s="6">
        <v>4</v>
      </c>
      <c r="K308" s="320" t="s">
        <v>812</v>
      </c>
      <c r="L308" s="122">
        <v>1</v>
      </c>
      <c r="M308" s="627">
        <v>18</v>
      </c>
      <c r="N308" s="627">
        <v>18</v>
      </c>
      <c r="O308" s="627">
        <v>18</v>
      </c>
      <c r="P308" s="627">
        <v>18</v>
      </c>
      <c r="R308" s="6">
        <v>4</v>
      </c>
      <c r="S308" s="320" t="s">
        <v>812</v>
      </c>
      <c r="T308" s="122">
        <v>1</v>
      </c>
      <c r="U308" s="627">
        <v>14</v>
      </c>
      <c r="V308" s="627">
        <v>14</v>
      </c>
      <c r="W308" s="627">
        <v>14</v>
      </c>
      <c r="X308" s="627">
        <v>14</v>
      </c>
      <c r="Z308" s="6">
        <v>4</v>
      </c>
      <c r="AA308" s="320" t="s">
        <v>812</v>
      </c>
      <c r="AB308" s="122">
        <v>1</v>
      </c>
      <c r="AC308" s="627">
        <v>18</v>
      </c>
      <c r="AD308" s="627">
        <v>18</v>
      </c>
      <c r="AE308" s="627">
        <v>18</v>
      </c>
      <c r="AF308" s="627">
        <v>18</v>
      </c>
    </row>
    <row r="309" spans="1:32">
      <c r="A309" s="314"/>
      <c r="B309" s="6">
        <v>5</v>
      </c>
      <c r="C309" s="320" t="s">
        <v>5196</v>
      </c>
      <c r="D309" s="122">
        <v>1</v>
      </c>
      <c r="E309" s="627">
        <v>10</v>
      </c>
      <c r="F309" s="627">
        <v>10</v>
      </c>
      <c r="G309" s="627">
        <v>10</v>
      </c>
      <c r="H309" s="627">
        <v>10</v>
      </c>
      <c r="J309" s="6">
        <v>5</v>
      </c>
      <c r="K309" s="320" t="s">
        <v>5196</v>
      </c>
      <c r="L309" s="122">
        <v>1</v>
      </c>
      <c r="M309" s="627">
        <v>6</v>
      </c>
      <c r="N309" s="627">
        <v>6</v>
      </c>
      <c r="O309" s="627">
        <v>6</v>
      </c>
      <c r="P309" s="627">
        <v>6</v>
      </c>
      <c r="R309" s="6">
        <v>5</v>
      </c>
      <c r="S309" s="320" t="s">
        <v>5196</v>
      </c>
      <c r="T309" s="122">
        <v>1</v>
      </c>
      <c r="U309" s="627">
        <v>4</v>
      </c>
      <c r="V309" s="627">
        <v>4</v>
      </c>
      <c r="W309" s="627">
        <v>4</v>
      </c>
      <c r="X309" s="627">
        <v>4</v>
      </c>
      <c r="Z309" s="6">
        <v>5</v>
      </c>
      <c r="AA309" s="320" t="s">
        <v>5196</v>
      </c>
      <c r="AB309" s="122">
        <v>1</v>
      </c>
      <c r="AC309" s="627">
        <v>4</v>
      </c>
      <c r="AD309" s="627">
        <v>4</v>
      </c>
      <c r="AE309" s="627">
        <v>4</v>
      </c>
      <c r="AF309" s="627">
        <v>4</v>
      </c>
    </row>
    <row r="310" spans="1:32">
      <c r="A310" s="314"/>
      <c r="B310" s="6">
        <v>6</v>
      </c>
      <c r="C310" s="320" t="s">
        <v>780</v>
      </c>
      <c r="D310" s="122">
        <v>1</v>
      </c>
      <c r="E310" s="627">
        <v>16</v>
      </c>
      <c r="F310" s="627">
        <v>16</v>
      </c>
      <c r="G310" s="627">
        <v>16</v>
      </c>
      <c r="H310" s="627">
        <v>16</v>
      </c>
      <c r="J310" s="6">
        <v>6</v>
      </c>
      <c r="K310" s="320" t="s">
        <v>780</v>
      </c>
      <c r="L310" s="122">
        <v>1</v>
      </c>
      <c r="M310" s="627">
        <v>22</v>
      </c>
      <c r="N310" s="627">
        <v>22</v>
      </c>
      <c r="O310" s="627">
        <v>22</v>
      </c>
      <c r="P310" s="627">
        <v>22</v>
      </c>
      <c r="R310" s="6">
        <v>6</v>
      </c>
      <c r="S310" s="320" t="s">
        <v>780</v>
      </c>
      <c r="T310" s="122">
        <v>1</v>
      </c>
      <c r="U310" s="627">
        <v>26</v>
      </c>
      <c r="V310" s="627">
        <v>26</v>
      </c>
      <c r="W310" s="627">
        <v>26</v>
      </c>
      <c r="X310" s="627">
        <v>26</v>
      </c>
      <c r="Z310" s="6">
        <v>6</v>
      </c>
      <c r="AA310" s="320" t="s">
        <v>780</v>
      </c>
      <c r="AB310" s="122">
        <v>1</v>
      </c>
      <c r="AC310" s="627">
        <v>26</v>
      </c>
      <c r="AD310" s="627">
        <v>26</v>
      </c>
      <c r="AE310" s="627">
        <v>26</v>
      </c>
      <c r="AF310" s="627">
        <v>26</v>
      </c>
    </row>
    <row r="311" spans="1:32">
      <c r="A311" s="314"/>
      <c r="B311" s="6">
        <v>7</v>
      </c>
      <c r="C311" s="320">
        <v>0</v>
      </c>
      <c r="D311" s="122">
        <v>1</v>
      </c>
      <c r="E311" s="123"/>
      <c r="F311" s="627">
        <v>0</v>
      </c>
      <c r="G311" s="627">
        <v>0</v>
      </c>
      <c r="H311" s="627">
        <v>0</v>
      </c>
      <c r="J311" s="6">
        <v>7</v>
      </c>
      <c r="K311" s="320">
        <v>0</v>
      </c>
      <c r="L311" s="122">
        <v>1</v>
      </c>
      <c r="M311" s="627"/>
      <c r="N311" s="627">
        <v>0</v>
      </c>
      <c r="O311" s="627">
        <v>0</v>
      </c>
      <c r="P311" s="627">
        <v>0</v>
      </c>
      <c r="R311" s="6">
        <v>7</v>
      </c>
      <c r="S311" s="320">
        <v>0</v>
      </c>
      <c r="T311" s="122">
        <v>1</v>
      </c>
      <c r="U311" s="627"/>
      <c r="V311" s="627">
        <v>0</v>
      </c>
      <c r="W311" s="627">
        <v>0</v>
      </c>
      <c r="X311" s="627">
        <v>0</v>
      </c>
      <c r="Z311" s="6">
        <v>7</v>
      </c>
      <c r="AA311" s="320">
        <v>0</v>
      </c>
      <c r="AB311" s="122">
        <v>1</v>
      </c>
      <c r="AC311" s="627"/>
      <c r="AD311" s="627">
        <v>0</v>
      </c>
      <c r="AE311" s="627">
        <v>0</v>
      </c>
      <c r="AF311" s="627">
        <v>0</v>
      </c>
    </row>
    <row r="312" spans="1:32">
      <c r="A312" s="314"/>
      <c r="B312" s="6">
        <v>8</v>
      </c>
      <c r="C312" s="320">
        <v>0</v>
      </c>
      <c r="D312" s="122">
        <v>1</v>
      </c>
      <c r="E312" s="123"/>
      <c r="F312" s="627">
        <v>0</v>
      </c>
      <c r="G312" s="627">
        <v>0</v>
      </c>
      <c r="H312" s="627">
        <v>0</v>
      </c>
      <c r="J312" s="6">
        <v>8</v>
      </c>
      <c r="K312" s="320">
        <v>0</v>
      </c>
      <c r="L312" s="122">
        <v>1</v>
      </c>
      <c r="M312" s="627"/>
      <c r="N312" s="627">
        <v>0</v>
      </c>
      <c r="O312" s="627">
        <v>0</v>
      </c>
      <c r="P312" s="627">
        <v>0</v>
      </c>
      <c r="R312" s="6">
        <v>8</v>
      </c>
      <c r="S312" s="320">
        <v>0</v>
      </c>
      <c r="T312" s="122">
        <v>1</v>
      </c>
      <c r="U312" s="627"/>
      <c r="V312" s="627">
        <v>0</v>
      </c>
      <c r="W312" s="627">
        <v>0</v>
      </c>
      <c r="X312" s="627">
        <v>0</v>
      </c>
      <c r="Z312" s="6">
        <v>8</v>
      </c>
      <c r="AA312" s="320">
        <v>0</v>
      </c>
      <c r="AB312" s="122">
        <v>1</v>
      </c>
      <c r="AC312" s="627"/>
      <c r="AD312" s="627">
        <v>0</v>
      </c>
      <c r="AE312" s="627">
        <v>0</v>
      </c>
      <c r="AF312" s="627">
        <v>0</v>
      </c>
    </row>
    <row r="313" spans="1:32">
      <c r="A313" s="314"/>
      <c r="B313" s="6">
        <v>9</v>
      </c>
      <c r="C313" s="320">
        <v>0</v>
      </c>
      <c r="D313" s="122">
        <v>1</v>
      </c>
      <c r="E313" s="123"/>
      <c r="F313" s="627">
        <v>0</v>
      </c>
      <c r="G313" s="627">
        <v>0</v>
      </c>
      <c r="H313" s="627">
        <v>0</v>
      </c>
      <c r="J313" s="6">
        <v>9</v>
      </c>
      <c r="K313" s="320">
        <v>0</v>
      </c>
      <c r="L313" s="122">
        <v>1</v>
      </c>
      <c r="M313" s="627"/>
      <c r="N313" s="627">
        <v>0</v>
      </c>
      <c r="O313" s="627">
        <v>0</v>
      </c>
      <c r="P313" s="627">
        <v>0</v>
      </c>
      <c r="R313" s="6">
        <v>9</v>
      </c>
      <c r="S313" s="320">
        <v>0</v>
      </c>
      <c r="T313" s="122">
        <v>1</v>
      </c>
      <c r="U313" s="627"/>
      <c r="V313" s="627">
        <v>0</v>
      </c>
      <c r="W313" s="627">
        <v>0</v>
      </c>
      <c r="X313" s="627">
        <v>0</v>
      </c>
      <c r="Z313" s="6">
        <v>9</v>
      </c>
      <c r="AA313" s="320">
        <v>0</v>
      </c>
      <c r="AB313" s="122">
        <v>1</v>
      </c>
      <c r="AC313" s="627"/>
      <c r="AD313" s="627">
        <v>0</v>
      </c>
      <c r="AE313" s="627">
        <v>0</v>
      </c>
      <c r="AF313" s="627">
        <v>0</v>
      </c>
    </row>
    <row r="314" spans="1:32">
      <c r="A314" s="314"/>
      <c r="B314" s="6">
        <v>10</v>
      </c>
      <c r="C314" s="320">
        <v>0</v>
      </c>
      <c r="D314" s="122">
        <v>1</v>
      </c>
      <c r="E314" s="123"/>
      <c r="F314" s="627">
        <v>0</v>
      </c>
      <c r="G314" s="627">
        <v>0</v>
      </c>
      <c r="H314" s="627">
        <v>0</v>
      </c>
      <c r="J314" s="6">
        <v>10</v>
      </c>
      <c r="K314" s="320">
        <v>0</v>
      </c>
      <c r="L314" s="122">
        <v>1</v>
      </c>
      <c r="M314" s="627"/>
      <c r="N314" s="627">
        <v>0</v>
      </c>
      <c r="O314" s="627">
        <v>0</v>
      </c>
      <c r="P314" s="627">
        <v>0</v>
      </c>
      <c r="R314" s="6">
        <v>10</v>
      </c>
      <c r="S314" s="320">
        <v>0</v>
      </c>
      <c r="T314" s="122">
        <v>1</v>
      </c>
      <c r="U314" s="627"/>
      <c r="V314" s="627">
        <v>0</v>
      </c>
      <c r="W314" s="627">
        <v>0</v>
      </c>
      <c r="X314" s="627">
        <v>0</v>
      </c>
      <c r="Z314" s="6">
        <v>10</v>
      </c>
      <c r="AA314" s="320">
        <v>0</v>
      </c>
      <c r="AB314" s="122">
        <v>1</v>
      </c>
      <c r="AC314" s="627"/>
      <c r="AD314" s="627">
        <v>0</v>
      </c>
      <c r="AE314" s="627">
        <v>0</v>
      </c>
      <c r="AF314" s="627">
        <v>0</v>
      </c>
    </row>
    <row r="315" spans="1:32">
      <c r="A315" s="314"/>
      <c r="C315" s="7" t="s">
        <v>817</v>
      </c>
      <c r="H315" s="610"/>
      <c r="K315" s="7" t="s">
        <v>818</v>
      </c>
      <c r="M315" s="610"/>
      <c r="N315" s="610"/>
      <c r="O315" s="610"/>
      <c r="P315" s="610"/>
      <c r="S315" s="7" t="s">
        <v>819</v>
      </c>
      <c r="U315" s="610"/>
      <c r="V315" s="610"/>
      <c r="W315" s="610"/>
      <c r="X315" s="610"/>
      <c r="AA315" s="7" t="s">
        <v>820</v>
      </c>
      <c r="AC315" s="610"/>
      <c r="AD315" s="610"/>
      <c r="AE315" s="610"/>
      <c r="AF315" s="610"/>
    </row>
    <row r="316" spans="1:32">
      <c r="A316" s="314"/>
      <c r="C316" s="112" t="s">
        <v>283</v>
      </c>
      <c r="H316" s="610"/>
      <c r="J316" s="112" t="s">
        <v>283</v>
      </c>
      <c r="K316" s="112"/>
      <c r="L316" s="112"/>
      <c r="M316" s="610"/>
      <c r="N316" s="610"/>
      <c r="O316" s="610"/>
      <c r="P316" s="610"/>
      <c r="R316" s="112" t="s">
        <v>283</v>
      </c>
      <c r="U316" s="610"/>
      <c r="V316" s="610"/>
      <c r="W316" s="610"/>
      <c r="X316" s="610"/>
      <c r="AA316" s="112" t="s">
        <v>283</v>
      </c>
      <c r="AC316" s="610"/>
      <c r="AD316" s="610"/>
      <c r="AE316" s="610"/>
      <c r="AF316" s="610"/>
    </row>
    <row r="317" spans="1:32">
      <c r="A317" s="314"/>
      <c r="H317" s="610"/>
      <c r="M317" s="610"/>
      <c r="N317" s="610"/>
      <c r="O317" s="610"/>
      <c r="P317" s="610"/>
      <c r="U317" s="610"/>
      <c r="V317" s="610"/>
      <c r="W317" s="610"/>
      <c r="X317" s="610"/>
      <c r="AC317" s="610"/>
      <c r="AD317" s="610"/>
      <c r="AE317" s="610"/>
      <c r="AF317" s="610"/>
    </row>
    <row r="318" spans="1:32">
      <c r="A318" s="314"/>
      <c r="B318" s="7" t="s">
        <v>13776</v>
      </c>
      <c r="H318" s="610"/>
      <c r="J318" s="7" t="s">
        <v>13777</v>
      </c>
      <c r="K318" s="7"/>
      <c r="M318" s="610"/>
      <c r="N318" s="610"/>
      <c r="O318" s="610"/>
      <c r="P318" s="610"/>
      <c r="R318" s="7" t="s">
        <v>13778</v>
      </c>
      <c r="S318" s="7"/>
      <c r="U318" s="610"/>
      <c r="V318" s="610"/>
      <c r="W318" s="610"/>
      <c r="X318" s="610"/>
      <c r="Z318" s="7" t="s">
        <v>13779</v>
      </c>
      <c r="AA318" s="7"/>
      <c r="AC318" s="610"/>
      <c r="AD318" s="610"/>
      <c r="AE318" s="610"/>
      <c r="AF318" s="610"/>
    </row>
    <row r="319" spans="1:32">
      <c r="A319" s="314"/>
      <c r="C319" s="7" t="s">
        <v>281</v>
      </c>
      <c r="D319" s="6" t="s">
        <v>282</v>
      </c>
      <c r="E319" s="610" t="s">
        <v>259</v>
      </c>
      <c r="F319" s="610" t="s">
        <v>260</v>
      </c>
      <c r="G319" s="610" t="s">
        <v>261</v>
      </c>
      <c r="H319" s="610" t="s">
        <v>262</v>
      </c>
      <c r="K319" s="7" t="s">
        <v>281</v>
      </c>
      <c r="L319" s="6" t="s">
        <v>282</v>
      </c>
      <c r="M319" s="610" t="s">
        <v>259</v>
      </c>
      <c r="N319" s="610" t="s">
        <v>260</v>
      </c>
      <c r="O319" s="610" t="s">
        <v>261</v>
      </c>
      <c r="P319" s="610" t="s">
        <v>262</v>
      </c>
      <c r="S319" s="7" t="s">
        <v>281</v>
      </c>
      <c r="T319" s="6" t="s">
        <v>282</v>
      </c>
      <c r="U319" s="610" t="s">
        <v>259</v>
      </c>
      <c r="V319" s="610" t="s">
        <v>260</v>
      </c>
      <c r="W319" s="610" t="s">
        <v>261</v>
      </c>
      <c r="X319" s="610" t="s">
        <v>262</v>
      </c>
      <c r="AA319" s="7" t="s">
        <v>281</v>
      </c>
      <c r="AB319" s="6" t="s">
        <v>282</v>
      </c>
      <c r="AC319" s="610" t="s">
        <v>259</v>
      </c>
      <c r="AD319" s="610" t="s">
        <v>260</v>
      </c>
      <c r="AE319" s="610" t="s">
        <v>261</v>
      </c>
      <c r="AF319" s="610" t="s">
        <v>262</v>
      </c>
    </row>
    <row r="320" spans="1:32">
      <c r="A320" s="314"/>
      <c r="B320" s="6">
        <v>1</v>
      </c>
      <c r="C320" s="320" t="s">
        <v>151</v>
      </c>
      <c r="D320" s="122">
        <v>-1</v>
      </c>
      <c r="E320" s="627">
        <v>20</v>
      </c>
      <c r="F320" s="627">
        <v>20</v>
      </c>
      <c r="G320" s="627">
        <v>20</v>
      </c>
      <c r="H320" s="627">
        <v>20</v>
      </c>
      <c r="J320" s="6">
        <v>1</v>
      </c>
      <c r="K320" s="320" t="s">
        <v>151</v>
      </c>
      <c r="L320" s="122">
        <v>-1</v>
      </c>
      <c r="M320" s="627">
        <v>28</v>
      </c>
      <c r="N320" s="627">
        <v>28</v>
      </c>
      <c r="O320" s="627">
        <v>28</v>
      </c>
      <c r="P320" s="627">
        <v>28</v>
      </c>
      <c r="R320" s="6">
        <v>1</v>
      </c>
      <c r="S320" s="320" t="s">
        <v>151</v>
      </c>
      <c r="T320" s="122">
        <v>-1</v>
      </c>
      <c r="U320" s="627">
        <v>34</v>
      </c>
      <c r="V320" s="627">
        <v>34</v>
      </c>
      <c r="W320" s="627">
        <v>34</v>
      </c>
      <c r="X320" s="627">
        <v>34</v>
      </c>
      <c r="Z320" s="6">
        <v>1</v>
      </c>
      <c r="AA320" s="320" t="s">
        <v>151</v>
      </c>
      <c r="AB320" s="122">
        <v>-1</v>
      </c>
      <c r="AC320" s="627">
        <v>32</v>
      </c>
      <c r="AD320" s="627">
        <v>32</v>
      </c>
      <c r="AE320" s="627">
        <v>32</v>
      </c>
      <c r="AF320" s="627">
        <v>32</v>
      </c>
    </row>
    <row r="321" spans="1:32">
      <c r="A321" s="314"/>
      <c r="B321" s="6">
        <v>2</v>
      </c>
      <c r="C321" s="320" t="s">
        <v>4415</v>
      </c>
      <c r="D321" s="122">
        <v>1</v>
      </c>
      <c r="E321" s="123">
        <v>18</v>
      </c>
      <c r="F321" s="627">
        <v>18</v>
      </c>
      <c r="G321" s="627">
        <v>18</v>
      </c>
      <c r="H321" s="627">
        <v>18</v>
      </c>
      <c r="J321" s="6">
        <v>2</v>
      </c>
      <c r="K321" s="320" t="s">
        <v>4415</v>
      </c>
      <c r="L321" s="122">
        <v>1</v>
      </c>
      <c r="M321" s="627">
        <v>14</v>
      </c>
      <c r="N321" s="627">
        <v>14</v>
      </c>
      <c r="O321" s="627">
        <v>14</v>
      </c>
      <c r="P321" s="627">
        <v>14</v>
      </c>
      <c r="R321" s="6">
        <v>2</v>
      </c>
      <c r="S321" s="320" t="s">
        <v>4415</v>
      </c>
      <c r="T321" s="122">
        <v>1</v>
      </c>
      <c r="U321" s="627">
        <v>12</v>
      </c>
      <c r="V321" s="627">
        <v>12</v>
      </c>
      <c r="W321" s="627">
        <v>12</v>
      </c>
      <c r="X321" s="627">
        <v>12</v>
      </c>
      <c r="Z321" s="6">
        <v>2</v>
      </c>
      <c r="AA321" s="320" t="s">
        <v>4415</v>
      </c>
      <c r="AB321" s="122">
        <v>1</v>
      </c>
      <c r="AC321" s="627">
        <v>8</v>
      </c>
      <c r="AD321" s="627">
        <v>8</v>
      </c>
      <c r="AE321" s="627">
        <v>8</v>
      </c>
      <c r="AF321" s="627">
        <v>8</v>
      </c>
    </row>
    <row r="322" spans="1:32">
      <c r="A322" s="314"/>
      <c r="B322" s="6">
        <v>3</v>
      </c>
      <c r="C322" s="320" t="s">
        <v>4416</v>
      </c>
      <c r="D322" s="122">
        <v>1</v>
      </c>
      <c r="E322" s="627">
        <v>12</v>
      </c>
      <c r="F322" s="627">
        <v>12</v>
      </c>
      <c r="G322" s="627">
        <v>12</v>
      </c>
      <c r="H322" s="627">
        <v>12</v>
      </c>
      <c r="J322" s="6">
        <v>3</v>
      </c>
      <c r="K322" s="320" t="s">
        <v>4416</v>
      </c>
      <c r="L322" s="122">
        <v>1</v>
      </c>
      <c r="M322" s="627">
        <v>12</v>
      </c>
      <c r="N322" s="627">
        <v>12</v>
      </c>
      <c r="O322" s="627">
        <v>12</v>
      </c>
      <c r="P322" s="627">
        <v>12</v>
      </c>
      <c r="R322" s="6">
        <v>3</v>
      </c>
      <c r="S322" s="320" t="s">
        <v>4416</v>
      </c>
      <c r="T322" s="122">
        <v>1</v>
      </c>
      <c r="U322" s="627">
        <v>10</v>
      </c>
      <c r="V322" s="627">
        <v>10</v>
      </c>
      <c r="W322" s="627">
        <v>10</v>
      </c>
      <c r="X322" s="627">
        <v>10</v>
      </c>
      <c r="Z322" s="6">
        <v>3</v>
      </c>
      <c r="AA322" s="320" t="s">
        <v>4416</v>
      </c>
      <c r="AB322" s="122">
        <v>1</v>
      </c>
      <c r="AC322" s="627">
        <v>12</v>
      </c>
      <c r="AD322" s="627">
        <v>12</v>
      </c>
      <c r="AE322" s="627">
        <v>12</v>
      </c>
      <c r="AF322" s="627">
        <v>12</v>
      </c>
    </row>
    <row r="323" spans="1:32">
      <c r="A323" s="314"/>
      <c r="B323" s="6">
        <v>4</v>
      </c>
      <c r="C323" s="320" t="s">
        <v>812</v>
      </c>
      <c r="D323" s="122">
        <v>1</v>
      </c>
      <c r="E323" s="627">
        <v>24</v>
      </c>
      <c r="F323" s="627">
        <v>24</v>
      </c>
      <c r="G323" s="627">
        <v>24</v>
      </c>
      <c r="H323" s="627">
        <v>24</v>
      </c>
      <c r="J323" s="6">
        <v>4</v>
      </c>
      <c r="K323" s="320" t="s">
        <v>812</v>
      </c>
      <c r="L323" s="122">
        <v>1</v>
      </c>
      <c r="M323" s="627">
        <v>18</v>
      </c>
      <c r="N323" s="627">
        <v>18</v>
      </c>
      <c r="O323" s="627">
        <v>18</v>
      </c>
      <c r="P323" s="627">
        <v>18</v>
      </c>
      <c r="R323" s="6">
        <v>4</v>
      </c>
      <c r="S323" s="320" t="s">
        <v>812</v>
      </c>
      <c r="T323" s="122">
        <v>1</v>
      </c>
      <c r="U323" s="627">
        <v>14</v>
      </c>
      <c r="V323" s="627">
        <v>14</v>
      </c>
      <c r="W323" s="627">
        <v>14</v>
      </c>
      <c r="X323" s="627">
        <v>14</v>
      </c>
      <c r="Z323" s="6">
        <v>4</v>
      </c>
      <c r="AA323" s="320" t="s">
        <v>812</v>
      </c>
      <c r="AB323" s="122">
        <v>1</v>
      </c>
      <c r="AC323" s="627">
        <v>18</v>
      </c>
      <c r="AD323" s="627">
        <v>18</v>
      </c>
      <c r="AE323" s="627">
        <v>18</v>
      </c>
      <c r="AF323" s="627">
        <v>18</v>
      </c>
    </row>
    <row r="324" spans="1:32">
      <c r="A324" s="314"/>
      <c r="B324" s="6">
        <v>5</v>
      </c>
      <c r="C324" s="320" t="s">
        <v>5196</v>
      </c>
      <c r="D324" s="122">
        <v>1</v>
      </c>
      <c r="E324" s="627">
        <v>10</v>
      </c>
      <c r="F324" s="627">
        <v>10</v>
      </c>
      <c r="G324" s="627">
        <v>10</v>
      </c>
      <c r="H324" s="627">
        <v>10</v>
      </c>
      <c r="J324" s="6">
        <v>5</v>
      </c>
      <c r="K324" s="320" t="s">
        <v>5196</v>
      </c>
      <c r="L324" s="122">
        <v>1</v>
      </c>
      <c r="M324" s="627">
        <v>6</v>
      </c>
      <c r="N324" s="627">
        <v>6</v>
      </c>
      <c r="O324" s="627">
        <v>6</v>
      </c>
      <c r="P324" s="627">
        <v>6</v>
      </c>
      <c r="R324" s="6">
        <v>5</v>
      </c>
      <c r="S324" s="320" t="s">
        <v>5196</v>
      </c>
      <c r="T324" s="122">
        <v>1</v>
      </c>
      <c r="U324" s="627">
        <v>4</v>
      </c>
      <c r="V324" s="627">
        <v>4</v>
      </c>
      <c r="W324" s="627">
        <v>4</v>
      </c>
      <c r="X324" s="627">
        <v>4</v>
      </c>
      <c r="Z324" s="6">
        <v>5</v>
      </c>
      <c r="AA324" s="320" t="s">
        <v>5196</v>
      </c>
      <c r="AB324" s="122">
        <v>1</v>
      </c>
      <c r="AC324" s="627">
        <v>4</v>
      </c>
      <c r="AD324" s="627">
        <v>4</v>
      </c>
      <c r="AE324" s="627">
        <v>4</v>
      </c>
      <c r="AF324" s="627">
        <v>4</v>
      </c>
    </row>
    <row r="325" spans="1:32">
      <c r="A325" s="314"/>
      <c r="B325" s="6">
        <v>6</v>
      </c>
      <c r="C325" s="320" t="s">
        <v>780</v>
      </c>
      <c r="D325" s="122">
        <v>1</v>
      </c>
      <c r="E325" s="627">
        <v>16</v>
      </c>
      <c r="F325" s="627">
        <v>16</v>
      </c>
      <c r="G325" s="627">
        <v>16</v>
      </c>
      <c r="H325" s="627">
        <v>16</v>
      </c>
      <c r="J325" s="6">
        <v>6</v>
      </c>
      <c r="K325" s="320" t="s">
        <v>780</v>
      </c>
      <c r="L325" s="122">
        <v>1</v>
      </c>
      <c r="M325" s="627">
        <v>22</v>
      </c>
      <c r="N325" s="627">
        <v>22</v>
      </c>
      <c r="O325" s="627">
        <v>22</v>
      </c>
      <c r="P325" s="627">
        <v>22</v>
      </c>
      <c r="R325" s="6">
        <v>6</v>
      </c>
      <c r="S325" s="320" t="s">
        <v>780</v>
      </c>
      <c r="T325" s="122">
        <v>1</v>
      </c>
      <c r="U325" s="627">
        <v>26</v>
      </c>
      <c r="V325" s="627">
        <v>26</v>
      </c>
      <c r="W325" s="627">
        <v>26</v>
      </c>
      <c r="X325" s="627">
        <v>26</v>
      </c>
      <c r="Z325" s="6">
        <v>6</v>
      </c>
      <c r="AA325" s="320" t="s">
        <v>780</v>
      </c>
      <c r="AB325" s="122">
        <v>1</v>
      </c>
      <c r="AC325" s="627">
        <v>26</v>
      </c>
      <c r="AD325" s="627">
        <v>26</v>
      </c>
      <c r="AE325" s="627">
        <v>26</v>
      </c>
      <c r="AF325" s="627">
        <v>26</v>
      </c>
    </row>
    <row r="326" spans="1:32">
      <c r="A326" s="314"/>
      <c r="B326" s="6">
        <v>7</v>
      </c>
      <c r="C326" s="320">
        <v>0</v>
      </c>
      <c r="D326" s="122">
        <v>1</v>
      </c>
      <c r="E326" s="123"/>
      <c r="F326" s="627">
        <v>0</v>
      </c>
      <c r="G326" s="627">
        <v>0</v>
      </c>
      <c r="H326" s="627">
        <v>0</v>
      </c>
      <c r="J326" s="6">
        <v>7</v>
      </c>
      <c r="K326" s="320">
        <v>0</v>
      </c>
      <c r="L326" s="122">
        <v>1</v>
      </c>
      <c r="M326" s="123"/>
      <c r="N326" s="627">
        <v>0</v>
      </c>
      <c r="O326" s="627">
        <v>0</v>
      </c>
      <c r="P326" s="627">
        <v>0</v>
      </c>
      <c r="R326" s="6">
        <v>7</v>
      </c>
      <c r="S326" s="320">
        <v>0</v>
      </c>
      <c r="T326" s="122">
        <v>1</v>
      </c>
      <c r="U326" s="123"/>
      <c r="V326" s="627">
        <v>0</v>
      </c>
      <c r="W326" s="627">
        <v>0</v>
      </c>
      <c r="X326" s="627">
        <v>0</v>
      </c>
      <c r="Z326" s="6">
        <v>7</v>
      </c>
      <c r="AA326" s="320">
        <v>0</v>
      </c>
      <c r="AB326" s="122">
        <v>1</v>
      </c>
      <c r="AC326" s="123"/>
      <c r="AD326" s="627">
        <v>0</v>
      </c>
      <c r="AE326" s="627">
        <v>0</v>
      </c>
      <c r="AF326" s="627">
        <v>0</v>
      </c>
    </row>
    <row r="327" spans="1:32">
      <c r="A327" s="314"/>
      <c r="B327" s="6">
        <v>8</v>
      </c>
      <c r="C327" s="320">
        <v>0</v>
      </c>
      <c r="D327" s="122">
        <v>1</v>
      </c>
      <c r="E327" s="123"/>
      <c r="F327" s="627">
        <v>0</v>
      </c>
      <c r="G327" s="627">
        <v>0</v>
      </c>
      <c r="H327" s="627">
        <v>0</v>
      </c>
      <c r="J327" s="6">
        <v>8</v>
      </c>
      <c r="K327" s="320">
        <v>0</v>
      </c>
      <c r="L327" s="122">
        <v>1</v>
      </c>
      <c r="M327" s="123"/>
      <c r="N327" s="627">
        <v>0</v>
      </c>
      <c r="O327" s="627">
        <v>0</v>
      </c>
      <c r="P327" s="627">
        <v>0</v>
      </c>
      <c r="R327" s="6">
        <v>8</v>
      </c>
      <c r="S327" s="320">
        <v>0</v>
      </c>
      <c r="T327" s="122">
        <v>1</v>
      </c>
      <c r="U327" s="123"/>
      <c r="V327" s="627">
        <v>0</v>
      </c>
      <c r="W327" s="627">
        <v>0</v>
      </c>
      <c r="X327" s="627">
        <v>0</v>
      </c>
      <c r="Z327" s="6">
        <v>8</v>
      </c>
      <c r="AA327" s="320">
        <v>0</v>
      </c>
      <c r="AB327" s="122">
        <v>1</v>
      </c>
      <c r="AC327" s="123"/>
      <c r="AD327" s="627">
        <v>0</v>
      </c>
      <c r="AE327" s="627">
        <v>0</v>
      </c>
      <c r="AF327" s="627">
        <v>0</v>
      </c>
    </row>
    <row r="328" spans="1:32">
      <c r="A328" s="314"/>
      <c r="B328" s="6">
        <v>9</v>
      </c>
      <c r="C328" s="320">
        <v>0</v>
      </c>
      <c r="D328" s="122">
        <v>1</v>
      </c>
      <c r="E328" s="123"/>
      <c r="F328" s="627">
        <v>0</v>
      </c>
      <c r="G328" s="627">
        <v>0</v>
      </c>
      <c r="H328" s="627">
        <v>0</v>
      </c>
      <c r="J328" s="6">
        <v>9</v>
      </c>
      <c r="K328" s="320">
        <v>0</v>
      </c>
      <c r="L328" s="122">
        <v>1</v>
      </c>
      <c r="M328" s="123"/>
      <c r="N328" s="627">
        <v>0</v>
      </c>
      <c r="O328" s="627">
        <v>0</v>
      </c>
      <c r="P328" s="627">
        <v>0</v>
      </c>
      <c r="R328" s="6">
        <v>9</v>
      </c>
      <c r="S328" s="320">
        <v>0</v>
      </c>
      <c r="T328" s="122">
        <v>1</v>
      </c>
      <c r="U328" s="123"/>
      <c r="V328" s="627">
        <v>0</v>
      </c>
      <c r="W328" s="627">
        <v>0</v>
      </c>
      <c r="X328" s="627">
        <v>0</v>
      </c>
      <c r="Z328" s="6">
        <v>9</v>
      </c>
      <c r="AA328" s="320">
        <v>0</v>
      </c>
      <c r="AB328" s="122">
        <v>1</v>
      </c>
      <c r="AC328" s="123"/>
      <c r="AD328" s="627">
        <v>0</v>
      </c>
      <c r="AE328" s="627">
        <v>0</v>
      </c>
      <c r="AF328" s="627">
        <v>0</v>
      </c>
    </row>
    <row r="329" spans="1:32">
      <c r="A329" s="314"/>
      <c r="B329" s="6">
        <v>10</v>
      </c>
      <c r="C329" s="320">
        <v>0</v>
      </c>
      <c r="D329" s="122">
        <v>1</v>
      </c>
      <c r="E329" s="123"/>
      <c r="F329" s="627">
        <v>0</v>
      </c>
      <c r="G329" s="627">
        <v>0</v>
      </c>
      <c r="H329" s="627">
        <v>0</v>
      </c>
      <c r="J329" s="6">
        <v>10</v>
      </c>
      <c r="K329" s="320">
        <v>0</v>
      </c>
      <c r="L329" s="122">
        <v>1</v>
      </c>
      <c r="M329" s="123"/>
      <c r="N329" s="627">
        <v>0</v>
      </c>
      <c r="O329" s="627">
        <v>0</v>
      </c>
      <c r="P329" s="627">
        <v>0</v>
      </c>
      <c r="R329" s="6">
        <v>10</v>
      </c>
      <c r="S329" s="320">
        <v>0</v>
      </c>
      <c r="T329" s="122">
        <v>1</v>
      </c>
      <c r="U329" s="123"/>
      <c r="V329" s="627">
        <v>0</v>
      </c>
      <c r="W329" s="627">
        <v>0</v>
      </c>
      <c r="X329" s="627">
        <v>0</v>
      </c>
      <c r="Z329" s="6">
        <v>10</v>
      </c>
      <c r="AA329" s="320">
        <v>0</v>
      </c>
      <c r="AB329" s="122">
        <v>1</v>
      </c>
      <c r="AC329" s="123"/>
      <c r="AD329" s="627">
        <v>0</v>
      </c>
      <c r="AE329" s="627">
        <v>0</v>
      </c>
      <c r="AF329" s="627">
        <v>0</v>
      </c>
    </row>
    <row r="330" spans="1:32">
      <c r="A330" s="314"/>
      <c r="C330" s="7" t="s">
        <v>823</v>
      </c>
      <c r="H330" s="610"/>
      <c r="K330" s="7" t="s">
        <v>824</v>
      </c>
      <c r="P330" s="610"/>
      <c r="S330" s="7" t="s">
        <v>825</v>
      </c>
      <c r="X330" s="610"/>
      <c r="AA330" s="7" t="s">
        <v>826</v>
      </c>
      <c r="AF330" s="610"/>
    </row>
    <row r="331" spans="1:32">
      <c r="A331" s="314"/>
      <c r="C331" s="112" t="s">
        <v>283</v>
      </c>
      <c r="H331" s="610"/>
      <c r="J331" s="112" t="s">
        <v>283</v>
      </c>
      <c r="K331" s="112"/>
      <c r="L331" s="112"/>
      <c r="P331" s="610"/>
      <c r="R331" s="112" t="s">
        <v>283</v>
      </c>
      <c r="X331" s="610"/>
      <c r="AA331" s="112" t="s">
        <v>283</v>
      </c>
      <c r="AF331" s="610"/>
    </row>
    <row r="332" spans="1:32">
      <c r="A332" s="314"/>
      <c r="H332" s="610"/>
      <c r="P332" s="610"/>
      <c r="X332" s="610"/>
      <c r="AF332" s="610"/>
    </row>
    <row r="333" spans="1:32">
      <c r="A333" s="313"/>
      <c r="B333" s="7" t="s">
        <v>13780</v>
      </c>
      <c r="H333" s="610"/>
      <c r="J333" s="7" t="s">
        <v>13781</v>
      </c>
      <c r="K333" s="7"/>
      <c r="P333" s="610"/>
      <c r="R333" s="7" t="s">
        <v>13782</v>
      </c>
      <c r="S333" s="7"/>
      <c r="X333" s="610"/>
      <c r="Z333" s="7" t="s">
        <v>13783</v>
      </c>
      <c r="AA333" s="7"/>
      <c r="AF333" s="610"/>
    </row>
    <row r="334" spans="1:32">
      <c r="A334" s="313"/>
      <c r="C334" s="7" t="s">
        <v>281</v>
      </c>
      <c r="D334" s="6" t="s">
        <v>282</v>
      </c>
      <c r="E334" s="610" t="s">
        <v>259</v>
      </c>
      <c r="F334" s="610" t="s">
        <v>260</v>
      </c>
      <c r="G334" s="610" t="s">
        <v>261</v>
      </c>
      <c r="H334" s="610" t="s">
        <v>262</v>
      </c>
      <c r="K334" s="7" t="s">
        <v>281</v>
      </c>
      <c r="L334" s="6" t="s">
        <v>282</v>
      </c>
      <c r="M334" s="610" t="s">
        <v>259</v>
      </c>
      <c r="N334" s="610" t="s">
        <v>260</v>
      </c>
      <c r="O334" s="610" t="s">
        <v>261</v>
      </c>
      <c r="P334" s="610" t="s">
        <v>262</v>
      </c>
      <c r="S334" s="7" t="s">
        <v>281</v>
      </c>
      <c r="T334" s="6" t="s">
        <v>282</v>
      </c>
      <c r="U334" s="610" t="s">
        <v>259</v>
      </c>
      <c r="V334" s="610" t="s">
        <v>260</v>
      </c>
      <c r="W334" s="610" t="s">
        <v>261</v>
      </c>
      <c r="X334" s="610" t="s">
        <v>262</v>
      </c>
      <c r="AA334" s="7" t="s">
        <v>281</v>
      </c>
      <c r="AB334" s="6" t="s">
        <v>282</v>
      </c>
      <c r="AC334" s="610" t="s">
        <v>259</v>
      </c>
      <c r="AD334" s="610" t="s">
        <v>260</v>
      </c>
      <c r="AE334" s="610" t="s">
        <v>261</v>
      </c>
      <c r="AF334" s="610" t="s">
        <v>262</v>
      </c>
    </row>
    <row r="335" spans="1:32">
      <c r="A335" s="313"/>
      <c r="B335" s="6">
        <v>1</v>
      </c>
      <c r="C335" s="320" t="s">
        <v>151</v>
      </c>
      <c r="D335" s="122">
        <v>-1</v>
      </c>
      <c r="E335" s="123">
        <v>34</v>
      </c>
      <c r="F335" s="627">
        <v>34</v>
      </c>
      <c r="G335" s="627">
        <v>34</v>
      </c>
      <c r="H335" s="627">
        <v>34</v>
      </c>
      <c r="J335" s="6">
        <v>1</v>
      </c>
      <c r="K335" s="320" t="s">
        <v>151</v>
      </c>
      <c r="L335" s="122">
        <v>-1</v>
      </c>
      <c r="M335" s="627">
        <v>46</v>
      </c>
      <c r="N335" s="627">
        <v>46</v>
      </c>
      <c r="O335" s="627">
        <v>46</v>
      </c>
      <c r="P335" s="627">
        <v>46</v>
      </c>
      <c r="R335" s="6">
        <v>1</v>
      </c>
      <c r="S335" s="320" t="s">
        <v>151</v>
      </c>
      <c r="T335" s="122">
        <v>-1</v>
      </c>
      <c r="U335" s="627">
        <v>50</v>
      </c>
      <c r="V335" s="627">
        <v>50</v>
      </c>
      <c r="W335" s="627">
        <v>50</v>
      </c>
      <c r="X335" s="627">
        <v>50</v>
      </c>
      <c r="Z335" s="6">
        <v>1</v>
      </c>
      <c r="AA335" s="320" t="s">
        <v>151</v>
      </c>
      <c r="AB335" s="122">
        <v>-1</v>
      </c>
      <c r="AC335" s="627">
        <v>46</v>
      </c>
      <c r="AD335" s="627">
        <v>46</v>
      </c>
      <c r="AE335" s="627">
        <v>46</v>
      </c>
      <c r="AF335" s="627">
        <v>46</v>
      </c>
    </row>
    <row r="336" spans="1:32">
      <c r="A336" s="313"/>
      <c r="B336" s="6">
        <v>2</v>
      </c>
      <c r="C336" s="320" t="s">
        <v>4415</v>
      </c>
      <c r="D336" s="122">
        <v>1</v>
      </c>
      <c r="E336" s="123">
        <v>26</v>
      </c>
      <c r="F336" s="627">
        <v>26</v>
      </c>
      <c r="G336" s="627">
        <v>26</v>
      </c>
      <c r="H336" s="627">
        <v>26</v>
      </c>
      <c r="J336" s="6">
        <v>2</v>
      </c>
      <c r="K336" s="320" t="s">
        <v>4415</v>
      </c>
      <c r="L336" s="122">
        <v>1</v>
      </c>
      <c r="M336" s="627">
        <v>20</v>
      </c>
      <c r="N336" s="627">
        <v>20</v>
      </c>
      <c r="O336" s="627">
        <v>20</v>
      </c>
      <c r="P336" s="627">
        <v>20</v>
      </c>
      <c r="R336" s="6">
        <v>2</v>
      </c>
      <c r="S336" s="320" t="s">
        <v>4415</v>
      </c>
      <c r="T336" s="122">
        <v>1</v>
      </c>
      <c r="U336" s="627">
        <v>18</v>
      </c>
      <c r="V336" s="627">
        <v>18</v>
      </c>
      <c r="W336" s="627">
        <v>18</v>
      </c>
      <c r="X336" s="627">
        <v>18</v>
      </c>
      <c r="Z336" s="6">
        <v>2</v>
      </c>
      <c r="AA336" s="320" t="s">
        <v>4415</v>
      </c>
      <c r="AB336" s="122">
        <v>1</v>
      </c>
      <c r="AC336" s="627">
        <v>20</v>
      </c>
      <c r="AD336" s="627">
        <v>20</v>
      </c>
      <c r="AE336" s="627">
        <v>20</v>
      </c>
      <c r="AF336" s="627">
        <v>20</v>
      </c>
    </row>
    <row r="337" spans="1:32">
      <c r="A337" s="313"/>
      <c r="B337" s="6">
        <v>3</v>
      </c>
      <c r="C337" s="320" t="s">
        <v>4416</v>
      </c>
      <c r="D337" s="122">
        <v>1</v>
      </c>
      <c r="E337" s="123">
        <v>16</v>
      </c>
      <c r="F337" s="627">
        <v>16</v>
      </c>
      <c r="G337" s="627">
        <v>16</v>
      </c>
      <c r="H337" s="627">
        <v>16</v>
      </c>
      <c r="J337" s="6">
        <v>3</v>
      </c>
      <c r="K337" s="320" t="s">
        <v>4416</v>
      </c>
      <c r="L337" s="122">
        <v>1</v>
      </c>
      <c r="M337" s="627">
        <v>16</v>
      </c>
      <c r="N337" s="627">
        <v>16</v>
      </c>
      <c r="O337" s="627">
        <v>16</v>
      </c>
      <c r="P337" s="627">
        <v>16</v>
      </c>
      <c r="R337" s="6">
        <v>3</v>
      </c>
      <c r="S337" s="320" t="s">
        <v>4416</v>
      </c>
      <c r="T337" s="122">
        <v>1</v>
      </c>
      <c r="U337" s="627">
        <v>14</v>
      </c>
      <c r="V337" s="627">
        <v>14</v>
      </c>
      <c r="W337" s="627">
        <v>14</v>
      </c>
      <c r="X337" s="627">
        <v>14</v>
      </c>
      <c r="Z337" s="6">
        <v>3</v>
      </c>
      <c r="AA337" s="320" t="s">
        <v>4416</v>
      </c>
      <c r="AB337" s="122">
        <v>1</v>
      </c>
      <c r="AC337" s="627">
        <v>16</v>
      </c>
      <c r="AD337" s="627">
        <v>16</v>
      </c>
      <c r="AE337" s="627">
        <v>16</v>
      </c>
      <c r="AF337" s="627">
        <v>16</v>
      </c>
    </row>
    <row r="338" spans="1:32">
      <c r="A338" s="313"/>
      <c r="B338" s="6">
        <v>4</v>
      </c>
      <c r="C338" s="320" t="s">
        <v>812</v>
      </c>
      <c r="D338" s="122">
        <v>1</v>
      </c>
      <c r="E338" s="123">
        <v>10</v>
      </c>
      <c r="F338" s="627">
        <v>10</v>
      </c>
      <c r="G338" s="627">
        <v>10</v>
      </c>
      <c r="H338" s="627">
        <v>10</v>
      </c>
      <c r="J338" s="6">
        <v>4</v>
      </c>
      <c r="K338" s="320" t="s">
        <v>812</v>
      </c>
      <c r="L338" s="122">
        <v>1</v>
      </c>
      <c r="M338" s="627">
        <v>8</v>
      </c>
      <c r="N338" s="627">
        <v>8</v>
      </c>
      <c r="O338" s="627">
        <v>8</v>
      </c>
      <c r="P338" s="627">
        <v>8</v>
      </c>
      <c r="R338" s="6">
        <v>4</v>
      </c>
      <c r="S338" s="320" t="s">
        <v>812</v>
      </c>
      <c r="T338" s="122">
        <v>1</v>
      </c>
      <c r="U338" s="627">
        <v>8</v>
      </c>
      <c r="V338" s="627">
        <v>8</v>
      </c>
      <c r="W338" s="627">
        <v>8</v>
      </c>
      <c r="X338" s="627">
        <v>8</v>
      </c>
      <c r="Z338" s="6">
        <v>4</v>
      </c>
      <c r="AA338" s="320" t="s">
        <v>812</v>
      </c>
      <c r="AB338" s="122">
        <v>1</v>
      </c>
      <c r="AC338" s="627">
        <v>8</v>
      </c>
      <c r="AD338" s="627">
        <v>8</v>
      </c>
      <c r="AE338" s="627">
        <v>8</v>
      </c>
      <c r="AF338" s="627">
        <v>8</v>
      </c>
    </row>
    <row r="339" spans="1:32">
      <c r="A339" s="313"/>
      <c r="B339" s="6">
        <v>5</v>
      </c>
      <c r="C339" s="320" t="s">
        <v>5196</v>
      </c>
      <c r="D339" s="122">
        <v>1</v>
      </c>
      <c r="E339" s="123">
        <v>14</v>
      </c>
      <c r="F339" s="627">
        <v>14</v>
      </c>
      <c r="G339" s="627">
        <v>14</v>
      </c>
      <c r="H339" s="627">
        <v>14</v>
      </c>
      <c r="J339" s="6">
        <v>5</v>
      </c>
      <c r="K339" s="320" t="s">
        <v>5196</v>
      </c>
      <c r="L339" s="122">
        <v>1</v>
      </c>
      <c r="M339" s="627">
        <v>10</v>
      </c>
      <c r="N339" s="627">
        <v>10</v>
      </c>
      <c r="O339" s="627">
        <v>10</v>
      </c>
      <c r="P339" s="627">
        <v>10</v>
      </c>
      <c r="R339" s="6">
        <v>5</v>
      </c>
      <c r="S339" s="320" t="s">
        <v>5196</v>
      </c>
      <c r="T339" s="122">
        <v>1</v>
      </c>
      <c r="U339" s="627">
        <v>10</v>
      </c>
      <c r="V339" s="627">
        <v>10</v>
      </c>
      <c r="W339" s="627">
        <v>10</v>
      </c>
      <c r="X339" s="627">
        <v>10</v>
      </c>
      <c r="Z339" s="6">
        <v>5</v>
      </c>
      <c r="AA339" s="320" t="s">
        <v>5196</v>
      </c>
      <c r="AB339" s="122">
        <v>1</v>
      </c>
      <c r="AC339" s="627">
        <v>10</v>
      </c>
      <c r="AD339" s="627">
        <v>10</v>
      </c>
      <c r="AE339" s="627">
        <v>10</v>
      </c>
      <c r="AF339" s="627">
        <v>10</v>
      </c>
    </row>
    <row r="340" spans="1:32">
      <c r="A340" s="313"/>
      <c r="B340" s="6">
        <v>6</v>
      </c>
      <c r="C340" s="320" t="s">
        <v>780</v>
      </c>
      <c r="D340" s="122">
        <v>1</v>
      </c>
      <c r="E340" s="123">
        <v>0</v>
      </c>
      <c r="F340" s="627">
        <v>0</v>
      </c>
      <c r="G340" s="627">
        <v>0</v>
      </c>
      <c r="H340" s="627">
        <v>0</v>
      </c>
      <c r="J340" s="6">
        <v>6</v>
      </c>
      <c r="K340" s="320" t="s">
        <v>780</v>
      </c>
      <c r="L340" s="122">
        <v>1</v>
      </c>
      <c r="M340" s="627">
        <v>0</v>
      </c>
      <c r="N340" s="627">
        <v>0</v>
      </c>
      <c r="O340" s="627">
        <v>0</v>
      </c>
      <c r="P340" s="627">
        <v>0</v>
      </c>
      <c r="R340" s="6">
        <v>6</v>
      </c>
      <c r="S340" s="320" t="s">
        <v>780</v>
      </c>
      <c r="T340" s="122">
        <v>1</v>
      </c>
      <c r="U340" s="627">
        <v>0</v>
      </c>
      <c r="V340" s="627">
        <v>0</v>
      </c>
      <c r="W340" s="627">
        <v>0</v>
      </c>
      <c r="X340" s="627">
        <v>0</v>
      </c>
      <c r="Z340" s="6">
        <v>6</v>
      </c>
      <c r="AA340" s="320" t="s">
        <v>780</v>
      </c>
      <c r="AB340" s="122">
        <v>1</v>
      </c>
      <c r="AC340" s="627">
        <v>0</v>
      </c>
      <c r="AD340" s="627">
        <v>0</v>
      </c>
      <c r="AE340" s="627">
        <v>0</v>
      </c>
      <c r="AF340" s="627">
        <v>0</v>
      </c>
    </row>
    <row r="341" spans="1:32">
      <c r="A341" s="313"/>
      <c r="B341" s="6">
        <v>7</v>
      </c>
      <c r="C341" s="320">
        <v>0</v>
      </c>
      <c r="D341" s="122">
        <v>1</v>
      </c>
      <c r="E341" s="123"/>
      <c r="F341" s="627">
        <v>0</v>
      </c>
      <c r="G341" s="627">
        <v>0</v>
      </c>
      <c r="H341" s="627">
        <v>0</v>
      </c>
      <c r="J341" s="6">
        <v>7</v>
      </c>
      <c r="K341" s="320">
        <v>0</v>
      </c>
      <c r="L341" s="122">
        <v>1</v>
      </c>
      <c r="M341" s="627"/>
      <c r="N341" s="627">
        <v>0</v>
      </c>
      <c r="O341" s="627">
        <v>0</v>
      </c>
      <c r="P341" s="627">
        <v>0</v>
      </c>
      <c r="R341" s="6">
        <v>7</v>
      </c>
      <c r="S341" s="320">
        <v>0</v>
      </c>
      <c r="T341" s="122">
        <v>1</v>
      </c>
      <c r="U341" s="627"/>
      <c r="V341" s="627">
        <v>0</v>
      </c>
      <c r="W341" s="627">
        <v>0</v>
      </c>
      <c r="X341" s="627">
        <v>0</v>
      </c>
      <c r="Z341" s="6">
        <v>7</v>
      </c>
      <c r="AA341" s="320">
        <v>0</v>
      </c>
      <c r="AB341" s="122">
        <v>1</v>
      </c>
      <c r="AC341" s="627"/>
      <c r="AD341" s="627">
        <v>0</v>
      </c>
      <c r="AE341" s="627">
        <v>0</v>
      </c>
      <c r="AF341" s="627">
        <v>0</v>
      </c>
    </row>
    <row r="342" spans="1:32">
      <c r="A342" s="313"/>
      <c r="B342" s="6">
        <v>8</v>
      </c>
      <c r="C342" s="320">
        <v>0</v>
      </c>
      <c r="D342" s="122">
        <v>1</v>
      </c>
      <c r="E342" s="123"/>
      <c r="F342" s="627">
        <v>0</v>
      </c>
      <c r="G342" s="627">
        <v>0</v>
      </c>
      <c r="H342" s="627">
        <v>0</v>
      </c>
      <c r="J342" s="6">
        <v>8</v>
      </c>
      <c r="K342" s="320">
        <v>0</v>
      </c>
      <c r="L342" s="122">
        <v>1</v>
      </c>
      <c r="M342" s="627"/>
      <c r="N342" s="627">
        <v>0</v>
      </c>
      <c r="O342" s="627">
        <v>0</v>
      </c>
      <c r="P342" s="627">
        <v>0</v>
      </c>
      <c r="R342" s="6">
        <v>8</v>
      </c>
      <c r="S342" s="320">
        <v>0</v>
      </c>
      <c r="T342" s="122">
        <v>1</v>
      </c>
      <c r="U342" s="627"/>
      <c r="V342" s="627">
        <v>0</v>
      </c>
      <c r="W342" s="627">
        <v>0</v>
      </c>
      <c r="X342" s="627">
        <v>0</v>
      </c>
      <c r="Z342" s="6">
        <v>8</v>
      </c>
      <c r="AA342" s="320">
        <v>0</v>
      </c>
      <c r="AB342" s="122">
        <v>1</v>
      </c>
      <c r="AC342" s="627"/>
      <c r="AD342" s="627">
        <v>0</v>
      </c>
      <c r="AE342" s="627">
        <v>0</v>
      </c>
      <c r="AF342" s="627">
        <v>0</v>
      </c>
    </row>
    <row r="343" spans="1:32">
      <c r="A343" s="313"/>
      <c r="B343" s="6">
        <v>9</v>
      </c>
      <c r="C343" s="320">
        <v>0</v>
      </c>
      <c r="D343" s="122">
        <v>1</v>
      </c>
      <c r="E343" s="123"/>
      <c r="F343" s="627">
        <v>0</v>
      </c>
      <c r="G343" s="627">
        <v>0</v>
      </c>
      <c r="H343" s="627">
        <v>0</v>
      </c>
      <c r="J343" s="6">
        <v>9</v>
      </c>
      <c r="K343" s="320">
        <v>0</v>
      </c>
      <c r="L343" s="122">
        <v>1</v>
      </c>
      <c r="M343" s="627"/>
      <c r="N343" s="627">
        <v>0</v>
      </c>
      <c r="O343" s="627">
        <v>0</v>
      </c>
      <c r="P343" s="627">
        <v>0</v>
      </c>
      <c r="R343" s="6">
        <v>9</v>
      </c>
      <c r="S343" s="320">
        <v>0</v>
      </c>
      <c r="T343" s="122">
        <v>1</v>
      </c>
      <c r="U343" s="627"/>
      <c r="V343" s="627">
        <v>0</v>
      </c>
      <c r="W343" s="627">
        <v>0</v>
      </c>
      <c r="X343" s="627">
        <v>0</v>
      </c>
      <c r="Z343" s="6">
        <v>9</v>
      </c>
      <c r="AA343" s="320">
        <v>0</v>
      </c>
      <c r="AB343" s="122">
        <v>1</v>
      </c>
      <c r="AC343" s="627"/>
      <c r="AD343" s="627">
        <v>0</v>
      </c>
      <c r="AE343" s="627">
        <v>0</v>
      </c>
      <c r="AF343" s="627">
        <v>0</v>
      </c>
    </row>
    <row r="344" spans="1:32">
      <c r="A344" s="313"/>
      <c r="B344" s="6">
        <v>10</v>
      </c>
      <c r="C344" s="320">
        <v>0</v>
      </c>
      <c r="D344" s="122">
        <v>1</v>
      </c>
      <c r="E344" s="123"/>
      <c r="F344" s="627">
        <v>0</v>
      </c>
      <c r="G344" s="627">
        <v>0</v>
      </c>
      <c r="H344" s="627">
        <v>0</v>
      </c>
      <c r="J344" s="6">
        <v>10</v>
      </c>
      <c r="K344" s="320">
        <v>0</v>
      </c>
      <c r="L344" s="122">
        <v>1</v>
      </c>
      <c r="M344" s="627"/>
      <c r="N344" s="627">
        <v>0</v>
      </c>
      <c r="O344" s="627">
        <v>0</v>
      </c>
      <c r="P344" s="627">
        <v>0</v>
      </c>
      <c r="R344" s="6">
        <v>10</v>
      </c>
      <c r="S344" s="320">
        <v>0</v>
      </c>
      <c r="T344" s="122">
        <v>1</v>
      </c>
      <c r="U344" s="627"/>
      <c r="V344" s="627">
        <v>0</v>
      </c>
      <c r="W344" s="627">
        <v>0</v>
      </c>
      <c r="X344" s="627">
        <v>0</v>
      </c>
      <c r="Z344" s="6">
        <v>10</v>
      </c>
      <c r="AA344" s="320">
        <v>0</v>
      </c>
      <c r="AB344" s="122">
        <v>1</v>
      </c>
      <c r="AC344" s="627"/>
      <c r="AD344" s="627">
        <v>0</v>
      </c>
      <c r="AE344" s="627">
        <v>0</v>
      </c>
      <c r="AF344" s="627">
        <v>0</v>
      </c>
    </row>
    <row r="345" spans="1:32">
      <c r="A345" s="313"/>
      <c r="C345" s="7" t="s">
        <v>827</v>
      </c>
      <c r="E345" s="6">
        <v>100</v>
      </c>
      <c r="H345" s="610"/>
      <c r="K345" s="7" t="s">
        <v>828</v>
      </c>
      <c r="M345" s="610">
        <v>100</v>
      </c>
      <c r="P345" s="610"/>
      <c r="S345" s="7" t="s">
        <v>829</v>
      </c>
      <c r="U345" s="610">
        <v>100</v>
      </c>
      <c r="X345" s="610"/>
      <c r="AA345" s="7" t="s">
        <v>830</v>
      </c>
      <c r="AC345" s="610">
        <v>100</v>
      </c>
      <c r="AF345" s="610"/>
    </row>
    <row r="346" spans="1:32">
      <c r="A346" s="313"/>
      <c r="C346" s="112" t="s">
        <v>283</v>
      </c>
      <c r="H346" s="610"/>
      <c r="J346" s="112" t="s">
        <v>283</v>
      </c>
      <c r="K346" s="112"/>
      <c r="L346" s="112"/>
      <c r="P346" s="610"/>
      <c r="R346" s="112" t="s">
        <v>283</v>
      </c>
      <c r="X346" s="610"/>
      <c r="AA346" s="112" t="s">
        <v>283</v>
      </c>
      <c r="AF346" s="610"/>
    </row>
    <row r="347" spans="1:32">
      <c r="A347" s="313"/>
      <c r="H347" s="610"/>
      <c r="P347" s="610"/>
      <c r="X347" s="610"/>
      <c r="AF347" s="610"/>
    </row>
    <row r="348" spans="1:32">
      <c r="A348" s="313"/>
      <c r="B348" s="7" t="s">
        <v>13784</v>
      </c>
      <c r="H348" s="610"/>
      <c r="J348" s="7" t="s">
        <v>13785</v>
      </c>
      <c r="K348" s="7"/>
      <c r="P348" s="610"/>
      <c r="R348" s="7" t="s">
        <v>13786</v>
      </c>
      <c r="S348" s="7"/>
      <c r="X348" s="610"/>
      <c r="Z348" s="7" t="s">
        <v>13787</v>
      </c>
      <c r="AA348" s="7"/>
      <c r="AF348" s="610"/>
    </row>
    <row r="349" spans="1:32">
      <c r="A349" s="313"/>
      <c r="C349" s="7" t="s">
        <v>281</v>
      </c>
      <c r="D349" s="6" t="s">
        <v>282</v>
      </c>
      <c r="E349" s="610" t="s">
        <v>259</v>
      </c>
      <c r="F349" s="610" t="s">
        <v>260</v>
      </c>
      <c r="G349" s="610" t="s">
        <v>261</v>
      </c>
      <c r="H349" s="610" t="s">
        <v>262</v>
      </c>
      <c r="K349" s="7" t="s">
        <v>281</v>
      </c>
      <c r="L349" s="6" t="s">
        <v>282</v>
      </c>
      <c r="M349" s="610" t="s">
        <v>259</v>
      </c>
      <c r="N349" s="610" t="s">
        <v>260</v>
      </c>
      <c r="O349" s="610" t="s">
        <v>261</v>
      </c>
      <c r="P349" s="610" t="s">
        <v>262</v>
      </c>
      <c r="S349" s="7" t="s">
        <v>281</v>
      </c>
      <c r="T349" s="6" t="s">
        <v>282</v>
      </c>
      <c r="U349" s="610" t="s">
        <v>259</v>
      </c>
      <c r="V349" s="610" t="s">
        <v>260</v>
      </c>
      <c r="W349" s="610" t="s">
        <v>261</v>
      </c>
      <c r="X349" s="610" t="s">
        <v>262</v>
      </c>
      <c r="AA349" s="7" t="s">
        <v>281</v>
      </c>
      <c r="AB349" s="6" t="s">
        <v>282</v>
      </c>
      <c r="AC349" s="610" t="s">
        <v>259</v>
      </c>
      <c r="AD349" s="610" t="s">
        <v>260</v>
      </c>
      <c r="AE349" s="610" t="s">
        <v>261</v>
      </c>
      <c r="AF349" s="610" t="s">
        <v>262</v>
      </c>
    </row>
    <row r="350" spans="1:32">
      <c r="A350" s="313"/>
      <c r="B350" s="6">
        <v>1</v>
      </c>
      <c r="C350" s="320" t="s">
        <v>151</v>
      </c>
      <c r="D350" s="122">
        <v>-1</v>
      </c>
      <c r="E350" s="627">
        <v>34</v>
      </c>
      <c r="F350" s="627">
        <v>34</v>
      </c>
      <c r="G350" s="627">
        <v>34</v>
      </c>
      <c r="H350" s="627">
        <v>34</v>
      </c>
      <c r="J350" s="6">
        <v>1</v>
      </c>
      <c r="K350" s="320" t="s">
        <v>151</v>
      </c>
      <c r="L350" s="122">
        <v>-1</v>
      </c>
      <c r="M350" s="627">
        <v>46</v>
      </c>
      <c r="N350" s="627">
        <v>46</v>
      </c>
      <c r="O350" s="627">
        <v>46</v>
      </c>
      <c r="P350" s="627">
        <v>46</v>
      </c>
      <c r="R350" s="6">
        <v>1</v>
      </c>
      <c r="S350" s="320" t="s">
        <v>151</v>
      </c>
      <c r="T350" s="122">
        <v>-1</v>
      </c>
      <c r="U350" s="627">
        <v>50</v>
      </c>
      <c r="V350" s="627">
        <v>50</v>
      </c>
      <c r="W350" s="627">
        <v>50</v>
      </c>
      <c r="X350" s="627">
        <v>50</v>
      </c>
      <c r="Z350" s="6">
        <v>1</v>
      </c>
      <c r="AA350" s="320" t="s">
        <v>151</v>
      </c>
      <c r="AB350" s="122">
        <v>-1</v>
      </c>
      <c r="AC350" s="627">
        <v>46</v>
      </c>
      <c r="AD350" s="627">
        <v>46</v>
      </c>
      <c r="AE350" s="627">
        <v>46</v>
      </c>
      <c r="AF350" s="627">
        <v>46</v>
      </c>
    </row>
    <row r="351" spans="1:32">
      <c r="A351" s="313"/>
      <c r="B351" s="6">
        <v>2</v>
      </c>
      <c r="C351" s="320" t="s">
        <v>4415</v>
      </c>
      <c r="D351" s="122">
        <v>1</v>
      </c>
      <c r="E351" s="627">
        <v>26</v>
      </c>
      <c r="F351" s="627">
        <v>26</v>
      </c>
      <c r="G351" s="627">
        <v>26</v>
      </c>
      <c r="H351" s="627">
        <v>26</v>
      </c>
      <c r="J351" s="6">
        <v>2</v>
      </c>
      <c r="K351" s="320" t="s">
        <v>4415</v>
      </c>
      <c r="L351" s="122">
        <v>1</v>
      </c>
      <c r="M351" s="627">
        <v>20</v>
      </c>
      <c r="N351" s="627">
        <v>20</v>
      </c>
      <c r="O351" s="627">
        <v>20</v>
      </c>
      <c r="P351" s="627">
        <v>20</v>
      </c>
      <c r="R351" s="6">
        <v>2</v>
      </c>
      <c r="S351" s="320" t="s">
        <v>4415</v>
      </c>
      <c r="T351" s="122">
        <v>1</v>
      </c>
      <c r="U351" s="627">
        <v>18</v>
      </c>
      <c r="V351" s="627">
        <v>18</v>
      </c>
      <c r="W351" s="627">
        <v>18</v>
      </c>
      <c r="X351" s="627">
        <v>18</v>
      </c>
      <c r="Z351" s="6">
        <v>2</v>
      </c>
      <c r="AA351" s="320" t="s">
        <v>4415</v>
      </c>
      <c r="AB351" s="122">
        <v>1</v>
      </c>
      <c r="AC351" s="627">
        <v>20</v>
      </c>
      <c r="AD351" s="627">
        <v>20</v>
      </c>
      <c r="AE351" s="627">
        <v>20</v>
      </c>
      <c r="AF351" s="627">
        <v>20</v>
      </c>
    </row>
    <row r="352" spans="1:32">
      <c r="A352" s="313"/>
      <c r="B352" s="6">
        <v>3</v>
      </c>
      <c r="C352" s="320" t="s">
        <v>4416</v>
      </c>
      <c r="D352" s="122">
        <v>1</v>
      </c>
      <c r="E352" s="627">
        <v>16</v>
      </c>
      <c r="F352" s="627">
        <v>16</v>
      </c>
      <c r="G352" s="627">
        <v>16</v>
      </c>
      <c r="H352" s="627">
        <v>16</v>
      </c>
      <c r="J352" s="6">
        <v>3</v>
      </c>
      <c r="K352" s="320" t="s">
        <v>4416</v>
      </c>
      <c r="L352" s="122">
        <v>1</v>
      </c>
      <c r="M352" s="627">
        <v>16</v>
      </c>
      <c r="N352" s="627">
        <v>16</v>
      </c>
      <c r="O352" s="627">
        <v>16</v>
      </c>
      <c r="P352" s="627">
        <v>16</v>
      </c>
      <c r="R352" s="6">
        <v>3</v>
      </c>
      <c r="S352" s="320" t="s">
        <v>4416</v>
      </c>
      <c r="T352" s="122">
        <v>1</v>
      </c>
      <c r="U352" s="627">
        <v>14</v>
      </c>
      <c r="V352" s="627">
        <v>14</v>
      </c>
      <c r="W352" s="627">
        <v>14</v>
      </c>
      <c r="X352" s="627">
        <v>14</v>
      </c>
      <c r="Z352" s="6">
        <v>3</v>
      </c>
      <c r="AA352" s="320" t="s">
        <v>4416</v>
      </c>
      <c r="AB352" s="122">
        <v>1</v>
      </c>
      <c r="AC352" s="627">
        <v>16</v>
      </c>
      <c r="AD352" s="627">
        <v>16</v>
      </c>
      <c r="AE352" s="627">
        <v>16</v>
      </c>
      <c r="AF352" s="627">
        <v>16</v>
      </c>
    </row>
    <row r="353" spans="1:32">
      <c r="A353" s="313"/>
      <c r="B353" s="6">
        <v>4</v>
      </c>
      <c r="C353" s="320" t="s">
        <v>812</v>
      </c>
      <c r="D353" s="122">
        <v>1</v>
      </c>
      <c r="E353" s="627">
        <v>10</v>
      </c>
      <c r="F353" s="627">
        <v>10</v>
      </c>
      <c r="G353" s="627">
        <v>10</v>
      </c>
      <c r="H353" s="627">
        <v>10</v>
      </c>
      <c r="J353" s="6">
        <v>4</v>
      </c>
      <c r="K353" s="320" t="s">
        <v>812</v>
      </c>
      <c r="L353" s="122">
        <v>1</v>
      </c>
      <c r="M353" s="627">
        <v>8</v>
      </c>
      <c r="N353" s="627">
        <v>8</v>
      </c>
      <c r="O353" s="627">
        <v>8</v>
      </c>
      <c r="P353" s="627">
        <v>8</v>
      </c>
      <c r="R353" s="6">
        <v>4</v>
      </c>
      <c r="S353" s="320" t="s">
        <v>812</v>
      </c>
      <c r="T353" s="122">
        <v>1</v>
      </c>
      <c r="U353" s="627">
        <v>8</v>
      </c>
      <c r="V353" s="627">
        <v>8</v>
      </c>
      <c r="W353" s="627">
        <v>8</v>
      </c>
      <c r="X353" s="627">
        <v>8</v>
      </c>
      <c r="Z353" s="6">
        <v>4</v>
      </c>
      <c r="AA353" s="320" t="s">
        <v>812</v>
      </c>
      <c r="AB353" s="122">
        <v>1</v>
      </c>
      <c r="AC353" s="627">
        <v>8</v>
      </c>
      <c r="AD353" s="627">
        <v>8</v>
      </c>
      <c r="AE353" s="627">
        <v>8</v>
      </c>
      <c r="AF353" s="627">
        <v>8</v>
      </c>
    </row>
    <row r="354" spans="1:32">
      <c r="A354" s="313"/>
      <c r="B354" s="6">
        <v>5</v>
      </c>
      <c r="C354" s="320" t="s">
        <v>5196</v>
      </c>
      <c r="D354" s="122">
        <v>1</v>
      </c>
      <c r="E354" s="627">
        <v>14</v>
      </c>
      <c r="F354" s="627">
        <v>14</v>
      </c>
      <c r="G354" s="627">
        <v>14</v>
      </c>
      <c r="H354" s="627">
        <v>14</v>
      </c>
      <c r="J354" s="6">
        <v>5</v>
      </c>
      <c r="K354" s="320" t="s">
        <v>5196</v>
      </c>
      <c r="L354" s="122">
        <v>1</v>
      </c>
      <c r="M354" s="627">
        <v>10</v>
      </c>
      <c r="N354" s="627">
        <v>10</v>
      </c>
      <c r="O354" s="627">
        <v>10</v>
      </c>
      <c r="P354" s="627">
        <v>10</v>
      </c>
      <c r="R354" s="6">
        <v>5</v>
      </c>
      <c r="S354" s="320" t="s">
        <v>5196</v>
      </c>
      <c r="T354" s="122">
        <v>1</v>
      </c>
      <c r="U354" s="627">
        <v>10</v>
      </c>
      <c r="V354" s="627">
        <v>10</v>
      </c>
      <c r="W354" s="627">
        <v>10</v>
      </c>
      <c r="X354" s="627">
        <v>10</v>
      </c>
      <c r="Z354" s="6">
        <v>5</v>
      </c>
      <c r="AA354" s="320" t="s">
        <v>5196</v>
      </c>
      <c r="AB354" s="122">
        <v>1</v>
      </c>
      <c r="AC354" s="627">
        <v>10</v>
      </c>
      <c r="AD354" s="627">
        <v>10</v>
      </c>
      <c r="AE354" s="627">
        <v>10</v>
      </c>
      <c r="AF354" s="627">
        <v>10</v>
      </c>
    </row>
    <row r="355" spans="1:32">
      <c r="A355" s="313"/>
      <c r="B355" s="6">
        <v>6</v>
      </c>
      <c r="C355" s="320" t="s">
        <v>780</v>
      </c>
      <c r="D355" s="122">
        <v>1</v>
      </c>
      <c r="E355" s="627">
        <v>0</v>
      </c>
      <c r="F355" s="627">
        <v>0</v>
      </c>
      <c r="G355" s="627">
        <v>0</v>
      </c>
      <c r="H355" s="627">
        <v>0</v>
      </c>
      <c r="J355" s="6">
        <v>6</v>
      </c>
      <c r="K355" s="320" t="s">
        <v>780</v>
      </c>
      <c r="L355" s="122">
        <v>1</v>
      </c>
      <c r="M355" s="627">
        <v>0</v>
      </c>
      <c r="N355" s="627">
        <v>0</v>
      </c>
      <c r="O355" s="627">
        <v>0</v>
      </c>
      <c r="P355" s="627">
        <v>0</v>
      </c>
      <c r="R355" s="6">
        <v>6</v>
      </c>
      <c r="S355" s="320" t="s">
        <v>780</v>
      </c>
      <c r="T355" s="122">
        <v>1</v>
      </c>
      <c r="U355" s="627">
        <v>0</v>
      </c>
      <c r="V355" s="627">
        <v>0</v>
      </c>
      <c r="W355" s="627">
        <v>0</v>
      </c>
      <c r="X355" s="627">
        <v>0</v>
      </c>
      <c r="Z355" s="6">
        <v>6</v>
      </c>
      <c r="AA355" s="320" t="s">
        <v>780</v>
      </c>
      <c r="AB355" s="122">
        <v>1</v>
      </c>
      <c r="AC355" s="627">
        <v>0</v>
      </c>
      <c r="AD355" s="627">
        <v>0</v>
      </c>
      <c r="AE355" s="627">
        <v>0</v>
      </c>
      <c r="AF355" s="627">
        <v>0</v>
      </c>
    </row>
    <row r="356" spans="1:32">
      <c r="A356" s="313"/>
      <c r="B356" s="6">
        <v>7</v>
      </c>
      <c r="C356" s="320">
        <v>0</v>
      </c>
      <c r="D356" s="122">
        <v>1</v>
      </c>
      <c r="E356" s="627"/>
      <c r="F356" s="627">
        <v>0</v>
      </c>
      <c r="G356" s="627">
        <v>0</v>
      </c>
      <c r="H356" s="627">
        <v>0</v>
      </c>
      <c r="J356" s="6">
        <v>7</v>
      </c>
      <c r="K356" s="320">
        <v>0</v>
      </c>
      <c r="L356" s="122">
        <v>1</v>
      </c>
      <c r="M356" s="627"/>
      <c r="N356" s="627">
        <v>0</v>
      </c>
      <c r="O356" s="627">
        <v>0</v>
      </c>
      <c r="P356" s="627">
        <v>0</v>
      </c>
      <c r="R356" s="6">
        <v>7</v>
      </c>
      <c r="S356" s="320">
        <v>0</v>
      </c>
      <c r="T356" s="122">
        <v>1</v>
      </c>
      <c r="U356" s="627"/>
      <c r="V356" s="627">
        <v>0</v>
      </c>
      <c r="W356" s="627">
        <v>0</v>
      </c>
      <c r="X356" s="627">
        <v>0</v>
      </c>
      <c r="Z356" s="6">
        <v>7</v>
      </c>
      <c r="AA356" s="320">
        <v>0</v>
      </c>
      <c r="AB356" s="122">
        <v>1</v>
      </c>
      <c r="AC356" s="627"/>
      <c r="AD356" s="627">
        <v>0</v>
      </c>
      <c r="AE356" s="627">
        <v>0</v>
      </c>
      <c r="AF356" s="627">
        <v>0</v>
      </c>
    </row>
    <row r="357" spans="1:32">
      <c r="A357" s="313"/>
      <c r="B357" s="6">
        <v>8</v>
      </c>
      <c r="C357" s="320">
        <v>0</v>
      </c>
      <c r="D357" s="122">
        <v>1</v>
      </c>
      <c r="E357" s="627"/>
      <c r="F357" s="627">
        <v>0</v>
      </c>
      <c r="G357" s="627">
        <v>0</v>
      </c>
      <c r="H357" s="627">
        <v>0</v>
      </c>
      <c r="J357" s="6">
        <v>8</v>
      </c>
      <c r="K357" s="320">
        <v>0</v>
      </c>
      <c r="L357" s="122">
        <v>1</v>
      </c>
      <c r="M357" s="627"/>
      <c r="N357" s="627">
        <v>0</v>
      </c>
      <c r="O357" s="627">
        <v>0</v>
      </c>
      <c r="P357" s="627">
        <v>0</v>
      </c>
      <c r="R357" s="6">
        <v>8</v>
      </c>
      <c r="S357" s="320">
        <v>0</v>
      </c>
      <c r="T357" s="122">
        <v>1</v>
      </c>
      <c r="U357" s="627"/>
      <c r="V357" s="627">
        <v>0</v>
      </c>
      <c r="W357" s="627">
        <v>0</v>
      </c>
      <c r="X357" s="627">
        <v>0</v>
      </c>
      <c r="Z357" s="6">
        <v>8</v>
      </c>
      <c r="AA357" s="320">
        <v>0</v>
      </c>
      <c r="AB357" s="122">
        <v>1</v>
      </c>
      <c r="AC357" s="627"/>
      <c r="AD357" s="627">
        <v>0</v>
      </c>
      <c r="AE357" s="627">
        <v>0</v>
      </c>
      <c r="AF357" s="627">
        <v>0</v>
      </c>
    </row>
    <row r="358" spans="1:32">
      <c r="A358" s="313"/>
      <c r="B358" s="6">
        <v>9</v>
      </c>
      <c r="C358" s="320">
        <v>0</v>
      </c>
      <c r="D358" s="122">
        <v>1</v>
      </c>
      <c r="E358" s="627"/>
      <c r="F358" s="627">
        <v>0</v>
      </c>
      <c r="G358" s="627">
        <v>0</v>
      </c>
      <c r="H358" s="627">
        <v>0</v>
      </c>
      <c r="J358" s="6">
        <v>9</v>
      </c>
      <c r="K358" s="320">
        <v>0</v>
      </c>
      <c r="L358" s="122">
        <v>1</v>
      </c>
      <c r="M358" s="627"/>
      <c r="N358" s="627">
        <v>0</v>
      </c>
      <c r="O358" s="627">
        <v>0</v>
      </c>
      <c r="P358" s="627">
        <v>0</v>
      </c>
      <c r="R358" s="6">
        <v>9</v>
      </c>
      <c r="S358" s="320">
        <v>0</v>
      </c>
      <c r="T358" s="122">
        <v>1</v>
      </c>
      <c r="U358" s="627"/>
      <c r="V358" s="627">
        <v>0</v>
      </c>
      <c r="W358" s="627">
        <v>0</v>
      </c>
      <c r="X358" s="627">
        <v>0</v>
      </c>
      <c r="Z358" s="6">
        <v>9</v>
      </c>
      <c r="AA358" s="320">
        <v>0</v>
      </c>
      <c r="AB358" s="122">
        <v>1</v>
      </c>
      <c r="AC358" s="627"/>
      <c r="AD358" s="627">
        <v>0</v>
      </c>
      <c r="AE358" s="627">
        <v>0</v>
      </c>
      <c r="AF358" s="627">
        <v>0</v>
      </c>
    </row>
    <row r="359" spans="1:32">
      <c r="A359" s="313"/>
      <c r="B359" s="6">
        <v>10</v>
      </c>
      <c r="C359" s="320">
        <v>0</v>
      </c>
      <c r="D359" s="122">
        <v>1</v>
      </c>
      <c r="E359" s="627"/>
      <c r="F359" s="627">
        <v>0</v>
      </c>
      <c r="G359" s="627">
        <v>0</v>
      </c>
      <c r="H359" s="627">
        <v>0</v>
      </c>
      <c r="J359" s="6">
        <v>10</v>
      </c>
      <c r="K359" s="320">
        <v>0</v>
      </c>
      <c r="L359" s="122">
        <v>1</v>
      </c>
      <c r="M359" s="627"/>
      <c r="N359" s="627">
        <v>0</v>
      </c>
      <c r="O359" s="627">
        <v>0</v>
      </c>
      <c r="P359" s="627">
        <v>0</v>
      </c>
      <c r="R359" s="6">
        <v>10</v>
      </c>
      <c r="S359" s="320">
        <v>0</v>
      </c>
      <c r="T359" s="122">
        <v>1</v>
      </c>
      <c r="U359" s="627"/>
      <c r="V359" s="627">
        <v>0</v>
      </c>
      <c r="W359" s="627">
        <v>0</v>
      </c>
      <c r="X359" s="627">
        <v>0</v>
      </c>
      <c r="Z359" s="6">
        <v>10</v>
      </c>
      <c r="AA359" s="320">
        <v>0</v>
      </c>
      <c r="AB359" s="122">
        <v>1</v>
      </c>
      <c r="AC359" s="627"/>
      <c r="AD359" s="627">
        <v>0</v>
      </c>
      <c r="AE359" s="627">
        <v>0</v>
      </c>
      <c r="AF359" s="627">
        <v>0</v>
      </c>
    </row>
    <row r="360" spans="1:32">
      <c r="A360" s="313"/>
      <c r="C360" s="7" t="s">
        <v>831</v>
      </c>
      <c r="H360" s="610"/>
      <c r="K360" s="7" t="s">
        <v>832</v>
      </c>
      <c r="P360" s="610"/>
      <c r="S360" s="7" t="s">
        <v>833</v>
      </c>
      <c r="X360" s="610"/>
      <c r="AA360" s="7" t="s">
        <v>834</v>
      </c>
      <c r="AF360" s="610"/>
    </row>
    <row r="361" spans="1:32">
      <c r="A361" s="313"/>
      <c r="C361" s="112" t="s">
        <v>283</v>
      </c>
      <c r="H361" s="610"/>
      <c r="J361" s="112" t="s">
        <v>283</v>
      </c>
      <c r="K361" s="112"/>
      <c r="L361" s="112"/>
      <c r="P361" s="610"/>
      <c r="R361" s="112" t="s">
        <v>283</v>
      </c>
      <c r="X361" s="610"/>
      <c r="AA361" s="112" t="s">
        <v>283</v>
      </c>
      <c r="AF361" s="610"/>
    </row>
    <row r="362" spans="1:32">
      <c r="A362" s="313"/>
      <c r="H362" s="610"/>
      <c r="P362" s="610"/>
      <c r="X362" s="610"/>
      <c r="AF362" s="610"/>
    </row>
    <row r="363" spans="1:32">
      <c r="A363" s="313"/>
      <c r="B363" s="7" t="s">
        <v>13788</v>
      </c>
      <c r="H363" s="610"/>
      <c r="J363" s="7" t="s">
        <v>13789</v>
      </c>
      <c r="K363" s="7"/>
      <c r="P363" s="610"/>
      <c r="R363" s="7" t="s">
        <v>13790</v>
      </c>
      <c r="S363" s="7"/>
      <c r="X363" s="610"/>
      <c r="Z363" s="7" t="s">
        <v>13791</v>
      </c>
      <c r="AA363" s="7"/>
      <c r="AF363" s="610"/>
    </row>
    <row r="364" spans="1:32">
      <c r="A364" s="313"/>
      <c r="C364" s="7" t="s">
        <v>281</v>
      </c>
      <c r="D364" s="6" t="s">
        <v>282</v>
      </c>
      <c r="E364" s="610" t="s">
        <v>259</v>
      </c>
      <c r="F364" s="610" t="s">
        <v>260</v>
      </c>
      <c r="G364" s="610" t="s">
        <v>261</v>
      </c>
      <c r="H364" s="610" t="s">
        <v>262</v>
      </c>
      <c r="K364" s="7" t="s">
        <v>281</v>
      </c>
      <c r="L364" s="6" t="s">
        <v>282</v>
      </c>
      <c r="M364" s="610" t="s">
        <v>259</v>
      </c>
      <c r="N364" s="610" t="s">
        <v>260</v>
      </c>
      <c r="O364" s="610" t="s">
        <v>261</v>
      </c>
      <c r="P364" s="610" t="s">
        <v>262</v>
      </c>
      <c r="S364" s="7" t="s">
        <v>281</v>
      </c>
      <c r="T364" s="6" t="s">
        <v>282</v>
      </c>
      <c r="U364" s="610" t="s">
        <v>259</v>
      </c>
      <c r="V364" s="610" t="s">
        <v>260</v>
      </c>
      <c r="W364" s="610" t="s">
        <v>261</v>
      </c>
      <c r="X364" s="610" t="s">
        <v>262</v>
      </c>
      <c r="AA364" s="7" t="s">
        <v>281</v>
      </c>
      <c r="AB364" s="6" t="s">
        <v>282</v>
      </c>
      <c r="AC364" s="610" t="s">
        <v>259</v>
      </c>
      <c r="AD364" s="610" t="s">
        <v>260</v>
      </c>
      <c r="AE364" s="610" t="s">
        <v>261</v>
      </c>
      <c r="AF364" s="610" t="s">
        <v>262</v>
      </c>
    </row>
    <row r="365" spans="1:32">
      <c r="A365" s="313"/>
      <c r="B365" s="6">
        <v>1</v>
      </c>
      <c r="C365" s="320" t="s">
        <v>151</v>
      </c>
      <c r="D365" s="122">
        <v>-1</v>
      </c>
      <c r="E365" s="627">
        <v>34</v>
      </c>
      <c r="F365" s="627">
        <v>34</v>
      </c>
      <c r="G365" s="627">
        <v>34</v>
      </c>
      <c r="H365" s="627">
        <v>34</v>
      </c>
      <c r="J365" s="6">
        <v>1</v>
      </c>
      <c r="K365" s="320" t="s">
        <v>151</v>
      </c>
      <c r="L365" s="122">
        <v>-1</v>
      </c>
      <c r="M365" s="627">
        <v>46</v>
      </c>
      <c r="N365" s="627">
        <v>46</v>
      </c>
      <c r="O365" s="627">
        <v>46</v>
      </c>
      <c r="P365" s="627">
        <v>46</v>
      </c>
      <c r="R365" s="6">
        <v>1</v>
      </c>
      <c r="S365" s="320" t="s">
        <v>151</v>
      </c>
      <c r="T365" s="122">
        <v>-1</v>
      </c>
      <c r="U365" s="627">
        <v>50</v>
      </c>
      <c r="V365" s="627">
        <v>50</v>
      </c>
      <c r="W365" s="627">
        <v>50</v>
      </c>
      <c r="X365" s="627">
        <v>50</v>
      </c>
      <c r="Z365" s="6">
        <v>1</v>
      </c>
      <c r="AA365" s="320" t="s">
        <v>151</v>
      </c>
      <c r="AB365" s="122">
        <v>-1</v>
      </c>
      <c r="AC365" s="627">
        <v>46</v>
      </c>
      <c r="AD365" s="627">
        <v>46</v>
      </c>
      <c r="AE365" s="627">
        <v>46</v>
      </c>
      <c r="AF365" s="627">
        <v>46</v>
      </c>
    </row>
    <row r="366" spans="1:32">
      <c r="A366" s="313"/>
      <c r="B366" s="6">
        <v>2</v>
      </c>
      <c r="C366" s="320" t="s">
        <v>4415</v>
      </c>
      <c r="D366" s="122">
        <v>1</v>
      </c>
      <c r="E366" s="627">
        <v>26</v>
      </c>
      <c r="F366" s="627">
        <v>26</v>
      </c>
      <c r="G366" s="627">
        <v>26</v>
      </c>
      <c r="H366" s="627">
        <v>26</v>
      </c>
      <c r="J366" s="6">
        <v>2</v>
      </c>
      <c r="K366" s="320" t="s">
        <v>4415</v>
      </c>
      <c r="L366" s="122">
        <v>1</v>
      </c>
      <c r="M366" s="627">
        <v>20</v>
      </c>
      <c r="N366" s="627">
        <v>20</v>
      </c>
      <c r="O366" s="627">
        <v>20</v>
      </c>
      <c r="P366" s="627">
        <v>20</v>
      </c>
      <c r="R366" s="6">
        <v>2</v>
      </c>
      <c r="S366" s="320" t="s">
        <v>4415</v>
      </c>
      <c r="T366" s="122">
        <v>1</v>
      </c>
      <c r="U366" s="627">
        <v>18</v>
      </c>
      <c r="V366" s="627">
        <v>18</v>
      </c>
      <c r="W366" s="627">
        <v>18</v>
      </c>
      <c r="X366" s="627">
        <v>18</v>
      </c>
      <c r="Z366" s="6">
        <v>2</v>
      </c>
      <c r="AA366" s="320" t="s">
        <v>4415</v>
      </c>
      <c r="AB366" s="122">
        <v>1</v>
      </c>
      <c r="AC366" s="627">
        <v>20</v>
      </c>
      <c r="AD366" s="627">
        <v>20</v>
      </c>
      <c r="AE366" s="627">
        <v>20</v>
      </c>
      <c r="AF366" s="627">
        <v>20</v>
      </c>
    </row>
    <row r="367" spans="1:32">
      <c r="A367" s="313"/>
      <c r="B367" s="6">
        <v>3</v>
      </c>
      <c r="C367" s="320" t="s">
        <v>4416</v>
      </c>
      <c r="D367" s="122">
        <v>1</v>
      </c>
      <c r="E367" s="627">
        <v>16</v>
      </c>
      <c r="F367" s="627">
        <v>16</v>
      </c>
      <c r="G367" s="627">
        <v>16</v>
      </c>
      <c r="H367" s="627">
        <v>16</v>
      </c>
      <c r="J367" s="6">
        <v>3</v>
      </c>
      <c r="K367" s="320" t="s">
        <v>4416</v>
      </c>
      <c r="L367" s="122">
        <v>1</v>
      </c>
      <c r="M367" s="627">
        <v>16</v>
      </c>
      <c r="N367" s="627">
        <v>16</v>
      </c>
      <c r="O367" s="627">
        <v>16</v>
      </c>
      <c r="P367" s="627">
        <v>16</v>
      </c>
      <c r="R367" s="6">
        <v>3</v>
      </c>
      <c r="S367" s="320" t="s">
        <v>4416</v>
      </c>
      <c r="T367" s="122">
        <v>1</v>
      </c>
      <c r="U367" s="627">
        <v>14</v>
      </c>
      <c r="V367" s="627">
        <v>14</v>
      </c>
      <c r="W367" s="627">
        <v>14</v>
      </c>
      <c r="X367" s="627">
        <v>14</v>
      </c>
      <c r="Z367" s="6">
        <v>3</v>
      </c>
      <c r="AA367" s="320" t="s">
        <v>4416</v>
      </c>
      <c r="AB367" s="122">
        <v>1</v>
      </c>
      <c r="AC367" s="627">
        <v>16</v>
      </c>
      <c r="AD367" s="627">
        <v>16</v>
      </c>
      <c r="AE367" s="627">
        <v>16</v>
      </c>
      <c r="AF367" s="627">
        <v>16</v>
      </c>
    </row>
    <row r="368" spans="1:32">
      <c r="A368" s="313"/>
      <c r="B368" s="6">
        <v>4</v>
      </c>
      <c r="C368" s="320" t="s">
        <v>812</v>
      </c>
      <c r="D368" s="122">
        <v>1</v>
      </c>
      <c r="E368" s="627">
        <v>10</v>
      </c>
      <c r="F368" s="627">
        <v>10</v>
      </c>
      <c r="G368" s="627">
        <v>10</v>
      </c>
      <c r="H368" s="627">
        <v>10</v>
      </c>
      <c r="J368" s="6">
        <v>4</v>
      </c>
      <c r="K368" s="320" t="s">
        <v>812</v>
      </c>
      <c r="L368" s="122">
        <v>1</v>
      </c>
      <c r="M368" s="627">
        <v>8</v>
      </c>
      <c r="N368" s="627">
        <v>8</v>
      </c>
      <c r="O368" s="627">
        <v>8</v>
      </c>
      <c r="P368" s="627">
        <v>8</v>
      </c>
      <c r="R368" s="6">
        <v>4</v>
      </c>
      <c r="S368" s="320" t="s">
        <v>812</v>
      </c>
      <c r="T368" s="122">
        <v>1</v>
      </c>
      <c r="U368" s="627">
        <v>8</v>
      </c>
      <c r="V368" s="627">
        <v>8</v>
      </c>
      <c r="W368" s="627">
        <v>8</v>
      </c>
      <c r="X368" s="627">
        <v>8</v>
      </c>
      <c r="Z368" s="6">
        <v>4</v>
      </c>
      <c r="AA368" s="320" t="s">
        <v>812</v>
      </c>
      <c r="AB368" s="122">
        <v>1</v>
      </c>
      <c r="AC368" s="627">
        <v>8</v>
      </c>
      <c r="AD368" s="627">
        <v>8</v>
      </c>
      <c r="AE368" s="627">
        <v>8</v>
      </c>
      <c r="AF368" s="627">
        <v>8</v>
      </c>
    </row>
    <row r="369" spans="1:32">
      <c r="A369" s="313"/>
      <c r="B369" s="6">
        <v>5</v>
      </c>
      <c r="C369" s="320" t="s">
        <v>5196</v>
      </c>
      <c r="D369" s="122">
        <v>1</v>
      </c>
      <c r="E369" s="627">
        <v>14</v>
      </c>
      <c r="F369" s="627">
        <v>14</v>
      </c>
      <c r="G369" s="627">
        <v>14</v>
      </c>
      <c r="H369" s="627">
        <v>14</v>
      </c>
      <c r="J369" s="6">
        <v>5</v>
      </c>
      <c r="K369" s="320" t="s">
        <v>5196</v>
      </c>
      <c r="L369" s="122">
        <v>1</v>
      </c>
      <c r="M369" s="627">
        <v>10</v>
      </c>
      <c r="N369" s="627">
        <v>10</v>
      </c>
      <c r="O369" s="627">
        <v>10</v>
      </c>
      <c r="P369" s="627">
        <v>10</v>
      </c>
      <c r="R369" s="6">
        <v>5</v>
      </c>
      <c r="S369" s="320" t="s">
        <v>5196</v>
      </c>
      <c r="T369" s="122">
        <v>1</v>
      </c>
      <c r="U369" s="627">
        <v>10</v>
      </c>
      <c r="V369" s="627">
        <v>10</v>
      </c>
      <c r="W369" s="627">
        <v>10</v>
      </c>
      <c r="X369" s="627">
        <v>10</v>
      </c>
      <c r="Z369" s="6">
        <v>5</v>
      </c>
      <c r="AA369" s="320" t="s">
        <v>5196</v>
      </c>
      <c r="AB369" s="122">
        <v>1</v>
      </c>
      <c r="AC369" s="627">
        <v>10</v>
      </c>
      <c r="AD369" s="627">
        <v>10</v>
      </c>
      <c r="AE369" s="627">
        <v>10</v>
      </c>
      <c r="AF369" s="627">
        <v>10</v>
      </c>
    </row>
    <row r="370" spans="1:32">
      <c r="A370" s="313"/>
      <c r="B370" s="6">
        <v>6</v>
      </c>
      <c r="C370" s="320" t="s">
        <v>780</v>
      </c>
      <c r="D370" s="122">
        <v>1</v>
      </c>
      <c r="E370" s="627">
        <v>0</v>
      </c>
      <c r="F370" s="627">
        <v>0</v>
      </c>
      <c r="G370" s="627">
        <v>0</v>
      </c>
      <c r="H370" s="627">
        <v>0</v>
      </c>
      <c r="J370" s="6">
        <v>6</v>
      </c>
      <c r="K370" s="320" t="s">
        <v>780</v>
      </c>
      <c r="L370" s="122">
        <v>1</v>
      </c>
      <c r="M370" s="627">
        <v>0</v>
      </c>
      <c r="N370" s="627">
        <v>0</v>
      </c>
      <c r="O370" s="627">
        <v>0</v>
      </c>
      <c r="P370" s="627">
        <v>0</v>
      </c>
      <c r="R370" s="6">
        <v>6</v>
      </c>
      <c r="S370" s="320" t="s">
        <v>780</v>
      </c>
      <c r="T370" s="122">
        <v>1</v>
      </c>
      <c r="U370" s="627">
        <v>0</v>
      </c>
      <c r="V370" s="627">
        <v>0</v>
      </c>
      <c r="W370" s="627">
        <v>0</v>
      </c>
      <c r="X370" s="627">
        <v>0</v>
      </c>
      <c r="Z370" s="6">
        <v>6</v>
      </c>
      <c r="AA370" s="320" t="s">
        <v>780</v>
      </c>
      <c r="AB370" s="122">
        <v>1</v>
      </c>
      <c r="AC370" s="627">
        <v>0</v>
      </c>
      <c r="AD370" s="627">
        <v>0</v>
      </c>
      <c r="AE370" s="627">
        <v>0</v>
      </c>
      <c r="AF370" s="627">
        <v>0</v>
      </c>
    </row>
    <row r="371" spans="1:32">
      <c r="A371" s="313"/>
      <c r="B371" s="6">
        <v>7</v>
      </c>
      <c r="C371" s="320">
        <v>0</v>
      </c>
      <c r="D371" s="122">
        <v>1</v>
      </c>
      <c r="E371" s="627"/>
      <c r="F371" s="627">
        <v>0</v>
      </c>
      <c r="G371" s="627">
        <v>0</v>
      </c>
      <c r="H371" s="627">
        <v>0</v>
      </c>
      <c r="J371" s="6">
        <v>7</v>
      </c>
      <c r="K371" s="320">
        <v>0</v>
      </c>
      <c r="L371" s="122">
        <v>1</v>
      </c>
      <c r="M371" s="627"/>
      <c r="N371" s="627">
        <v>0</v>
      </c>
      <c r="O371" s="627">
        <v>0</v>
      </c>
      <c r="P371" s="627">
        <v>0</v>
      </c>
      <c r="R371" s="6">
        <v>7</v>
      </c>
      <c r="S371" s="320">
        <v>0</v>
      </c>
      <c r="T371" s="122">
        <v>1</v>
      </c>
      <c r="U371" s="627"/>
      <c r="V371" s="627">
        <v>0</v>
      </c>
      <c r="W371" s="627">
        <v>0</v>
      </c>
      <c r="X371" s="627">
        <v>0</v>
      </c>
      <c r="Z371" s="6">
        <v>7</v>
      </c>
      <c r="AA371" s="320">
        <v>0</v>
      </c>
      <c r="AB371" s="122">
        <v>1</v>
      </c>
      <c r="AC371" s="627"/>
      <c r="AD371" s="627">
        <v>0</v>
      </c>
      <c r="AE371" s="627">
        <v>0</v>
      </c>
      <c r="AF371" s="627">
        <v>0</v>
      </c>
    </row>
    <row r="372" spans="1:32">
      <c r="A372" s="313"/>
      <c r="B372" s="6">
        <v>8</v>
      </c>
      <c r="C372" s="320">
        <v>0</v>
      </c>
      <c r="D372" s="122">
        <v>1</v>
      </c>
      <c r="E372" s="627"/>
      <c r="F372" s="627">
        <v>0</v>
      </c>
      <c r="G372" s="627">
        <v>0</v>
      </c>
      <c r="H372" s="627">
        <v>0</v>
      </c>
      <c r="J372" s="6">
        <v>8</v>
      </c>
      <c r="K372" s="320">
        <v>0</v>
      </c>
      <c r="L372" s="122">
        <v>1</v>
      </c>
      <c r="M372" s="627"/>
      <c r="N372" s="627">
        <v>0</v>
      </c>
      <c r="O372" s="627">
        <v>0</v>
      </c>
      <c r="P372" s="627">
        <v>0</v>
      </c>
      <c r="R372" s="6">
        <v>8</v>
      </c>
      <c r="S372" s="320">
        <v>0</v>
      </c>
      <c r="T372" s="122">
        <v>1</v>
      </c>
      <c r="U372" s="627"/>
      <c r="V372" s="627">
        <v>0</v>
      </c>
      <c r="W372" s="627">
        <v>0</v>
      </c>
      <c r="X372" s="627">
        <v>0</v>
      </c>
      <c r="Z372" s="6">
        <v>8</v>
      </c>
      <c r="AA372" s="320">
        <v>0</v>
      </c>
      <c r="AB372" s="122">
        <v>1</v>
      </c>
      <c r="AC372" s="627"/>
      <c r="AD372" s="627">
        <v>0</v>
      </c>
      <c r="AE372" s="627">
        <v>0</v>
      </c>
      <c r="AF372" s="627">
        <v>0</v>
      </c>
    </row>
    <row r="373" spans="1:32">
      <c r="A373" s="313"/>
      <c r="B373" s="6">
        <v>9</v>
      </c>
      <c r="C373" s="320">
        <v>0</v>
      </c>
      <c r="D373" s="122">
        <v>1</v>
      </c>
      <c r="E373" s="627"/>
      <c r="F373" s="627">
        <v>0</v>
      </c>
      <c r="G373" s="627">
        <v>0</v>
      </c>
      <c r="H373" s="627">
        <v>0</v>
      </c>
      <c r="J373" s="6">
        <v>9</v>
      </c>
      <c r="K373" s="320">
        <v>0</v>
      </c>
      <c r="L373" s="122">
        <v>1</v>
      </c>
      <c r="M373" s="627"/>
      <c r="N373" s="627">
        <v>0</v>
      </c>
      <c r="O373" s="627">
        <v>0</v>
      </c>
      <c r="P373" s="627">
        <v>0</v>
      </c>
      <c r="R373" s="6">
        <v>9</v>
      </c>
      <c r="S373" s="320">
        <v>0</v>
      </c>
      <c r="T373" s="122">
        <v>1</v>
      </c>
      <c r="U373" s="627"/>
      <c r="V373" s="627">
        <v>0</v>
      </c>
      <c r="W373" s="627">
        <v>0</v>
      </c>
      <c r="X373" s="627">
        <v>0</v>
      </c>
      <c r="Z373" s="6">
        <v>9</v>
      </c>
      <c r="AA373" s="320">
        <v>0</v>
      </c>
      <c r="AB373" s="122">
        <v>1</v>
      </c>
      <c r="AC373" s="627"/>
      <c r="AD373" s="627">
        <v>0</v>
      </c>
      <c r="AE373" s="627">
        <v>0</v>
      </c>
      <c r="AF373" s="627">
        <v>0</v>
      </c>
    </row>
    <row r="374" spans="1:32">
      <c r="A374" s="313"/>
      <c r="B374" s="6">
        <v>10</v>
      </c>
      <c r="C374" s="320">
        <v>0</v>
      </c>
      <c r="D374" s="122">
        <v>1</v>
      </c>
      <c r="E374" s="627"/>
      <c r="F374" s="627">
        <v>0</v>
      </c>
      <c r="G374" s="627">
        <v>0</v>
      </c>
      <c r="H374" s="627">
        <v>0</v>
      </c>
      <c r="J374" s="6">
        <v>10</v>
      </c>
      <c r="K374" s="320">
        <v>0</v>
      </c>
      <c r="L374" s="122">
        <v>1</v>
      </c>
      <c r="M374" s="627"/>
      <c r="N374" s="627">
        <v>0</v>
      </c>
      <c r="O374" s="627">
        <v>0</v>
      </c>
      <c r="P374" s="627">
        <v>0</v>
      </c>
      <c r="R374" s="6">
        <v>10</v>
      </c>
      <c r="S374" s="320">
        <v>0</v>
      </c>
      <c r="T374" s="122">
        <v>1</v>
      </c>
      <c r="U374" s="627"/>
      <c r="V374" s="627">
        <v>0</v>
      </c>
      <c r="W374" s="627">
        <v>0</v>
      </c>
      <c r="X374" s="627">
        <v>0</v>
      </c>
      <c r="Z374" s="6">
        <v>10</v>
      </c>
      <c r="AA374" s="320">
        <v>0</v>
      </c>
      <c r="AB374" s="122">
        <v>1</v>
      </c>
      <c r="AC374" s="627"/>
      <c r="AD374" s="627">
        <v>0</v>
      </c>
      <c r="AE374" s="627">
        <v>0</v>
      </c>
      <c r="AF374" s="627">
        <v>0</v>
      </c>
    </row>
    <row r="375" spans="1:32">
      <c r="A375" s="313"/>
      <c r="C375" s="7" t="s">
        <v>835</v>
      </c>
      <c r="H375" s="610"/>
      <c r="K375" s="7" t="s">
        <v>836</v>
      </c>
      <c r="P375" s="610"/>
      <c r="S375" s="7" t="s">
        <v>837</v>
      </c>
      <c r="X375" s="610"/>
      <c r="AA375" s="7" t="s">
        <v>838</v>
      </c>
      <c r="AF375" s="610"/>
    </row>
    <row r="376" spans="1:32">
      <c r="A376" s="313"/>
      <c r="C376" s="112" t="s">
        <v>283</v>
      </c>
      <c r="H376" s="610"/>
      <c r="J376" s="112" t="s">
        <v>283</v>
      </c>
      <c r="K376" s="112"/>
      <c r="L376" s="112"/>
      <c r="P376" s="610"/>
      <c r="R376" s="112" t="s">
        <v>283</v>
      </c>
      <c r="X376" s="610"/>
      <c r="AA376" s="112" t="s">
        <v>283</v>
      </c>
      <c r="AF376" s="610"/>
    </row>
    <row r="377" spans="1:32">
      <c r="A377" s="313"/>
      <c r="H377" s="610"/>
      <c r="P377" s="610"/>
      <c r="X377" s="610"/>
      <c r="AF377" s="610"/>
    </row>
    <row r="378" spans="1:32">
      <c r="A378" s="315"/>
      <c r="B378" s="7" t="s">
        <v>13792</v>
      </c>
      <c r="H378" s="610"/>
      <c r="J378" s="7" t="s">
        <v>13793</v>
      </c>
      <c r="K378" s="7"/>
      <c r="P378" s="610"/>
      <c r="R378" s="7" t="s">
        <v>13794</v>
      </c>
      <c r="S378" s="7"/>
      <c r="X378" s="610"/>
      <c r="Z378" s="7" t="s">
        <v>13795</v>
      </c>
      <c r="AA378" s="7"/>
      <c r="AF378" s="610"/>
    </row>
    <row r="379" spans="1:32">
      <c r="A379" s="315"/>
      <c r="C379" s="7" t="s">
        <v>281</v>
      </c>
      <c r="D379" s="6" t="s">
        <v>282</v>
      </c>
      <c r="E379" s="610" t="s">
        <v>259</v>
      </c>
      <c r="F379" s="610" t="s">
        <v>260</v>
      </c>
      <c r="G379" s="610" t="s">
        <v>261</v>
      </c>
      <c r="H379" s="610" t="s">
        <v>262</v>
      </c>
      <c r="K379" s="7" t="s">
        <v>281</v>
      </c>
      <c r="L379" s="6" t="s">
        <v>282</v>
      </c>
      <c r="M379" s="610" t="s">
        <v>259</v>
      </c>
      <c r="N379" s="610" t="s">
        <v>260</v>
      </c>
      <c r="O379" s="610" t="s">
        <v>261</v>
      </c>
      <c r="P379" s="610" t="s">
        <v>262</v>
      </c>
      <c r="S379" s="7" t="s">
        <v>281</v>
      </c>
      <c r="T379" s="6" t="s">
        <v>282</v>
      </c>
      <c r="U379" s="610" t="s">
        <v>259</v>
      </c>
      <c r="V379" s="610" t="s">
        <v>260</v>
      </c>
      <c r="W379" s="610" t="s">
        <v>261</v>
      </c>
      <c r="X379" s="610" t="s">
        <v>262</v>
      </c>
      <c r="AA379" s="7" t="s">
        <v>281</v>
      </c>
      <c r="AB379" s="6" t="s">
        <v>282</v>
      </c>
      <c r="AC379" s="610" t="s">
        <v>259</v>
      </c>
      <c r="AD379" s="610" t="s">
        <v>260</v>
      </c>
      <c r="AE379" s="610" t="s">
        <v>261</v>
      </c>
      <c r="AF379" s="610" t="s">
        <v>262</v>
      </c>
    </row>
    <row r="380" spans="1:32">
      <c r="A380" s="315"/>
      <c r="B380" s="6">
        <v>1</v>
      </c>
      <c r="C380" s="320" t="s">
        <v>151</v>
      </c>
      <c r="D380" s="122">
        <v>-1</v>
      </c>
      <c r="E380" s="627">
        <v>20</v>
      </c>
      <c r="F380" s="627">
        <v>20</v>
      </c>
      <c r="G380" s="627">
        <v>20</v>
      </c>
      <c r="H380" s="627">
        <v>20</v>
      </c>
      <c r="J380" s="6">
        <v>1</v>
      </c>
      <c r="K380" s="320" t="s">
        <v>151</v>
      </c>
      <c r="L380" s="122">
        <v>-1</v>
      </c>
      <c r="M380" s="627">
        <v>28</v>
      </c>
      <c r="N380" s="627">
        <v>28</v>
      </c>
      <c r="O380" s="627">
        <v>28</v>
      </c>
      <c r="P380" s="627">
        <v>28</v>
      </c>
      <c r="R380" s="6">
        <v>1</v>
      </c>
      <c r="S380" s="320" t="s">
        <v>151</v>
      </c>
      <c r="T380" s="122">
        <v>-1</v>
      </c>
      <c r="U380" s="627">
        <v>34</v>
      </c>
      <c r="V380" s="627">
        <v>34</v>
      </c>
      <c r="W380" s="627">
        <v>34</v>
      </c>
      <c r="X380" s="627">
        <v>34</v>
      </c>
      <c r="Z380" s="6">
        <v>1</v>
      </c>
      <c r="AA380" s="320" t="s">
        <v>151</v>
      </c>
      <c r="AB380" s="122">
        <v>-1</v>
      </c>
      <c r="AC380" s="627">
        <v>30</v>
      </c>
      <c r="AD380" s="627">
        <v>30</v>
      </c>
      <c r="AE380" s="627">
        <v>30</v>
      </c>
      <c r="AF380" s="627">
        <v>30</v>
      </c>
    </row>
    <row r="381" spans="1:32">
      <c r="A381" s="315"/>
      <c r="B381" s="6">
        <v>2</v>
      </c>
      <c r="C381" s="320" t="s">
        <v>4415</v>
      </c>
      <c r="D381" s="122">
        <v>1</v>
      </c>
      <c r="E381" s="627">
        <v>24</v>
      </c>
      <c r="F381" s="627">
        <v>24</v>
      </c>
      <c r="G381" s="627">
        <v>24</v>
      </c>
      <c r="H381" s="627">
        <v>24</v>
      </c>
      <c r="J381" s="6">
        <v>2</v>
      </c>
      <c r="K381" s="320" t="s">
        <v>4415</v>
      </c>
      <c r="L381" s="122">
        <v>1</v>
      </c>
      <c r="M381" s="627">
        <v>20</v>
      </c>
      <c r="N381" s="627">
        <v>20</v>
      </c>
      <c r="O381" s="627">
        <v>20</v>
      </c>
      <c r="P381" s="627">
        <v>20</v>
      </c>
      <c r="R381" s="6">
        <v>2</v>
      </c>
      <c r="S381" s="320" t="s">
        <v>4415</v>
      </c>
      <c r="T381" s="122">
        <v>1</v>
      </c>
      <c r="U381" s="627">
        <v>24</v>
      </c>
      <c r="V381" s="627">
        <v>24</v>
      </c>
      <c r="W381" s="627">
        <v>24</v>
      </c>
      <c r="X381" s="627">
        <v>24</v>
      </c>
      <c r="Z381" s="6">
        <v>2</v>
      </c>
      <c r="AA381" s="320" t="s">
        <v>4415</v>
      </c>
      <c r="AB381" s="122">
        <v>1</v>
      </c>
      <c r="AC381" s="627">
        <v>18</v>
      </c>
      <c r="AD381" s="627">
        <v>18</v>
      </c>
      <c r="AE381" s="627">
        <v>18</v>
      </c>
      <c r="AF381" s="627">
        <v>18</v>
      </c>
    </row>
    <row r="382" spans="1:32">
      <c r="A382" s="315"/>
      <c r="B382" s="6">
        <v>3</v>
      </c>
      <c r="C382" s="320" t="s">
        <v>4416</v>
      </c>
      <c r="D382" s="122">
        <v>1</v>
      </c>
      <c r="E382" s="627">
        <v>16</v>
      </c>
      <c r="F382" s="627">
        <v>16</v>
      </c>
      <c r="G382" s="627">
        <v>16</v>
      </c>
      <c r="H382" s="627">
        <v>16</v>
      </c>
      <c r="J382" s="6">
        <v>3</v>
      </c>
      <c r="K382" s="320" t="s">
        <v>4416</v>
      </c>
      <c r="L382" s="122">
        <v>1</v>
      </c>
      <c r="M382" s="627">
        <v>12</v>
      </c>
      <c r="N382" s="627">
        <v>12</v>
      </c>
      <c r="O382" s="627">
        <v>12</v>
      </c>
      <c r="P382" s="627">
        <v>12</v>
      </c>
      <c r="R382" s="6">
        <v>3</v>
      </c>
      <c r="S382" s="320" t="s">
        <v>4416</v>
      </c>
      <c r="T382" s="122">
        <v>1</v>
      </c>
      <c r="U382" s="627">
        <v>10</v>
      </c>
      <c r="V382" s="627">
        <v>10</v>
      </c>
      <c r="W382" s="627">
        <v>10</v>
      </c>
      <c r="X382" s="627">
        <v>10</v>
      </c>
      <c r="Z382" s="6">
        <v>3</v>
      </c>
      <c r="AA382" s="320" t="s">
        <v>4416</v>
      </c>
      <c r="AB382" s="122">
        <v>1</v>
      </c>
      <c r="AC382" s="627">
        <v>14</v>
      </c>
      <c r="AD382" s="627">
        <v>14</v>
      </c>
      <c r="AE382" s="627">
        <v>14</v>
      </c>
      <c r="AF382" s="627">
        <v>14</v>
      </c>
    </row>
    <row r="383" spans="1:32">
      <c r="A383" s="315"/>
      <c r="B383" s="6">
        <v>4</v>
      </c>
      <c r="C383" s="320" t="s">
        <v>812</v>
      </c>
      <c r="D383" s="122">
        <v>1</v>
      </c>
      <c r="E383" s="627">
        <v>8</v>
      </c>
      <c r="F383" s="627">
        <v>8</v>
      </c>
      <c r="G383" s="627">
        <v>8</v>
      </c>
      <c r="H383" s="627">
        <v>8</v>
      </c>
      <c r="J383" s="6">
        <v>4</v>
      </c>
      <c r="K383" s="320" t="s">
        <v>812</v>
      </c>
      <c r="L383" s="122">
        <v>1</v>
      </c>
      <c r="M383" s="627">
        <v>4</v>
      </c>
      <c r="N383" s="627">
        <v>4</v>
      </c>
      <c r="O383" s="627">
        <v>4</v>
      </c>
      <c r="P383" s="627">
        <v>4</v>
      </c>
      <c r="R383" s="6">
        <v>4</v>
      </c>
      <c r="S383" s="320" t="s">
        <v>812</v>
      </c>
      <c r="T383" s="122">
        <v>1</v>
      </c>
      <c r="U383" s="627">
        <v>6</v>
      </c>
      <c r="V383" s="627">
        <v>6</v>
      </c>
      <c r="W383" s="627">
        <v>6</v>
      </c>
      <c r="X383" s="627">
        <v>6</v>
      </c>
      <c r="Z383" s="6">
        <v>4</v>
      </c>
      <c r="AA383" s="320" t="s">
        <v>812</v>
      </c>
      <c r="AB383" s="122">
        <v>1</v>
      </c>
      <c r="AC383" s="627">
        <v>10</v>
      </c>
      <c r="AD383" s="627">
        <v>10</v>
      </c>
      <c r="AE383" s="627">
        <v>10</v>
      </c>
      <c r="AF383" s="627">
        <v>10</v>
      </c>
    </row>
    <row r="384" spans="1:32">
      <c r="A384" s="315"/>
      <c r="B384" s="6">
        <v>5</v>
      </c>
      <c r="C384" s="320" t="s">
        <v>5196</v>
      </c>
      <c r="D384" s="122">
        <v>1</v>
      </c>
      <c r="E384" s="627">
        <v>10</v>
      </c>
      <c r="F384" s="627">
        <v>10</v>
      </c>
      <c r="G384" s="627">
        <v>10</v>
      </c>
      <c r="H384" s="627">
        <v>10</v>
      </c>
      <c r="J384" s="6">
        <v>5</v>
      </c>
      <c r="K384" s="320" t="s">
        <v>5196</v>
      </c>
      <c r="L384" s="122">
        <v>1</v>
      </c>
      <c r="M384" s="627">
        <v>10</v>
      </c>
      <c r="N384" s="627">
        <v>10</v>
      </c>
      <c r="O384" s="627">
        <v>10</v>
      </c>
      <c r="P384" s="627">
        <v>10</v>
      </c>
      <c r="R384" s="6">
        <v>5</v>
      </c>
      <c r="S384" s="320" t="s">
        <v>5196</v>
      </c>
      <c r="T384" s="122">
        <v>1</v>
      </c>
      <c r="U384" s="627">
        <v>4</v>
      </c>
      <c r="V384" s="627">
        <v>4</v>
      </c>
      <c r="W384" s="627">
        <v>4</v>
      </c>
      <c r="X384" s="627">
        <v>4</v>
      </c>
      <c r="Z384" s="6">
        <v>5</v>
      </c>
      <c r="AA384" s="320" t="s">
        <v>5196</v>
      </c>
      <c r="AB384" s="122">
        <v>1</v>
      </c>
      <c r="AC384" s="627">
        <v>6</v>
      </c>
      <c r="AD384" s="627">
        <v>6</v>
      </c>
      <c r="AE384" s="627">
        <v>6</v>
      </c>
      <c r="AF384" s="627">
        <v>6</v>
      </c>
    </row>
    <row r="385" spans="1:32">
      <c r="A385" s="315"/>
      <c r="B385" s="6">
        <v>6</v>
      </c>
      <c r="C385" s="320" t="s">
        <v>780</v>
      </c>
      <c r="D385" s="122">
        <v>1</v>
      </c>
      <c r="E385" s="627">
        <v>22</v>
      </c>
      <c r="F385" s="627">
        <v>22</v>
      </c>
      <c r="G385" s="627">
        <v>22</v>
      </c>
      <c r="H385" s="627">
        <v>22</v>
      </c>
      <c r="J385" s="6">
        <v>6</v>
      </c>
      <c r="K385" s="320" t="s">
        <v>780</v>
      </c>
      <c r="L385" s="122">
        <v>1</v>
      </c>
      <c r="M385" s="627">
        <v>26</v>
      </c>
      <c r="N385" s="627">
        <v>26</v>
      </c>
      <c r="O385" s="627">
        <v>26</v>
      </c>
      <c r="P385" s="627">
        <v>26</v>
      </c>
      <c r="R385" s="6">
        <v>6</v>
      </c>
      <c r="S385" s="320" t="s">
        <v>780</v>
      </c>
      <c r="T385" s="122">
        <v>1</v>
      </c>
      <c r="U385" s="627">
        <v>22</v>
      </c>
      <c r="V385" s="627">
        <v>22</v>
      </c>
      <c r="W385" s="627">
        <v>22</v>
      </c>
      <c r="X385" s="627">
        <v>22</v>
      </c>
      <c r="Z385" s="6">
        <v>6</v>
      </c>
      <c r="AA385" s="320" t="s">
        <v>780</v>
      </c>
      <c r="AB385" s="122">
        <v>1</v>
      </c>
      <c r="AC385" s="627">
        <v>22</v>
      </c>
      <c r="AD385" s="627">
        <v>22</v>
      </c>
      <c r="AE385" s="627">
        <v>22</v>
      </c>
      <c r="AF385" s="627">
        <v>22</v>
      </c>
    </row>
    <row r="386" spans="1:32">
      <c r="A386" s="315"/>
      <c r="B386" s="6">
        <v>7</v>
      </c>
      <c r="C386" s="320">
        <v>0</v>
      </c>
      <c r="D386" s="122">
        <v>1</v>
      </c>
      <c r="E386" s="123"/>
      <c r="F386" s="627">
        <v>0</v>
      </c>
      <c r="G386" s="627">
        <v>0</v>
      </c>
      <c r="H386" s="627">
        <v>0</v>
      </c>
      <c r="J386" s="6">
        <v>7</v>
      </c>
      <c r="K386" s="320">
        <v>0</v>
      </c>
      <c r="L386" s="122">
        <v>1</v>
      </c>
      <c r="M386" s="627">
        <v>0</v>
      </c>
      <c r="N386" s="627">
        <v>0</v>
      </c>
      <c r="O386" s="627">
        <v>0</v>
      </c>
      <c r="P386" s="627">
        <v>0</v>
      </c>
      <c r="R386" s="6">
        <v>7</v>
      </c>
      <c r="S386" s="320">
        <v>0</v>
      </c>
      <c r="T386" s="122">
        <v>1</v>
      </c>
      <c r="U386" s="627"/>
      <c r="V386" s="627">
        <v>0</v>
      </c>
      <c r="W386" s="627">
        <v>0</v>
      </c>
      <c r="X386" s="627">
        <v>0</v>
      </c>
      <c r="Z386" s="6">
        <v>7</v>
      </c>
      <c r="AA386" s="320">
        <v>0</v>
      </c>
      <c r="AB386" s="122">
        <v>1</v>
      </c>
      <c r="AC386" s="627"/>
      <c r="AD386" s="627">
        <v>0</v>
      </c>
      <c r="AE386" s="627">
        <v>0</v>
      </c>
      <c r="AF386" s="627">
        <v>0</v>
      </c>
    </row>
    <row r="387" spans="1:32">
      <c r="A387" s="315"/>
      <c r="B387" s="6">
        <v>8</v>
      </c>
      <c r="C387" s="320">
        <v>0</v>
      </c>
      <c r="D387" s="122">
        <v>1</v>
      </c>
      <c r="E387" s="123"/>
      <c r="F387" s="627">
        <v>0</v>
      </c>
      <c r="G387" s="627">
        <v>0</v>
      </c>
      <c r="H387" s="627">
        <v>0</v>
      </c>
      <c r="J387" s="6">
        <v>8</v>
      </c>
      <c r="K387" s="320">
        <v>0</v>
      </c>
      <c r="L387" s="122">
        <v>1</v>
      </c>
      <c r="M387" s="627">
        <v>0</v>
      </c>
      <c r="N387" s="627">
        <v>0</v>
      </c>
      <c r="O387" s="627">
        <v>0</v>
      </c>
      <c r="P387" s="627">
        <v>0</v>
      </c>
      <c r="R387" s="6">
        <v>8</v>
      </c>
      <c r="S387" s="320">
        <v>0</v>
      </c>
      <c r="T387" s="122">
        <v>1</v>
      </c>
      <c r="U387" s="627"/>
      <c r="V387" s="627">
        <v>0</v>
      </c>
      <c r="W387" s="627">
        <v>0</v>
      </c>
      <c r="X387" s="627">
        <v>0</v>
      </c>
      <c r="Z387" s="6">
        <v>8</v>
      </c>
      <c r="AA387" s="320">
        <v>0</v>
      </c>
      <c r="AB387" s="122">
        <v>1</v>
      </c>
      <c r="AC387" s="627"/>
      <c r="AD387" s="627">
        <v>0</v>
      </c>
      <c r="AE387" s="627">
        <v>0</v>
      </c>
      <c r="AF387" s="627">
        <v>0</v>
      </c>
    </row>
    <row r="388" spans="1:32">
      <c r="A388" s="315"/>
      <c r="B388" s="6">
        <v>9</v>
      </c>
      <c r="C388" s="320">
        <v>0</v>
      </c>
      <c r="D388" s="122">
        <v>1</v>
      </c>
      <c r="E388" s="123"/>
      <c r="F388" s="627">
        <v>0</v>
      </c>
      <c r="G388" s="627">
        <v>0</v>
      </c>
      <c r="H388" s="627">
        <v>0</v>
      </c>
      <c r="J388" s="6">
        <v>9</v>
      </c>
      <c r="K388" s="320">
        <v>0</v>
      </c>
      <c r="L388" s="122">
        <v>1</v>
      </c>
      <c r="M388" s="627">
        <v>0</v>
      </c>
      <c r="N388" s="627">
        <v>0</v>
      </c>
      <c r="O388" s="627">
        <v>0</v>
      </c>
      <c r="P388" s="627">
        <v>0</v>
      </c>
      <c r="R388" s="6">
        <v>9</v>
      </c>
      <c r="S388" s="320">
        <v>0</v>
      </c>
      <c r="T388" s="122">
        <v>1</v>
      </c>
      <c r="U388" s="627"/>
      <c r="V388" s="627">
        <v>0</v>
      </c>
      <c r="W388" s="627">
        <v>0</v>
      </c>
      <c r="X388" s="627">
        <v>0</v>
      </c>
      <c r="Z388" s="6">
        <v>9</v>
      </c>
      <c r="AA388" s="320">
        <v>0</v>
      </c>
      <c r="AB388" s="122">
        <v>1</v>
      </c>
      <c r="AC388" s="627"/>
      <c r="AD388" s="627">
        <v>0</v>
      </c>
      <c r="AE388" s="627">
        <v>0</v>
      </c>
      <c r="AF388" s="627">
        <v>0</v>
      </c>
    </row>
    <row r="389" spans="1:32">
      <c r="A389" s="315"/>
      <c r="B389" s="6">
        <v>10</v>
      </c>
      <c r="C389" s="320">
        <v>0</v>
      </c>
      <c r="D389" s="122">
        <v>1</v>
      </c>
      <c r="E389" s="123"/>
      <c r="F389" s="627">
        <v>0</v>
      </c>
      <c r="G389" s="627">
        <v>0</v>
      </c>
      <c r="H389" s="627">
        <v>0</v>
      </c>
      <c r="J389" s="6">
        <v>10</v>
      </c>
      <c r="K389" s="320">
        <v>0</v>
      </c>
      <c r="L389" s="122">
        <v>1</v>
      </c>
      <c r="M389" s="627">
        <v>0</v>
      </c>
      <c r="N389" s="627">
        <v>0</v>
      </c>
      <c r="O389" s="627">
        <v>0</v>
      </c>
      <c r="P389" s="627">
        <v>0</v>
      </c>
      <c r="R389" s="6">
        <v>10</v>
      </c>
      <c r="S389" s="320">
        <v>0</v>
      </c>
      <c r="T389" s="122">
        <v>1</v>
      </c>
      <c r="U389" s="627"/>
      <c r="V389" s="627">
        <v>0</v>
      </c>
      <c r="W389" s="627">
        <v>0</v>
      </c>
      <c r="X389" s="627">
        <v>0</v>
      </c>
      <c r="Z389" s="6">
        <v>10</v>
      </c>
      <c r="AA389" s="320">
        <v>0</v>
      </c>
      <c r="AB389" s="122">
        <v>1</v>
      </c>
      <c r="AC389" s="627"/>
      <c r="AD389" s="627">
        <v>0</v>
      </c>
      <c r="AE389" s="627">
        <v>0</v>
      </c>
      <c r="AF389" s="627">
        <v>0</v>
      </c>
    </row>
    <row r="390" spans="1:32">
      <c r="A390" s="315"/>
      <c r="C390" s="7" t="s">
        <v>839</v>
      </c>
      <c r="E390" s="6">
        <v>100</v>
      </c>
      <c r="H390" s="610"/>
      <c r="K390" s="7" t="s">
        <v>840</v>
      </c>
      <c r="M390" s="610">
        <v>100</v>
      </c>
      <c r="P390" s="610"/>
      <c r="S390" s="7" t="s">
        <v>841</v>
      </c>
      <c r="U390" s="610">
        <v>100</v>
      </c>
      <c r="X390" s="610"/>
      <c r="AA390" s="7" t="s">
        <v>842</v>
      </c>
      <c r="AC390" s="610">
        <v>100</v>
      </c>
      <c r="AF390" s="610"/>
    </row>
    <row r="391" spans="1:32">
      <c r="A391" s="315"/>
      <c r="C391" s="112" t="s">
        <v>283</v>
      </c>
      <c r="H391" s="610"/>
      <c r="J391" s="112" t="s">
        <v>283</v>
      </c>
      <c r="K391" s="112"/>
      <c r="L391" s="112"/>
      <c r="P391" s="610"/>
      <c r="R391" s="112" t="s">
        <v>283</v>
      </c>
      <c r="X391" s="610"/>
      <c r="AA391" s="112" t="s">
        <v>283</v>
      </c>
      <c r="AF391" s="610"/>
    </row>
    <row r="392" spans="1:32">
      <c r="A392" s="315"/>
      <c r="H392" s="610"/>
      <c r="P392" s="610"/>
      <c r="X392" s="610"/>
      <c r="AF392" s="610"/>
    </row>
    <row r="393" spans="1:32">
      <c r="A393" s="315"/>
      <c r="B393" s="7" t="s">
        <v>13796</v>
      </c>
      <c r="H393" s="610"/>
      <c r="J393" s="7" t="s">
        <v>13797</v>
      </c>
      <c r="K393" s="7"/>
      <c r="P393" s="610"/>
      <c r="R393" s="7" t="s">
        <v>13798</v>
      </c>
      <c r="S393" s="7"/>
      <c r="X393" s="610"/>
      <c r="Z393" s="7" t="s">
        <v>13799</v>
      </c>
      <c r="AA393" s="7"/>
      <c r="AF393" s="610"/>
    </row>
    <row r="394" spans="1:32">
      <c r="A394" s="315"/>
      <c r="C394" s="7" t="s">
        <v>281</v>
      </c>
      <c r="D394" s="6" t="s">
        <v>282</v>
      </c>
      <c r="E394" s="610" t="s">
        <v>259</v>
      </c>
      <c r="F394" s="610" t="s">
        <v>260</v>
      </c>
      <c r="G394" s="610" t="s">
        <v>261</v>
      </c>
      <c r="H394" s="610" t="s">
        <v>262</v>
      </c>
      <c r="K394" s="7" t="s">
        <v>281</v>
      </c>
      <c r="L394" s="6" t="s">
        <v>282</v>
      </c>
      <c r="M394" s="610" t="s">
        <v>259</v>
      </c>
      <c r="N394" s="610" t="s">
        <v>260</v>
      </c>
      <c r="O394" s="610" t="s">
        <v>261</v>
      </c>
      <c r="P394" s="610" t="s">
        <v>262</v>
      </c>
      <c r="S394" s="7" t="s">
        <v>281</v>
      </c>
      <c r="T394" s="6" t="s">
        <v>282</v>
      </c>
      <c r="U394" s="610" t="s">
        <v>259</v>
      </c>
      <c r="V394" s="610" t="s">
        <v>260</v>
      </c>
      <c r="W394" s="610" t="s">
        <v>261</v>
      </c>
      <c r="X394" s="610" t="s">
        <v>262</v>
      </c>
      <c r="AA394" s="7" t="s">
        <v>281</v>
      </c>
      <c r="AB394" s="6" t="s">
        <v>282</v>
      </c>
      <c r="AC394" s="610" t="s">
        <v>259</v>
      </c>
      <c r="AD394" s="610" t="s">
        <v>260</v>
      </c>
      <c r="AE394" s="610" t="s">
        <v>261</v>
      </c>
      <c r="AF394" s="610" t="s">
        <v>262</v>
      </c>
    </row>
    <row r="395" spans="1:32">
      <c r="A395" s="315"/>
      <c r="B395" s="6">
        <v>1</v>
      </c>
      <c r="C395" s="320" t="s">
        <v>151</v>
      </c>
      <c r="D395" s="122">
        <v>-1</v>
      </c>
      <c r="E395" s="627">
        <v>20</v>
      </c>
      <c r="F395" s="627">
        <v>20</v>
      </c>
      <c r="G395" s="627">
        <v>20</v>
      </c>
      <c r="H395" s="627">
        <v>20</v>
      </c>
      <c r="J395" s="6">
        <v>1</v>
      </c>
      <c r="K395" s="320" t="s">
        <v>151</v>
      </c>
      <c r="L395" s="122">
        <v>-1</v>
      </c>
      <c r="M395" s="627">
        <v>28</v>
      </c>
      <c r="N395" s="627">
        <v>28</v>
      </c>
      <c r="O395" s="627">
        <v>28</v>
      </c>
      <c r="P395" s="627">
        <v>28</v>
      </c>
      <c r="R395" s="6">
        <v>1</v>
      </c>
      <c r="S395" s="320" t="s">
        <v>151</v>
      </c>
      <c r="T395" s="122">
        <v>-1</v>
      </c>
      <c r="U395" s="627">
        <v>34</v>
      </c>
      <c r="V395" s="627">
        <v>34</v>
      </c>
      <c r="W395" s="627">
        <v>34</v>
      </c>
      <c r="X395" s="627">
        <v>34</v>
      </c>
      <c r="Z395" s="6">
        <v>1</v>
      </c>
      <c r="AA395" s="320" t="s">
        <v>151</v>
      </c>
      <c r="AB395" s="122">
        <v>-1</v>
      </c>
      <c r="AC395" s="627">
        <v>30</v>
      </c>
      <c r="AD395" s="627">
        <v>30</v>
      </c>
      <c r="AE395" s="627">
        <v>30</v>
      </c>
      <c r="AF395" s="627">
        <v>30</v>
      </c>
    </row>
    <row r="396" spans="1:32">
      <c r="A396" s="315"/>
      <c r="B396" s="6">
        <v>2</v>
      </c>
      <c r="C396" s="320" t="s">
        <v>4415</v>
      </c>
      <c r="D396" s="122">
        <v>1</v>
      </c>
      <c r="E396" s="627">
        <v>24</v>
      </c>
      <c r="F396" s="627">
        <v>24</v>
      </c>
      <c r="G396" s="627">
        <v>24</v>
      </c>
      <c r="H396" s="627">
        <v>24</v>
      </c>
      <c r="J396" s="6">
        <v>2</v>
      </c>
      <c r="K396" s="320" t="s">
        <v>4415</v>
      </c>
      <c r="L396" s="122">
        <v>1</v>
      </c>
      <c r="M396" s="627">
        <v>20</v>
      </c>
      <c r="N396" s="627">
        <v>20</v>
      </c>
      <c r="O396" s="627">
        <v>20</v>
      </c>
      <c r="P396" s="627">
        <v>20</v>
      </c>
      <c r="R396" s="6">
        <v>2</v>
      </c>
      <c r="S396" s="320" t="s">
        <v>4415</v>
      </c>
      <c r="T396" s="122">
        <v>1</v>
      </c>
      <c r="U396" s="627">
        <v>24</v>
      </c>
      <c r="V396" s="627">
        <v>24</v>
      </c>
      <c r="W396" s="627">
        <v>24</v>
      </c>
      <c r="X396" s="627">
        <v>24</v>
      </c>
      <c r="Z396" s="6">
        <v>2</v>
      </c>
      <c r="AA396" s="320" t="s">
        <v>4415</v>
      </c>
      <c r="AB396" s="122">
        <v>1</v>
      </c>
      <c r="AC396" s="627">
        <v>18</v>
      </c>
      <c r="AD396" s="627">
        <v>18</v>
      </c>
      <c r="AE396" s="627">
        <v>18</v>
      </c>
      <c r="AF396" s="627">
        <v>18</v>
      </c>
    </row>
    <row r="397" spans="1:32">
      <c r="A397" s="315"/>
      <c r="B397" s="6">
        <v>3</v>
      </c>
      <c r="C397" s="320" t="s">
        <v>4416</v>
      </c>
      <c r="D397" s="122">
        <v>1</v>
      </c>
      <c r="E397" s="627">
        <v>16</v>
      </c>
      <c r="F397" s="627">
        <v>16</v>
      </c>
      <c r="G397" s="627">
        <v>16</v>
      </c>
      <c r="H397" s="627">
        <v>16</v>
      </c>
      <c r="J397" s="6">
        <v>3</v>
      </c>
      <c r="K397" s="320" t="s">
        <v>4416</v>
      </c>
      <c r="L397" s="122">
        <v>1</v>
      </c>
      <c r="M397" s="627">
        <v>12</v>
      </c>
      <c r="N397" s="627">
        <v>12</v>
      </c>
      <c r="O397" s="627">
        <v>12</v>
      </c>
      <c r="P397" s="627">
        <v>12</v>
      </c>
      <c r="R397" s="6">
        <v>3</v>
      </c>
      <c r="S397" s="320" t="s">
        <v>4416</v>
      </c>
      <c r="T397" s="122">
        <v>1</v>
      </c>
      <c r="U397" s="627">
        <v>10</v>
      </c>
      <c r="V397" s="627">
        <v>10</v>
      </c>
      <c r="W397" s="627">
        <v>10</v>
      </c>
      <c r="X397" s="627">
        <v>10</v>
      </c>
      <c r="Z397" s="6">
        <v>3</v>
      </c>
      <c r="AA397" s="320" t="s">
        <v>4416</v>
      </c>
      <c r="AB397" s="122">
        <v>1</v>
      </c>
      <c r="AC397" s="627">
        <v>14</v>
      </c>
      <c r="AD397" s="627">
        <v>14</v>
      </c>
      <c r="AE397" s="627">
        <v>14</v>
      </c>
      <c r="AF397" s="627">
        <v>14</v>
      </c>
    </row>
    <row r="398" spans="1:32">
      <c r="A398" s="315"/>
      <c r="B398" s="6">
        <v>4</v>
      </c>
      <c r="C398" s="320" t="s">
        <v>812</v>
      </c>
      <c r="D398" s="122">
        <v>1</v>
      </c>
      <c r="E398" s="627">
        <v>8</v>
      </c>
      <c r="F398" s="627">
        <v>8</v>
      </c>
      <c r="G398" s="627">
        <v>8</v>
      </c>
      <c r="H398" s="627">
        <v>8</v>
      </c>
      <c r="J398" s="6">
        <v>4</v>
      </c>
      <c r="K398" s="320" t="s">
        <v>812</v>
      </c>
      <c r="L398" s="122">
        <v>1</v>
      </c>
      <c r="M398" s="627">
        <v>4</v>
      </c>
      <c r="N398" s="627">
        <v>4</v>
      </c>
      <c r="O398" s="627">
        <v>4</v>
      </c>
      <c r="P398" s="627">
        <v>4</v>
      </c>
      <c r="R398" s="6">
        <v>4</v>
      </c>
      <c r="S398" s="320" t="s">
        <v>812</v>
      </c>
      <c r="T398" s="122">
        <v>1</v>
      </c>
      <c r="U398" s="627">
        <v>6</v>
      </c>
      <c r="V398" s="627">
        <v>6</v>
      </c>
      <c r="W398" s="627">
        <v>6</v>
      </c>
      <c r="X398" s="627">
        <v>6</v>
      </c>
      <c r="Z398" s="6">
        <v>4</v>
      </c>
      <c r="AA398" s="320" t="s">
        <v>812</v>
      </c>
      <c r="AB398" s="122">
        <v>1</v>
      </c>
      <c r="AC398" s="627">
        <v>10</v>
      </c>
      <c r="AD398" s="627">
        <v>10</v>
      </c>
      <c r="AE398" s="627">
        <v>10</v>
      </c>
      <c r="AF398" s="627">
        <v>10</v>
      </c>
    </row>
    <row r="399" spans="1:32">
      <c r="A399" s="315"/>
      <c r="B399" s="6">
        <v>5</v>
      </c>
      <c r="C399" s="320" t="s">
        <v>5196</v>
      </c>
      <c r="D399" s="122">
        <v>1</v>
      </c>
      <c r="E399" s="627">
        <v>10</v>
      </c>
      <c r="F399" s="627">
        <v>10</v>
      </c>
      <c r="G399" s="627">
        <v>10</v>
      </c>
      <c r="H399" s="627">
        <v>10</v>
      </c>
      <c r="J399" s="6">
        <v>5</v>
      </c>
      <c r="K399" s="320" t="s">
        <v>5196</v>
      </c>
      <c r="L399" s="122">
        <v>1</v>
      </c>
      <c r="M399" s="627">
        <v>10</v>
      </c>
      <c r="N399" s="627">
        <v>10</v>
      </c>
      <c r="O399" s="627">
        <v>10</v>
      </c>
      <c r="P399" s="627">
        <v>10</v>
      </c>
      <c r="R399" s="6">
        <v>5</v>
      </c>
      <c r="S399" s="320" t="s">
        <v>5196</v>
      </c>
      <c r="T399" s="122">
        <v>1</v>
      </c>
      <c r="U399" s="627">
        <v>4</v>
      </c>
      <c r="V399" s="627">
        <v>4</v>
      </c>
      <c r="W399" s="627">
        <v>4</v>
      </c>
      <c r="X399" s="627">
        <v>4</v>
      </c>
      <c r="Z399" s="6">
        <v>5</v>
      </c>
      <c r="AA399" s="320" t="s">
        <v>5196</v>
      </c>
      <c r="AB399" s="122">
        <v>1</v>
      </c>
      <c r="AC399" s="627">
        <v>6</v>
      </c>
      <c r="AD399" s="627">
        <v>6</v>
      </c>
      <c r="AE399" s="627">
        <v>6</v>
      </c>
      <c r="AF399" s="627">
        <v>6</v>
      </c>
    </row>
    <row r="400" spans="1:32">
      <c r="A400" s="315"/>
      <c r="B400" s="6">
        <v>6</v>
      </c>
      <c r="C400" s="320" t="s">
        <v>780</v>
      </c>
      <c r="D400" s="122">
        <v>1</v>
      </c>
      <c r="E400" s="627">
        <v>22</v>
      </c>
      <c r="F400" s="627">
        <v>22</v>
      </c>
      <c r="G400" s="627">
        <v>22</v>
      </c>
      <c r="H400" s="627">
        <v>22</v>
      </c>
      <c r="J400" s="6">
        <v>6</v>
      </c>
      <c r="K400" s="320" t="s">
        <v>780</v>
      </c>
      <c r="L400" s="122">
        <v>1</v>
      </c>
      <c r="M400" s="627">
        <v>26</v>
      </c>
      <c r="N400" s="627">
        <v>26</v>
      </c>
      <c r="O400" s="627">
        <v>26</v>
      </c>
      <c r="P400" s="627">
        <v>26</v>
      </c>
      <c r="R400" s="6">
        <v>6</v>
      </c>
      <c r="S400" s="320" t="s">
        <v>780</v>
      </c>
      <c r="T400" s="122">
        <v>1</v>
      </c>
      <c r="U400" s="627">
        <v>22</v>
      </c>
      <c r="V400" s="627">
        <v>22</v>
      </c>
      <c r="W400" s="627">
        <v>22</v>
      </c>
      <c r="X400" s="627">
        <v>22</v>
      </c>
      <c r="Z400" s="6">
        <v>6</v>
      </c>
      <c r="AA400" s="320" t="s">
        <v>780</v>
      </c>
      <c r="AB400" s="122">
        <v>1</v>
      </c>
      <c r="AC400" s="627">
        <v>22</v>
      </c>
      <c r="AD400" s="627">
        <v>22</v>
      </c>
      <c r="AE400" s="627">
        <v>22</v>
      </c>
      <c r="AF400" s="627">
        <v>22</v>
      </c>
    </row>
    <row r="401" spans="1:32">
      <c r="A401" s="315"/>
      <c r="B401" s="6">
        <v>7</v>
      </c>
      <c r="C401" s="320">
        <v>0</v>
      </c>
      <c r="D401" s="122">
        <v>1</v>
      </c>
      <c r="E401" s="627"/>
      <c r="F401" s="627">
        <v>0</v>
      </c>
      <c r="G401" s="627">
        <v>0</v>
      </c>
      <c r="H401" s="627">
        <v>0</v>
      </c>
      <c r="J401" s="6">
        <v>7</v>
      </c>
      <c r="K401" s="320">
        <v>0</v>
      </c>
      <c r="L401" s="122">
        <v>1</v>
      </c>
      <c r="M401" s="627"/>
      <c r="N401" s="627">
        <v>0</v>
      </c>
      <c r="O401" s="627">
        <v>0</v>
      </c>
      <c r="P401" s="627">
        <v>0</v>
      </c>
      <c r="R401" s="6">
        <v>7</v>
      </c>
      <c r="S401" s="320">
        <v>0</v>
      </c>
      <c r="T401" s="122">
        <v>1</v>
      </c>
      <c r="U401" s="627"/>
      <c r="V401" s="627">
        <v>0</v>
      </c>
      <c r="W401" s="627">
        <v>0</v>
      </c>
      <c r="X401" s="627">
        <v>0</v>
      </c>
      <c r="Z401" s="6">
        <v>7</v>
      </c>
      <c r="AA401" s="320">
        <v>0</v>
      </c>
      <c r="AB401" s="122">
        <v>1</v>
      </c>
      <c r="AC401" s="627"/>
      <c r="AD401" s="627">
        <v>0</v>
      </c>
      <c r="AE401" s="627">
        <v>0</v>
      </c>
      <c r="AF401" s="627">
        <v>0</v>
      </c>
    </row>
    <row r="402" spans="1:32">
      <c r="A402" s="315"/>
      <c r="B402" s="6">
        <v>8</v>
      </c>
      <c r="C402" s="320">
        <v>0</v>
      </c>
      <c r="D402" s="122">
        <v>1</v>
      </c>
      <c r="E402" s="627"/>
      <c r="F402" s="627">
        <v>0</v>
      </c>
      <c r="G402" s="627">
        <v>0</v>
      </c>
      <c r="H402" s="627">
        <v>0</v>
      </c>
      <c r="J402" s="6">
        <v>8</v>
      </c>
      <c r="K402" s="320">
        <v>0</v>
      </c>
      <c r="L402" s="122">
        <v>1</v>
      </c>
      <c r="M402" s="627"/>
      <c r="N402" s="627">
        <v>0</v>
      </c>
      <c r="O402" s="627">
        <v>0</v>
      </c>
      <c r="P402" s="627">
        <v>0</v>
      </c>
      <c r="R402" s="6">
        <v>8</v>
      </c>
      <c r="S402" s="320">
        <v>0</v>
      </c>
      <c r="T402" s="122">
        <v>1</v>
      </c>
      <c r="U402" s="627"/>
      <c r="V402" s="627">
        <v>0</v>
      </c>
      <c r="W402" s="627">
        <v>0</v>
      </c>
      <c r="X402" s="627">
        <v>0</v>
      </c>
      <c r="Z402" s="6">
        <v>8</v>
      </c>
      <c r="AA402" s="320">
        <v>0</v>
      </c>
      <c r="AB402" s="122">
        <v>1</v>
      </c>
      <c r="AC402" s="627"/>
      <c r="AD402" s="627">
        <v>0</v>
      </c>
      <c r="AE402" s="627">
        <v>0</v>
      </c>
      <c r="AF402" s="627">
        <v>0</v>
      </c>
    </row>
    <row r="403" spans="1:32">
      <c r="A403" s="315"/>
      <c r="B403" s="6">
        <v>9</v>
      </c>
      <c r="C403" s="320">
        <v>0</v>
      </c>
      <c r="D403" s="122">
        <v>1</v>
      </c>
      <c r="E403" s="627"/>
      <c r="F403" s="627">
        <v>0</v>
      </c>
      <c r="G403" s="627">
        <v>0</v>
      </c>
      <c r="H403" s="627">
        <v>0</v>
      </c>
      <c r="J403" s="6">
        <v>9</v>
      </c>
      <c r="K403" s="320">
        <v>0</v>
      </c>
      <c r="L403" s="122">
        <v>1</v>
      </c>
      <c r="M403" s="627"/>
      <c r="N403" s="627">
        <v>0</v>
      </c>
      <c r="O403" s="627">
        <v>0</v>
      </c>
      <c r="P403" s="627">
        <v>0</v>
      </c>
      <c r="R403" s="6">
        <v>9</v>
      </c>
      <c r="S403" s="320">
        <v>0</v>
      </c>
      <c r="T403" s="122">
        <v>1</v>
      </c>
      <c r="U403" s="627"/>
      <c r="V403" s="627">
        <v>0</v>
      </c>
      <c r="W403" s="627">
        <v>0</v>
      </c>
      <c r="X403" s="627">
        <v>0</v>
      </c>
      <c r="Z403" s="6">
        <v>9</v>
      </c>
      <c r="AA403" s="320">
        <v>0</v>
      </c>
      <c r="AB403" s="122">
        <v>1</v>
      </c>
      <c r="AC403" s="627"/>
      <c r="AD403" s="627">
        <v>0</v>
      </c>
      <c r="AE403" s="627">
        <v>0</v>
      </c>
      <c r="AF403" s="627">
        <v>0</v>
      </c>
    </row>
    <row r="404" spans="1:32">
      <c r="A404" s="315"/>
      <c r="B404" s="6">
        <v>10</v>
      </c>
      <c r="C404" s="320">
        <v>0</v>
      </c>
      <c r="D404" s="122">
        <v>1</v>
      </c>
      <c r="E404" s="627"/>
      <c r="F404" s="627">
        <v>0</v>
      </c>
      <c r="G404" s="627">
        <v>0</v>
      </c>
      <c r="H404" s="627">
        <v>0</v>
      </c>
      <c r="J404" s="6">
        <v>10</v>
      </c>
      <c r="K404" s="320">
        <v>0</v>
      </c>
      <c r="L404" s="122">
        <v>1</v>
      </c>
      <c r="M404" s="627"/>
      <c r="N404" s="627">
        <v>0</v>
      </c>
      <c r="O404" s="627">
        <v>0</v>
      </c>
      <c r="P404" s="627">
        <v>0</v>
      </c>
      <c r="R404" s="6">
        <v>10</v>
      </c>
      <c r="S404" s="320">
        <v>0</v>
      </c>
      <c r="T404" s="122">
        <v>1</v>
      </c>
      <c r="U404" s="627"/>
      <c r="V404" s="627">
        <v>0</v>
      </c>
      <c r="W404" s="627">
        <v>0</v>
      </c>
      <c r="X404" s="627">
        <v>0</v>
      </c>
      <c r="Z404" s="6">
        <v>10</v>
      </c>
      <c r="AA404" s="320">
        <v>0</v>
      </c>
      <c r="AB404" s="122">
        <v>1</v>
      </c>
      <c r="AC404" s="627"/>
      <c r="AD404" s="627">
        <v>0</v>
      </c>
      <c r="AE404" s="627">
        <v>0</v>
      </c>
      <c r="AF404" s="627">
        <v>0</v>
      </c>
    </row>
    <row r="405" spans="1:32">
      <c r="A405" s="315"/>
      <c r="C405" s="7" t="s">
        <v>843</v>
      </c>
      <c r="H405" s="610"/>
      <c r="K405" s="7" t="s">
        <v>844</v>
      </c>
      <c r="P405" s="610"/>
      <c r="S405" s="7" t="s">
        <v>845</v>
      </c>
      <c r="X405" s="610"/>
      <c r="AA405" s="7" t="s">
        <v>846</v>
      </c>
      <c r="AF405" s="610"/>
    </row>
    <row r="406" spans="1:32">
      <c r="A406" s="315"/>
      <c r="C406" s="112" t="s">
        <v>283</v>
      </c>
      <c r="H406" s="610"/>
      <c r="J406" s="112" t="s">
        <v>283</v>
      </c>
      <c r="K406" s="112"/>
      <c r="L406" s="112"/>
      <c r="P406" s="610"/>
      <c r="R406" s="112" t="s">
        <v>283</v>
      </c>
      <c r="X406" s="610"/>
      <c r="AA406" s="112" t="s">
        <v>283</v>
      </c>
      <c r="AF406" s="610"/>
    </row>
    <row r="407" spans="1:32">
      <c r="A407" s="315"/>
      <c r="H407" s="610"/>
      <c r="P407" s="610"/>
      <c r="X407" s="610"/>
      <c r="AF407" s="610"/>
    </row>
    <row r="408" spans="1:32">
      <c r="A408" s="315"/>
      <c r="B408" s="7" t="s">
        <v>13800</v>
      </c>
      <c r="H408" s="610"/>
      <c r="J408" s="7" t="s">
        <v>13801</v>
      </c>
      <c r="K408" s="7"/>
      <c r="P408" s="610"/>
      <c r="R408" s="7" t="s">
        <v>13802</v>
      </c>
      <c r="S408" s="7"/>
      <c r="X408" s="610"/>
      <c r="Z408" s="7" t="s">
        <v>13803</v>
      </c>
      <c r="AA408" s="7"/>
      <c r="AF408" s="610"/>
    </row>
    <row r="409" spans="1:32">
      <c r="A409" s="315"/>
      <c r="C409" s="7" t="s">
        <v>281</v>
      </c>
      <c r="D409" s="6" t="s">
        <v>282</v>
      </c>
      <c r="E409" s="610" t="s">
        <v>259</v>
      </c>
      <c r="F409" s="610" t="s">
        <v>260</v>
      </c>
      <c r="G409" s="610" t="s">
        <v>261</v>
      </c>
      <c r="H409" s="610" t="s">
        <v>262</v>
      </c>
      <c r="K409" s="7" t="s">
        <v>281</v>
      </c>
      <c r="L409" s="6" t="s">
        <v>282</v>
      </c>
      <c r="M409" s="610" t="s">
        <v>259</v>
      </c>
      <c r="N409" s="610" t="s">
        <v>260</v>
      </c>
      <c r="O409" s="610" t="s">
        <v>261</v>
      </c>
      <c r="P409" s="610" t="s">
        <v>262</v>
      </c>
      <c r="S409" s="7" t="s">
        <v>281</v>
      </c>
      <c r="T409" s="6" t="s">
        <v>282</v>
      </c>
      <c r="U409" s="610" t="s">
        <v>259</v>
      </c>
      <c r="V409" s="610" t="s">
        <v>260</v>
      </c>
      <c r="W409" s="610" t="s">
        <v>261</v>
      </c>
      <c r="X409" s="610" t="s">
        <v>262</v>
      </c>
      <c r="AA409" s="7" t="s">
        <v>281</v>
      </c>
      <c r="AB409" s="6" t="s">
        <v>282</v>
      </c>
      <c r="AC409" s="610" t="s">
        <v>259</v>
      </c>
      <c r="AD409" s="610" t="s">
        <v>260</v>
      </c>
      <c r="AE409" s="610" t="s">
        <v>261</v>
      </c>
      <c r="AF409" s="610" t="s">
        <v>262</v>
      </c>
    </row>
    <row r="410" spans="1:32">
      <c r="A410" s="315"/>
      <c r="B410" s="6">
        <v>1</v>
      </c>
      <c r="C410" s="320" t="s">
        <v>151</v>
      </c>
      <c r="D410" s="122">
        <v>-1</v>
      </c>
      <c r="E410" s="627">
        <v>20</v>
      </c>
      <c r="F410" s="627">
        <v>20</v>
      </c>
      <c r="G410" s="627">
        <v>20</v>
      </c>
      <c r="H410" s="627">
        <v>20</v>
      </c>
      <c r="J410" s="6">
        <v>1</v>
      </c>
      <c r="K410" s="320" t="s">
        <v>151</v>
      </c>
      <c r="L410" s="122">
        <v>-1</v>
      </c>
      <c r="M410" s="627">
        <v>28</v>
      </c>
      <c r="N410" s="627">
        <v>28</v>
      </c>
      <c r="O410" s="627">
        <v>28</v>
      </c>
      <c r="P410" s="627">
        <v>28</v>
      </c>
      <c r="R410" s="6">
        <v>1</v>
      </c>
      <c r="S410" s="320" t="s">
        <v>151</v>
      </c>
      <c r="T410" s="122">
        <v>-1</v>
      </c>
      <c r="U410" s="627">
        <v>34</v>
      </c>
      <c r="V410" s="627">
        <v>34</v>
      </c>
      <c r="W410" s="627">
        <v>34</v>
      </c>
      <c r="X410" s="627">
        <v>34</v>
      </c>
      <c r="Z410" s="6">
        <v>1</v>
      </c>
      <c r="AA410" s="320" t="s">
        <v>151</v>
      </c>
      <c r="AB410" s="122">
        <v>-1</v>
      </c>
      <c r="AC410" s="627">
        <v>30</v>
      </c>
      <c r="AD410" s="627">
        <v>30</v>
      </c>
      <c r="AE410" s="627">
        <v>30</v>
      </c>
      <c r="AF410" s="627">
        <v>30</v>
      </c>
    </row>
    <row r="411" spans="1:32">
      <c r="A411" s="315"/>
      <c r="B411" s="6">
        <v>2</v>
      </c>
      <c r="C411" s="320" t="s">
        <v>4415</v>
      </c>
      <c r="D411" s="122">
        <v>1</v>
      </c>
      <c r="E411" s="627">
        <v>24</v>
      </c>
      <c r="F411" s="627">
        <v>24</v>
      </c>
      <c r="G411" s="627">
        <v>24</v>
      </c>
      <c r="H411" s="627">
        <v>24</v>
      </c>
      <c r="J411" s="6">
        <v>2</v>
      </c>
      <c r="K411" s="320" t="s">
        <v>4415</v>
      </c>
      <c r="L411" s="122">
        <v>1</v>
      </c>
      <c r="M411" s="627">
        <v>20</v>
      </c>
      <c r="N411" s="627">
        <v>20</v>
      </c>
      <c r="O411" s="627">
        <v>20</v>
      </c>
      <c r="P411" s="627">
        <v>20</v>
      </c>
      <c r="R411" s="6">
        <v>2</v>
      </c>
      <c r="S411" s="320" t="s">
        <v>4415</v>
      </c>
      <c r="T411" s="122">
        <v>1</v>
      </c>
      <c r="U411" s="627">
        <v>24</v>
      </c>
      <c r="V411" s="627">
        <v>24</v>
      </c>
      <c r="W411" s="627">
        <v>24</v>
      </c>
      <c r="X411" s="627">
        <v>24</v>
      </c>
      <c r="Z411" s="6">
        <v>2</v>
      </c>
      <c r="AA411" s="320" t="s">
        <v>4415</v>
      </c>
      <c r="AB411" s="122">
        <v>1</v>
      </c>
      <c r="AC411" s="627">
        <v>18</v>
      </c>
      <c r="AD411" s="627">
        <v>18</v>
      </c>
      <c r="AE411" s="627">
        <v>18</v>
      </c>
      <c r="AF411" s="627">
        <v>18</v>
      </c>
    </row>
    <row r="412" spans="1:32">
      <c r="A412" s="315"/>
      <c r="B412" s="6">
        <v>3</v>
      </c>
      <c r="C412" s="320" t="s">
        <v>4416</v>
      </c>
      <c r="D412" s="122">
        <v>1</v>
      </c>
      <c r="E412" s="627">
        <v>16</v>
      </c>
      <c r="F412" s="627">
        <v>16</v>
      </c>
      <c r="G412" s="627">
        <v>16</v>
      </c>
      <c r="H412" s="627">
        <v>16</v>
      </c>
      <c r="J412" s="6">
        <v>3</v>
      </c>
      <c r="K412" s="320" t="s">
        <v>4416</v>
      </c>
      <c r="L412" s="122">
        <v>1</v>
      </c>
      <c r="M412" s="627">
        <v>12</v>
      </c>
      <c r="N412" s="627">
        <v>12</v>
      </c>
      <c r="O412" s="627">
        <v>12</v>
      </c>
      <c r="P412" s="627">
        <v>12</v>
      </c>
      <c r="R412" s="6">
        <v>3</v>
      </c>
      <c r="S412" s="320" t="s">
        <v>4416</v>
      </c>
      <c r="T412" s="122">
        <v>1</v>
      </c>
      <c r="U412" s="627">
        <v>10</v>
      </c>
      <c r="V412" s="627">
        <v>10</v>
      </c>
      <c r="W412" s="627">
        <v>10</v>
      </c>
      <c r="X412" s="627">
        <v>10</v>
      </c>
      <c r="Z412" s="6">
        <v>3</v>
      </c>
      <c r="AA412" s="320" t="s">
        <v>4416</v>
      </c>
      <c r="AB412" s="122">
        <v>1</v>
      </c>
      <c r="AC412" s="627">
        <v>14</v>
      </c>
      <c r="AD412" s="627">
        <v>14</v>
      </c>
      <c r="AE412" s="627">
        <v>14</v>
      </c>
      <c r="AF412" s="627">
        <v>14</v>
      </c>
    </row>
    <row r="413" spans="1:32">
      <c r="A413" s="315"/>
      <c r="B413" s="6">
        <v>4</v>
      </c>
      <c r="C413" s="320" t="s">
        <v>812</v>
      </c>
      <c r="D413" s="122">
        <v>1</v>
      </c>
      <c r="E413" s="627">
        <v>8</v>
      </c>
      <c r="F413" s="627">
        <v>8</v>
      </c>
      <c r="G413" s="627">
        <v>8</v>
      </c>
      <c r="H413" s="627">
        <v>8</v>
      </c>
      <c r="J413" s="6">
        <v>4</v>
      </c>
      <c r="K413" s="320" t="s">
        <v>812</v>
      </c>
      <c r="L413" s="122">
        <v>1</v>
      </c>
      <c r="M413" s="627">
        <v>4</v>
      </c>
      <c r="N413" s="627">
        <v>4</v>
      </c>
      <c r="O413" s="627">
        <v>4</v>
      </c>
      <c r="P413" s="627">
        <v>4</v>
      </c>
      <c r="R413" s="6">
        <v>4</v>
      </c>
      <c r="S413" s="320" t="s">
        <v>812</v>
      </c>
      <c r="T413" s="122">
        <v>1</v>
      </c>
      <c r="U413" s="627">
        <v>6</v>
      </c>
      <c r="V413" s="627">
        <v>6</v>
      </c>
      <c r="W413" s="627">
        <v>6</v>
      </c>
      <c r="X413" s="627">
        <v>6</v>
      </c>
      <c r="Z413" s="6">
        <v>4</v>
      </c>
      <c r="AA413" s="320" t="s">
        <v>812</v>
      </c>
      <c r="AB413" s="122">
        <v>1</v>
      </c>
      <c r="AC413" s="627">
        <v>10</v>
      </c>
      <c r="AD413" s="627">
        <v>10</v>
      </c>
      <c r="AE413" s="627">
        <v>10</v>
      </c>
      <c r="AF413" s="627">
        <v>10</v>
      </c>
    </row>
    <row r="414" spans="1:32">
      <c r="A414" s="315"/>
      <c r="B414" s="6">
        <v>5</v>
      </c>
      <c r="C414" s="320" t="s">
        <v>5196</v>
      </c>
      <c r="D414" s="122">
        <v>1</v>
      </c>
      <c r="E414" s="627">
        <v>10</v>
      </c>
      <c r="F414" s="627">
        <v>10</v>
      </c>
      <c r="G414" s="627">
        <v>10</v>
      </c>
      <c r="H414" s="627">
        <v>10</v>
      </c>
      <c r="J414" s="6">
        <v>5</v>
      </c>
      <c r="K414" s="320" t="s">
        <v>5196</v>
      </c>
      <c r="L414" s="122">
        <v>1</v>
      </c>
      <c r="M414" s="627">
        <v>10</v>
      </c>
      <c r="N414" s="627">
        <v>10</v>
      </c>
      <c r="O414" s="627">
        <v>10</v>
      </c>
      <c r="P414" s="627">
        <v>10</v>
      </c>
      <c r="R414" s="6">
        <v>5</v>
      </c>
      <c r="S414" s="320" t="s">
        <v>5196</v>
      </c>
      <c r="T414" s="122">
        <v>1</v>
      </c>
      <c r="U414" s="627">
        <v>4</v>
      </c>
      <c r="V414" s="627">
        <v>4</v>
      </c>
      <c r="W414" s="627">
        <v>4</v>
      </c>
      <c r="X414" s="627">
        <v>4</v>
      </c>
      <c r="Z414" s="6">
        <v>5</v>
      </c>
      <c r="AA414" s="320" t="s">
        <v>5196</v>
      </c>
      <c r="AB414" s="122">
        <v>1</v>
      </c>
      <c r="AC414" s="627">
        <v>6</v>
      </c>
      <c r="AD414" s="627">
        <v>6</v>
      </c>
      <c r="AE414" s="627">
        <v>6</v>
      </c>
      <c r="AF414" s="627">
        <v>6</v>
      </c>
    </row>
    <row r="415" spans="1:32">
      <c r="A415" s="315"/>
      <c r="B415" s="6">
        <v>6</v>
      </c>
      <c r="C415" s="320" t="s">
        <v>780</v>
      </c>
      <c r="D415" s="122">
        <v>1</v>
      </c>
      <c r="E415" s="627">
        <v>22</v>
      </c>
      <c r="F415" s="627">
        <v>22</v>
      </c>
      <c r="G415" s="627">
        <v>22</v>
      </c>
      <c r="H415" s="627">
        <v>22</v>
      </c>
      <c r="J415" s="6">
        <v>6</v>
      </c>
      <c r="K415" s="320" t="s">
        <v>780</v>
      </c>
      <c r="L415" s="122">
        <v>1</v>
      </c>
      <c r="M415" s="627">
        <v>26</v>
      </c>
      <c r="N415" s="627">
        <v>26</v>
      </c>
      <c r="O415" s="627">
        <v>26</v>
      </c>
      <c r="P415" s="627">
        <v>26</v>
      </c>
      <c r="R415" s="6">
        <v>6</v>
      </c>
      <c r="S415" s="320" t="s">
        <v>780</v>
      </c>
      <c r="T415" s="122">
        <v>1</v>
      </c>
      <c r="U415" s="627">
        <v>22</v>
      </c>
      <c r="V415" s="627">
        <v>22</v>
      </c>
      <c r="W415" s="627">
        <v>22</v>
      </c>
      <c r="X415" s="627">
        <v>22</v>
      </c>
      <c r="Z415" s="6">
        <v>6</v>
      </c>
      <c r="AA415" s="320" t="s">
        <v>780</v>
      </c>
      <c r="AB415" s="122">
        <v>1</v>
      </c>
      <c r="AC415" s="627">
        <v>22</v>
      </c>
      <c r="AD415" s="627">
        <v>22</v>
      </c>
      <c r="AE415" s="627">
        <v>22</v>
      </c>
      <c r="AF415" s="627">
        <v>22</v>
      </c>
    </row>
    <row r="416" spans="1:32">
      <c r="A416" s="315"/>
      <c r="B416" s="6">
        <v>7</v>
      </c>
      <c r="C416" s="320">
        <v>0</v>
      </c>
      <c r="D416" s="122">
        <v>1</v>
      </c>
      <c r="E416" s="627"/>
      <c r="F416" s="627">
        <v>0</v>
      </c>
      <c r="G416" s="627">
        <v>0</v>
      </c>
      <c r="H416" s="627">
        <v>0</v>
      </c>
      <c r="J416" s="6">
        <v>7</v>
      </c>
      <c r="K416" s="320">
        <v>0</v>
      </c>
      <c r="L416" s="122">
        <v>1</v>
      </c>
      <c r="M416" s="627"/>
      <c r="N416" s="627">
        <v>0</v>
      </c>
      <c r="O416" s="627">
        <v>0</v>
      </c>
      <c r="P416" s="627">
        <v>0</v>
      </c>
      <c r="R416" s="6">
        <v>7</v>
      </c>
      <c r="S416" s="320">
        <v>0</v>
      </c>
      <c r="T416" s="122">
        <v>1</v>
      </c>
      <c r="U416" s="627"/>
      <c r="V416" s="627">
        <v>0</v>
      </c>
      <c r="W416" s="627">
        <v>0</v>
      </c>
      <c r="X416" s="627">
        <v>0</v>
      </c>
      <c r="Z416" s="6">
        <v>7</v>
      </c>
      <c r="AA416" s="320">
        <v>0</v>
      </c>
      <c r="AB416" s="122">
        <v>1</v>
      </c>
      <c r="AC416" s="627"/>
      <c r="AD416" s="627">
        <v>0</v>
      </c>
      <c r="AE416" s="627">
        <v>0</v>
      </c>
      <c r="AF416" s="627">
        <v>0</v>
      </c>
    </row>
    <row r="417" spans="1:32">
      <c r="A417" s="315"/>
      <c r="B417" s="6">
        <v>8</v>
      </c>
      <c r="C417" s="320">
        <v>0</v>
      </c>
      <c r="D417" s="122">
        <v>1</v>
      </c>
      <c r="E417" s="627"/>
      <c r="F417" s="627">
        <v>0</v>
      </c>
      <c r="G417" s="627">
        <v>0</v>
      </c>
      <c r="H417" s="627">
        <v>0</v>
      </c>
      <c r="J417" s="6">
        <v>8</v>
      </c>
      <c r="K417" s="320">
        <v>0</v>
      </c>
      <c r="L417" s="122">
        <v>1</v>
      </c>
      <c r="M417" s="627"/>
      <c r="N417" s="627">
        <v>0</v>
      </c>
      <c r="O417" s="627">
        <v>0</v>
      </c>
      <c r="P417" s="627">
        <v>0</v>
      </c>
      <c r="R417" s="6">
        <v>8</v>
      </c>
      <c r="S417" s="320">
        <v>0</v>
      </c>
      <c r="T417" s="122">
        <v>1</v>
      </c>
      <c r="U417" s="627"/>
      <c r="V417" s="627">
        <v>0</v>
      </c>
      <c r="W417" s="627">
        <v>0</v>
      </c>
      <c r="X417" s="627">
        <v>0</v>
      </c>
      <c r="Z417" s="6">
        <v>8</v>
      </c>
      <c r="AA417" s="320">
        <v>0</v>
      </c>
      <c r="AB417" s="122">
        <v>1</v>
      </c>
      <c r="AC417" s="627"/>
      <c r="AD417" s="627">
        <v>0</v>
      </c>
      <c r="AE417" s="627">
        <v>0</v>
      </c>
      <c r="AF417" s="627">
        <v>0</v>
      </c>
    </row>
    <row r="418" spans="1:32">
      <c r="A418" s="315"/>
      <c r="B418" s="6">
        <v>9</v>
      </c>
      <c r="C418" s="320">
        <v>0</v>
      </c>
      <c r="D418" s="122">
        <v>1</v>
      </c>
      <c r="E418" s="627"/>
      <c r="F418" s="627">
        <v>0</v>
      </c>
      <c r="G418" s="627">
        <v>0</v>
      </c>
      <c r="H418" s="627">
        <v>0</v>
      </c>
      <c r="J418" s="6">
        <v>9</v>
      </c>
      <c r="K418" s="320">
        <v>0</v>
      </c>
      <c r="L418" s="122">
        <v>1</v>
      </c>
      <c r="M418" s="627"/>
      <c r="N418" s="627">
        <v>0</v>
      </c>
      <c r="O418" s="627">
        <v>0</v>
      </c>
      <c r="P418" s="627">
        <v>0</v>
      </c>
      <c r="R418" s="6">
        <v>9</v>
      </c>
      <c r="S418" s="320">
        <v>0</v>
      </c>
      <c r="T418" s="122">
        <v>1</v>
      </c>
      <c r="U418" s="627"/>
      <c r="V418" s="627">
        <v>0</v>
      </c>
      <c r="W418" s="627">
        <v>0</v>
      </c>
      <c r="X418" s="627">
        <v>0</v>
      </c>
      <c r="Z418" s="6">
        <v>9</v>
      </c>
      <c r="AA418" s="320">
        <v>0</v>
      </c>
      <c r="AB418" s="122">
        <v>1</v>
      </c>
      <c r="AC418" s="627"/>
      <c r="AD418" s="627">
        <v>0</v>
      </c>
      <c r="AE418" s="627">
        <v>0</v>
      </c>
      <c r="AF418" s="627">
        <v>0</v>
      </c>
    </row>
    <row r="419" spans="1:32">
      <c r="A419" s="315"/>
      <c r="B419" s="6">
        <v>10</v>
      </c>
      <c r="C419" s="320">
        <v>0</v>
      </c>
      <c r="D419" s="122">
        <v>1</v>
      </c>
      <c r="E419" s="627"/>
      <c r="F419" s="627">
        <v>0</v>
      </c>
      <c r="G419" s="627">
        <v>0</v>
      </c>
      <c r="H419" s="627">
        <v>0</v>
      </c>
      <c r="J419" s="6">
        <v>10</v>
      </c>
      <c r="K419" s="320">
        <v>0</v>
      </c>
      <c r="L419" s="122">
        <v>1</v>
      </c>
      <c r="M419" s="627"/>
      <c r="N419" s="627">
        <v>0</v>
      </c>
      <c r="O419" s="627">
        <v>0</v>
      </c>
      <c r="P419" s="627">
        <v>0</v>
      </c>
      <c r="R419" s="6">
        <v>10</v>
      </c>
      <c r="S419" s="320">
        <v>0</v>
      </c>
      <c r="T419" s="122">
        <v>1</v>
      </c>
      <c r="U419" s="627"/>
      <c r="V419" s="627">
        <v>0</v>
      </c>
      <c r="W419" s="627">
        <v>0</v>
      </c>
      <c r="X419" s="627">
        <v>0</v>
      </c>
      <c r="Z419" s="6">
        <v>10</v>
      </c>
      <c r="AA419" s="320">
        <v>0</v>
      </c>
      <c r="AB419" s="122">
        <v>1</v>
      </c>
      <c r="AC419" s="627"/>
      <c r="AD419" s="627">
        <v>0</v>
      </c>
      <c r="AE419" s="627">
        <v>0</v>
      </c>
      <c r="AF419" s="627">
        <v>0</v>
      </c>
    </row>
    <row r="420" spans="1:32">
      <c r="A420" s="315"/>
      <c r="C420" s="7" t="s">
        <v>847</v>
      </c>
      <c r="H420" s="610"/>
      <c r="K420" s="7" t="s">
        <v>848</v>
      </c>
      <c r="P420" s="610"/>
      <c r="S420" s="7" t="s">
        <v>849</v>
      </c>
      <c r="X420" s="610"/>
      <c r="AA420" s="7" t="s">
        <v>850</v>
      </c>
      <c r="AF420" s="610"/>
    </row>
    <row r="421" spans="1:32">
      <c r="A421" s="315"/>
      <c r="C421" s="112" t="s">
        <v>283</v>
      </c>
      <c r="H421" s="610"/>
      <c r="J421" s="112" t="s">
        <v>283</v>
      </c>
      <c r="K421" s="112"/>
      <c r="L421" s="112"/>
      <c r="P421" s="610"/>
      <c r="R421" s="112" t="s">
        <v>283</v>
      </c>
      <c r="X421" s="610"/>
      <c r="AA421" s="112" t="s">
        <v>283</v>
      </c>
      <c r="AF421" s="610"/>
    </row>
    <row r="422" spans="1:32">
      <c r="A422" s="315"/>
      <c r="H422" s="610"/>
      <c r="P422" s="610"/>
      <c r="X422" s="610"/>
      <c r="AF422" s="610"/>
    </row>
    <row r="423" spans="1:32">
      <c r="A423" s="316"/>
      <c r="B423" s="7" t="s">
        <v>13804</v>
      </c>
      <c r="H423" s="610"/>
      <c r="J423" s="7" t="s">
        <v>13805</v>
      </c>
      <c r="K423" s="7"/>
      <c r="P423" s="610"/>
      <c r="R423" s="7" t="s">
        <v>13806</v>
      </c>
      <c r="S423" s="7"/>
      <c r="X423" s="610"/>
      <c r="Z423" s="7" t="s">
        <v>13807</v>
      </c>
      <c r="AA423" s="7"/>
      <c r="AF423" s="610"/>
    </row>
    <row r="424" spans="1:32">
      <c r="A424" s="316"/>
      <c r="C424" s="7" t="s">
        <v>281</v>
      </c>
      <c r="D424" s="6" t="s">
        <v>282</v>
      </c>
      <c r="E424" s="610" t="s">
        <v>259</v>
      </c>
      <c r="F424" s="610" t="s">
        <v>260</v>
      </c>
      <c r="G424" s="610" t="s">
        <v>261</v>
      </c>
      <c r="H424" s="610" t="s">
        <v>262</v>
      </c>
      <c r="K424" s="7" t="s">
        <v>281</v>
      </c>
      <c r="L424" s="6" t="s">
        <v>282</v>
      </c>
      <c r="M424" s="610" t="s">
        <v>259</v>
      </c>
      <c r="N424" s="610" t="s">
        <v>260</v>
      </c>
      <c r="O424" s="610" t="s">
        <v>261</v>
      </c>
      <c r="P424" s="610" t="s">
        <v>262</v>
      </c>
      <c r="S424" s="7" t="s">
        <v>281</v>
      </c>
      <c r="T424" s="6" t="s">
        <v>282</v>
      </c>
      <c r="U424" s="610" t="s">
        <v>259</v>
      </c>
      <c r="V424" s="610" t="s">
        <v>260</v>
      </c>
      <c r="W424" s="610" t="s">
        <v>261</v>
      </c>
      <c r="X424" s="610" t="s">
        <v>262</v>
      </c>
      <c r="AA424" s="7" t="s">
        <v>281</v>
      </c>
      <c r="AB424" s="6" t="s">
        <v>282</v>
      </c>
      <c r="AC424" s="610" t="s">
        <v>259</v>
      </c>
      <c r="AD424" s="610" t="s">
        <v>260</v>
      </c>
      <c r="AE424" s="610" t="s">
        <v>261</v>
      </c>
      <c r="AF424" s="610" t="s">
        <v>262</v>
      </c>
    </row>
    <row r="425" spans="1:32">
      <c r="A425" s="316"/>
      <c r="B425" s="6">
        <v>1</v>
      </c>
      <c r="C425" s="320" t="s">
        <v>151</v>
      </c>
      <c r="D425" s="122">
        <v>-1</v>
      </c>
      <c r="E425" s="627">
        <v>20</v>
      </c>
      <c r="F425" s="627">
        <v>20</v>
      </c>
      <c r="G425" s="627">
        <v>20</v>
      </c>
      <c r="H425" s="627">
        <v>20</v>
      </c>
      <c r="J425" s="6">
        <v>1</v>
      </c>
      <c r="K425" s="320" t="s">
        <v>151</v>
      </c>
      <c r="L425" s="122">
        <v>-1</v>
      </c>
      <c r="M425" s="627">
        <v>28</v>
      </c>
      <c r="N425" s="627">
        <v>28</v>
      </c>
      <c r="O425" s="627">
        <v>28</v>
      </c>
      <c r="P425" s="627">
        <v>28</v>
      </c>
      <c r="R425" s="6">
        <v>1</v>
      </c>
      <c r="S425" s="320" t="s">
        <v>151</v>
      </c>
      <c r="T425" s="122">
        <v>-1</v>
      </c>
      <c r="U425" s="627">
        <v>38</v>
      </c>
      <c r="V425" s="627">
        <v>38</v>
      </c>
      <c r="W425" s="627">
        <v>38</v>
      </c>
      <c r="X425" s="627">
        <v>38</v>
      </c>
      <c r="Z425" s="6">
        <v>1</v>
      </c>
      <c r="AA425" s="320" t="s">
        <v>151</v>
      </c>
      <c r="AB425" s="122">
        <v>-1</v>
      </c>
      <c r="AC425" s="627">
        <v>34</v>
      </c>
      <c r="AD425" s="627">
        <v>34</v>
      </c>
      <c r="AE425" s="627">
        <v>34</v>
      </c>
      <c r="AF425" s="627">
        <v>34</v>
      </c>
    </row>
    <row r="426" spans="1:32">
      <c r="A426" s="316"/>
      <c r="B426" s="6">
        <v>2</v>
      </c>
      <c r="C426" s="320" t="s">
        <v>4415</v>
      </c>
      <c r="D426" s="122">
        <v>1</v>
      </c>
      <c r="E426" s="627">
        <v>12</v>
      </c>
      <c r="F426" s="627">
        <v>12</v>
      </c>
      <c r="G426" s="627">
        <v>12</v>
      </c>
      <c r="H426" s="627">
        <v>12</v>
      </c>
      <c r="J426" s="6">
        <v>2</v>
      </c>
      <c r="K426" s="320" t="s">
        <v>4415</v>
      </c>
      <c r="L426" s="122">
        <v>1</v>
      </c>
      <c r="M426" s="627">
        <v>12</v>
      </c>
      <c r="N426" s="627">
        <v>12</v>
      </c>
      <c r="O426" s="627">
        <v>12</v>
      </c>
      <c r="P426" s="627">
        <v>12</v>
      </c>
      <c r="R426" s="6">
        <v>2</v>
      </c>
      <c r="S426" s="320" t="s">
        <v>4415</v>
      </c>
      <c r="T426" s="122">
        <v>1</v>
      </c>
      <c r="U426" s="627">
        <v>8</v>
      </c>
      <c r="V426" s="627">
        <v>8</v>
      </c>
      <c r="W426" s="627">
        <v>8</v>
      </c>
      <c r="X426" s="627">
        <v>8</v>
      </c>
      <c r="Z426" s="6">
        <v>2</v>
      </c>
      <c r="AA426" s="320" t="s">
        <v>4415</v>
      </c>
      <c r="AB426" s="122">
        <v>1</v>
      </c>
      <c r="AC426" s="627">
        <v>8</v>
      </c>
      <c r="AD426" s="627">
        <v>8</v>
      </c>
      <c r="AE426" s="627">
        <v>8</v>
      </c>
      <c r="AF426" s="627">
        <v>8</v>
      </c>
    </row>
    <row r="427" spans="1:32">
      <c r="A427" s="316"/>
      <c r="B427" s="6">
        <v>3</v>
      </c>
      <c r="C427" s="320" t="s">
        <v>4416</v>
      </c>
      <c r="D427" s="122">
        <v>1</v>
      </c>
      <c r="E427" s="627">
        <v>22</v>
      </c>
      <c r="F427" s="627">
        <v>22</v>
      </c>
      <c r="G427" s="627">
        <v>22</v>
      </c>
      <c r="H427" s="627">
        <v>22</v>
      </c>
      <c r="J427" s="6">
        <v>3</v>
      </c>
      <c r="K427" s="320" t="s">
        <v>4416</v>
      </c>
      <c r="L427" s="122">
        <v>1</v>
      </c>
      <c r="M427" s="627">
        <v>20</v>
      </c>
      <c r="N427" s="627">
        <v>20</v>
      </c>
      <c r="O427" s="627">
        <v>20</v>
      </c>
      <c r="P427" s="627">
        <v>20</v>
      </c>
      <c r="R427" s="6">
        <v>3</v>
      </c>
      <c r="S427" s="320" t="s">
        <v>4416</v>
      </c>
      <c r="T427" s="122">
        <v>1</v>
      </c>
      <c r="U427" s="627">
        <v>14</v>
      </c>
      <c r="V427" s="627">
        <v>14</v>
      </c>
      <c r="W427" s="627">
        <v>14</v>
      </c>
      <c r="X427" s="627">
        <v>14</v>
      </c>
      <c r="Z427" s="6">
        <v>3</v>
      </c>
      <c r="AA427" s="320" t="s">
        <v>4416</v>
      </c>
      <c r="AB427" s="122">
        <v>1</v>
      </c>
      <c r="AC427" s="627">
        <v>16</v>
      </c>
      <c r="AD427" s="627">
        <v>16</v>
      </c>
      <c r="AE427" s="627">
        <v>16</v>
      </c>
      <c r="AF427" s="627">
        <v>16</v>
      </c>
    </row>
    <row r="428" spans="1:32">
      <c r="A428" s="316"/>
      <c r="B428" s="6">
        <v>4</v>
      </c>
      <c r="C428" s="320" t="s">
        <v>812</v>
      </c>
      <c r="D428" s="122">
        <v>1</v>
      </c>
      <c r="E428" s="627">
        <v>14</v>
      </c>
      <c r="F428" s="627">
        <v>14</v>
      </c>
      <c r="G428" s="627">
        <v>14</v>
      </c>
      <c r="H428" s="627">
        <v>14</v>
      </c>
      <c r="J428" s="6">
        <v>4</v>
      </c>
      <c r="K428" s="320" t="s">
        <v>812</v>
      </c>
      <c r="L428" s="122">
        <v>1</v>
      </c>
      <c r="M428" s="627">
        <v>10</v>
      </c>
      <c r="N428" s="627">
        <v>10</v>
      </c>
      <c r="O428" s="627">
        <v>10</v>
      </c>
      <c r="P428" s="627">
        <v>10</v>
      </c>
      <c r="R428" s="6">
        <v>4</v>
      </c>
      <c r="S428" s="320" t="s">
        <v>812</v>
      </c>
      <c r="T428" s="122">
        <v>1</v>
      </c>
      <c r="U428" s="627">
        <v>6</v>
      </c>
      <c r="V428" s="627">
        <v>6</v>
      </c>
      <c r="W428" s="627">
        <v>6</v>
      </c>
      <c r="X428" s="627">
        <v>6</v>
      </c>
      <c r="Z428" s="6">
        <v>4</v>
      </c>
      <c r="AA428" s="320" t="s">
        <v>812</v>
      </c>
      <c r="AB428" s="122">
        <v>1</v>
      </c>
      <c r="AC428" s="627">
        <v>6</v>
      </c>
      <c r="AD428" s="627">
        <v>6</v>
      </c>
      <c r="AE428" s="627">
        <v>6</v>
      </c>
      <c r="AF428" s="627">
        <v>6</v>
      </c>
    </row>
    <row r="429" spans="1:32">
      <c r="A429" s="316"/>
      <c r="B429" s="6">
        <v>5</v>
      </c>
      <c r="C429" s="320" t="s">
        <v>5196</v>
      </c>
      <c r="D429" s="122">
        <v>1</v>
      </c>
      <c r="E429" s="627">
        <v>20</v>
      </c>
      <c r="F429" s="627">
        <v>20</v>
      </c>
      <c r="G429" s="627">
        <v>20</v>
      </c>
      <c r="H429" s="627">
        <v>20</v>
      </c>
      <c r="J429" s="6">
        <v>5</v>
      </c>
      <c r="K429" s="320" t="s">
        <v>5196</v>
      </c>
      <c r="L429" s="122">
        <v>1</v>
      </c>
      <c r="M429" s="627">
        <v>16</v>
      </c>
      <c r="N429" s="627">
        <v>16</v>
      </c>
      <c r="O429" s="627">
        <v>16</v>
      </c>
      <c r="P429" s="627">
        <v>16</v>
      </c>
      <c r="R429" s="6">
        <v>5</v>
      </c>
      <c r="S429" s="320" t="s">
        <v>5196</v>
      </c>
      <c r="T429" s="122">
        <v>1</v>
      </c>
      <c r="U429" s="627">
        <v>12</v>
      </c>
      <c r="V429" s="627">
        <v>12</v>
      </c>
      <c r="W429" s="627">
        <v>12</v>
      </c>
      <c r="X429" s="627">
        <v>12</v>
      </c>
      <c r="Z429" s="6">
        <v>5</v>
      </c>
      <c r="AA429" s="320" t="s">
        <v>5196</v>
      </c>
      <c r="AB429" s="122">
        <v>1</v>
      </c>
      <c r="AC429" s="627">
        <v>12</v>
      </c>
      <c r="AD429" s="627">
        <v>12</v>
      </c>
      <c r="AE429" s="627">
        <v>12</v>
      </c>
      <c r="AF429" s="627">
        <v>12</v>
      </c>
    </row>
    <row r="430" spans="1:32">
      <c r="A430" s="316"/>
      <c r="B430" s="6">
        <v>6</v>
      </c>
      <c r="C430" s="320" t="s">
        <v>780</v>
      </c>
      <c r="D430" s="122">
        <v>1</v>
      </c>
      <c r="E430" s="627">
        <v>10</v>
      </c>
      <c r="F430" s="627">
        <v>10</v>
      </c>
      <c r="G430" s="627">
        <v>10</v>
      </c>
      <c r="H430" s="627">
        <v>10</v>
      </c>
      <c r="J430" s="6">
        <v>6</v>
      </c>
      <c r="K430" s="320" t="s">
        <v>780</v>
      </c>
      <c r="L430" s="122">
        <v>1</v>
      </c>
      <c r="M430" s="627">
        <v>14</v>
      </c>
      <c r="N430" s="627">
        <v>14</v>
      </c>
      <c r="O430" s="627">
        <v>14</v>
      </c>
      <c r="P430" s="627">
        <v>14</v>
      </c>
      <c r="R430" s="6">
        <v>6</v>
      </c>
      <c r="S430" s="320" t="s">
        <v>780</v>
      </c>
      <c r="T430" s="122">
        <v>1</v>
      </c>
      <c r="U430" s="627">
        <v>22</v>
      </c>
      <c r="V430" s="627">
        <v>22</v>
      </c>
      <c r="W430" s="627">
        <v>22</v>
      </c>
      <c r="X430" s="627">
        <v>22</v>
      </c>
      <c r="Z430" s="6">
        <v>6</v>
      </c>
      <c r="AA430" s="320" t="s">
        <v>780</v>
      </c>
      <c r="AB430" s="122">
        <v>1</v>
      </c>
      <c r="AC430" s="627">
        <v>24</v>
      </c>
      <c r="AD430" s="627">
        <v>24</v>
      </c>
      <c r="AE430" s="627">
        <v>24</v>
      </c>
      <c r="AF430" s="627">
        <v>24</v>
      </c>
    </row>
    <row r="431" spans="1:32">
      <c r="A431" s="316"/>
      <c r="B431" s="6">
        <v>7</v>
      </c>
      <c r="C431" s="320">
        <v>0</v>
      </c>
      <c r="D431" s="122">
        <v>1</v>
      </c>
      <c r="E431" s="123"/>
      <c r="F431" s="627">
        <v>0</v>
      </c>
      <c r="G431" s="627">
        <v>0</v>
      </c>
      <c r="H431" s="627">
        <v>0</v>
      </c>
      <c r="J431" s="6">
        <v>7</v>
      </c>
      <c r="K431" s="320">
        <v>0</v>
      </c>
      <c r="L431" s="122">
        <v>1</v>
      </c>
      <c r="M431" s="123"/>
      <c r="N431" s="627">
        <v>0</v>
      </c>
      <c r="O431" s="627">
        <v>0</v>
      </c>
      <c r="P431" s="627">
        <v>0</v>
      </c>
      <c r="R431" s="6">
        <v>7</v>
      </c>
      <c r="S431" s="320">
        <v>0</v>
      </c>
      <c r="T431" s="122">
        <v>1</v>
      </c>
      <c r="U431" s="123"/>
      <c r="V431" s="627">
        <v>0</v>
      </c>
      <c r="W431" s="627">
        <v>0</v>
      </c>
      <c r="X431" s="627">
        <v>0</v>
      </c>
      <c r="Z431" s="6">
        <v>7</v>
      </c>
      <c r="AA431" s="320">
        <v>0</v>
      </c>
      <c r="AB431" s="122">
        <v>1</v>
      </c>
      <c r="AC431" s="123"/>
      <c r="AD431" s="627">
        <v>0</v>
      </c>
      <c r="AE431" s="627">
        <v>0</v>
      </c>
      <c r="AF431" s="627">
        <v>0</v>
      </c>
    </row>
    <row r="432" spans="1:32">
      <c r="A432" s="316"/>
      <c r="B432" s="6">
        <v>8</v>
      </c>
      <c r="C432" s="320">
        <v>0</v>
      </c>
      <c r="D432" s="122">
        <v>1</v>
      </c>
      <c r="E432" s="123"/>
      <c r="F432" s="627">
        <v>0</v>
      </c>
      <c r="G432" s="627">
        <v>0</v>
      </c>
      <c r="H432" s="627">
        <v>0</v>
      </c>
      <c r="J432" s="6">
        <v>8</v>
      </c>
      <c r="K432" s="320">
        <v>0</v>
      </c>
      <c r="L432" s="122">
        <v>1</v>
      </c>
      <c r="M432" s="123"/>
      <c r="N432" s="627">
        <v>0</v>
      </c>
      <c r="O432" s="627">
        <v>0</v>
      </c>
      <c r="P432" s="627">
        <v>0</v>
      </c>
      <c r="R432" s="6">
        <v>8</v>
      </c>
      <c r="S432" s="320">
        <v>0</v>
      </c>
      <c r="T432" s="122">
        <v>1</v>
      </c>
      <c r="U432" s="123"/>
      <c r="V432" s="627">
        <v>0</v>
      </c>
      <c r="W432" s="627">
        <v>0</v>
      </c>
      <c r="X432" s="627">
        <v>0</v>
      </c>
      <c r="Z432" s="6">
        <v>8</v>
      </c>
      <c r="AA432" s="320">
        <v>0</v>
      </c>
      <c r="AB432" s="122">
        <v>1</v>
      </c>
      <c r="AC432" s="123"/>
      <c r="AD432" s="627">
        <v>0</v>
      </c>
      <c r="AE432" s="627">
        <v>0</v>
      </c>
      <c r="AF432" s="627">
        <v>0</v>
      </c>
    </row>
    <row r="433" spans="1:32">
      <c r="A433" s="316"/>
      <c r="B433" s="6">
        <v>9</v>
      </c>
      <c r="C433" s="320">
        <v>0</v>
      </c>
      <c r="D433" s="122">
        <v>1</v>
      </c>
      <c r="E433" s="123"/>
      <c r="F433" s="627">
        <v>0</v>
      </c>
      <c r="G433" s="627">
        <v>0</v>
      </c>
      <c r="H433" s="627">
        <v>0</v>
      </c>
      <c r="J433" s="6">
        <v>9</v>
      </c>
      <c r="K433" s="320">
        <v>0</v>
      </c>
      <c r="L433" s="122">
        <v>1</v>
      </c>
      <c r="M433" s="123"/>
      <c r="N433" s="627">
        <v>0</v>
      </c>
      <c r="O433" s="627">
        <v>0</v>
      </c>
      <c r="P433" s="627">
        <v>0</v>
      </c>
      <c r="R433" s="6">
        <v>9</v>
      </c>
      <c r="S433" s="320">
        <v>0</v>
      </c>
      <c r="T433" s="122">
        <v>1</v>
      </c>
      <c r="U433" s="123"/>
      <c r="V433" s="627">
        <v>0</v>
      </c>
      <c r="W433" s="627">
        <v>0</v>
      </c>
      <c r="X433" s="627">
        <v>0</v>
      </c>
      <c r="Z433" s="6">
        <v>9</v>
      </c>
      <c r="AA433" s="320">
        <v>0</v>
      </c>
      <c r="AB433" s="122">
        <v>1</v>
      </c>
      <c r="AC433" s="123"/>
      <c r="AD433" s="627">
        <v>0</v>
      </c>
      <c r="AE433" s="627">
        <v>0</v>
      </c>
      <c r="AF433" s="627">
        <v>0</v>
      </c>
    </row>
    <row r="434" spans="1:32">
      <c r="A434" s="316"/>
      <c r="B434" s="6">
        <v>10</v>
      </c>
      <c r="C434" s="320">
        <v>0</v>
      </c>
      <c r="D434" s="122">
        <v>1</v>
      </c>
      <c r="E434" s="123"/>
      <c r="F434" s="627">
        <v>0</v>
      </c>
      <c r="G434" s="627">
        <v>0</v>
      </c>
      <c r="H434" s="627">
        <v>0</v>
      </c>
      <c r="J434" s="6">
        <v>10</v>
      </c>
      <c r="K434" s="320">
        <v>0</v>
      </c>
      <c r="L434" s="122">
        <v>1</v>
      </c>
      <c r="M434" s="123"/>
      <c r="N434" s="627">
        <v>0</v>
      </c>
      <c r="O434" s="627">
        <v>0</v>
      </c>
      <c r="P434" s="627">
        <v>0</v>
      </c>
      <c r="R434" s="6">
        <v>10</v>
      </c>
      <c r="S434" s="320">
        <v>0</v>
      </c>
      <c r="T434" s="122">
        <v>1</v>
      </c>
      <c r="U434" s="123"/>
      <c r="V434" s="627">
        <v>0</v>
      </c>
      <c r="W434" s="627">
        <v>0</v>
      </c>
      <c r="X434" s="627">
        <v>0</v>
      </c>
      <c r="Z434" s="6">
        <v>10</v>
      </c>
      <c r="AA434" s="320">
        <v>0</v>
      </c>
      <c r="AB434" s="122">
        <v>1</v>
      </c>
      <c r="AC434" s="123"/>
      <c r="AD434" s="627">
        <v>0</v>
      </c>
      <c r="AE434" s="627">
        <v>0</v>
      </c>
      <c r="AF434" s="627">
        <v>0</v>
      </c>
    </row>
    <row r="435" spans="1:32">
      <c r="A435" s="316"/>
      <c r="C435" s="7" t="s">
        <v>851</v>
      </c>
      <c r="E435" s="6">
        <v>98</v>
      </c>
      <c r="H435" s="610"/>
      <c r="K435" s="7" t="s">
        <v>852</v>
      </c>
      <c r="M435" s="6">
        <v>100</v>
      </c>
      <c r="P435" s="610"/>
      <c r="S435" s="7" t="s">
        <v>853</v>
      </c>
      <c r="U435" s="6">
        <v>100</v>
      </c>
      <c r="X435" s="610"/>
      <c r="AA435" s="7" t="s">
        <v>854</v>
      </c>
      <c r="AC435" s="6">
        <v>100</v>
      </c>
      <c r="AF435" s="610"/>
    </row>
    <row r="436" spans="1:32">
      <c r="A436" s="316"/>
      <c r="C436" s="112" t="s">
        <v>283</v>
      </c>
      <c r="H436" s="610"/>
      <c r="J436" s="112" t="s">
        <v>283</v>
      </c>
      <c r="K436" s="112"/>
      <c r="L436" s="112"/>
      <c r="P436" s="610"/>
      <c r="R436" s="112" t="s">
        <v>283</v>
      </c>
      <c r="X436" s="610"/>
      <c r="AA436" s="112" t="s">
        <v>283</v>
      </c>
      <c r="AF436" s="610"/>
    </row>
    <row r="437" spans="1:32">
      <c r="A437" s="316"/>
      <c r="H437" s="610"/>
      <c r="P437" s="610"/>
      <c r="X437" s="610"/>
      <c r="AF437" s="610"/>
    </row>
    <row r="438" spans="1:32">
      <c r="A438" s="316"/>
      <c r="B438" s="7" t="s">
        <v>13808</v>
      </c>
      <c r="H438" s="610"/>
      <c r="J438" s="7" t="s">
        <v>13809</v>
      </c>
      <c r="K438" s="7"/>
      <c r="P438" s="610"/>
      <c r="R438" s="7" t="s">
        <v>13810</v>
      </c>
      <c r="S438" s="7"/>
      <c r="X438" s="610"/>
      <c r="Z438" s="7" t="s">
        <v>13811</v>
      </c>
      <c r="AA438" s="7"/>
      <c r="AF438" s="610"/>
    </row>
    <row r="439" spans="1:32">
      <c r="A439" s="316"/>
      <c r="C439" s="7" t="s">
        <v>281</v>
      </c>
      <c r="D439" s="6" t="s">
        <v>282</v>
      </c>
      <c r="E439" s="610" t="s">
        <v>259</v>
      </c>
      <c r="F439" s="610" t="s">
        <v>260</v>
      </c>
      <c r="G439" s="610" t="s">
        <v>261</v>
      </c>
      <c r="H439" s="610" t="s">
        <v>262</v>
      </c>
      <c r="K439" s="7" t="s">
        <v>281</v>
      </c>
      <c r="L439" s="6" t="s">
        <v>282</v>
      </c>
      <c r="M439" s="610" t="s">
        <v>259</v>
      </c>
      <c r="N439" s="610" t="s">
        <v>260</v>
      </c>
      <c r="O439" s="610" t="s">
        <v>261</v>
      </c>
      <c r="P439" s="610" t="s">
        <v>262</v>
      </c>
      <c r="S439" s="7" t="s">
        <v>281</v>
      </c>
      <c r="T439" s="6" t="s">
        <v>282</v>
      </c>
      <c r="U439" s="610" t="s">
        <v>259</v>
      </c>
      <c r="V439" s="610" t="s">
        <v>260</v>
      </c>
      <c r="W439" s="610" t="s">
        <v>261</v>
      </c>
      <c r="X439" s="610" t="s">
        <v>262</v>
      </c>
      <c r="AA439" s="7" t="s">
        <v>281</v>
      </c>
      <c r="AB439" s="6" t="s">
        <v>282</v>
      </c>
      <c r="AC439" s="610" t="s">
        <v>259</v>
      </c>
      <c r="AD439" s="610" t="s">
        <v>260</v>
      </c>
      <c r="AE439" s="610" t="s">
        <v>261</v>
      </c>
      <c r="AF439" s="610" t="s">
        <v>262</v>
      </c>
    </row>
    <row r="440" spans="1:32">
      <c r="A440" s="316"/>
      <c r="B440" s="6">
        <v>1</v>
      </c>
      <c r="C440" s="320" t="s">
        <v>151</v>
      </c>
      <c r="D440" s="122">
        <v>-1</v>
      </c>
      <c r="E440" s="627">
        <v>20</v>
      </c>
      <c r="F440" s="627">
        <v>20</v>
      </c>
      <c r="G440" s="627">
        <v>20</v>
      </c>
      <c r="H440" s="627">
        <v>20</v>
      </c>
      <c r="J440" s="6">
        <v>1</v>
      </c>
      <c r="K440" s="320" t="s">
        <v>151</v>
      </c>
      <c r="L440" s="122">
        <v>-1</v>
      </c>
      <c r="M440" s="627">
        <v>28</v>
      </c>
      <c r="N440" s="627">
        <v>28</v>
      </c>
      <c r="O440" s="627">
        <v>28</v>
      </c>
      <c r="P440" s="627">
        <v>28</v>
      </c>
      <c r="R440" s="6">
        <v>1</v>
      </c>
      <c r="S440" s="320" t="s">
        <v>151</v>
      </c>
      <c r="T440" s="122">
        <v>-1</v>
      </c>
      <c r="U440" s="627">
        <v>38</v>
      </c>
      <c r="V440" s="627">
        <v>38</v>
      </c>
      <c r="W440" s="627">
        <v>38</v>
      </c>
      <c r="X440" s="627">
        <v>38</v>
      </c>
      <c r="Z440" s="6">
        <v>1</v>
      </c>
      <c r="AA440" s="320" t="s">
        <v>151</v>
      </c>
      <c r="AB440" s="122">
        <v>-1</v>
      </c>
      <c r="AC440" s="627">
        <v>34</v>
      </c>
      <c r="AD440" s="627">
        <v>34</v>
      </c>
      <c r="AE440" s="627">
        <v>34</v>
      </c>
      <c r="AF440" s="627">
        <v>34</v>
      </c>
    </row>
    <row r="441" spans="1:32">
      <c r="A441" s="316"/>
      <c r="B441" s="6">
        <v>2</v>
      </c>
      <c r="C441" s="320" t="s">
        <v>4415</v>
      </c>
      <c r="D441" s="122">
        <v>1</v>
      </c>
      <c r="E441" s="627">
        <v>12</v>
      </c>
      <c r="F441" s="627">
        <v>12</v>
      </c>
      <c r="G441" s="627">
        <v>12</v>
      </c>
      <c r="H441" s="627">
        <v>12</v>
      </c>
      <c r="J441" s="6">
        <v>2</v>
      </c>
      <c r="K441" s="320" t="s">
        <v>4415</v>
      </c>
      <c r="L441" s="122">
        <v>1</v>
      </c>
      <c r="M441" s="627">
        <v>12</v>
      </c>
      <c r="N441" s="627">
        <v>12</v>
      </c>
      <c r="O441" s="627">
        <v>12</v>
      </c>
      <c r="P441" s="627">
        <v>12</v>
      </c>
      <c r="R441" s="6">
        <v>2</v>
      </c>
      <c r="S441" s="320" t="s">
        <v>4415</v>
      </c>
      <c r="T441" s="122">
        <v>1</v>
      </c>
      <c r="U441" s="627">
        <v>8</v>
      </c>
      <c r="V441" s="627">
        <v>8</v>
      </c>
      <c r="W441" s="627">
        <v>8</v>
      </c>
      <c r="X441" s="627">
        <v>8</v>
      </c>
      <c r="Z441" s="6">
        <v>2</v>
      </c>
      <c r="AA441" s="320" t="s">
        <v>4415</v>
      </c>
      <c r="AB441" s="122">
        <v>1</v>
      </c>
      <c r="AC441" s="627">
        <v>8</v>
      </c>
      <c r="AD441" s="627">
        <v>8</v>
      </c>
      <c r="AE441" s="627">
        <v>8</v>
      </c>
      <c r="AF441" s="627">
        <v>8</v>
      </c>
    </row>
    <row r="442" spans="1:32">
      <c r="A442" s="316"/>
      <c r="B442" s="6">
        <v>3</v>
      </c>
      <c r="C442" s="320" t="s">
        <v>4416</v>
      </c>
      <c r="D442" s="122">
        <v>1</v>
      </c>
      <c r="E442" s="627">
        <v>22</v>
      </c>
      <c r="F442" s="627">
        <v>22</v>
      </c>
      <c r="G442" s="627">
        <v>22</v>
      </c>
      <c r="H442" s="627">
        <v>22</v>
      </c>
      <c r="J442" s="6">
        <v>3</v>
      </c>
      <c r="K442" s="320" t="s">
        <v>4416</v>
      </c>
      <c r="L442" s="122">
        <v>1</v>
      </c>
      <c r="M442" s="627">
        <v>20</v>
      </c>
      <c r="N442" s="627">
        <v>20</v>
      </c>
      <c r="O442" s="627">
        <v>20</v>
      </c>
      <c r="P442" s="627">
        <v>20</v>
      </c>
      <c r="R442" s="6">
        <v>3</v>
      </c>
      <c r="S442" s="320" t="s">
        <v>4416</v>
      </c>
      <c r="T442" s="122">
        <v>1</v>
      </c>
      <c r="U442" s="627">
        <v>14</v>
      </c>
      <c r="V442" s="627">
        <v>14</v>
      </c>
      <c r="W442" s="627">
        <v>14</v>
      </c>
      <c r="X442" s="627">
        <v>14</v>
      </c>
      <c r="Z442" s="6">
        <v>3</v>
      </c>
      <c r="AA442" s="320" t="s">
        <v>4416</v>
      </c>
      <c r="AB442" s="122">
        <v>1</v>
      </c>
      <c r="AC442" s="627">
        <v>16</v>
      </c>
      <c r="AD442" s="627">
        <v>16</v>
      </c>
      <c r="AE442" s="627">
        <v>16</v>
      </c>
      <c r="AF442" s="627">
        <v>16</v>
      </c>
    </row>
    <row r="443" spans="1:32">
      <c r="A443" s="316"/>
      <c r="B443" s="6">
        <v>4</v>
      </c>
      <c r="C443" s="320" t="s">
        <v>812</v>
      </c>
      <c r="D443" s="122">
        <v>1</v>
      </c>
      <c r="E443" s="627">
        <v>14</v>
      </c>
      <c r="F443" s="627">
        <v>14</v>
      </c>
      <c r="G443" s="627">
        <v>14</v>
      </c>
      <c r="H443" s="627">
        <v>14</v>
      </c>
      <c r="J443" s="6">
        <v>4</v>
      </c>
      <c r="K443" s="320" t="s">
        <v>812</v>
      </c>
      <c r="L443" s="122">
        <v>1</v>
      </c>
      <c r="M443" s="627">
        <v>10</v>
      </c>
      <c r="N443" s="627">
        <v>10</v>
      </c>
      <c r="O443" s="627">
        <v>10</v>
      </c>
      <c r="P443" s="627">
        <v>10</v>
      </c>
      <c r="R443" s="6">
        <v>4</v>
      </c>
      <c r="S443" s="320" t="s">
        <v>812</v>
      </c>
      <c r="T443" s="122">
        <v>1</v>
      </c>
      <c r="U443" s="627">
        <v>6</v>
      </c>
      <c r="V443" s="627">
        <v>6</v>
      </c>
      <c r="W443" s="627">
        <v>6</v>
      </c>
      <c r="X443" s="627">
        <v>6</v>
      </c>
      <c r="Z443" s="6">
        <v>4</v>
      </c>
      <c r="AA443" s="320" t="s">
        <v>812</v>
      </c>
      <c r="AB443" s="122">
        <v>1</v>
      </c>
      <c r="AC443" s="627">
        <v>6</v>
      </c>
      <c r="AD443" s="627">
        <v>6</v>
      </c>
      <c r="AE443" s="627">
        <v>6</v>
      </c>
      <c r="AF443" s="627">
        <v>6</v>
      </c>
    </row>
    <row r="444" spans="1:32">
      <c r="A444" s="316"/>
      <c r="B444" s="6">
        <v>5</v>
      </c>
      <c r="C444" s="320" t="s">
        <v>5196</v>
      </c>
      <c r="D444" s="122">
        <v>1</v>
      </c>
      <c r="E444" s="627">
        <v>20</v>
      </c>
      <c r="F444" s="627">
        <v>20</v>
      </c>
      <c r="G444" s="627">
        <v>20</v>
      </c>
      <c r="H444" s="627">
        <v>20</v>
      </c>
      <c r="J444" s="6">
        <v>5</v>
      </c>
      <c r="K444" s="320" t="s">
        <v>5196</v>
      </c>
      <c r="L444" s="122">
        <v>1</v>
      </c>
      <c r="M444" s="627">
        <v>16</v>
      </c>
      <c r="N444" s="627">
        <v>16</v>
      </c>
      <c r="O444" s="627">
        <v>16</v>
      </c>
      <c r="P444" s="627">
        <v>16</v>
      </c>
      <c r="R444" s="6">
        <v>5</v>
      </c>
      <c r="S444" s="320" t="s">
        <v>5196</v>
      </c>
      <c r="T444" s="122">
        <v>1</v>
      </c>
      <c r="U444" s="627">
        <v>12</v>
      </c>
      <c r="V444" s="627">
        <v>12</v>
      </c>
      <c r="W444" s="627">
        <v>12</v>
      </c>
      <c r="X444" s="627">
        <v>12</v>
      </c>
      <c r="Z444" s="6">
        <v>5</v>
      </c>
      <c r="AA444" s="320" t="s">
        <v>5196</v>
      </c>
      <c r="AB444" s="122">
        <v>1</v>
      </c>
      <c r="AC444" s="627">
        <v>12</v>
      </c>
      <c r="AD444" s="627">
        <v>12</v>
      </c>
      <c r="AE444" s="627">
        <v>12</v>
      </c>
      <c r="AF444" s="627">
        <v>12</v>
      </c>
    </row>
    <row r="445" spans="1:32">
      <c r="A445" s="316"/>
      <c r="B445" s="6">
        <v>6</v>
      </c>
      <c r="C445" s="320" t="s">
        <v>780</v>
      </c>
      <c r="D445" s="122">
        <v>1</v>
      </c>
      <c r="E445" s="627">
        <v>10</v>
      </c>
      <c r="F445" s="627">
        <v>10</v>
      </c>
      <c r="G445" s="627">
        <v>10</v>
      </c>
      <c r="H445" s="627">
        <v>10</v>
      </c>
      <c r="J445" s="6">
        <v>6</v>
      </c>
      <c r="K445" s="320" t="s">
        <v>780</v>
      </c>
      <c r="L445" s="122">
        <v>1</v>
      </c>
      <c r="M445" s="627">
        <v>14</v>
      </c>
      <c r="N445" s="627">
        <v>14</v>
      </c>
      <c r="O445" s="627">
        <v>14</v>
      </c>
      <c r="P445" s="627">
        <v>14</v>
      </c>
      <c r="R445" s="6">
        <v>6</v>
      </c>
      <c r="S445" s="320" t="s">
        <v>780</v>
      </c>
      <c r="T445" s="122">
        <v>1</v>
      </c>
      <c r="U445" s="627">
        <v>22</v>
      </c>
      <c r="V445" s="627">
        <v>22</v>
      </c>
      <c r="W445" s="627">
        <v>22</v>
      </c>
      <c r="X445" s="627">
        <v>22</v>
      </c>
      <c r="Z445" s="6">
        <v>6</v>
      </c>
      <c r="AA445" s="320" t="s">
        <v>780</v>
      </c>
      <c r="AB445" s="122">
        <v>1</v>
      </c>
      <c r="AC445" s="627">
        <v>24</v>
      </c>
      <c r="AD445" s="627">
        <v>24</v>
      </c>
      <c r="AE445" s="627">
        <v>24</v>
      </c>
      <c r="AF445" s="627">
        <v>24</v>
      </c>
    </row>
    <row r="446" spans="1:32">
      <c r="A446" s="316"/>
      <c r="B446" s="6">
        <v>7</v>
      </c>
      <c r="C446" s="320">
        <v>0</v>
      </c>
      <c r="D446" s="122">
        <v>1</v>
      </c>
      <c r="E446" s="627"/>
      <c r="F446" s="627">
        <v>0</v>
      </c>
      <c r="G446" s="627">
        <v>0</v>
      </c>
      <c r="H446" s="627">
        <v>0</v>
      </c>
      <c r="J446" s="6">
        <v>7</v>
      </c>
      <c r="K446" s="320">
        <v>0</v>
      </c>
      <c r="L446" s="122">
        <v>1</v>
      </c>
      <c r="M446" s="627"/>
      <c r="N446" s="627">
        <v>0</v>
      </c>
      <c r="O446" s="627">
        <v>0</v>
      </c>
      <c r="P446" s="627">
        <v>0</v>
      </c>
      <c r="R446" s="6">
        <v>7</v>
      </c>
      <c r="S446" s="320">
        <v>0</v>
      </c>
      <c r="T446" s="122">
        <v>1</v>
      </c>
      <c r="U446" s="627"/>
      <c r="V446" s="627">
        <v>0</v>
      </c>
      <c r="W446" s="627">
        <v>0</v>
      </c>
      <c r="X446" s="627">
        <v>0</v>
      </c>
      <c r="Z446" s="6">
        <v>7</v>
      </c>
      <c r="AA446" s="320">
        <v>0</v>
      </c>
      <c r="AB446" s="122">
        <v>1</v>
      </c>
      <c r="AC446" s="627"/>
      <c r="AD446" s="627">
        <v>0</v>
      </c>
      <c r="AE446" s="627">
        <v>0</v>
      </c>
      <c r="AF446" s="627">
        <v>0</v>
      </c>
    </row>
    <row r="447" spans="1:32">
      <c r="A447" s="316"/>
      <c r="B447" s="6">
        <v>8</v>
      </c>
      <c r="C447" s="320">
        <v>0</v>
      </c>
      <c r="D447" s="122">
        <v>1</v>
      </c>
      <c r="E447" s="627"/>
      <c r="F447" s="627">
        <v>0</v>
      </c>
      <c r="G447" s="627">
        <v>0</v>
      </c>
      <c r="H447" s="627">
        <v>0</v>
      </c>
      <c r="J447" s="6">
        <v>8</v>
      </c>
      <c r="K447" s="320">
        <v>0</v>
      </c>
      <c r="L447" s="122">
        <v>1</v>
      </c>
      <c r="M447" s="627"/>
      <c r="N447" s="627">
        <v>0</v>
      </c>
      <c r="O447" s="627">
        <v>0</v>
      </c>
      <c r="P447" s="627">
        <v>0</v>
      </c>
      <c r="R447" s="6">
        <v>8</v>
      </c>
      <c r="S447" s="320">
        <v>0</v>
      </c>
      <c r="T447" s="122">
        <v>1</v>
      </c>
      <c r="U447" s="627"/>
      <c r="V447" s="627">
        <v>0</v>
      </c>
      <c r="W447" s="627">
        <v>0</v>
      </c>
      <c r="X447" s="627">
        <v>0</v>
      </c>
      <c r="Z447" s="6">
        <v>8</v>
      </c>
      <c r="AA447" s="320">
        <v>0</v>
      </c>
      <c r="AB447" s="122">
        <v>1</v>
      </c>
      <c r="AC447" s="627"/>
      <c r="AD447" s="627">
        <v>0</v>
      </c>
      <c r="AE447" s="627">
        <v>0</v>
      </c>
      <c r="AF447" s="627">
        <v>0</v>
      </c>
    </row>
    <row r="448" spans="1:32">
      <c r="A448" s="316"/>
      <c r="B448" s="6">
        <v>9</v>
      </c>
      <c r="C448" s="320">
        <v>0</v>
      </c>
      <c r="D448" s="122">
        <v>1</v>
      </c>
      <c r="E448" s="627"/>
      <c r="F448" s="627">
        <v>0</v>
      </c>
      <c r="G448" s="627">
        <v>0</v>
      </c>
      <c r="H448" s="627">
        <v>0</v>
      </c>
      <c r="J448" s="6">
        <v>9</v>
      </c>
      <c r="K448" s="320">
        <v>0</v>
      </c>
      <c r="L448" s="122">
        <v>1</v>
      </c>
      <c r="M448" s="627"/>
      <c r="N448" s="627">
        <v>0</v>
      </c>
      <c r="O448" s="627">
        <v>0</v>
      </c>
      <c r="P448" s="627">
        <v>0</v>
      </c>
      <c r="R448" s="6">
        <v>9</v>
      </c>
      <c r="S448" s="320">
        <v>0</v>
      </c>
      <c r="T448" s="122">
        <v>1</v>
      </c>
      <c r="U448" s="627"/>
      <c r="V448" s="627">
        <v>0</v>
      </c>
      <c r="W448" s="627">
        <v>0</v>
      </c>
      <c r="X448" s="627">
        <v>0</v>
      </c>
      <c r="Z448" s="6">
        <v>9</v>
      </c>
      <c r="AA448" s="320">
        <v>0</v>
      </c>
      <c r="AB448" s="122">
        <v>1</v>
      </c>
      <c r="AC448" s="627"/>
      <c r="AD448" s="627">
        <v>0</v>
      </c>
      <c r="AE448" s="627">
        <v>0</v>
      </c>
      <c r="AF448" s="627">
        <v>0</v>
      </c>
    </row>
    <row r="449" spans="1:32">
      <c r="A449" s="316"/>
      <c r="B449" s="6">
        <v>10</v>
      </c>
      <c r="C449" s="320">
        <v>0</v>
      </c>
      <c r="D449" s="122">
        <v>1</v>
      </c>
      <c r="E449" s="627"/>
      <c r="F449" s="627">
        <v>0</v>
      </c>
      <c r="G449" s="627">
        <v>0</v>
      </c>
      <c r="H449" s="627">
        <v>0</v>
      </c>
      <c r="J449" s="6">
        <v>10</v>
      </c>
      <c r="K449" s="320">
        <v>0</v>
      </c>
      <c r="L449" s="122">
        <v>1</v>
      </c>
      <c r="M449" s="627"/>
      <c r="N449" s="627">
        <v>0</v>
      </c>
      <c r="O449" s="627">
        <v>0</v>
      </c>
      <c r="P449" s="627">
        <v>0</v>
      </c>
      <c r="R449" s="6">
        <v>10</v>
      </c>
      <c r="S449" s="320">
        <v>0</v>
      </c>
      <c r="T449" s="122">
        <v>1</v>
      </c>
      <c r="U449" s="627"/>
      <c r="V449" s="627">
        <v>0</v>
      </c>
      <c r="W449" s="627">
        <v>0</v>
      </c>
      <c r="X449" s="627">
        <v>0</v>
      </c>
      <c r="Z449" s="6">
        <v>10</v>
      </c>
      <c r="AA449" s="320">
        <v>0</v>
      </c>
      <c r="AB449" s="122">
        <v>1</v>
      </c>
      <c r="AC449" s="627"/>
      <c r="AD449" s="627">
        <v>0</v>
      </c>
      <c r="AE449" s="627">
        <v>0</v>
      </c>
      <c r="AF449" s="627">
        <v>0</v>
      </c>
    </row>
    <row r="450" spans="1:32">
      <c r="A450" s="316"/>
      <c r="C450" s="7" t="s">
        <v>855</v>
      </c>
      <c r="H450" s="610"/>
      <c r="K450" s="7" t="s">
        <v>856</v>
      </c>
      <c r="P450" s="610"/>
      <c r="S450" s="7" t="s">
        <v>857</v>
      </c>
      <c r="X450" s="610"/>
      <c r="AA450" s="7" t="s">
        <v>858</v>
      </c>
      <c r="AF450" s="610"/>
    </row>
    <row r="451" spans="1:32">
      <c r="A451" s="316"/>
      <c r="C451" s="112" t="s">
        <v>283</v>
      </c>
      <c r="H451" s="610"/>
      <c r="J451" s="112" t="s">
        <v>283</v>
      </c>
      <c r="K451" s="112"/>
      <c r="L451" s="112"/>
      <c r="P451" s="610"/>
      <c r="R451" s="112" t="s">
        <v>283</v>
      </c>
      <c r="X451" s="610"/>
      <c r="AA451" s="112" t="s">
        <v>283</v>
      </c>
      <c r="AF451" s="610"/>
    </row>
    <row r="452" spans="1:32">
      <c r="A452" s="316"/>
      <c r="H452" s="610"/>
      <c r="P452" s="610"/>
      <c r="X452" s="610"/>
      <c r="AF452" s="610"/>
    </row>
    <row r="453" spans="1:32">
      <c r="A453" s="316"/>
      <c r="B453" s="7" t="s">
        <v>13812</v>
      </c>
      <c r="H453" s="610"/>
      <c r="J453" s="7" t="s">
        <v>13813</v>
      </c>
      <c r="K453" s="7"/>
      <c r="P453" s="610"/>
      <c r="R453" s="7" t="s">
        <v>13814</v>
      </c>
      <c r="S453" s="7"/>
      <c r="X453" s="610"/>
      <c r="Z453" s="7" t="s">
        <v>13815</v>
      </c>
      <c r="AA453" s="7"/>
      <c r="AF453" s="610"/>
    </row>
    <row r="454" spans="1:32">
      <c r="A454" s="316"/>
      <c r="C454" s="7" t="s">
        <v>281</v>
      </c>
      <c r="D454" s="6" t="s">
        <v>282</v>
      </c>
      <c r="E454" s="6" t="s">
        <v>259</v>
      </c>
      <c r="F454" s="6" t="s">
        <v>260</v>
      </c>
      <c r="G454" s="610" t="s">
        <v>261</v>
      </c>
      <c r="H454" s="610" t="s">
        <v>262</v>
      </c>
      <c r="K454" s="7" t="s">
        <v>281</v>
      </c>
      <c r="L454" s="6" t="s">
        <v>282</v>
      </c>
      <c r="M454" s="610" t="s">
        <v>259</v>
      </c>
      <c r="N454" s="610" t="s">
        <v>260</v>
      </c>
      <c r="O454" s="610" t="s">
        <v>261</v>
      </c>
      <c r="P454" s="610" t="s">
        <v>262</v>
      </c>
      <c r="S454" s="7" t="s">
        <v>281</v>
      </c>
      <c r="T454" s="6" t="s">
        <v>282</v>
      </c>
      <c r="U454" s="610" t="s">
        <v>259</v>
      </c>
      <c r="V454" s="610" t="s">
        <v>260</v>
      </c>
      <c r="W454" s="610" t="s">
        <v>261</v>
      </c>
      <c r="X454" s="610" t="s">
        <v>262</v>
      </c>
      <c r="AA454" s="7" t="s">
        <v>281</v>
      </c>
      <c r="AB454" s="6" t="s">
        <v>282</v>
      </c>
      <c r="AC454" s="610" t="s">
        <v>259</v>
      </c>
      <c r="AD454" s="610" t="s">
        <v>260</v>
      </c>
      <c r="AE454" s="610" t="s">
        <v>261</v>
      </c>
      <c r="AF454" s="610" t="s">
        <v>262</v>
      </c>
    </row>
    <row r="455" spans="1:32">
      <c r="A455" s="316"/>
      <c r="B455" s="6">
        <v>1</v>
      </c>
      <c r="C455" s="320" t="s">
        <v>151</v>
      </c>
      <c r="D455" s="122">
        <v>-1</v>
      </c>
      <c r="E455" s="627">
        <v>20</v>
      </c>
      <c r="F455" s="627">
        <v>20</v>
      </c>
      <c r="G455" s="627">
        <v>20</v>
      </c>
      <c r="H455" s="627">
        <v>20</v>
      </c>
      <c r="J455" s="6">
        <v>1</v>
      </c>
      <c r="K455" s="320" t="s">
        <v>151</v>
      </c>
      <c r="L455" s="122">
        <v>-1</v>
      </c>
      <c r="M455" s="627">
        <v>28</v>
      </c>
      <c r="N455" s="627">
        <v>28</v>
      </c>
      <c r="O455" s="627">
        <v>28</v>
      </c>
      <c r="P455" s="627">
        <v>28</v>
      </c>
      <c r="R455" s="6">
        <v>1</v>
      </c>
      <c r="S455" s="320" t="s">
        <v>151</v>
      </c>
      <c r="T455" s="122">
        <v>-1</v>
      </c>
      <c r="U455" s="627">
        <v>38</v>
      </c>
      <c r="V455" s="627">
        <v>38</v>
      </c>
      <c r="W455" s="627">
        <v>38</v>
      </c>
      <c r="X455" s="627">
        <v>38</v>
      </c>
      <c r="Z455" s="6">
        <v>1</v>
      </c>
      <c r="AA455" s="320" t="s">
        <v>151</v>
      </c>
      <c r="AB455" s="122">
        <v>-1</v>
      </c>
      <c r="AC455" s="627">
        <v>34</v>
      </c>
      <c r="AD455" s="627">
        <v>34</v>
      </c>
      <c r="AE455" s="627">
        <v>34</v>
      </c>
      <c r="AF455" s="627">
        <v>34</v>
      </c>
    </row>
    <row r="456" spans="1:32">
      <c r="A456" s="316"/>
      <c r="B456" s="6">
        <v>2</v>
      </c>
      <c r="C456" s="320" t="s">
        <v>4415</v>
      </c>
      <c r="D456" s="122">
        <v>1</v>
      </c>
      <c r="E456" s="627">
        <v>12</v>
      </c>
      <c r="F456" s="627">
        <v>12</v>
      </c>
      <c r="G456" s="627">
        <v>12</v>
      </c>
      <c r="H456" s="627">
        <v>12</v>
      </c>
      <c r="J456" s="6">
        <v>2</v>
      </c>
      <c r="K456" s="320" t="s">
        <v>4415</v>
      </c>
      <c r="L456" s="122">
        <v>1</v>
      </c>
      <c r="M456" s="627">
        <v>12</v>
      </c>
      <c r="N456" s="627">
        <v>12</v>
      </c>
      <c r="O456" s="627">
        <v>12</v>
      </c>
      <c r="P456" s="627">
        <v>12</v>
      </c>
      <c r="R456" s="6">
        <v>2</v>
      </c>
      <c r="S456" s="320" t="s">
        <v>4415</v>
      </c>
      <c r="T456" s="122">
        <v>1</v>
      </c>
      <c r="U456" s="627">
        <v>8</v>
      </c>
      <c r="V456" s="627">
        <v>8</v>
      </c>
      <c r="W456" s="627">
        <v>8</v>
      </c>
      <c r="X456" s="627">
        <v>8</v>
      </c>
      <c r="Z456" s="6">
        <v>2</v>
      </c>
      <c r="AA456" s="320" t="s">
        <v>4415</v>
      </c>
      <c r="AB456" s="122">
        <v>1</v>
      </c>
      <c r="AC456" s="627">
        <v>8</v>
      </c>
      <c r="AD456" s="627">
        <v>8</v>
      </c>
      <c r="AE456" s="627">
        <v>8</v>
      </c>
      <c r="AF456" s="627">
        <v>8</v>
      </c>
    </row>
    <row r="457" spans="1:32">
      <c r="A457" s="316"/>
      <c r="B457" s="6">
        <v>3</v>
      </c>
      <c r="C457" s="320" t="s">
        <v>4416</v>
      </c>
      <c r="D457" s="122">
        <v>1</v>
      </c>
      <c r="E457" s="627">
        <v>22</v>
      </c>
      <c r="F457" s="627">
        <v>22</v>
      </c>
      <c r="G457" s="627">
        <v>22</v>
      </c>
      <c r="H457" s="627">
        <v>22</v>
      </c>
      <c r="J457" s="6">
        <v>3</v>
      </c>
      <c r="K457" s="320" t="s">
        <v>4416</v>
      </c>
      <c r="L457" s="122">
        <v>1</v>
      </c>
      <c r="M457" s="627">
        <v>20</v>
      </c>
      <c r="N457" s="627">
        <v>20</v>
      </c>
      <c r="O457" s="627">
        <v>20</v>
      </c>
      <c r="P457" s="627">
        <v>20</v>
      </c>
      <c r="R457" s="6">
        <v>3</v>
      </c>
      <c r="S457" s="320" t="s">
        <v>4416</v>
      </c>
      <c r="T457" s="122">
        <v>1</v>
      </c>
      <c r="U457" s="627">
        <v>14</v>
      </c>
      <c r="V457" s="627">
        <v>14</v>
      </c>
      <c r="W457" s="627">
        <v>14</v>
      </c>
      <c r="X457" s="627">
        <v>14</v>
      </c>
      <c r="Z457" s="6">
        <v>3</v>
      </c>
      <c r="AA457" s="320" t="s">
        <v>4416</v>
      </c>
      <c r="AB457" s="122">
        <v>1</v>
      </c>
      <c r="AC457" s="627">
        <v>16</v>
      </c>
      <c r="AD457" s="627">
        <v>16</v>
      </c>
      <c r="AE457" s="627">
        <v>16</v>
      </c>
      <c r="AF457" s="627">
        <v>16</v>
      </c>
    </row>
    <row r="458" spans="1:32">
      <c r="A458" s="316"/>
      <c r="B458" s="6">
        <v>4</v>
      </c>
      <c r="C458" s="320" t="s">
        <v>812</v>
      </c>
      <c r="D458" s="122">
        <v>1</v>
      </c>
      <c r="E458" s="627">
        <v>14</v>
      </c>
      <c r="F458" s="627">
        <v>14</v>
      </c>
      <c r="G458" s="627">
        <v>14</v>
      </c>
      <c r="H458" s="627">
        <v>14</v>
      </c>
      <c r="J458" s="6">
        <v>4</v>
      </c>
      <c r="K458" s="320" t="s">
        <v>812</v>
      </c>
      <c r="L458" s="122">
        <v>1</v>
      </c>
      <c r="M458" s="627">
        <v>10</v>
      </c>
      <c r="N458" s="627">
        <v>10</v>
      </c>
      <c r="O458" s="627">
        <v>10</v>
      </c>
      <c r="P458" s="627">
        <v>10</v>
      </c>
      <c r="R458" s="6">
        <v>4</v>
      </c>
      <c r="S458" s="320" t="s">
        <v>812</v>
      </c>
      <c r="T458" s="122">
        <v>1</v>
      </c>
      <c r="U458" s="627">
        <v>6</v>
      </c>
      <c r="V458" s="627">
        <v>6</v>
      </c>
      <c r="W458" s="627">
        <v>6</v>
      </c>
      <c r="X458" s="627">
        <v>6</v>
      </c>
      <c r="Z458" s="6">
        <v>4</v>
      </c>
      <c r="AA458" s="320" t="s">
        <v>812</v>
      </c>
      <c r="AB458" s="122">
        <v>1</v>
      </c>
      <c r="AC458" s="627">
        <v>6</v>
      </c>
      <c r="AD458" s="627">
        <v>6</v>
      </c>
      <c r="AE458" s="627">
        <v>6</v>
      </c>
      <c r="AF458" s="627">
        <v>6</v>
      </c>
    </row>
    <row r="459" spans="1:32">
      <c r="A459" s="316"/>
      <c r="B459" s="6">
        <v>5</v>
      </c>
      <c r="C459" s="320" t="s">
        <v>5196</v>
      </c>
      <c r="D459" s="122">
        <v>1</v>
      </c>
      <c r="E459" s="627">
        <v>20</v>
      </c>
      <c r="F459" s="627">
        <v>20</v>
      </c>
      <c r="G459" s="627">
        <v>20</v>
      </c>
      <c r="H459" s="627">
        <v>20</v>
      </c>
      <c r="J459" s="6">
        <v>5</v>
      </c>
      <c r="K459" s="320" t="s">
        <v>5196</v>
      </c>
      <c r="L459" s="122">
        <v>1</v>
      </c>
      <c r="M459" s="627">
        <v>16</v>
      </c>
      <c r="N459" s="627">
        <v>16</v>
      </c>
      <c r="O459" s="627">
        <v>16</v>
      </c>
      <c r="P459" s="627">
        <v>16</v>
      </c>
      <c r="R459" s="6">
        <v>5</v>
      </c>
      <c r="S459" s="320" t="s">
        <v>5196</v>
      </c>
      <c r="T459" s="122">
        <v>1</v>
      </c>
      <c r="U459" s="627">
        <v>12</v>
      </c>
      <c r="V459" s="627">
        <v>12</v>
      </c>
      <c r="W459" s="627">
        <v>12</v>
      </c>
      <c r="X459" s="627">
        <v>12</v>
      </c>
      <c r="Z459" s="6">
        <v>5</v>
      </c>
      <c r="AA459" s="320" t="s">
        <v>5196</v>
      </c>
      <c r="AB459" s="122">
        <v>1</v>
      </c>
      <c r="AC459" s="627">
        <v>12</v>
      </c>
      <c r="AD459" s="627">
        <v>12</v>
      </c>
      <c r="AE459" s="627">
        <v>12</v>
      </c>
      <c r="AF459" s="627">
        <v>12</v>
      </c>
    </row>
    <row r="460" spans="1:32">
      <c r="A460" s="316"/>
      <c r="B460" s="6">
        <v>6</v>
      </c>
      <c r="C460" s="320" t="s">
        <v>780</v>
      </c>
      <c r="D460" s="122">
        <v>1</v>
      </c>
      <c r="E460" s="627">
        <v>10</v>
      </c>
      <c r="F460" s="627">
        <v>10</v>
      </c>
      <c r="G460" s="627">
        <v>10</v>
      </c>
      <c r="H460" s="627">
        <v>10</v>
      </c>
      <c r="J460" s="6">
        <v>6</v>
      </c>
      <c r="K460" s="320" t="s">
        <v>780</v>
      </c>
      <c r="L460" s="122">
        <v>1</v>
      </c>
      <c r="M460" s="627">
        <v>14</v>
      </c>
      <c r="N460" s="627">
        <v>14</v>
      </c>
      <c r="O460" s="627">
        <v>14</v>
      </c>
      <c r="P460" s="627">
        <v>14</v>
      </c>
      <c r="R460" s="6">
        <v>6</v>
      </c>
      <c r="S460" s="320" t="s">
        <v>780</v>
      </c>
      <c r="T460" s="122">
        <v>1</v>
      </c>
      <c r="U460" s="627">
        <v>22</v>
      </c>
      <c r="V460" s="627">
        <v>22</v>
      </c>
      <c r="W460" s="627">
        <v>22</v>
      </c>
      <c r="X460" s="627">
        <v>22</v>
      </c>
      <c r="Z460" s="6">
        <v>6</v>
      </c>
      <c r="AA460" s="320" t="s">
        <v>780</v>
      </c>
      <c r="AB460" s="122">
        <v>1</v>
      </c>
      <c r="AC460" s="627">
        <v>24</v>
      </c>
      <c r="AD460" s="627">
        <v>24</v>
      </c>
      <c r="AE460" s="627">
        <v>24</v>
      </c>
      <c r="AF460" s="627">
        <v>24</v>
      </c>
    </row>
    <row r="461" spans="1:32">
      <c r="A461" s="316"/>
      <c r="B461" s="6">
        <v>7</v>
      </c>
      <c r="C461" s="320">
        <v>0</v>
      </c>
      <c r="D461" s="122">
        <v>1</v>
      </c>
      <c r="E461" s="627"/>
      <c r="F461" s="627">
        <v>0</v>
      </c>
      <c r="G461" s="627">
        <v>0</v>
      </c>
      <c r="H461" s="627">
        <v>0</v>
      </c>
      <c r="J461" s="6">
        <v>7</v>
      </c>
      <c r="K461" s="320">
        <v>0</v>
      </c>
      <c r="L461" s="122">
        <v>1</v>
      </c>
      <c r="M461" s="627"/>
      <c r="N461" s="627">
        <v>0</v>
      </c>
      <c r="O461" s="627">
        <v>0</v>
      </c>
      <c r="P461" s="627">
        <v>0</v>
      </c>
      <c r="R461" s="6">
        <v>7</v>
      </c>
      <c r="S461" s="320">
        <v>0</v>
      </c>
      <c r="T461" s="122">
        <v>1</v>
      </c>
      <c r="U461" s="627"/>
      <c r="V461" s="627">
        <v>0</v>
      </c>
      <c r="W461" s="627">
        <v>0</v>
      </c>
      <c r="X461" s="627">
        <v>0</v>
      </c>
      <c r="Z461" s="6">
        <v>7</v>
      </c>
      <c r="AA461" s="320">
        <v>0</v>
      </c>
      <c r="AB461" s="122">
        <v>1</v>
      </c>
      <c r="AC461" s="627"/>
      <c r="AD461" s="627">
        <v>0</v>
      </c>
      <c r="AE461" s="627">
        <v>0</v>
      </c>
      <c r="AF461" s="627">
        <v>0</v>
      </c>
    </row>
    <row r="462" spans="1:32">
      <c r="A462" s="316"/>
      <c r="B462" s="6">
        <v>8</v>
      </c>
      <c r="C462" s="320">
        <v>0</v>
      </c>
      <c r="D462" s="122">
        <v>1</v>
      </c>
      <c r="E462" s="627"/>
      <c r="F462" s="627">
        <v>0</v>
      </c>
      <c r="G462" s="627">
        <v>0</v>
      </c>
      <c r="H462" s="627">
        <v>0</v>
      </c>
      <c r="J462" s="6">
        <v>8</v>
      </c>
      <c r="K462" s="320">
        <v>0</v>
      </c>
      <c r="L462" s="122">
        <v>1</v>
      </c>
      <c r="M462" s="627"/>
      <c r="N462" s="627">
        <v>0</v>
      </c>
      <c r="O462" s="627">
        <v>0</v>
      </c>
      <c r="P462" s="627">
        <v>0</v>
      </c>
      <c r="R462" s="6">
        <v>8</v>
      </c>
      <c r="S462" s="320">
        <v>0</v>
      </c>
      <c r="T462" s="122">
        <v>1</v>
      </c>
      <c r="U462" s="627"/>
      <c r="V462" s="627">
        <v>0</v>
      </c>
      <c r="W462" s="627">
        <v>0</v>
      </c>
      <c r="X462" s="627">
        <v>0</v>
      </c>
      <c r="Z462" s="6">
        <v>8</v>
      </c>
      <c r="AA462" s="320">
        <v>0</v>
      </c>
      <c r="AB462" s="122">
        <v>1</v>
      </c>
      <c r="AC462" s="627"/>
      <c r="AD462" s="627">
        <v>0</v>
      </c>
      <c r="AE462" s="627">
        <v>0</v>
      </c>
      <c r="AF462" s="627">
        <v>0</v>
      </c>
    </row>
    <row r="463" spans="1:32">
      <c r="A463" s="316"/>
      <c r="B463" s="6">
        <v>9</v>
      </c>
      <c r="C463" s="320">
        <v>0</v>
      </c>
      <c r="D463" s="122">
        <v>1</v>
      </c>
      <c r="E463" s="627"/>
      <c r="F463" s="627">
        <v>0</v>
      </c>
      <c r="G463" s="627">
        <v>0</v>
      </c>
      <c r="H463" s="627">
        <v>0</v>
      </c>
      <c r="J463" s="6">
        <v>9</v>
      </c>
      <c r="K463" s="320">
        <v>0</v>
      </c>
      <c r="L463" s="122">
        <v>1</v>
      </c>
      <c r="M463" s="627"/>
      <c r="N463" s="627">
        <v>0</v>
      </c>
      <c r="O463" s="627">
        <v>0</v>
      </c>
      <c r="P463" s="627">
        <v>0</v>
      </c>
      <c r="R463" s="6">
        <v>9</v>
      </c>
      <c r="S463" s="320">
        <v>0</v>
      </c>
      <c r="T463" s="122">
        <v>1</v>
      </c>
      <c r="U463" s="627"/>
      <c r="V463" s="627">
        <v>0</v>
      </c>
      <c r="W463" s="627">
        <v>0</v>
      </c>
      <c r="X463" s="627">
        <v>0</v>
      </c>
      <c r="Z463" s="6">
        <v>9</v>
      </c>
      <c r="AA463" s="320">
        <v>0</v>
      </c>
      <c r="AB463" s="122">
        <v>1</v>
      </c>
      <c r="AC463" s="627"/>
      <c r="AD463" s="627">
        <v>0</v>
      </c>
      <c r="AE463" s="627">
        <v>0</v>
      </c>
      <c r="AF463" s="627">
        <v>0</v>
      </c>
    </row>
    <row r="464" spans="1:32">
      <c r="A464" s="316"/>
      <c r="B464" s="6">
        <v>10</v>
      </c>
      <c r="C464" s="320">
        <v>0</v>
      </c>
      <c r="D464" s="122">
        <v>1</v>
      </c>
      <c r="E464" s="627"/>
      <c r="F464" s="627">
        <v>0</v>
      </c>
      <c r="G464" s="627">
        <v>0</v>
      </c>
      <c r="H464" s="627">
        <v>0</v>
      </c>
      <c r="J464" s="6">
        <v>10</v>
      </c>
      <c r="K464" s="320">
        <v>0</v>
      </c>
      <c r="L464" s="122">
        <v>1</v>
      </c>
      <c r="M464" s="627"/>
      <c r="N464" s="627">
        <v>0</v>
      </c>
      <c r="O464" s="627">
        <v>0</v>
      </c>
      <c r="P464" s="627">
        <v>0</v>
      </c>
      <c r="R464" s="6">
        <v>10</v>
      </c>
      <c r="S464" s="320">
        <v>0</v>
      </c>
      <c r="T464" s="122">
        <v>1</v>
      </c>
      <c r="U464" s="627"/>
      <c r="V464" s="627">
        <v>0</v>
      </c>
      <c r="W464" s="627">
        <v>0</v>
      </c>
      <c r="X464" s="627">
        <v>0</v>
      </c>
      <c r="Z464" s="6">
        <v>10</v>
      </c>
      <c r="AA464" s="320">
        <v>0</v>
      </c>
      <c r="AB464" s="122">
        <v>1</v>
      </c>
      <c r="AC464" s="627"/>
      <c r="AD464" s="627">
        <v>0</v>
      </c>
      <c r="AE464" s="627">
        <v>0</v>
      </c>
      <c r="AF464" s="627">
        <v>0</v>
      </c>
    </row>
    <row r="465" spans="1:27">
      <c r="A465" s="316"/>
      <c r="C465" s="7" t="s">
        <v>859</v>
      </c>
      <c r="K465" s="7" t="s">
        <v>860</v>
      </c>
      <c r="S465" s="7" t="s">
        <v>861</v>
      </c>
      <c r="AA465" s="7" t="s">
        <v>862</v>
      </c>
    </row>
    <row r="466" spans="1:27">
      <c r="A466" s="316"/>
      <c r="C466" s="112" t="s">
        <v>283</v>
      </c>
      <c r="J466" s="112" t="s">
        <v>283</v>
      </c>
      <c r="K466" s="112"/>
      <c r="L466" s="112"/>
      <c r="R466" s="112" t="s">
        <v>283</v>
      </c>
      <c r="AA466" s="112" t="s">
        <v>283</v>
      </c>
    </row>
    <row r="468" spans="1:27" s="11" customFormat="1">
      <c r="B468" s="29" t="s">
        <v>284</v>
      </c>
    </row>
    <row r="470" spans="1:27">
      <c r="B470" s="7" t="s">
        <v>285</v>
      </c>
      <c r="D470" s="6" t="s">
        <v>259</v>
      </c>
      <c r="E470" s="6" t="s">
        <v>260</v>
      </c>
      <c r="F470" s="6" t="s">
        <v>261</v>
      </c>
      <c r="G470" s="6" t="s">
        <v>262</v>
      </c>
    </row>
    <row r="471" spans="1:27">
      <c r="C471" s="7" t="s">
        <v>286</v>
      </c>
      <c r="D471" s="124">
        <v>30000000</v>
      </c>
      <c r="E471" s="124">
        <v>35805000</v>
      </c>
      <c r="F471" s="124">
        <v>46464000</v>
      </c>
      <c r="G471" s="124">
        <v>65122200</v>
      </c>
    </row>
    <row r="472" spans="1:27">
      <c r="C472" s="7" t="s">
        <v>287</v>
      </c>
      <c r="D472" s="124">
        <v>20000000</v>
      </c>
      <c r="E472" s="124">
        <v>23100000</v>
      </c>
      <c r="F472" s="124">
        <v>29040000</v>
      </c>
      <c r="G472" s="124">
        <v>39468000</v>
      </c>
    </row>
    <row r="473" spans="1:27">
      <c r="C473" s="7" t="s">
        <v>288</v>
      </c>
      <c r="D473" s="124">
        <v>10000000</v>
      </c>
      <c r="E473" s="124">
        <v>9240000</v>
      </c>
      <c r="F473" s="124">
        <v>10164000.000000002</v>
      </c>
      <c r="G473" s="124">
        <v>9867000</v>
      </c>
    </row>
    <row r="475" spans="1:27">
      <c r="B475" s="7" t="s">
        <v>289</v>
      </c>
      <c r="D475" s="6" t="s">
        <v>259</v>
      </c>
      <c r="E475" s="6" t="s">
        <v>260</v>
      </c>
      <c r="F475" s="6" t="s">
        <v>261</v>
      </c>
      <c r="G475" s="6" t="s">
        <v>262</v>
      </c>
    </row>
    <row r="476" spans="1:27">
      <c r="C476" s="7" t="s">
        <v>286</v>
      </c>
      <c r="D476" s="125">
        <v>0.5</v>
      </c>
      <c r="E476" s="125">
        <v>0.5</v>
      </c>
      <c r="F476" s="125">
        <v>0.5</v>
      </c>
      <c r="G476" s="125">
        <v>0.5</v>
      </c>
    </row>
    <row r="477" spans="1:27">
      <c r="C477" s="7" t="s">
        <v>287</v>
      </c>
      <c r="D477" s="125">
        <v>0.5</v>
      </c>
      <c r="E477" s="125">
        <v>0.5</v>
      </c>
      <c r="F477" s="125">
        <v>0.5</v>
      </c>
      <c r="G477" s="125">
        <v>0.5</v>
      </c>
    </row>
    <row r="478" spans="1:27">
      <c r="C478" s="7" t="s">
        <v>288</v>
      </c>
      <c r="D478" s="125">
        <v>0.5</v>
      </c>
      <c r="E478" s="125">
        <v>0.5</v>
      </c>
      <c r="F478" s="125">
        <v>0.5</v>
      </c>
      <c r="G478" s="125">
        <v>0.5</v>
      </c>
    </row>
    <row r="480" spans="1:27">
      <c r="B480" s="7" t="s">
        <v>284</v>
      </c>
      <c r="D480" s="6" t="s">
        <v>259</v>
      </c>
      <c r="E480" s="6" t="s">
        <v>260</v>
      </c>
      <c r="F480" s="6" t="s">
        <v>261</v>
      </c>
      <c r="G480" s="6" t="s">
        <v>262</v>
      </c>
    </row>
    <row r="481" spans="2:20">
      <c r="C481" s="7" t="s">
        <v>286</v>
      </c>
      <c r="D481" s="124">
        <v>15000000</v>
      </c>
      <c r="E481" s="124">
        <v>17902500</v>
      </c>
      <c r="F481" s="124">
        <v>23232000</v>
      </c>
      <c r="G481" s="124">
        <v>32561100</v>
      </c>
      <c r="H481" s="7" t="s">
        <v>290</v>
      </c>
      <c r="J481" s="112" t="s">
        <v>291</v>
      </c>
    </row>
    <row r="482" spans="2:20">
      <c r="C482" s="7" t="s">
        <v>287</v>
      </c>
      <c r="D482" s="124">
        <v>10000000</v>
      </c>
      <c r="E482" s="124">
        <v>11550000</v>
      </c>
      <c r="F482" s="124">
        <v>14520000</v>
      </c>
      <c r="G482" s="124">
        <v>19734000</v>
      </c>
      <c r="H482" s="7" t="s">
        <v>292</v>
      </c>
      <c r="J482" s="112" t="s">
        <v>293</v>
      </c>
    </row>
    <row r="483" spans="2:20">
      <c r="C483" s="7" t="s">
        <v>288</v>
      </c>
      <c r="D483" s="124">
        <v>5000000</v>
      </c>
      <c r="E483" s="124">
        <v>4620000</v>
      </c>
      <c r="F483" s="124">
        <v>5082000.0000000009</v>
      </c>
      <c r="G483" s="124">
        <v>4933500</v>
      </c>
      <c r="H483" s="7" t="s">
        <v>294</v>
      </c>
    </row>
    <row r="486" spans="2:20" s="11" customFormat="1">
      <c r="B486" s="29" t="s">
        <v>356</v>
      </c>
    </row>
    <row r="488" spans="2:20">
      <c r="B488" s="88" t="s">
        <v>358</v>
      </c>
    </row>
    <row r="489" spans="2:20">
      <c r="C489" s="7" t="s">
        <v>357</v>
      </c>
      <c r="D489" s="6" t="s">
        <v>244</v>
      </c>
      <c r="E489" s="6" t="s">
        <v>245</v>
      </c>
      <c r="F489" s="6" t="s">
        <v>5199</v>
      </c>
      <c r="G489" s="6" t="s">
        <v>246</v>
      </c>
    </row>
    <row r="490" spans="2:20">
      <c r="C490" s="196" t="s">
        <v>350</v>
      </c>
      <c r="D490" s="123">
        <v>0</v>
      </c>
      <c r="E490" s="123">
        <v>0</v>
      </c>
      <c r="F490" s="123">
        <v>0</v>
      </c>
      <c r="G490" s="123">
        <v>0</v>
      </c>
    </row>
    <row r="491" spans="2:20">
      <c r="C491" s="196" t="s">
        <v>352</v>
      </c>
      <c r="D491" s="123">
        <v>6</v>
      </c>
      <c r="E491" s="123">
        <v>3</v>
      </c>
      <c r="F491" s="123">
        <v>12</v>
      </c>
      <c r="G491" s="123">
        <v>12</v>
      </c>
      <c r="I491" s="7" t="s">
        <v>359</v>
      </c>
      <c r="K491" s="965"/>
      <c r="L491" s="965"/>
      <c r="M491" s="965"/>
      <c r="N491" s="965"/>
      <c r="Q491" s="610"/>
      <c r="R491" s="610"/>
      <c r="S491" s="610"/>
      <c r="T491" s="610"/>
    </row>
    <row r="492" spans="2:20">
      <c r="C492" s="196" t="s">
        <v>351</v>
      </c>
      <c r="D492" s="123">
        <v>9</v>
      </c>
      <c r="E492" s="123">
        <v>6</v>
      </c>
      <c r="F492" s="123">
        <v>9</v>
      </c>
      <c r="G492" s="123">
        <v>9</v>
      </c>
      <c r="I492" s="7" t="s">
        <v>360</v>
      </c>
      <c r="K492" s="965"/>
      <c r="L492" s="965"/>
      <c r="M492" s="965"/>
      <c r="N492" s="965"/>
      <c r="P492" s="610"/>
      <c r="Q492" s="610"/>
      <c r="R492" s="610"/>
      <c r="S492" s="610"/>
      <c r="T492" s="610"/>
    </row>
    <row r="493" spans="2:20">
      <c r="C493" s="196" t="s">
        <v>353</v>
      </c>
      <c r="D493" s="123">
        <v>9</v>
      </c>
      <c r="E493" s="123">
        <v>3</v>
      </c>
      <c r="F493" s="123">
        <v>9</v>
      </c>
      <c r="G493" s="123">
        <v>6</v>
      </c>
      <c r="K493" s="965"/>
      <c r="L493" s="965"/>
      <c r="M493" s="965"/>
      <c r="N493" s="965"/>
      <c r="P493" s="610"/>
      <c r="Q493" s="610"/>
      <c r="R493" s="610"/>
      <c r="S493" s="610"/>
      <c r="T493" s="610"/>
    </row>
    <row r="494" spans="2:20">
      <c r="C494" s="196" t="s">
        <v>584</v>
      </c>
      <c r="D494" s="123">
        <v>12</v>
      </c>
      <c r="E494" s="123">
        <v>6</v>
      </c>
      <c r="F494" s="123">
        <v>15</v>
      </c>
      <c r="G494" s="123">
        <v>15</v>
      </c>
      <c r="K494" s="965"/>
      <c r="L494" s="965"/>
      <c r="M494" s="965"/>
      <c r="N494" s="965"/>
      <c r="P494" s="610"/>
      <c r="Q494" s="610"/>
      <c r="R494" s="610"/>
      <c r="S494" s="610"/>
      <c r="T494" s="610"/>
    </row>
    <row r="495" spans="2:20">
      <c r="C495" s="196" t="s">
        <v>2107</v>
      </c>
      <c r="D495" s="123">
        <v>12</v>
      </c>
      <c r="E495" s="123">
        <v>3</v>
      </c>
      <c r="F495" s="123">
        <v>12</v>
      </c>
      <c r="G495" s="123">
        <v>12</v>
      </c>
      <c r="K495" s="965"/>
      <c r="L495" s="965"/>
      <c r="M495" s="965"/>
      <c r="N495" s="965"/>
      <c r="P495" s="610"/>
      <c r="Q495" s="610"/>
      <c r="R495" s="610"/>
      <c r="S495" s="610"/>
      <c r="T495" s="610"/>
    </row>
    <row r="496" spans="2:20">
      <c r="C496" s="196" t="s">
        <v>2108</v>
      </c>
      <c r="D496" s="123">
        <v>9</v>
      </c>
      <c r="E496" s="123">
        <v>3</v>
      </c>
      <c r="F496" s="123">
        <v>9</v>
      </c>
      <c r="G496" s="123">
        <v>9</v>
      </c>
      <c r="K496" s="965"/>
      <c r="L496" s="965"/>
      <c r="M496" s="965"/>
      <c r="N496" s="965"/>
      <c r="P496" s="610"/>
      <c r="Q496" s="610"/>
      <c r="R496" s="610"/>
      <c r="S496" s="610"/>
      <c r="T496" s="610"/>
    </row>
    <row r="497" spans="3:20">
      <c r="C497" s="196" t="s">
        <v>354</v>
      </c>
      <c r="D497" s="123">
        <v>9</v>
      </c>
      <c r="E497" s="123">
        <v>6</v>
      </c>
      <c r="F497" s="123">
        <v>6</v>
      </c>
      <c r="G497" s="123">
        <v>3</v>
      </c>
      <c r="K497" s="965"/>
      <c r="L497" s="965"/>
      <c r="M497" s="965"/>
      <c r="N497" s="965"/>
      <c r="P497" s="610"/>
      <c r="Q497" s="610"/>
      <c r="R497" s="610"/>
      <c r="S497" s="610"/>
      <c r="T497" s="610"/>
    </row>
    <row r="498" spans="3:20">
      <c r="C498" s="196" t="s">
        <v>355</v>
      </c>
      <c r="D498" s="123">
        <v>9</v>
      </c>
      <c r="E498" s="123">
        <v>12</v>
      </c>
      <c r="F498" s="123">
        <v>3</v>
      </c>
      <c r="G498" s="123">
        <v>3</v>
      </c>
      <c r="K498" s="965"/>
      <c r="L498" s="965"/>
      <c r="M498" s="965"/>
      <c r="N498" s="965"/>
      <c r="P498" s="610"/>
      <c r="Q498" s="610"/>
      <c r="R498" s="610"/>
      <c r="S498" s="610"/>
      <c r="T498" s="610"/>
    </row>
    <row r="499" spans="3:20">
      <c r="C499" s="196" t="s">
        <v>3765</v>
      </c>
      <c r="D499" s="123">
        <v>6</v>
      </c>
      <c r="E499" s="123">
        <v>15</v>
      </c>
      <c r="F499" s="123">
        <v>3</v>
      </c>
      <c r="G499" s="123">
        <v>3</v>
      </c>
      <c r="K499" s="965"/>
      <c r="L499" s="965"/>
      <c r="M499" s="965"/>
      <c r="N499" s="965"/>
      <c r="P499" s="610"/>
      <c r="Q499" s="610"/>
      <c r="R499" s="610"/>
      <c r="S499" s="610"/>
      <c r="T499" s="610"/>
    </row>
    <row r="500" spans="3:20">
      <c r="C500" s="196" t="s">
        <v>3766</v>
      </c>
      <c r="D500" s="123">
        <v>3</v>
      </c>
      <c r="E500" s="123">
        <v>3</v>
      </c>
      <c r="F500" s="123">
        <v>3</v>
      </c>
      <c r="G500" s="123">
        <v>15</v>
      </c>
      <c r="K500" s="965"/>
      <c r="L500" s="965"/>
      <c r="M500" s="965"/>
      <c r="N500" s="965"/>
      <c r="P500" s="610"/>
      <c r="Q500" s="610"/>
      <c r="R500" s="610"/>
      <c r="S500" s="610"/>
      <c r="T500" s="610"/>
    </row>
    <row r="501" spans="3:20">
      <c r="C501" s="196" t="s">
        <v>4417</v>
      </c>
      <c r="D501" s="123">
        <v>9</v>
      </c>
      <c r="E501" s="123">
        <v>6</v>
      </c>
      <c r="F501" s="123">
        <v>15</v>
      </c>
      <c r="G501" s="123">
        <v>3</v>
      </c>
      <c r="K501" s="965"/>
      <c r="L501" s="965"/>
      <c r="M501" s="965"/>
      <c r="N501" s="965"/>
      <c r="P501" s="610"/>
      <c r="Q501" s="610"/>
      <c r="R501" s="610"/>
      <c r="S501" s="610"/>
      <c r="T501" s="610"/>
    </row>
    <row r="502" spans="3:20">
      <c r="C502" s="196" t="s">
        <v>4418</v>
      </c>
      <c r="D502" s="123">
        <v>12</v>
      </c>
      <c r="E502" s="123">
        <v>9</v>
      </c>
      <c r="F502" s="123">
        <v>12</v>
      </c>
      <c r="G502" s="123">
        <v>3</v>
      </c>
      <c r="K502" s="965"/>
      <c r="L502" s="965"/>
      <c r="M502" s="965"/>
      <c r="N502" s="965"/>
      <c r="P502" s="610"/>
      <c r="Q502" s="610"/>
      <c r="R502" s="610"/>
      <c r="S502" s="610"/>
      <c r="T502" s="610"/>
    </row>
    <row r="503" spans="3:20">
      <c r="C503" s="196" t="s">
        <v>4419</v>
      </c>
      <c r="D503" s="123">
        <v>12</v>
      </c>
      <c r="E503" s="123">
        <v>9</v>
      </c>
      <c r="F503" s="123">
        <v>15</v>
      </c>
      <c r="G503" s="123">
        <v>3</v>
      </c>
      <c r="K503" s="965"/>
      <c r="L503" s="965"/>
      <c r="M503" s="965"/>
      <c r="N503" s="965"/>
      <c r="P503" s="610"/>
      <c r="Q503" s="610"/>
      <c r="R503" s="610"/>
      <c r="S503" s="610"/>
      <c r="T503" s="610"/>
    </row>
    <row r="504" spans="3:20">
      <c r="C504" s="196" t="s">
        <v>4420</v>
      </c>
      <c r="D504" s="123">
        <v>6</v>
      </c>
      <c r="E504" s="123">
        <v>12</v>
      </c>
      <c r="F504" s="123">
        <v>15</v>
      </c>
      <c r="G504" s="123">
        <v>3</v>
      </c>
      <c r="K504" s="965"/>
      <c r="L504" s="965"/>
      <c r="M504" s="965"/>
      <c r="N504" s="965"/>
      <c r="P504" s="610"/>
      <c r="Q504" s="610"/>
      <c r="R504" s="610"/>
      <c r="S504" s="610"/>
      <c r="T504" s="610"/>
    </row>
    <row r="505" spans="3:20">
      <c r="C505" s="196" t="s">
        <v>4421</v>
      </c>
      <c r="D505" s="123">
        <v>12</v>
      </c>
      <c r="E505" s="123">
        <v>15</v>
      </c>
      <c r="F505" s="123">
        <v>9</v>
      </c>
      <c r="G505" s="123">
        <v>3</v>
      </c>
      <c r="K505" s="965"/>
      <c r="L505" s="965"/>
      <c r="M505" s="965"/>
      <c r="N505" s="965"/>
      <c r="P505" s="610"/>
      <c r="Q505" s="610"/>
      <c r="R505" s="610"/>
      <c r="S505" s="610"/>
      <c r="T505" s="610"/>
    </row>
    <row r="506" spans="3:20">
      <c r="C506" s="196" t="s">
        <v>4422</v>
      </c>
      <c r="D506" s="123">
        <v>9</v>
      </c>
      <c r="E506" s="123">
        <v>15</v>
      </c>
      <c r="F506" s="123">
        <v>9</v>
      </c>
      <c r="G506" s="123">
        <v>3</v>
      </c>
      <c r="K506" s="965"/>
      <c r="L506" s="965"/>
      <c r="M506" s="965"/>
      <c r="N506" s="965"/>
      <c r="P506" s="610"/>
      <c r="Q506" s="610"/>
      <c r="R506" s="610"/>
      <c r="S506" s="610"/>
      <c r="T506" s="610"/>
    </row>
    <row r="507" spans="3:20">
      <c r="C507" s="196" t="s">
        <v>4423</v>
      </c>
      <c r="D507" s="123">
        <v>9</v>
      </c>
      <c r="E507" s="123">
        <v>15</v>
      </c>
      <c r="F507" s="123">
        <v>6</v>
      </c>
      <c r="G507" s="123">
        <v>3</v>
      </c>
      <c r="K507" s="965"/>
      <c r="L507" s="965"/>
      <c r="M507" s="965"/>
      <c r="N507" s="965"/>
      <c r="P507" s="610"/>
      <c r="Q507" s="610"/>
      <c r="R507" s="610"/>
      <c r="S507" s="610"/>
      <c r="T507" s="610"/>
    </row>
    <row r="508" spans="3:20">
      <c r="C508" s="196" t="s">
        <v>4424</v>
      </c>
      <c r="D508" s="123">
        <v>12</v>
      </c>
      <c r="E508" s="123">
        <v>9</v>
      </c>
      <c r="F508" s="123">
        <v>15</v>
      </c>
      <c r="G508" s="123">
        <v>3</v>
      </c>
      <c r="K508" s="965"/>
      <c r="L508" s="965"/>
      <c r="M508" s="965"/>
      <c r="N508" s="965"/>
      <c r="P508" s="610"/>
      <c r="Q508" s="610"/>
      <c r="R508" s="610"/>
      <c r="S508" s="610"/>
      <c r="T508" s="610"/>
    </row>
    <row r="509" spans="3:20">
      <c r="C509" s="196" t="s">
        <v>4425</v>
      </c>
      <c r="D509" s="123">
        <v>12</v>
      </c>
      <c r="E509" s="123">
        <v>15</v>
      </c>
      <c r="F509" s="123">
        <v>6</v>
      </c>
      <c r="G509" s="123">
        <v>3</v>
      </c>
      <c r="K509" s="965"/>
      <c r="L509" s="965"/>
      <c r="M509" s="965"/>
      <c r="N509" s="965"/>
      <c r="P509" s="610"/>
      <c r="Q509" s="610"/>
      <c r="R509" s="610"/>
      <c r="S509" s="610"/>
      <c r="T509" s="610"/>
    </row>
    <row r="510" spans="3:20">
      <c r="C510" s="196" t="s">
        <v>4426</v>
      </c>
      <c r="D510" s="123">
        <v>12</v>
      </c>
      <c r="E510" s="123">
        <v>9</v>
      </c>
      <c r="F510" s="123">
        <v>12</v>
      </c>
      <c r="G510" s="123">
        <v>3</v>
      </c>
      <c r="K510" s="965"/>
      <c r="L510" s="965"/>
      <c r="M510" s="965"/>
      <c r="N510" s="965"/>
      <c r="P510" s="610"/>
      <c r="Q510" s="610"/>
      <c r="R510" s="610"/>
      <c r="S510" s="610"/>
      <c r="T510" s="610"/>
    </row>
    <row r="511" spans="3:20">
      <c r="C511" s="196" t="s">
        <v>8369</v>
      </c>
      <c r="D511" s="123">
        <v>12</v>
      </c>
      <c r="E511" s="123">
        <v>15</v>
      </c>
      <c r="F511" s="123">
        <v>3</v>
      </c>
      <c r="G511" s="123">
        <v>3</v>
      </c>
      <c r="K511" s="965"/>
      <c r="L511" s="965"/>
      <c r="M511" s="965"/>
      <c r="N511" s="965"/>
      <c r="P511" s="610"/>
      <c r="Q511" s="610"/>
      <c r="R511" s="610"/>
      <c r="S511" s="610"/>
      <c r="T511" s="610"/>
    </row>
    <row r="512" spans="3:20">
      <c r="C512" s="196" t="s">
        <v>4427</v>
      </c>
      <c r="D512" s="123">
        <v>12</v>
      </c>
      <c r="E512" s="123">
        <v>6</v>
      </c>
      <c r="F512" s="123">
        <v>9</v>
      </c>
      <c r="G512" s="123">
        <v>3</v>
      </c>
      <c r="K512" s="965"/>
      <c r="L512" s="965"/>
      <c r="M512" s="965"/>
      <c r="N512" s="965"/>
      <c r="P512" s="610"/>
      <c r="Q512" s="610"/>
      <c r="R512" s="610"/>
      <c r="S512" s="610"/>
      <c r="T512" s="610"/>
    </row>
    <row r="513" spans="2:20">
      <c r="C513" s="196" t="s">
        <v>8368</v>
      </c>
      <c r="D513" s="123">
        <v>12</v>
      </c>
      <c r="E513" s="123">
        <v>15</v>
      </c>
      <c r="F513" s="123">
        <v>3</v>
      </c>
      <c r="G513" s="123">
        <v>3</v>
      </c>
      <c r="K513" s="965"/>
      <c r="L513" s="965"/>
      <c r="M513" s="965"/>
      <c r="N513" s="965"/>
      <c r="P513" s="610"/>
      <c r="Q513" s="610"/>
      <c r="R513" s="610"/>
      <c r="S513" s="610"/>
      <c r="T513" s="610"/>
    </row>
    <row r="514" spans="2:20">
      <c r="C514" s="196" t="s">
        <v>4428</v>
      </c>
      <c r="D514" s="123">
        <v>15</v>
      </c>
      <c r="E514" s="123">
        <v>12</v>
      </c>
      <c r="F514" s="123">
        <v>6</v>
      </c>
      <c r="G514" s="123">
        <v>3</v>
      </c>
      <c r="K514" s="965"/>
      <c r="L514" s="965"/>
      <c r="M514" s="965"/>
      <c r="N514" s="965"/>
      <c r="P514" s="610"/>
      <c r="Q514" s="610"/>
      <c r="R514" s="610"/>
      <c r="S514" s="610"/>
      <c r="T514" s="610"/>
    </row>
    <row r="515" spans="2:20">
      <c r="C515" s="196" t="s">
        <v>4429</v>
      </c>
      <c r="D515" s="123">
        <v>12</v>
      </c>
      <c r="E515" s="123">
        <v>15</v>
      </c>
      <c r="F515" s="123">
        <v>3</v>
      </c>
      <c r="G515" s="123">
        <v>3</v>
      </c>
      <c r="K515" s="965"/>
      <c r="L515" s="965"/>
      <c r="M515" s="965"/>
      <c r="N515" s="965"/>
      <c r="P515" s="610"/>
      <c r="Q515" s="610"/>
      <c r="R515" s="610"/>
      <c r="S515" s="610"/>
      <c r="T515" s="610"/>
    </row>
    <row r="516" spans="2:20">
      <c r="C516" s="196" t="s">
        <v>5661</v>
      </c>
      <c r="D516" s="123"/>
      <c r="E516" s="123"/>
      <c r="F516" s="123"/>
      <c r="G516" s="123"/>
    </row>
    <row r="517" spans="2:20">
      <c r="C517" s="196" t="s">
        <v>5661</v>
      </c>
      <c r="D517" s="123"/>
      <c r="E517" s="123"/>
      <c r="F517" s="123"/>
      <c r="G517" s="123"/>
    </row>
    <row r="518" spans="2:20">
      <c r="C518" s="196" t="s">
        <v>5661</v>
      </c>
      <c r="D518" s="123"/>
      <c r="E518" s="123"/>
      <c r="F518" s="123"/>
      <c r="G518" s="123"/>
    </row>
    <row r="519" spans="2:20">
      <c r="C519" s="196" t="s">
        <v>5661</v>
      </c>
      <c r="D519" s="123"/>
      <c r="E519" s="123"/>
      <c r="F519" s="123"/>
      <c r="G519" s="123"/>
    </row>
    <row r="520" spans="2:20">
      <c r="C520" s="196" t="s">
        <v>5661</v>
      </c>
      <c r="D520" s="123"/>
      <c r="E520" s="123"/>
      <c r="F520" s="123"/>
      <c r="G520" s="123"/>
    </row>
    <row r="521" spans="2:20">
      <c r="C521" s="7" t="s">
        <v>3331</v>
      </c>
    </row>
    <row r="523" spans="2:20">
      <c r="B523" s="88" t="s">
        <v>361</v>
      </c>
    </row>
    <row r="524" spans="2:20">
      <c r="C524" s="7" t="s">
        <v>357</v>
      </c>
      <c r="D524" s="6" t="s">
        <v>12868</v>
      </c>
      <c r="E524" s="6" t="s">
        <v>238</v>
      </c>
      <c r="F524" s="6" t="s">
        <v>239</v>
      </c>
      <c r="G524" s="6" t="s">
        <v>240</v>
      </c>
    </row>
    <row r="525" spans="2:20">
      <c r="C525" s="196" t="s">
        <v>350</v>
      </c>
      <c r="D525" s="123">
        <v>0</v>
      </c>
      <c r="E525" s="123">
        <v>0</v>
      </c>
      <c r="F525" s="123">
        <v>0</v>
      </c>
      <c r="G525" s="123">
        <v>0</v>
      </c>
    </row>
    <row r="526" spans="2:20">
      <c r="C526" s="196" t="s">
        <v>352</v>
      </c>
      <c r="D526" s="123">
        <v>3</v>
      </c>
      <c r="E526" s="123">
        <v>1</v>
      </c>
      <c r="F526" s="123">
        <v>5</v>
      </c>
      <c r="G526" s="123">
        <v>3</v>
      </c>
      <c r="I526" s="7" t="s">
        <v>359</v>
      </c>
    </row>
    <row r="527" spans="2:20">
      <c r="C527" s="196" t="s">
        <v>351</v>
      </c>
      <c r="D527" s="123">
        <v>3</v>
      </c>
      <c r="E527" s="123">
        <v>3</v>
      </c>
      <c r="F527" s="123">
        <v>3</v>
      </c>
      <c r="G527" s="123">
        <v>3</v>
      </c>
      <c r="I527" s="7" t="s">
        <v>360</v>
      </c>
    </row>
    <row r="528" spans="2:20">
      <c r="C528" s="196" t="s">
        <v>353</v>
      </c>
      <c r="D528" s="123">
        <v>3</v>
      </c>
      <c r="E528" s="123">
        <v>3</v>
      </c>
      <c r="F528" s="123">
        <v>3</v>
      </c>
      <c r="G528" s="123">
        <v>3</v>
      </c>
    </row>
    <row r="529" spans="3:7">
      <c r="C529" s="196" t="s">
        <v>584</v>
      </c>
      <c r="D529" s="123">
        <v>4</v>
      </c>
      <c r="E529" s="123">
        <v>4</v>
      </c>
      <c r="F529" s="123">
        <v>4</v>
      </c>
      <c r="G529" s="123">
        <v>5</v>
      </c>
    </row>
    <row r="530" spans="3:7">
      <c r="C530" s="196" t="s">
        <v>2107</v>
      </c>
      <c r="D530" s="123">
        <v>4</v>
      </c>
      <c r="E530" s="123">
        <v>4</v>
      </c>
      <c r="F530" s="123">
        <v>4</v>
      </c>
      <c r="G530" s="123">
        <v>5</v>
      </c>
    </row>
    <row r="531" spans="3:7">
      <c r="C531" s="196" t="s">
        <v>2108</v>
      </c>
      <c r="D531" s="123">
        <v>3</v>
      </c>
      <c r="E531" s="123">
        <v>3</v>
      </c>
      <c r="F531" s="123">
        <v>3</v>
      </c>
      <c r="G531" s="123">
        <v>4</v>
      </c>
    </row>
    <row r="532" spans="3:7">
      <c r="C532" s="196" t="s">
        <v>354</v>
      </c>
      <c r="D532" s="123">
        <v>2</v>
      </c>
      <c r="E532" s="123">
        <v>5</v>
      </c>
      <c r="F532" s="123">
        <v>1</v>
      </c>
      <c r="G532" s="123">
        <v>1</v>
      </c>
    </row>
    <row r="533" spans="3:7">
      <c r="C533" s="196" t="s">
        <v>355</v>
      </c>
      <c r="D533" s="123">
        <v>2</v>
      </c>
      <c r="E533" s="123">
        <v>5</v>
      </c>
      <c r="F533" s="123">
        <v>2</v>
      </c>
      <c r="G533" s="123">
        <v>1</v>
      </c>
    </row>
    <row r="534" spans="3:7">
      <c r="C534" s="196" t="s">
        <v>3765</v>
      </c>
      <c r="D534" s="123">
        <v>2</v>
      </c>
      <c r="E534" s="123">
        <v>5</v>
      </c>
      <c r="F534" s="123">
        <v>3</v>
      </c>
      <c r="G534" s="123">
        <v>1</v>
      </c>
    </row>
    <row r="535" spans="3:7">
      <c r="C535" s="196" t="s">
        <v>3766</v>
      </c>
      <c r="D535" s="123">
        <v>5</v>
      </c>
      <c r="E535" s="123">
        <v>5</v>
      </c>
      <c r="F535" s="123">
        <v>5</v>
      </c>
      <c r="G535" s="123">
        <v>5</v>
      </c>
    </row>
    <row r="536" spans="3:7">
      <c r="C536" s="196" t="s">
        <v>4417</v>
      </c>
      <c r="D536" s="123">
        <v>3</v>
      </c>
      <c r="E536" s="123">
        <v>2</v>
      </c>
      <c r="F536" s="123">
        <v>4</v>
      </c>
      <c r="G536" s="123">
        <v>4</v>
      </c>
    </row>
    <row r="537" spans="3:7">
      <c r="C537" s="196" t="s">
        <v>4418</v>
      </c>
      <c r="D537" s="123">
        <v>3</v>
      </c>
      <c r="E537" s="123">
        <v>4</v>
      </c>
      <c r="F537" s="123">
        <v>3</v>
      </c>
      <c r="G537" s="123">
        <v>2</v>
      </c>
    </row>
    <row r="538" spans="3:7">
      <c r="C538" s="196" t="s">
        <v>4419</v>
      </c>
      <c r="D538" s="123">
        <v>3</v>
      </c>
      <c r="E538" s="123">
        <v>3</v>
      </c>
      <c r="F538" s="123">
        <v>4</v>
      </c>
      <c r="G538" s="123">
        <v>3</v>
      </c>
    </row>
    <row r="539" spans="3:7">
      <c r="C539" s="196" t="s">
        <v>4420</v>
      </c>
      <c r="D539" s="123">
        <v>4</v>
      </c>
      <c r="E539" s="123">
        <v>2</v>
      </c>
      <c r="F539" s="123">
        <v>5</v>
      </c>
      <c r="G539" s="123">
        <v>3</v>
      </c>
    </row>
    <row r="540" spans="3:7">
      <c r="C540" s="196" t="s">
        <v>4421</v>
      </c>
      <c r="D540" s="123">
        <v>3</v>
      </c>
      <c r="E540" s="123">
        <v>3</v>
      </c>
      <c r="F540" s="123">
        <v>4</v>
      </c>
      <c r="G540" s="123">
        <v>2</v>
      </c>
    </row>
    <row r="541" spans="3:7">
      <c r="C541" s="196" t="s">
        <v>4422</v>
      </c>
      <c r="D541" s="123">
        <v>3</v>
      </c>
      <c r="E541" s="123">
        <v>3</v>
      </c>
      <c r="F541" s="123">
        <v>4</v>
      </c>
      <c r="G541" s="123">
        <v>2</v>
      </c>
    </row>
    <row r="542" spans="3:7">
      <c r="C542" s="196" t="s">
        <v>4423</v>
      </c>
      <c r="D542" s="123">
        <v>3</v>
      </c>
      <c r="E542" s="123">
        <v>4</v>
      </c>
      <c r="F542" s="123">
        <v>4</v>
      </c>
      <c r="G542" s="123">
        <v>2</v>
      </c>
    </row>
    <row r="543" spans="3:7">
      <c r="C543" s="196" t="s">
        <v>4424</v>
      </c>
      <c r="D543" s="123">
        <v>4</v>
      </c>
      <c r="E543" s="123">
        <v>3</v>
      </c>
      <c r="F543" s="123">
        <v>4</v>
      </c>
      <c r="G543" s="123">
        <v>4</v>
      </c>
    </row>
    <row r="544" spans="3:7">
      <c r="C544" s="196" t="s">
        <v>4425</v>
      </c>
      <c r="D544" s="123">
        <v>4</v>
      </c>
      <c r="E544" s="123">
        <v>2</v>
      </c>
      <c r="F544" s="123">
        <v>2</v>
      </c>
      <c r="G544" s="123">
        <v>2</v>
      </c>
    </row>
    <row r="545" spans="2:7">
      <c r="C545" s="196" t="s">
        <v>4426</v>
      </c>
      <c r="D545" s="123">
        <v>4</v>
      </c>
      <c r="E545" s="123">
        <v>4</v>
      </c>
      <c r="F545" s="123">
        <v>2</v>
      </c>
      <c r="G545" s="123">
        <v>2</v>
      </c>
    </row>
    <row r="546" spans="2:7">
      <c r="C546" s="196" t="s">
        <v>8369</v>
      </c>
      <c r="D546" s="123">
        <v>2</v>
      </c>
      <c r="E546" s="123">
        <v>3</v>
      </c>
      <c r="F546" s="123">
        <v>4</v>
      </c>
      <c r="G546" s="123">
        <v>1</v>
      </c>
    </row>
    <row r="547" spans="2:7">
      <c r="C547" s="196" t="s">
        <v>4427</v>
      </c>
      <c r="D547" s="123">
        <v>3</v>
      </c>
      <c r="E547" s="123">
        <v>3</v>
      </c>
      <c r="F547" s="123">
        <v>2</v>
      </c>
      <c r="G547" s="123">
        <v>4</v>
      </c>
    </row>
    <row r="548" spans="2:7">
      <c r="C548" s="196" t="s">
        <v>8368</v>
      </c>
      <c r="D548" s="123">
        <v>4</v>
      </c>
      <c r="E548" s="123">
        <v>3</v>
      </c>
      <c r="F548" s="123">
        <v>3</v>
      </c>
      <c r="G548" s="123">
        <v>1</v>
      </c>
    </row>
    <row r="549" spans="2:7">
      <c r="C549" s="196" t="s">
        <v>4428</v>
      </c>
      <c r="D549" s="123">
        <v>2</v>
      </c>
      <c r="E549" s="123">
        <v>5</v>
      </c>
      <c r="F549" s="123">
        <v>1</v>
      </c>
      <c r="G549" s="123">
        <v>1</v>
      </c>
    </row>
    <row r="550" spans="2:7">
      <c r="C550" s="196" t="s">
        <v>4429</v>
      </c>
      <c r="D550" s="123">
        <v>3</v>
      </c>
      <c r="E550" s="123">
        <v>4</v>
      </c>
      <c r="F550" s="123">
        <v>1</v>
      </c>
      <c r="G550" s="123">
        <v>1</v>
      </c>
    </row>
    <row r="551" spans="2:7">
      <c r="C551" s="196" t="s">
        <v>5661</v>
      </c>
      <c r="D551" s="123"/>
      <c r="E551" s="123"/>
      <c r="F551" s="123"/>
      <c r="G551" s="123"/>
    </row>
    <row r="552" spans="2:7">
      <c r="C552" s="196" t="s">
        <v>5661</v>
      </c>
      <c r="D552" s="123"/>
      <c r="E552" s="123"/>
      <c r="F552" s="123"/>
      <c r="G552" s="123"/>
    </row>
    <row r="553" spans="2:7">
      <c r="C553" s="196" t="s">
        <v>5661</v>
      </c>
      <c r="D553" s="123"/>
      <c r="E553" s="123"/>
      <c r="F553" s="123"/>
      <c r="G553" s="123"/>
    </row>
    <row r="554" spans="2:7">
      <c r="C554" s="196" t="s">
        <v>5661</v>
      </c>
      <c r="D554" s="123"/>
      <c r="E554" s="123"/>
      <c r="F554" s="123"/>
      <c r="G554" s="123"/>
    </row>
    <row r="555" spans="2:7">
      <c r="C555" s="196" t="s">
        <v>5661</v>
      </c>
      <c r="D555" s="123"/>
      <c r="E555" s="123"/>
      <c r="F555" s="123"/>
      <c r="G555" s="123"/>
    </row>
    <row r="556" spans="2:7">
      <c r="C556" s="7" t="s">
        <v>3332</v>
      </c>
    </row>
    <row r="558" spans="2:7">
      <c r="B558" s="88" t="s">
        <v>362</v>
      </c>
    </row>
    <row r="559" spans="2:7">
      <c r="C559" s="7" t="s">
        <v>357</v>
      </c>
      <c r="D559" s="7" t="s">
        <v>241</v>
      </c>
      <c r="E559" s="7" t="s">
        <v>242</v>
      </c>
      <c r="F559" s="7" t="s">
        <v>4353</v>
      </c>
      <c r="G559" s="7" t="s">
        <v>243</v>
      </c>
    </row>
    <row r="560" spans="2:7">
      <c r="C560" s="196" t="s">
        <v>350</v>
      </c>
      <c r="D560" s="123">
        <v>0</v>
      </c>
      <c r="E560" s="123">
        <v>0</v>
      </c>
      <c r="F560" s="123">
        <v>0</v>
      </c>
      <c r="G560" s="123">
        <v>0</v>
      </c>
    </row>
    <row r="561" spans="3:19">
      <c r="C561" s="196" t="s">
        <v>352</v>
      </c>
      <c r="D561" s="123">
        <v>10</v>
      </c>
      <c r="E561" s="123">
        <v>15</v>
      </c>
      <c r="F561" s="123">
        <v>5</v>
      </c>
      <c r="G561" s="123">
        <v>10</v>
      </c>
      <c r="I561" s="7" t="s">
        <v>359</v>
      </c>
      <c r="Q561" s="610"/>
      <c r="R561" s="610"/>
      <c r="S561" s="610"/>
    </row>
    <row r="562" spans="3:19">
      <c r="C562" s="196" t="s">
        <v>351</v>
      </c>
      <c r="D562" s="123">
        <v>15</v>
      </c>
      <c r="E562" s="123">
        <v>20</v>
      </c>
      <c r="F562" s="123">
        <v>10</v>
      </c>
      <c r="G562" s="123">
        <v>15</v>
      </c>
      <c r="I562" s="7" t="s">
        <v>360</v>
      </c>
      <c r="P562" s="610"/>
      <c r="Q562" s="610"/>
      <c r="R562" s="610"/>
      <c r="S562" s="610"/>
    </row>
    <row r="563" spans="3:19">
      <c r="C563" s="196" t="s">
        <v>353</v>
      </c>
      <c r="D563" s="123">
        <v>20</v>
      </c>
      <c r="E563" s="123">
        <v>15</v>
      </c>
      <c r="F563" s="123">
        <v>15</v>
      </c>
      <c r="G563" s="123">
        <v>20</v>
      </c>
      <c r="P563" s="610"/>
      <c r="Q563" s="610"/>
      <c r="R563" s="610"/>
      <c r="S563" s="610"/>
    </row>
    <row r="564" spans="3:19">
      <c r="C564" s="196" t="s">
        <v>584</v>
      </c>
      <c r="D564" s="123">
        <v>25</v>
      </c>
      <c r="E564" s="123">
        <v>25</v>
      </c>
      <c r="F564" s="123">
        <v>10</v>
      </c>
      <c r="G564" s="123">
        <v>25</v>
      </c>
      <c r="P564" s="610"/>
      <c r="Q564" s="610"/>
      <c r="R564" s="610"/>
      <c r="S564" s="610"/>
    </row>
    <row r="565" spans="3:19">
      <c r="C565" s="196" t="s">
        <v>2107</v>
      </c>
      <c r="D565" s="123">
        <v>25</v>
      </c>
      <c r="E565" s="123">
        <v>20</v>
      </c>
      <c r="F565" s="123">
        <v>15</v>
      </c>
      <c r="G565" s="123">
        <v>15</v>
      </c>
      <c r="P565" s="610"/>
      <c r="Q565" s="610"/>
      <c r="R565" s="610"/>
      <c r="S565" s="610"/>
    </row>
    <row r="566" spans="3:19">
      <c r="C566" s="196" t="s">
        <v>2108</v>
      </c>
      <c r="D566" s="123">
        <v>25</v>
      </c>
      <c r="E566" s="123">
        <v>20</v>
      </c>
      <c r="F566" s="123">
        <v>15</v>
      </c>
      <c r="G566" s="123">
        <v>20</v>
      </c>
      <c r="P566" s="610"/>
      <c r="Q566" s="610"/>
      <c r="R566" s="610"/>
      <c r="S566" s="610"/>
    </row>
    <row r="567" spans="3:19">
      <c r="C567" s="196" t="s">
        <v>354</v>
      </c>
      <c r="D567" s="123">
        <v>5</v>
      </c>
      <c r="E567" s="123">
        <v>5</v>
      </c>
      <c r="F567" s="123">
        <v>20</v>
      </c>
      <c r="G567" s="123">
        <v>25</v>
      </c>
      <c r="P567" s="610"/>
      <c r="Q567" s="610"/>
      <c r="R567" s="610"/>
      <c r="S567" s="610"/>
    </row>
    <row r="568" spans="3:19">
      <c r="C568" s="196" t="s">
        <v>355</v>
      </c>
      <c r="D568" s="123">
        <v>5</v>
      </c>
      <c r="E568" s="123">
        <v>15</v>
      </c>
      <c r="F568" s="123">
        <v>20</v>
      </c>
      <c r="G568" s="123">
        <v>25</v>
      </c>
      <c r="P568" s="610"/>
      <c r="Q568" s="610"/>
      <c r="R568" s="610"/>
      <c r="S568" s="610"/>
    </row>
    <row r="569" spans="3:19">
      <c r="C569" s="196" t="s">
        <v>3765</v>
      </c>
      <c r="D569" s="123">
        <v>10</v>
      </c>
      <c r="E569" s="123">
        <v>20</v>
      </c>
      <c r="F569" s="123">
        <v>15</v>
      </c>
      <c r="G569" s="123">
        <v>25</v>
      </c>
      <c r="P569" s="610"/>
      <c r="Q569" s="610"/>
      <c r="R569" s="610"/>
      <c r="S569" s="610"/>
    </row>
    <row r="570" spans="3:19">
      <c r="C570" s="196" t="s">
        <v>3766</v>
      </c>
      <c r="D570" s="123">
        <v>25</v>
      </c>
      <c r="E570" s="123">
        <v>25</v>
      </c>
      <c r="F570" s="123">
        <v>20</v>
      </c>
      <c r="G570" s="123">
        <v>25</v>
      </c>
      <c r="P570" s="610"/>
      <c r="Q570" s="610"/>
      <c r="R570" s="610"/>
      <c r="S570" s="610"/>
    </row>
    <row r="571" spans="3:19">
      <c r="C571" s="196" t="s">
        <v>4417</v>
      </c>
      <c r="D571" s="123">
        <v>15</v>
      </c>
      <c r="E571" s="123">
        <v>15</v>
      </c>
      <c r="F571" s="123">
        <v>15</v>
      </c>
      <c r="G571" s="123">
        <v>20</v>
      </c>
      <c r="P571" s="610"/>
      <c r="Q571" s="610"/>
      <c r="R571" s="610"/>
      <c r="S571" s="610"/>
    </row>
    <row r="572" spans="3:19">
      <c r="C572" s="196" t="s">
        <v>4418</v>
      </c>
      <c r="D572" s="123">
        <v>15</v>
      </c>
      <c r="E572" s="123">
        <v>20</v>
      </c>
      <c r="F572" s="123">
        <v>15</v>
      </c>
      <c r="G572" s="123">
        <v>15</v>
      </c>
      <c r="P572" s="610"/>
      <c r="Q572" s="610"/>
      <c r="R572" s="610"/>
      <c r="S572" s="610"/>
    </row>
    <row r="573" spans="3:19">
      <c r="C573" s="196" t="s">
        <v>4419</v>
      </c>
      <c r="D573" s="123">
        <v>15</v>
      </c>
      <c r="E573" s="123">
        <v>20</v>
      </c>
      <c r="F573" s="123">
        <v>15</v>
      </c>
      <c r="G573" s="123">
        <v>20</v>
      </c>
      <c r="P573" s="610"/>
      <c r="Q573" s="610"/>
      <c r="R573" s="610"/>
      <c r="S573" s="610"/>
    </row>
    <row r="574" spans="3:19">
      <c r="C574" s="196" t="s">
        <v>4420</v>
      </c>
      <c r="D574" s="123">
        <v>10</v>
      </c>
      <c r="E574" s="123">
        <v>20</v>
      </c>
      <c r="F574" s="123">
        <v>20</v>
      </c>
      <c r="G574" s="123">
        <v>20</v>
      </c>
      <c r="P574" s="610"/>
      <c r="Q574" s="610"/>
      <c r="R574" s="610"/>
      <c r="S574" s="610"/>
    </row>
    <row r="575" spans="3:19">
      <c r="C575" s="196" t="s">
        <v>4421</v>
      </c>
      <c r="D575" s="123">
        <v>10</v>
      </c>
      <c r="E575" s="123">
        <v>20</v>
      </c>
      <c r="F575" s="123">
        <v>25</v>
      </c>
      <c r="G575" s="123">
        <v>20</v>
      </c>
      <c r="P575" s="610"/>
      <c r="Q575" s="610"/>
      <c r="R575" s="610"/>
      <c r="S575" s="610"/>
    </row>
    <row r="576" spans="3:19">
      <c r="C576" s="196" t="s">
        <v>4422</v>
      </c>
      <c r="D576" s="123">
        <v>10</v>
      </c>
      <c r="E576" s="123">
        <v>15</v>
      </c>
      <c r="F576" s="123">
        <v>25</v>
      </c>
      <c r="G576" s="123">
        <v>20</v>
      </c>
      <c r="P576" s="610"/>
      <c r="Q576" s="610"/>
      <c r="R576" s="610"/>
      <c r="S576" s="610"/>
    </row>
    <row r="577" spans="3:19">
      <c r="C577" s="196" t="s">
        <v>4423</v>
      </c>
      <c r="D577" s="123">
        <v>5</v>
      </c>
      <c r="E577" s="123">
        <v>15</v>
      </c>
      <c r="F577" s="123">
        <v>25</v>
      </c>
      <c r="G577" s="123">
        <v>15</v>
      </c>
      <c r="P577" s="610"/>
      <c r="Q577" s="610"/>
      <c r="R577" s="610"/>
      <c r="S577" s="610"/>
    </row>
    <row r="578" spans="3:19">
      <c r="C578" s="196" t="s">
        <v>4424</v>
      </c>
      <c r="D578" s="123">
        <v>25</v>
      </c>
      <c r="E578" s="123">
        <v>25</v>
      </c>
      <c r="F578" s="123">
        <v>15</v>
      </c>
      <c r="G578" s="123">
        <v>25</v>
      </c>
      <c r="P578" s="610"/>
      <c r="Q578" s="610"/>
      <c r="R578" s="610"/>
      <c r="S578" s="610"/>
    </row>
    <row r="579" spans="3:19">
      <c r="C579" s="196" t="s">
        <v>4425</v>
      </c>
      <c r="D579" s="123">
        <v>5</v>
      </c>
      <c r="E579" s="123">
        <v>20</v>
      </c>
      <c r="F579" s="123">
        <v>10</v>
      </c>
      <c r="G579" s="123">
        <v>15</v>
      </c>
      <c r="P579" s="610"/>
      <c r="Q579" s="610"/>
      <c r="R579" s="610"/>
      <c r="S579" s="610"/>
    </row>
    <row r="580" spans="3:19">
      <c r="C580" s="196" t="s">
        <v>4426</v>
      </c>
      <c r="D580" s="123">
        <v>25</v>
      </c>
      <c r="E580" s="123">
        <v>25</v>
      </c>
      <c r="F580" s="123">
        <v>10</v>
      </c>
      <c r="G580" s="123">
        <v>20</v>
      </c>
      <c r="P580" s="610"/>
      <c r="Q580" s="610"/>
      <c r="R580" s="610"/>
      <c r="S580" s="610"/>
    </row>
    <row r="581" spans="3:19">
      <c r="C581" s="196" t="s">
        <v>8369</v>
      </c>
      <c r="D581" s="123">
        <v>5</v>
      </c>
      <c r="E581" s="123">
        <v>10</v>
      </c>
      <c r="F581" s="123">
        <v>15</v>
      </c>
      <c r="G581" s="123">
        <v>15</v>
      </c>
      <c r="P581" s="610"/>
      <c r="Q581" s="610"/>
      <c r="R581" s="610"/>
      <c r="S581" s="610"/>
    </row>
    <row r="582" spans="3:19">
      <c r="C582" s="196" t="s">
        <v>4427</v>
      </c>
      <c r="D582" s="123">
        <v>20</v>
      </c>
      <c r="E582" s="123">
        <v>20</v>
      </c>
      <c r="F582" s="123">
        <v>15</v>
      </c>
      <c r="G582" s="123">
        <v>15</v>
      </c>
      <c r="P582" s="610"/>
      <c r="Q582" s="610"/>
      <c r="R582" s="610"/>
      <c r="S582" s="610"/>
    </row>
    <row r="583" spans="3:19">
      <c r="C583" s="196" t="s">
        <v>8368</v>
      </c>
      <c r="D583" s="123">
        <v>5</v>
      </c>
      <c r="E583" s="123">
        <v>15</v>
      </c>
      <c r="F583" s="123">
        <v>15</v>
      </c>
      <c r="G583" s="123">
        <v>15</v>
      </c>
      <c r="P583" s="610"/>
      <c r="Q583" s="610"/>
      <c r="R583" s="610"/>
      <c r="S583" s="610"/>
    </row>
    <row r="584" spans="3:19">
      <c r="C584" s="196" t="s">
        <v>4428</v>
      </c>
      <c r="D584" s="123">
        <v>5</v>
      </c>
      <c r="E584" s="123">
        <v>10</v>
      </c>
      <c r="F584" s="123">
        <v>20</v>
      </c>
      <c r="G584" s="123">
        <v>10</v>
      </c>
      <c r="P584" s="610"/>
      <c r="Q584" s="610"/>
      <c r="R584" s="610"/>
      <c r="S584" s="610"/>
    </row>
    <row r="585" spans="3:19">
      <c r="C585" s="196" t="s">
        <v>4429</v>
      </c>
      <c r="D585" s="123">
        <v>5</v>
      </c>
      <c r="E585" s="123">
        <v>20</v>
      </c>
      <c r="F585" s="123">
        <v>20</v>
      </c>
      <c r="G585" s="123">
        <v>20</v>
      </c>
      <c r="P585" s="610"/>
      <c r="Q585" s="610"/>
      <c r="R585" s="610"/>
      <c r="S585" s="610"/>
    </row>
    <row r="586" spans="3:19">
      <c r="C586" s="196" t="s">
        <v>5661</v>
      </c>
      <c r="D586" s="123"/>
      <c r="E586" s="123"/>
      <c r="F586" s="123"/>
      <c r="G586" s="123"/>
    </row>
    <row r="587" spans="3:19">
      <c r="C587" s="196" t="s">
        <v>5661</v>
      </c>
      <c r="D587" s="123"/>
      <c r="E587" s="123"/>
      <c r="F587" s="123"/>
      <c r="G587" s="123"/>
    </row>
    <row r="588" spans="3:19">
      <c r="C588" s="196" t="s">
        <v>5661</v>
      </c>
      <c r="D588" s="123"/>
      <c r="E588" s="123"/>
      <c r="F588" s="123"/>
      <c r="G588" s="123"/>
    </row>
    <row r="589" spans="3:19">
      <c r="C589" s="196" t="s">
        <v>5661</v>
      </c>
      <c r="D589" s="123"/>
      <c r="E589" s="123"/>
      <c r="F589" s="123"/>
      <c r="G589" s="123"/>
    </row>
    <row r="590" spans="3:19">
      <c r="C590" s="196" t="s">
        <v>5661</v>
      </c>
      <c r="D590" s="123"/>
      <c r="E590" s="123"/>
      <c r="F590" s="123"/>
      <c r="G590" s="123"/>
    </row>
    <row r="591" spans="3:19">
      <c r="C591" s="7" t="s">
        <v>3333</v>
      </c>
    </row>
    <row r="593" spans="2:9">
      <c r="B593" s="88" t="s">
        <v>1824</v>
      </c>
    </row>
    <row r="594" spans="2:9">
      <c r="D594" s="127"/>
      <c r="E594" s="127"/>
      <c r="F594" s="127"/>
      <c r="G594" s="127"/>
    </row>
    <row r="595" spans="2:9">
      <c r="C595" s="7" t="s">
        <v>357</v>
      </c>
      <c r="D595" s="6" t="s">
        <v>244</v>
      </c>
      <c r="E595" s="6" t="s">
        <v>245</v>
      </c>
      <c r="F595" s="6" t="s">
        <v>5199</v>
      </c>
      <c r="G595" s="6" t="s">
        <v>246</v>
      </c>
    </row>
    <row r="596" spans="2:9">
      <c r="C596" s="196" t="s">
        <v>350</v>
      </c>
      <c r="D596" s="123">
        <v>0</v>
      </c>
      <c r="E596" s="123">
        <v>0</v>
      </c>
      <c r="F596" s="123">
        <v>0</v>
      </c>
      <c r="G596" s="123">
        <v>0</v>
      </c>
      <c r="I596" s="925"/>
    </row>
    <row r="597" spans="2:9">
      <c r="C597" s="196" t="s">
        <v>352</v>
      </c>
      <c r="D597" s="123">
        <v>8.4</v>
      </c>
      <c r="E597" s="123">
        <v>8.4</v>
      </c>
      <c r="F597" s="123">
        <v>8.4</v>
      </c>
      <c r="G597" s="123">
        <v>8.4</v>
      </c>
      <c r="I597" s="925"/>
    </row>
    <row r="598" spans="2:9">
      <c r="C598" s="196" t="s">
        <v>351</v>
      </c>
      <c r="D598" s="123">
        <v>8.1</v>
      </c>
      <c r="E598" s="123">
        <v>8.1</v>
      </c>
      <c r="F598" s="123">
        <v>8.1</v>
      </c>
      <c r="G598" s="123">
        <v>8.1</v>
      </c>
      <c r="I598" s="925"/>
    </row>
    <row r="599" spans="2:9">
      <c r="C599" s="196" t="s">
        <v>353</v>
      </c>
      <c r="D599" s="123">
        <v>7.8</v>
      </c>
      <c r="E599" s="123">
        <v>7.8</v>
      </c>
      <c r="F599" s="123">
        <v>7.8</v>
      </c>
      <c r="G599" s="123">
        <v>7.8</v>
      </c>
      <c r="I599" s="925"/>
    </row>
    <row r="600" spans="2:9">
      <c r="C600" s="196" t="s">
        <v>584</v>
      </c>
      <c r="D600" s="123">
        <v>8.3000000000000007</v>
      </c>
      <c r="E600" s="123">
        <v>8.3000000000000007</v>
      </c>
      <c r="F600" s="123">
        <v>8.3000000000000007</v>
      </c>
      <c r="G600" s="123">
        <v>8.3000000000000007</v>
      </c>
      <c r="I600" s="925"/>
    </row>
    <row r="601" spans="2:9">
      <c r="C601" s="196" t="s">
        <v>2107</v>
      </c>
      <c r="D601" s="123">
        <v>8</v>
      </c>
      <c r="E601" s="123">
        <v>8</v>
      </c>
      <c r="F601" s="123">
        <v>8</v>
      </c>
      <c r="G601" s="123">
        <v>8</v>
      </c>
      <c r="H601" s="508"/>
      <c r="I601" s="925"/>
    </row>
    <row r="602" spans="2:9">
      <c r="C602" s="196" t="s">
        <v>2108</v>
      </c>
      <c r="D602" s="123">
        <v>7.9</v>
      </c>
      <c r="E602" s="123">
        <v>7.9</v>
      </c>
      <c r="F602" s="123">
        <v>7.9</v>
      </c>
      <c r="G602" s="123">
        <v>7.9</v>
      </c>
      <c r="H602" s="508"/>
      <c r="I602" s="925"/>
    </row>
    <row r="603" spans="2:9">
      <c r="C603" s="196" t="s">
        <v>354</v>
      </c>
      <c r="D603" s="123">
        <v>7.9</v>
      </c>
      <c r="E603" s="123">
        <v>7.9</v>
      </c>
      <c r="F603" s="123">
        <v>7.9</v>
      </c>
      <c r="G603" s="123">
        <v>7.9</v>
      </c>
      <c r="H603" s="508"/>
      <c r="I603" s="925"/>
    </row>
    <row r="604" spans="2:9">
      <c r="C604" s="196" t="s">
        <v>355</v>
      </c>
      <c r="D604" s="123">
        <v>7.6</v>
      </c>
      <c r="E604" s="123">
        <v>7.6</v>
      </c>
      <c r="F604" s="123">
        <v>7.6</v>
      </c>
      <c r="G604" s="123">
        <v>7.6</v>
      </c>
      <c r="H604" s="508"/>
      <c r="I604" s="925"/>
    </row>
    <row r="605" spans="2:9">
      <c r="C605" s="196" t="s">
        <v>3765</v>
      </c>
      <c r="D605" s="123">
        <v>7.4</v>
      </c>
      <c r="E605" s="123">
        <v>7.4</v>
      </c>
      <c r="F605" s="123">
        <v>7.4</v>
      </c>
      <c r="G605" s="123">
        <v>7.4</v>
      </c>
      <c r="H605" s="508"/>
      <c r="I605" s="925"/>
    </row>
    <row r="606" spans="2:9">
      <c r="C606" s="196" t="s">
        <v>3766</v>
      </c>
      <c r="D606" s="123">
        <v>7.2</v>
      </c>
      <c r="E606" s="123">
        <v>7.2</v>
      </c>
      <c r="F606" s="123">
        <v>7.2</v>
      </c>
      <c r="G606" s="123">
        <v>7.2</v>
      </c>
      <c r="H606" s="508"/>
      <c r="I606" s="925"/>
    </row>
    <row r="607" spans="2:9">
      <c r="C607" s="196" t="s">
        <v>4417</v>
      </c>
      <c r="D607" s="123">
        <v>7.9</v>
      </c>
      <c r="E607" s="123">
        <v>7.9</v>
      </c>
      <c r="F607" s="123">
        <v>7.9</v>
      </c>
      <c r="G607" s="123">
        <v>7.9</v>
      </c>
      <c r="H607" s="508"/>
      <c r="I607" s="925"/>
    </row>
    <row r="608" spans="2:9">
      <c r="C608" s="196" t="s">
        <v>4418</v>
      </c>
      <c r="D608" s="123">
        <v>7.6</v>
      </c>
      <c r="E608" s="123">
        <v>7.6</v>
      </c>
      <c r="F608" s="123">
        <v>7.6</v>
      </c>
      <c r="G608" s="123">
        <v>7.6</v>
      </c>
      <c r="H608" s="508"/>
      <c r="I608" s="925"/>
    </row>
    <row r="609" spans="3:9">
      <c r="C609" s="196" t="s">
        <v>4419</v>
      </c>
      <c r="D609" s="123">
        <v>7.8</v>
      </c>
      <c r="E609" s="123">
        <v>7.8</v>
      </c>
      <c r="F609" s="123">
        <v>7.8</v>
      </c>
      <c r="G609" s="123">
        <v>7.8</v>
      </c>
      <c r="H609" s="508"/>
      <c r="I609" s="925"/>
    </row>
    <row r="610" spans="3:9">
      <c r="C610" s="196" t="s">
        <v>4420</v>
      </c>
      <c r="D610" s="123">
        <v>8.1</v>
      </c>
      <c r="E610" s="123">
        <v>8.1</v>
      </c>
      <c r="F610" s="123">
        <v>8.1</v>
      </c>
      <c r="G610" s="123">
        <v>8.1</v>
      </c>
      <c r="H610" s="508"/>
      <c r="I610" s="925"/>
    </row>
    <row r="611" spans="3:9">
      <c r="C611" s="196" t="s">
        <v>4421</v>
      </c>
      <c r="D611" s="123">
        <v>7.9</v>
      </c>
      <c r="E611" s="123">
        <v>7.9</v>
      </c>
      <c r="F611" s="123">
        <v>7.9</v>
      </c>
      <c r="G611" s="123">
        <v>7.9</v>
      </c>
      <c r="H611" s="508"/>
      <c r="I611" s="925"/>
    </row>
    <row r="612" spans="3:9">
      <c r="C612" s="196" t="s">
        <v>4422</v>
      </c>
      <c r="D612" s="123">
        <v>7.8</v>
      </c>
      <c r="E612" s="123">
        <v>7.8</v>
      </c>
      <c r="F612" s="123">
        <v>7.8</v>
      </c>
      <c r="G612" s="123">
        <v>7.8</v>
      </c>
      <c r="H612" s="508"/>
      <c r="I612" s="925"/>
    </row>
    <row r="613" spans="3:9">
      <c r="C613" s="196" t="s">
        <v>4423</v>
      </c>
      <c r="D613" s="123">
        <v>7.6</v>
      </c>
      <c r="E613" s="123">
        <v>7.6</v>
      </c>
      <c r="F613" s="123">
        <v>7.6</v>
      </c>
      <c r="G613" s="123">
        <v>7.6</v>
      </c>
      <c r="H613" s="508"/>
      <c r="I613" s="925"/>
    </row>
    <row r="614" spans="3:9">
      <c r="C614" s="196" t="s">
        <v>4424</v>
      </c>
      <c r="D614" s="123">
        <v>8.1</v>
      </c>
      <c r="E614" s="123">
        <v>8.1</v>
      </c>
      <c r="F614" s="123">
        <v>8.1</v>
      </c>
      <c r="G614" s="123">
        <v>8.1</v>
      </c>
      <c r="H614" s="508"/>
      <c r="I614" s="925"/>
    </row>
    <row r="615" spans="3:9">
      <c r="C615" s="196" t="s">
        <v>4425</v>
      </c>
      <c r="D615" s="123">
        <v>7.9</v>
      </c>
      <c r="E615" s="123">
        <v>7.9</v>
      </c>
      <c r="F615" s="123">
        <v>7.9</v>
      </c>
      <c r="G615" s="123">
        <v>7.9</v>
      </c>
      <c r="H615" s="508"/>
      <c r="I615" s="925"/>
    </row>
    <row r="616" spans="3:9">
      <c r="C616" s="196" t="s">
        <v>4426</v>
      </c>
      <c r="D616" s="123">
        <v>8.1</v>
      </c>
      <c r="E616" s="123">
        <v>8.1</v>
      </c>
      <c r="F616" s="123">
        <v>8.1</v>
      </c>
      <c r="G616" s="123">
        <v>8.1</v>
      </c>
      <c r="H616" s="508"/>
      <c r="I616" s="925"/>
    </row>
    <row r="617" spans="3:9">
      <c r="C617" s="196" t="s">
        <v>8369</v>
      </c>
      <c r="D617" s="123">
        <v>7.9</v>
      </c>
      <c r="E617" s="123">
        <v>7.9</v>
      </c>
      <c r="F617" s="123">
        <v>7.9</v>
      </c>
      <c r="G617" s="123">
        <v>7.9</v>
      </c>
      <c r="H617" s="508"/>
      <c r="I617" s="925"/>
    </row>
    <row r="618" spans="3:9">
      <c r="C618" s="196" t="s">
        <v>4427</v>
      </c>
      <c r="D618" s="123">
        <v>8</v>
      </c>
      <c r="E618" s="123">
        <v>8</v>
      </c>
      <c r="F618" s="123">
        <v>8</v>
      </c>
      <c r="G618" s="123">
        <v>8</v>
      </c>
      <c r="H618" s="508"/>
      <c r="I618" s="925"/>
    </row>
    <row r="619" spans="3:9">
      <c r="C619" s="196" t="s">
        <v>8368</v>
      </c>
      <c r="D619" s="123">
        <v>7.8</v>
      </c>
      <c r="E619" s="123">
        <v>7.8</v>
      </c>
      <c r="F619" s="123">
        <v>7.8</v>
      </c>
      <c r="G619" s="123">
        <v>7.8</v>
      </c>
      <c r="H619" s="508"/>
      <c r="I619" s="925"/>
    </row>
    <row r="620" spans="3:9">
      <c r="C620" s="196" t="s">
        <v>4428</v>
      </c>
      <c r="D620" s="123">
        <v>7.6</v>
      </c>
      <c r="E620" s="123">
        <v>7.6</v>
      </c>
      <c r="F620" s="123">
        <v>7.6</v>
      </c>
      <c r="G620" s="123">
        <v>7.6</v>
      </c>
      <c r="H620" s="508"/>
      <c r="I620" s="925"/>
    </row>
    <row r="621" spans="3:9">
      <c r="C621" s="196" t="s">
        <v>4429</v>
      </c>
      <c r="D621" s="123">
        <v>7.4</v>
      </c>
      <c r="E621" s="123">
        <v>7.4</v>
      </c>
      <c r="F621" s="123">
        <v>7.4</v>
      </c>
      <c r="G621" s="123">
        <v>7.4</v>
      </c>
      <c r="H621" s="508"/>
      <c r="I621" s="925"/>
    </row>
    <row r="622" spans="3:9">
      <c r="C622" s="196" t="s">
        <v>5661</v>
      </c>
      <c r="D622" s="123"/>
      <c r="E622" s="123"/>
      <c r="F622" s="123"/>
      <c r="G622" s="123"/>
      <c r="H622" s="508"/>
    </row>
    <row r="623" spans="3:9">
      <c r="C623" s="196" t="s">
        <v>5661</v>
      </c>
      <c r="D623" s="123"/>
      <c r="E623" s="123"/>
      <c r="F623" s="123"/>
      <c r="G623" s="123"/>
      <c r="H623" s="508"/>
    </row>
    <row r="624" spans="3:9">
      <c r="C624" s="196" t="s">
        <v>5661</v>
      </c>
      <c r="D624" s="123"/>
      <c r="E624" s="123"/>
      <c r="F624" s="123"/>
      <c r="G624" s="123"/>
    </row>
    <row r="625" spans="2:7">
      <c r="C625" s="196" t="s">
        <v>5661</v>
      </c>
      <c r="D625" s="123"/>
      <c r="E625" s="123"/>
      <c r="F625" s="123"/>
      <c r="G625" s="123"/>
    </row>
    <row r="626" spans="2:7">
      <c r="C626" s="196" t="s">
        <v>5661</v>
      </c>
      <c r="D626" s="123"/>
      <c r="E626" s="123"/>
      <c r="F626" s="123"/>
      <c r="G626" s="123"/>
    </row>
    <row r="627" spans="2:7">
      <c r="C627" s="7" t="s">
        <v>380</v>
      </c>
    </row>
    <row r="629" spans="2:7" s="11" customFormat="1">
      <c r="B629" s="29" t="s">
        <v>356</v>
      </c>
    </row>
    <row r="631" spans="2:7">
      <c r="C631" s="7" t="s">
        <v>357</v>
      </c>
      <c r="D631" s="6" t="s">
        <v>13816</v>
      </c>
      <c r="E631" s="6" t="s">
        <v>748</v>
      </c>
    </row>
    <row r="632" spans="2:7">
      <c r="C632" s="196" t="s">
        <v>350</v>
      </c>
      <c r="D632" s="123">
        <v>0</v>
      </c>
      <c r="E632" s="123">
        <v>0</v>
      </c>
    </row>
    <row r="633" spans="2:7">
      <c r="C633" s="196" t="s">
        <v>352</v>
      </c>
      <c r="D633" s="123">
        <v>5</v>
      </c>
      <c r="E633" s="118">
        <v>5000000</v>
      </c>
    </row>
    <row r="634" spans="2:7">
      <c r="C634" s="196" t="s">
        <v>351</v>
      </c>
      <c r="D634" s="123">
        <v>5</v>
      </c>
      <c r="E634" s="118">
        <v>5000000</v>
      </c>
    </row>
    <row r="635" spans="2:7">
      <c r="C635" s="196" t="s">
        <v>353</v>
      </c>
      <c r="D635" s="123">
        <v>5</v>
      </c>
      <c r="E635" s="118">
        <v>5000000</v>
      </c>
    </row>
    <row r="636" spans="2:7">
      <c r="C636" s="196" t="s">
        <v>584</v>
      </c>
      <c r="D636" s="123">
        <v>5</v>
      </c>
      <c r="E636" s="118">
        <v>5000000</v>
      </c>
    </row>
    <row r="637" spans="2:7">
      <c r="C637" s="196" t="s">
        <v>2107</v>
      </c>
      <c r="D637" s="123">
        <v>5</v>
      </c>
      <c r="E637" s="118">
        <v>5000000</v>
      </c>
    </row>
    <row r="638" spans="2:7">
      <c r="C638" s="196" t="s">
        <v>2108</v>
      </c>
      <c r="D638" s="123">
        <v>5</v>
      </c>
      <c r="E638" s="118">
        <v>5000000</v>
      </c>
    </row>
    <row r="639" spans="2:7">
      <c r="C639" s="196" t="s">
        <v>354</v>
      </c>
      <c r="D639" s="123">
        <v>5</v>
      </c>
      <c r="E639" s="118">
        <v>5000000</v>
      </c>
    </row>
    <row r="640" spans="2:7">
      <c r="C640" s="196" t="s">
        <v>355</v>
      </c>
      <c r="D640" s="123">
        <v>5</v>
      </c>
      <c r="E640" s="118">
        <v>5000000</v>
      </c>
    </row>
    <row r="641" spans="3:5">
      <c r="C641" s="196" t="s">
        <v>3765</v>
      </c>
      <c r="D641" s="123">
        <v>5</v>
      </c>
      <c r="E641" s="118">
        <v>5000000</v>
      </c>
    </row>
    <row r="642" spans="3:5">
      <c r="C642" s="196" t="s">
        <v>3766</v>
      </c>
      <c r="D642" s="123">
        <v>5</v>
      </c>
      <c r="E642" s="118">
        <v>5000000</v>
      </c>
    </row>
    <row r="643" spans="3:5">
      <c r="C643" s="196" t="s">
        <v>4417</v>
      </c>
      <c r="D643" s="123">
        <v>5</v>
      </c>
      <c r="E643" s="118">
        <v>5000000</v>
      </c>
    </row>
    <row r="644" spans="3:5">
      <c r="C644" s="196" t="s">
        <v>4418</v>
      </c>
      <c r="D644" s="123">
        <v>5</v>
      </c>
      <c r="E644" s="118">
        <v>5000000</v>
      </c>
    </row>
    <row r="645" spans="3:5">
      <c r="C645" s="196" t="s">
        <v>4419</v>
      </c>
      <c r="D645" s="123">
        <v>5</v>
      </c>
      <c r="E645" s="118">
        <v>5000000</v>
      </c>
    </row>
    <row r="646" spans="3:5">
      <c r="C646" s="196" t="s">
        <v>4420</v>
      </c>
      <c r="D646" s="123">
        <v>5</v>
      </c>
      <c r="E646" s="118">
        <v>5000000</v>
      </c>
    </row>
    <row r="647" spans="3:5">
      <c r="C647" s="196" t="s">
        <v>4421</v>
      </c>
      <c r="D647" s="123">
        <v>5</v>
      </c>
      <c r="E647" s="118">
        <v>5000000</v>
      </c>
    </row>
    <row r="648" spans="3:5">
      <c r="C648" s="196" t="s">
        <v>4422</v>
      </c>
      <c r="D648" s="123">
        <v>5</v>
      </c>
      <c r="E648" s="118">
        <v>5000000</v>
      </c>
    </row>
    <row r="649" spans="3:5">
      <c r="C649" s="196" t="s">
        <v>4423</v>
      </c>
      <c r="D649" s="123">
        <v>5</v>
      </c>
      <c r="E649" s="118">
        <v>5000000</v>
      </c>
    </row>
    <row r="650" spans="3:5">
      <c r="C650" s="196" t="s">
        <v>4424</v>
      </c>
      <c r="D650" s="123">
        <v>5</v>
      </c>
      <c r="E650" s="118">
        <v>5000000</v>
      </c>
    </row>
    <row r="651" spans="3:5">
      <c r="C651" s="196" t="s">
        <v>4425</v>
      </c>
      <c r="D651" s="123">
        <v>5</v>
      </c>
      <c r="E651" s="118">
        <v>5000000</v>
      </c>
    </row>
    <row r="652" spans="3:5">
      <c r="C652" s="196" t="s">
        <v>4426</v>
      </c>
      <c r="D652" s="123">
        <v>5</v>
      </c>
      <c r="E652" s="118">
        <v>5000000</v>
      </c>
    </row>
    <row r="653" spans="3:5">
      <c r="C653" s="196" t="s">
        <v>8369</v>
      </c>
      <c r="D653" s="123">
        <v>5</v>
      </c>
      <c r="E653" s="118">
        <v>5000000</v>
      </c>
    </row>
    <row r="654" spans="3:5">
      <c r="C654" s="196" t="s">
        <v>4427</v>
      </c>
      <c r="D654" s="123">
        <v>5</v>
      </c>
      <c r="E654" s="118">
        <v>5000000</v>
      </c>
    </row>
    <row r="655" spans="3:5">
      <c r="C655" s="196" t="s">
        <v>8368</v>
      </c>
      <c r="D655" s="123">
        <v>5</v>
      </c>
      <c r="E655" s="118">
        <v>5000000</v>
      </c>
    </row>
    <row r="656" spans="3:5">
      <c r="C656" s="196" t="s">
        <v>4428</v>
      </c>
      <c r="D656" s="123">
        <v>5</v>
      </c>
      <c r="E656" s="118">
        <v>5000000</v>
      </c>
    </row>
    <row r="657" spans="2:9">
      <c r="C657" s="196" t="s">
        <v>4429</v>
      </c>
      <c r="D657" s="123">
        <v>5</v>
      </c>
      <c r="E657" s="118">
        <v>5000000</v>
      </c>
    </row>
    <row r="658" spans="2:9">
      <c r="C658" s="196" t="s">
        <v>5661</v>
      </c>
      <c r="D658" s="123"/>
      <c r="E658" s="118"/>
    </row>
    <row r="659" spans="2:9">
      <c r="C659" s="196" t="s">
        <v>5661</v>
      </c>
      <c r="D659" s="123"/>
      <c r="E659" s="118"/>
    </row>
    <row r="660" spans="2:9">
      <c r="C660" s="196" t="s">
        <v>5661</v>
      </c>
      <c r="D660" s="123"/>
      <c r="E660" s="118"/>
    </row>
    <row r="661" spans="2:9">
      <c r="C661" s="196" t="s">
        <v>5661</v>
      </c>
      <c r="D661" s="123"/>
      <c r="E661" s="118"/>
    </row>
    <row r="662" spans="2:9">
      <c r="C662" s="196" t="s">
        <v>5661</v>
      </c>
      <c r="D662" s="123"/>
      <c r="E662" s="118"/>
    </row>
    <row r="663" spans="2:9">
      <c r="C663" s="7" t="s">
        <v>760</v>
      </c>
    </row>
    <row r="665" spans="2:9" s="11" customFormat="1">
      <c r="B665" s="29" t="s">
        <v>1763</v>
      </c>
    </row>
    <row r="666" spans="2:9">
      <c r="D666" s="6" t="s">
        <v>4730</v>
      </c>
      <c r="E666" s="6" t="s">
        <v>4731</v>
      </c>
    </row>
    <row r="667" spans="2:9">
      <c r="C667" s="7" t="s">
        <v>363</v>
      </c>
      <c r="D667" s="6" t="s">
        <v>1765</v>
      </c>
      <c r="E667"/>
    </row>
    <row r="668" spans="2:9">
      <c r="C668" s="196" t="s">
        <v>350</v>
      </c>
      <c r="D668" s="338">
        <v>0</v>
      </c>
      <c r="E668" s="529">
        <v>0</v>
      </c>
    </row>
    <row r="669" spans="2:9">
      <c r="C669" s="196" t="s">
        <v>352</v>
      </c>
      <c r="D669" s="338">
        <v>0.25</v>
      </c>
      <c r="E669" s="529">
        <v>4</v>
      </c>
      <c r="G669"/>
      <c r="H669"/>
      <c r="I669"/>
    </row>
    <row r="670" spans="2:9">
      <c r="C670" s="196" t="s">
        <v>351</v>
      </c>
      <c r="D670" s="338">
        <v>0.33</v>
      </c>
      <c r="E670" s="529">
        <v>3.0303030303030303</v>
      </c>
      <c r="G670"/>
      <c r="H670"/>
      <c r="I670"/>
    </row>
    <row r="671" spans="2:9">
      <c r="C671" s="196" t="s">
        <v>353</v>
      </c>
      <c r="D671" s="338">
        <v>0.5</v>
      </c>
      <c r="E671" s="529">
        <v>2</v>
      </c>
      <c r="G671"/>
      <c r="H671"/>
      <c r="I671"/>
    </row>
    <row r="672" spans="2:9">
      <c r="C672" s="196" t="s">
        <v>584</v>
      </c>
      <c r="D672" s="338">
        <v>0.33</v>
      </c>
      <c r="E672" s="529">
        <v>3.0303030303030303</v>
      </c>
      <c r="G672"/>
      <c r="H672"/>
      <c r="I672"/>
    </row>
    <row r="673" spans="3:9">
      <c r="C673" s="196" t="s">
        <v>2107</v>
      </c>
      <c r="D673" s="338">
        <v>0.5</v>
      </c>
      <c r="E673" s="529">
        <v>2</v>
      </c>
      <c r="G673"/>
      <c r="H673"/>
      <c r="I673"/>
    </row>
    <row r="674" spans="3:9">
      <c r="C674" s="196" t="s">
        <v>2108</v>
      </c>
      <c r="D674" s="338">
        <v>0.66</v>
      </c>
      <c r="E674" s="529">
        <v>1.5151515151515151</v>
      </c>
      <c r="G674"/>
      <c r="H674"/>
      <c r="I674"/>
    </row>
    <row r="675" spans="3:9">
      <c r="C675" s="196" t="s">
        <v>354</v>
      </c>
      <c r="D675" s="338">
        <v>0.5</v>
      </c>
      <c r="E675" s="529">
        <v>2</v>
      </c>
      <c r="G675"/>
      <c r="H675"/>
      <c r="I675"/>
    </row>
    <row r="676" spans="3:9">
      <c r="C676" s="196" t="s">
        <v>355</v>
      </c>
      <c r="D676" s="338">
        <v>1.5</v>
      </c>
      <c r="E676" s="529">
        <v>0.66666666666666663</v>
      </c>
      <c r="G676"/>
      <c r="H676"/>
      <c r="I676"/>
    </row>
    <row r="677" spans="3:9">
      <c r="C677" s="196" t="s">
        <v>3765</v>
      </c>
      <c r="D677" s="338">
        <v>4</v>
      </c>
      <c r="E677" s="529">
        <v>0.25</v>
      </c>
      <c r="G677"/>
      <c r="H677"/>
      <c r="I677"/>
    </row>
    <row r="678" spans="3:9">
      <c r="C678" s="196" t="s">
        <v>3766</v>
      </c>
      <c r="D678" s="338">
        <v>25</v>
      </c>
      <c r="E678" s="529">
        <v>0.04</v>
      </c>
      <c r="G678"/>
      <c r="H678"/>
      <c r="I678"/>
    </row>
    <row r="679" spans="3:9">
      <c r="C679" s="196" t="s">
        <v>4417</v>
      </c>
      <c r="D679" s="338">
        <v>1.32</v>
      </c>
      <c r="E679" s="529">
        <v>0.75757575757575757</v>
      </c>
      <c r="G679"/>
      <c r="H679"/>
      <c r="I679"/>
    </row>
    <row r="680" spans="3:9">
      <c r="C680" s="196" t="s">
        <v>4418</v>
      </c>
      <c r="D680" s="338">
        <v>3</v>
      </c>
      <c r="E680" s="529">
        <v>0.33333333333333331</v>
      </c>
      <c r="G680"/>
      <c r="H680"/>
      <c r="I680"/>
    </row>
    <row r="681" spans="3:9">
      <c r="C681" s="196" t="s">
        <v>4419</v>
      </c>
      <c r="D681" s="338">
        <v>1.98</v>
      </c>
      <c r="E681" s="529">
        <v>0.50505050505050508</v>
      </c>
      <c r="G681"/>
      <c r="H681"/>
      <c r="I681"/>
    </row>
    <row r="682" spans="3:9">
      <c r="C682" s="196" t="s">
        <v>4420</v>
      </c>
      <c r="D682" s="338">
        <v>2</v>
      </c>
      <c r="E682" s="529">
        <v>0.5</v>
      </c>
      <c r="G682"/>
      <c r="H682"/>
      <c r="I682"/>
    </row>
    <row r="683" spans="3:9">
      <c r="C683" s="196" t="s">
        <v>4421</v>
      </c>
      <c r="D683" s="338">
        <v>3.3000000000000003</v>
      </c>
      <c r="E683" s="529">
        <v>0.30303030303030298</v>
      </c>
      <c r="G683"/>
      <c r="H683"/>
      <c r="I683"/>
    </row>
    <row r="684" spans="3:9">
      <c r="C684" s="196" t="s">
        <v>4422</v>
      </c>
      <c r="D684" s="338">
        <v>3.96</v>
      </c>
      <c r="E684" s="529">
        <v>0.25252525252525254</v>
      </c>
      <c r="G684"/>
      <c r="H684"/>
      <c r="I684"/>
    </row>
    <row r="685" spans="3:9">
      <c r="C685" s="196" t="s">
        <v>4423</v>
      </c>
      <c r="D685" s="338">
        <v>7.92</v>
      </c>
      <c r="E685" s="529">
        <v>0.12626262626262627</v>
      </c>
      <c r="G685"/>
      <c r="H685"/>
      <c r="I685"/>
    </row>
    <row r="686" spans="3:9">
      <c r="C686" s="196" t="s">
        <v>4424</v>
      </c>
      <c r="D686" s="338">
        <v>1.98</v>
      </c>
      <c r="E686" s="529">
        <v>0.50505050505050508</v>
      </c>
      <c r="G686"/>
      <c r="H686"/>
      <c r="I686"/>
    </row>
    <row r="687" spans="3:9">
      <c r="C687" s="196" t="s">
        <v>4425</v>
      </c>
      <c r="D687" s="338">
        <v>7.92</v>
      </c>
      <c r="E687" s="529">
        <v>0.12626262626262627</v>
      </c>
      <c r="G687"/>
      <c r="H687"/>
      <c r="I687"/>
    </row>
    <row r="688" spans="3:9">
      <c r="C688" s="196" t="s">
        <v>4426</v>
      </c>
      <c r="D688" s="338">
        <v>3</v>
      </c>
      <c r="E688" s="529">
        <v>0.33333333333333331</v>
      </c>
      <c r="G688"/>
      <c r="H688"/>
      <c r="I688"/>
    </row>
    <row r="689" spans="2:9">
      <c r="C689" s="196" t="s">
        <v>8369</v>
      </c>
      <c r="D689" s="338">
        <v>15</v>
      </c>
      <c r="E689" s="529">
        <v>6.6666666666666666E-2</v>
      </c>
      <c r="G689"/>
      <c r="H689"/>
      <c r="I689"/>
    </row>
    <row r="690" spans="2:9">
      <c r="C690" s="196" t="s">
        <v>4427</v>
      </c>
      <c r="D690" s="338">
        <v>3.96</v>
      </c>
      <c r="E690" s="529">
        <v>0.25252525252525254</v>
      </c>
      <c r="G690"/>
      <c r="H690"/>
      <c r="I690"/>
    </row>
    <row r="691" spans="2:9">
      <c r="C691" s="196" t="s">
        <v>8368</v>
      </c>
      <c r="D691" s="338">
        <v>19.8</v>
      </c>
      <c r="E691" s="529">
        <v>5.0505050505050504E-2</v>
      </c>
      <c r="G691"/>
      <c r="H691"/>
      <c r="I691"/>
    </row>
    <row r="692" spans="2:9">
      <c r="C692" s="196" t="s">
        <v>4428</v>
      </c>
      <c r="D692" s="338">
        <v>2</v>
      </c>
      <c r="E692" s="529">
        <v>0.5</v>
      </c>
      <c r="G692"/>
      <c r="H692"/>
      <c r="I692"/>
    </row>
    <row r="693" spans="2:9">
      <c r="C693" s="196" t="s">
        <v>4429</v>
      </c>
      <c r="D693" s="338">
        <v>6</v>
      </c>
      <c r="E693" s="529">
        <v>0.16666666666666666</v>
      </c>
      <c r="G693"/>
      <c r="H693"/>
      <c r="I693"/>
    </row>
    <row r="694" spans="2:9">
      <c r="C694" s="196" t="s">
        <v>5661</v>
      </c>
      <c r="D694" s="123"/>
      <c r="E694" s="128"/>
      <c r="G694"/>
      <c r="H694"/>
      <c r="I694"/>
    </row>
    <row r="695" spans="2:9">
      <c r="C695" s="196" t="s">
        <v>5661</v>
      </c>
      <c r="D695" s="123"/>
      <c r="E695" s="128"/>
    </row>
    <row r="696" spans="2:9">
      <c r="C696" s="196" t="s">
        <v>5661</v>
      </c>
      <c r="D696" s="123"/>
      <c r="E696" s="128"/>
    </row>
    <row r="697" spans="2:9">
      <c r="C697" s="196" t="s">
        <v>5661</v>
      </c>
      <c r="D697" s="123"/>
      <c r="E697" s="128"/>
    </row>
    <row r="698" spans="2:9">
      <c r="C698" s="196" t="s">
        <v>5661</v>
      </c>
      <c r="D698" s="123"/>
      <c r="E698" s="128"/>
    </row>
    <row r="699" spans="2:9">
      <c r="C699" s="7" t="s">
        <v>1764</v>
      </c>
    </row>
    <row r="700" spans="2:9" s="610" customFormat="1">
      <c r="C700" s="611"/>
    </row>
    <row r="701" spans="2:9" s="11" customFormat="1">
      <c r="B701" s="29" t="s">
        <v>10263</v>
      </c>
    </row>
    <row r="702" spans="2:9" s="610" customFormat="1">
      <c r="C702" s="611"/>
    </row>
    <row r="703" spans="2:9" s="610" customFormat="1">
      <c r="C703" s="611"/>
      <c r="D703" s="196" t="s">
        <v>10264</v>
      </c>
    </row>
    <row r="704" spans="2:9" s="610" customFormat="1">
      <c r="C704" s="145" t="s">
        <v>244</v>
      </c>
      <c r="D704" s="625">
        <v>1</v>
      </c>
    </row>
    <row r="705" spans="2:7" s="610" customFormat="1">
      <c r="C705" s="145" t="s">
        <v>245</v>
      </c>
      <c r="D705" s="625">
        <v>0.85</v>
      </c>
    </row>
    <row r="706" spans="2:7" s="610" customFormat="1">
      <c r="C706" s="145" t="s">
        <v>5199</v>
      </c>
      <c r="D706" s="625">
        <v>1.1000000000000001</v>
      </c>
    </row>
    <row r="707" spans="2:7" s="610" customFormat="1">
      <c r="C707" s="145" t="s">
        <v>246</v>
      </c>
      <c r="D707" s="625">
        <v>1.1499999999999999</v>
      </c>
    </row>
    <row r="708" spans="2:7" s="610" customFormat="1">
      <c r="C708" s="611" t="s">
        <v>10265</v>
      </c>
    </row>
    <row r="709" spans="2:7" s="610" customFormat="1">
      <c r="C709" s="611"/>
    </row>
    <row r="710" spans="2:7" s="610" customFormat="1">
      <c r="C710" s="611"/>
    </row>
    <row r="712" spans="2:7" s="11" customFormat="1">
      <c r="B712" s="29" t="s">
        <v>1401</v>
      </c>
    </row>
    <row r="714" spans="2:7">
      <c r="D714" s="145" t="s">
        <v>244</v>
      </c>
      <c r="E714" s="145" t="s">
        <v>245</v>
      </c>
      <c r="F714" s="145" t="s">
        <v>5199</v>
      </c>
      <c r="G714" s="145" t="s">
        <v>246</v>
      </c>
    </row>
    <row r="715" spans="2:7">
      <c r="C715" s="196" t="s">
        <v>12868</v>
      </c>
      <c r="D715" s="116">
        <v>0.2</v>
      </c>
      <c r="E715" s="116">
        <v>0.15</v>
      </c>
      <c r="F715" s="116">
        <v>0.3</v>
      </c>
      <c r="G715" s="116">
        <v>5</v>
      </c>
    </row>
    <row r="716" spans="2:7">
      <c r="C716" s="196" t="s">
        <v>238</v>
      </c>
      <c r="D716" s="116">
        <v>0.2</v>
      </c>
      <c r="E716" s="116">
        <v>0.15</v>
      </c>
      <c r="F716" s="116">
        <v>0.3</v>
      </c>
      <c r="G716" s="116">
        <v>5</v>
      </c>
    </row>
    <row r="717" spans="2:7">
      <c r="C717" s="196" t="s">
        <v>239</v>
      </c>
      <c r="D717" s="116">
        <v>0.24</v>
      </c>
      <c r="E717" s="116">
        <v>0.18</v>
      </c>
      <c r="F717" s="116">
        <v>0.33</v>
      </c>
      <c r="G717" s="116">
        <v>5</v>
      </c>
    </row>
    <row r="718" spans="2:7">
      <c r="C718" s="196" t="s">
        <v>240</v>
      </c>
      <c r="D718" s="116">
        <v>0.32</v>
      </c>
      <c r="E718" s="116">
        <v>0.2</v>
      </c>
      <c r="F718" s="116">
        <v>0.35</v>
      </c>
      <c r="G718" s="116">
        <v>5</v>
      </c>
    </row>
    <row r="719" spans="2:7">
      <c r="C719" s="7" t="s">
        <v>5200</v>
      </c>
    </row>
    <row r="722" spans="2:14" s="11" customFormat="1">
      <c r="B722" s="29" t="s">
        <v>382</v>
      </c>
    </row>
    <row r="724" spans="2:14">
      <c r="C724" s="88" t="s">
        <v>383</v>
      </c>
    </row>
    <row r="725" spans="2:14">
      <c r="D725" s="6" t="s">
        <v>244</v>
      </c>
      <c r="E725" s="6" t="s">
        <v>245</v>
      </c>
      <c r="F725" s="6" t="s">
        <v>5199</v>
      </c>
      <c r="G725" s="6" t="s">
        <v>246</v>
      </c>
    </row>
    <row r="726" spans="2:14">
      <c r="D726" s="123" t="s">
        <v>5788</v>
      </c>
      <c r="E726" s="627" t="s">
        <v>5788</v>
      </c>
      <c r="F726" s="627" t="s">
        <v>5788</v>
      </c>
      <c r="G726" s="627" t="s">
        <v>5788</v>
      </c>
    </row>
    <row r="727" spans="2:14" s="610" customFormat="1">
      <c r="C727" s="611"/>
      <c r="D727" s="627" t="s">
        <v>9050</v>
      </c>
      <c r="E727" s="627" t="s">
        <v>9050</v>
      </c>
      <c r="F727" s="627" t="s">
        <v>9050</v>
      </c>
      <c r="G727" s="627" t="s">
        <v>9050</v>
      </c>
    </row>
    <row r="728" spans="2:14">
      <c r="D728" s="123" t="s">
        <v>9052</v>
      </c>
      <c r="E728" s="627" t="s">
        <v>9052</v>
      </c>
      <c r="F728" s="627" t="s">
        <v>9052</v>
      </c>
      <c r="G728" s="627" t="s">
        <v>9052</v>
      </c>
    </row>
    <row r="729" spans="2:14">
      <c r="D729" s="627" t="s">
        <v>9051</v>
      </c>
      <c r="E729" s="627" t="s">
        <v>9051</v>
      </c>
      <c r="F729" s="627" t="s">
        <v>9051</v>
      </c>
      <c r="G729" s="627" t="s">
        <v>9051</v>
      </c>
    </row>
    <row r="730" spans="2:14">
      <c r="D730" s="591" t="s">
        <v>5789</v>
      </c>
      <c r="E730" s="591" t="s">
        <v>5789</v>
      </c>
      <c r="F730" s="591" t="s">
        <v>5789</v>
      </c>
      <c r="G730" s="591" t="s">
        <v>5789</v>
      </c>
    </row>
    <row r="731" spans="2:14">
      <c r="D731" s="591" t="s">
        <v>5790</v>
      </c>
      <c r="E731" s="591" t="s">
        <v>5790</v>
      </c>
      <c r="F731" s="591" t="s">
        <v>5790</v>
      </c>
      <c r="G731" s="591" t="s">
        <v>5790</v>
      </c>
    </row>
    <row r="732" spans="2:14">
      <c r="D732" s="7" t="s">
        <v>5784</v>
      </c>
      <c r="E732" s="611" t="s">
        <v>5787</v>
      </c>
      <c r="F732" s="611" t="s">
        <v>5786</v>
      </c>
      <c r="G732" s="611" t="s">
        <v>5785</v>
      </c>
    </row>
    <row r="733" spans="2:14">
      <c r="D733" s="7"/>
      <c r="E733" s="7"/>
      <c r="F733" s="7"/>
      <c r="G733" s="7"/>
    </row>
    <row r="734" spans="2:14">
      <c r="C734" s="88" t="s">
        <v>392</v>
      </c>
      <c r="D734" s="7"/>
      <c r="E734" s="7"/>
      <c r="F734" s="7"/>
      <c r="G734" s="7"/>
    </row>
    <row r="735" spans="2:14">
      <c r="E735" s="6" t="s">
        <v>244</v>
      </c>
      <c r="F735" s="6" t="s">
        <v>245</v>
      </c>
      <c r="G735" s="6" t="s">
        <v>5199</v>
      </c>
      <c r="H735" s="6" t="s">
        <v>246</v>
      </c>
      <c r="J735" s="610"/>
      <c r="K735" s="610"/>
      <c r="L735" s="610"/>
      <c r="M735" s="610"/>
      <c r="N735" s="610"/>
    </row>
    <row r="736" spans="2:14">
      <c r="D736" s="196" t="s">
        <v>5788</v>
      </c>
      <c r="E736" s="116">
        <v>0</v>
      </c>
      <c r="F736" s="625">
        <v>0</v>
      </c>
      <c r="G736" s="625">
        <v>0</v>
      </c>
      <c r="H736" s="625">
        <v>0</v>
      </c>
      <c r="J736" s="610"/>
      <c r="K736" s="610"/>
      <c r="L736" s="610"/>
      <c r="M736" s="610"/>
      <c r="N736" s="610"/>
    </row>
    <row r="737" spans="3:16" s="610" customFormat="1">
      <c r="C737" s="611"/>
      <c r="D737" s="196" t="s">
        <v>9050</v>
      </c>
      <c r="E737" s="625">
        <v>0.2</v>
      </c>
      <c r="F737" s="625">
        <v>0.2</v>
      </c>
      <c r="G737" s="625">
        <v>0.2</v>
      </c>
      <c r="H737" s="625">
        <v>0.2</v>
      </c>
    </row>
    <row r="738" spans="3:16">
      <c r="D738" s="196" t="s">
        <v>9052</v>
      </c>
      <c r="E738" s="116">
        <v>0.33</v>
      </c>
      <c r="F738" s="625">
        <v>0.33</v>
      </c>
      <c r="G738" s="625">
        <v>0.33</v>
      </c>
      <c r="H738" s="625">
        <v>0.33</v>
      </c>
      <c r="J738" s="610"/>
      <c r="K738" s="610"/>
      <c r="L738" s="610"/>
      <c r="M738" s="610"/>
      <c r="N738" s="610"/>
    </row>
    <row r="739" spans="3:16">
      <c r="D739" s="196" t="s">
        <v>9051</v>
      </c>
      <c r="E739" s="116">
        <v>0.5</v>
      </c>
      <c r="F739" s="625">
        <v>0.5</v>
      </c>
      <c r="G739" s="625">
        <v>0.5</v>
      </c>
      <c r="H739" s="625">
        <v>0.5</v>
      </c>
      <c r="J739" s="610"/>
      <c r="K739" s="610"/>
      <c r="L739" s="610"/>
      <c r="M739" s="610"/>
      <c r="N739" s="610"/>
    </row>
    <row r="740" spans="3:16">
      <c r="D740" s="196" t="s">
        <v>5789</v>
      </c>
      <c r="E740" s="116">
        <v>0.33</v>
      </c>
      <c r="F740" s="625">
        <v>0.33</v>
      </c>
      <c r="G740" s="625">
        <v>0.33</v>
      </c>
      <c r="H740" s="625">
        <v>0.33</v>
      </c>
      <c r="J740" s="610"/>
      <c r="K740" s="610"/>
      <c r="L740" s="610"/>
      <c r="M740" s="610"/>
      <c r="N740" s="610"/>
    </row>
    <row r="741" spans="3:16">
      <c r="D741" s="196" t="s">
        <v>5790</v>
      </c>
      <c r="E741" s="116">
        <v>0.5</v>
      </c>
      <c r="F741" s="625">
        <v>0.5</v>
      </c>
      <c r="G741" s="625">
        <v>0.5</v>
      </c>
      <c r="H741" s="625">
        <v>0.5</v>
      </c>
      <c r="J741" s="610"/>
      <c r="K741" s="610"/>
      <c r="L741" s="610"/>
      <c r="M741" s="610"/>
      <c r="N741" s="610"/>
    </row>
    <row r="742" spans="3:16">
      <c r="D742" s="7" t="s">
        <v>6110</v>
      </c>
      <c r="G742" s="7"/>
      <c r="J742" s="610"/>
      <c r="K742" s="610"/>
      <c r="L742" s="610"/>
      <c r="M742" s="610"/>
      <c r="N742" s="610"/>
    </row>
    <row r="743" spans="3:16">
      <c r="D743" s="7"/>
      <c r="E743" s="7"/>
      <c r="F743" s="7"/>
      <c r="G743" s="7"/>
      <c r="J743" s="610"/>
      <c r="K743" s="610"/>
      <c r="L743" s="610"/>
      <c r="M743" s="610"/>
      <c r="N743" s="610"/>
    </row>
    <row r="744" spans="3:16">
      <c r="C744" s="88" t="s">
        <v>3285</v>
      </c>
      <c r="D744" s="7"/>
      <c r="E744" s="123" t="s">
        <v>13817</v>
      </c>
      <c r="F744" s="123" t="s">
        <v>748</v>
      </c>
      <c r="G744" s="7"/>
      <c r="H744" s="611"/>
      <c r="I744" s="627" t="s">
        <v>13817</v>
      </c>
      <c r="J744" s="627" t="s">
        <v>748</v>
      </c>
      <c r="K744" s="610"/>
      <c r="L744" s="611"/>
      <c r="M744" s="627" t="s">
        <v>13817</v>
      </c>
      <c r="N744" s="627" t="s">
        <v>748</v>
      </c>
    </row>
    <row r="745" spans="3:16">
      <c r="D745" s="196" t="s">
        <v>5788</v>
      </c>
      <c r="E745" s="123">
        <v>0</v>
      </c>
      <c r="F745" s="626">
        <v>0</v>
      </c>
      <c r="G745" s="7"/>
      <c r="H745" s="196" t="s">
        <v>5788</v>
      </c>
      <c r="I745" s="627">
        <v>0</v>
      </c>
      <c r="J745" s="626">
        <v>0</v>
      </c>
      <c r="K745" s="610"/>
      <c r="L745" s="196" t="s">
        <v>5788</v>
      </c>
      <c r="M745" s="627">
        <v>0</v>
      </c>
      <c r="N745" s="626">
        <v>0</v>
      </c>
    </row>
    <row r="746" spans="3:16" s="610" customFormat="1">
      <c r="C746" s="611"/>
      <c r="D746" s="196">
        <v>0</v>
      </c>
      <c r="E746" s="627">
        <v>0</v>
      </c>
      <c r="F746" s="626">
        <v>0</v>
      </c>
      <c r="G746" s="611"/>
      <c r="H746" s="196">
        <v>0</v>
      </c>
      <c r="I746" s="627">
        <v>0</v>
      </c>
      <c r="J746" s="626">
        <v>0</v>
      </c>
      <c r="L746" s="196">
        <v>0</v>
      </c>
      <c r="M746" s="627">
        <v>0</v>
      </c>
      <c r="N746" s="626">
        <v>0</v>
      </c>
    </row>
    <row r="747" spans="3:16" s="610" customFormat="1">
      <c r="C747" s="611"/>
      <c r="D747" s="196">
        <v>1</v>
      </c>
      <c r="E747" s="627">
        <v>1</v>
      </c>
      <c r="F747" s="626">
        <v>200000</v>
      </c>
      <c r="G747" s="611"/>
      <c r="H747" s="196">
        <v>1</v>
      </c>
      <c r="I747" s="627">
        <v>1</v>
      </c>
      <c r="J747" s="626">
        <v>200000</v>
      </c>
      <c r="L747" s="196">
        <v>1</v>
      </c>
      <c r="M747" s="627">
        <v>1</v>
      </c>
      <c r="N747" s="626">
        <v>200000</v>
      </c>
      <c r="P747" s="610">
        <v>400000</v>
      </c>
    </row>
    <row r="748" spans="3:16" s="610" customFormat="1">
      <c r="C748" s="611"/>
      <c r="D748" s="196">
        <v>2</v>
      </c>
      <c r="E748" s="627">
        <v>1</v>
      </c>
      <c r="F748" s="626">
        <v>400000</v>
      </c>
      <c r="G748" s="611"/>
      <c r="H748" s="196">
        <v>2</v>
      </c>
      <c r="I748" s="627">
        <v>1</v>
      </c>
      <c r="J748" s="626">
        <v>400000</v>
      </c>
      <c r="L748" s="196">
        <v>2</v>
      </c>
      <c r="M748" s="627">
        <v>1</v>
      </c>
      <c r="N748" s="626">
        <v>400000</v>
      </c>
      <c r="P748" s="610">
        <v>800000</v>
      </c>
    </row>
    <row r="749" spans="3:16" s="610" customFormat="1">
      <c r="C749" s="611"/>
      <c r="D749" s="196">
        <v>3</v>
      </c>
      <c r="E749" s="627">
        <v>1</v>
      </c>
      <c r="F749" s="626">
        <v>600000</v>
      </c>
      <c r="G749" s="611"/>
      <c r="H749" s="196">
        <v>3</v>
      </c>
      <c r="I749" s="627">
        <v>1</v>
      </c>
      <c r="J749" s="626">
        <v>600000</v>
      </c>
      <c r="L749" s="196">
        <v>3</v>
      </c>
      <c r="M749" s="627">
        <v>1</v>
      </c>
      <c r="N749" s="626">
        <v>600000</v>
      </c>
      <c r="P749" s="610">
        <v>1200000</v>
      </c>
    </row>
    <row r="750" spans="3:16" s="610" customFormat="1">
      <c r="C750" s="611"/>
      <c r="D750" s="196">
        <v>4</v>
      </c>
      <c r="E750" s="627">
        <v>2</v>
      </c>
      <c r="F750" s="626">
        <v>800000</v>
      </c>
      <c r="G750" s="611"/>
      <c r="H750" s="196">
        <v>4</v>
      </c>
      <c r="I750" s="627">
        <v>2</v>
      </c>
      <c r="J750" s="626">
        <v>800000</v>
      </c>
      <c r="L750" s="196">
        <v>4</v>
      </c>
      <c r="M750" s="627">
        <v>2</v>
      </c>
      <c r="N750" s="626">
        <v>800000</v>
      </c>
      <c r="P750" s="610">
        <v>1600000</v>
      </c>
    </row>
    <row r="751" spans="3:16" s="610" customFormat="1">
      <c r="C751" s="611"/>
      <c r="D751" s="196">
        <v>5</v>
      </c>
      <c r="E751" s="627">
        <v>2</v>
      </c>
      <c r="F751" s="626">
        <v>1000000</v>
      </c>
      <c r="G751" s="611"/>
      <c r="H751" s="196">
        <v>5</v>
      </c>
      <c r="I751" s="627">
        <v>2</v>
      </c>
      <c r="J751" s="626">
        <v>1000000</v>
      </c>
      <c r="L751" s="196">
        <v>5</v>
      </c>
      <c r="M751" s="627">
        <v>2</v>
      </c>
      <c r="N751" s="626">
        <v>1000000</v>
      </c>
      <c r="P751" s="610">
        <v>2000000</v>
      </c>
    </row>
    <row r="752" spans="3:16" s="610" customFormat="1">
      <c r="C752" s="611"/>
      <c r="D752" s="196">
        <v>6</v>
      </c>
      <c r="E752" s="627">
        <v>2</v>
      </c>
      <c r="F752" s="626">
        <v>1200000</v>
      </c>
      <c r="G752" s="611"/>
      <c r="H752" s="196">
        <v>6</v>
      </c>
      <c r="I752" s="627">
        <v>2</v>
      </c>
      <c r="J752" s="626">
        <v>1200000</v>
      </c>
      <c r="L752" s="196">
        <v>6</v>
      </c>
      <c r="M752" s="627">
        <v>2</v>
      </c>
      <c r="N752" s="626">
        <v>1200000</v>
      </c>
      <c r="P752" s="610">
        <v>2400000</v>
      </c>
    </row>
    <row r="753" spans="3:16" s="610" customFormat="1">
      <c r="C753" s="611"/>
      <c r="D753" s="196">
        <v>7</v>
      </c>
      <c r="E753" s="627">
        <v>3</v>
      </c>
      <c r="F753" s="626">
        <v>1400000</v>
      </c>
      <c r="G753" s="611"/>
      <c r="H753" s="196">
        <v>7</v>
      </c>
      <c r="I753" s="627">
        <v>3</v>
      </c>
      <c r="J753" s="626">
        <v>1400000</v>
      </c>
      <c r="L753" s="196">
        <v>7</v>
      </c>
      <c r="M753" s="627">
        <v>3</v>
      </c>
      <c r="N753" s="626">
        <v>1400000</v>
      </c>
      <c r="P753" s="610">
        <v>2800000</v>
      </c>
    </row>
    <row r="754" spans="3:16" s="610" customFormat="1">
      <c r="C754" s="611"/>
      <c r="D754" s="196">
        <v>8</v>
      </c>
      <c r="E754" s="627">
        <v>3</v>
      </c>
      <c r="F754" s="626">
        <v>1600000</v>
      </c>
      <c r="G754" s="611"/>
      <c r="H754" s="196">
        <v>8</v>
      </c>
      <c r="I754" s="627">
        <v>3</v>
      </c>
      <c r="J754" s="626">
        <v>1600000</v>
      </c>
      <c r="L754" s="196">
        <v>8</v>
      </c>
      <c r="M754" s="627">
        <v>3</v>
      </c>
      <c r="N754" s="626">
        <v>1600000</v>
      </c>
      <c r="P754" s="610">
        <v>3200000</v>
      </c>
    </row>
    <row r="755" spans="3:16" s="610" customFormat="1">
      <c r="C755" s="611"/>
      <c r="D755" s="196">
        <v>9</v>
      </c>
      <c r="E755" s="627">
        <v>3</v>
      </c>
      <c r="F755" s="626">
        <v>1800000</v>
      </c>
      <c r="G755" s="611"/>
      <c r="H755" s="196">
        <v>9</v>
      </c>
      <c r="I755" s="627">
        <v>3</v>
      </c>
      <c r="J755" s="626">
        <v>1800000</v>
      </c>
      <c r="L755" s="196">
        <v>9</v>
      </c>
      <c r="M755" s="627">
        <v>3</v>
      </c>
      <c r="N755" s="626">
        <v>1800000</v>
      </c>
      <c r="P755" s="610">
        <v>3600000</v>
      </c>
    </row>
    <row r="756" spans="3:16" s="610" customFormat="1">
      <c r="C756" s="611"/>
      <c r="D756" s="196">
        <v>10</v>
      </c>
      <c r="E756" s="627">
        <v>3</v>
      </c>
      <c r="F756" s="626">
        <v>2000000</v>
      </c>
      <c r="G756" s="611"/>
      <c r="H756" s="196">
        <v>10</v>
      </c>
      <c r="I756" s="627">
        <v>3</v>
      </c>
      <c r="J756" s="626">
        <v>2000000</v>
      </c>
      <c r="L756" s="196">
        <v>10</v>
      </c>
      <c r="M756" s="627">
        <v>3</v>
      </c>
      <c r="N756" s="626">
        <v>2000000</v>
      </c>
      <c r="P756" s="610">
        <v>4000000</v>
      </c>
    </row>
    <row r="757" spans="3:16" s="610" customFormat="1">
      <c r="C757" s="611"/>
      <c r="D757" s="196">
        <v>11</v>
      </c>
      <c r="E757" s="627">
        <v>4</v>
      </c>
      <c r="F757" s="626">
        <v>2200000</v>
      </c>
      <c r="G757" s="611"/>
      <c r="H757" s="196">
        <v>11</v>
      </c>
      <c r="I757" s="627">
        <v>4</v>
      </c>
      <c r="J757" s="626">
        <v>2200000</v>
      </c>
      <c r="L757" s="196">
        <v>11</v>
      </c>
      <c r="M757" s="627">
        <v>4</v>
      </c>
      <c r="N757" s="626">
        <v>2200000</v>
      </c>
      <c r="P757" s="610">
        <v>4400000</v>
      </c>
    </row>
    <row r="758" spans="3:16" s="610" customFormat="1">
      <c r="C758" s="611"/>
      <c r="D758" s="196">
        <v>12</v>
      </c>
      <c r="E758" s="627">
        <v>4</v>
      </c>
      <c r="F758" s="626">
        <v>2400000</v>
      </c>
      <c r="G758" s="611"/>
      <c r="H758" s="196">
        <v>12</v>
      </c>
      <c r="I758" s="627">
        <v>4</v>
      </c>
      <c r="J758" s="626">
        <v>2400000</v>
      </c>
      <c r="L758" s="196">
        <v>12</v>
      </c>
      <c r="M758" s="627">
        <v>4</v>
      </c>
      <c r="N758" s="626">
        <v>2400000</v>
      </c>
      <c r="P758" s="610">
        <v>4800000</v>
      </c>
    </row>
    <row r="759" spans="3:16" s="610" customFormat="1">
      <c r="C759" s="611"/>
      <c r="D759" s="196">
        <v>13</v>
      </c>
      <c r="E759" s="627">
        <v>4</v>
      </c>
      <c r="F759" s="626">
        <v>2600000</v>
      </c>
      <c r="G759" s="611"/>
      <c r="H759" s="196">
        <v>13</v>
      </c>
      <c r="I759" s="627">
        <v>4</v>
      </c>
      <c r="J759" s="626">
        <v>2600000</v>
      </c>
      <c r="L759" s="196">
        <v>13</v>
      </c>
      <c r="M759" s="627">
        <v>4</v>
      </c>
      <c r="N759" s="626">
        <v>2600000</v>
      </c>
      <c r="P759" s="610">
        <v>5200000</v>
      </c>
    </row>
    <row r="760" spans="3:16" s="610" customFormat="1">
      <c r="C760" s="611"/>
      <c r="D760" s="196">
        <v>14</v>
      </c>
      <c r="E760" s="627">
        <v>5</v>
      </c>
      <c r="F760" s="626">
        <v>2800000</v>
      </c>
      <c r="G760" s="611"/>
      <c r="H760" s="196">
        <v>14</v>
      </c>
      <c r="I760" s="627">
        <v>5</v>
      </c>
      <c r="J760" s="626">
        <v>2800000</v>
      </c>
      <c r="L760" s="196">
        <v>14</v>
      </c>
      <c r="M760" s="627">
        <v>5</v>
      </c>
      <c r="N760" s="626">
        <v>2800000</v>
      </c>
      <c r="P760" s="610">
        <v>5600000</v>
      </c>
    </row>
    <row r="761" spans="3:16" s="610" customFormat="1">
      <c r="C761" s="611"/>
      <c r="D761" s="196">
        <v>15</v>
      </c>
      <c r="E761" s="627">
        <v>5</v>
      </c>
      <c r="F761" s="626">
        <v>3000000</v>
      </c>
      <c r="G761" s="611"/>
      <c r="H761" s="196">
        <v>15</v>
      </c>
      <c r="I761" s="627">
        <v>5</v>
      </c>
      <c r="J761" s="626">
        <v>3000000</v>
      </c>
      <c r="L761" s="196">
        <v>15</v>
      </c>
      <c r="M761" s="627">
        <v>5</v>
      </c>
      <c r="N761" s="626">
        <v>3000000</v>
      </c>
      <c r="P761" s="610">
        <v>6000000</v>
      </c>
    </row>
    <row r="762" spans="3:16" s="610" customFormat="1">
      <c r="C762" s="611"/>
      <c r="D762" s="196">
        <v>16</v>
      </c>
      <c r="E762" s="627">
        <v>5</v>
      </c>
      <c r="F762" s="626">
        <v>3200000</v>
      </c>
      <c r="G762" s="611"/>
      <c r="H762" s="196">
        <v>16</v>
      </c>
      <c r="I762" s="627">
        <v>5</v>
      </c>
      <c r="J762" s="626">
        <v>3200000</v>
      </c>
      <c r="L762" s="196">
        <v>16</v>
      </c>
      <c r="M762" s="627">
        <v>5</v>
      </c>
      <c r="N762" s="626">
        <v>3200000</v>
      </c>
      <c r="P762" s="610">
        <v>6400000</v>
      </c>
    </row>
    <row r="763" spans="3:16" s="610" customFormat="1">
      <c r="C763" s="611"/>
      <c r="D763" s="196">
        <v>17</v>
      </c>
      <c r="E763" s="627">
        <v>6</v>
      </c>
      <c r="F763" s="626">
        <v>3400000</v>
      </c>
      <c r="G763" s="611"/>
      <c r="H763" s="196">
        <v>17</v>
      </c>
      <c r="I763" s="627">
        <v>6</v>
      </c>
      <c r="J763" s="626">
        <v>3400000</v>
      </c>
      <c r="L763" s="196">
        <v>17</v>
      </c>
      <c r="M763" s="627">
        <v>6</v>
      </c>
      <c r="N763" s="626">
        <v>3400000</v>
      </c>
      <c r="P763" s="610">
        <v>6800000</v>
      </c>
    </row>
    <row r="764" spans="3:16" s="610" customFormat="1">
      <c r="C764" s="611"/>
      <c r="D764" s="196">
        <v>18</v>
      </c>
      <c r="E764" s="627">
        <v>6</v>
      </c>
      <c r="F764" s="626">
        <v>3600000</v>
      </c>
      <c r="G764" s="611"/>
      <c r="H764" s="196">
        <v>18</v>
      </c>
      <c r="I764" s="627">
        <v>6</v>
      </c>
      <c r="J764" s="626">
        <v>3600000</v>
      </c>
      <c r="L764" s="196">
        <v>18</v>
      </c>
      <c r="M764" s="627">
        <v>6</v>
      </c>
      <c r="N764" s="626">
        <v>3600000</v>
      </c>
      <c r="P764" s="610">
        <v>7200000</v>
      </c>
    </row>
    <row r="765" spans="3:16" s="610" customFormat="1">
      <c r="C765" s="611"/>
      <c r="D765" s="196">
        <v>19</v>
      </c>
      <c r="E765" s="627">
        <v>6</v>
      </c>
      <c r="F765" s="626">
        <v>3800000</v>
      </c>
      <c r="G765" s="611"/>
      <c r="H765" s="196">
        <v>19</v>
      </c>
      <c r="I765" s="627">
        <v>6</v>
      </c>
      <c r="J765" s="626">
        <v>3800000</v>
      </c>
      <c r="L765" s="196">
        <v>19</v>
      </c>
      <c r="M765" s="627">
        <v>6</v>
      </c>
      <c r="N765" s="626">
        <v>3800000</v>
      </c>
      <c r="P765" s="610">
        <v>7600000</v>
      </c>
    </row>
    <row r="766" spans="3:16" s="610" customFormat="1">
      <c r="C766" s="611"/>
      <c r="D766" s="196">
        <v>20</v>
      </c>
      <c r="E766" s="627">
        <v>6</v>
      </c>
      <c r="F766" s="626">
        <v>4000000</v>
      </c>
      <c r="G766" s="611"/>
      <c r="H766" s="196">
        <v>20</v>
      </c>
      <c r="I766" s="627">
        <v>6</v>
      </c>
      <c r="J766" s="626">
        <v>4000000</v>
      </c>
      <c r="L766" s="196">
        <v>20</v>
      </c>
      <c r="M766" s="627">
        <v>6</v>
      </c>
      <c r="N766" s="626">
        <v>4000000</v>
      </c>
      <c r="P766" s="610">
        <v>8000000</v>
      </c>
    </row>
    <row r="767" spans="3:16" s="610" customFormat="1">
      <c r="C767" s="611"/>
      <c r="D767" s="196">
        <v>21</v>
      </c>
      <c r="E767" s="627">
        <v>7</v>
      </c>
      <c r="F767" s="626">
        <v>4200000</v>
      </c>
      <c r="G767" s="611"/>
      <c r="H767" s="196">
        <v>21</v>
      </c>
      <c r="I767" s="627">
        <v>7</v>
      </c>
      <c r="J767" s="626">
        <v>4200000</v>
      </c>
      <c r="L767" s="196">
        <v>21</v>
      </c>
      <c r="M767" s="627">
        <v>7</v>
      </c>
      <c r="N767" s="626">
        <v>4200000</v>
      </c>
      <c r="P767" s="610">
        <v>8400000</v>
      </c>
    </row>
    <row r="768" spans="3:16" s="610" customFormat="1">
      <c r="C768" s="611"/>
      <c r="D768" s="196">
        <v>22</v>
      </c>
      <c r="E768" s="627">
        <v>7</v>
      </c>
      <c r="F768" s="626">
        <v>4400000</v>
      </c>
      <c r="G768" s="611"/>
      <c r="H768" s="196">
        <v>22</v>
      </c>
      <c r="I768" s="627">
        <v>7</v>
      </c>
      <c r="J768" s="626">
        <v>4400000</v>
      </c>
      <c r="L768" s="196">
        <v>22</v>
      </c>
      <c r="M768" s="627">
        <v>7</v>
      </c>
      <c r="N768" s="626">
        <v>4400000</v>
      </c>
      <c r="P768" s="610">
        <v>8800000</v>
      </c>
    </row>
    <row r="769" spans="3:16" s="610" customFormat="1">
      <c r="C769" s="611"/>
      <c r="D769" s="196">
        <v>23</v>
      </c>
      <c r="E769" s="627">
        <v>7</v>
      </c>
      <c r="F769" s="626">
        <v>4600000</v>
      </c>
      <c r="G769" s="611"/>
      <c r="H769" s="196">
        <v>23</v>
      </c>
      <c r="I769" s="627">
        <v>7</v>
      </c>
      <c r="J769" s="626">
        <v>4600000</v>
      </c>
      <c r="L769" s="196">
        <v>23</v>
      </c>
      <c r="M769" s="627">
        <v>7</v>
      </c>
      <c r="N769" s="626">
        <v>4600000</v>
      </c>
      <c r="P769" s="610">
        <v>9200000</v>
      </c>
    </row>
    <row r="770" spans="3:16">
      <c r="D770" s="196">
        <v>24</v>
      </c>
      <c r="E770" s="627">
        <v>8</v>
      </c>
      <c r="F770" s="626">
        <v>4800000</v>
      </c>
      <c r="G770" s="7"/>
      <c r="H770" s="196">
        <v>24</v>
      </c>
      <c r="I770" s="627">
        <v>8</v>
      </c>
      <c r="J770" s="626">
        <v>4800000</v>
      </c>
      <c r="K770" s="610"/>
      <c r="L770" s="196">
        <v>24</v>
      </c>
      <c r="M770" s="627">
        <v>8</v>
      </c>
      <c r="N770" s="626">
        <v>4800000</v>
      </c>
      <c r="P770" s="610">
        <v>9600000</v>
      </c>
    </row>
    <row r="771" spans="3:16">
      <c r="D771" s="196">
        <v>25</v>
      </c>
      <c r="E771" s="627">
        <v>8</v>
      </c>
      <c r="F771" s="626">
        <v>5000000</v>
      </c>
      <c r="G771" s="7"/>
      <c r="H771" s="196">
        <v>25</v>
      </c>
      <c r="I771" s="627">
        <v>8</v>
      </c>
      <c r="J771" s="626">
        <v>5000000</v>
      </c>
      <c r="L771" s="196">
        <v>25</v>
      </c>
      <c r="M771" s="627">
        <v>8</v>
      </c>
      <c r="N771" s="626">
        <v>5000000</v>
      </c>
      <c r="P771" s="610">
        <v>10000000</v>
      </c>
    </row>
    <row r="772" spans="3:16">
      <c r="D772" s="196">
        <v>26</v>
      </c>
      <c r="E772" s="627">
        <v>8</v>
      </c>
      <c r="F772" s="626">
        <v>5200000</v>
      </c>
      <c r="G772" s="7"/>
      <c r="H772" s="196">
        <v>26</v>
      </c>
      <c r="I772" s="627">
        <v>8</v>
      </c>
      <c r="J772" s="626">
        <v>5200000</v>
      </c>
      <c r="L772" s="196">
        <v>26</v>
      </c>
      <c r="M772" s="627">
        <v>8</v>
      </c>
      <c r="N772" s="626">
        <v>5200000</v>
      </c>
      <c r="P772" s="610">
        <v>10400000</v>
      </c>
    </row>
    <row r="773" spans="3:16">
      <c r="D773" s="196">
        <v>27</v>
      </c>
      <c r="E773" s="627">
        <v>9</v>
      </c>
      <c r="F773" s="626">
        <v>5400000</v>
      </c>
      <c r="G773" s="7"/>
      <c r="H773" s="196">
        <v>27</v>
      </c>
      <c r="I773" s="627">
        <v>9</v>
      </c>
      <c r="J773" s="626">
        <v>5400000</v>
      </c>
      <c r="L773" s="196">
        <v>27</v>
      </c>
      <c r="M773" s="627">
        <v>9</v>
      </c>
      <c r="N773" s="626">
        <v>5400000</v>
      </c>
      <c r="P773" s="610">
        <v>10800000</v>
      </c>
    </row>
    <row r="774" spans="3:16" s="610" customFormat="1">
      <c r="C774" s="611"/>
      <c r="D774" s="196">
        <v>28</v>
      </c>
      <c r="E774" s="627">
        <v>9</v>
      </c>
      <c r="F774" s="626">
        <v>5600000</v>
      </c>
      <c r="G774" s="611"/>
      <c r="H774" s="196">
        <v>28</v>
      </c>
      <c r="I774" s="627">
        <v>9</v>
      </c>
      <c r="J774" s="626">
        <v>5600000</v>
      </c>
      <c r="L774" s="196">
        <v>28</v>
      </c>
      <c r="M774" s="627">
        <v>9</v>
      </c>
      <c r="N774" s="626">
        <v>5600000</v>
      </c>
      <c r="P774" s="610">
        <v>11200000</v>
      </c>
    </row>
    <row r="775" spans="3:16" s="610" customFormat="1">
      <c r="C775" s="611"/>
      <c r="D775" s="196">
        <v>29</v>
      </c>
      <c r="E775" s="627">
        <v>9</v>
      </c>
      <c r="F775" s="626">
        <v>5800000</v>
      </c>
      <c r="G775" s="611"/>
      <c r="H775" s="196">
        <v>29</v>
      </c>
      <c r="I775" s="627">
        <v>9</v>
      </c>
      <c r="J775" s="626">
        <v>5800000</v>
      </c>
      <c r="L775" s="196">
        <v>29</v>
      </c>
      <c r="M775" s="627">
        <v>9</v>
      </c>
      <c r="N775" s="626">
        <v>5800000</v>
      </c>
      <c r="P775" s="610">
        <v>11600000</v>
      </c>
    </row>
    <row r="776" spans="3:16" s="610" customFormat="1">
      <c r="C776" s="611"/>
      <c r="D776" s="196">
        <v>30</v>
      </c>
      <c r="E776" s="627">
        <v>9</v>
      </c>
      <c r="F776" s="626">
        <v>6000000</v>
      </c>
      <c r="G776" s="611"/>
      <c r="H776" s="196">
        <v>30</v>
      </c>
      <c r="I776" s="627">
        <v>9</v>
      </c>
      <c r="J776" s="626">
        <v>6000000</v>
      </c>
      <c r="L776" s="196">
        <v>30</v>
      </c>
      <c r="M776" s="627">
        <v>9</v>
      </c>
      <c r="N776" s="626">
        <v>6000000</v>
      </c>
      <c r="P776" s="610">
        <v>12000000</v>
      </c>
    </row>
    <row r="777" spans="3:16" s="610" customFormat="1">
      <c r="C777" s="611"/>
      <c r="D777" s="196">
        <v>31</v>
      </c>
      <c r="E777" s="627">
        <v>10</v>
      </c>
      <c r="F777" s="626">
        <v>6200000</v>
      </c>
      <c r="G777" s="611"/>
      <c r="H777" s="196">
        <v>31</v>
      </c>
      <c r="I777" s="627">
        <v>10</v>
      </c>
      <c r="J777" s="626">
        <v>6200000</v>
      </c>
      <c r="L777" s="196">
        <v>31</v>
      </c>
      <c r="M777" s="627">
        <v>10</v>
      </c>
      <c r="N777" s="626">
        <v>6200000</v>
      </c>
      <c r="P777" s="610">
        <v>12400000</v>
      </c>
    </row>
    <row r="778" spans="3:16" s="610" customFormat="1">
      <c r="C778" s="611"/>
      <c r="D778" s="196">
        <v>32</v>
      </c>
      <c r="E778" s="627">
        <v>10</v>
      </c>
      <c r="F778" s="626">
        <v>6400000</v>
      </c>
      <c r="G778" s="611"/>
      <c r="H778" s="196">
        <v>32</v>
      </c>
      <c r="I778" s="627">
        <v>10</v>
      </c>
      <c r="J778" s="626">
        <v>6400000</v>
      </c>
      <c r="L778" s="196">
        <v>32</v>
      </c>
      <c r="M778" s="627">
        <v>10</v>
      </c>
      <c r="N778" s="626">
        <v>6400000</v>
      </c>
      <c r="P778" s="610">
        <v>12800000</v>
      </c>
    </row>
    <row r="779" spans="3:16" s="610" customFormat="1">
      <c r="C779" s="611"/>
      <c r="D779" s="196">
        <v>33</v>
      </c>
      <c r="E779" s="627">
        <v>10</v>
      </c>
      <c r="F779" s="626">
        <v>6600000</v>
      </c>
      <c r="G779" s="611"/>
      <c r="H779" s="196">
        <v>33</v>
      </c>
      <c r="I779" s="627">
        <v>10</v>
      </c>
      <c r="J779" s="626">
        <v>6600000</v>
      </c>
      <c r="L779" s="196">
        <v>33</v>
      </c>
      <c r="M779" s="627">
        <v>10</v>
      </c>
      <c r="N779" s="626">
        <v>6600000</v>
      </c>
      <c r="P779" s="610">
        <v>13200000</v>
      </c>
    </row>
    <row r="780" spans="3:16" s="610" customFormat="1">
      <c r="C780" s="611"/>
      <c r="D780" s="196">
        <v>34</v>
      </c>
      <c r="E780" s="627">
        <v>11</v>
      </c>
      <c r="F780" s="626">
        <v>6800000</v>
      </c>
      <c r="G780" s="611"/>
      <c r="H780" s="196">
        <v>34</v>
      </c>
      <c r="I780" s="627">
        <v>11</v>
      </c>
      <c r="J780" s="626">
        <v>6800000</v>
      </c>
      <c r="L780" s="196">
        <v>34</v>
      </c>
      <c r="M780" s="627">
        <v>11</v>
      </c>
      <c r="N780" s="626">
        <v>6800000</v>
      </c>
      <c r="P780" s="610">
        <v>13600000</v>
      </c>
    </row>
    <row r="781" spans="3:16" s="610" customFormat="1">
      <c r="C781" s="611"/>
      <c r="D781" s="196">
        <v>35</v>
      </c>
      <c r="E781" s="627">
        <v>11</v>
      </c>
      <c r="F781" s="626">
        <v>7000000</v>
      </c>
      <c r="G781" s="611"/>
      <c r="H781" s="196">
        <v>35</v>
      </c>
      <c r="I781" s="627">
        <v>11</v>
      </c>
      <c r="J781" s="626">
        <v>7000000</v>
      </c>
      <c r="L781" s="196">
        <v>35</v>
      </c>
      <c r="M781" s="627">
        <v>11</v>
      </c>
      <c r="N781" s="626">
        <v>7000000</v>
      </c>
      <c r="P781" s="610">
        <v>14000000</v>
      </c>
    </row>
    <row r="782" spans="3:16" s="610" customFormat="1">
      <c r="C782" s="611"/>
      <c r="D782" s="196">
        <v>36</v>
      </c>
      <c r="E782" s="627">
        <v>11</v>
      </c>
      <c r="F782" s="626">
        <v>7200000</v>
      </c>
      <c r="G782" s="611"/>
      <c r="H782" s="196">
        <v>36</v>
      </c>
      <c r="I782" s="627">
        <v>11</v>
      </c>
      <c r="J782" s="626">
        <v>7200000</v>
      </c>
      <c r="L782" s="196">
        <v>36</v>
      </c>
      <c r="M782" s="627">
        <v>11</v>
      </c>
      <c r="N782" s="626">
        <v>7200000</v>
      </c>
      <c r="P782" s="610">
        <v>14400000</v>
      </c>
    </row>
    <row r="783" spans="3:16" s="610" customFormat="1">
      <c r="C783" s="611"/>
      <c r="D783" s="196">
        <v>37</v>
      </c>
      <c r="E783" s="627">
        <v>12</v>
      </c>
      <c r="F783" s="626">
        <v>7400000</v>
      </c>
      <c r="G783" s="611"/>
      <c r="H783" s="196">
        <v>37</v>
      </c>
      <c r="I783" s="627">
        <v>12</v>
      </c>
      <c r="J783" s="626">
        <v>7400000</v>
      </c>
      <c r="L783" s="196">
        <v>37</v>
      </c>
      <c r="M783" s="627">
        <v>12</v>
      </c>
      <c r="N783" s="626">
        <v>7400000</v>
      </c>
      <c r="P783" s="610">
        <v>14800000</v>
      </c>
    </row>
    <row r="784" spans="3:16" s="610" customFormat="1">
      <c r="C784" s="611"/>
      <c r="D784" s="196">
        <v>38</v>
      </c>
      <c r="E784" s="627">
        <v>12</v>
      </c>
      <c r="F784" s="626">
        <v>7600000</v>
      </c>
      <c r="G784" s="611"/>
      <c r="H784" s="196">
        <v>38</v>
      </c>
      <c r="I784" s="627">
        <v>12</v>
      </c>
      <c r="J784" s="626">
        <v>7600000</v>
      </c>
      <c r="L784" s="196">
        <v>38</v>
      </c>
      <c r="M784" s="627">
        <v>12</v>
      </c>
      <c r="N784" s="626">
        <v>7600000</v>
      </c>
      <c r="P784" s="610">
        <v>15200000</v>
      </c>
    </row>
    <row r="785" spans="3:16" s="610" customFormat="1">
      <c r="C785" s="611"/>
      <c r="D785" s="196">
        <v>39</v>
      </c>
      <c r="E785" s="627">
        <v>12</v>
      </c>
      <c r="F785" s="626">
        <v>7800000</v>
      </c>
      <c r="G785" s="611"/>
      <c r="H785" s="196">
        <v>39</v>
      </c>
      <c r="I785" s="627">
        <v>12</v>
      </c>
      <c r="J785" s="626">
        <v>7800000</v>
      </c>
      <c r="L785" s="196">
        <v>39</v>
      </c>
      <c r="M785" s="627">
        <v>12</v>
      </c>
      <c r="N785" s="626">
        <v>7800000</v>
      </c>
      <c r="P785" s="610">
        <v>15600000</v>
      </c>
    </row>
    <row r="786" spans="3:16" s="610" customFormat="1">
      <c r="C786" s="611"/>
      <c r="D786" s="196">
        <v>40</v>
      </c>
      <c r="E786" s="627">
        <v>12</v>
      </c>
      <c r="F786" s="626">
        <v>8000000</v>
      </c>
      <c r="G786" s="611"/>
      <c r="H786" s="196">
        <v>40</v>
      </c>
      <c r="I786" s="627">
        <v>12</v>
      </c>
      <c r="J786" s="626">
        <v>8000000</v>
      </c>
      <c r="L786" s="196">
        <v>40</v>
      </c>
      <c r="M786" s="627">
        <v>12</v>
      </c>
      <c r="N786" s="626">
        <v>8000000</v>
      </c>
      <c r="P786" s="610">
        <v>16000000</v>
      </c>
    </row>
    <row r="787" spans="3:16" s="610" customFormat="1">
      <c r="C787" s="611"/>
      <c r="D787" s="196">
        <v>41</v>
      </c>
      <c r="E787" s="627">
        <v>13</v>
      </c>
      <c r="F787" s="626">
        <v>8200000</v>
      </c>
      <c r="G787" s="611"/>
      <c r="H787" s="196">
        <v>41</v>
      </c>
      <c r="I787" s="627">
        <v>13</v>
      </c>
      <c r="J787" s="626">
        <v>8200000</v>
      </c>
      <c r="L787" s="196">
        <v>41</v>
      </c>
      <c r="M787" s="627">
        <v>13</v>
      </c>
      <c r="N787" s="626">
        <v>8200000</v>
      </c>
      <c r="P787" s="610">
        <v>16400000</v>
      </c>
    </row>
    <row r="788" spans="3:16" s="610" customFormat="1">
      <c r="C788" s="611"/>
      <c r="D788" s="196">
        <v>42</v>
      </c>
      <c r="E788" s="627">
        <v>13</v>
      </c>
      <c r="F788" s="626">
        <v>8400000</v>
      </c>
      <c r="G788" s="611"/>
      <c r="H788" s="196">
        <v>42</v>
      </c>
      <c r="I788" s="627">
        <v>13</v>
      </c>
      <c r="J788" s="626">
        <v>8400000</v>
      </c>
      <c r="L788" s="196">
        <v>42</v>
      </c>
      <c r="M788" s="627">
        <v>13</v>
      </c>
      <c r="N788" s="626">
        <v>8400000</v>
      </c>
      <c r="P788" s="610">
        <v>16800000</v>
      </c>
    </row>
    <row r="789" spans="3:16" s="610" customFormat="1">
      <c r="C789" s="611"/>
      <c r="D789" s="196">
        <v>43</v>
      </c>
      <c r="E789" s="627">
        <v>13</v>
      </c>
      <c r="F789" s="626">
        <v>8600000</v>
      </c>
      <c r="G789" s="611"/>
      <c r="H789" s="196">
        <v>43</v>
      </c>
      <c r="I789" s="627">
        <v>13</v>
      </c>
      <c r="J789" s="626">
        <v>8600000</v>
      </c>
      <c r="L789" s="196">
        <v>43</v>
      </c>
      <c r="M789" s="627">
        <v>13</v>
      </c>
      <c r="N789" s="626">
        <v>8600000</v>
      </c>
      <c r="P789" s="610">
        <v>17200000</v>
      </c>
    </row>
    <row r="790" spans="3:16" s="610" customFormat="1">
      <c r="C790" s="611"/>
      <c r="D790" s="196">
        <v>44</v>
      </c>
      <c r="E790" s="627">
        <v>14</v>
      </c>
      <c r="F790" s="626">
        <v>8800000</v>
      </c>
      <c r="G790" s="611"/>
      <c r="H790" s="196">
        <v>44</v>
      </c>
      <c r="I790" s="627">
        <v>14</v>
      </c>
      <c r="J790" s="626">
        <v>8800000</v>
      </c>
      <c r="L790" s="196">
        <v>44</v>
      </c>
      <c r="M790" s="627">
        <v>14</v>
      </c>
      <c r="N790" s="626">
        <v>8800000</v>
      </c>
      <c r="P790" s="610">
        <v>17600000</v>
      </c>
    </row>
    <row r="791" spans="3:16" s="610" customFormat="1">
      <c r="C791" s="611"/>
      <c r="D791" s="196">
        <v>45</v>
      </c>
      <c r="E791" s="627">
        <v>14</v>
      </c>
      <c r="F791" s="626">
        <v>9000000</v>
      </c>
      <c r="G791" s="611"/>
      <c r="H791" s="196">
        <v>45</v>
      </c>
      <c r="I791" s="627">
        <v>14</v>
      </c>
      <c r="J791" s="626">
        <v>9000000</v>
      </c>
      <c r="L791" s="196">
        <v>45</v>
      </c>
      <c r="M791" s="627">
        <v>14</v>
      </c>
      <c r="N791" s="626">
        <v>9000000</v>
      </c>
      <c r="P791" s="610">
        <v>18000000</v>
      </c>
    </row>
    <row r="792" spans="3:16" s="610" customFormat="1">
      <c r="C792" s="611"/>
      <c r="D792" s="196">
        <v>46</v>
      </c>
      <c r="E792" s="627">
        <v>14</v>
      </c>
      <c r="F792" s="626">
        <v>9200000</v>
      </c>
      <c r="G792" s="611"/>
      <c r="H792" s="196">
        <v>46</v>
      </c>
      <c r="I792" s="627">
        <v>14</v>
      </c>
      <c r="J792" s="626">
        <v>9200000</v>
      </c>
      <c r="L792" s="196">
        <v>46</v>
      </c>
      <c r="M792" s="627">
        <v>14</v>
      </c>
      <c r="N792" s="626">
        <v>9200000</v>
      </c>
      <c r="P792" s="610">
        <v>18400000</v>
      </c>
    </row>
    <row r="793" spans="3:16" s="610" customFormat="1">
      <c r="C793" s="611"/>
      <c r="D793" s="196">
        <v>47</v>
      </c>
      <c r="E793" s="627">
        <v>15</v>
      </c>
      <c r="F793" s="626">
        <v>9400000</v>
      </c>
      <c r="G793" s="611"/>
      <c r="H793" s="196">
        <v>47</v>
      </c>
      <c r="I793" s="627">
        <v>15</v>
      </c>
      <c r="J793" s="626">
        <v>9400000</v>
      </c>
      <c r="L793" s="196">
        <v>47</v>
      </c>
      <c r="M793" s="627">
        <v>15</v>
      </c>
      <c r="N793" s="626">
        <v>9400000</v>
      </c>
      <c r="P793" s="610">
        <v>18800000</v>
      </c>
    </row>
    <row r="794" spans="3:16" s="610" customFormat="1">
      <c r="C794" s="611"/>
      <c r="D794" s="196">
        <v>48</v>
      </c>
      <c r="E794" s="627">
        <v>15</v>
      </c>
      <c r="F794" s="626">
        <v>9600000</v>
      </c>
      <c r="G794" s="611"/>
      <c r="H794" s="196">
        <v>48</v>
      </c>
      <c r="I794" s="627">
        <v>15</v>
      </c>
      <c r="J794" s="626">
        <v>9600000</v>
      </c>
      <c r="L794" s="196">
        <v>48</v>
      </c>
      <c r="M794" s="627">
        <v>15</v>
      </c>
      <c r="N794" s="626">
        <v>9600000</v>
      </c>
      <c r="P794" s="610">
        <v>19200000</v>
      </c>
    </row>
    <row r="795" spans="3:16" s="610" customFormat="1">
      <c r="C795" s="611"/>
      <c r="D795" s="196">
        <v>49</v>
      </c>
      <c r="E795" s="627">
        <v>15</v>
      </c>
      <c r="F795" s="626">
        <v>9800000</v>
      </c>
      <c r="G795" s="611"/>
      <c r="H795" s="196">
        <v>49</v>
      </c>
      <c r="I795" s="627">
        <v>15</v>
      </c>
      <c r="J795" s="626">
        <v>9800000</v>
      </c>
      <c r="L795" s="196">
        <v>49</v>
      </c>
      <c r="M795" s="627">
        <v>15</v>
      </c>
      <c r="N795" s="626">
        <v>9800000</v>
      </c>
      <c r="P795" s="610">
        <v>19600000</v>
      </c>
    </row>
    <row r="796" spans="3:16" s="610" customFormat="1">
      <c r="C796" s="611"/>
      <c r="D796" s="196">
        <v>50</v>
      </c>
      <c r="E796" s="627">
        <v>15</v>
      </c>
      <c r="F796" s="626">
        <v>10000000</v>
      </c>
      <c r="G796" s="611"/>
      <c r="H796" s="196">
        <v>50</v>
      </c>
      <c r="I796" s="627">
        <v>15</v>
      </c>
      <c r="J796" s="626">
        <v>10000000</v>
      </c>
      <c r="L796" s="196">
        <v>50</v>
      </c>
      <c r="M796" s="627">
        <v>15</v>
      </c>
      <c r="N796" s="626">
        <v>10000000</v>
      </c>
      <c r="P796" s="610">
        <v>20000000</v>
      </c>
    </row>
    <row r="797" spans="3:16" s="610" customFormat="1">
      <c r="C797" s="611"/>
      <c r="D797" s="196">
        <v>51</v>
      </c>
      <c r="E797" s="627">
        <v>16</v>
      </c>
      <c r="F797" s="626">
        <v>10200000</v>
      </c>
      <c r="G797" s="611"/>
      <c r="H797" s="196">
        <v>51</v>
      </c>
      <c r="I797" s="627">
        <v>16</v>
      </c>
      <c r="J797" s="626">
        <v>10200000</v>
      </c>
      <c r="L797" s="196">
        <v>51</v>
      </c>
      <c r="M797" s="627">
        <v>16</v>
      </c>
      <c r="N797" s="626">
        <v>10200000</v>
      </c>
      <c r="P797" s="610">
        <v>20400000</v>
      </c>
    </row>
    <row r="798" spans="3:16" s="610" customFormat="1">
      <c r="C798" s="611"/>
      <c r="D798" s="196">
        <v>52</v>
      </c>
      <c r="E798" s="627">
        <v>16</v>
      </c>
      <c r="F798" s="626">
        <v>10400000</v>
      </c>
      <c r="G798" s="611"/>
      <c r="H798" s="196">
        <v>52</v>
      </c>
      <c r="I798" s="627">
        <v>16</v>
      </c>
      <c r="J798" s="626">
        <v>10400000</v>
      </c>
      <c r="L798" s="196">
        <v>52</v>
      </c>
      <c r="M798" s="627">
        <v>16</v>
      </c>
      <c r="N798" s="626">
        <v>10400000</v>
      </c>
      <c r="P798" s="610">
        <v>20800000</v>
      </c>
    </row>
    <row r="799" spans="3:16">
      <c r="D799" s="7" t="s">
        <v>9047</v>
      </c>
      <c r="E799" s="7"/>
      <c r="F799" s="7"/>
      <c r="G799" s="7"/>
      <c r="H799" s="611" t="s">
        <v>9048</v>
      </c>
      <c r="I799" s="611"/>
      <c r="J799" s="611"/>
      <c r="L799" s="611" t="s">
        <v>9049</v>
      </c>
      <c r="M799" s="611"/>
      <c r="N799" s="611"/>
    </row>
    <row r="800" spans="3:16">
      <c r="D800" s="7"/>
      <c r="E800" s="7"/>
      <c r="F800" s="7"/>
      <c r="G800" s="7"/>
    </row>
    <row r="801" spans="2:18">
      <c r="D801" s="7"/>
      <c r="E801" s="7"/>
      <c r="F801" s="7"/>
      <c r="G801" s="7"/>
    </row>
    <row r="802" spans="2:18">
      <c r="D802" s="7"/>
      <c r="E802" s="7"/>
      <c r="F802" s="7"/>
      <c r="G802" s="7"/>
    </row>
    <row r="803" spans="2:18" s="11" customFormat="1">
      <c r="B803" s="29" t="s">
        <v>8863</v>
      </c>
    </row>
    <row r="804" spans="2:18">
      <c r="D804" s="7"/>
      <c r="E804" s="7"/>
      <c r="F804" s="7"/>
      <c r="G804" s="7"/>
    </row>
    <row r="805" spans="2:18" s="610" customFormat="1">
      <c r="C805" s="88" t="s">
        <v>244</v>
      </c>
      <c r="D805" s="311" t="s">
        <v>12868</v>
      </c>
      <c r="E805" s="627" t="s">
        <v>13817</v>
      </c>
      <c r="F805" s="627" t="s">
        <v>748</v>
      </c>
      <c r="G805" s="611"/>
      <c r="H805" s="311" t="s">
        <v>238</v>
      </c>
      <c r="I805" s="627" t="s">
        <v>13817</v>
      </c>
      <c r="J805" s="627" t="s">
        <v>748</v>
      </c>
      <c r="L805" s="311" t="s">
        <v>239</v>
      </c>
      <c r="M805" s="627" t="s">
        <v>13817</v>
      </c>
      <c r="N805" s="627" t="s">
        <v>748</v>
      </c>
      <c r="P805" s="311" t="s">
        <v>240</v>
      </c>
      <c r="Q805" s="627" t="s">
        <v>13817</v>
      </c>
      <c r="R805" s="627" t="s">
        <v>748</v>
      </c>
    </row>
    <row r="806" spans="2:18" s="610" customFormat="1">
      <c r="C806" s="611"/>
      <c r="D806" s="196">
        <v>0</v>
      </c>
      <c r="E806" s="627">
        <v>0</v>
      </c>
      <c r="F806" s="627">
        <v>0</v>
      </c>
      <c r="G806" s="611"/>
      <c r="H806" s="196">
        <v>0</v>
      </c>
      <c r="I806" s="627">
        <v>0</v>
      </c>
      <c r="J806" s="627">
        <v>0</v>
      </c>
      <c r="L806" s="196">
        <v>0</v>
      </c>
      <c r="M806" s="627">
        <v>0</v>
      </c>
      <c r="N806" s="627">
        <v>0</v>
      </c>
      <c r="P806" s="196">
        <v>0</v>
      </c>
      <c r="Q806" s="627">
        <v>0</v>
      </c>
      <c r="R806" s="627">
        <v>0</v>
      </c>
    </row>
    <row r="807" spans="2:18" s="610" customFormat="1">
      <c r="C807" s="611"/>
      <c r="D807" s="196">
        <v>1</v>
      </c>
      <c r="E807" s="627">
        <v>5</v>
      </c>
      <c r="F807" s="626">
        <v>5000000</v>
      </c>
      <c r="G807" s="611"/>
      <c r="H807" s="196">
        <v>1</v>
      </c>
      <c r="I807" s="627">
        <v>5</v>
      </c>
      <c r="J807" s="626">
        <v>5000000</v>
      </c>
      <c r="L807" s="196">
        <v>1</v>
      </c>
      <c r="M807" s="627">
        <v>5</v>
      </c>
      <c r="N807" s="626">
        <v>5000000</v>
      </c>
      <c r="P807" s="196">
        <v>1</v>
      </c>
      <c r="Q807" s="627">
        <v>6</v>
      </c>
      <c r="R807" s="626">
        <v>15000000</v>
      </c>
    </row>
    <row r="808" spans="2:18" s="610" customFormat="1">
      <c r="C808" s="611"/>
      <c r="D808" s="196">
        <v>2</v>
      </c>
      <c r="E808" s="627">
        <v>5</v>
      </c>
      <c r="F808" s="626">
        <v>5000000</v>
      </c>
      <c r="G808" s="611"/>
      <c r="H808" s="196">
        <v>2</v>
      </c>
      <c r="I808" s="627">
        <v>5</v>
      </c>
      <c r="J808" s="626">
        <v>5000000</v>
      </c>
      <c r="L808" s="196">
        <v>2</v>
      </c>
      <c r="M808" s="627">
        <v>5</v>
      </c>
      <c r="N808" s="626">
        <v>5000000</v>
      </c>
      <c r="P808" s="196">
        <v>2</v>
      </c>
      <c r="Q808" s="627">
        <v>5</v>
      </c>
      <c r="R808" s="626">
        <v>10000000</v>
      </c>
    </row>
    <row r="809" spans="2:18" s="610" customFormat="1">
      <c r="C809" s="611"/>
      <c r="D809" s="196">
        <v>3</v>
      </c>
      <c r="E809" s="627">
        <v>5</v>
      </c>
      <c r="F809" s="626">
        <v>5000000</v>
      </c>
      <c r="G809" s="611"/>
      <c r="H809" s="196">
        <v>3</v>
      </c>
      <c r="I809" s="627">
        <v>5</v>
      </c>
      <c r="J809" s="626">
        <v>5000000</v>
      </c>
      <c r="L809" s="196">
        <v>3</v>
      </c>
      <c r="M809" s="627">
        <v>5</v>
      </c>
      <c r="N809" s="626">
        <v>5000000</v>
      </c>
      <c r="P809" s="196">
        <v>3</v>
      </c>
      <c r="Q809" s="627">
        <v>3</v>
      </c>
      <c r="R809" s="626">
        <v>5000000</v>
      </c>
    </row>
    <row r="810" spans="2:18" s="610" customFormat="1">
      <c r="C810" s="611"/>
      <c r="D810" s="196">
        <v>4</v>
      </c>
      <c r="E810" s="627">
        <v>0</v>
      </c>
      <c r="F810" s="626">
        <v>0</v>
      </c>
      <c r="G810" s="611"/>
      <c r="H810" s="196">
        <v>4</v>
      </c>
      <c r="I810" s="627">
        <v>0</v>
      </c>
      <c r="J810" s="626">
        <v>0</v>
      </c>
      <c r="L810" s="196">
        <v>4</v>
      </c>
      <c r="M810" s="627">
        <v>0</v>
      </c>
      <c r="N810" s="626">
        <v>0</v>
      </c>
      <c r="P810" s="196">
        <v>4</v>
      </c>
      <c r="Q810" s="627">
        <v>0</v>
      </c>
      <c r="R810" s="626">
        <v>0</v>
      </c>
    </row>
    <row r="811" spans="2:18" s="610" customFormat="1">
      <c r="C811" s="611"/>
      <c r="D811" s="611" t="s">
        <v>8864</v>
      </c>
      <c r="E811" s="611"/>
      <c r="F811" s="611"/>
      <c r="G811" s="611"/>
      <c r="H811" s="611" t="s">
        <v>8893</v>
      </c>
      <c r="I811" s="611"/>
      <c r="J811" s="611"/>
      <c r="L811" s="611" t="s">
        <v>8892</v>
      </c>
      <c r="M811" s="611"/>
      <c r="N811" s="611"/>
      <c r="P811" s="611" t="s">
        <v>8891</v>
      </c>
      <c r="Q811" s="611"/>
      <c r="R811" s="611"/>
    </row>
    <row r="812" spans="2:18" s="610" customFormat="1">
      <c r="C812" s="611"/>
      <c r="D812" s="611"/>
      <c r="E812" s="611"/>
      <c r="F812" s="611"/>
      <c r="G812" s="611"/>
    </row>
    <row r="813" spans="2:18" s="610" customFormat="1">
      <c r="C813" s="88" t="s">
        <v>245</v>
      </c>
      <c r="D813" s="311" t="s">
        <v>12868</v>
      </c>
      <c r="E813" s="627" t="s">
        <v>13817</v>
      </c>
      <c r="F813" s="627" t="s">
        <v>748</v>
      </c>
      <c r="G813" s="611"/>
      <c r="H813" s="311" t="s">
        <v>238</v>
      </c>
      <c r="I813" s="627" t="s">
        <v>13817</v>
      </c>
      <c r="J813" s="627" t="s">
        <v>748</v>
      </c>
      <c r="L813" s="311" t="s">
        <v>239</v>
      </c>
      <c r="M813" s="627" t="s">
        <v>13817</v>
      </c>
      <c r="N813" s="627" t="s">
        <v>748</v>
      </c>
      <c r="P813" s="311" t="s">
        <v>240</v>
      </c>
      <c r="Q813" s="627" t="s">
        <v>13817</v>
      </c>
      <c r="R813" s="627" t="s">
        <v>748</v>
      </c>
    </row>
    <row r="814" spans="2:18" s="610" customFormat="1">
      <c r="C814" s="611"/>
      <c r="D814" s="196">
        <v>0</v>
      </c>
      <c r="E814" s="627">
        <v>0</v>
      </c>
      <c r="F814" s="627">
        <v>0</v>
      </c>
      <c r="G814" s="611"/>
      <c r="H814" s="196">
        <v>0</v>
      </c>
      <c r="I814" s="627">
        <v>0</v>
      </c>
      <c r="J814" s="627">
        <v>0</v>
      </c>
      <c r="L814" s="196">
        <v>0</v>
      </c>
      <c r="M814" s="627">
        <v>0</v>
      </c>
      <c r="N814" s="627">
        <v>0</v>
      </c>
      <c r="P814" s="196">
        <v>0</v>
      </c>
      <c r="Q814" s="627">
        <v>0</v>
      </c>
      <c r="R814" s="627">
        <v>0</v>
      </c>
    </row>
    <row r="815" spans="2:18" s="610" customFormat="1">
      <c r="C815" s="611"/>
      <c r="D815" s="196">
        <v>1</v>
      </c>
      <c r="E815" s="627">
        <v>7</v>
      </c>
      <c r="F815" s="626">
        <v>10000000</v>
      </c>
      <c r="G815" s="611"/>
      <c r="H815" s="196">
        <v>1</v>
      </c>
      <c r="I815" s="627">
        <v>7</v>
      </c>
      <c r="J815" s="626">
        <v>10000000</v>
      </c>
      <c r="L815" s="196">
        <v>1</v>
      </c>
      <c r="M815" s="627">
        <v>7</v>
      </c>
      <c r="N815" s="626">
        <v>10000000</v>
      </c>
      <c r="P815" s="196">
        <v>1</v>
      </c>
      <c r="Q815" s="627">
        <v>8</v>
      </c>
      <c r="R815" s="626">
        <v>15000000</v>
      </c>
    </row>
    <row r="816" spans="2:18" s="610" customFormat="1">
      <c r="C816" s="611"/>
      <c r="D816" s="196">
        <v>2</v>
      </c>
      <c r="E816" s="627">
        <v>6</v>
      </c>
      <c r="F816" s="626">
        <v>9000000</v>
      </c>
      <c r="G816" s="611"/>
      <c r="H816" s="196">
        <v>2</v>
      </c>
      <c r="I816" s="627">
        <v>6</v>
      </c>
      <c r="J816" s="626">
        <v>9000000</v>
      </c>
      <c r="L816" s="196">
        <v>2</v>
      </c>
      <c r="M816" s="627">
        <v>6</v>
      </c>
      <c r="N816" s="626">
        <v>9000000</v>
      </c>
      <c r="P816" s="196">
        <v>2</v>
      </c>
      <c r="Q816" s="627">
        <v>6</v>
      </c>
      <c r="R816" s="626">
        <v>10000000</v>
      </c>
    </row>
    <row r="817" spans="3:18" s="610" customFormat="1">
      <c r="C817" s="611"/>
      <c r="D817" s="196">
        <v>3</v>
      </c>
      <c r="E817" s="627">
        <v>5</v>
      </c>
      <c r="F817" s="626">
        <v>8000000</v>
      </c>
      <c r="G817" s="611"/>
      <c r="H817" s="196">
        <v>3</v>
      </c>
      <c r="I817" s="627">
        <v>5</v>
      </c>
      <c r="J817" s="626">
        <v>8000000</v>
      </c>
      <c r="L817" s="196">
        <v>3</v>
      </c>
      <c r="M817" s="627">
        <v>5</v>
      </c>
      <c r="N817" s="626">
        <v>8000000</v>
      </c>
      <c r="P817" s="196">
        <v>3</v>
      </c>
      <c r="Q817" s="627">
        <v>5</v>
      </c>
      <c r="R817" s="626">
        <v>5000000</v>
      </c>
    </row>
    <row r="818" spans="3:18" s="610" customFormat="1">
      <c r="C818" s="611"/>
      <c r="D818" s="196">
        <v>4</v>
      </c>
      <c r="E818" s="627">
        <v>0</v>
      </c>
      <c r="F818" s="626">
        <v>0</v>
      </c>
      <c r="G818" s="611"/>
      <c r="H818" s="196">
        <v>4</v>
      </c>
      <c r="I818" s="627">
        <v>0</v>
      </c>
      <c r="J818" s="626">
        <v>0</v>
      </c>
      <c r="L818" s="196">
        <v>4</v>
      </c>
      <c r="M818" s="627">
        <v>0</v>
      </c>
      <c r="N818" s="626">
        <v>0</v>
      </c>
      <c r="P818" s="196">
        <v>4</v>
      </c>
      <c r="Q818" s="627">
        <v>0</v>
      </c>
      <c r="R818" s="626">
        <v>0</v>
      </c>
    </row>
    <row r="819" spans="3:18" s="610" customFormat="1">
      <c r="C819" s="611"/>
      <c r="D819" s="611" t="s">
        <v>8902</v>
      </c>
      <c r="E819" s="611"/>
      <c r="F819" s="611"/>
      <c r="G819" s="611"/>
      <c r="H819" s="611" t="s">
        <v>8903</v>
      </c>
      <c r="I819" s="611"/>
      <c r="J819" s="611"/>
      <c r="L819" s="611" t="s">
        <v>8904</v>
      </c>
      <c r="M819" s="611"/>
      <c r="N819" s="611"/>
      <c r="P819" s="611" t="s">
        <v>8905</v>
      </c>
      <c r="Q819" s="611"/>
      <c r="R819" s="611"/>
    </row>
    <row r="820" spans="3:18" s="610" customFormat="1">
      <c r="C820" s="611"/>
      <c r="D820" s="611"/>
      <c r="E820" s="611"/>
      <c r="F820" s="611"/>
      <c r="G820" s="611"/>
    </row>
    <row r="821" spans="3:18" s="610" customFormat="1">
      <c r="C821" s="88" t="s">
        <v>5199</v>
      </c>
      <c r="D821" s="311" t="s">
        <v>12868</v>
      </c>
      <c r="E821" s="627" t="s">
        <v>13817</v>
      </c>
      <c r="F821" s="627" t="s">
        <v>748</v>
      </c>
      <c r="G821" s="611"/>
      <c r="H821" s="311" t="s">
        <v>238</v>
      </c>
      <c r="I821" s="627" t="s">
        <v>13817</v>
      </c>
      <c r="J821" s="627" t="s">
        <v>748</v>
      </c>
      <c r="L821" s="311" t="s">
        <v>239</v>
      </c>
      <c r="M821" s="627" t="s">
        <v>13817</v>
      </c>
      <c r="N821" s="627" t="s">
        <v>748</v>
      </c>
      <c r="P821" s="311" t="s">
        <v>240</v>
      </c>
      <c r="Q821" s="627" t="s">
        <v>13817</v>
      </c>
      <c r="R821" s="627" t="s">
        <v>748</v>
      </c>
    </row>
    <row r="822" spans="3:18" s="610" customFormat="1">
      <c r="C822" s="611"/>
      <c r="D822" s="196">
        <v>0</v>
      </c>
      <c r="E822" s="627">
        <v>0</v>
      </c>
      <c r="F822" s="627">
        <v>0</v>
      </c>
      <c r="G822" s="611"/>
      <c r="H822" s="196">
        <v>0</v>
      </c>
      <c r="I822" s="627">
        <v>0</v>
      </c>
      <c r="J822" s="627">
        <v>0</v>
      </c>
      <c r="L822" s="196">
        <v>0</v>
      </c>
      <c r="M822" s="627">
        <v>0</v>
      </c>
      <c r="N822" s="627">
        <v>0</v>
      </c>
      <c r="P822" s="196">
        <v>0</v>
      </c>
      <c r="Q822" s="627">
        <v>0</v>
      </c>
      <c r="R822" s="627">
        <v>0</v>
      </c>
    </row>
    <row r="823" spans="3:18" s="610" customFormat="1">
      <c r="C823" s="611"/>
      <c r="D823" s="196">
        <v>1</v>
      </c>
      <c r="E823" s="627">
        <v>5</v>
      </c>
      <c r="F823" s="626">
        <v>5000000</v>
      </c>
      <c r="G823" s="611"/>
      <c r="H823" s="196">
        <v>1</v>
      </c>
      <c r="I823" s="627">
        <v>5</v>
      </c>
      <c r="J823" s="626">
        <v>5000000</v>
      </c>
      <c r="L823" s="196">
        <v>1</v>
      </c>
      <c r="M823" s="627">
        <v>5</v>
      </c>
      <c r="N823" s="626">
        <v>5000000</v>
      </c>
      <c r="P823" s="196">
        <v>1</v>
      </c>
      <c r="Q823" s="627">
        <v>6</v>
      </c>
      <c r="R823" s="626">
        <v>15000000</v>
      </c>
    </row>
    <row r="824" spans="3:18" s="610" customFormat="1">
      <c r="C824" s="611"/>
      <c r="D824" s="196">
        <v>2</v>
      </c>
      <c r="E824" s="627">
        <v>5</v>
      </c>
      <c r="F824" s="626">
        <v>5000000</v>
      </c>
      <c r="G824" s="611"/>
      <c r="H824" s="196">
        <v>2</v>
      </c>
      <c r="I824" s="627">
        <v>5</v>
      </c>
      <c r="J824" s="626">
        <v>5000000</v>
      </c>
      <c r="L824" s="196">
        <v>2</v>
      </c>
      <c r="M824" s="627">
        <v>5</v>
      </c>
      <c r="N824" s="626">
        <v>5000000</v>
      </c>
      <c r="P824" s="196">
        <v>2</v>
      </c>
      <c r="Q824" s="627">
        <v>5</v>
      </c>
      <c r="R824" s="626">
        <v>10000000</v>
      </c>
    </row>
    <row r="825" spans="3:18" s="610" customFormat="1">
      <c r="C825" s="611"/>
      <c r="D825" s="196">
        <v>3</v>
      </c>
      <c r="E825" s="627">
        <v>4</v>
      </c>
      <c r="F825" s="626">
        <v>4000000</v>
      </c>
      <c r="G825" s="611"/>
      <c r="H825" s="196">
        <v>3</v>
      </c>
      <c r="I825" s="627">
        <v>4</v>
      </c>
      <c r="J825" s="626">
        <v>4000000</v>
      </c>
      <c r="L825" s="196">
        <v>3</v>
      </c>
      <c r="M825" s="627">
        <v>4</v>
      </c>
      <c r="N825" s="626">
        <v>4000000</v>
      </c>
      <c r="P825" s="196">
        <v>3</v>
      </c>
      <c r="Q825" s="627">
        <v>3</v>
      </c>
      <c r="R825" s="626">
        <v>5000000</v>
      </c>
    </row>
    <row r="826" spans="3:18" s="610" customFormat="1">
      <c r="C826" s="611"/>
      <c r="D826" s="196">
        <v>4</v>
      </c>
      <c r="E826" s="627">
        <v>0</v>
      </c>
      <c r="F826" s="626">
        <v>0</v>
      </c>
      <c r="G826" s="611"/>
      <c r="H826" s="196">
        <v>4</v>
      </c>
      <c r="I826" s="627">
        <v>0</v>
      </c>
      <c r="J826" s="626">
        <v>0</v>
      </c>
      <c r="L826" s="196">
        <v>4</v>
      </c>
      <c r="M826" s="627">
        <v>0</v>
      </c>
      <c r="N826" s="626">
        <v>0</v>
      </c>
      <c r="P826" s="196">
        <v>4</v>
      </c>
      <c r="Q826" s="627">
        <v>0</v>
      </c>
      <c r="R826" s="626">
        <v>0</v>
      </c>
    </row>
    <row r="827" spans="3:18" s="610" customFormat="1">
      <c r="C827" s="611"/>
      <c r="D827" s="611" t="s">
        <v>8898</v>
      </c>
      <c r="E827" s="611"/>
      <c r="F827" s="611"/>
      <c r="G827" s="611"/>
      <c r="H827" s="611" t="s">
        <v>8899</v>
      </c>
      <c r="I827" s="611"/>
      <c r="J827" s="611"/>
      <c r="L827" s="611" t="s">
        <v>8900</v>
      </c>
      <c r="M827" s="611"/>
      <c r="N827" s="611"/>
      <c r="P827" s="611" t="s">
        <v>8901</v>
      </c>
      <c r="Q827" s="611"/>
      <c r="R827" s="611"/>
    </row>
    <row r="828" spans="3:18" s="610" customFormat="1">
      <c r="C828" s="611"/>
      <c r="D828" s="611"/>
      <c r="E828" s="611"/>
      <c r="F828" s="611"/>
      <c r="G828" s="611"/>
    </row>
    <row r="829" spans="3:18" s="610" customFormat="1">
      <c r="C829" s="88" t="s">
        <v>246</v>
      </c>
      <c r="D829" s="311" t="s">
        <v>12868</v>
      </c>
      <c r="E829" s="627" t="s">
        <v>13817</v>
      </c>
      <c r="F829" s="627" t="s">
        <v>748</v>
      </c>
      <c r="G829" s="611"/>
      <c r="H829" s="311" t="s">
        <v>238</v>
      </c>
      <c r="I829" s="627" t="s">
        <v>13817</v>
      </c>
      <c r="J829" s="627" t="s">
        <v>748</v>
      </c>
      <c r="L829" s="311" t="s">
        <v>239</v>
      </c>
      <c r="M829" s="627" t="s">
        <v>13817</v>
      </c>
      <c r="N829" s="627" t="s">
        <v>748</v>
      </c>
      <c r="P829" s="311" t="s">
        <v>240</v>
      </c>
      <c r="Q829" s="627" t="s">
        <v>13817</v>
      </c>
      <c r="R829" s="627" t="s">
        <v>748</v>
      </c>
    </row>
    <row r="830" spans="3:18" s="610" customFormat="1">
      <c r="C830" s="611"/>
      <c r="D830" s="196">
        <v>0</v>
      </c>
      <c r="E830" s="627">
        <v>0</v>
      </c>
      <c r="F830" s="627">
        <v>0</v>
      </c>
      <c r="G830" s="611"/>
      <c r="H830" s="196">
        <v>0</v>
      </c>
      <c r="I830" s="627">
        <v>0</v>
      </c>
      <c r="J830" s="627">
        <v>0</v>
      </c>
      <c r="L830" s="196">
        <v>0</v>
      </c>
      <c r="M830" s="627">
        <v>0</v>
      </c>
      <c r="N830" s="627">
        <v>0</v>
      </c>
      <c r="P830" s="196">
        <v>0</v>
      </c>
      <c r="Q830" s="627">
        <v>0</v>
      </c>
      <c r="R830" s="627">
        <v>0</v>
      </c>
    </row>
    <row r="831" spans="3:18" s="610" customFormat="1">
      <c r="C831" s="611"/>
      <c r="D831" s="196">
        <v>1</v>
      </c>
      <c r="E831" s="627">
        <v>5</v>
      </c>
      <c r="F831" s="626">
        <v>5000000</v>
      </c>
      <c r="G831" s="611"/>
      <c r="H831" s="196">
        <v>1</v>
      </c>
      <c r="I831" s="627">
        <v>5</v>
      </c>
      <c r="J831" s="626">
        <v>5000000</v>
      </c>
      <c r="L831" s="196">
        <v>1</v>
      </c>
      <c r="M831" s="627">
        <v>5</v>
      </c>
      <c r="N831" s="626">
        <v>5000000</v>
      </c>
      <c r="P831" s="196">
        <v>1</v>
      </c>
      <c r="Q831" s="627">
        <v>6</v>
      </c>
      <c r="R831" s="626">
        <v>15000000</v>
      </c>
    </row>
    <row r="832" spans="3:18" s="610" customFormat="1">
      <c r="C832" s="611"/>
      <c r="D832" s="196">
        <v>2</v>
      </c>
      <c r="E832" s="627">
        <v>5</v>
      </c>
      <c r="F832" s="626">
        <v>5000000</v>
      </c>
      <c r="G832" s="611"/>
      <c r="H832" s="196">
        <v>2</v>
      </c>
      <c r="I832" s="627">
        <v>5</v>
      </c>
      <c r="J832" s="626">
        <v>5000000</v>
      </c>
      <c r="L832" s="196">
        <v>2</v>
      </c>
      <c r="M832" s="627">
        <v>5</v>
      </c>
      <c r="N832" s="626">
        <v>5000000</v>
      </c>
      <c r="P832" s="196">
        <v>2</v>
      </c>
      <c r="Q832" s="627">
        <v>5</v>
      </c>
      <c r="R832" s="626">
        <v>10000000</v>
      </c>
    </row>
    <row r="833" spans="2:18" s="610" customFormat="1">
      <c r="C833" s="611"/>
      <c r="D833" s="196">
        <v>3</v>
      </c>
      <c r="E833" s="627">
        <v>4</v>
      </c>
      <c r="F833" s="626">
        <v>4000000</v>
      </c>
      <c r="G833" s="611"/>
      <c r="H833" s="196">
        <v>3</v>
      </c>
      <c r="I833" s="627">
        <v>4</v>
      </c>
      <c r="J833" s="626">
        <v>4000000</v>
      </c>
      <c r="L833" s="196">
        <v>3</v>
      </c>
      <c r="M833" s="627">
        <v>4</v>
      </c>
      <c r="N833" s="626">
        <v>4000000</v>
      </c>
      <c r="P833" s="196">
        <v>3</v>
      </c>
      <c r="Q833" s="627">
        <v>3</v>
      </c>
      <c r="R833" s="626">
        <v>5000000</v>
      </c>
    </row>
    <row r="834" spans="2:18" s="610" customFormat="1">
      <c r="C834" s="611"/>
      <c r="D834" s="196">
        <v>4</v>
      </c>
      <c r="E834" s="627">
        <v>0</v>
      </c>
      <c r="F834" s="626">
        <v>0</v>
      </c>
      <c r="G834" s="611"/>
      <c r="H834" s="196">
        <v>4</v>
      </c>
      <c r="I834" s="627">
        <v>0</v>
      </c>
      <c r="J834" s="626">
        <v>0</v>
      </c>
      <c r="L834" s="196">
        <v>4</v>
      </c>
      <c r="M834" s="627">
        <v>0</v>
      </c>
      <c r="N834" s="626">
        <v>0</v>
      </c>
      <c r="P834" s="196">
        <v>4</v>
      </c>
      <c r="Q834" s="627">
        <v>0</v>
      </c>
      <c r="R834" s="626">
        <v>0</v>
      </c>
    </row>
    <row r="835" spans="2:18" s="610" customFormat="1">
      <c r="C835" s="611"/>
      <c r="D835" s="611" t="s">
        <v>8894</v>
      </c>
      <c r="E835" s="611"/>
      <c r="F835" s="611"/>
      <c r="G835" s="611"/>
      <c r="H835" s="611" t="s">
        <v>8895</v>
      </c>
      <c r="I835" s="611"/>
      <c r="J835" s="611"/>
      <c r="L835" s="611" t="s">
        <v>8896</v>
      </c>
      <c r="M835" s="611"/>
      <c r="N835" s="611"/>
      <c r="P835" s="611" t="s">
        <v>8897</v>
      </c>
      <c r="Q835" s="611"/>
      <c r="R835" s="611"/>
    </row>
    <row r="836" spans="2:18">
      <c r="D836" s="7"/>
      <c r="E836" s="7"/>
      <c r="F836" s="7"/>
      <c r="G836" s="7"/>
    </row>
    <row r="837" spans="2:18">
      <c r="D837" s="7"/>
      <c r="E837" s="7"/>
      <c r="F837" s="7"/>
      <c r="G837" s="7"/>
    </row>
    <row r="838" spans="2:18" s="11" customFormat="1">
      <c r="B838" s="29" t="s">
        <v>11247</v>
      </c>
    </row>
    <row r="840" spans="2:18">
      <c r="C840" s="88" t="s">
        <v>11248</v>
      </c>
      <c r="G840" s="123" t="s">
        <v>13817</v>
      </c>
      <c r="H840" s="123" t="s">
        <v>748</v>
      </c>
      <c r="J840" s="610"/>
      <c r="K840" s="627" t="s">
        <v>241</v>
      </c>
      <c r="L840" s="627" t="s">
        <v>242</v>
      </c>
      <c r="M840" s="627" t="s">
        <v>4353</v>
      </c>
      <c r="N840" s="627" t="s">
        <v>243</v>
      </c>
    </row>
    <row r="841" spans="2:18">
      <c r="C841" s="6"/>
      <c r="D841" s="196" t="s">
        <v>785</v>
      </c>
      <c r="F841" s="196" t="s">
        <v>785</v>
      </c>
      <c r="G841" s="123">
        <v>0</v>
      </c>
      <c r="H841" s="123">
        <v>0</v>
      </c>
      <c r="J841" s="196" t="s">
        <v>785</v>
      </c>
      <c r="K841" s="625">
        <v>0.95</v>
      </c>
      <c r="L841" s="625">
        <v>0.95</v>
      </c>
      <c r="M841" s="625">
        <v>0.95</v>
      </c>
      <c r="N841" s="625">
        <v>0.95</v>
      </c>
    </row>
    <row r="842" spans="2:18">
      <c r="C842" s="6"/>
      <c r="D842" s="196" t="s">
        <v>384</v>
      </c>
      <c r="F842" s="196" t="s">
        <v>384</v>
      </c>
      <c r="G842" s="123">
        <v>2</v>
      </c>
      <c r="H842" s="118">
        <v>8000000</v>
      </c>
      <c r="J842" s="196" t="s">
        <v>384</v>
      </c>
      <c r="K842" s="625">
        <v>1.2</v>
      </c>
      <c r="L842" s="625">
        <v>1</v>
      </c>
      <c r="M842" s="625">
        <v>1</v>
      </c>
      <c r="N842" s="625">
        <v>1</v>
      </c>
    </row>
    <row r="843" spans="2:18">
      <c r="C843" s="6"/>
      <c r="D843" s="196" t="s">
        <v>385</v>
      </c>
      <c r="F843" s="196" t="s">
        <v>385</v>
      </c>
      <c r="G843" s="123">
        <v>2</v>
      </c>
      <c r="H843" s="626">
        <v>8000000</v>
      </c>
      <c r="J843" s="196" t="s">
        <v>385</v>
      </c>
      <c r="K843" s="625">
        <v>1</v>
      </c>
      <c r="L843" s="625">
        <v>1.2</v>
      </c>
      <c r="M843" s="625">
        <v>1</v>
      </c>
      <c r="N843" s="625">
        <v>1</v>
      </c>
    </row>
    <row r="844" spans="2:18">
      <c r="C844" s="6"/>
      <c r="D844" s="196" t="s">
        <v>386</v>
      </c>
      <c r="F844" s="196" t="s">
        <v>386</v>
      </c>
      <c r="G844" s="123">
        <v>2</v>
      </c>
      <c r="H844" s="626">
        <v>8000000</v>
      </c>
      <c r="J844" s="196" t="s">
        <v>386</v>
      </c>
      <c r="K844" s="625">
        <v>1</v>
      </c>
      <c r="L844" s="625">
        <v>1</v>
      </c>
      <c r="M844" s="625">
        <v>1.2</v>
      </c>
      <c r="N844" s="625">
        <v>1</v>
      </c>
    </row>
    <row r="845" spans="2:18">
      <c r="C845" s="6"/>
      <c r="D845" s="196" t="s">
        <v>387</v>
      </c>
      <c r="F845" s="196" t="s">
        <v>387</v>
      </c>
      <c r="G845" s="123">
        <v>2</v>
      </c>
      <c r="H845" s="626">
        <v>8000000</v>
      </c>
      <c r="J845" s="196" t="s">
        <v>387</v>
      </c>
      <c r="K845" s="625">
        <v>1</v>
      </c>
      <c r="L845" s="625">
        <v>1</v>
      </c>
      <c r="M845" s="625">
        <v>1</v>
      </c>
      <c r="N845" s="625">
        <v>1.2</v>
      </c>
    </row>
    <row r="846" spans="2:18">
      <c r="C846" s="6"/>
      <c r="D846" s="196" t="s">
        <v>388</v>
      </c>
      <c r="F846" s="196" t="s">
        <v>388</v>
      </c>
      <c r="G846" s="123">
        <v>3</v>
      </c>
      <c r="H846" s="118">
        <v>12000000</v>
      </c>
      <c r="J846" s="196" t="s">
        <v>388</v>
      </c>
      <c r="K846" s="625">
        <v>1.05</v>
      </c>
      <c r="L846" s="625">
        <v>1.05</v>
      </c>
      <c r="M846" s="625">
        <v>1.05</v>
      </c>
      <c r="N846" s="625">
        <v>1.05</v>
      </c>
    </row>
    <row r="847" spans="2:18">
      <c r="C847" s="6"/>
      <c r="D847" s="196" t="s">
        <v>389</v>
      </c>
      <c r="F847" s="196" t="s">
        <v>389</v>
      </c>
      <c r="G847" s="123">
        <v>4</v>
      </c>
      <c r="H847" s="626">
        <v>16000000</v>
      </c>
      <c r="J847" s="196" t="s">
        <v>389</v>
      </c>
      <c r="K847" s="625">
        <v>1.1000000000000001</v>
      </c>
      <c r="L847" s="625">
        <v>1.1000000000000001</v>
      </c>
      <c r="M847" s="625">
        <v>1.1000000000000001</v>
      </c>
      <c r="N847" s="625">
        <v>1.1000000000000001</v>
      </c>
    </row>
    <row r="848" spans="2:18">
      <c r="C848" s="6"/>
      <c r="D848" s="196" t="s">
        <v>390</v>
      </c>
      <c r="F848" s="196" t="s">
        <v>390</v>
      </c>
      <c r="G848" s="123">
        <v>5</v>
      </c>
      <c r="H848" s="626">
        <v>20000000</v>
      </c>
      <c r="J848" s="196" t="s">
        <v>390</v>
      </c>
      <c r="K848" s="625">
        <v>1.1499999999999999</v>
      </c>
      <c r="L848" s="625">
        <v>1.1499999999999999</v>
      </c>
      <c r="M848" s="625">
        <v>1.1499999999999999</v>
      </c>
      <c r="N848" s="625">
        <v>1.1499999999999999</v>
      </c>
    </row>
    <row r="849" spans="2:26">
      <c r="C849" s="6"/>
      <c r="D849" s="196" t="s">
        <v>9053</v>
      </c>
      <c r="F849" s="196" t="s">
        <v>9053</v>
      </c>
      <c r="G849" s="123">
        <v>0</v>
      </c>
      <c r="H849" s="118">
        <v>0</v>
      </c>
      <c r="J849" s="196" t="s">
        <v>9053</v>
      </c>
      <c r="K849" s="625">
        <v>0.95</v>
      </c>
      <c r="L849" s="625">
        <v>0.95</v>
      </c>
      <c r="M849" s="625">
        <v>0.95</v>
      </c>
      <c r="N849" s="625">
        <v>0.95</v>
      </c>
    </row>
    <row r="850" spans="2:26">
      <c r="B850" s="88"/>
      <c r="D850" s="7" t="s">
        <v>788</v>
      </c>
      <c r="F850" s="7" t="s">
        <v>787</v>
      </c>
      <c r="J850" s="611" t="s">
        <v>11246</v>
      </c>
      <c r="K850" s="610"/>
      <c r="L850" s="610"/>
    </row>
    <row r="852" spans="2:26" s="11" customFormat="1">
      <c r="B852" s="29" t="s">
        <v>1303</v>
      </c>
    </row>
    <row r="854" spans="2:26">
      <c r="C854" s="88" t="s">
        <v>1295</v>
      </c>
      <c r="G854" s="123" t="s">
        <v>13817</v>
      </c>
      <c r="H854" s="123" t="s">
        <v>748</v>
      </c>
      <c r="K854" s="148" t="s">
        <v>3310</v>
      </c>
      <c r="M854" s="610"/>
      <c r="N854" s="148" t="s">
        <v>13226</v>
      </c>
      <c r="O854" s="148" t="s">
        <v>13751</v>
      </c>
    </row>
    <row r="855" spans="2:26">
      <c r="C855" s="6"/>
      <c r="D855" s="196" t="s">
        <v>1296</v>
      </c>
      <c r="F855" s="196" t="s">
        <v>1296</v>
      </c>
      <c r="G855" s="123">
        <v>0</v>
      </c>
      <c r="H855" s="118">
        <v>150000</v>
      </c>
      <c r="J855" s="196" t="s">
        <v>1296</v>
      </c>
      <c r="K855" s="116">
        <v>0.01</v>
      </c>
      <c r="M855" s="196" t="s">
        <v>1296</v>
      </c>
      <c r="N855" s="627">
        <v>0</v>
      </c>
      <c r="O855" s="627">
        <v>0</v>
      </c>
      <c r="P855" s="610">
        <v>0</v>
      </c>
    </row>
    <row r="856" spans="2:26">
      <c r="C856" s="6"/>
      <c r="D856" s="196" t="s">
        <v>1297</v>
      </c>
      <c r="F856" s="196" t="s">
        <v>1297</v>
      </c>
      <c r="G856" s="123">
        <v>1</v>
      </c>
      <c r="H856" s="118">
        <v>300000</v>
      </c>
      <c r="J856" s="196" t="s">
        <v>1297</v>
      </c>
      <c r="K856" s="116">
        <v>0.03</v>
      </c>
      <c r="M856" s="196" t="s">
        <v>1297</v>
      </c>
      <c r="N856" s="627">
        <v>0</v>
      </c>
      <c r="O856" s="627">
        <v>1</v>
      </c>
      <c r="P856" s="610">
        <v>1</v>
      </c>
    </row>
    <row r="857" spans="2:26">
      <c r="C857" s="6"/>
      <c r="D857" s="196" t="s">
        <v>1298</v>
      </c>
      <c r="F857" s="196" t="s">
        <v>1298</v>
      </c>
      <c r="G857" s="123">
        <v>3</v>
      </c>
      <c r="H857" s="118">
        <v>500000</v>
      </c>
      <c r="J857" s="196" t="s">
        <v>1298</v>
      </c>
      <c r="K857" s="116">
        <v>0.06</v>
      </c>
      <c r="M857" s="196" t="s">
        <v>1298</v>
      </c>
      <c r="N857" s="627">
        <v>1</v>
      </c>
      <c r="O857" s="627">
        <v>0</v>
      </c>
      <c r="P857" s="610">
        <v>1</v>
      </c>
    </row>
    <row r="858" spans="2:26">
      <c r="C858" s="6"/>
      <c r="D858" s="196" t="s">
        <v>1299</v>
      </c>
      <c r="F858" s="196" t="s">
        <v>1299</v>
      </c>
      <c r="G858" s="123">
        <v>6</v>
      </c>
      <c r="H858" s="118">
        <v>750000</v>
      </c>
      <c r="J858" s="196" t="s">
        <v>1299</v>
      </c>
      <c r="K858" s="116">
        <v>9.9999999999999992E-2</v>
      </c>
      <c r="M858" s="196" t="s">
        <v>1299</v>
      </c>
      <c r="N858" s="627">
        <v>1</v>
      </c>
      <c r="O858" s="627">
        <v>1</v>
      </c>
      <c r="P858" s="610">
        <v>2</v>
      </c>
    </row>
    <row r="859" spans="2:26">
      <c r="C859" s="6"/>
      <c r="D859" s="196" t="s">
        <v>1300</v>
      </c>
      <c r="F859" s="196" t="s">
        <v>1300</v>
      </c>
      <c r="G859" s="123">
        <v>10</v>
      </c>
      <c r="H859" s="118">
        <v>1000000</v>
      </c>
      <c r="J859" s="196" t="s">
        <v>1300</v>
      </c>
      <c r="K859" s="116">
        <v>0.15</v>
      </c>
      <c r="M859" s="196" t="s">
        <v>1300</v>
      </c>
      <c r="N859" s="627">
        <v>2</v>
      </c>
      <c r="O859" s="627">
        <v>1</v>
      </c>
      <c r="P859" s="610">
        <v>3</v>
      </c>
    </row>
    <row r="860" spans="2:26">
      <c r="B860" s="88"/>
      <c r="D860" s="7" t="s">
        <v>1301</v>
      </c>
      <c r="F860" s="7" t="s">
        <v>1302</v>
      </c>
      <c r="J860" s="7" t="s">
        <v>3309</v>
      </c>
      <c r="M860" s="611" t="s">
        <v>13750</v>
      </c>
      <c r="N860" s="610"/>
    </row>
    <row r="861" spans="2:26">
      <c r="B861" s="88"/>
      <c r="D861" s="7"/>
      <c r="F861" s="7"/>
      <c r="J861" s="7"/>
    </row>
    <row r="862" spans="2:26" s="11" customFormat="1">
      <c r="B862" s="29" t="s">
        <v>3674</v>
      </c>
    </row>
    <row r="864" spans="2:26">
      <c r="C864" s="88" t="s">
        <v>13818</v>
      </c>
      <c r="E864" s="123" t="s">
        <v>12868</v>
      </c>
      <c r="F864" s="123" t="s">
        <v>238</v>
      </c>
      <c r="G864" s="123" t="s">
        <v>239</v>
      </c>
      <c r="H864" s="123" t="s">
        <v>240</v>
      </c>
      <c r="K864" s="123" t="s">
        <v>12868</v>
      </c>
      <c r="L864" s="123" t="s">
        <v>238</v>
      </c>
      <c r="M864" s="123" t="s">
        <v>239</v>
      </c>
      <c r="N864" s="123" t="s">
        <v>240</v>
      </c>
      <c r="Q864" s="123" t="s">
        <v>12868</v>
      </c>
      <c r="R864" s="123" t="s">
        <v>238</v>
      </c>
      <c r="S864" s="123" t="s">
        <v>239</v>
      </c>
      <c r="T864" s="123" t="s">
        <v>240</v>
      </c>
      <c r="W864" s="123" t="s">
        <v>12868</v>
      </c>
      <c r="X864" s="123" t="s">
        <v>238</v>
      </c>
      <c r="Y864" s="123" t="s">
        <v>239</v>
      </c>
      <c r="Z864" s="123" t="s">
        <v>240</v>
      </c>
    </row>
    <row r="865" spans="4:26">
      <c r="D865" s="196" t="s">
        <v>350</v>
      </c>
      <c r="E865" s="116">
        <v>0</v>
      </c>
      <c r="F865" s="625">
        <v>0</v>
      </c>
      <c r="G865" s="625">
        <v>0</v>
      </c>
      <c r="H865" s="625">
        <v>0</v>
      </c>
      <c r="J865" s="196" t="s">
        <v>350</v>
      </c>
      <c r="K865" s="116">
        <v>0</v>
      </c>
      <c r="L865" s="116">
        <v>0</v>
      </c>
      <c r="M865" s="116">
        <v>0</v>
      </c>
      <c r="N865" s="116">
        <v>0</v>
      </c>
      <c r="P865" s="196" t="s">
        <v>350</v>
      </c>
      <c r="Q865" s="116">
        <v>0</v>
      </c>
      <c r="R865" s="116">
        <v>0</v>
      </c>
      <c r="S865" s="116">
        <v>0</v>
      </c>
      <c r="T865" s="116">
        <v>0</v>
      </c>
      <c r="V865" s="196" t="s">
        <v>350</v>
      </c>
      <c r="W865" s="116">
        <v>0</v>
      </c>
      <c r="X865" s="116">
        <v>0</v>
      </c>
      <c r="Y865" s="116">
        <v>0</v>
      </c>
      <c r="Z865" s="116">
        <v>0</v>
      </c>
    </row>
    <row r="866" spans="4:26">
      <c r="D866" s="196" t="s">
        <v>352</v>
      </c>
      <c r="E866" s="116">
        <v>0.62857142857142856</v>
      </c>
      <c r="F866" s="116">
        <v>0.54285714285714282</v>
      </c>
      <c r="G866" s="116">
        <v>0.71428571428571419</v>
      </c>
      <c r="H866" s="116">
        <v>0.62857142857142856</v>
      </c>
      <c r="J866" s="196" t="s">
        <v>352</v>
      </c>
      <c r="K866" s="116">
        <v>0.6</v>
      </c>
      <c r="L866" s="116">
        <v>0.6</v>
      </c>
      <c r="M866" s="116">
        <v>0.61428571428571432</v>
      </c>
      <c r="N866" s="116">
        <v>0.6</v>
      </c>
      <c r="P866" s="196" t="s">
        <v>352</v>
      </c>
      <c r="Q866" s="116">
        <v>0.52857142857142858</v>
      </c>
      <c r="R866" s="116">
        <v>0.44285714285714278</v>
      </c>
      <c r="S866" s="116">
        <v>0.61428571428571421</v>
      </c>
      <c r="T866" s="116">
        <v>0.52857142857142858</v>
      </c>
      <c r="V866" s="196" t="s">
        <v>352</v>
      </c>
      <c r="W866" s="116">
        <v>0.72857142857142865</v>
      </c>
      <c r="X866" s="116">
        <v>0.64285714285714279</v>
      </c>
      <c r="Y866" s="116">
        <v>0.81428571428571428</v>
      </c>
      <c r="Z866" s="116">
        <v>0.72857142857142865</v>
      </c>
    </row>
    <row r="867" spans="4:26">
      <c r="D867" s="196" t="s">
        <v>351</v>
      </c>
      <c r="E867" s="116">
        <v>0.72857142857142843</v>
      </c>
      <c r="F867" s="116">
        <v>0.72857142857142843</v>
      </c>
      <c r="G867" s="116">
        <v>0.72857142857142843</v>
      </c>
      <c r="H867" s="116">
        <v>0.72857142857142843</v>
      </c>
      <c r="J867" s="196" t="s">
        <v>351</v>
      </c>
      <c r="K867" s="116">
        <v>0.62857142857142856</v>
      </c>
      <c r="L867" s="116">
        <v>0.62857142857142856</v>
      </c>
      <c r="M867" s="116">
        <v>0.62857142857142856</v>
      </c>
      <c r="N867" s="116">
        <v>0.62857142857142856</v>
      </c>
      <c r="P867" s="196" t="s">
        <v>351</v>
      </c>
      <c r="Q867" s="116">
        <v>0.42857142857142849</v>
      </c>
      <c r="R867" s="116">
        <v>0.42857142857142849</v>
      </c>
      <c r="S867" s="116">
        <v>0.42857142857142849</v>
      </c>
      <c r="T867" s="116">
        <v>0.42857142857142849</v>
      </c>
      <c r="V867" s="196" t="s">
        <v>351</v>
      </c>
      <c r="W867" s="116">
        <v>0.62857142857142856</v>
      </c>
      <c r="X867" s="116">
        <v>0.62857142857142856</v>
      </c>
      <c r="Y867" s="116">
        <v>0.62857142857142856</v>
      </c>
      <c r="Z867" s="116">
        <v>0.62857142857142856</v>
      </c>
    </row>
    <row r="868" spans="4:26">
      <c r="D868" s="196" t="s">
        <v>353</v>
      </c>
      <c r="E868" s="116">
        <v>0.72857142857142843</v>
      </c>
      <c r="F868" s="116">
        <v>0.72857142857142843</v>
      </c>
      <c r="G868" s="116">
        <v>0.72857142857142843</v>
      </c>
      <c r="H868" s="116">
        <v>0.72857142857142843</v>
      </c>
      <c r="J868" s="196" t="s">
        <v>353</v>
      </c>
      <c r="K868" s="116">
        <v>0.6</v>
      </c>
      <c r="L868" s="116">
        <v>0.52857142857142858</v>
      </c>
      <c r="M868" s="116">
        <v>0.52857142857142858</v>
      </c>
      <c r="N868" s="116">
        <v>0.6</v>
      </c>
      <c r="P868" s="196" t="s">
        <v>353</v>
      </c>
      <c r="Q868" s="116">
        <v>0.42857142857142849</v>
      </c>
      <c r="R868" s="116">
        <v>0.42857142857142849</v>
      </c>
      <c r="S868" s="116">
        <v>0.42857142857142849</v>
      </c>
      <c r="T868" s="116">
        <v>0.42857142857142849</v>
      </c>
      <c r="V868" s="196" t="s">
        <v>353</v>
      </c>
      <c r="W868" s="116">
        <v>0.52857142857142858</v>
      </c>
      <c r="X868" s="116">
        <v>0.52857142857142858</v>
      </c>
      <c r="Y868" s="116">
        <v>0.52857142857142858</v>
      </c>
      <c r="Z868" s="116">
        <v>0.52857142857142858</v>
      </c>
    </row>
    <row r="869" spans="4:26">
      <c r="D869" s="196" t="s">
        <v>584</v>
      </c>
      <c r="E869" s="116">
        <v>0.87142857142857144</v>
      </c>
      <c r="F869" s="116">
        <v>0.87142857142857144</v>
      </c>
      <c r="G869" s="116">
        <v>0.87142857142857144</v>
      </c>
      <c r="H869" s="116">
        <v>0.91428571428571415</v>
      </c>
      <c r="J869" s="196" t="s">
        <v>584</v>
      </c>
      <c r="K869" s="116">
        <v>0.67142857142857137</v>
      </c>
      <c r="L869" s="116">
        <v>0.67142857142857137</v>
      </c>
      <c r="M869" s="116">
        <v>0.67142857142857137</v>
      </c>
      <c r="N869" s="116">
        <v>0.71428571428571419</v>
      </c>
      <c r="P869" s="196" t="s">
        <v>584</v>
      </c>
      <c r="Q869" s="116">
        <v>0.67142857142857149</v>
      </c>
      <c r="R869" s="116">
        <v>0.67142857142857149</v>
      </c>
      <c r="S869" s="116">
        <v>0.67142857142857149</v>
      </c>
      <c r="T869" s="116">
        <v>0.7142857142857143</v>
      </c>
      <c r="V869" s="196" t="s">
        <v>584</v>
      </c>
      <c r="W869" s="116">
        <v>0.60000000000000009</v>
      </c>
      <c r="X869" s="116">
        <v>0.60000000000000009</v>
      </c>
      <c r="Y869" s="116">
        <v>0.60000000000000009</v>
      </c>
      <c r="Z869" s="116">
        <v>0.60000000000000009</v>
      </c>
    </row>
    <row r="870" spans="4:26">
      <c r="D870" s="196" t="s">
        <v>2107</v>
      </c>
      <c r="E870" s="116">
        <v>0.87142857142857144</v>
      </c>
      <c r="F870" s="116">
        <v>0.87142857142857144</v>
      </c>
      <c r="G870" s="116">
        <v>0.87142857142857144</v>
      </c>
      <c r="H870" s="116">
        <v>0.91428571428571415</v>
      </c>
      <c r="J870" s="196" t="s">
        <v>2107</v>
      </c>
      <c r="K870" s="116">
        <v>0.5714285714285714</v>
      </c>
      <c r="L870" s="116">
        <v>0.5714285714285714</v>
      </c>
      <c r="M870" s="116">
        <v>0.5714285714285714</v>
      </c>
      <c r="N870" s="116">
        <v>0.61428571428571432</v>
      </c>
      <c r="P870" s="196" t="s">
        <v>2107</v>
      </c>
      <c r="Q870" s="116">
        <v>0.5714285714285714</v>
      </c>
      <c r="R870" s="116">
        <v>0.5714285714285714</v>
      </c>
      <c r="S870" s="116">
        <v>0.5714285714285714</v>
      </c>
      <c r="T870" s="116">
        <v>0.61428571428571421</v>
      </c>
      <c r="V870" s="196" t="s">
        <v>2107</v>
      </c>
      <c r="W870" s="116">
        <v>0.77142857142857135</v>
      </c>
      <c r="X870" s="116">
        <v>0.77142857142857135</v>
      </c>
      <c r="Y870" s="116">
        <v>0.77142857142857135</v>
      </c>
      <c r="Z870" s="116">
        <v>0.81428571428571428</v>
      </c>
    </row>
    <row r="871" spans="4:26">
      <c r="D871" s="196" t="s">
        <v>2108</v>
      </c>
      <c r="E871" s="116">
        <v>0.72857142857142843</v>
      </c>
      <c r="F871" s="116">
        <v>0.72857142857142843</v>
      </c>
      <c r="G871" s="116">
        <v>0.72857142857142843</v>
      </c>
      <c r="H871" s="116">
        <v>0.77142857142857135</v>
      </c>
      <c r="J871" s="196" t="s">
        <v>2108</v>
      </c>
      <c r="K871" s="116">
        <v>0.6</v>
      </c>
      <c r="L871" s="116">
        <v>0.52857142857142858</v>
      </c>
      <c r="M871" s="116">
        <v>0.52857142857142858</v>
      </c>
      <c r="N871" s="116">
        <v>0.5714285714285714</v>
      </c>
      <c r="P871" s="196" t="s">
        <v>2108</v>
      </c>
      <c r="Q871" s="116">
        <v>0.42857142857142849</v>
      </c>
      <c r="R871" s="116">
        <v>0.42857142857142849</v>
      </c>
      <c r="S871" s="116">
        <v>0.42857142857142849</v>
      </c>
      <c r="T871" s="116">
        <v>0.47142857142857142</v>
      </c>
      <c r="V871" s="196" t="s">
        <v>2108</v>
      </c>
      <c r="W871" s="116">
        <v>0.62857142857142856</v>
      </c>
      <c r="X871" s="116">
        <v>0.62857142857142856</v>
      </c>
      <c r="Y871" s="116">
        <v>0.62857142857142856</v>
      </c>
      <c r="Z871" s="116">
        <v>0.67142857142857149</v>
      </c>
    </row>
    <row r="872" spans="4:26">
      <c r="D872" s="196" t="s">
        <v>354</v>
      </c>
      <c r="E872" s="116">
        <v>0.68571428571428572</v>
      </c>
      <c r="F872" s="116">
        <v>0.81428571428571428</v>
      </c>
      <c r="G872" s="116">
        <v>0.64285714285714279</v>
      </c>
      <c r="H872" s="116">
        <v>0.64285714285714279</v>
      </c>
      <c r="J872" s="196" t="s">
        <v>354</v>
      </c>
      <c r="K872" s="116">
        <v>0.58571428571428563</v>
      </c>
      <c r="L872" s="116">
        <v>0.71428571428571419</v>
      </c>
      <c r="M872" s="116">
        <v>0.54285714285714282</v>
      </c>
      <c r="N872" s="116">
        <v>0.6</v>
      </c>
      <c r="P872" s="196" t="s">
        <v>354</v>
      </c>
      <c r="Q872" s="116">
        <v>0.2857142857142857</v>
      </c>
      <c r="R872" s="116">
        <v>0.41428571428571426</v>
      </c>
      <c r="S872" s="116">
        <v>0.24285714285714285</v>
      </c>
      <c r="T872" s="116">
        <v>0.24285714285714285</v>
      </c>
      <c r="V872" s="196" t="s">
        <v>354</v>
      </c>
      <c r="W872" s="116">
        <v>0.38571428571428568</v>
      </c>
      <c r="X872" s="116">
        <v>0.51428571428571435</v>
      </c>
      <c r="Y872" s="116">
        <v>0.34285714285714286</v>
      </c>
      <c r="Z872" s="116">
        <v>0.34285714285714286</v>
      </c>
    </row>
    <row r="873" spans="4:26">
      <c r="D873" s="196" t="s">
        <v>355</v>
      </c>
      <c r="E873" s="116">
        <v>0.68571428571428572</v>
      </c>
      <c r="F873" s="116">
        <v>0.81428571428571428</v>
      </c>
      <c r="G873" s="116">
        <v>0.68571428571428572</v>
      </c>
      <c r="H873" s="116">
        <v>0.64285714285714279</v>
      </c>
      <c r="J873" s="196" t="s">
        <v>355</v>
      </c>
      <c r="K873" s="116">
        <v>0.7857142857142857</v>
      </c>
      <c r="L873" s="116">
        <v>0.91428571428571415</v>
      </c>
      <c r="M873" s="116">
        <v>0.7857142857142857</v>
      </c>
      <c r="N873" s="116">
        <v>0.74285714285714277</v>
      </c>
      <c r="P873" s="196" t="s">
        <v>355</v>
      </c>
      <c r="Q873" s="116">
        <v>0.18571428571428569</v>
      </c>
      <c r="R873" s="116">
        <v>0.31428571428571433</v>
      </c>
      <c r="S873" s="116">
        <v>0.18571428571428569</v>
      </c>
      <c r="T873" s="116">
        <v>0.14285714285714285</v>
      </c>
      <c r="V873" s="196" t="s">
        <v>355</v>
      </c>
      <c r="W873" s="116">
        <v>0.38571428571428568</v>
      </c>
      <c r="X873" s="116">
        <v>0.51428571428571435</v>
      </c>
      <c r="Y873" s="116">
        <v>0.38571428571428568</v>
      </c>
      <c r="Z873" s="116">
        <v>0.34285714285714286</v>
      </c>
    </row>
    <row r="874" spans="4:26">
      <c r="D874" s="196" t="s">
        <v>3765</v>
      </c>
      <c r="E874" s="116">
        <v>0.58571428571428563</v>
      </c>
      <c r="F874" s="116">
        <v>0.71428571428571419</v>
      </c>
      <c r="G874" s="116">
        <v>0.62857142857142856</v>
      </c>
      <c r="H874" s="116">
        <v>0.54285714285714282</v>
      </c>
      <c r="J874" s="196" t="s">
        <v>3765</v>
      </c>
      <c r="K874" s="116">
        <v>0.88571428571428568</v>
      </c>
      <c r="L874" s="116">
        <v>0.99</v>
      </c>
      <c r="M874" s="116">
        <v>0.9285714285714286</v>
      </c>
      <c r="N874" s="116">
        <v>0.84285714285714275</v>
      </c>
      <c r="P874" s="196" t="s">
        <v>3765</v>
      </c>
      <c r="Q874" s="116">
        <v>0.18571428571428569</v>
      </c>
      <c r="R874" s="116">
        <v>0.31428571428571433</v>
      </c>
      <c r="S874" s="116">
        <v>0.22857142857142856</v>
      </c>
      <c r="T874" s="116">
        <v>0.14285714285714285</v>
      </c>
      <c r="V874" s="196" t="s">
        <v>3765</v>
      </c>
      <c r="W874" s="116">
        <v>0.38571428571428568</v>
      </c>
      <c r="X874" s="116">
        <v>0.51428571428571435</v>
      </c>
      <c r="Y874" s="116">
        <v>0.4285714285714286</v>
      </c>
      <c r="Z874" s="116">
        <v>0.34285714285714286</v>
      </c>
    </row>
    <row r="875" spans="4:26">
      <c r="D875" s="196" t="s">
        <v>3766</v>
      </c>
      <c r="E875" s="116">
        <v>0.61428571428571432</v>
      </c>
      <c r="F875" s="116">
        <v>0.61428571428571432</v>
      </c>
      <c r="G875" s="116">
        <v>0.61428571428571432</v>
      </c>
      <c r="H875" s="116">
        <v>0.61428571428571432</v>
      </c>
      <c r="J875" s="196" t="s">
        <v>3766</v>
      </c>
      <c r="K875" s="116">
        <v>0.61428571428571432</v>
      </c>
      <c r="L875" s="116">
        <v>0.61428571428571432</v>
      </c>
      <c r="M875" s="116">
        <v>0.61428571428571432</v>
      </c>
      <c r="N875" s="116">
        <v>0.61428571428571432</v>
      </c>
      <c r="P875" s="196" t="s">
        <v>3766</v>
      </c>
      <c r="Q875" s="116">
        <v>0.31428571428571433</v>
      </c>
      <c r="R875" s="116">
        <v>0.31428571428571433</v>
      </c>
      <c r="S875" s="116">
        <v>0.31428571428571433</v>
      </c>
      <c r="T875" s="116">
        <v>0.31428571428571433</v>
      </c>
      <c r="V875" s="196" t="s">
        <v>3766</v>
      </c>
      <c r="W875" s="116">
        <v>0.75</v>
      </c>
      <c r="X875" s="116">
        <v>0.75</v>
      </c>
      <c r="Y875" s="116">
        <v>0.75</v>
      </c>
      <c r="Z875" s="116">
        <v>0.75</v>
      </c>
    </row>
    <row r="876" spans="4:26">
      <c r="D876" s="196" t="s">
        <v>4417</v>
      </c>
      <c r="E876" s="116">
        <v>0.72857142857142843</v>
      </c>
      <c r="F876" s="116">
        <v>0.68571428571428572</v>
      </c>
      <c r="G876" s="116">
        <v>0.77142857142857135</v>
      </c>
      <c r="H876" s="116">
        <v>0.77142857142857135</v>
      </c>
      <c r="J876" s="196" t="s">
        <v>4417</v>
      </c>
      <c r="K876" s="116">
        <v>0.62857142857142856</v>
      </c>
      <c r="L876" s="116">
        <v>0.58571428571428563</v>
      </c>
      <c r="M876" s="116">
        <v>0.67142857142857137</v>
      </c>
      <c r="N876" s="116">
        <v>0.67142857142857137</v>
      </c>
      <c r="P876" s="196" t="s">
        <v>4417</v>
      </c>
      <c r="Q876" s="116">
        <v>0.62857142857142867</v>
      </c>
      <c r="R876" s="116">
        <v>0.58571428571428563</v>
      </c>
      <c r="S876" s="116">
        <v>0.67142857142857149</v>
      </c>
      <c r="T876" s="116">
        <v>0.67142857142857149</v>
      </c>
      <c r="V876" s="196" t="s">
        <v>4417</v>
      </c>
      <c r="W876" s="116">
        <v>0.4285714285714286</v>
      </c>
      <c r="X876" s="116">
        <v>0.38571428571428568</v>
      </c>
      <c r="Y876" s="116">
        <v>0.47142857142857142</v>
      </c>
      <c r="Z876" s="116">
        <v>0.47142857142857142</v>
      </c>
    </row>
    <row r="877" spans="4:26">
      <c r="D877" s="196" t="s">
        <v>4418</v>
      </c>
      <c r="E877" s="116">
        <v>0.82857142857142851</v>
      </c>
      <c r="F877" s="116">
        <v>0.87142857142857144</v>
      </c>
      <c r="G877" s="116">
        <v>0.82857142857142851</v>
      </c>
      <c r="H877" s="116">
        <v>0.7857142857142857</v>
      </c>
      <c r="J877" s="196" t="s">
        <v>4418</v>
      </c>
      <c r="K877" s="116">
        <v>0.72857142857142843</v>
      </c>
      <c r="L877" s="116">
        <v>0.77142857142857135</v>
      </c>
      <c r="M877" s="116">
        <v>0.72857142857142843</v>
      </c>
      <c r="N877" s="116">
        <v>0.68571428571428572</v>
      </c>
      <c r="P877" s="196" t="s">
        <v>4418</v>
      </c>
      <c r="Q877" s="116">
        <v>0.52857142857142858</v>
      </c>
      <c r="R877" s="116">
        <v>0.5714285714285714</v>
      </c>
      <c r="S877" s="116">
        <v>0.52857142857142858</v>
      </c>
      <c r="T877" s="116">
        <v>0.48571428571428571</v>
      </c>
      <c r="V877" s="196" t="s">
        <v>4418</v>
      </c>
      <c r="W877" s="116">
        <v>0.4285714285714286</v>
      </c>
      <c r="X877" s="116">
        <v>0.47142857142857142</v>
      </c>
      <c r="Y877" s="116">
        <v>0.4285714285714286</v>
      </c>
      <c r="Z877" s="116">
        <v>0.38571428571428568</v>
      </c>
    </row>
    <row r="878" spans="4:26">
      <c r="D878" s="196" t="s">
        <v>4419</v>
      </c>
      <c r="E878" s="116">
        <v>0.82857142857142851</v>
      </c>
      <c r="F878" s="116">
        <v>0.82857142857142851</v>
      </c>
      <c r="G878" s="116">
        <v>0.87142857142857144</v>
      </c>
      <c r="H878" s="116">
        <v>0.82857142857142851</v>
      </c>
      <c r="J878" s="196" t="s">
        <v>4419</v>
      </c>
      <c r="K878" s="116">
        <v>0.72857142857142843</v>
      </c>
      <c r="L878" s="116">
        <v>0.72857142857142843</v>
      </c>
      <c r="M878" s="116">
        <v>0.77142857142857135</v>
      </c>
      <c r="N878" s="116">
        <v>0.72857142857142843</v>
      </c>
      <c r="P878" s="196" t="s">
        <v>4419</v>
      </c>
      <c r="Q878" s="116">
        <v>0.62857142857142867</v>
      </c>
      <c r="R878" s="116">
        <v>0.62857142857142867</v>
      </c>
      <c r="S878" s="116">
        <v>0.67142857142857149</v>
      </c>
      <c r="T878" s="116">
        <v>0.62857142857142867</v>
      </c>
      <c r="V878" s="196" t="s">
        <v>4419</v>
      </c>
      <c r="W878" s="116">
        <v>0.4285714285714286</v>
      </c>
      <c r="X878" s="116">
        <v>0.4285714285714286</v>
      </c>
      <c r="Y878" s="116">
        <v>0.47142857142857142</v>
      </c>
      <c r="Z878" s="116">
        <v>0.4285714285714286</v>
      </c>
    </row>
    <row r="879" spans="4:26">
      <c r="D879" s="196" t="s">
        <v>4420</v>
      </c>
      <c r="E879" s="116">
        <v>0.67142857142857137</v>
      </c>
      <c r="F879" s="116">
        <v>0.58571428571428563</v>
      </c>
      <c r="G879" s="116">
        <v>0.71428571428571419</v>
      </c>
      <c r="H879" s="116">
        <v>0.62857142857142856</v>
      </c>
      <c r="J879" s="196" t="s">
        <v>4420</v>
      </c>
      <c r="K879" s="116">
        <v>0.87142857142857144</v>
      </c>
      <c r="L879" s="116">
        <v>0.7857142857142857</v>
      </c>
      <c r="M879" s="116">
        <v>0.91428571428571415</v>
      </c>
      <c r="N879" s="116">
        <v>0.82857142857142851</v>
      </c>
      <c r="P879" s="196" t="s">
        <v>4420</v>
      </c>
      <c r="Q879" s="116">
        <v>0.67142857142857149</v>
      </c>
      <c r="R879" s="116">
        <v>0.58571428571428563</v>
      </c>
      <c r="S879" s="116">
        <v>0.7142857142857143</v>
      </c>
      <c r="T879" s="116">
        <v>0.62857142857142867</v>
      </c>
      <c r="V879" s="196" t="s">
        <v>4420</v>
      </c>
      <c r="W879" s="116">
        <v>0.47142857142857142</v>
      </c>
      <c r="X879" s="116">
        <v>0.38571428571428568</v>
      </c>
      <c r="Y879" s="116">
        <v>0.51428571428571435</v>
      </c>
      <c r="Z879" s="116">
        <v>0.4285714285714286</v>
      </c>
    </row>
    <row r="880" spans="4:26">
      <c r="D880" s="196" t="s">
        <v>4421</v>
      </c>
      <c r="E880" s="116">
        <v>0.82857142857142851</v>
      </c>
      <c r="F880" s="116">
        <v>0.82857142857142851</v>
      </c>
      <c r="G880" s="116">
        <v>0.87142857142857144</v>
      </c>
      <c r="H880" s="116">
        <v>0.7857142857142857</v>
      </c>
      <c r="J880" s="196" t="s">
        <v>4421</v>
      </c>
      <c r="K880" s="116">
        <v>0.9285714285714286</v>
      </c>
      <c r="L880" s="116">
        <v>0.9285714285714286</v>
      </c>
      <c r="M880" s="116">
        <v>0.97142857142857153</v>
      </c>
      <c r="N880" s="116">
        <v>0.88571428571428568</v>
      </c>
      <c r="P880" s="196" t="s">
        <v>4421</v>
      </c>
      <c r="Q880" s="116">
        <v>0.42857142857142849</v>
      </c>
      <c r="R880" s="116">
        <v>0.42857142857142849</v>
      </c>
      <c r="S880" s="116">
        <v>0.47142857142857142</v>
      </c>
      <c r="T880" s="116">
        <v>0.38571428571428568</v>
      </c>
      <c r="V880" s="196" t="s">
        <v>4421</v>
      </c>
      <c r="W880" s="116">
        <v>0.4285714285714286</v>
      </c>
      <c r="X880" s="116">
        <v>0.4285714285714286</v>
      </c>
      <c r="Y880" s="116">
        <v>0.47142857142857142</v>
      </c>
      <c r="Z880" s="116">
        <v>0.38571428571428568</v>
      </c>
    </row>
    <row r="881" spans="4:26">
      <c r="D881" s="196" t="s">
        <v>4422</v>
      </c>
      <c r="E881" s="116">
        <v>0.72857142857142843</v>
      </c>
      <c r="F881" s="116">
        <v>0.72857142857142843</v>
      </c>
      <c r="G881" s="116">
        <v>0.77142857142857135</v>
      </c>
      <c r="H881" s="116">
        <v>0.68571428571428572</v>
      </c>
      <c r="J881" s="196" t="s">
        <v>4422</v>
      </c>
      <c r="K881" s="116">
        <v>0.9285714285714286</v>
      </c>
      <c r="L881" s="116">
        <v>0.9285714285714286</v>
      </c>
      <c r="M881" s="116">
        <v>0.97142857142857153</v>
      </c>
      <c r="N881" s="116">
        <v>0.88571428571428568</v>
      </c>
      <c r="P881" s="196" t="s">
        <v>4422</v>
      </c>
      <c r="Q881" s="116">
        <v>0.42857142857142849</v>
      </c>
      <c r="R881" s="116">
        <v>0.42857142857142849</v>
      </c>
      <c r="S881" s="116">
        <v>0.47142857142857142</v>
      </c>
      <c r="T881" s="116">
        <v>0.38571428571428568</v>
      </c>
      <c r="V881" s="196" t="s">
        <v>4422</v>
      </c>
      <c r="W881" s="116">
        <v>0.4285714285714286</v>
      </c>
      <c r="X881" s="116">
        <v>0.4285714285714286</v>
      </c>
      <c r="Y881" s="116">
        <v>0.47142857142857142</v>
      </c>
      <c r="Z881" s="116">
        <v>0.38571428571428568</v>
      </c>
    </row>
    <row r="882" spans="4:26">
      <c r="D882" s="196" t="s">
        <v>4423</v>
      </c>
      <c r="E882" s="116">
        <v>0.72857142857142843</v>
      </c>
      <c r="F882" s="116">
        <v>0.77142857142857135</v>
      </c>
      <c r="G882" s="116">
        <v>0.77142857142857135</v>
      </c>
      <c r="H882" s="116">
        <v>0.68571428571428572</v>
      </c>
      <c r="J882" s="196" t="s">
        <v>4423</v>
      </c>
      <c r="K882" s="116">
        <v>0.9285714285714286</v>
      </c>
      <c r="L882" s="116">
        <v>0.97142857142857153</v>
      </c>
      <c r="M882" s="116">
        <v>0.97142857142857153</v>
      </c>
      <c r="N882" s="116">
        <v>0.88571428571428568</v>
      </c>
      <c r="P882" s="196" t="s">
        <v>4423</v>
      </c>
      <c r="Q882" s="116">
        <v>0.32857142857142857</v>
      </c>
      <c r="R882" s="116">
        <v>0.37142857142857139</v>
      </c>
      <c r="S882" s="116">
        <v>0.37142857142857139</v>
      </c>
      <c r="T882" s="116">
        <v>0.2857142857142857</v>
      </c>
      <c r="V882" s="196" t="s">
        <v>4423</v>
      </c>
      <c r="W882" s="116">
        <v>0.4285714285714286</v>
      </c>
      <c r="X882" s="116">
        <v>0.47142857142857142</v>
      </c>
      <c r="Y882" s="116">
        <v>0.47142857142857142</v>
      </c>
      <c r="Z882" s="116">
        <v>0.38571428571428568</v>
      </c>
    </row>
    <row r="883" spans="4:26">
      <c r="D883" s="196" t="s">
        <v>4424</v>
      </c>
      <c r="E883" s="116">
        <v>0.87142857142857144</v>
      </c>
      <c r="F883" s="116">
        <v>0.82857142857142851</v>
      </c>
      <c r="G883" s="116">
        <v>0.87142857142857144</v>
      </c>
      <c r="H883" s="116">
        <v>0.87142857142857144</v>
      </c>
      <c r="J883" s="196" t="s">
        <v>4424</v>
      </c>
      <c r="K883" s="116">
        <v>0.77142857142857135</v>
      </c>
      <c r="L883" s="116">
        <v>0.72857142857142843</v>
      </c>
      <c r="M883" s="116">
        <v>0.77142857142857135</v>
      </c>
      <c r="N883" s="116">
        <v>0.77142857142857135</v>
      </c>
      <c r="P883" s="196" t="s">
        <v>4424</v>
      </c>
      <c r="Q883" s="116">
        <v>0.67142857142857149</v>
      </c>
      <c r="R883" s="116">
        <v>0.62857142857142867</v>
      </c>
      <c r="S883" s="116">
        <v>0.67142857142857149</v>
      </c>
      <c r="T883" s="116">
        <v>0.67142857142857149</v>
      </c>
      <c r="V883" s="196" t="s">
        <v>4424</v>
      </c>
      <c r="W883" s="116">
        <v>0.47142857142857142</v>
      </c>
      <c r="X883" s="116">
        <v>0.4285714285714286</v>
      </c>
      <c r="Y883" s="116">
        <v>0.47142857142857142</v>
      </c>
      <c r="Z883" s="116">
        <v>0.47142857142857142</v>
      </c>
    </row>
    <row r="884" spans="4:26">
      <c r="D884" s="196" t="s">
        <v>4425</v>
      </c>
      <c r="E884" s="116">
        <v>0.87142857142857144</v>
      </c>
      <c r="F884" s="116">
        <v>0.7857142857142857</v>
      </c>
      <c r="G884" s="116">
        <v>0.7857142857142857</v>
      </c>
      <c r="H884" s="116">
        <v>0.7857142857142857</v>
      </c>
      <c r="J884" s="196" t="s">
        <v>4425</v>
      </c>
      <c r="K884" s="116">
        <v>0.97142857142857153</v>
      </c>
      <c r="L884" s="116">
        <v>0.88571428571428568</v>
      </c>
      <c r="M884" s="116">
        <v>0.88571428571428568</v>
      </c>
      <c r="N884" s="116">
        <v>0.88571428571428568</v>
      </c>
      <c r="P884" s="196" t="s">
        <v>4425</v>
      </c>
      <c r="Q884" s="116">
        <v>0.37142857142857139</v>
      </c>
      <c r="R884" s="116">
        <v>0.2857142857142857</v>
      </c>
      <c r="S884" s="116">
        <v>0.2857142857142857</v>
      </c>
      <c r="T884" s="116">
        <v>0.2857142857142857</v>
      </c>
      <c r="V884" s="196" t="s">
        <v>4425</v>
      </c>
      <c r="W884" s="116">
        <v>0.47142857142857142</v>
      </c>
      <c r="X884" s="116">
        <v>0.38571428571428568</v>
      </c>
      <c r="Y884" s="116">
        <v>0.38571428571428568</v>
      </c>
      <c r="Z884" s="116">
        <v>0.38571428571428568</v>
      </c>
    </row>
    <row r="885" spans="4:26">
      <c r="D885" s="196" t="s">
        <v>4426</v>
      </c>
      <c r="E885" s="116">
        <v>0.87142857142857144</v>
      </c>
      <c r="F885" s="116">
        <v>0.87142857142857144</v>
      </c>
      <c r="G885" s="116">
        <v>0.7857142857142857</v>
      </c>
      <c r="H885" s="116">
        <v>0.7857142857142857</v>
      </c>
      <c r="J885" s="196" t="s">
        <v>4426</v>
      </c>
      <c r="K885" s="116">
        <v>0.77142857142857135</v>
      </c>
      <c r="L885" s="116">
        <v>0.77142857142857135</v>
      </c>
      <c r="M885" s="116">
        <v>0.68571428571428572</v>
      </c>
      <c r="N885" s="116">
        <v>0.68571428571428572</v>
      </c>
      <c r="P885" s="196" t="s">
        <v>4426</v>
      </c>
      <c r="Q885" s="116">
        <v>0.5714285714285714</v>
      </c>
      <c r="R885" s="116">
        <v>0.5714285714285714</v>
      </c>
      <c r="S885" s="116">
        <v>0.48571428571428571</v>
      </c>
      <c r="T885" s="116">
        <v>0.48571428571428571</v>
      </c>
      <c r="V885" s="196" t="s">
        <v>4426</v>
      </c>
      <c r="W885" s="116">
        <v>0.47142857142857142</v>
      </c>
      <c r="X885" s="116">
        <v>0.47142857142857142</v>
      </c>
      <c r="Y885" s="116">
        <v>0.38571428571428568</v>
      </c>
      <c r="Z885" s="116">
        <v>0.38571428571428568</v>
      </c>
    </row>
    <row r="886" spans="4:26">
      <c r="D886" s="196" t="s">
        <v>8369</v>
      </c>
      <c r="E886" s="116">
        <v>0.7857142857142857</v>
      </c>
      <c r="F886" s="116">
        <v>0.82857142857142851</v>
      </c>
      <c r="G886" s="116">
        <v>0.87142857142857144</v>
      </c>
      <c r="H886" s="116">
        <v>0.74285714285714277</v>
      </c>
      <c r="J886" s="196" t="s">
        <v>8369</v>
      </c>
      <c r="K886" s="116">
        <v>0.88571428571428568</v>
      </c>
      <c r="L886" s="116">
        <v>0.9285714285714286</v>
      </c>
      <c r="M886" s="116">
        <v>0.97142857142857153</v>
      </c>
      <c r="N886" s="116">
        <v>0.84285714285714275</v>
      </c>
      <c r="P886" s="196" t="s">
        <v>8369</v>
      </c>
      <c r="Q886" s="116">
        <v>0.18571428571428569</v>
      </c>
      <c r="R886" s="116">
        <v>0.22857142857142856</v>
      </c>
      <c r="S886" s="116">
        <v>0.27142857142857141</v>
      </c>
      <c r="T886" s="116">
        <v>0.14285714285714285</v>
      </c>
      <c r="V886" s="196" t="s">
        <v>8369</v>
      </c>
      <c r="W886" s="116">
        <v>0.38571428571428568</v>
      </c>
      <c r="X886" s="116">
        <v>0.4285714285714286</v>
      </c>
      <c r="Y886" s="116">
        <v>0.47142857142857142</v>
      </c>
      <c r="Z886" s="116">
        <v>0.34285714285714286</v>
      </c>
    </row>
    <row r="887" spans="4:26">
      <c r="D887" s="196" t="s">
        <v>4427</v>
      </c>
      <c r="E887" s="116">
        <v>0.82857142857142851</v>
      </c>
      <c r="F887" s="116">
        <v>0.82857142857142851</v>
      </c>
      <c r="G887" s="116">
        <v>0.7857142857142857</v>
      </c>
      <c r="H887" s="116">
        <v>0.87142857142857144</v>
      </c>
      <c r="J887" s="196" t="s">
        <v>4427</v>
      </c>
      <c r="K887" s="116">
        <v>0.62857142857142856</v>
      </c>
      <c r="L887" s="116">
        <v>0.62857142857142856</v>
      </c>
      <c r="M887" s="116">
        <v>0.65</v>
      </c>
      <c r="N887" s="116">
        <v>0.67142857142857137</v>
      </c>
      <c r="P887" s="196" t="s">
        <v>4427</v>
      </c>
      <c r="Q887" s="116">
        <v>0.42857142857142849</v>
      </c>
      <c r="R887" s="116">
        <v>0.42857142857142849</v>
      </c>
      <c r="S887" s="116">
        <v>0.38571428571428568</v>
      </c>
      <c r="T887" s="116">
        <v>0.47142857142857142</v>
      </c>
      <c r="V887" s="196" t="s">
        <v>4427</v>
      </c>
      <c r="W887" s="116">
        <v>0.42000000000000004</v>
      </c>
      <c r="X887" s="116">
        <v>0.42000000000000004</v>
      </c>
      <c r="Y887" s="116">
        <v>0.42000000000000004</v>
      </c>
      <c r="Z887" s="116">
        <v>0.42000000000000004</v>
      </c>
    </row>
    <row r="888" spans="4:26">
      <c r="D888" s="196" t="s">
        <v>8368</v>
      </c>
      <c r="E888" s="116">
        <v>0.87142857142857144</v>
      </c>
      <c r="F888" s="116">
        <v>0.82857142857142851</v>
      </c>
      <c r="G888" s="116">
        <v>0.82857142857142851</v>
      </c>
      <c r="H888" s="116">
        <v>0.74285714285714277</v>
      </c>
      <c r="J888" s="196" t="s">
        <v>8368</v>
      </c>
      <c r="K888" s="116">
        <v>0.97142857142857153</v>
      </c>
      <c r="L888" s="116">
        <v>0.9285714285714286</v>
      </c>
      <c r="M888" s="116">
        <v>0.9285714285714286</v>
      </c>
      <c r="N888" s="116">
        <v>0.84285714285714275</v>
      </c>
      <c r="P888" s="196" t="s">
        <v>8368</v>
      </c>
      <c r="Q888" s="116">
        <v>0.27142857142857141</v>
      </c>
      <c r="R888" s="116">
        <v>0.22857142857142856</v>
      </c>
      <c r="S888" s="116">
        <v>0.22857142857142856</v>
      </c>
      <c r="T888" s="116">
        <v>0.14285714285714285</v>
      </c>
      <c r="V888" s="196" t="s">
        <v>8368</v>
      </c>
      <c r="W888" s="116">
        <v>0.47142857142857142</v>
      </c>
      <c r="X888" s="116">
        <v>0.4285714285714286</v>
      </c>
      <c r="Y888" s="116">
        <v>0.4285714285714286</v>
      </c>
      <c r="Z888" s="116">
        <v>0.34285714285714286</v>
      </c>
    </row>
    <row r="889" spans="4:26">
      <c r="D889" s="196" t="s">
        <v>4428</v>
      </c>
      <c r="E889" s="116">
        <v>0.88571428571428568</v>
      </c>
      <c r="F889" s="116">
        <v>1.0142857142857142</v>
      </c>
      <c r="G889" s="116">
        <v>0.84285714285714275</v>
      </c>
      <c r="H889" s="116">
        <v>0.84285714285714275</v>
      </c>
      <c r="J889" s="196" t="s">
        <v>4428</v>
      </c>
      <c r="K889" s="116">
        <v>0.7857142857142857</v>
      </c>
      <c r="L889" s="116">
        <v>0.91428571428571415</v>
      </c>
      <c r="M889" s="116">
        <v>0.74285714285714277</v>
      </c>
      <c r="N889" s="116">
        <v>0.74285714285714277</v>
      </c>
      <c r="P889" s="196" t="s">
        <v>4428</v>
      </c>
      <c r="Q889" s="116">
        <v>0.2857142857142857</v>
      </c>
      <c r="R889" s="116">
        <v>0.41428571428571426</v>
      </c>
      <c r="S889" s="116">
        <v>0.24285714285714285</v>
      </c>
      <c r="T889" s="116">
        <v>0.24285714285714285</v>
      </c>
      <c r="V889" s="196" t="s">
        <v>4428</v>
      </c>
      <c r="W889" s="116">
        <v>0.38571428571428568</v>
      </c>
      <c r="X889" s="116">
        <v>0.51428571428571435</v>
      </c>
      <c r="Y889" s="116">
        <v>0.34285714285714286</v>
      </c>
      <c r="Z889" s="116">
        <v>0.34285714285714286</v>
      </c>
    </row>
    <row r="890" spans="4:26">
      <c r="D890" s="196" t="s">
        <v>4429</v>
      </c>
      <c r="E890" s="116">
        <v>0.82857142857142851</v>
      </c>
      <c r="F890" s="116">
        <v>0.87142857142857144</v>
      </c>
      <c r="G890" s="116">
        <v>0.74285714285714277</v>
      </c>
      <c r="H890" s="116">
        <v>0.74285714285714277</v>
      </c>
      <c r="J890" s="196" t="s">
        <v>4429</v>
      </c>
      <c r="K890" s="116">
        <v>0.9285714285714286</v>
      </c>
      <c r="L890" s="116">
        <v>0.97142857142857153</v>
      </c>
      <c r="M890" s="116">
        <v>0.84285714285714275</v>
      </c>
      <c r="N890" s="116">
        <v>0.84285714285714275</v>
      </c>
      <c r="P890" s="196" t="s">
        <v>4429</v>
      </c>
      <c r="Q890" s="116">
        <v>0.22857142857142856</v>
      </c>
      <c r="R890" s="116">
        <v>0.27142857142857141</v>
      </c>
      <c r="S890" s="116">
        <v>0.14285714285714285</v>
      </c>
      <c r="T890" s="116">
        <v>0.14285714285714285</v>
      </c>
      <c r="V890" s="196" t="s">
        <v>4429</v>
      </c>
      <c r="W890" s="116">
        <v>0.4285714285714286</v>
      </c>
      <c r="X890" s="116">
        <v>0.47142857142857142</v>
      </c>
      <c r="Y890" s="116">
        <v>0.34285714285714286</v>
      </c>
      <c r="Z890" s="116">
        <v>0.34285714285714286</v>
      </c>
    </row>
    <row r="891" spans="4:26">
      <c r="D891" s="196" t="s">
        <v>5661</v>
      </c>
      <c r="E891" s="116"/>
      <c r="F891" s="116"/>
      <c r="G891" s="116"/>
      <c r="H891" s="116"/>
      <c r="J891" s="196" t="s">
        <v>5661</v>
      </c>
      <c r="K891" s="116">
        <v>0</v>
      </c>
      <c r="L891" s="116">
        <v>0</v>
      </c>
      <c r="M891" s="116">
        <v>0</v>
      </c>
      <c r="N891" s="116">
        <v>0</v>
      </c>
      <c r="P891" s="196" t="s">
        <v>5661</v>
      </c>
      <c r="Q891" s="116">
        <v>0</v>
      </c>
      <c r="R891" s="116">
        <v>0</v>
      </c>
      <c r="S891" s="116">
        <v>0</v>
      </c>
      <c r="T891" s="116">
        <v>0</v>
      </c>
      <c r="V891" s="196" t="s">
        <v>5661</v>
      </c>
      <c r="W891" s="116">
        <v>0</v>
      </c>
      <c r="X891" s="116">
        <v>0</v>
      </c>
      <c r="Y891" s="116">
        <v>0</v>
      </c>
      <c r="Z891" s="116">
        <v>0</v>
      </c>
    </row>
    <row r="892" spans="4:26">
      <c r="D892" s="196" t="s">
        <v>5661</v>
      </c>
      <c r="E892" s="116"/>
      <c r="F892" s="116"/>
      <c r="G892" s="116"/>
      <c r="H892" s="116"/>
      <c r="J892" s="196" t="s">
        <v>5661</v>
      </c>
      <c r="K892" s="116">
        <v>0</v>
      </c>
      <c r="L892" s="116">
        <v>0</v>
      </c>
      <c r="M892" s="116">
        <v>0</v>
      </c>
      <c r="N892" s="116">
        <v>0</v>
      </c>
      <c r="P892" s="196" t="s">
        <v>5661</v>
      </c>
      <c r="Q892" s="116">
        <v>0</v>
      </c>
      <c r="R892" s="116">
        <v>0</v>
      </c>
      <c r="S892" s="116">
        <v>0</v>
      </c>
      <c r="T892" s="116">
        <v>0</v>
      </c>
      <c r="V892" s="196" t="s">
        <v>5661</v>
      </c>
      <c r="W892" s="116">
        <v>0</v>
      </c>
      <c r="X892" s="116">
        <v>0</v>
      </c>
      <c r="Y892" s="116">
        <v>0</v>
      </c>
      <c r="Z892" s="116">
        <v>0</v>
      </c>
    </row>
    <row r="893" spans="4:26">
      <c r="D893" s="196" t="s">
        <v>5661</v>
      </c>
      <c r="E893" s="116"/>
      <c r="F893" s="116"/>
      <c r="G893" s="116"/>
      <c r="H893" s="116"/>
      <c r="J893" s="196" t="s">
        <v>5661</v>
      </c>
      <c r="K893" s="116">
        <v>0</v>
      </c>
      <c r="L893" s="116">
        <v>0</v>
      </c>
      <c r="M893" s="116">
        <v>0</v>
      </c>
      <c r="N893" s="116">
        <v>0</v>
      </c>
      <c r="P893" s="196" t="s">
        <v>5661</v>
      </c>
      <c r="Q893" s="116">
        <v>0</v>
      </c>
      <c r="R893" s="116">
        <v>0</v>
      </c>
      <c r="S893" s="116">
        <v>0</v>
      </c>
      <c r="T893" s="116">
        <v>0</v>
      </c>
      <c r="V893" s="196" t="s">
        <v>5661</v>
      </c>
      <c r="W893" s="116">
        <v>0</v>
      </c>
      <c r="X893" s="116">
        <v>0</v>
      </c>
      <c r="Y893" s="116">
        <v>0</v>
      </c>
      <c r="Z893" s="116">
        <v>0</v>
      </c>
    </row>
    <row r="894" spans="4:26">
      <c r="D894" s="196" t="s">
        <v>5661</v>
      </c>
      <c r="E894" s="116"/>
      <c r="F894" s="116"/>
      <c r="G894" s="116"/>
      <c r="H894" s="116"/>
      <c r="J894" s="196" t="s">
        <v>5661</v>
      </c>
      <c r="K894" s="116">
        <v>0</v>
      </c>
      <c r="L894" s="116">
        <v>0</v>
      </c>
      <c r="M894" s="116">
        <v>0</v>
      </c>
      <c r="N894" s="116">
        <v>0</v>
      </c>
      <c r="P894" s="196" t="s">
        <v>5661</v>
      </c>
      <c r="Q894" s="116">
        <v>0</v>
      </c>
      <c r="R894" s="116">
        <v>0</v>
      </c>
      <c r="S894" s="116">
        <v>0</v>
      </c>
      <c r="T894" s="116">
        <v>0</v>
      </c>
      <c r="V894" s="196" t="s">
        <v>5661</v>
      </c>
      <c r="W894" s="116">
        <v>0</v>
      </c>
      <c r="X894" s="116">
        <v>0</v>
      </c>
      <c r="Y894" s="116">
        <v>0</v>
      </c>
      <c r="Z894" s="116">
        <v>0</v>
      </c>
    </row>
    <row r="895" spans="4:26">
      <c r="D895" s="196"/>
      <c r="E895" s="116"/>
      <c r="F895" s="116"/>
      <c r="G895" s="116"/>
      <c r="H895" s="116"/>
      <c r="J895" s="196"/>
      <c r="K895" s="116">
        <v>0</v>
      </c>
      <c r="L895" s="116">
        <v>0</v>
      </c>
      <c r="M895" s="116">
        <v>0</v>
      </c>
      <c r="N895" s="116">
        <v>0</v>
      </c>
      <c r="P895" s="196"/>
      <c r="Q895" s="116">
        <v>0</v>
      </c>
      <c r="R895" s="116">
        <v>0</v>
      </c>
      <c r="S895" s="116">
        <v>0</v>
      </c>
      <c r="T895" s="116">
        <v>0</v>
      </c>
      <c r="V895" s="196"/>
      <c r="W895" s="116">
        <v>0</v>
      </c>
      <c r="X895" s="116">
        <v>0</v>
      </c>
      <c r="Y895" s="116">
        <v>0</v>
      </c>
      <c r="Z895" s="116">
        <v>0</v>
      </c>
    </row>
    <row r="896" spans="4:26">
      <c r="D896" s="7" t="s">
        <v>3681</v>
      </c>
      <c r="J896" s="7" t="s">
        <v>3684</v>
      </c>
      <c r="P896" s="7" t="s">
        <v>3683</v>
      </c>
      <c r="V896" s="7" t="s">
        <v>3682</v>
      </c>
    </row>
    <row r="898" spans="3:28">
      <c r="D898" s="642">
        <v>0</v>
      </c>
      <c r="E898" s="947">
        <v>0</v>
      </c>
      <c r="F898" s="127"/>
      <c r="G898" s="127"/>
      <c r="H898" s="127"/>
      <c r="I898" s="127"/>
      <c r="J898" s="642">
        <v>0</v>
      </c>
      <c r="K898" s="947">
        <v>0</v>
      </c>
      <c r="L898" s="127"/>
      <c r="M898" s="127"/>
      <c r="N898" s="127"/>
      <c r="O898" s="127"/>
      <c r="P898" s="642">
        <v>0</v>
      </c>
      <c r="Q898" s="146">
        <v>0</v>
      </c>
      <c r="V898" s="642">
        <v>0</v>
      </c>
      <c r="W898" s="146">
        <v>0</v>
      </c>
      <c r="Y898" s="980"/>
      <c r="Z898" s="980"/>
      <c r="AA898" s="980"/>
      <c r="AB898" s="980"/>
    </row>
    <row r="899" spans="3:28">
      <c r="D899" s="642">
        <v>100000</v>
      </c>
      <c r="E899" s="947">
        <v>5.0000000000000001E-3</v>
      </c>
      <c r="F899" s="127"/>
      <c r="G899" s="127"/>
      <c r="H899" s="127"/>
      <c r="I899" s="127"/>
      <c r="J899" s="642">
        <v>100000</v>
      </c>
      <c r="K899" s="947">
        <v>5.0000000000000001E-3</v>
      </c>
      <c r="L899" s="127"/>
      <c r="M899" s="127"/>
      <c r="N899" s="127"/>
      <c r="O899" s="127"/>
      <c r="P899" s="642">
        <v>100000</v>
      </c>
      <c r="Q899" s="146">
        <v>0.01</v>
      </c>
      <c r="V899" s="642">
        <v>100000</v>
      </c>
      <c r="W899" s="146">
        <v>0.01</v>
      </c>
      <c r="Y899" s="980"/>
      <c r="Z899" s="980"/>
      <c r="AA899" s="980"/>
      <c r="AB899" s="980"/>
    </row>
    <row r="900" spans="3:28">
      <c r="D900" s="642">
        <v>200000</v>
      </c>
      <c r="E900" s="947">
        <v>0.01</v>
      </c>
      <c r="F900" s="127"/>
      <c r="G900" s="127"/>
      <c r="H900" s="127"/>
      <c r="I900" s="127"/>
      <c r="J900" s="642">
        <v>200000</v>
      </c>
      <c r="K900" s="947">
        <v>0.01</v>
      </c>
      <c r="L900" s="127"/>
      <c r="M900" s="127"/>
      <c r="N900" s="127"/>
      <c r="O900" s="127"/>
      <c r="P900" s="642">
        <v>200000</v>
      </c>
      <c r="Q900" s="146">
        <v>0.02</v>
      </c>
      <c r="V900" s="642">
        <v>200000</v>
      </c>
      <c r="W900" s="146">
        <v>0.02</v>
      </c>
      <c r="Y900" s="980"/>
      <c r="Z900" s="980"/>
      <c r="AA900" s="980"/>
      <c r="AB900" s="980"/>
    </row>
    <row r="901" spans="3:28">
      <c r="D901" s="642">
        <v>300000</v>
      </c>
      <c r="E901" s="947">
        <v>1.4999999999999999E-2</v>
      </c>
      <c r="F901" s="127"/>
      <c r="G901" s="127"/>
      <c r="H901" s="127"/>
      <c r="I901" s="127"/>
      <c r="J901" s="642">
        <v>300000</v>
      </c>
      <c r="K901" s="947">
        <v>1.4999999999999999E-2</v>
      </c>
      <c r="L901" s="127"/>
      <c r="M901" s="127"/>
      <c r="N901" s="127"/>
      <c r="O901" s="127"/>
      <c r="P901" s="642">
        <v>300000</v>
      </c>
      <c r="Q901" s="146">
        <v>0.03</v>
      </c>
      <c r="V901" s="642">
        <v>300000</v>
      </c>
      <c r="W901" s="146">
        <v>0.03</v>
      </c>
      <c r="Y901" s="980"/>
      <c r="Z901" s="980"/>
      <c r="AA901" s="980"/>
      <c r="AB901" s="980"/>
    </row>
    <row r="902" spans="3:28">
      <c r="D902" s="642">
        <v>400000</v>
      </c>
      <c r="E902" s="947">
        <v>0.02</v>
      </c>
      <c r="F902" s="127"/>
      <c r="G902" s="127"/>
      <c r="H902" s="127"/>
      <c r="I902" s="127"/>
      <c r="J902" s="642">
        <v>400000</v>
      </c>
      <c r="K902" s="947">
        <v>0.02</v>
      </c>
      <c r="L902" s="127"/>
      <c r="M902" s="127"/>
      <c r="N902" s="127"/>
      <c r="O902" s="127"/>
      <c r="P902" s="642">
        <v>400000</v>
      </c>
      <c r="Q902" s="146">
        <v>0.04</v>
      </c>
      <c r="V902" s="642">
        <v>400000</v>
      </c>
      <c r="W902" s="146">
        <v>0.04</v>
      </c>
      <c r="Y902" s="980"/>
      <c r="Z902" s="980"/>
      <c r="AA902" s="980"/>
      <c r="AB902" s="980"/>
    </row>
    <row r="903" spans="3:28">
      <c r="D903" s="642">
        <v>500000</v>
      </c>
      <c r="E903" s="947">
        <v>2.5000000000000001E-2</v>
      </c>
      <c r="F903" s="127"/>
      <c r="G903" s="127"/>
      <c r="H903" s="127"/>
      <c r="I903" s="127"/>
      <c r="J903" s="642">
        <v>500000</v>
      </c>
      <c r="K903" s="947">
        <v>2.5000000000000001E-2</v>
      </c>
      <c r="L903" s="127"/>
      <c r="M903" s="127"/>
      <c r="N903" s="127"/>
      <c r="O903" s="127"/>
      <c r="P903" s="642">
        <v>500000</v>
      </c>
      <c r="Q903" s="146">
        <v>0.05</v>
      </c>
      <c r="V903" s="642">
        <v>500000</v>
      </c>
      <c r="W903" s="146">
        <v>0.05</v>
      </c>
      <c r="Y903" s="980"/>
      <c r="Z903" s="980"/>
      <c r="AA903" s="980"/>
      <c r="AB903" s="980"/>
    </row>
    <row r="904" spans="3:28">
      <c r="D904" s="642">
        <v>600000</v>
      </c>
      <c r="E904" s="947">
        <v>0.03</v>
      </c>
      <c r="F904" s="127"/>
      <c r="G904" s="127"/>
      <c r="H904" s="127"/>
      <c r="I904" s="127"/>
      <c r="J904" s="642">
        <v>600000</v>
      </c>
      <c r="K904" s="947">
        <v>0.03</v>
      </c>
      <c r="L904" s="127"/>
      <c r="M904" s="127"/>
      <c r="N904" s="127"/>
      <c r="O904" s="127"/>
      <c r="P904" s="642">
        <v>600000</v>
      </c>
      <c r="Q904" s="146">
        <v>0.06</v>
      </c>
      <c r="V904" s="642">
        <v>600000</v>
      </c>
      <c r="W904" s="146">
        <v>0.06</v>
      </c>
      <c r="Y904" s="980"/>
      <c r="Z904" s="980"/>
      <c r="AA904" s="980"/>
      <c r="AB904" s="980"/>
    </row>
    <row r="905" spans="3:28">
      <c r="D905" s="642">
        <v>700000</v>
      </c>
      <c r="E905" s="947">
        <v>3.5000000000000003E-2</v>
      </c>
      <c r="F905" s="127"/>
      <c r="G905" s="127"/>
      <c r="H905" s="127"/>
      <c r="I905" s="127"/>
      <c r="J905" s="642">
        <v>700000</v>
      </c>
      <c r="K905" s="947">
        <v>3.5000000000000003E-2</v>
      </c>
      <c r="L905" s="127"/>
      <c r="M905" s="127"/>
      <c r="N905" s="127"/>
      <c r="O905" s="127"/>
      <c r="P905" s="642">
        <v>700000</v>
      </c>
      <c r="Q905" s="146">
        <v>7.0000000000000007E-2</v>
      </c>
      <c r="V905" s="642">
        <v>700000</v>
      </c>
      <c r="W905" s="146">
        <v>7.0000000000000007E-2</v>
      </c>
      <c r="Y905" s="980"/>
      <c r="Z905" s="980"/>
      <c r="AA905" s="980"/>
      <c r="AB905" s="980"/>
    </row>
    <row r="906" spans="3:28">
      <c r="D906" s="642">
        <v>800000</v>
      </c>
      <c r="E906" s="947">
        <v>0.04</v>
      </c>
      <c r="F906" s="127"/>
      <c r="G906" s="127"/>
      <c r="H906" s="127"/>
      <c r="I906" s="127"/>
      <c r="J906" s="642">
        <v>800000</v>
      </c>
      <c r="K906" s="947">
        <v>0.04</v>
      </c>
      <c r="L906" s="127"/>
      <c r="M906" s="127"/>
      <c r="N906" s="127"/>
      <c r="O906" s="127"/>
      <c r="P906" s="642">
        <v>800000</v>
      </c>
      <c r="Q906" s="146">
        <v>0.08</v>
      </c>
      <c r="V906" s="642">
        <v>800000</v>
      </c>
      <c r="W906" s="146">
        <v>0.08</v>
      </c>
      <c r="Y906" s="980"/>
      <c r="Z906" s="980"/>
      <c r="AA906" s="980"/>
      <c r="AB906" s="980"/>
    </row>
    <row r="907" spans="3:28">
      <c r="D907" s="642">
        <v>900000</v>
      </c>
      <c r="E907" s="947">
        <v>4.4999999999999998E-2</v>
      </c>
      <c r="F907" s="127"/>
      <c r="G907" s="127"/>
      <c r="H907" s="127"/>
      <c r="I907" s="127"/>
      <c r="J907" s="642">
        <v>900000</v>
      </c>
      <c r="K907" s="947">
        <v>4.4999999999999998E-2</v>
      </c>
      <c r="L907" s="127"/>
      <c r="M907" s="127"/>
      <c r="N907" s="127"/>
      <c r="O907" s="127"/>
      <c r="P907" s="642">
        <v>900000</v>
      </c>
      <c r="Q907" s="146">
        <v>0.09</v>
      </c>
      <c r="V907" s="642">
        <v>900000</v>
      </c>
      <c r="W907" s="146">
        <v>0.09</v>
      </c>
      <c r="Y907" s="980"/>
      <c r="Z907" s="980"/>
      <c r="AA907" s="980"/>
      <c r="AB907" s="980"/>
    </row>
    <row r="908" spans="3:28">
      <c r="D908" s="642">
        <v>1000000</v>
      </c>
      <c r="E908" s="947">
        <v>0.05</v>
      </c>
      <c r="F908" s="127"/>
      <c r="G908" s="127"/>
      <c r="H908" s="127"/>
      <c r="I908" s="127"/>
      <c r="J908" s="642">
        <v>1000000</v>
      </c>
      <c r="K908" s="947">
        <v>0.05</v>
      </c>
      <c r="L908" s="127"/>
      <c r="M908" s="127"/>
      <c r="N908" s="127"/>
      <c r="O908" s="127"/>
      <c r="P908" s="642">
        <v>1000000</v>
      </c>
      <c r="Q908" s="146">
        <v>0.1</v>
      </c>
      <c r="V908" s="642">
        <v>1000000</v>
      </c>
      <c r="W908" s="146">
        <v>0.1</v>
      </c>
      <c r="Y908" s="980"/>
      <c r="Z908" s="980"/>
      <c r="AA908" s="980"/>
      <c r="AB908" s="980"/>
    </row>
    <row r="909" spans="3:28">
      <c r="D909" s="642">
        <v>1100000</v>
      </c>
      <c r="E909" s="947">
        <v>5.5E-2</v>
      </c>
      <c r="F909" s="127"/>
      <c r="G909" s="127"/>
      <c r="H909" s="127"/>
      <c r="I909" s="127"/>
      <c r="J909" s="642">
        <v>1100000</v>
      </c>
      <c r="K909" s="947">
        <v>5.5E-2</v>
      </c>
      <c r="L909" s="127"/>
      <c r="M909" s="127"/>
      <c r="N909" s="127"/>
      <c r="O909" s="127"/>
      <c r="P909" s="642">
        <v>1100000</v>
      </c>
      <c r="Q909" s="146">
        <v>0.11</v>
      </c>
      <c r="V909" s="642">
        <v>1100000</v>
      </c>
      <c r="W909" s="146">
        <v>0.11</v>
      </c>
      <c r="Y909" s="980"/>
      <c r="Z909" s="980"/>
      <c r="AA909" s="980"/>
      <c r="AB909" s="980"/>
    </row>
    <row r="910" spans="3:28" s="610" customFormat="1">
      <c r="C910" s="611"/>
      <c r="D910" s="642">
        <v>1200000</v>
      </c>
      <c r="E910" s="947">
        <v>0.06</v>
      </c>
      <c r="F910" s="127"/>
      <c r="G910" s="127"/>
      <c r="H910" s="127"/>
      <c r="I910" s="127"/>
      <c r="J910" s="642">
        <v>1200000</v>
      </c>
      <c r="K910" s="947">
        <v>0.06</v>
      </c>
      <c r="L910" s="127"/>
      <c r="M910" s="127"/>
      <c r="N910" s="127"/>
      <c r="O910" s="127"/>
      <c r="P910" s="642">
        <v>1200000</v>
      </c>
      <c r="Q910" s="146">
        <v>0.12</v>
      </c>
      <c r="V910" s="642">
        <v>1200000</v>
      </c>
      <c r="W910" s="146">
        <v>0.12</v>
      </c>
      <c r="Y910" s="980"/>
      <c r="Z910" s="980"/>
      <c r="AA910" s="980"/>
      <c r="AB910" s="980"/>
    </row>
    <row r="911" spans="3:28" s="610" customFormat="1">
      <c r="C911" s="611"/>
      <c r="D911" s="642">
        <v>1300000</v>
      </c>
      <c r="E911" s="947">
        <v>6.5000000000000002E-2</v>
      </c>
      <c r="F911" s="127"/>
      <c r="G911" s="127"/>
      <c r="H911" s="127"/>
      <c r="I911" s="127"/>
      <c r="J911" s="642">
        <v>1300000</v>
      </c>
      <c r="K911" s="947">
        <v>6.5000000000000002E-2</v>
      </c>
      <c r="L911" s="127"/>
      <c r="M911" s="127"/>
      <c r="N911" s="127"/>
      <c r="O911" s="127"/>
      <c r="P911" s="642">
        <v>1300000</v>
      </c>
      <c r="Q911" s="146">
        <v>0.13</v>
      </c>
      <c r="V911" s="642">
        <v>1300000</v>
      </c>
      <c r="W911" s="146">
        <v>0.13</v>
      </c>
      <c r="Y911" s="980"/>
      <c r="Z911" s="980"/>
      <c r="AA911" s="980"/>
      <c r="AB911" s="980"/>
    </row>
    <row r="912" spans="3:28" s="610" customFormat="1">
      <c r="C912" s="611"/>
      <c r="D912" s="642">
        <v>1400000</v>
      </c>
      <c r="E912" s="947">
        <v>7.0000000000000007E-2</v>
      </c>
      <c r="F912" s="127"/>
      <c r="G912" s="127"/>
      <c r="H912" s="127"/>
      <c r="I912" s="127"/>
      <c r="J912" s="642">
        <v>1400000</v>
      </c>
      <c r="K912" s="947">
        <v>7.0000000000000007E-2</v>
      </c>
      <c r="L912" s="127"/>
      <c r="M912" s="127"/>
      <c r="N912" s="127"/>
      <c r="O912" s="127"/>
      <c r="P912" s="642">
        <v>1400000</v>
      </c>
      <c r="Q912" s="146">
        <v>0.14000000000000001</v>
      </c>
      <c r="V912" s="642">
        <v>1400000</v>
      </c>
      <c r="W912" s="146">
        <v>0.14000000000000001</v>
      </c>
      <c r="Y912" s="980"/>
      <c r="Z912" s="980"/>
      <c r="AA912" s="980"/>
      <c r="AB912" s="980"/>
    </row>
    <row r="913" spans="3:28" s="610" customFormat="1">
      <c r="C913" s="611"/>
      <c r="D913" s="642">
        <v>1500000</v>
      </c>
      <c r="E913" s="947">
        <v>7.4999999999999997E-2</v>
      </c>
      <c r="F913" s="127"/>
      <c r="G913" s="127"/>
      <c r="H913" s="127"/>
      <c r="I913" s="127"/>
      <c r="J913" s="642">
        <v>1500000</v>
      </c>
      <c r="K913" s="947">
        <v>7.4999999999999997E-2</v>
      </c>
      <c r="L913" s="127"/>
      <c r="M913" s="127"/>
      <c r="N913" s="127"/>
      <c r="O913" s="127"/>
      <c r="P913" s="642">
        <v>1500000</v>
      </c>
      <c r="Q913" s="146">
        <v>0.15</v>
      </c>
      <c r="V913" s="642">
        <v>1500000</v>
      </c>
      <c r="W913" s="146">
        <v>0.15</v>
      </c>
      <c r="Y913" s="980"/>
      <c r="Z913" s="980"/>
      <c r="AA913" s="980"/>
      <c r="AB913" s="980"/>
    </row>
    <row r="914" spans="3:28" s="610" customFormat="1">
      <c r="C914" s="611"/>
      <c r="D914" s="642">
        <v>1600000</v>
      </c>
      <c r="E914" s="947">
        <v>0.08</v>
      </c>
      <c r="F914" s="127"/>
      <c r="G914" s="127"/>
      <c r="H914" s="127"/>
      <c r="I914" s="127"/>
      <c r="J914" s="642">
        <v>1600000</v>
      </c>
      <c r="K914" s="947">
        <v>0.08</v>
      </c>
      <c r="L914" s="127"/>
      <c r="M914" s="127"/>
      <c r="N914" s="127"/>
      <c r="O914" s="127"/>
      <c r="P914" s="642">
        <v>1600000</v>
      </c>
      <c r="Q914" s="146">
        <v>0.16</v>
      </c>
      <c r="V914" s="642">
        <v>1600000</v>
      </c>
      <c r="W914" s="146">
        <v>0.16</v>
      </c>
      <c r="Y914" s="980"/>
      <c r="Z914" s="980"/>
      <c r="AA914" s="980"/>
      <c r="AB914" s="980"/>
    </row>
    <row r="915" spans="3:28" s="610" customFormat="1">
      <c r="C915" s="611"/>
      <c r="D915" s="642">
        <v>1700000</v>
      </c>
      <c r="E915" s="947">
        <v>8.5000000000000006E-2</v>
      </c>
      <c r="F915" s="127"/>
      <c r="G915" s="127"/>
      <c r="H915" s="127"/>
      <c r="I915" s="127"/>
      <c r="J915" s="642">
        <v>1700000</v>
      </c>
      <c r="K915" s="947">
        <v>8.5000000000000006E-2</v>
      </c>
      <c r="L915" s="127"/>
      <c r="M915" s="127"/>
      <c r="N915" s="127"/>
      <c r="O915" s="127"/>
      <c r="P915" s="642">
        <v>1700000</v>
      </c>
      <c r="Q915" s="146">
        <v>0.17</v>
      </c>
      <c r="V915" s="642">
        <v>1700000</v>
      </c>
      <c r="W915" s="146">
        <v>0.17</v>
      </c>
      <c r="Y915" s="980"/>
      <c r="Z915" s="980"/>
      <c r="AA915" s="980"/>
      <c r="AB915" s="980"/>
    </row>
    <row r="916" spans="3:28" s="610" customFormat="1">
      <c r="C916" s="611"/>
      <c r="D916" s="642">
        <v>1800000</v>
      </c>
      <c r="E916" s="947">
        <v>0.09</v>
      </c>
      <c r="F916" s="127"/>
      <c r="G916" s="127"/>
      <c r="H916" s="127"/>
      <c r="I916" s="127"/>
      <c r="J916" s="642">
        <v>1800000</v>
      </c>
      <c r="K916" s="947">
        <v>0.09</v>
      </c>
      <c r="L916" s="127"/>
      <c r="M916" s="127"/>
      <c r="N916" s="127"/>
      <c r="O916" s="127"/>
      <c r="P916" s="642">
        <v>1800000</v>
      </c>
      <c r="Q916" s="146">
        <v>0.18</v>
      </c>
      <c r="V916" s="642">
        <v>1800000</v>
      </c>
      <c r="W916" s="146">
        <v>0.18</v>
      </c>
      <c r="Y916" s="980"/>
      <c r="Z916" s="980"/>
      <c r="AA916" s="980"/>
      <c r="AB916" s="980"/>
    </row>
    <row r="917" spans="3:28" s="610" customFormat="1">
      <c r="C917" s="611"/>
      <c r="D917" s="642">
        <v>1900000</v>
      </c>
      <c r="E917" s="947">
        <v>9.5000000000000001E-2</v>
      </c>
      <c r="F917" s="127"/>
      <c r="G917" s="127"/>
      <c r="H917" s="127"/>
      <c r="I917" s="127"/>
      <c r="J917" s="642">
        <v>1900000</v>
      </c>
      <c r="K917" s="947">
        <v>9.5000000000000001E-2</v>
      </c>
      <c r="L917" s="127"/>
      <c r="M917" s="127"/>
      <c r="N917" s="127"/>
      <c r="O917" s="127"/>
      <c r="P917" s="642">
        <v>1900000</v>
      </c>
      <c r="Q917" s="146">
        <v>0.19</v>
      </c>
      <c r="V917" s="642">
        <v>1900000</v>
      </c>
      <c r="W917" s="146">
        <v>0.19</v>
      </c>
      <c r="Y917" s="980"/>
      <c r="Z917" s="980"/>
      <c r="AA917" s="980"/>
      <c r="AB917" s="980"/>
    </row>
    <row r="918" spans="3:28" s="610" customFormat="1">
      <c r="C918" s="611"/>
      <c r="D918" s="642">
        <v>2000000</v>
      </c>
      <c r="E918" s="947">
        <v>0.1</v>
      </c>
      <c r="F918" s="127"/>
      <c r="G918" s="127"/>
      <c r="H918" s="127"/>
      <c r="I918" s="127"/>
      <c r="J918" s="642">
        <v>2000000</v>
      </c>
      <c r="K918" s="947">
        <v>0.1</v>
      </c>
      <c r="L918" s="127"/>
      <c r="M918" s="127"/>
      <c r="N918" s="127"/>
      <c r="O918" s="127"/>
      <c r="P918" s="642">
        <v>2000000</v>
      </c>
      <c r="Q918" s="146">
        <v>0.2</v>
      </c>
      <c r="V918" s="642">
        <v>2000000</v>
      </c>
      <c r="W918" s="146">
        <v>0.2</v>
      </c>
      <c r="Y918" s="980"/>
      <c r="Z918" s="980"/>
      <c r="AA918" s="980"/>
      <c r="AB918" s="980"/>
    </row>
    <row r="919" spans="3:28" s="610" customFormat="1">
      <c r="C919" s="611"/>
      <c r="D919" s="642">
        <v>2100000</v>
      </c>
      <c r="E919" s="947">
        <v>0.105</v>
      </c>
      <c r="F919" s="127"/>
      <c r="G919" s="127"/>
      <c r="H919" s="127"/>
      <c r="I919" s="127"/>
      <c r="J919" s="642">
        <v>2100000</v>
      </c>
      <c r="K919" s="947">
        <v>0.105</v>
      </c>
      <c r="L919" s="127"/>
      <c r="M919" s="127"/>
      <c r="N919" s="127"/>
      <c r="O919" s="127"/>
      <c r="P919" s="642">
        <v>2100000</v>
      </c>
      <c r="Q919" s="146">
        <v>0.21</v>
      </c>
      <c r="V919" s="642">
        <v>2100000</v>
      </c>
      <c r="W919" s="146">
        <v>0.21</v>
      </c>
      <c r="Y919" s="980"/>
      <c r="Z919" s="980"/>
      <c r="AA919" s="980"/>
      <c r="AB919" s="980"/>
    </row>
    <row r="920" spans="3:28" s="610" customFormat="1">
      <c r="C920" s="611"/>
      <c r="D920" s="642">
        <v>2200000</v>
      </c>
      <c r="E920" s="947">
        <v>0.11</v>
      </c>
      <c r="F920" s="127"/>
      <c r="G920" s="127"/>
      <c r="H920" s="127"/>
      <c r="I920" s="127"/>
      <c r="J920" s="642">
        <v>2200000</v>
      </c>
      <c r="K920" s="947">
        <v>0.11</v>
      </c>
      <c r="L920" s="127"/>
      <c r="M920" s="127"/>
      <c r="N920" s="127"/>
      <c r="O920" s="127"/>
      <c r="P920" s="642">
        <v>2200000</v>
      </c>
      <c r="Q920" s="146">
        <v>0.22</v>
      </c>
      <c r="V920" s="642">
        <v>2200000</v>
      </c>
      <c r="W920" s="146">
        <v>0.22</v>
      </c>
      <c r="Y920" s="980"/>
      <c r="Z920" s="980"/>
      <c r="AA920" s="980"/>
      <c r="AB920" s="980"/>
    </row>
    <row r="921" spans="3:28" s="610" customFormat="1">
      <c r="C921" s="611"/>
      <c r="D921" s="642">
        <v>2300000</v>
      </c>
      <c r="E921" s="947">
        <v>0.115</v>
      </c>
      <c r="F921" s="127"/>
      <c r="G921" s="127"/>
      <c r="H921" s="127"/>
      <c r="I921" s="127"/>
      <c r="J921" s="642">
        <v>2300000</v>
      </c>
      <c r="K921" s="947">
        <v>0.115</v>
      </c>
      <c r="L921" s="127"/>
      <c r="M921" s="127"/>
      <c r="N921" s="127"/>
      <c r="O921" s="127"/>
      <c r="P921" s="642">
        <v>2300000</v>
      </c>
      <c r="Q921" s="146">
        <v>0.23</v>
      </c>
      <c r="V921" s="642">
        <v>2300000</v>
      </c>
      <c r="W921" s="146">
        <v>0.23</v>
      </c>
      <c r="Y921" s="980"/>
      <c r="Z921" s="980"/>
      <c r="AA921" s="980"/>
      <c r="AB921" s="980"/>
    </row>
    <row r="922" spans="3:28" s="610" customFormat="1">
      <c r="C922" s="611"/>
      <c r="D922" s="642">
        <v>2400000</v>
      </c>
      <c r="E922" s="947">
        <v>0.12</v>
      </c>
      <c r="F922" s="127"/>
      <c r="G922" s="127"/>
      <c r="H922" s="127"/>
      <c r="I922" s="127"/>
      <c r="J922" s="642">
        <v>2400000</v>
      </c>
      <c r="K922" s="947">
        <v>0.12</v>
      </c>
      <c r="L922" s="127"/>
      <c r="M922" s="127"/>
      <c r="N922" s="127"/>
      <c r="O922" s="127"/>
      <c r="P922" s="642">
        <v>2400000</v>
      </c>
      <c r="Q922" s="146">
        <v>0.24</v>
      </c>
      <c r="V922" s="642">
        <v>2400000</v>
      </c>
      <c r="W922" s="146">
        <v>0.24</v>
      </c>
      <c r="Y922" s="980"/>
      <c r="Z922" s="980"/>
      <c r="AA922" s="980"/>
      <c r="AB922" s="980"/>
    </row>
    <row r="923" spans="3:28" s="610" customFormat="1">
      <c r="C923" s="611"/>
      <c r="D923" s="642">
        <v>2500000</v>
      </c>
      <c r="E923" s="947">
        <v>0.125</v>
      </c>
      <c r="F923" s="127"/>
      <c r="G923" s="127"/>
      <c r="H923" s="127"/>
      <c r="I923" s="127"/>
      <c r="J923" s="642">
        <v>2500000</v>
      </c>
      <c r="K923" s="947">
        <v>0.125</v>
      </c>
      <c r="L923" s="127"/>
      <c r="M923" s="127"/>
      <c r="N923" s="127"/>
      <c r="O923" s="127"/>
      <c r="P923" s="642">
        <v>2500000</v>
      </c>
      <c r="Q923" s="146">
        <v>0.25</v>
      </c>
      <c r="V923" s="642">
        <v>2500000</v>
      </c>
      <c r="W923" s="146">
        <v>0.25</v>
      </c>
      <c r="Y923" s="980"/>
      <c r="Z923" s="980"/>
      <c r="AA923" s="980"/>
      <c r="AB923" s="980"/>
    </row>
    <row r="924" spans="3:28" s="610" customFormat="1">
      <c r="C924" s="611"/>
      <c r="D924" s="642">
        <v>2600000</v>
      </c>
      <c r="E924" s="947">
        <v>0.13</v>
      </c>
      <c r="F924" s="127"/>
      <c r="G924" s="127"/>
      <c r="H924" s="127"/>
      <c r="I924" s="127"/>
      <c r="J924" s="642">
        <v>2600000</v>
      </c>
      <c r="K924" s="947">
        <v>0.13</v>
      </c>
      <c r="L924" s="127"/>
      <c r="M924" s="127"/>
      <c r="N924" s="127"/>
      <c r="O924" s="127"/>
      <c r="P924" s="642">
        <v>2600000</v>
      </c>
      <c r="Q924" s="146">
        <v>0.26</v>
      </c>
      <c r="V924" s="642">
        <v>2600000</v>
      </c>
      <c r="W924" s="146">
        <v>0.26</v>
      </c>
      <c r="Y924" s="980"/>
      <c r="Z924" s="980"/>
      <c r="AA924" s="980"/>
      <c r="AB924" s="980"/>
    </row>
    <row r="925" spans="3:28" s="610" customFormat="1">
      <c r="C925" s="611"/>
      <c r="D925" s="642">
        <v>2700000</v>
      </c>
      <c r="E925" s="947">
        <v>0.13500000000000001</v>
      </c>
      <c r="F925" s="127"/>
      <c r="G925" s="127"/>
      <c r="H925" s="127"/>
      <c r="I925" s="127"/>
      <c r="J925" s="642">
        <v>2700000</v>
      </c>
      <c r="K925" s="947">
        <v>0.13500000000000001</v>
      </c>
      <c r="L925" s="127"/>
      <c r="M925" s="127"/>
      <c r="N925" s="127"/>
      <c r="O925" s="127"/>
      <c r="P925" s="642">
        <v>2700000</v>
      </c>
      <c r="Q925" s="146">
        <v>0.27</v>
      </c>
      <c r="V925" s="642">
        <v>2700000</v>
      </c>
      <c r="W925" s="146">
        <v>0.27</v>
      </c>
      <c r="Y925" s="980"/>
      <c r="Z925" s="980"/>
      <c r="AA925" s="980"/>
      <c r="AB925" s="980"/>
    </row>
    <row r="926" spans="3:28" s="610" customFormat="1">
      <c r="C926" s="611"/>
      <c r="D926" s="642">
        <v>2800000</v>
      </c>
      <c r="E926" s="947">
        <v>0.14000000000000001</v>
      </c>
      <c r="F926" s="127"/>
      <c r="G926" s="127"/>
      <c r="H926" s="127"/>
      <c r="I926" s="127"/>
      <c r="J926" s="642">
        <v>2800000</v>
      </c>
      <c r="K926" s="947">
        <v>0.14000000000000001</v>
      </c>
      <c r="L926" s="127"/>
      <c r="M926" s="127"/>
      <c r="N926" s="127"/>
      <c r="O926" s="127"/>
      <c r="P926" s="642">
        <v>2800000</v>
      </c>
      <c r="Q926" s="146">
        <v>0.28000000000000003</v>
      </c>
      <c r="V926" s="642">
        <v>2800000</v>
      </c>
      <c r="W926" s="146">
        <v>0.28000000000000003</v>
      </c>
      <c r="Y926" s="980"/>
      <c r="Z926" s="980"/>
      <c r="AA926" s="980"/>
      <c r="AB926" s="980"/>
    </row>
    <row r="927" spans="3:28" s="610" customFormat="1">
      <c r="C927" s="611"/>
      <c r="D927" s="642">
        <v>2900000</v>
      </c>
      <c r="E927" s="947">
        <v>0.14499999999999999</v>
      </c>
      <c r="F927" s="127"/>
      <c r="G927" s="127"/>
      <c r="H927" s="127"/>
      <c r="I927" s="127"/>
      <c r="J927" s="642">
        <v>2900000</v>
      </c>
      <c r="K927" s="947">
        <v>0.14499999999999999</v>
      </c>
      <c r="L927" s="127"/>
      <c r="M927" s="127"/>
      <c r="N927" s="127"/>
      <c r="O927" s="127"/>
      <c r="P927" s="642">
        <v>2900000</v>
      </c>
      <c r="Q927" s="146">
        <v>0.28999999999999998</v>
      </c>
      <c r="V927" s="642">
        <v>2900000</v>
      </c>
      <c r="W927" s="146">
        <v>0.28999999999999998</v>
      </c>
      <c r="Y927" s="980"/>
      <c r="Z927" s="980"/>
      <c r="AA927" s="980"/>
      <c r="AB927" s="980"/>
    </row>
    <row r="928" spans="3:28" s="610" customFormat="1">
      <c r="C928" s="611"/>
      <c r="D928" s="642">
        <v>3000000</v>
      </c>
      <c r="E928" s="947">
        <v>0.15</v>
      </c>
      <c r="F928" s="127"/>
      <c r="G928" s="127"/>
      <c r="H928" s="127"/>
      <c r="I928" s="127"/>
      <c r="J928" s="642">
        <v>3000000</v>
      </c>
      <c r="K928" s="947">
        <v>0.15</v>
      </c>
      <c r="L928" s="127"/>
      <c r="M928" s="127"/>
      <c r="N928" s="127"/>
      <c r="O928" s="127"/>
      <c r="P928" s="642">
        <v>3000000</v>
      </c>
      <c r="Q928" s="146">
        <v>0.3</v>
      </c>
      <c r="V928" s="642">
        <v>3000000</v>
      </c>
      <c r="W928" s="146">
        <v>0.3</v>
      </c>
      <c r="Y928" s="980"/>
      <c r="Z928" s="980"/>
      <c r="AA928" s="980"/>
      <c r="AB928" s="980"/>
    </row>
    <row r="929" spans="2:28">
      <c r="D929" s="269">
        <v>9999999999</v>
      </c>
      <c r="E929" s="947">
        <v>0.13</v>
      </c>
      <c r="F929" s="127"/>
      <c r="G929" s="127"/>
      <c r="H929" s="127"/>
      <c r="I929" s="127"/>
      <c r="J929" s="642">
        <v>9999999999</v>
      </c>
      <c r="K929" s="947">
        <v>0.13</v>
      </c>
      <c r="L929" s="127"/>
      <c r="M929" s="127"/>
      <c r="N929" s="127"/>
      <c r="O929" s="127"/>
      <c r="P929" s="642">
        <v>9999999999</v>
      </c>
      <c r="Q929" s="146">
        <v>0.26</v>
      </c>
      <c r="V929" s="642">
        <v>9999999999</v>
      </c>
      <c r="W929" s="146">
        <v>0.26</v>
      </c>
      <c r="Y929" s="980"/>
      <c r="Z929" s="980"/>
      <c r="AA929" s="980"/>
      <c r="AB929" s="980"/>
    </row>
    <row r="930" spans="2:28">
      <c r="D930" s="7" t="s">
        <v>3677</v>
      </c>
      <c r="F930" s="127"/>
      <c r="G930" s="127"/>
      <c r="H930" s="127"/>
      <c r="I930" s="127"/>
      <c r="J930" s="7" t="s">
        <v>3680</v>
      </c>
      <c r="L930" s="127"/>
      <c r="M930" s="127"/>
      <c r="N930" s="127"/>
      <c r="O930" s="127"/>
      <c r="P930" s="7" t="s">
        <v>3679</v>
      </c>
      <c r="V930" s="7" t="s">
        <v>3678</v>
      </c>
      <c r="Y930" s="980"/>
      <c r="Z930" s="980"/>
      <c r="AA930" s="980"/>
      <c r="AB930" s="980"/>
    </row>
    <row r="931" spans="2:28" s="610" customFormat="1">
      <c r="C931" s="611"/>
      <c r="D931" s="611"/>
      <c r="F931" s="127"/>
      <c r="G931" s="127"/>
      <c r="H931" s="127"/>
      <c r="I931" s="127"/>
      <c r="J931" s="611"/>
      <c r="L931" s="127"/>
      <c r="M931" s="127"/>
      <c r="N931" s="127"/>
      <c r="O931" s="127"/>
      <c r="P931" s="611"/>
      <c r="V931" s="611"/>
      <c r="Y931" s="980"/>
      <c r="Z931" s="980"/>
      <c r="AA931" s="980"/>
      <c r="AB931" s="980"/>
    </row>
    <row r="932" spans="2:28" s="11" customFormat="1">
      <c r="B932" s="29" t="s">
        <v>1427</v>
      </c>
    </row>
    <row r="934" spans="2:28">
      <c r="D934" s="642">
        <v>13750000</v>
      </c>
      <c r="E934" s="626">
        <v>1</v>
      </c>
      <c r="G934" s="642">
        <v>13750000</v>
      </c>
      <c r="H934" s="118">
        <v>0</v>
      </c>
      <c r="J934" s="642">
        <v>13750000</v>
      </c>
      <c r="K934" s="626">
        <v>0</v>
      </c>
      <c r="M934" s="642">
        <v>13750000</v>
      </c>
      <c r="N934" s="626">
        <v>0</v>
      </c>
    </row>
    <row r="935" spans="2:28">
      <c r="D935" s="642">
        <v>14000000</v>
      </c>
      <c r="E935" s="626">
        <v>2</v>
      </c>
      <c r="G935" s="642">
        <v>14000000</v>
      </c>
      <c r="H935" s="118">
        <v>0</v>
      </c>
      <c r="J935" s="642">
        <v>14000000</v>
      </c>
      <c r="K935" s="626">
        <v>0</v>
      </c>
      <c r="M935" s="642">
        <v>14000000</v>
      </c>
      <c r="N935" s="626">
        <v>0</v>
      </c>
    </row>
    <row r="936" spans="2:28">
      <c r="D936" s="642">
        <v>14250000</v>
      </c>
      <c r="E936" s="626">
        <v>3</v>
      </c>
      <c r="G936" s="642">
        <v>14250000</v>
      </c>
      <c r="H936" s="118">
        <v>1</v>
      </c>
      <c r="J936" s="642">
        <v>14250000</v>
      </c>
      <c r="K936" s="626">
        <v>1</v>
      </c>
      <c r="M936" s="642">
        <v>14250000</v>
      </c>
      <c r="N936" s="626">
        <v>1</v>
      </c>
    </row>
    <row r="937" spans="2:28">
      <c r="D937" s="642">
        <v>14500000</v>
      </c>
      <c r="E937" s="626">
        <v>4</v>
      </c>
      <c r="G937" s="642">
        <v>14500000</v>
      </c>
      <c r="H937" s="118">
        <v>2</v>
      </c>
      <c r="J937" s="642">
        <v>14500000</v>
      </c>
      <c r="K937" s="626">
        <v>2</v>
      </c>
      <c r="M937" s="642">
        <v>14500000</v>
      </c>
      <c r="N937" s="626">
        <v>2</v>
      </c>
    </row>
    <row r="938" spans="2:28">
      <c r="D938" s="642">
        <v>14750000</v>
      </c>
      <c r="E938" s="626">
        <v>5</v>
      </c>
      <c r="G938" s="642">
        <v>14750000</v>
      </c>
      <c r="H938" s="626">
        <v>3</v>
      </c>
      <c r="J938" s="642">
        <v>14750000</v>
      </c>
      <c r="K938" s="626">
        <v>3</v>
      </c>
      <c r="M938" s="642">
        <v>14750000</v>
      </c>
      <c r="N938" s="626">
        <v>3</v>
      </c>
    </row>
    <row r="939" spans="2:28">
      <c r="D939" s="269">
        <v>15000000</v>
      </c>
      <c r="E939" s="626">
        <v>6</v>
      </c>
      <c r="G939" s="642">
        <v>15000000</v>
      </c>
      <c r="H939" s="626">
        <v>4</v>
      </c>
      <c r="J939" s="642">
        <v>15000000</v>
      </c>
      <c r="K939" s="626">
        <v>4</v>
      </c>
      <c r="M939" s="642">
        <v>15000000</v>
      </c>
      <c r="N939" s="626">
        <v>4</v>
      </c>
    </row>
    <row r="940" spans="2:28">
      <c r="D940" s="269">
        <v>15250000</v>
      </c>
      <c r="E940" s="626">
        <v>7</v>
      </c>
      <c r="G940" s="642">
        <v>15250000</v>
      </c>
      <c r="H940" s="626">
        <v>5</v>
      </c>
      <c r="J940" s="642">
        <v>15250000</v>
      </c>
      <c r="K940" s="626">
        <v>5</v>
      </c>
      <c r="M940" s="642">
        <v>15250000</v>
      </c>
      <c r="N940" s="626">
        <v>5</v>
      </c>
    </row>
    <row r="941" spans="2:28">
      <c r="D941" s="642">
        <v>15500000</v>
      </c>
      <c r="E941" s="626">
        <v>8</v>
      </c>
      <c r="G941" s="642">
        <v>15500000</v>
      </c>
      <c r="H941" s="626">
        <v>6</v>
      </c>
      <c r="J941" s="642">
        <v>15500000</v>
      </c>
      <c r="K941" s="626">
        <v>6</v>
      </c>
      <c r="M941" s="642">
        <v>15500000</v>
      </c>
      <c r="N941" s="626">
        <v>6</v>
      </c>
    </row>
    <row r="942" spans="2:28">
      <c r="D942" s="642">
        <v>15750000</v>
      </c>
      <c r="E942" s="626">
        <v>9</v>
      </c>
      <c r="G942" s="642">
        <v>15750000</v>
      </c>
      <c r="H942" s="626">
        <v>7</v>
      </c>
      <c r="J942" s="642">
        <v>15750000</v>
      </c>
      <c r="K942" s="626">
        <v>7</v>
      </c>
      <c r="M942" s="642">
        <v>15750000</v>
      </c>
      <c r="N942" s="626">
        <v>7</v>
      </c>
    </row>
    <row r="943" spans="2:28">
      <c r="D943" s="642">
        <v>16000000</v>
      </c>
      <c r="E943" s="626">
        <v>10</v>
      </c>
      <c r="G943" s="642">
        <v>16000000</v>
      </c>
      <c r="H943" s="626">
        <v>8</v>
      </c>
      <c r="J943" s="642">
        <v>16000000</v>
      </c>
      <c r="K943" s="626">
        <v>8</v>
      </c>
      <c r="M943" s="642">
        <v>16000000</v>
      </c>
      <c r="N943" s="626">
        <v>8</v>
      </c>
    </row>
    <row r="944" spans="2:28">
      <c r="D944" s="642">
        <v>16250000</v>
      </c>
      <c r="E944" s="626">
        <v>11</v>
      </c>
      <c r="G944" s="642">
        <v>16250000</v>
      </c>
      <c r="H944" s="626">
        <v>9</v>
      </c>
      <c r="J944" s="642">
        <v>16250000</v>
      </c>
      <c r="K944" s="626">
        <v>9</v>
      </c>
      <c r="M944" s="642">
        <v>16250000</v>
      </c>
      <c r="N944" s="626">
        <v>9</v>
      </c>
    </row>
    <row r="945" spans="2:14">
      <c r="D945" s="642">
        <v>16500000</v>
      </c>
      <c r="E945" s="626">
        <v>12</v>
      </c>
      <c r="G945" s="642">
        <v>16500000</v>
      </c>
      <c r="H945" s="626">
        <v>10</v>
      </c>
      <c r="J945" s="642">
        <v>16500000</v>
      </c>
      <c r="K945" s="626">
        <v>10</v>
      </c>
      <c r="M945" s="642">
        <v>16500000</v>
      </c>
      <c r="N945" s="626">
        <v>10</v>
      </c>
    </row>
    <row r="946" spans="2:14">
      <c r="D946" s="6" t="s">
        <v>1430</v>
      </c>
      <c r="G946" s="7" t="s">
        <v>1433</v>
      </c>
      <c r="J946" s="7" t="s">
        <v>1432</v>
      </c>
      <c r="M946" s="7" t="s">
        <v>1431</v>
      </c>
    </row>
    <row r="947" spans="2:14" s="11" customFormat="1">
      <c r="B947" s="29" t="s">
        <v>1544</v>
      </c>
    </row>
    <row r="949" spans="2:14" s="610" customFormat="1">
      <c r="C949" s="611"/>
      <c r="D949" s="642">
        <v>0</v>
      </c>
      <c r="E949" s="626">
        <v>18</v>
      </c>
      <c r="G949" s="642">
        <v>0</v>
      </c>
      <c r="H949" s="626">
        <v>18</v>
      </c>
      <c r="J949" s="642">
        <v>0</v>
      </c>
      <c r="K949" s="626">
        <v>10</v>
      </c>
      <c r="M949" s="642">
        <v>0</v>
      </c>
      <c r="N949" s="626">
        <v>15</v>
      </c>
    </row>
    <row r="950" spans="2:14">
      <c r="D950" s="642">
        <v>100000</v>
      </c>
      <c r="E950" s="626">
        <v>18</v>
      </c>
      <c r="G950" s="642">
        <v>100000</v>
      </c>
      <c r="H950" s="626">
        <v>18</v>
      </c>
      <c r="J950" s="642">
        <v>100000</v>
      </c>
      <c r="K950" s="626">
        <v>10</v>
      </c>
      <c r="M950" s="642">
        <v>100000</v>
      </c>
      <c r="N950" s="626">
        <v>15</v>
      </c>
    </row>
    <row r="951" spans="2:14">
      <c r="D951" s="642">
        <v>200000</v>
      </c>
      <c r="E951" s="626">
        <v>19</v>
      </c>
      <c r="G951" s="642">
        <v>200000</v>
      </c>
      <c r="H951" s="626">
        <v>19</v>
      </c>
      <c r="J951" s="642">
        <v>200000</v>
      </c>
      <c r="K951" s="626">
        <v>11</v>
      </c>
      <c r="M951" s="642">
        <v>200000</v>
      </c>
      <c r="N951" s="626">
        <v>16</v>
      </c>
    </row>
    <row r="952" spans="2:14">
      <c r="D952" s="642">
        <v>300000</v>
      </c>
      <c r="E952" s="626">
        <v>20</v>
      </c>
      <c r="G952" s="642">
        <v>300000</v>
      </c>
      <c r="H952" s="626">
        <v>20</v>
      </c>
      <c r="J952" s="642">
        <v>300000</v>
      </c>
      <c r="K952" s="626">
        <v>12</v>
      </c>
      <c r="M952" s="642">
        <v>300000</v>
      </c>
      <c r="N952" s="626">
        <v>17</v>
      </c>
    </row>
    <row r="953" spans="2:14">
      <c r="D953" s="642">
        <v>400000</v>
      </c>
      <c r="E953" s="626">
        <v>21</v>
      </c>
      <c r="G953" s="642">
        <v>400000</v>
      </c>
      <c r="H953" s="626">
        <v>21</v>
      </c>
      <c r="J953" s="642">
        <v>400000</v>
      </c>
      <c r="K953" s="626">
        <v>13</v>
      </c>
      <c r="M953" s="642">
        <v>400000</v>
      </c>
      <c r="N953" s="626">
        <v>18</v>
      </c>
    </row>
    <row r="954" spans="2:14">
      <c r="D954" s="642">
        <v>500000</v>
      </c>
      <c r="E954" s="626">
        <v>22</v>
      </c>
      <c r="G954" s="642">
        <v>500000</v>
      </c>
      <c r="H954" s="626">
        <v>22</v>
      </c>
      <c r="J954" s="642">
        <v>500000</v>
      </c>
      <c r="K954" s="626">
        <v>14</v>
      </c>
      <c r="M954" s="642">
        <v>500000</v>
      </c>
      <c r="N954" s="626">
        <v>19</v>
      </c>
    </row>
    <row r="955" spans="2:14">
      <c r="D955" s="642">
        <v>600000</v>
      </c>
      <c r="E955" s="626">
        <v>23</v>
      </c>
      <c r="G955" s="642">
        <v>600000</v>
      </c>
      <c r="H955" s="626">
        <v>23</v>
      </c>
      <c r="J955" s="642">
        <v>600000</v>
      </c>
      <c r="K955" s="626">
        <v>15</v>
      </c>
      <c r="M955" s="642">
        <v>600000</v>
      </c>
      <c r="N955" s="626">
        <v>20</v>
      </c>
    </row>
    <row r="956" spans="2:14">
      <c r="D956" s="642">
        <v>700000</v>
      </c>
      <c r="E956" s="626">
        <v>24</v>
      </c>
      <c r="G956" s="642">
        <v>700000</v>
      </c>
      <c r="H956" s="626">
        <v>24</v>
      </c>
      <c r="J956" s="642">
        <v>700000</v>
      </c>
      <c r="K956" s="626">
        <v>16</v>
      </c>
      <c r="M956" s="642">
        <v>700000</v>
      </c>
      <c r="N956" s="626">
        <v>21</v>
      </c>
    </row>
    <row r="957" spans="2:14" s="610" customFormat="1">
      <c r="C957" s="611"/>
      <c r="D957" s="642">
        <v>800000</v>
      </c>
      <c r="E957" s="626">
        <v>25</v>
      </c>
      <c r="G957" s="642">
        <v>800000</v>
      </c>
      <c r="H957" s="626">
        <v>25</v>
      </c>
      <c r="J957" s="642">
        <v>800000</v>
      </c>
      <c r="K957" s="626">
        <v>17</v>
      </c>
      <c r="M957" s="642">
        <v>800000</v>
      </c>
      <c r="N957" s="626">
        <v>22</v>
      </c>
    </row>
    <row r="958" spans="2:14" s="610" customFormat="1">
      <c r="C958" s="611"/>
      <c r="D958" s="642">
        <v>900000</v>
      </c>
      <c r="E958" s="626">
        <v>26</v>
      </c>
      <c r="G958" s="642">
        <v>900000</v>
      </c>
      <c r="H958" s="626">
        <v>26</v>
      </c>
      <c r="J958" s="642">
        <v>900000</v>
      </c>
      <c r="K958" s="626">
        <v>18</v>
      </c>
      <c r="M958" s="642">
        <v>900000</v>
      </c>
      <c r="N958" s="626">
        <v>23</v>
      </c>
    </row>
    <row r="959" spans="2:14" s="610" customFormat="1">
      <c r="C959" s="611"/>
      <c r="D959" s="642">
        <v>1000000</v>
      </c>
      <c r="E959" s="626">
        <v>27</v>
      </c>
      <c r="G959" s="642">
        <v>1000000</v>
      </c>
      <c r="H959" s="626">
        <v>27</v>
      </c>
      <c r="J959" s="642">
        <v>1000000</v>
      </c>
      <c r="K959" s="626">
        <v>19</v>
      </c>
      <c r="M959" s="642">
        <v>1000000</v>
      </c>
      <c r="N959" s="626">
        <v>24</v>
      </c>
    </row>
    <row r="960" spans="2:14" s="610" customFormat="1">
      <c r="C960" s="611"/>
      <c r="D960" s="642">
        <v>1100000</v>
      </c>
      <c r="E960" s="626">
        <v>28</v>
      </c>
      <c r="G960" s="642">
        <v>1100000</v>
      </c>
      <c r="H960" s="626">
        <v>28</v>
      </c>
      <c r="J960" s="642">
        <v>1100000</v>
      </c>
      <c r="K960" s="626">
        <v>20</v>
      </c>
      <c r="M960" s="642">
        <v>1100000</v>
      </c>
      <c r="N960" s="626">
        <v>25</v>
      </c>
    </row>
    <row r="961" spans="2:14" s="610" customFormat="1">
      <c r="C961" s="611"/>
      <c r="D961" s="642">
        <v>1200000</v>
      </c>
      <c r="E961" s="626">
        <v>29</v>
      </c>
      <c r="G961" s="642">
        <v>1200000</v>
      </c>
      <c r="H961" s="626">
        <v>29</v>
      </c>
      <c r="J961" s="642">
        <v>1200000</v>
      </c>
      <c r="K961" s="626">
        <v>21</v>
      </c>
      <c r="M961" s="642">
        <v>1200000</v>
      </c>
      <c r="N961" s="626">
        <v>26</v>
      </c>
    </row>
    <row r="962" spans="2:14" s="610" customFormat="1">
      <c r="C962" s="611"/>
      <c r="D962" s="642">
        <v>1300000</v>
      </c>
      <c r="E962" s="626">
        <v>30</v>
      </c>
      <c r="G962" s="642">
        <v>1300000</v>
      </c>
      <c r="H962" s="626">
        <v>30</v>
      </c>
      <c r="J962" s="642">
        <v>1300000</v>
      </c>
      <c r="K962" s="626">
        <v>22</v>
      </c>
      <c r="M962" s="642">
        <v>1300000</v>
      </c>
      <c r="N962" s="626">
        <v>27</v>
      </c>
    </row>
    <row r="963" spans="2:14" s="610" customFormat="1">
      <c r="C963" s="611"/>
      <c r="D963" s="642">
        <v>1400000</v>
      </c>
      <c r="E963" s="626">
        <v>31</v>
      </c>
      <c r="G963" s="642">
        <v>1400000</v>
      </c>
      <c r="H963" s="626">
        <v>31</v>
      </c>
      <c r="J963" s="642">
        <v>1400000</v>
      </c>
      <c r="K963" s="626">
        <v>23</v>
      </c>
      <c r="M963" s="642">
        <v>1400000</v>
      </c>
      <c r="N963" s="626">
        <v>28</v>
      </c>
    </row>
    <row r="964" spans="2:14" s="610" customFormat="1">
      <c r="C964" s="611"/>
      <c r="D964" s="642">
        <v>1500000</v>
      </c>
      <c r="E964" s="626">
        <v>32</v>
      </c>
      <c r="G964" s="642">
        <v>1500000</v>
      </c>
      <c r="H964" s="626">
        <v>32</v>
      </c>
      <c r="J964" s="642">
        <v>1500000</v>
      </c>
      <c r="K964" s="626">
        <v>24</v>
      </c>
      <c r="M964" s="642">
        <v>1500000</v>
      </c>
      <c r="N964" s="626">
        <v>29</v>
      </c>
    </row>
    <row r="965" spans="2:14" s="610" customFormat="1">
      <c r="C965" s="611"/>
      <c r="D965" s="642">
        <v>1600000</v>
      </c>
      <c r="E965" s="626">
        <v>33</v>
      </c>
      <c r="G965" s="642">
        <v>1600000</v>
      </c>
      <c r="H965" s="626">
        <v>33</v>
      </c>
      <c r="J965" s="642">
        <v>1600000</v>
      </c>
      <c r="K965" s="626">
        <v>25</v>
      </c>
      <c r="M965" s="642">
        <v>1600000</v>
      </c>
      <c r="N965" s="626">
        <v>30</v>
      </c>
    </row>
    <row r="966" spans="2:14" s="610" customFormat="1">
      <c r="C966" s="611"/>
      <c r="D966" s="642">
        <v>1700000</v>
      </c>
      <c r="E966" s="626">
        <v>34</v>
      </c>
      <c r="G966" s="642">
        <v>1700000</v>
      </c>
      <c r="H966" s="626">
        <v>34</v>
      </c>
      <c r="J966" s="642">
        <v>1700000</v>
      </c>
      <c r="K966" s="626">
        <v>26</v>
      </c>
      <c r="M966" s="642">
        <v>1700000</v>
      </c>
      <c r="N966" s="626">
        <v>31</v>
      </c>
    </row>
    <row r="967" spans="2:14" s="610" customFormat="1">
      <c r="C967" s="611"/>
      <c r="D967" s="642">
        <v>1800000</v>
      </c>
      <c r="E967" s="626">
        <v>35</v>
      </c>
      <c r="G967" s="642">
        <v>1800000</v>
      </c>
      <c r="H967" s="626">
        <v>35</v>
      </c>
      <c r="J967" s="642">
        <v>1800000</v>
      </c>
      <c r="K967" s="626">
        <v>27</v>
      </c>
      <c r="M967" s="642">
        <v>1800000</v>
      </c>
      <c r="N967" s="626">
        <v>32</v>
      </c>
    </row>
    <row r="968" spans="2:14" s="610" customFormat="1">
      <c r="C968" s="611"/>
      <c r="D968" s="642">
        <v>1900000</v>
      </c>
      <c r="E968" s="626">
        <v>36</v>
      </c>
      <c r="G968" s="642">
        <v>1900000</v>
      </c>
      <c r="H968" s="626">
        <v>36</v>
      </c>
      <c r="J968" s="642">
        <v>1900000</v>
      </c>
      <c r="K968" s="626">
        <v>28</v>
      </c>
      <c r="M968" s="642">
        <v>1900000</v>
      </c>
      <c r="N968" s="626">
        <v>33</v>
      </c>
    </row>
    <row r="969" spans="2:14" s="610" customFormat="1">
      <c r="C969" s="611"/>
      <c r="D969" s="642">
        <v>2000000</v>
      </c>
      <c r="E969" s="626">
        <v>37</v>
      </c>
      <c r="G969" s="642">
        <v>2000000</v>
      </c>
      <c r="H969" s="626">
        <v>37</v>
      </c>
      <c r="J969" s="642">
        <v>2000000</v>
      </c>
      <c r="K969" s="626">
        <v>29</v>
      </c>
      <c r="M969" s="642">
        <v>2000000</v>
      </c>
      <c r="N969" s="626">
        <v>34</v>
      </c>
    </row>
    <row r="970" spans="2:14" s="610" customFormat="1">
      <c r="C970" s="611"/>
      <c r="D970" s="642">
        <v>2100000</v>
      </c>
      <c r="E970" s="626">
        <v>38</v>
      </c>
      <c r="G970" s="642">
        <v>2100000</v>
      </c>
      <c r="H970" s="626">
        <v>38</v>
      </c>
      <c r="J970" s="642">
        <v>2100000</v>
      </c>
      <c r="K970" s="626">
        <v>30</v>
      </c>
      <c r="M970" s="642">
        <v>2100000</v>
      </c>
      <c r="N970" s="626">
        <v>35</v>
      </c>
    </row>
    <row r="971" spans="2:14" s="610" customFormat="1">
      <c r="C971" s="611"/>
      <c r="D971" s="642">
        <v>2200000</v>
      </c>
      <c r="E971" s="626">
        <v>39</v>
      </c>
      <c r="G971" s="642">
        <v>2200000</v>
      </c>
      <c r="H971" s="626">
        <v>39</v>
      </c>
      <c r="J971" s="642">
        <v>2200000</v>
      </c>
      <c r="K971" s="626">
        <v>31</v>
      </c>
      <c r="M971" s="642">
        <v>2200000</v>
      </c>
      <c r="N971" s="626">
        <v>36</v>
      </c>
    </row>
    <row r="972" spans="2:14" s="610" customFormat="1">
      <c r="C972" s="611"/>
      <c r="D972" s="642">
        <v>2300000</v>
      </c>
      <c r="E972" s="626">
        <v>40</v>
      </c>
      <c r="G972" s="642">
        <v>2300000</v>
      </c>
      <c r="H972" s="626">
        <v>40</v>
      </c>
      <c r="J972" s="642">
        <v>2300000</v>
      </c>
      <c r="K972" s="626">
        <v>32</v>
      </c>
      <c r="M972" s="642">
        <v>2300000</v>
      </c>
      <c r="N972" s="626">
        <v>37</v>
      </c>
    </row>
    <row r="973" spans="2:14" s="610" customFormat="1">
      <c r="C973" s="611"/>
      <c r="D973" s="642">
        <v>2400000</v>
      </c>
      <c r="E973" s="626">
        <v>41</v>
      </c>
      <c r="G973" s="642">
        <v>2400000</v>
      </c>
      <c r="H973" s="626">
        <v>41</v>
      </c>
      <c r="J973" s="642">
        <v>2400000</v>
      </c>
      <c r="K973" s="626">
        <v>33</v>
      </c>
      <c r="M973" s="642">
        <v>2400000</v>
      </c>
      <c r="N973" s="626">
        <v>38</v>
      </c>
    </row>
    <row r="974" spans="2:14" s="610" customFormat="1">
      <c r="C974" s="611"/>
      <c r="D974" s="642">
        <v>999999999999</v>
      </c>
      <c r="E974" s="626">
        <v>999</v>
      </c>
      <c r="G974" s="642">
        <v>999999999999</v>
      </c>
      <c r="H974" s="626">
        <v>999</v>
      </c>
      <c r="J974" s="642">
        <v>999999999999</v>
      </c>
      <c r="K974" s="626">
        <v>999</v>
      </c>
      <c r="M974" s="642">
        <v>999999999999</v>
      </c>
      <c r="N974" s="626">
        <v>999</v>
      </c>
    </row>
    <row r="975" spans="2:14">
      <c r="D975" s="6" t="s">
        <v>6217</v>
      </c>
      <c r="G975" s="610" t="s">
        <v>6220</v>
      </c>
      <c r="J975" s="610" t="s">
        <v>6219</v>
      </c>
      <c r="M975" s="611" t="s">
        <v>6218</v>
      </c>
    </row>
    <row r="976" spans="2:14" s="610" customFormat="1">
      <c r="B976" s="88"/>
      <c r="C976" s="611"/>
      <c r="D976" s="611"/>
      <c r="F976" s="611"/>
    </row>
    <row r="978" spans="2:9" s="11" customFormat="1">
      <c r="B978" s="29" t="s">
        <v>157</v>
      </c>
    </row>
    <row r="980" spans="2:9">
      <c r="C980" s="88" t="s">
        <v>549</v>
      </c>
      <c r="D980" s="7"/>
    </row>
    <row r="981" spans="2:9">
      <c r="C981" s="6"/>
      <c r="D981" s="7"/>
      <c r="E981" s="127">
        <v>1.08</v>
      </c>
      <c r="F981" s="127">
        <v>0.98</v>
      </c>
      <c r="G981" s="127">
        <v>1.02</v>
      </c>
      <c r="H981" s="127">
        <v>1.1599999999999999</v>
      </c>
    </row>
    <row r="982" spans="2:9">
      <c r="C982" s="6"/>
      <c r="D982" s="7" t="s">
        <v>357</v>
      </c>
      <c r="E982" s="6" t="s">
        <v>12868</v>
      </c>
      <c r="F982" s="6" t="s">
        <v>238</v>
      </c>
      <c r="G982" s="6" t="s">
        <v>239</v>
      </c>
      <c r="H982" s="6" t="s">
        <v>240</v>
      </c>
    </row>
    <row r="983" spans="2:9">
      <c r="C983" s="6"/>
      <c r="D983" s="196" t="s">
        <v>350</v>
      </c>
      <c r="E983" s="123"/>
      <c r="F983" s="123"/>
      <c r="G983" s="123"/>
      <c r="H983" s="123"/>
      <c r="I983" s="311" t="s">
        <v>12873</v>
      </c>
    </row>
    <row r="984" spans="2:9">
      <c r="B984"/>
      <c r="C984" s="514">
        <v>1.6400000000000003E-4</v>
      </c>
      <c r="D984" s="196" t="s">
        <v>352</v>
      </c>
      <c r="E984" s="978">
        <v>1.7712000000000004E-4</v>
      </c>
      <c r="F984" s="978">
        <v>1.6072000000000002E-4</v>
      </c>
      <c r="G984" s="978">
        <v>1.6728000000000004E-4</v>
      </c>
      <c r="H984" s="978">
        <v>1.9024000000000002E-4</v>
      </c>
      <c r="I984" s="6">
        <v>0.17220000000000002</v>
      </c>
    </row>
    <row r="985" spans="2:9">
      <c r="B985"/>
      <c r="C985" s="514">
        <v>1.7200000000000001E-4</v>
      </c>
      <c r="D985" s="196" t="s">
        <v>351</v>
      </c>
      <c r="E985" s="978">
        <v>1.8576000000000001E-4</v>
      </c>
      <c r="F985" s="978">
        <v>1.6856E-4</v>
      </c>
      <c r="G985" s="978">
        <v>1.7544000000000001E-4</v>
      </c>
      <c r="H985" s="978">
        <v>1.9951999999999999E-4</v>
      </c>
      <c r="I985" s="610">
        <v>0.18060000000000001</v>
      </c>
    </row>
    <row r="986" spans="2:9">
      <c r="B986"/>
      <c r="C986" s="514">
        <v>1.8000000000000004E-4</v>
      </c>
      <c r="D986" s="196" t="s">
        <v>353</v>
      </c>
      <c r="E986" s="978">
        <v>1.9440000000000006E-4</v>
      </c>
      <c r="F986" s="978">
        <v>1.7640000000000003E-4</v>
      </c>
      <c r="G986" s="978">
        <v>1.8360000000000004E-4</v>
      </c>
      <c r="H986" s="978">
        <v>2.0880000000000003E-4</v>
      </c>
      <c r="I986" s="610">
        <v>0.18900000000000003</v>
      </c>
    </row>
    <row r="987" spans="2:9">
      <c r="B987"/>
      <c r="C987" s="514">
        <v>1.8800000000000002E-4</v>
      </c>
      <c r="D987" s="196" t="s">
        <v>584</v>
      </c>
      <c r="E987" s="978">
        <v>2.0304000000000003E-4</v>
      </c>
      <c r="F987" s="978">
        <v>1.8424000000000001E-4</v>
      </c>
      <c r="G987" s="978">
        <v>1.9176000000000002E-4</v>
      </c>
      <c r="H987" s="978">
        <v>2.1808E-4</v>
      </c>
      <c r="I987" s="610">
        <v>0.19740000000000002</v>
      </c>
    </row>
    <row r="988" spans="2:9">
      <c r="B988"/>
      <c r="C988" s="514">
        <v>1.9599999999999999E-4</v>
      </c>
      <c r="D988" s="196" t="s">
        <v>2107</v>
      </c>
      <c r="E988" s="978">
        <v>2.1168000000000001E-4</v>
      </c>
      <c r="F988" s="978">
        <v>1.9207999999999999E-4</v>
      </c>
      <c r="G988" s="978">
        <v>1.9992E-4</v>
      </c>
      <c r="H988" s="978">
        <v>2.2735999999999996E-4</v>
      </c>
      <c r="I988" s="610">
        <v>0.20579999999999998</v>
      </c>
    </row>
    <row r="989" spans="2:9">
      <c r="B989"/>
      <c r="C989" s="514">
        <v>2.0400000000000003E-4</v>
      </c>
      <c r="D989" s="196" t="s">
        <v>2108</v>
      </c>
      <c r="E989" s="978">
        <v>2.2032000000000003E-4</v>
      </c>
      <c r="F989" s="978">
        <v>1.9992000000000002E-4</v>
      </c>
      <c r="G989" s="978">
        <v>2.0808000000000003E-4</v>
      </c>
      <c r="H989" s="978">
        <v>2.3664000000000001E-4</v>
      </c>
      <c r="I989" s="610">
        <v>0.21420000000000003</v>
      </c>
    </row>
    <row r="990" spans="2:9">
      <c r="B990"/>
      <c r="C990" s="514">
        <v>2.12E-4</v>
      </c>
      <c r="D990" s="196" t="s">
        <v>354</v>
      </c>
      <c r="E990" s="978">
        <v>2.2896000000000003E-4</v>
      </c>
      <c r="F990" s="978">
        <v>2.0776E-4</v>
      </c>
      <c r="G990" s="978">
        <v>2.1624E-4</v>
      </c>
      <c r="H990" s="978">
        <v>2.4592E-4</v>
      </c>
      <c r="I990" s="610">
        <v>0.22259999999999999</v>
      </c>
    </row>
    <row r="991" spans="2:9">
      <c r="B991"/>
      <c r="C991" s="514">
        <v>2.2000000000000003E-4</v>
      </c>
      <c r="D991" s="196" t="s">
        <v>355</v>
      </c>
      <c r="E991" s="978">
        <v>2.3760000000000006E-4</v>
      </c>
      <c r="F991" s="978">
        <v>2.1560000000000004E-4</v>
      </c>
      <c r="G991" s="978">
        <v>2.2440000000000003E-4</v>
      </c>
      <c r="H991" s="978">
        <v>2.5520000000000002E-4</v>
      </c>
      <c r="I991" s="610">
        <v>0.23100000000000004</v>
      </c>
    </row>
    <row r="992" spans="2:9">
      <c r="B992"/>
      <c r="C992" s="514">
        <v>2.2800000000000007E-4</v>
      </c>
      <c r="D992" s="196" t="s">
        <v>3765</v>
      </c>
      <c r="E992" s="978">
        <v>2.4624000000000011E-4</v>
      </c>
      <c r="F992" s="978">
        <v>2.2344000000000007E-4</v>
      </c>
      <c r="G992" s="978">
        <v>2.3256000000000006E-4</v>
      </c>
      <c r="H992" s="978">
        <v>2.6448000000000004E-4</v>
      </c>
      <c r="I992" s="610">
        <v>0.23940000000000006</v>
      </c>
    </row>
    <row r="993" spans="2:11">
      <c r="B993"/>
      <c r="C993" s="514">
        <v>2.3600000000000002E-4</v>
      </c>
      <c r="D993" s="196" t="s">
        <v>3766</v>
      </c>
      <c r="E993" s="978">
        <v>2.5488000000000003E-4</v>
      </c>
      <c r="F993" s="978">
        <v>2.3128000000000002E-4</v>
      </c>
      <c r="G993" s="978">
        <v>2.4072000000000001E-4</v>
      </c>
      <c r="H993" s="978">
        <v>2.7376000000000001E-4</v>
      </c>
      <c r="I993" s="610">
        <v>0.24780000000000002</v>
      </c>
    </row>
    <row r="994" spans="2:11">
      <c r="B994"/>
      <c r="C994" s="514">
        <v>2.4399999999999999E-4</v>
      </c>
      <c r="D994" s="196" t="s">
        <v>4417</v>
      </c>
      <c r="E994" s="978">
        <v>2.6352E-4</v>
      </c>
      <c r="F994" s="978">
        <v>2.3912E-4</v>
      </c>
      <c r="G994" s="978">
        <v>2.4887999999999999E-4</v>
      </c>
      <c r="H994" s="978">
        <v>2.8303999999999997E-4</v>
      </c>
      <c r="I994" s="610">
        <v>0.25619999999999998</v>
      </c>
    </row>
    <row r="995" spans="2:11">
      <c r="B995"/>
      <c r="C995" s="514">
        <v>2.5200000000000005E-4</v>
      </c>
      <c r="D995" s="196" t="s">
        <v>4418</v>
      </c>
      <c r="E995" s="978">
        <v>2.7216000000000008E-4</v>
      </c>
      <c r="F995" s="978">
        <v>2.4696000000000006E-4</v>
      </c>
      <c r="G995" s="978">
        <v>2.5704000000000005E-4</v>
      </c>
      <c r="H995" s="978">
        <v>2.9232000000000005E-4</v>
      </c>
      <c r="I995" s="610">
        <v>0.26460000000000006</v>
      </c>
    </row>
    <row r="996" spans="2:11">
      <c r="B996"/>
      <c r="C996" s="514">
        <v>2.6000000000000003E-4</v>
      </c>
      <c r="D996" s="196" t="s">
        <v>4419</v>
      </c>
      <c r="E996" s="978">
        <v>2.8080000000000005E-4</v>
      </c>
      <c r="F996" s="978">
        <v>2.5480000000000001E-4</v>
      </c>
      <c r="G996" s="978">
        <v>2.6520000000000005E-4</v>
      </c>
      <c r="H996" s="978">
        <v>3.0160000000000001E-4</v>
      </c>
      <c r="I996" s="610">
        <v>0.27300000000000002</v>
      </c>
    </row>
    <row r="997" spans="2:11">
      <c r="B997"/>
      <c r="C997" s="514">
        <v>2.6800000000000001E-4</v>
      </c>
      <c r="D997" s="196" t="s">
        <v>4420</v>
      </c>
      <c r="E997" s="978">
        <v>2.8944000000000002E-4</v>
      </c>
      <c r="F997" s="978">
        <v>2.6264000000000002E-4</v>
      </c>
      <c r="G997" s="978">
        <v>2.7336E-4</v>
      </c>
      <c r="H997" s="978">
        <v>3.1087999999999998E-4</v>
      </c>
      <c r="I997" s="610">
        <v>0.28139999999999998</v>
      </c>
    </row>
    <row r="998" spans="2:11">
      <c r="B998"/>
      <c r="C998" s="514">
        <v>2.7600000000000004E-4</v>
      </c>
      <c r="D998" s="196" t="s">
        <v>4421</v>
      </c>
      <c r="E998" s="978">
        <v>2.9808000000000005E-4</v>
      </c>
      <c r="F998" s="978">
        <v>2.7048000000000003E-4</v>
      </c>
      <c r="G998" s="978">
        <v>2.8152000000000006E-4</v>
      </c>
      <c r="H998" s="978">
        <v>3.2016000000000005E-4</v>
      </c>
      <c r="I998" s="610">
        <v>0.28980000000000006</v>
      </c>
    </row>
    <row r="999" spans="2:11">
      <c r="B999"/>
      <c r="C999" s="514">
        <v>2.8400000000000007E-4</v>
      </c>
      <c r="D999" s="196" t="s">
        <v>4422</v>
      </c>
      <c r="E999" s="978">
        <v>3.0672000000000007E-4</v>
      </c>
      <c r="F999" s="978">
        <v>2.7832000000000009E-4</v>
      </c>
      <c r="G999" s="978">
        <v>2.8968000000000006E-4</v>
      </c>
      <c r="H999" s="978">
        <v>3.2944000000000007E-4</v>
      </c>
      <c r="I999" s="610">
        <v>0.29820000000000008</v>
      </c>
    </row>
    <row r="1000" spans="2:11">
      <c r="B1000"/>
      <c r="C1000" s="514">
        <v>2.92E-4</v>
      </c>
      <c r="D1000" s="196" t="s">
        <v>4423</v>
      </c>
      <c r="E1000" s="978">
        <v>3.1536000000000004E-4</v>
      </c>
      <c r="F1000" s="978">
        <v>2.8615999999999998E-4</v>
      </c>
      <c r="G1000" s="978">
        <v>2.9784000000000001E-4</v>
      </c>
      <c r="H1000" s="978">
        <v>3.3871999999999998E-4</v>
      </c>
      <c r="I1000" s="610">
        <v>0.30659999999999998</v>
      </c>
      <c r="K1000" s="610">
        <v>0.33112800000000003</v>
      </c>
    </row>
    <row r="1001" spans="2:11">
      <c r="B1001"/>
      <c r="C1001" s="514">
        <v>3.0000000000000003E-4</v>
      </c>
      <c r="D1001" s="196" t="s">
        <v>4424</v>
      </c>
      <c r="E1001" s="978">
        <v>3.2400000000000007E-4</v>
      </c>
      <c r="F1001" s="978">
        <v>2.9400000000000004E-4</v>
      </c>
      <c r="G1001" s="978">
        <v>3.0600000000000001E-4</v>
      </c>
      <c r="H1001" s="978">
        <v>3.48E-4</v>
      </c>
      <c r="I1001" s="610">
        <v>0.315</v>
      </c>
    </row>
    <row r="1002" spans="2:11">
      <c r="B1002"/>
      <c r="C1002" s="514">
        <v>3.0800000000000001E-4</v>
      </c>
      <c r="D1002" s="196" t="s">
        <v>4425</v>
      </c>
      <c r="E1002" s="978">
        <v>3.3264000000000004E-4</v>
      </c>
      <c r="F1002" s="978">
        <v>3.0184E-4</v>
      </c>
      <c r="G1002" s="978">
        <v>3.1416000000000001E-4</v>
      </c>
      <c r="H1002" s="978">
        <v>3.5727999999999997E-4</v>
      </c>
      <c r="I1002" s="610">
        <v>0.32340000000000002</v>
      </c>
    </row>
    <row r="1003" spans="2:11">
      <c r="C1003" s="514">
        <v>3.159999999999996E-4</v>
      </c>
      <c r="D1003" s="196" t="s">
        <v>4426</v>
      </c>
      <c r="E1003" s="978">
        <v>3.4127999999999958E-4</v>
      </c>
      <c r="F1003" s="978">
        <v>3.0967999999999962E-4</v>
      </c>
      <c r="G1003" s="978">
        <v>3.2231999999999958E-4</v>
      </c>
      <c r="H1003" s="978">
        <v>3.665599999999995E-4</v>
      </c>
      <c r="I1003" s="610">
        <v>0.3317999999999996</v>
      </c>
    </row>
    <row r="1004" spans="2:11">
      <c r="C1004" s="514">
        <v>3.2399999999999964E-4</v>
      </c>
      <c r="D1004" s="196" t="s">
        <v>8369</v>
      </c>
      <c r="E1004" s="978">
        <v>3.499199999999996E-4</v>
      </c>
      <c r="F1004" s="978">
        <v>3.1751999999999963E-4</v>
      </c>
      <c r="G1004" s="978">
        <v>3.3047999999999964E-4</v>
      </c>
      <c r="H1004" s="978">
        <v>3.7583999999999957E-4</v>
      </c>
      <c r="I1004" s="610">
        <v>0.34019999999999961</v>
      </c>
    </row>
    <row r="1005" spans="2:11">
      <c r="C1005" s="514">
        <v>3.3199999999999961E-4</v>
      </c>
      <c r="D1005" s="196" t="s">
        <v>4427</v>
      </c>
      <c r="E1005" s="978">
        <v>3.5855999999999963E-4</v>
      </c>
      <c r="F1005" s="978">
        <v>3.2535999999999964E-4</v>
      </c>
      <c r="G1005" s="978">
        <v>3.3863999999999959E-4</v>
      </c>
      <c r="H1005" s="978">
        <v>3.8511999999999954E-4</v>
      </c>
      <c r="I1005" s="610">
        <v>0.34859999999999958</v>
      </c>
    </row>
    <row r="1006" spans="2:11">
      <c r="C1006" s="514">
        <v>3.3999999999999964E-4</v>
      </c>
      <c r="D1006" s="196" t="s">
        <v>8368</v>
      </c>
      <c r="E1006" s="978">
        <v>3.6719999999999966E-4</v>
      </c>
      <c r="F1006" s="978">
        <v>3.3319999999999964E-4</v>
      </c>
      <c r="G1006" s="978">
        <v>3.4679999999999965E-4</v>
      </c>
      <c r="H1006" s="978">
        <v>3.9439999999999956E-4</v>
      </c>
      <c r="I1006" s="610">
        <v>0.35699999999999965</v>
      </c>
    </row>
    <row r="1007" spans="2:11">
      <c r="C1007" s="514">
        <v>3.4799999999999968E-4</v>
      </c>
      <c r="D1007" s="196" t="s">
        <v>4428</v>
      </c>
      <c r="E1007" s="978">
        <v>3.7583999999999968E-4</v>
      </c>
      <c r="F1007" s="978">
        <v>3.410399999999997E-4</v>
      </c>
      <c r="G1007" s="978">
        <v>3.5495999999999965E-4</v>
      </c>
      <c r="H1007" s="978">
        <v>4.0367999999999958E-4</v>
      </c>
      <c r="I1007" s="610">
        <v>0.36539999999999967</v>
      </c>
    </row>
    <row r="1008" spans="2:11">
      <c r="C1008" s="514">
        <v>3.5599999999999955E-4</v>
      </c>
      <c r="D1008" s="196" t="s">
        <v>4429</v>
      </c>
      <c r="E1008" s="978">
        <v>3.8447999999999954E-4</v>
      </c>
      <c r="F1008" s="978">
        <v>3.4887999999999955E-4</v>
      </c>
      <c r="G1008" s="978">
        <v>3.6311999999999955E-4</v>
      </c>
      <c r="H1008" s="978">
        <v>4.1295999999999943E-4</v>
      </c>
      <c r="I1008" s="610">
        <v>0.37379999999999952</v>
      </c>
    </row>
    <row r="1009" spans="2:16">
      <c r="C1009" s="6"/>
      <c r="D1009" s="196" t="s">
        <v>5661</v>
      </c>
      <c r="E1009" s="338"/>
      <c r="F1009" s="338"/>
      <c r="G1009" s="338"/>
      <c r="H1009" s="338"/>
      <c r="I1009" s="610"/>
    </row>
    <row r="1010" spans="2:16">
      <c r="C1010" s="6"/>
      <c r="D1010" s="196" t="s">
        <v>5661</v>
      </c>
      <c r="E1010" s="338"/>
      <c r="F1010" s="338"/>
      <c r="G1010" s="338"/>
      <c r="H1010" s="338"/>
    </row>
    <row r="1011" spans="2:16">
      <c r="C1011" s="6"/>
      <c r="D1011" s="196" t="s">
        <v>5661</v>
      </c>
      <c r="E1011" s="338"/>
      <c r="F1011" s="338"/>
      <c r="G1011" s="338"/>
      <c r="H1011" s="338"/>
    </row>
    <row r="1012" spans="2:16">
      <c r="C1012" s="6"/>
      <c r="D1012" s="196" t="s">
        <v>5661</v>
      </c>
      <c r="E1012" s="338"/>
      <c r="F1012" s="338"/>
      <c r="G1012" s="338"/>
      <c r="H1012" s="338"/>
    </row>
    <row r="1013" spans="2:16">
      <c r="C1013" s="6"/>
      <c r="D1013" s="196"/>
      <c r="E1013" s="338"/>
      <c r="F1013" s="338"/>
      <c r="G1013" s="338"/>
      <c r="H1013" s="338"/>
    </row>
    <row r="1014" spans="2:16">
      <c r="C1014" s="6"/>
      <c r="D1014" s="7" t="s">
        <v>525</v>
      </c>
    </row>
    <row r="1015" spans="2:16">
      <c r="C1015" s="6"/>
      <c r="D1015" s="7"/>
    </row>
    <row r="1016" spans="2:16">
      <c r="C1016" s="88" t="s">
        <v>959</v>
      </c>
      <c r="D1016" s="7"/>
      <c r="K1016"/>
      <c r="L1016"/>
      <c r="M1016"/>
      <c r="N1016"/>
      <c r="O1016"/>
    </row>
    <row r="1017" spans="2:16">
      <c r="C1017" s="6"/>
      <c r="D1017" s="7"/>
      <c r="E1017" s="127">
        <v>1.08</v>
      </c>
      <c r="F1017" s="127">
        <v>0.98</v>
      </c>
      <c r="G1017" s="127">
        <v>1.02</v>
      </c>
      <c r="H1017" s="127">
        <v>1.1599999999999999</v>
      </c>
      <c r="K1017"/>
      <c r="L1017"/>
      <c r="M1017"/>
      <c r="N1017"/>
      <c r="O1017"/>
    </row>
    <row r="1018" spans="2:16">
      <c r="C1018" s="6"/>
      <c r="D1018" s="7" t="s">
        <v>357</v>
      </c>
      <c r="E1018" s="6" t="s">
        <v>12868</v>
      </c>
      <c r="F1018" s="6" t="s">
        <v>238</v>
      </c>
      <c r="G1018" s="6" t="s">
        <v>239</v>
      </c>
      <c r="H1018" s="6" t="s">
        <v>240</v>
      </c>
      <c r="J1018"/>
      <c r="K1018"/>
      <c r="L1018"/>
      <c r="M1018"/>
      <c r="N1018"/>
      <c r="O1018"/>
      <c r="P1018"/>
    </row>
    <row r="1019" spans="2:16">
      <c r="B1019"/>
      <c r="C1019" s="6"/>
      <c r="D1019" s="196" t="s">
        <v>350</v>
      </c>
      <c r="E1019" s="123"/>
      <c r="F1019" s="123"/>
      <c r="G1019" s="123"/>
      <c r="H1019" s="123"/>
      <c r="J1019"/>
      <c r="K1019"/>
      <c r="L1019"/>
      <c r="M1019"/>
      <c r="N1019"/>
      <c r="O1019"/>
      <c r="P1019"/>
    </row>
    <row r="1020" spans="2:16">
      <c r="B1020"/>
      <c r="C1020" s="451">
        <v>1.5900499999999997</v>
      </c>
      <c r="D1020" s="196" t="s">
        <v>352</v>
      </c>
      <c r="E1020" s="338">
        <v>1.7172539999999998</v>
      </c>
      <c r="F1020" s="338">
        <v>1.5582489999999998</v>
      </c>
      <c r="G1020" s="338">
        <v>1.6218509999999997</v>
      </c>
      <c r="H1020" s="338">
        <v>1.8444579999999995</v>
      </c>
      <c r="J1020">
        <v>7.8</v>
      </c>
      <c r="K1020">
        <v>2.34</v>
      </c>
      <c r="L1020">
        <v>5.46</v>
      </c>
      <c r="M1020">
        <v>1.365</v>
      </c>
      <c r="N1020">
        <v>6.8250000000000005E-2</v>
      </c>
      <c r="O1020"/>
      <c r="P1020"/>
    </row>
    <row r="1021" spans="2:16">
      <c r="B1021" s="800"/>
      <c r="C1021" s="451">
        <v>1.4991900000000002</v>
      </c>
      <c r="D1021" s="196" t="s">
        <v>351</v>
      </c>
      <c r="E1021" s="338">
        <v>1.6191252000000003</v>
      </c>
      <c r="F1021" s="338">
        <v>1.4692062000000001</v>
      </c>
      <c r="G1021" s="338">
        <v>1.5291738000000004</v>
      </c>
      <c r="H1021" s="338">
        <v>1.7390604000000001</v>
      </c>
      <c r="J1021"/>
      <c r="K1021"/>
      <c r="L1021"/>
      <c r="M1021"/>
      <c r="N1021"/>
      <c r="O1021"/>
      <c r="P1021"/>
    </row>
    <row r="1022" spans="2:16">
      <c r="B1022" s="800"/>
      <c r="C1022" s="451">
        <v>1.4991900000000002</v>
      </c>
      <c r="D1022" s="196" t="s">
        <v>353</v>
      </c>
      <c r="E1022" s="338">
        <v>1.6191252000000003</v>
      </c>
      <c r="F1022" s="338">
        <v>1.4692062000000001</v>
      </c>
      <c r="G1022" s="338">
        <v>1.5291738000000004</v>
      </c>
      <c r="H1022" s="338">
        <v>1.7390604000000001</v>
      </c>
      <c r="J1022"/>
      <c r="K1022"/>
      <c r="L1022"/>
      <c r="M1022"/>
      <c r="N1022"/>
      <c r="O1022"/>
      <c r="P1022"/>
    </row>
    <row r="1023" spans="2:16">
      <c r="B1023" s="800"/>
      <c r="C1023" s="451">
        <v>1.63548</v>
      </c>
      <c r="D1023" s="196" t="s">
        <v>584</v>
      </c>
      <c r="E1023" s="338">
        <v>1.7663184000000001</v>
      </c>
      <c r="F1023" s="338">
        <v>1.6027704</v>
      </c>
      <c r="G1023" s="338">
        <v>1.6681896000000001</v>
      </c>
      <c r="H1023" s="338">
        <v>1.8971567999999999</v>
      </c>
      <c r="J1023"/>
      <c r="K1023"/>
      <c r="L1023"/>
      <c r="M1023"/>
      <c r="N1023"/>
      <c r="O1023"/>
      <c r="P1023"/>
    </row>
    <row r="1024" spans="2:16">
      <c r="B1024" s="800"/>
      <c r="C1024" s="451">
        <v>1.5900499999999997</v>
      </c>
      <c r="D1024" s="196" t="s">
        <v>2107</v>
      </c>
      <c r="E1024" s="338">
        <v>1.7172539999999998</v>
      </c>
      <c r="F1024" s="338">
        <v>1.5582489999999998</v>
      </c>
      <c r="G1024" s="338">
        <v>1.6218509999999997</v>
      </c>
      <c r="H1024" s="338">
        <v>1.8444579999999995</v>
      </c>
      <c r="J1024"/>
      <c r="K1024"/>
      <c r="L1024"/>
      <c r="M1024"/>
      <c r="N1024"/>
      <c r="O1024"/>
      <c r="P1024"/>
    </row>
    <row r="1025" spans="2:16">
      <c r="B1025" s="800"/>
      <c r="C1025" s="451">
        <v>1.5900499999999997</v>
      </c>
      <c r="D1025" s="196" t="s">
        <v>2108</v>
      </c>
      <c r="E1025" s="338">
        <v>1.7172539999999998</v>
      </c>
      <c r="F1025" s="338">
        <v>1.5582489999999998</v>
      </c>
      <c r="G1025" s="338">
        <v>1.6218509999999997</v>
      </c>
      <c r="H1025" s="338">
        <v>1.8444579999999995</v>
      </c>
      <c r="J1025"/>
      <c r="K1025"/>
      <c r="L1025"/>
      <c r="M1025"/>
      <c r="N1025"/>
      <c r="O1025"/>
      <c r="P1025"/>
    </row>
    <row r="1026" spans="2:16">
      <c r="B1026" s="800"/>
      <c r="C1026" s="451">
        <v>1.2720400000000003</v>
      </c>
      <c r="D1026" s="196" t="s">
        <v>354</v>
      </c>
      <c r="E1026" s="338">
        <v>1.3738032000000004</v>
      </c>
      <c r="F1026" s="338">
        <v>1.2465992000000004</v>
      </c>
      <c r="G1026" s="338">
        <v>1.2974808000000002</v>
      </c>
      <c r="H1026" s="338">
        <v>1.4755664000000002</v>
      </c>
      <c r="J1026"/>
      <c r="K1026"/>
      <c r="L1026"/>
      <c r="M1026"/>
      <c r="N1026"/>
      <c r="O1026"/>
      <c r="P1026"/>
    </row>
    <row r="1027" spans="2:16">
      <c r="B1027" s="800"/>
      <c r="C1027" s="451">
        <v>1.1811799999999999</v>
      </c>
      <c r="D1027" s="196" t="s">
        <v>355</v>
      </c>
      <c r="E1027" s="338">
        <v>1.2756744</v>
      </c>
      <c r="F1027" s="338">
        <v>1.1575563999999998</v>
      </c>
      <c r="G1027" s="338">
        <v>1.2048036</v>
      </c>
      <c r="H1027" s="338">
        <v>1.3701687999999999</v>
      </c>
      <c r="J1027"/>
      <c r="K1027"/>
      <c r="L1027"/>
      <c r="M1027"/>
      <c r="N1027"/>
      <c r="O1027"/>
      <c r="P1027"/>
    </row>
    <row r="1028" spans="2:16">
      <c r="B1028" s="800"/>
      <c r="C1028" s="451">
        <v>1.2266100000000002</v>
      </c>
      <c r="D1028" s="196" t="s">
        <v>3765</v>
      </c>
      <c r="E1028" s="338">
        <v>1.3247388000000002</v>
      </c>
      <c r="F1028" s="338">
        <v>1.2020778000000001</v>
      </c>
      <c r="G1028" s="338">
        <v>1.2511422000000003</v>
      </c>
      <c r="H1028" s="338">
        <v>1.4228676000000002</v>
      </c>
      <c r="J1028"/>
      <c r="K1028"/>
      <c r="L1028"/>
      <c r="M1028"/>
      <c r="N1028"/>
      <c r="O1028"/>
      <c r="P1028"/>
    </row>
    <row r="1029" spans="2:16">
      <c r="B1029" s="800"/>
      <c r="C1029" s="451">
        <v>1.2720400000000003</v>
      </c>
      <c r="D1029" s="196" t="s">
        <v>3766</v>
      </c>
      <c r="E1029" s="338">
        <v>1.3738032000000004</v>
      </c>
      <c r="F1029" s="338">
        <v>1.2465992000000004</v>
      </c>
      <c r="G1029" s="338">
        <v>1.2974808000000002</v>
      </c>
      <c r="H1029" s="338">
        <v>1.4755664000000002</v>
      </c>
      <c r="J1029"/>
      <c r="K1029"/>
      <c r="L1029"/>
      <c r="M1029"/>
      <c r="N1029"/>
      <c r="O1029"/>
      <c r="P1029"/>
    </row>
    <row r="1030" spans="2:16">
      <c r="B1030" s="800"/>
      <c r="C1030" s="451">
        <v>1.4083300000000003</v>
      </c>
      <c r="D1030" s="196" t="s">
        <v>4417</v>
      </c>
      <c r="E1030" s="338">
        <v>1.5209964000000005</v>
      </c>
      <c r="F1030" s="338">
        <v>1.3801634000000003</v>
      </c>
      <c r="G1030" s="338">
        <v>1.4364966000000003</v>
      </c>
      <c r="H1030" s="338">
        <v>1.6336628000000002</v>
      </c>
      <c r="J1030"/>
      <c r="K1030"/>
      <c r="L1030"/>
      <c r="M1030"/>
      <c r="N1030"/>
      <c r="O1030"/>
      <c r="P1030"/>
    </row>
    <row r="1031" spans="2:16">
      <c r="B1031" s="800"/>
      <c r="C1031" s="451">
        <v>1.4083300000000003</v>
      </c>
      <c r="D1031" s="196" t="s">
        <v>4418</v>
      </c>
      <c r="E1031" s="338">
        <v>1.5209964000000005</v>
      </c>
      <c r="F1031" s="338">
        <v>1.3801634000000003</v>
      </c>
      <c r="G1031" s="338">
        <v>1.4364966000000003</v>
      </c>
      <c r="H1031" s="338">
        <v>1.6336628000000002</v>
      </c>
      <c r="J1031"/>
      <c r="K1031"/>
      <c r="L1031"/>
      <c r="M1031"/>
      <c r="N1031"/>
      <c r="O1031"/>
      <c r="P1031"/>
    </row>
    <row r="1032" spans="2:16">
      <c r="B1032" s="800"/>
      <c r="C1032" s="451">
        <v>1.4083300000000003</v>
      </c>
      <c r="D1032" s="196" t="s">
        <v>4419</v>
      </c>
      <c r="E1032" s="338">
        <v>1.5209964000000005</v>
      </c>
      <c r="F1032" s="338">
        <v>1.3801634000000003</v>
      </c>
      <c r="G1032" s="338">
        <v>1.4364966000000003</v>
      </c>
      <c r="H1032" s="338">
        <v>1.6336628000000002</v>
      </c>
      <c r="J1032"/>
      <c r="K1032"/>
      <c r="L1032"/>
      <c r="M1032"/>
      <c r="N1032"/>
      <c r="O1032"/>
      <c r="P1032"/>
    </row>
    <row r="1033" spans="2:16">
      <c r="B1033" s="800"/>
      <c r="C1033" s="451">
        <v>1.4083300000000003</v>
      </c>
      <c r="D1033" s="196" t="s">
        <v>4420</v>
      </c>
      <c r="E1033" s="338">
        <v>1.5209964000000005</v>
      </c>
      <c r="F1033" s="338">
        <v>1.3801634000000003</v>
      </c>
      <c r="G1033" s="338">
        <v>1.4364966000000003</v>
      </c>
      <c r="H1033" s="338">
        <v>1.6336628000000002</v>
      </c>
      <c r="J1033"/>
      <c r="K1033"/>
      <c r="L1033"/>
      <c r="M1033"/>
      <c r="N1033"/>
      <c r="O1033"/>
      <c r="P1033"/>
    </row>
    <row r="1034" spans="2:16">
      <c r="B1034" s="800"/>
      <c r="C1034" s="451">
        <v>1.4083300000000003</v>
      </c>
      <c r="D1034" s="196" t="s">
        <v>4421</v>
      </c>
      <c r="E1034" s="338">
        <v>1.5209964000000005</v>
      </c>
      <c r="F1034" s="338">
        <v>1.3801634000000003</v>
      </c>
      <c r="G1034" s="338">
        <v>1.4364966000000003</v>
      </c>
      <c r="H1034" s="338">
        <v>1.6336628000000002</v>
      </c>
      <c r="J1034"/>
      <c r="K1034"/>
      <c r="L1034"/>
      <c r="M1034"/>
      <c r="N1034"/>
      <c r="O1034"/>
      <c r="P1034"/>
    </row>
    <row r="1035" spans="2:16">
      <c r="B1035" s="800"/>
      <c r="C1035" s="451">
        <v>1.4083300000000003</v>
      </c>
      <c r="D1035" s="196" t="s">
        <v>4422</v>
      </c>
      <c r="E1035" s="338">
        <v>1.5209964000000005</v>
      </c>
      <c r="F1035" s="338">
        <v>1.3801634000000003</v>
      </c>
      <c r="G1035" s="338">
        <v>1.4364966000000003</v>
      </c>
      <c r="H1035" s="338">
        <v>1.6336628000000002</v>
      </c>
      <c r="J1035"/>
      <c r="K1035"/>
      <c r="L1035"/>
      <c r="M1035"/>
      <c r="N1035"/>
      <c r="O1035"/>
      <c r="P1035"/>
    </row>
    <row r="1036" spans="2:16">
      <c r="B1036" s="800"/>
      <c r="C1036" s="451">
        <v>1.4083300000000003</v>
      </c>
      <c r="D1036" s="196" t="s">
        <v>4423</v>
      </c>
      <c r="E1036" s="338">
        <v>1.5209964000000005</v>
      </c>
      <c r="F1036" s="338">
        <v>1.3801634000000003</v>
      </c>
      <c r="G1036" s="338">
        <v>1.4364966000000003</v>
      </c>
      <c r="H1036" s="338">
        <v>1.6336628000000002</v>
      </c>
      <c r="J1036"/>
      <c r="K1036"/>
      <c r="L1036"/>
      <c r="M1036"/>
      <c r="N1036"/>
      <c r="O1036"/>
      <c r="P1036"/>
    </row>
    <row r="1037" spans="2:16">
      <c r="B1037" s="800"/>
      <c r="C1037" s="451">
        <v>1.4991900000000002</v>
      </c>
      <c r="D1037" s="196" t="s">
        <v>4424</v>
      </c>
      <c r="E1037" s="338">
        <v>1.6191252000000003</v>
      </c>
      <c r="F1037" s="338">
        <v>1.4692062000000001</v>
      </c>
      <c r="G1037" s="338">
        <v>1.5291738000000004</v>
      </c>
      <c r="H1037" s="338">
        <v>1.7390604000000001</v>
      </c>
      <c r="J1037"/>
      <c r="K1037"/>
      <c r="L1037"/>
      <c r="M1037"/>
      <c r="N1037"/>
      <c r="O1037"/>
      <c r="P1037"/>
    </row>
    <row r="1038" spans="2:16">
      <c r="B1038" s="800"/>
      <c r="C1038" s="451">
        <v>1.4991900000000002</v>
      </c>
      <c r="D1038" s="196" t="s">
        <v>4425</v>
      </c>
      <c r="E1038" s="338">
        <v>1.6191252000000003</v>
      </c>
      <c r="F1038" s="338">
        <v>1.4692062000000001</v>
      </c>
      <c r="G1038" s="338">
        <v>1.5291738000000004</v>
      </c>
      <c r="H1038" s="338">
        <v>1.7390604000000001</v>
      </c>
      <c r="J1038"/>
      <c r="K1038"/>
      <c r="L1038"/>
      <c r="M1038"/>
      <c r="N1038"/>
      <c r="O1038"/>
      <c r="P1038"/>
    </row>
    <row r="1039" spans="2:16">
      <c r="B1039" s="800"/>
      <c r="C1039" s="451">
        <v>1.4991900000000002</v>
      </c>
      <c r="D1039" s="196" t="s">
        <v>4426</v>
      </c>
      <c r="E1039" s="338">
        <v>1.6191252000000003</v>
      </c>
      <c r="F1039" s="338">
        <v>1.4692062000000001</v>
      </c>
      <c r="G1039" s="338">
        <v>1.5291738000000004</v>
      </c>
      <c r="H1039" s="338">
        <v>1.7390604000000001</v>
      </c>
      <c r="J1039"/>
      <c r="K1039"/>
      <c r="L1039"/>
      <c r="M1039"/>
      <c r="N1039"/>
      <c r="O1039"/>
      <c r="P1039"/>
    </row>
    <row r="1040" spans="2:16">
      <c r="B1040" s="800"/>
      <c r="C1040" s="451">
        <v>1.4991900000000002</v>
      </c>
      <c r="D1040" s="196" t="s">
        <v>8369</v>
      </c>
      <c r="E1040" s="338">
        <v>1.6191252000000003</v>
      </c>
      <c r="F1040" s="338">
        <v>1.4692062000000001</v>
      </c>
      <c r="G1040" s="338">
        <v>1.5291738000000004</v>
      </c>
      <c r="H1040" s="338">
        <v>1.7390604000000001</v>
      </c>
      <c r="J1040"/>
      <c r="K1040"/>
      <c r="L1040"/>
      <c r="M1040"/>
      <c r="N1040"/>
      <c r="O1040"/>
      <c r="P1040"/>
    </row>
    <row r="1041" spans="2:16">
      <c r="B1041" s="800"/>
      <c r="C1041" s="451">
        <v>1.4991900000000002</v>
      </c>
      <c r="D1041" s="196" t="s">
        <v>4427</v>
      </c>
      <c r="E1041" s="338">
        <v>1.6191252000000003</v>
      </c>
      <c r="F1041" s="338">
        <v>1.4692062000000001</v>
      </c>
      <c r="G1041" s="338">
        <v>1.5291738000000004</v>
      </c>
      <c r="H1041" s="338">
        <v>1.7390604000000001</v>
      </c>
      <c r="J1041"/>
      <c r="K1041"/>
      <c r="L1041"/>
      <c r="M1041"/>
      <c r="N1041"/>
      <c r="O1041"/>
      <c r="P1041"/>
    </row>
    <row r="1042" spans="2:16">
      <c r="B1042" s="800"/>
      <c r="C1042" s="451">
        <v>1.4991900000000002</v>
      </c>
      <c r="D1042" s="196" t="s">
        <v>8368</v>
      </c>
      <c r="E1042" s="338">
        <v>1.6191252000000003</v>
      </c>
      <c r="F1042" s="338">
        <v>1.4692062000000001</v>
      </c>
      <c r="G1042" s="338">
        <v>1.5291738000000004</v>
      </c>
      <c r="H1042" s="338">
        <v>1.7390604000000001</v>
      </c>
      <c r="J1042"/>
      <c r="K1042"/>
      <c r="L1042"/>
      <c r="M1042"/>
      <c r="N1042"/>
      <c r="O1042"/>
      <c r="P1042"/>
    </row>
    <row r="1043" spans="2:16">
      <c r="B1043" s="800"/>
      <c r="C1043" s="451">
        <v>1.3629</v>
      </c>
      <c r="D1043" s="196" t="s">
        <v>4428</v>
      </c>
      <c r="E1043" s="338">
        <v>1.471932</v>
      </c>
      <c r="F1043" s="338">
        <v>1.335642</v>
      </c>
      <c r="G1043" s="338">
        <v>1.390158</v>
      </c>
      <c r="H1043" s="338">
        <v>1.5809639999999998</v>
      </c>
      <c r="J1043"/>
      <c r="K1043"/>
      <c r="L1043"/>
      <c r="M1043"/>
      <c r="N1043"/>
      <c r="O1043"/>
      <c r="P1043"/>
    </row>
    <row r="1044" spans="2:16">
      <c r="B1044" s="800"/>
      <c r="C1044" s="451">
        <v>1.3629</v>
      </c>
      <c r="D1044" s="196" t="s">
        <v>4429</v>
      </c>
      <c r="E1044" s="338">
        <v>1.471932</v>
      </c>
      <c r="F1044" s="338">
        <v>1.335642</v>
      </c>
      <c r="G1044" s="338">
        <v>1.390158</v>
      </c>
      <c r="H1044" s="338">
        <v>1.5809639999999998</v>
      </c>
      <c r="J1044"/>
      <c r="K1044"/>
      <c r="L1044"/>
      <c r="M1044"/>
      <c r="N1044"/>
      <c r="O1044"/>
      <c r="P1044"/>
    </row>
    <row r="1045" spans="2:16">
      <c r="C1045" s="6"/>
      <c r="D1045" s="196" t="s">
        <v>5661</v>
      </c>
      <c r="E1045" s="338"/>
      <c r="F1045" s="338"/>
      <c r="G1045" s="338"/>
      <c r="H1045" s="338"/>
      <c r="J1045"/>
      <c r="K1045"/>
      <c r="L1045"/>
      <c r="M1045"/>
      <c r="N1045"/>
      <c r="O1045"/>
      <c r="P1045"/>
    </row>
    <row r="1046" spans="2:16">
      <c r="C1046" s="6"/>
      <c r="D1046" s="196" t="s">
        <v>5661</v>
      </c>
      <c r="E1046" s="338"/>
      <c r="F1046" s="338"/>
      <c r="G1046" s="338"/>
      <c r="H1046" s="338"/>
      <c r="J1046"/>
      <c r="K1046"/>
      <c r="L1046"/>
      <c r="M1046"/>
      <c r="N1046"/>
      <c r="O1046"/>
      <c r="P1046"/>
    </row>
    <row r="1047" spans="2:16">
      <c r="C1047" s="6"/>
      <c r="D1047" s="196" t="s">
        <v>5661</v>
      </c>
      <c r="E1047" s="338"/>
      <c r="F1047" s="338"/>
      <c r="G1047" s="338"/>
      <c r="H1047" s="338"/>
      <c r="J1047"/>
      <c r="K1047"/>
      <c r="L1047"/>
      <c r="M1047"/>
      <c r="N1047"/>
      <c r="O1047"/>
      <c r="P1047"/>
    </row>
    <row r="1048" spans="2:16">
      <c r="C1048" s="6"/>
      <c r="D1048" s="196" t="s">
        <v>5661</v>
      </c>
      <c r="E1048" s="338"/>
      <c r="F1048" s="338"/>
      <c r="G1048" s="338"/>
      <c r="H1048" s="338"/>
      <c r="J1048"/>
      <c r="K1048"/>
      <c r="L1048"/>
      <c r="M1048"/>
      <c r="N1048"/>
      <c r="O1048"/>
      <c r="P1048"/>
    </row>
    <row r="1049" spans="2:16">
      <c r="C1049" s="6"/>
      <c r="D1049" s="196"/>
      <c r="E1049" s="338"/>
      <c r="F1049" s="338"/>
      <c r="G1049" s="338"/>
      <c r="H1049" s="338"/>
      <c r="J1049"/>
      <c r="K1049"/>
      <c r="L1049"/>
      <c r="M1049"/>
      <c r="N1049"/>
      <c r="O1049"/>
      <c r="P1049"/>
    </row>
    <row r="1050" spans="2:16">
      <c r="C1050" s="6"/>
      <c r="D1050" s="7" t="s">
        <v>958</v>
      </c>
      <c r="J1050"/>
      <c r="K1050"/>
      <c r="L1050"/>
      <c r="M1050"/>
      <c r="N1050"/>
      <c r="O1050"/>
      <c r="P1050"/>
    </row>
    <row r="1051" spans="2:16">
      <c r="C1051" s="6"/>
      <c r="D1051" s="7"/>
    </row>
    <row r="1052" spans="2:16">
      <c r="C1052" s="88" t="s">
        <v>968</v>
      </c>
      <c r="D1052" s="7"/>
    </row>
    <row r="1053" spans="2:16">
      <c r="C1053" s="6"/>
      <c r="D1053" s="7"/>
      <c r="E1053" s="127">
        <v>1.08</v>
      </c>
      <c r="F1053" s="127">
        <v>0.98</v>
      </c>
      <c r="G1053" s="127">
        <v>1.02</v>
      </c>
      <c r="H1053" s="127">
        <v>1.1599999999999999</v>
      </c>
    </row>
    <row r="1054" spans="2:16">
      <c r="C1054" s="6"/>
      <c r="D1054" s="7" t="s">
        <v>357</v>
      </c>
      <c r="E1054" s="6" t="s">
        <v>12868</v>
      </c>
      <c r="F1054" s="6" t="s">
        <v>238</v>
      </c>
      <c r="G1054" s="6" t="s">
        <v>239</v>
      </c>
      <c r="H1054" s="6" t="s">
        <v>240</v>
      </c>
    </row>
    <row r="1055" spans="2:16">
      <c r="B1055"/>
      <c r="C1055" s="6"/>
      <c r="D1055" s="196" t="s">
        <v>350</v>
      </c>
      <c r="E1055" s="123"/>
      <c r="F1055" s="123"/>
      <c r="G1055" s="123"/>
      <c r="H1055" s="123"/>
    </row>
    <row r="1056" spans="2:16">
      <c r="B1056"/>
      <c r="C1056" s="440">
        <v>4.6766176470588228E-2</v>
      </c>
      <c r="D1056" s="196" t="s">
        <v>352</v>
      </c>
      <c r="E1056" s="512">
        <v>5.0507470588235293E-2</v>
      </c>
      <c r="F1056" s="512">
        <v>4.5830852941176461E-2</v>
      </c>
      <c r="G1056" s="512">
        <v>4.7701499999999994E-2</v>
      </c>
      <c r="H1056" s="512">
        <v>5.4248764705882344E-2</v>
      </c>
      <c r="I1056" s="610">
        <v>0.23383088235294114</v>
      </c>
    </row>
    <row r="1057" spans="2:9">
      <c r="B1057"/>
      <c r="C1057" s="440">
        <v>4.4093823529411769E-2</v>
      </c>
      <c r="D1057" s="196" t="s">
        <v>351</v>
      </c>
      <c r="E1057" s="512">
        <v>4.7621329411764717E-2</v>
      </c>
      <c r="F1057" s="512">
        <v>4.321194705882353E-2</v>
      </c>
      <c r="G1057" s="512">
        <v>4.4975700000000007E-2</v>
      </c>
      <c r="H1057" s="512">
        <v>5.1148835294117651E-2</v>
      </c>
      <c r="I1057" s="610">
        <v>0.22046911764705884</v>
      </c>
    </row>
    <row r="1058" spans="2:9">
      <c r="B1058"/>
      <c r="C1058" s="440">
        <v>4.4093823529411769E-2</v>
      </c>
      <c r="D1058" s="196" t="s">
        <v>353</v>
      </c>
      <c r="E1058" s="512">
        <v>4.7621329411764717E-2</v>
      </c>
      <c r="F1058" s="512">
        <v>4.321194705882353E-2</v>
      </c>
      <c r="G1058" s="512">
        <v>4.4975700000000007E-2</v>
      </c>
      <c r="H1058" s="512">
        <v>5.1148835294117651E-2</v>
      </c>
      <c r="I1058" s="610">
        <v>0.22046911764705884</v>
      </c>
    </row>
    <row r="1059" spans="2:9">
      <c r="B1059"/>
      <c r="C1059" s="440">
        <v>4.8102352941176471E-2</v>
      </c>
      <c r="D1059" s="196" t="s">
        <v>584</v>
      </c>
      <c r="E1059" s="512">
        <v>5.1950541176470591E-2</v>
      </c>
      <c r="F1059" s="512">
        <v>4.7140305882352941E-2</v>
      </c>
      <c r="G1059" s="512">
        <v>4.9064400000000001E-2</v>
      </c>
      <c r="H1059" s="512">
        <v>5.5798729411764704E-2</v>
      </c>
      <c r="I1059" s="610">
        <v>0.24051176470588237</v>
      </c>
    </row>
    <row r="1060" spans="2:9">
      <c r="B1060"/>
      <c r="C1060" s="440">
        <v>4.6766176470588228E-2</v>
      </c>
      <c r="D1060" s="196" t="s">
        <v>2107</v>
      </c>
      <c r="E1060" s="512">
        <v>5.0507470588235293E-2</v>
      </c>
      <c r="F1060" s="512">
        <v>4.5830852941176461E-2</v>
      </c>
      <c r="G1060" s="512">
        <v>4.7701499999999994E-2</v>
      </c>
      <c r="H1060" s="512">
        <v>5.4248764705882344E-2</v>
      </c>
      <c r="I1060" s="610">
        <v>0.23383088235294114</v>
      </c>
    </row>
    <row r="1061" spans="2:9">
      <c r="B1061"/>
      <c r="C1061" s="440">
        <v>4.6766176470588228E-2</v>
      </c>
      <c r="D1061" s="196" t="s">
        <v>2108</v>
      </c>
      <c r="E1061" s="512">
        <v>5.0507470588235293E-2</v>
      </c>
      <c r="F1061" s="512">
        <v>4.5830852941176461E-2</v>
      </c>
      <c r="G1061" s="512">
        <v>4.7701499999999994E-2</v>
      </c>
      <c r="H1061" s="512">
        <v>5.4248764705882344E-2</v>
      </c>
      <c r="I1061" s="610">
        <v>0.23383088235294114</v>
      </c>
    </row>
    <row r="1062" spans="2:9">
      <c r="B1062"/>
      <c r="C1062" s="440">
        <v>3.7412941176470593E-2</v>
      </c>
      <c r="D1062" s="196" t="s">
        <v>354</v>
      </c>
      <c r="E1062" s="512">
        <v>4.0405976470588245E-2</v>
      </c>
      <c r="F1062" s="512">
        <v>3.666468235294118E-2</v>
      </c>
      <c r="G1062" s="512">
        <v>3.8161200000000006E-2</v>
      </c>
      <c r="H1062" s="512">
        <v>4.3399011764705883E-2</v>
      </c>
      <c r="I1062" s="610">
        <v>0.18706470588235297</v>
      </c>
    </row>
    <row r="1063" spans="2:9">
      <c r="B1063"/>
      <c r="C1063" s="440">
        <v>3.4740588235294113E-2</v>
      </c>
      <c r="D1063" s="196" t="s">
        <v>355</v>
      </c>
      <c r="E1063" s="512">
        <v>3.7519835294117648E-2</v>
      </c>
      <c r="F1063" s="512">
        <v>3.4045776470588228E-2</v>
      </c>
      <c r="G1063" s="512">
        <v>3.5435399999999999E-2</v>
      </c>
      <c r="H1063" s="512">
        <v>4.0299082352941169E-2</v>
      </c>
      <c r="I1063" s="610">
        <v>0.17370294117647056</v>
      </c>
    </row>
    <row r="1064" spans="2:9">
      <c r="B1064"/>
      <c r="C1064" s="440">
        <v>3.6076764705882357E-2</v>
      </c>
      <c r="D1064" s="196" t="s">
        <v>3765</v>
      </c>
      <c r="E1064" s="512">
        <v>3.8962905882352947E-2</v>
      </c>
      <c r="F1064" s="512">
        <v>3.5355229411764708E-2</v>
      </c>
      <c r="G1064" s="512">
        <v>3.6798300000000006E-2</v>
      </c>
      <c r="H1064" s="512">
        <v>4.184904705882353E-2</v>
      </c>
      <c r="I1064" s="610">
        <v>0.18038382352941179</v>
      </c>
    </row>
    <row r="1065" spans="2:9">
      <c r="B1065"/>
      <c r="C1065" s="440">
        <v>3.7412941176470593E-2</v>
      </c>
      <c r="D1065" s="196" t="s">
        <v>3766</v>
      </c>
      <c r="E1065" s="512">
        <v>4.0405976470588245E-2</v>
      </c>
      <c r="F1065" s="512">
        <v>3.666468235294118E-2</v>
      </c>
      <c r="G1065" s="512">
        <v>3.8161200000000006E-2</v>
      </c>
      <c r="H1065" s="512">
        <v>4.3399011764705883E-2</v>
      </c>
      <c r="I1065" s="610">
        <v>0.18706470588235297</v>
      </c>
    </row>
    <row r="1066" spans="2:9">
      <c r="B1066"/>
      <c r="C1066" s="440">
        <v>4.1421470588235303E-2</v>
      </c>
      <c r="D1066" s="196" t="s">
        <v>4417</v>
      </c>
      <c r="E1066" s="512">
        <v>4.4735188235294127E-2</v>
      </c>
      <c r="F1066" s="512">
        <v>4.0593041176470598E-2</v>
      </c>
      <c r="G1066" s="512">
        <v>4.2249900000000007E-2</v>
      </c>
      <c r="H1066" s="512">
        <v>4.8048905882352951E-2</v>
      </c>
      <c r="I1066" s="610">
        <v>0.20710735294117652</v>
      </c>
    </row>
    <row r="1067" spans="2:9">
      <c r="B1067"/>
      <c r="C1067" s="440">
        <v>4.1421470588235303E-2</v>
      </c>
      <c r="D1067" s="196" t="s">
        <v>4418</v>
      </c>
      <c r="E1067" s="512">
        <v>4.4735188235294127E-2</v>
      </c>
      <c r="F1067" s="512">
        <v>4.0593041176470598E-2</v>
      </c>
      <c r="G1067" s="512">
        <v>4.2249900000000007E-2</v>
      </c>
      <c r="H1067" s="512">
        <v>4.8048905882352951E-2</v>
      </c>
      <c r="I1067" s="610">
        <v>0.20710735294117652</v>
      </c>
    </row>
    <row r="1068" spans="2:9">
      <c r="B1068"/>
      <c r="C1068" s="440">
        <v>4.1421470588235303E-2</v>
      </c>
      <c r="D1068" s="196" t="s">
        <v>4419</v>
      </c>
      <c r="E1068" s="512">
        <v>4.4735188235294127E-2</v>
      </c>
      <c r="F1068" s="512">
        <v>4.0593041176470598E-2</v>
      </c>
      <c r="G1068" s="512">
        <v>4.2249900000000007E-2</v>
      </c>
      <c r="H1068" s="512">
        <v>4.8048905882352951E-2</v>
      </c>
      <c r="I1068" s="610">
        <v>0.20710735294117652</v>
      </c>
    </row>
    <row r="1069" spans="2:9">
      <c r="B1069"/>
      <c r="C1069" s="440">
        <v>4.1421470588235303E-2</v>
      </c>
      <c r="D1069" s="196" t="s">
        <v>4420</v>
      </c>
      <c r="E1069" s="512">
        <v>4.4735188235294127E-2</v>
      </c>
      <c r="F1069" s="512">
        <v>4.0593041176470598E-2</v>
      </c>
      <c r="G1069" s="512">
        <v>4.2249900000000007E-2</v>
      </c>
      <c r="H1069" s="512">
        <v>4.8048905882352951E-2</v>
      </c>
      <c r="I1069" s="610">
        <v>0.20710735294117652</v>
      </c>
    </row>
    <row r="1070" spans="2:9">
      <c r="B1070"/>
      <c r="C1070" s="440">
        <v>4.1421470588235303E-2</v>
      </c>
      <c r="D1070" s="196" t="s">
        <v>4421</v>
      </c>
      <c r="E1070" s="512">
        <v>4.4735188235294127E-2</v>
      </c>
      <c r="F1070" s="512">
        <v>4.0593041176470598E-2</v>
      </c>
      <c r="G1070" s="512">
        <v>4.2249900000000007E-2</v>
      </c>
      <c r="H1070" s="512">
        <v>4.8048905882352951E-2</v>
      </c>
      <c r="I1070" s="610">
        <v>0.20710735294117652</v>
      </c>
    </row>
    <row r="1071" spans="2:9">
      <c r="B1071"/>
      <c r="C1071" s="440">
        <v>4.1421470588235303E-2</v>
      </c>
      <c r="D1071" s="196" t="s">
        <v>4422</v>
      </c>
      <c r="E1071" s="512">
        <v>4.4735188235294127E-2</v>
      </c>
      <c r="F1071" s="512">
        <v>4.0593041176470598E-2</v>
      </c>
      <c r="G1071" s="512">
        <v>4.2249900000000007E-2</v>
      </c>
      <c r="H1071" s="512">
        <v>4.8048905882352951E-2</v>
      </c>
      <c r="I1071" s="610">
        <v>0.20710735294117652</v>
      </c>
    </row>
    <row r="1072" spans="2:9">
      <c r="B1072"/>
      <c r="C1072" s="440">
        <v>4.1421470588235303E-2</v>
      </c>
      <c r="D1072" s="196" t="s">
        <v>4423</v>
      </c>
      <c r="E1072" s="512">
        <v>4.4735188235294127E-2</v>
      </c>
      <c r="F1072" s="512">
        <v>4.0593041176470598E-2</v>
      </c>
      <c r="G1072" s="512">
        <v>4.2249900000000007E-2</v>
      </c>
      <c r="H1072" s="512">
        <v>4.8048905882352951E-2</v>
      </c>
      <c r="I1072" s="610">
        <v>0.20710735294117652</v>
      </c>
    </row>
    <row r="1073" spans="2:9">
      <c r="B1073"/>
      <c r="C1073" s="440">
        <v>4.4093823529411769E-2</v>
      </c>
      <c r="D1073" s="196" t="s">
        <v>4424</v>
      </c>
      <c r="E1073" s="512">
        <v>4.7621329411764717E-2</v>
      </c>
      <c r="F1073" s="512">
        <v>4.321194705882353E-2</v>
      </c>
      <c r="G1073" s="512">
        <v>4.4975700000000007E-2</v>
      </c>
      <c r="H1073" s="512">
        <v>5.1148835294117651E-2</v>
      </c>
      <c r="I1073" s="610">
        <v>0.22046911764705884</v>
      </c>
    </row>
    <row r="1074" spans="2:9">
      <c r="B1074"/>
      <c r="C1074" s="440">
        <v>4.4093823529411769E-2</v>
      </c>
      <c r="D1074" s="196" t="s">
        <v>4425</v>
      </c>
      <c r="E1074" s="512">
        <v>4.7621329411764717E-2</v>
      </c>
      <c r="F1074" s="512">
        <v>4.321194705882353E-2</v>
      </c>
      <c r="G1074" s="512">
        <v>4.4975700000000007E-2</v>
      </c>
      <c r="H1074" s="512">
        <v>5.1148835294117651E-2</v>
      </c>
      <c r="I1074" s="610">
        <v>0.22046911764705884</v>
      </c>
    </row>
    <row r="1075" spans="2:9">
      <c r="C1075" s="440">
        <v>4.4093823529411769E-2</v>
      </c>
      <c r="D1075" s="196" t="s">
        <v>4426</v>
      </c>
      <c r="E1075" s="512">
        <v>4.7621329411764717E-2</v>
      </c>
      <c r="F1075" s="512">
        <v>4.321194705882353E-2</v>
      </c>
      <c r="G1075" s="512">
        <v>4.4975700000000007E-2</v>
      </c>
      <c r="H1075" s="512">
        <v>5.1148835294117651E-2</v>
      </c>
      <c r="I1075" s="610">
        <v>0.22046911764705884</v>
      </c>
    </row>
    <row r="1076" spans="2:9">
      <c r="C1076" s="440">
        <v>4.4093823529411769E-2</v>
      </c>
      <c r="D1076" s="196" t="s">
        <v>8369</v>
      </c>
      <c r="E1076" s="512">
        <v>4.7621329411764717E-2</v>
      </c>
      <c r="F1076" s="512">
        <v>4.321194705882353E-2</v>
      </c>
      <c r="G1076" s="512">
        <v>4.4975700000000007E-2</v>
      </c>
      <c r="H1076" s="512">
        <v>5.1148835294117651E-2</v>
      </c>
      <c r="I1076" s="610">
        <v>0.22046911764705884</v>
      </c>
    </row>
    <row r="1077" spans="2:9">
      <c r="C1077" s="440">
        <v>4.4093823529411769E-2</v>
      </c>
      <c r="D1077" s="196" t="s">
        <v>4427</v>
      </c>
      <c r="E1077" s="512">
        <v>4.7621329411764717E-2</v>
      </c>
      <c r="F1077" s="512">
        <v>4.321194705882353E-2</v>
      </c>
      <c r="G1077" s="512">
        <v>4.4975700000000007E-2</v>
      </c>
      <c r="H1077" s="512">
        <v>5.1148835294117651E-2</v>
      </c>
      <c r="I1077" s="610">
        <v>0.22046911764705884</v>
      </c>
    </row>
    <row r="1078" spans="2:9">
      <c r="C1078" s="440">
        <v>4.4093823529411769E-2</v>
      </c>
      <c r="D1078" s="196" t="s">
        <v>8368</v>
      </c>
      <c r="E1078" s="512">
        <v>4.7621329411764717E-2</v>
      </c>
      <c r="F1078" s="512">
        <v>4.321194705882353E-2</v>
      </c>
      <c r="G1078" s="512">
        <v>4.4975700000000007E-2</v>
      </c>
      <c r="H1078" s="512">
        <v>5.1148835294117651E-2</v>
      </c>
      <c r="I1078" s="610">
        <v>0.22046911764705884</v>
      </c>
    </row>
    <row r="1079" spans="2:9">
      <c r="C1079" s="440">
        <v>4.0085294117647059E-2</v>
      </c>
      <c r="D1079" s="196" t="s">
        <v>4428</v>
      </c>
      <c r="E1079" s="512">
        <v>4.3292117647058828E-2</v>
      </c>
      <c r="F1079" s="512">
        <v>3.9283588235294119E-2</v>
      </c>
      <c r="G1079" s="512">
        <v>4.0887E-2</v>
      </c>
      <c r="H1079" s="512">
        <v>4.6498941176470583E-2</v>
      </c>
      <c r="I1079" s="610">
        <v>0.20042647058823529</v>
      </c>
    </row>
    <row r="1080" spans="2:9">
      <c r="C1080" s="440">
        <v>4.0085294117647059E-2</v>
      </c>
      <c r="D1080" s="196" t="s">
        <v>4429</v>
      </c>
      <c r="E1080" s="512">
        <v>4.3292117647058828E-2</v>
      </c>
      <c r="F1080" s="512">
        <v>3.9283588235294119E-2</v>
      </c>
      <c r="G1080" s="512">
        <v>4.0887E-2</v>
      </c>
      <c r="H1080" s="512">
        <v>4.6498941176470583E-2</v>
      </c>
      <c r="I1080" s="610">
        <v>0.20042647058823529</v>
      </c>
    </row>
    <row r="1081" spans="2:9">
      <c r="C1081" s="6"/>
      <c r="D1081" s="196" t="s">
        <v>5661</v>
      </c>
      <c r="E1081" s="123"/>
      <c r="F1081" s="123"/>
      <c r="G1081" s="123"/>
      <c r="H1081" s="123"/>
    </row>
    <row r="1082" spans="2:9">
      <c r="C1082" s="6"/>
      <c r="D1082" s="196" t="s">
        <v>5661</v>
      </c>
      <c r="E1082" s="123"/>
      <c r="F1082" s="123"/>
      <c r="G1082" s="123"/>
      <c r="H1082" s="123"/>
    </row>
    <row r="1083" spans="2:9">
      <c r="C1083" s="6"/>
      <c r="D1083" s="196" t="s">
        <v>5661</v>
      </c>
      <c r="E1083" s="123"/>
      <c r="F1083" s="123"/>
      <c r="G1083" s="123"/>
      <c r="H1083" s="123"/>
    </row>
    <row r="1084" spans="2:9">
      <c r="C1084" s="6"/>
      <c r="D1084" s="196" t="s">
        <v>5661</v>
      </c>
      <c r="E1084" s="123"/>
      <c r="F1084" s="123"/>
      <c r="G1084" s="123"/>
      <c r="H1084" s="123"/>
    </row>
    <row r="1085" spans="2:9">
      <c r="C1085" s="6"/>
      <c r="D1085" s="196"/>
      <c r="E1085" s="123"/>
      <c r="F1085" s="123"/>
      <c r="G1085" s="123"/>
      <c r="H1085" s="123"/>
    </row>
    <row r="1086" spans="2:9">
      <c r="C1086" s="6"/>
      <c r="D1086" s="7" t="s">
        <v>970</v>
      </c>
    </row>
    <row r="1087" spans="2:9">
      <c r="C1087" s="6"/>
      <c r="D1087" s="7"/>
    </row>
    <row r="1088" spans="2:9">
      <c r="C1088" s="88" t="s">
        <v>1280</v>
      </c>
      <c r="D1088" s="7"/>
    </row>
    <row r="1089" spans="3:8">
      <c r="C1089" s="6"/>
      <c r="D1089" s="7"/>
      <c r="E1089" s="127">
        <v>1.08</v>
      </c>
      <c r="F1089" s="127">
        <v>0.98</v>
      </c>
      <c r="G1089" s="127">
        <v>1.02</v>
      </c>
      <c r="H1089" s="127">
        <v>1.1599999999999999</v>
      </c>
    </row>
    <row r="1090" spans="3:8">
      <c r="C1090" s="6"/>
      <c r="D1090" s="7" t="s">
        <v>357</v>
      </c>
      <c r="E1090" s="6" t="s">
        <v>12868</v>
      </c>
      <c r="F1090" s="6" t="s">
        <v>238</v>
      </c>
      <c r="G1090" s="6" t="s">
        <v>239</v>
      </c>
      <c r="H1090" s="6" t="s">
        <v>240</v>
      </c>
    </row>
    <row r="1091" spans="3:8">
      <c r="C1091" s="6"/>
      <c r="D1091" s="196" t="s">
        <v>350</v>
      </c>
      <c r="E1091" s="123"/>
      <c r="F1091" s="123"/>
      <c r="G1091" s="123"/>
      <c r="H1091" s="123"/>
    </row>
    <row r="1092" spans="3:8">
      <c r="C1092" s="451">
        <v>0.27017543859649124</v>
      </c>
      <c r="D1092" s="196" t="s">
        <v>352</v>
      </c>
      <c r="E1092" s="123">
        <v>0.29178947368421054</v>
      </c>
      <c r="F1092" s="123">
        <v>0.26477192982456138</v>
      </c>
      <c r="G1092" s="123">
        <v>0.27557894736842109</v>
      </c>
      <c r="H1092" s="123">
        <v>0.3134035087719298</v>
      </c>
    </row>
    <row r="1093" spans="3:8">
      <c r="C1093" s="451">
        <v>0.25473684210526321</v>
      </c>
      <c r="D1093" s="196" t="s">
        <v>351</v>
      </c>
      <c r="E1093" s="123">
        <v>0.27511578947368426</v>
      </c>
      <c r="F1093" s="123">
        <v>0.24964210526315794</v>
      </c>
      <c r="G1093" s="123">
        <v>0.25983157894736847</v>
      </c>
      <c r="H1093" s="123">
        <v>0.29549473684210531</v>
      </c>
    </row>
    <row r="1094" spans="3:8">
      <c r="C1094" s="451">
        <v>0.25473684210526321</v>
      </c>
      <c r="D1094" s="196" t="s">
        <v>353</v>
      </c>
      <c r="E1094" s="123">
        <v>0.27511578947368426</v>
      </c>
      <c r="F1094" s="123">
        <v>0.24964210526315794</v>
      </c>
      <c r="G1094" s="123">
        <v>0.25983157894736847</v>
      </c>
      <c r="H1094" s="123">
        <v>0.29549473684210531</v>
      </c>
    </row>
    <row r="1095" spans="3:8">
      <c r="C1095" s="451">
        <v>0.27789473684210525</v>
      </c>
      <c r="D1095" s="196" t="s">
        <v>584</v>
      </c>
      <c r="E1095" s="123">
        <v>0.30012631578947369</v>
      </c>
      <c r="F1095" s="123">
        <v>0.27233684210526315</v>
      </c>
      <c r="G1095" s="123">
        <v>0.28345263157894734</v>
      </c>
      <c r="H1095" s="123">
        <v>0.32235789473684207</v>
      </c>
    </row>
    <row r="1096" spans="3:8">
      <c r="C1096" s="451">
        <v>0.27017543859649124</v>
      </c>
      <c r="D1096" s="196" t="s">
        <v>2107</v>
      </c>
      <c r="E1096" s="123">
        <v>0.29178947368421054</v>
      </c>
      <c r="F1096" s="123">
        <v>0.26477192982456138</v>
      </c>
      <c r="G1096" s="123">
        <v>0.27557894736842109</v>
      </c>
      <c r="H1096" s="123">
        <v>0.3134035087719298</v>
      </c>
    </row>
    <row r="1097" spans="3:8">
      <c r="C1097" s="451">
        <v>0.27017543859649124</v>
      </c>
      <c r="D1097" s="196" t="s">
        <v>2108</v>
      </c>
      <c r="E1097" s="123">
        <v>0.29178947368421054</v>
      </c>
      <c r="F1097" s="123">
        <v>0.26477192982456138</v>
      </c>
      <c r="G1097" s="123">
        <v>0.27557894736842109</v>
      </c>
      <c r="H1097" s="123">
        <v>0.3134035087719298</v>
      </c>
    </row>
    <row r="1098" spans="3:8">
      <c r="C1098" s="451">
        <v>0.21614035087719302</v>
      </c>
      <c r="D1098" s="196" t="s">
        <v>354</v>
      </c>
      <c r="E1098" s="123">
        <v>0.23343157894736849</v>
      </c>
      <c r="F1098" s="123">
        <v>0.21181754385964915</v>
      </c>
      <c r="G1098" s="123">
        <v>0.22046315789473689</v>
      </c>
      <c r="H1098" s="123">
        <v>0.2507228070175439</v>
      </c>
    </row>
    <row r="1099" spans="3:8">
      <c r="C1099" s="451">
        <v>0.20070175438596494</v>
      </c>
      <c r="D1099" s="196" t="s">
        <v>355</v>
      </c>
      <c r="E1099" s="123">
        <v>0.21675789473684215</v>
      </c>
      <c r="F1099" s="123">
        <v>0.19668771929824563</v>
      </c>
      <c r="G1099" s="123">
        <v>0.20471578947368424</v>
      </c>
      <c r="H1099" s="123">
        <v>0.23281403508771931</v>
      </c>
    </row>
    <row r="1100" spans="3:8">
      <c r="C1100" s="451">
        <v>0.20842105263157898</v>
      </c>
      <c r="D1100" s="196" t="s">
        <v>3765</v>
      </c>
      <c r="E1100" s="123">
        <v>0.22509473684210532</v>
      </c>
      <c r="F1100" s="123">
        <v>0.20425263157894741</v>
      </c>
      <c r="G1100" s="123">
        <v>0.21258947368421055</v>
      </c>
      <c r="H1100" s="123">
        <v>0.2417684210526316</v>
      </c>
    </row>
    <row r="1101" spans="3:8">
      <c r="C1101" s="451">
        <v>0.21614035087719302</v>
      </c>
      <c r="D1101" s="196" t="s">
        <v>3766</v>
      </c>
      <c r="E1101" s="123">
        <v>0.23343157894736849</v>
      </c>
      <c r="F1101" s="123">
        <v>0.21181754385964915</v>
      </c>
      <c r="G1101" s="123">
        <v>0.22046315789473689</v>
      </c>
      <c r="H1101" s="123">
        <v>0.2507228070175439</v>
      </c>
    </row>
    <row r="1102" spans="3:8">
      <c r="C1102" s="451">
        <v>0.23929824561403509</v>
      </c>
      <c r="D1102" s="196" t="s">
        <v>4417</v>
      </c>
      <c r="E1102" s="123">
        <v>0.25844210526315792</v>
      </c>
      <c r="F1102" s="123">
        <v>0.23451228070175439</v>
      </c>
      <c r="G1102" s="123">
        <v>0.24408421052631579</v>
      </c>
      <c r="H1102" s="123">
        <v>0.27758596491228071</v>
      </c>
    </row>
    <row r="1103" spans="3:8">
      <c r="C1103" s="451">
        <v>0.23929824561403509</v>
      </c>
      <c r="D1103" s="196" t="s">
        <v>4418</v>
      </c>
      <c r="E1103" s="123">
        <v>0.25844210526315792</v>
      </c>
      <c r="F1103" s="123">
        <v>0.23451228070175439</v>
      </c>
      <c r="G1103" s="123">
        <v>0.24408421052631579</v>
      </c>
      <c r="H1103" s="123">
        <v>0.27758596491228071</v>
      </c>
    </row>
    <row r="1104" spans="3:8">
      <c r="C1104" s="451">
        <v>0.23929824561403509</v>
      </c>
      <c r="D1104" s="196" t="s">
        <v>4419</v>
      </c>
      <c r="E1104" s="123">
        <v>0.25844210526315792</v>
      </c>
      <c r="F1104" s="123">
        <v>0.23451228070175439</v>
      </c>
      <c r="G1104" s="123">
        <v>0.24408421052631579</v>
      </c>
      <c r="H1104" s="123">
        <v>0.27758596491228071</v>
      </c>
    </row>
    <row r="1105" spans="3:8">
      <c r="C1105" s="451">
        <v>0.23929824561403509</v>
      </c>
      <c r="D1105" s="196" t="s">
        <v>4420</v>
      </c>
      <c r="E1105" s="123">
        <v>0.25844210526315792</v>
      </c>
      <c r="F1105" s="123">
        <v>0.23451228070175439</v>
      </c>
      <c r="G1105" s="123">
        <v>0.24408421052631579</v>
      </c>
      <c r="H1105" s="123">
        <v>0.27758596491228071</v>
      </c>
    </row>
    <row r="1106" spans="3:8">
      <c r="C1106" s="451">
        <v>0.23929824561403509</v>
      </c>
      <c r="D1106" s="196" t="s">
        <v>4421</v>
      </c>
      <c r="E1106" s="123">
        <v>0.25844210526315792</v>
      </c>
      <c r="F1106" s="123">
        <v>0.23451228070175439</v>
      </c>
      <c r="G1106" s="123">
        <v>0.24408421052631579</v>
      </c>
      <c r="H1106" s="123">
        <v>0.27758596491228071</v>
      </c>
    </row>
    <row r="1107" spans="3:8">
      <c r="C1107" s="451">
        <v>0.23929824561403509</v>
      </c>
      <c r="D1107" s="196" t="s">
        <v>4422</v>
      </c>
      <c r="E1107" s="123">
        <v>0.25844210526315792</v>
      </c>
      <c r="F1107" s="123">
        <v>0.23451228070175439</v>
      </c>
      <c r="G1107" s="123">
        <v>0.24408421052631579</v>
      </c>
      <c r="H1107" s="123">
        <v>0.27758596491228071</v>
      </c>
    </row>
    <row r="1108" spans="3:8">
      <c r="C1108" s="451">
        <v>0.23929824561403509</v>
      </c>
      <c r="D1108" s="196" t="s">
        <v>4423</v>
      </c>
      <c r="E1108" s="123">
        <v>0.25844210526315792</v>
      </c>
      <c r="F1108" s="123">
        <v>0.23451228070175439</v>
      </c>
      <c r="G1108" s="123">
        <v>0.24408421052631579</v>
      </c>
      <c r="H1108" s="123">
        <v>0.27758596491228071</v>
      </c>
    </row>
    <row r="1109" spans="3:8">
      <c r="C1109" s="451">
        <v>0.25473684210526321</v>
      </c>
      <c r="D1109" s="196" t="s">
        <v>4424</v>
      </c>
      <c r="E1109" s="123">
        <v>0.27511578947368426</v>
      </c>
      <c r="F1109" s="123">
        <v>0.24964210526315794</v>
      </c>
      <c r="G1109" s="123">
        <v>0.25983157894736847</v>
      </c>
      <c r="H1109" s="123">
        <v>0.29549473684210531</v>
      </c>
    </row>
    <row r="1110" spans="3:8">
      <c r="C1110" s="451">
        <v>0.25473684210526321</v>
      </c>
      <c r="D1110" s="196" t="s">
        <v>4425</v>
      </c>
      <c r="E1110" s="123">
        <v>0.27511578947368426</v>
      </c>
      <c r="F1110" s="123">
        <v>0.24964210526315794</v>
      </c>
      <c r="G1110" s="123">
        <v>0.25983157894736847</v>
      </c>
      <c r="H1110" s="123">
        <v>0.29549473684210531</v>
      </c>
    </row>
    <row r="1111" spans="3:8">
      <c r="C1111" s="451">
        <v>0.25473684210526321</v>
      </c>
      <c r="D1111" s="196" t="s">
        <v>4426</v>
      </c>
      <c r="E1111" s="123">
        <v>0.27511578947368426</v>
      </c>
      <c r="F1111" s="123">
        <v>0.24964210526315794</v>
      </c>
      <c r="G1111" s="123">
        <v>0.25983157894736847</v>
      </c>
      <c r="H1111" s="123">
        <v>0.29549473684210531</v>
      </c>
    </row>
    <row r="1112" spans="3:8">
      <c r="C1112" s="451">
        <v>0.25473684210526321</v>
      </c>
      <c r="D1112" s="196" t="s">
        <v>8369</v>
      </c>
      <c r="E1112" s="123">
        <v>0.27511578947368426</v>
      </c>
      <c r="F1112" s="123">
        <v>0.24964210526315794</v>
      </c>
      <c r="G1112" s="123">
        <v>0.25983157894736847</v>
      </c>
      <c r="H1112" s="123">
        <v>0.29549473684210531</v>
      </c>
    </row>
    <row r="1113" spans="3:8">
      <c r="C1113" s="451">
        <v>0.25473684210526321</v>
      </c>
      <c r="D1113" s="196" t="s">
        <v>4427</v>
      </c>
      <c r="E1113" s="123">
        <v>0.27511578947368426</v>
      </c>
      <c r="F1113" s="123">
        <v>0.24964210526315794</v>
      </c>
      <c r="G1113" s="123">
        <v>0.25983157894736847</v>
      </c>
      <c r="H1113" s="123">
        <v>0.29549473684210531</v>
      </c>
    </row>
    <row r="1114" spans="3:8">
      <c r="C1114" s="451">
        <v>0.25473684210526321</v>
      </c>
      <c r="D1114" s="196" t="s">
        <v>8368</v>
      </c>
      <c r="E1114" s="123">
        <v>0.27511578947368426</v>
      </c>
      <c r="F1114" s="123">
        <v>0.24964210526315794</v>
      </c>
      <c r="G1114" s="123">
        <v>0.25983157894736847</v>
      </c>
      <c r="H1114" s="123">
        <v>0.29549473684210531</v>
      </c>
    </row>
    <row r="1115" spans="3:8">
      <c r="C1115" s="451">
        <v>0.23157894736842105</v>
      </c>
      <c r="D1115" s="196" t="s">
        <v>4428</v>
      </c>
      <c r="E1115" s="123">
        <v>0.25010526315789477</v>
      </c>
      <c r="F1115" s="123">
        <v>0.22694736842105262</v>
      </c>
      <c r="G1115" s="123">
        <v>0.23621052631578948</v>
      </c>
      <c r="H1115" s="123">
        <v>0.26863157894736839</v>
      </c>
    </row>
    <row r="1116" spans="3:8">
      <c r="C1116" s="451">
        <v>0.23157894736842105</v>
      </c>
      <c r="D1116" s="196" t="s">
        <v>4429</v>
      </c>
      <c r="E1116" s="123">
        <v>0.25010526315789477</v>
      </c>
      <c r="F1116" s="123">
        <v>0.22694736842105262</v>
      </c>
      <c r="G1116" s="123">
        <v>0.23621052631578948</v>
      </c>
      <c r="H1116" s="123">
        <v>0.26863157894736839</v>
      </c>
    </row>
    <row r="1117" spans="3:8">
      <c r="C1117" s="6"/>
      <c r="D1117" s="196" t="s">
        <v>5661</v>
      </c>
      <c r="E1117" s="123"/>
      <c r="F1117" s="123"/>
      <c r="G1117" s="123"/>
      <c r="H1117" s="123"/>
    </row>
    <row r="1118" spans="3:8">
      <c r="C1118" s="6"/>
      <c r="D1118" s="196" t="s">
        <v>5661</v>
      </c>
      <c r="E1118" s="123"/>
      <c r="F1118" s="123"/>
      <c r="G1118" s="123"/>
      <c r="H1118" s="123"/>
    </row>
    <row r="1119" spans="3:8">
      <c r="C1119" s="6"/>
      <c r="D1119" s="196" t="s">
        <v>5661</v>
      </c>
      <c r="E1119" s="123"/>
      <c r="F1119" s="123"/>
      <c r="G1119" s="123"/>
      <c r="H1119" s="123"/>
    </row>
    <row r="1120" spans="3:8">
      <c r="C1120" s="6"/>
      <c r="D1120" s="196" t="s">
        <v>5661</v>
      </c>
      <c r="E1120" s="123"/>
      <c r="F1120" s="123"/>
      <c r="G1120" s="123"/>
      <c r="H1120" s="123"/>
    </row>
    <row r="1121" spans="3:8">
      <c r="C1121" s="6"/>
      <c r="D1121" s="196"/>
      <c r="E1121" s="123"/>
      <c r="F1121" s="123"/>
      <c r="G1121" s="123"/>
      <c r="H1121" s="123"/>
    </row>
    <row r="1122" spans="3:8">
      <c r="C1122" s="6"/>
      <c r="D1122" s="7" t="s">
        <v>1281</v>
      </c>
    </row>
    <row r="1123" spans="3:8">
      <c r="C1123" s="6"/>
      <c r="D1123" s="7"/>
    </row>
    <row r="1124" spans="3:8">
      <c r="C1124" s="7" t="s">
        <v>961</v>
      </c>
      <c r="E1124" s="23"/>
    </row>
    <row r="1125" spans="3:8" ht="26.45" customHeight="1">
      <c r="C1125" s="6"/>
      <c r="D1125" s="329" t="s">
        <v>962</v>
      </c>
      <c r="E1125" s="333" t="s">
        <v>244</v>
      </c>
      <c r="F1125" s="333" t="s">
        <v>245</v>
      </c>
      <c r="G1125" s="333" t="s">
        <v>5199</v>
      </c>
      <c r="H1125" s="333" t="s">
        <v>246</v>
      </c>
    </row>
    <row r="1126" spans="3:8">
      <c r="D1126" s="330">
        <v>0</v>
      </c>
      <c r="E1126" s="116">
        <v>0.1</v>
      </c>
      <c r="F1126" s="116">
        <v>0.1</v>
      </c>
      <c r="G1126" s="116">
        <v>0.1</v>
      </c>
      <c r="H1126" s="116">
        <v>0.1</v>
      </c>
    </row>
    <row r="1127" spans="3:8">
      <c r="C1127" s="127"/>
      <c r="D1127" s="330">
        <v>0.02</v>
      </c>
      <c r="E1127" s="116">
        <v>0.1</v>
      </c>
      <c r="F1127" s="116">
        <v>0.1</v>
      </c>
      <c r="G1127" s="116">
        <v>0.1</v>
      </c>
      <c r="H1127" s="116">
        <v>0.1</v>
      </c>
    </row>
    <row r="1128" spans="3:8">
      <c r="C1128" s="6"/>
      <c r="D1128" s="330">
        <v>0.04</v>
      </c>
      <c r="E1128" s="116">
        <v>0.1</v>
      </c>
      <c r="F1128" s="116">
        <v>0.1</v>
      </c>
      <c r="G1128" s="116">
        <v>0.1</v>
      </c>
      <c r="H1128" s="116">
        <v>0.1</v>
      </c>
    </row>
    <row r="1129" spans="3:8">
      <c r="C1129" s="6"/>
      <c r="D1129" s="330">
        <v>0.06</v>
      </c>
      <c r="E1129" s="116">
        <v>0.1</v>
      </c>
      <c r="F1129" s="116">
        <v>0.1</v>
      </c>
      <c r="G1129" s="116">
        <v>0.1</v>
      </c>
      <c r="H1129" s="116">
        <v>0.1</v>
      </c>
    </row>
    <row r="1130" spans="3:8">
      <c r="C1130" s="6"/>
      <c r="D1130" s="330">
        <v>0.08</v>
      </c>
      <c r="E1130" s="116">
        <v>0.1</v>
      </c>
      <c r="F1130" s="116">
        <v>0.1</v>
      </c>
      <c r="G1130" s="116">
        <v>0.1</v>
      </c>
      <c r="H1130" s="116">
        <v>0.1</v>
      </c>
    </row>
    <row r="1131" spans="3:8">
      <c r="C1131" s="6"/>
      <c r="D1131" s="330">
        <v>0.1</v>
      </c>
      <c r="E1131" s="116">
        <v>0.09</v>
      </c>
      <c r="F1131" s="116">
        <v>0.09</v>
      </c>
      <c r="G1131" s="116">
        <v>0.09</v>
      </c>
      <c r="H1131" s="116">
        <v>0.09</v>
      </c>
    </row>
    <row r="1132" spans="3:8">
      <c r="C1132" s="6"/>
      <c r="D1132" s="330">
        <v>0.12</v>
      </c>
      <c r="E1132" s="116">
        <v>0.09</v>
      </c>
      <c r="F1132" s="116">
        <v>0.09</v>
      </c>
      <c r="G1132" s="116">
        <v>0.09</v>
      </c>
      <c r="H1132" s="116">
        <v>0.09</v>
      </c>
    </row>
    <row r="1133" spans="3:8">
      <c r="C1133" s="6"/>
      <c r="D1133" s="330">
        <v>0.14000000000000001</v>
      </c>
      <c r="E1133" s="116">
        <v>0.09</v>
      </c>
      <c r="F1133" s="116">
        <v>0.09</v>
      </c>
      <c r="G1133" s="116">
        <v>0.09</v>
      </c>
      <c r="H1133" s="116">
        <v>0.09</v>
      </c>
    </row>
    <row r="1134" spans="3:8">
      <c r="C1134" s="6"/>
      <c r="D1134" s="330">
        <v>0.16</v>
      </c>
      <c r="E1134" s="116">
        <v>0.09</v>
      </c>
      <c r="F1134" s="116">
        <v>0.09</v>
      </c>
      <c r="G1134" s="116">
        <v>0.09</v>
      </c>
      <c r="H1134" s="116">
        <v>0.09</v>
      </c>
    </row>
    <row r="1135" spans="3:8">
      <c r="C1135" s="6"/>
      <c r="D1135" s="330">
        <v>0.18</v>
      </c>
      <c r="E1135" s="116">
        <v>0.09</v>
      </c>
      <c r="F1135" s="116">
        <v>0.09</v>
      </c>
      <c r="G1135" s="116">
        <v>0.09</v>
      </c>
      <c r="H1135" s="116">
        <v>0.09</v>
      </c>
    </row>
    <row r="1136" spans="3:8">
      <c r="C1136" s="6"/>
      <c r="D1136" s="330">
        <v>0.2</v>
      </c>
      <c r="E1136" s="116">
        <v>0.09</v>
      </c>
      <c r="F1136" s="116">
        <v>0.09</v>
      </c>
      <c r="G1136" s="116">
        <v>0.09</v>
      </c>
      <c r="H1136" s="116">
        <v>0.09</v>
      </c>
    </row>
    <row r="1137" spans="3:8">
      <c r="C1137" s="6"/>
      <c r="D1137" s="330">
        <v>0.22</v>
      </c>
      <c r="E1137" s="116">
        <v>0.08</v>
      </c>
      <c r="F1137" s="116">
        <v>0.08</v>
      </c>
      <c r="G1137" s="116">
        <v>0.08</v>
      </c>
      <c r="H1137" s="116">
        <v>0.08</v>
      </c>
    </row>
    <row r="1138" spans="3:8">
      <c r="C1138" s="6"/>
      <c r="D1138" s="330">
        <v>0.24</v>
      </c>
      <c r="E1138" s="116">
        <v>0.08</v>
      </c>
      <c r="F1138" s="116">
        <v>0.08</v>
      </c>
      <c r="G1138" s="116">
        <v>0.08</v>
      </c>
      <c r="H1138" s="116">
        <v>0.08</v>
      </c>
    </row>
    <row r="1139" spans="3:8">
      <c r="C1139" s="6"/>
      <c r="D1139" s="330">
        <v>0.26</v>
      </c>
      <c r="E1139" s="116">
        <v>0.08</v>
      </c>
      <c r="F1139" s="116">
        <v>0.08</v>
      </c>
      <c r="G1139" s="116">
        <v>0.08</v>
      </c>
      <c r="H1139" s="116">
        <v>0.08</v>
      </c>
    </row>
    <row r="1140" spans="3:8">
      <c r="C1140" s="6"/>
      <c r="D1140" s="330">
        <v>0.28000000000000003</v>
      </c>
      <c r="E1140" s="116">
        <v>0.08</v>
      </c>
      <c r="F1140" s="116">
        <v>0.08</v>
      </c>
      <c r="G1140" s="116">
        <v>0.08</v>
      </c>
      <c r="H1140" s="116">
        <v>0.08</v>
      </c>
    </row>
    <row r="1141" spans="3:8">
      <c r="C1141" s="6"/>
      <c r="D1141" s="330">
        <v>0.3</v>
      </c>
      <c r="E1141" s="116">
        <v>0.08</v>
      </c>
      <c r="F1141" s="116">
        <v>0.08</v>
      </c>
      <c r="G1141" s="116">
        <v>0.08</v>
      </c>
      <c r="H1141" s="116">
        <v>0.08</v>
      </c>
    </row>
    <row r="1142" spans="3:8">
      <c r="C1142" s="6"/>
      <c r="D1142" s="330">
        <v>0.32</v>
      </c>
      <c r="E1142" s="116">
        <v>7.0000000000000007E-2</v>
      </c>
      <c r="F1142" s="116">
        <v>7.0000000000000007E-2</v>
      </c>
      <c r="G1142" s="116">
        <v>7.0000000000000007E-2</v>
      </c>
      <c r="H1142" s="116">
        <v>7.0000000000000007E-2</v>
      </c>
    </row>
    <row r="1143" spans="3:8">
      <c r="C1143" s="6"/>
      <c r="D1143" s="330">
        <v>0.34</v>
      </c>
      <c r="E1143" s="116">
        <v>7.0000000000000007E-2</v>
      </c>
      <c r="F1143" s="116">
        <v>7.0000000000000007E-2</v>
      </c>
      <c r="G1143" s="116">
        <v>7.0000000000000007E-2</v>
      </c>
      <c r="H1143" s="116">
        <v>7.0000000000000007E-2</v>
      </c>
    </row>
    <row r="1144" spans="3:8">
      <c r="C1144" s="6"/>
      <c r="D1144" s="330">
        <v>0.36</v>
      </c>
      <c r="E1144" s="116">
        <v>7.0000000000000007E-2</v>
      </c>
      <c r="F1144" s="116">
        <v>7.0000000000000007E-2</v>
      </c>
      <c r="G1144" s="116">
        <v>7.0000000000000007E-2</v>
      </c>
      <c r="H1144" s="116">
        <v>7.0000000000000007E-2</v>
      </c>
    </row>
    <row r="1145" spans="3:8">
      <c r="C1145" s="6"/>
      <c r="D1145" s="330">
        <v>0.38</v>
      </c>
      <c r="E1145" s="116">
        <v>7.0000000000000007E-2</v>
      </c>
      <c r="F1145" s="116">
        <v>7.0000000000000007E-2</v>
      </c>
      <c r="G1145" s="116">
        <v>7.0000000000000007E-2</v>
      </c>
      <c r="H1145" s="116">
        <v>7.0000000000000007E-2</v>
      </c>
    </row>
    <row r="1146" spans="3:8">
      <c r="C1146" s="6"/>
      <c r="D1146" s="330">
        <v>0.4</v>
      </c>
      <c r="E1146" s="116">
        <v>7.0000000000000007E-2</v>
      </c>
      <c r="F1146" s="116">
        <v>7.0000000000000007E-2</v>
      </c>
      <c r="G1146" s="116">
        <v>7.0000000000000007E-2</v>
      </c>
      <c r="H1146" s="116">
        <v>7.0000000000000007E-2</v>
      </c>
    </row>
    <row r="1147" spans="3:8">
      <c r="C1147" s="6"/>
      <c r="D1147" s="330">
        <v>0.42</v>
      </c>
      <c r="E1147" s="116">
        <v>0.06</v>
      </c>
      <c r="F1147" s="116">
        <v>0.06</v>
      </c>
      <c r="G1147" s="116">
        <v>0.06</v>
      </c>
      <c r="H1147" s="116">
        <v>0.06</v>
      </c>
    </row>
    <row r="1148" spans="3:8">
      <c r="C1148" s="6"/>
      <c r="D1148" s="330">
        <v>0.44</v>
      </c>
      <c r="E1148" s="116">
        <v>0.06</v>
      </c>
      <c r="F1148" s="116">
        <v>0.06</v>
      </c>
      <c r="G1148" s="116">
        <v>0.06</v>
      </c>
      <c r="H1148" s="116">
        <v>0.06</v>
      </c>
    </row>
    <row r="1149" spans="3:8">
      <c r="C1149" s="6"/>
      <c r="D1149" s="330">
        <v>0.46</v>
      </c>
      <c r="E1149" s="116">
        <v>0.06</v>
      </c>
      <c r="F1149" s="116">
        <v>0.06</v>
      </c>
      <c r="G1149" s="116">
        <v>0.06</v>
      </c>
      <c r="H1149" s="116">
        <v>0.06</v>
      </c>
    </row>
    <row r="1150" spans="3:8">
      <c r="C1150" s="6"/>
      <c r="D1150" s="330">
        <v>0.48</v>
      </c>
      <c r="E1150" s="116">
        <v>0.06</v>
      </c>
      <c r="F1150" s="116">
        <v>0.06</v>
      </c>
      <c r="G1150" s="116">
        <v>0.06</v>
      </c>
      <c r="H1150" s="116">
        <v>0.06</v>
      </c>
    </row>
    <row r="1151" spans="3:8">
      <c r="C1151" s="6"/>
      <c r="D1151" s="330">
        <v>0.5</v>
      </c>
      <c r="E1151" s="116">
        <v>0.06</v>
      </c>
      <c r="F1151" s="116">
        <v>0.06</v>
      </c>
      <c r="G1151" s="116">
        <v>0.06</v>
      </c>
      <c r="H1151" s="116">
        <v>0.06</v>
      </c>
    </row>
    <row r="1152" spans="3:8">
      <c r="C1152" s="6"/>
      <c r="D1152" s="330">
        <v>0.52</v>
      </c>
      <c r="E1152" s="116">
        <v>0.05</v>
      </c>
      <c r="F1152" s="116">
        <v>0.05</v>
      </c>
      <c r="G1152" s="116">
        <v>0.05</v>
      </c>
      <c r="H1152" s="116">
        <v>0.05</v>
      </c>
    </row>
    <row r="1153" spans="3:8">
      <c r="C1153" s="6"/>
      <c r="D1153" s="330">
        <v>0.54</v>
      </c>
      <c r="E1153" s="116">
        <v>0.05</v>
      </c>
      <c r="F1153" s="116">
        <v>0.05</v>
      </c>
      <c r="G1153" s="116">
        <v>0.05</v>
      </c>
      <c r="H1153" s="116">
        <v>0.05</v>
      </c>
    </row>
    <row r="1154" spans="3:8">
      <c r="C1154" s="6"/>
      <c r="D1154" s="330">
        <v>0.56000000000000005</v>
      </c>
      <c r="E1154" s="116">
        <v>0.05</v>
      </c>
      <c r="F1154" s="116">
        <v>0.05</v>
      </c>
      <c r="G1154" s="116">
        <v>0.05</v>
      </c>
      <c r="H1154" s="116">
        <v>0.05</v>
      </c>
    </row>
    <row r="1155" spans="3:8">
      <c r="C1155" s="6"/>
      <c r="D1155" s="330">
        <v>0.57999999999999996</v>
      </c>
      <c r="E1155" s="116">
        <v>0.05</v>
      </c>
      <c r="F1155" s="116">
        <v>0.05</v>
      </c>
      <c r="G1155" s="116">
        <v>0.05</v>
      </c>
      <c r="H1155" s="116">
        <v>0.05</v>
      </c>
    </row>
    <row r="1156" spans="3:8">
      <c r="C1156" s="6"/>
      <c r="D1156" s="330">
        <v>0.6</v>
      </c>
      <c r="E1156" s="116">
        <v>0.05</v>
      </c>
      <c r="F1156" s="116">
        <v>0.05</v>
      </c>
      <c r="G1156" s="116">
        <v>0.05</v>
      </c>
      <c r="H1156" s="116">
        <v>0.05</v>
      </c>
    </row>
    <row r="1157" spans="3:8">
      <c r="C1157" s="6"/>
      <c r="D1157" s="330">
        <v>0.62</v>
      </c>
      <c r="E1157" s="116">
        <v>0.04</v>
      </c>
      <c r="F1157" s="116">
        <v>0.04</v>
      </c>
      <c r="G1157" s="116">
        <v>0.04</v>
      </c>
      <c r="H1157" s="116">
        <v>0.04</v>
      </c>
    </row>
    <row r="1158" spans="3:8">
      <c r="C1158" s="6"/>
      <c r="D1158" s="330">
        <v>0.64</v>
      </c>
      <c r="E1158" s="116">
        <v>0.04</v>
      </c>
      <c r="F1158" s="116">
        <v>0.04</v>
      </c>
      <c r="G1158" s="116">
        <v>0.04</v>
      </c>
      <c r="H1158" s="116">
        <v>0.04</v>
      </c>
    </row>
    <row r="1159" spans="3:8">
      <c r="C1159" s="6"/>
      <c r="D1159" s="330">
        <v>0.66</v>
      </c>
      <c r="E1159" s="116">
        <v>0.04</v>
      </c>
      <c r="F1159" s="116">
        <v>0.04</v>
      </c>
      <c r="G1159" s="116">
        <v>0.04</v>
      </c>
      <c r="H1159" s="116">
        <v>0.04</v>
      </c>
    </row>
    <row r="1160" spans="3:8">
      <c r="C1160" s="6"/>
      <c r="D1160" s="330">
        <v>0.68</v>
      </c>
      <c r="E1160" s="116">
        <v>0.04</v>
      </c>
      <c r="F1160" s="116">
        <v>0.04</v>
      </c>
      <c r="G1160" s="116">
        <v>0.04</v>
      </c>
      <c r="H1160" s="116">
        <v>0.04</v>
      </c>
    </row>
    <row r="1161" spans="3:8">
      <c r="C1161" s="6"/>
      <c r="D1161" s="330">
        <v>0.7</v>
      </c>
      <c r="E1161" s="116">
        <v>0.04</v>
      </c>
      <c r="F1161" s="116">
        <v>0.04</v>
      </c>
      <c r="G1161" s="116">
        <v>0.04</v>
      </c>
      <c r="H1161" s="116">
        <v>0.04</v>
      </c>
    </row>
    <row r="1162" spans="3:8">
      <c r="C1162" s="6"/>
      <c r="D1162" s="330">
        <v>0.72</v>
      </c>
      <c r="E1162" s="116">
        <v>0.03</v>
      </c>
      <c r="F1162" s="116">
        <v>0.03</v>
      </c>
      <c r="G1162" s="116">
        <v>0.03</v>
      </c>
      <c r="H1162" s="116">
        <v>0.03</v>
      </c>
    </row>
    <row r="1163" spans="3:8">
      <c r="C1163" s="6"/>
      <c r="D1163" s="330">
        <v>0.74</v>
      </c>
      <c r="E1163" s="116">
        <v>0.03</v>
      </c>
      <c r="F1163" s="116">
        <v>0.03</v>
      </c>
      <c r="G1163" s="116">
        <v>0.03</v>
      </c>
      <c r="H1163" s="116">
        <v>0.03</v>
      </c>
    </row>
    <row r="1164" spans="3:8">
      <c r="C1164" s="6"/>
      <c r="D1164" s="330">
        <v>0.76</v>
      </c>
      <c r="E1164" s="116">
        <v>0.03</v>
      </c>
      <c r="F1164" s="116">
        <v>0.03</v>
      </c>
      <c r="G1164" s="116">
        <v>0.03</v>
      </c>
      <c r="H1164" s="116">
        <v>0.03</v>
      </c>
    </row>
    <row r="1165" spans="3:8">
      <c r="C1165" s="6"/>
      <c r="D1165" s="330">
        <v>0.78</v>
      </c>
      <c r="E1165" s="116">
        <v>0.03</v>
      </c>
      <c r="F1165" s="116">
        <v>0.03</v>
      </c>
      <c r="G1165" s="116">
        <v>0.03</v>
      </c>
      <c r="H1165" s="116">
        <v>0.03</v>
      </c>
    </row>
    <row r="1166" spans="3:8">
      <c r="C1166" s="6"/>
      <c r="D1166" s="330">
        <v>0.8</v>
      </c>
      <c r="E1166" s="116">
        <v>0.03</v>
      </c>
      <c r="F1166" s="116">
        <v>0.03</v>
      </c>
      <c r="G1166" s="116">
        <v>0.03</v>
      </c>
      <c r="H1166" s="116">
        <v>0.03</v>
      </c>
    </row>
    <row r="1167" spans="3:8">
      <c r="C1167" s="6"/>
      <c r="D1167" s="330">
        <v>0.82</v>
      </c>
      <c r="E1167" s="116">
        <v>0.02</v>
      </c>
      <c r="F1167" s="116">
        <v>0.02</v>
      </c>
      <c r="G1167" s="116">
        <v>0.02</v>
      </c>
      <c r="H1167" s="116">
        <v>0.02</v>
      </c>
    </row>
    <row r="1168" spans="3:8">
      <c r="C1168" s="6"/>
      <c r="D1168" s="330">
        <v>0.84</v>
      </c>
      <c r="E1168" s="116">
        <v>0.02</v>
      </c>
      <c r="F1168" s="116">
        <v>0.02</v>
      </c>
      <c r="G1168" s="116">
        <v>0.02</v>
      </c>
      <c r="H1168" s="116">
        <v>0.02</v>
      </c>
    </row>
    <row r="1169" spans="3:8">
      <c r="C1169" s="6"/>
      <c r="D1169" s="330">
        <v>0.86</v>
      </c>
      <c r="E1169" s="116">
        <v>0.02</v>
      </c>
      <c r="F1169" s="116">
        <v>0.02</v>
      </c>
      <c r="G1169" s="116">
        <v>0.02</v>
      </c>
      <c r="H1169" s="116">
        <v>0.02</v>
      </c>
    </row>
    <row r="1170" spans="3:8">
      <c r="C1170" s="6"/>
      <c r="D1170" s="330">
        <v>0.88</v>
      </c>
      <c r="E1170" s="116">
        <v>0.02</v>
      </c>
      <c r="F1170" s="116">
        <v>0.02</v>
      </c>
      <c r="G1170" s="116">
        <v>0.02</v>
      </c>
      <c r="H1170" s="116">
        <v>0.02</v>
      </c>
    </row>
    <row r="1171" spans="3:8">
      <c r="C1171" s="6"/>
      <c r="D1171" s="330">
        <v>0.9</v>
      </c>
      <c r="E1171" s="116">
        <v>0.02</v>
      </c>
      <c r="F1171" s="116">
        <v>0.02</v>
      </c>
      <c r="G1171" s="116">
        <v>0.02</v>
      </c>
      <c r="H1171" s="116">
        <v>0.02</v>
      </c>
    </row>
    <row r="1172" spans="3:8">
      <c r="C1172" s="6"/>
      <c r="D1172" s="330">
        <v>0.92</v>
      </c>
      <c r="E1172" s="116">
        <v>0.01</v>
      </c>
      <c r="F1172" s="116">
        <v>0.01</v>
      </c>
      <c r="G1172" s="116">
        <v>0.01</v>
      </c>
      <c r="H1172" s="116">
        <v>0.01</v>
      </c>
    </row>
    <row r="1173" spans="3:8">
      <c r="C1173" s="6"/>
      <c r="D1173" s="330">
        <v>0.94</v>
      </c>
      <c r="E1173" s="116">
        <v>0.01</v>
      </c>
      <c r="F1173" s="116">
        <v>0.01</v>
      </c>
      <c r="G1173" s="116">
        <v>0.01</v>
      </c>
      <c r="H1173" s="116">
        <v>0.01</v>
      </c>
    </row>
    <row r="1174" spans="3:8">
      <c r="C1174" s="6"/>
      <c r="D1174" s="330">
        <v>0.96</v>
      </c>
      <c r="E1174" s="116">
        <v>0.01</v>
      </c>
      <c r="F1174" s="116">
        <v>0.01</v>
      </c>
      <c r="G1174" s="116">
        <v>0.01</v>
      </c>
      <c r="H1174" s="116">
        <v>0.01</v>
      </c>
    </row>
    <row r="1175" spans="3:8">
      <c r="C1175" s="6"/>
      <c r="D1175" s="330">
        <v>0.98</v>
      </c>
      <c r="E1175" s="116">
        <v>0.01</v>
      </c>
      <c r="F1175" s="116">
        <v>0.01</v>
      </c>
      <c r="G1175" s="116">
        <v>0.01</v>
      </c>
      <c r="H1175" s="116">
        <v>0.01</v>
      </c>
    </row>
    <row r="1176" spans="3:8">
      <c r="C1176" s="6"/>
      <c r="D1176" s="330">
        <v>1</v>
      </c>
      <c r="E1176" s="116">
        <v>0</v>
      </c>
      <c r="F1176" s="116">
        <v>0</v>
      </c>
      <c r="G1176" s="116">
        <v>0</v>
      </c>
      <c r="H1176" s="116">
        <v>0</v>
      </c>
    </row>
    <row r="1177" spans="3:8">
      <c r="C1177" s="6"/>
      <c r="D1177" s="330">
        <v>1.02</v>
      </c>
      <c r="E1177" s="116">
        <v>0.01</v>
      </c>
      <c r="F1177" s="116">
        <v>0.01</v>
      </c>
      <c r="G1177" s="116">
        <v>0.01</v>
      </c>
      <c r="H1177" s="116">
        <v>0.01</v>
      </c>
    </row>
    <row r="1178" spans="3:8">
      <c r="C1178" s="6"/>
      <c r="D1178" s="330">
        <v>1.04</v>
      </c>
      <c r="E1178" s="116">
        <v>0.01</v>
      </c>
      <c r="F1178" s="116">
        <v>0.01</v>
      </c>
      <c r="G1178" s="116">
        <v>0.01</v>
      </c>
      <c r="H1178" s="116">
        <v>0.01</v>
      </c>
    </row>
    <row r="1179" spans="3:8">
      <c r="C1179" s="6"/>
      <c r="D1179" s="330">
        <v>1.06</v>
      </c>
      <c r="E1179" s="116">
        <v>0.01</v>
      </c>
      <c r="F1179" s="116">
        <v>0.01</v>
      </c>
      <c r="G1179" s="116">
        <v>0.01</v>
      </c>
      <c r="H1179" s="116">
        <v>0.01</v>
      </c>
    </row>
    <row r="1180" spans="3:8">
      <c r="C1180" s="6"/>
      <c r="D1180" s="330">
        <v>1.08</v>
      </c>
      <c r="E1180" s="116">
        <v>0.01</v>
      </c>
      <c r="F1180" s="116">
        <v>0.01</v>
      </c>
      <c r="G1180" s="116">
        <v>0.01</v>
      </c>
      <c r="H1180" s="116">
        <v>0.01</v>
      </c>
    </row>
    <row r="1181" spans="3:8">
      <c r="C1181" s="6"/>
      <c r="D1181" s="330">
        <v>1.1000000000000001</v>
      </c>
      <c r="E1181" s="116">
        <v>0.01</v>
      </c>
      <c r="F1181" s="116">
        <v>0.01</v>
      </c>
      <c r="G1181" s="116">
        <v>0.01</v>
      </c>
      <c r="H1181" s="116">
        <v>0.01</v>
      </c>
    </row>
    <row r="1182" spans="3:8">
      <c r="C1182" s="6"/>
      <c r="D1182" s="330">
        <v>1.1200000000000001</v>
      </c>
      <c r="E1182" s="116">
        <v>0.02</v>
      </c>
      <c r="F1182" s="116">
        <v>0.02</v>
      </c>
      <c r="G1182" s="116">
        <v>0.02</v>
      </c>
      <c r="H1182" s="116">
        <v>0.02</v>
      </c>
    </row>
    <row r="1183" spans="3:8">
      <c r="C1183" s="6"/>
      <c r="D1183" s="330">
        <v>1.1399999999999999</v>
      </c>
      <c r="E1183" s="116">
        <v>0.02</v>
      </c>
      <c r="F1183" s="116">
        <v>0.02</v>
      </c>
      <c r="G1183" s="116">
        <v>0.02</v>
      </c>
      <c r="H1183" s="116">
        <v>0.02</v>
      </c>
    </row>
    <row r="1184" spans="3:8">
      <c r="C1184" s="6"/>
      <c r="D1184" s="330">
        <v>1.1599999999999999</v>
      </c>
      <c r="E1184" s="116">
        <v>0.02</v>
      </c>
      <c r="F1184" s="116">
        <v>0.02</v>
      </c>
      <c r="G1184" s="116">
        <v>0.02</v>
      </c>
      <c r="H1184" s="116">
        <v>0.02</v>
      </c>
    </row>
    <row r="1185" spans="3:8">
      <c r="C1185" s="6"/>
      <c r="D1185" s="330">
        <v>1.18</v>
      </c>
      <c r="E1185" s="116">
        <v>0.02</v>
      </c>
      <c r="F1185" s="116">
        <v>0.02</v>
      </c>
      <c r="G1185" s="116">
        <v>0.02</v>
      </c>
      <c r="H1185" s="116">
        <v>0.02</v>
      </c>
    </row>
    <row r="1186" spans="3:8">
      <c r="C1186" s="6"/>
      <c r="D1186" s="330">
        <v>1.2</v>
      </c>
      <c r="E1186" s="116">
        <v>0.02</v>
      </c>
      <c r="F1186" s="116">
        <v>0.02</v>
      </c>
      <c r="G1186" s="116">
        <v>0.02</v>
      </c>
      <c r="H1186" s="116">
        <v>0.02</v>
      </c>
    </row>
    <row r="1187" spans="3:8">
      <c r="C1187" s="6"/>
      <c r="D1187" s="330">
        <v>1.22</v>
      </c>
      <c r="E1187" s="116">
        <v>0.03</v>
      </c>
      <c r="F1187" s="116">
        <v>0.03</v>
      </c>
      <c r="G1187" s="116">
        <v>0.03</v>
      </c>
      <c r="H1187" s="116">
        <v>0.03</v>
      </c>
    </row>
    <row r="1188" spans="3:8">
      <c r="C1188" s="6"/>
      <c r="D1188" s="330">
        <v>1.24</v>
      </c>
      <c r="E1188" s="116">
        <v>0.03</v>
      </c>
      <c r="F1188" s="116">
        <v>0.03</v>
      </c>
      <c r="G1188" s="116">
        <v>0.03</v>
      </c>
      <c r="H1188" s="116">
        <v>0.03</v>
      </c>
    </row>
    <row r="1189" spans="3:8">
      <c r="C1189" s="6"/>
      <c r="D1189" s="330">
        <v>1.26</v>
      </c>
      <c r="E1189" s="116">
        <v>0.03</v>
      </c>
      <c r="F1189" s="116">
        <v>0.03</v>
      </c>
      <c r="G1189" s="116">
        <v>0.03</v>
      </c>
      <c r="H1189" s="116">
        <v>0.03</v>
      </c>
    </row>
    <row r="1190" spans="3:8">
      <c r="C1190" s="6"/>
      <c r="D1190" s="330">
        <v>1.28</v>
      </c>
      <c r="E1190" s="116">
        <v>0.03</v>
      </c>
      <c r="F1190" s="116">
        <v>0.03</v>
      </c>
      <c r="G1190" s="116">
        <v>0.03</v>
      </c>
      <c r="H1190" s="116">
        <v>0.03</v>
      </c>
    </row>
    <row r="1191" spans="3:8">
      <c r="C1191" s="6"/>
      <c r="D1191" s="330">
        <v>1.3</v>
      </c>
      <c r="E1191" s="116">
        <v>0.03</v>
      </c>
      <c r="F1191" s="116">
        <v>0.03</v>
      </c>
      <c r="G1191" s="116">
        <v>0.03</v>
      </c>
      <c r="H1191" s="116">
        <v>0.03</v>
      </c>
    </row>
    <row r="1192" spans="3:8">
      <c r="C1192" s="6"/>
      <c r="D1192" s="330">
        <v>1.32</v>
      </c>
      <c r="E1192" s="116">
        <v>0.04</v>
      </c>
      <c r="F1192" s="116">
        <v>0.04</v>
      </c>
      <c r="G1192" s="116">
        <v>0.04</v>
      </c>
      <c r="H1192" s="116">
        <v>0.04</v>
      </c>
    </row>
    <row r="1193" spans="3:8">
      <c r="C1193" s="6"/>
      <c r="D1193" s="330">
        <v>1.34</v>
      </c>
      <c r="E1193" s="116">
        <v>0.04</v>
      </c>
      <c r="F1193" s="116">
        <v>0.04</v>
      </c>
      <c r="G1193" s="116">
        <v>0.04</v>
      </c>
      <c r="H1193" s="116">
        <v>0.04</v>
      </c>
    </row>
    <row r="1194" spans="3:8">
      <c r="C1194" s="6"/>
      <c r="D1194" s="330">
        <v>1.36</v>
      </c>
      <c r="E1194" s="116">
        <v>0.04</v>
      </c>
      <c r="F1194" s="116">
        <v>0.04</v>
      </c>
      <c r="G1194" s="116">
        <v>0.04</v>
      </c>
      <c r="H1194" s="116">
        <v>0.04</v>
      </c>
    </row>
    <row r="1195" spans="3:8">
      <c r="C1195" s="6"/>
      <c r="D1195" s="330">
        <v>1.38</v>
      </c>
      <c r="E1195" s="116">
        <v>0.04</v>
      </c>
      <c r="F1195" s="116">
        <v>0.04</v>
      </c>
      <c r="G1195" s="116">
        <v>0.04</v>
      </c>
      <c r="H1195" s="116">
        <v>0.04</v>
      </c>
    </row>
    <row r="1196" spans="3:8">
      <c r="C1196" s="6"/>
      <c r="D1196" s="330">
        <v>1.4</v>
      </c>
      <c r="E1196" s="116">
        <v>0.04</v>
      </c>
      <c r="F1196" s="116">
        <v>0.04</v>
      </c>
      <c r="G1196" s="116">
        <v>0.04</v>
      </c>
      <c r="H1196" s="116">
        <v>0.04</v>
      </c>
    </row>
    <row r="1197" spans="3:8">
      <c r="C1197" s="6"/>
      <c r="D1197" s="330">
        <v>1.42</v>
      </c>
      <c r="E1197" s="116">
        <v>0.05</v>
      </c>
      <c r="F1197" s="116">
        <v>0.05</v>
      </c>
      <c r="G1197" s="116">
        <v>0.05</v>
      </c>
      <c r="H1197" s="116">
        <v>0.05</v>
      </c>
    </row>
    <row r="1198" spans="3:8">
      <c r="C1198" s="6"/>
      <c r="D1198" s="330">
        <v>1.44</v>
      </c>
      <c r="E1198" s="116">
        <v>0.05</v>
      </c>
      <c r="F1198" s="116">
        <v>0.05</v>
      </c>
      <c r="G1198" s="116">
        <v>0.05</v>
      </c>
      <c r="H1198" s="116">
        <v>0.05</v>
      </c>
    </row>
    <row r="1199" spans="3:8">
      <c r="C1199" s="6"/>
      <c r="D1199" s="330">
        <v>1.46</v>
      </c>
      <c r="E1199" s="116">
        <v>0.05</v>
      </c>
      <c r="F1199" s="116">
        <v>0.05</v>
      </c>
      <c r="G1199" s="116">
        <v>0.05</v>
      </c>
      <c r="H1199" s="116">
        <v>0.05</v>
      </c>
    </row>
    <row r="1200" spans="3:8">
      <c r="C1200" s="6"/>
      <c r="D1200" s="330">
        <v>1.48</v>
      </c>
      <c r="E1200" s="116">
        <v>0.05</v>
      </c>
      <c r="F1200" s="116">
        <v>0.05</v>
      </c>
      <c r="G1200" s="116">
        <v>0.05</v>
      </c>
      <c r="H1200" s="116">
        <v>0.05</v>
      </c>
    </row>
    <row r="1201" spans="3:8">
      <c r="C1201" s="6"/>
      <c r="D1201" s="330">
        <v>1.5</v>
      </c>
      <c r="E1201" s="116">
        <v>0.05</v>
      </c>
      <c r="F1201" s="116">
        <v>0.05</v>
      </c>
      <c r="G1201" s="116">
        <v>0.05</v>
      </c>
      <c r="H1201" s="116">
        <v>0.05</v>
      </c>
    </row>
    <row r="1202" spans="3:8">
      <c r="C1202" s="6"/>
      <c r="D1202" s="330">
        <v>9.99</v>
      </c>
      <c r="E1202" s="116">
        <v>0.25</v>
      </c>
      <c r="F1202" s="116">
        <v>0.25</v>
      </c>
      <c r="G1202" s="116">
        <v>0.25</v>
      </c>
      <c r="H1202" s="116">
        <v>0.25</v>
      </c>
    </row>
    <row r="1203" spans="3:8" s="90" customFormat="1">
      <c r="D1203" s="7" t="s">
        <v>964</v>
      </c>
    </row>
    <row r="1204" spans="3:8" s="90" customFormat="1">
      <c r="D1204" s="334"/>
    </row>
    <row r="1205" spans="3:8">
      <c r="C1205" s="7" t="s">
        <v>963</v>
      </c>
      <c r="E1205" s="23"/>
    </row>
    <row r="1206" spans="3:8" ht="42.75">
      <c r="C1206" s="6"/>
      <c r="D1206" s="329" t="s">
        <v>962</v>
      </c>
      <c r="E1206" s="123" t="s">
        <v>244</v>
      </c>
      <c r="F1206" s="333" t="s">
        <v>245</v>
      </c>
      <c r="G1206" s="333" t="s">
        <v>5199</v>
      </c>
      <c r="H1206" s="333" t="s">
        <v>246</v>
      </c>
    </row>
    <row r="1207" spans="3:8">
      <c r="C1207" s="6"/>
      <c r="D1207" s="330">
        <v>0</v>
      </c>
      <c r="E1207" s="116">
        <v>0.1</v>
      </c>
      <c r="F1207" s="116">
        <v>0.1</v>
      </c>
      <c r="G1207" s="116">
        <v>0.1</v>
      </c>
      <c r="H1207" s="116">
        <v>0.1</v>
      </c>
    </row>
    <row r="1208" spans="3:8">
      <c r="C1208" s="6"/>
      <c r="D1208" s="330">
        <v>0.02</v>
      </c>
      <c r="E1208" s="116">
        <v>0.1</v>
      </c>
      <c r="F1208" s="116">
        <v>0.1</v>
      </c>
      <c r="G1208" s="116">
        <v>0.1</v>
      </c>
      <c r="H1208" s="116">
        <v>0.1</v>
      </c>
    </row>
    <row r="1209" spans="3:8">
      <c r="C1209" s="6"/>
      <c r="D1209" s="330">
        <v>0.04</v>
      </c>
      <c r="E1209" s="116">
        <v>0.1</v>
      </c>
      <c r="F1209" s="116">
        <v>0.1</v>
      </c>
      <c r="G1209" s="116">
        <v>0.1</v>
      </c>
      <c r="H1209" s="116">
        <v>0.1</v>
      </c>
    </row>
    <row r="1210" spans="3:8">
      <c r="C1210" s="6"/>
      <c r="D1210" s="330">
        <v>0.06</v>
      </c>
      <c r="E1210" s="116">
        <v>0.1</v>
      </c>
      <c r="F1210" s="116">
        <v>0.1</v>
      </c>
      <c r="G1210" s="116">
        <v>0.1</v>
      </c>
      <c r="H1210" s="116">
        <v>0.1</v>
      </c>
    </row>
    <row r="1211" spans="3:8">
      <c r="C1211" s="6"/>
      <c r="D1211" s="330">
        <v>0.08</v>
      </c>
      <c r="E1211" s="116">
        <v>0.1</v>
      </c>
      <c r="F1211" s="116">
        <v>0.1</v>
      </c>
      <c r="G1211" s="116">
        <v>0.1</v>
      </c>
      <c r="H1211" s="116">
        <v>0.1</v>
      </c>
    </row>
    <row r="1212" spans="3:8">
      <c r="C1212" s="6"/>
      <c r="D1212" s="330">
        <v>0.1</v>
      </c>
      <c r="E1212" s="116">
        <v>0.09</v>
      </c>
      <c r="F1212" s="116">
        <v>0.09</v>
      </c>
      <c r="G1212" s="116">
        <v>0.09</v>
      </c>
      <c r="H1212" s="116">
        <v>0.09</v>
      </c>
    </row>
    <row r="1213" spans="3:8">
      <c r="C1213" s="6"/>
      <c r="D1213" s="330">
        <v>0.12</v>
      </c>
      <c r="E1213" s="116">
        <v>0.09</v>
      </c>
      <c r="F1213" s="116">
        <v>0.09</v>
      </c>
      <c r="G1213" s="116">
        <v>0.09</v>
      </c>
      <c r="H1213" s="116">
        <v>0.09</v>
      </c>
    </row>
    <row r="1214" spans="3:8">
      <c r="C1214" s="6"/>
      <c r="D1214" s="330">
        <v>0.14000000000000001</v>
      </c>
      <c r="E1214" s="116">
        <v>0.09</v>
      </c>
      <c r="F1214" s="116">
        <v>0.09</v>
      </c>
      <c r="G1214" s="116">
        <v>0.09</v>
      </c>
      <c r="H1214" s="116">
        <v>0.09</v>
      </c>
    </row>
    <row r="1215" spans="3:8">
      <c r="C1215" s="6"/>
      <c r="D1215" s="330">
        <v>0.16</v>
      </c>
      <c r="E1215" s="116">
        <v>0.09</v>
      </c>
      <c r="F1215" s="116">
        <v>0.09</v>
      </c>
      <c r="G1215" s="116">
        <v>0.09</v>
      </c>
      <c r="H1215" s="116">
        <v>0.09</v>
      </c>
    </row>
    <row r="1216" spans="3:8">
      <c r="C1216" s="6"/>
      <c r="D1216" s="330">
        <v>0.18</v>
      </c>
      <c r="E1216" s="116">
        <v>0.09</v>
      </c>
      <c r="F1216" s="116">
        <v>0.09</v>
      </c>
      <c r="G1216" s="116">
        <v>0.09</v>
      </c>
      <c r="H1216" s="116">
        <v>0.09</v>
      </c>
    </row>
    <row r="1217" spans="3:8">
      <c r="C1217" s="6"/>
      <c r="D1217" s="330">
        <v>0.2</v>
      </c>
      <c r="E1217" s="116">
        <v>0.09</v>
      </c>
      <c r="F1217" s="116">
        <v>0.09</v>
      </c>
      <c r="G1217" s="116">
        <v>0.09</v>
      </c>
      <c r="H1217" s="116">
        <v>0.09</v>
      </c>
    </row>
    <row r="1218" spans="3:8">
      <c r="C1218" s="6"/>
      <c r="D1218" s="330">
        <v>0.22</v>
      </c>
      <c r="E1218" s="116">
        <v>0.08</v>
      </c>
      <c r="F1218" s="116">
        <v>0.08</v>
      </c>
      <c r="G1218" s="116">
        <v>0.08</v>
      </c>
      <c r="H1218" s="116">
        <v>0.08</v>
      </c>
    </row>
    <row r="1219" spans="3:8">
      <c r="C1219" s="6"/>
      <c r="D1219" s="330">
        <v>0.24</v>
      </c>
      <c r="E1219" s="116">
        <v>0.08</v>
      </c>
      <c r="F1219" s="116">
        <v>0.08</v>
      </c>
      <c r="G1219" s="116">
        <v>0.08</v>
      </c>
      <c r="H1219" s="116">
        <v>0.08</v>
      </c>
    </row>
    <row r="1220" spans="3:8">
      <c r="C1220" s="6"/>
      <c r="D1220" s="330">
        <v>0.26</v>
      </c>
      <c r="E1220" s="116">
        <v>0.08</v>
      </c>
      <c r="F1220" s="116">
        <v>0.08</v>
      </c>
      <c r="G1220" s="116">
        <v>0.08</v>
      </c>
      <c r="H1220" s="116">
        <v>0.08</v>
      </c>
    </row>
    <row r="1221" spans="3:8">
      <c r="C1221" s="6"/>
      <c r="D1221" s="330">
        <v>0.28000000000000003</v>
      </c>
      <c r="E1221" s="116">
        <v>0.08</v>
      </c>
      <c r="F1221" s="116">
        <v>0.08</v>
      </c>
      <c r="G1221" s="116">
        <v>0.08</v>
      </c>
      <c r="H1221" s="116">
        <v>0.08</v>
      </c>
    </row>
    <row r="1222" spans="3:8">
      <c r="C1222" s="6"/>
      <c r="D1222" s="330">
        <v>0.3</v>
      </c>
      <c r="E1222" s="116">
        <v>0.08</v>
      </c>
      <c r="F1222" s="116">
        <v>0.08</v>
      </c>
      <c r="G1222" s="116">
        <v>0.08</v>
      </c>
      <c r="H1222" s="116">
        <v>0.08</v>
      </c>
    </row>
    <row r="1223" spans="3:8">
      <c r="C1223" s="6"/>
      <c r="D1223" s="330">
        <v>0.32</v>
      </c>
      <c r="E1223" s="116">
        <v>7.0000000000000007E-2</v>
      </c>
      <c r="F1223" s="116">
        <v>7.0000000000000007E-2</v>
      </c>
      <c r="G1223" s="116">
        <v>7.0000000000000007E-2</v>
      </c>
      <c r="H1223" s="116">
        <v>7.0000000000000007E-2</v>
      </c>
    </row>
    <row r="1224" spans="3:8">
      <c r="C1224" s="6"/>
      <c r="D1224" s="330">
        <v>0.34</v>
      </c>
      <c r="E1224" s="116">
        <v>7.0000000000000007E-2</v>
      </c>
      <c r="F1224" s="116">
        <v>7.0000000000000007E-2</v>
      </c>
      <c r="G1224" s="116">
        <v>7.0000000000000007E-2</v>
      </c>
      <c r="H1224" s="116">
        <v>7.0000000000000007E-2</v>
      </c>
    </row>
    <row r="1225" spans="3:8">
      <c r="C1225" s="6"/>
      <c r="D1225" s="330">
        <v>0.36</v>
      </c>
      <c r="E1225" s="116">
        <v>7.0000000000000007E-2</v>
      </c>
      <c r="F1225" s="116">
        <v>7.0000000000000007E-2</v>
      </c>
      <c r="G1225" s="116">
        <v>7.0000000000000007E-2</v>
      </c>
      <c r="H1225" s="116">
        <v>7.0000000000000007E-2</v>
      </c>
    </row>
    <row r="1226" spans="3:8">
      <c r="C1226" s="6"/>
      <c r="D1226" s="330">
        <v>0.38</v>
      </c>
      <c r="E1226" s="116">
        <v>7.0000000000000007E-2</v>
      </c>
      <c r="F1226" s="116">
        <v>7.0000000000000007E-2</v>
      </c>
      <c r="G1226" s="116">
        <v>7.0000000000000007E-2</v>
      </c>
      <c r="H1226" s="116">
        <v>7.0000000000000007E-2</v>
      </c>
    </row>
    <row r="1227" spans="3:8">
      <c r="C1227" s="6"/>
      <c r="D1227" s="330">
        <v>0.4</v>
      </c>
      <c r="E1227" s="116">
        <v>7.0000000000000007E-2</v>
      </c>
      <c r="F1227" s="116">
        <v>7.0000000000000007E-2</v>
      </c>
      <c r="G1227" s="116">
        <v>7.0000000000000007E-2</v>
      </c>
      <c r="H1227" s="116">
        <v>7.0000000000000007E-2</v>
      </c>
    </row>
    <row r="1228" spans="3:8">
      <c r="C1228" s="6"/>
      <c r="D1228" s="330">
        <v>0.42</v>
      </c>
      <c r="E1228" s="116">
        <v>0.06</v>
      </c>
      <c r="F1228" s="116">
        <v>0.06</v>
      </c>
      <c r="G1228" s="116">
        <v>0.06</v>
      </c>
      <c r="H1228" s="116">
        <v>0.06</v>
      </c>
    </row>
    <row r="1229" spans="3:8">
      <c r="C1229" s="6"/>
      <c r="D1229" s="330">
        <v>0.44</v>
      </c>
      <c r="E1229" s="116">
        <v>0.06</v>
      </c>
      <c r="F1229" s="116">
        <v>0.06</v>
      </c>
      <c r="G1229" s="116">
        <v>0.06</v>
      </c>
      <c r="H1229" s="116">
        <v>0.06</v>
      </c>
    </row>
    <row r="1230" spans="3:8">
      <c r="C1230" s="6"/>
      <c r="D1230" s="330">
        <v>0.46</v>
      </c>
      <c r="E1230" s="116">
        <v>0.06</v>
      </c>
      <c r="F1230" s="116">
        <v>0.06</v>
      </c>
      <c r="G1230" s="116">
        <v>0.06</v>
      </c>
      <c r="H1230" s="116">
        <v>0.06</v>
      </c>
    </row>
    <row r="1231" spans="3:8">
      <c r="C1231" s="6"/>
      <c r="D1231" s="330">
        <v>0.48</v>
      </c>
      <c r="E1231" s="116">
        <v>0.06</v>
      </c>
      <c r="F1231" s="116">
        <v>0.06</v>
      </c>
      <c r="G1231" s="116">
        <v>0.06</v>
      </c>
      <c r="H1231" s="116">
        <v>0.06</v>
      </c>
    </row>
    <row r="1232" spans="3:8">
      <c r="C1232" s="6"/>
      <c r="D1232" s="330">
        <v>0.5</v>
      </c>
      <c r="E1232" s="116">
        <v>0.06</v>
      </c>
      <c r="F1232" s="116">
        <v>0.06</v>
      </c>
      <c r="G1232" s="116">
        <v>0.06</v>
      </c>
      <c r="H1232" s="116">
        <v>0.06</v>
      </c>
    </row>
    <row r="1233" spans="3:8">
      <c r="C1233" s="6"/>
      <c r="D1233" s="330">
        <v>0.52</v>
      </c>
      <c r="E1233" s="116">
        <v>0.05</v>
      </c>
      <c r="F1233" s="116">
        <v>0.05</v>
      </c>
      <c r="G1233" s="116">
        <v>0.05</v>
      </c>
      <c r="H1233" s="116">
        <v>0.05</v>
      </c>
    </row>
    <row r="1234" spans="3:8">
      <c r="C1234" s="6"/>
      <c r="D1234" s="330">
        <v>0.54</v>
      </c>
      <c r="E1234" s="116">
        <v>0.05</v>
      </c>
      <c r="F1234" s="116">
        <v>0.05</v>
      </c>
      <c r="G1234" s="116">
        <v>0.05</v>
      </c>
      <c r="H1234" s="116">
        <v>0.05</v>
      </c>
    </row>
    <row r="1235" spans="3:8">
      <c r="C1235" s="6"/>
      <c r="D1235" s="330">
        <v>0.56000000000000005</v>
      </c>
      <c r="E1235" s="116">
        <v>0.05</v>
      </c>
      <c r="F1235" s="116">
        <v>0.05</v>
      </c>
      <c r="G1235" s="116">
        <v>0.05</v>
      </c>
      <c r="H1235" s="116">
        <v>0.05</v>
      </c>
    </row>
    <row r="1236" spans="3:8">
      <c r="C1236" s="6"/>
      <c r="D1236" s="330">
        <v>0.57999999999999996</v>
      </c>
      <c r="E1236" s="116">
        <v>0.05</v>
      </c>
      <c r="F1236" s="116">
        <v>0.05</v>
      </c>
      <c r="G1236" s="116">
        <v>0.05</v>
      </c>
      <c r="H1236" s="116">
        <v>0.05</v>
      </c>
    </row>
    <row r="1237" spans="3:8">
      <c r="C1237" s="6"/>
      <c r="D1237" s="330">
        <v>0.6</v>
      </c>
      <c r="E1237" s="116">
        <v>0.05</v>
      </c>
      <c r="F1237" s="116">
        <v>0.05</v>
      </c>
      <c r="G1237" s="116">
        <v>0.05</v>
      </c>
      <c r="H1237" s="116">
        <v>0.05</v>
      </c>
    </row>
    <row r="1238" spans="3:8">
      <c r="C1238" s="6"/>
      <c r="D1238" s="330">
        <v>0.62</v>
      </c>
      <c r="E1238" s="116">
        <v>0.04</v>
      </c>
      <c r="F1238" s="116">
        <v>0.04</v>
      </c>
      <c r="G1238" s="116">
        <v>0.04</v>
      </c>
      <c r="H1238" s="116">
        <v>0.04</v>
      </c>
    </row>
    <row r="1239" spans="3:8">
      <c r="C1239" s="6"/>
      <c r="D1239" s="330">
        <v>0.64</v>
      </c>
      <c r="E1239" s="116">
        <v>0.04</v>
      </c>
      <c r="F1239" s="116">
        <v>0.04</v>
      </c>
      <c r="G1239" s="116">
        <v>0.04</v>
      </c>
      <c r="H1239" s="116">
        <v>0.04</v>
      </c>
    </row>
    <row r="1240" spans="3:8">
      <c r="C1240" s="6"/>
      <c r="D1240" s="330">
        <v>0.66</v>
      </c>
      <c r="E1240" s="116">
        <v>0.04</v>
      </c>
      <c r="F1240" s="116">
        <v>0.04</v>
      </c>
      <c r="G1240" s="116">
        <v>0.04</v>
      </c>
      <c r="H1240" s="116">
        <v>0.04</v>
      </c>
    </row>
    <row r="1241" spans="3:8">
      <c r="C1241" s="6"/>
      <c r="D1241" s="330">
        <v>0.68</v>
      </c>
      <c r="E1241" s="116">
        <v>0.04</v>
      </c>
      <c r="F1241" s="116">
        <v>0.04</v>
      </c>
      <c r="G1241" s="116">
        <v>0.04</v>
      </c>
      <c r="H1241" s="116">
        <v>0.04</v>
      </c>
    </row>
    <row r="1242" spans="3:8">
      <c r="C1242" s="6"/>
      <c r="D1242" s="330">
        <v>0.7</v>
      </c>
      <c r="E1242" s="116">
        <v>0.04</v>
      </c>
      <c r="F1242" s="116">
        <v>0.04</v>
      </c>
      <c r="G1242" s="116">
        <v>0.04</v>
      </c>
      <c r="H1242" s="116">
        <v>0.04</v>
      </c>
    </row>
    <row r="1243" spans="3:8">
      <c r="C1243" s="6"/>
      <c r="D1243" s="330">
        <v>0.72</v>
      </c>
      <c r="E1243" s="116">
        <v>0.03</v>
      </c>
      <c r="F1243" s="116">
        <v>0.03</v>
      </c>
      <c r="G1243" s="116">
        <v>0.03</v>
      </c>
      <c r="H1243" s="116">
        <v>0.03</v>
      </c>
    </row>
    <row r="1244" spans="3:8">
      <c r="C1244" s="6"/>
      <c r="D1244" s="330">
        <v>0.74</v>
      </c>
      <c r="E1244" s="116">
        <v>0.03</v>
      </c>
      <c r="F1244" s="116">
        <v>0.03</v>
      </c>
      <c r="G1244" s="116">
        <v>0.03</v>
      </c>
      <c r="H1244" s="116">
        <v>0.03</v>
      </c>
    </row>
    <row r="1245" spans="3:8">
      <c r="C1245" s="6"/>
      <c r="D1245" s="330">
        <v>0.76</v>
      </c>
      <c r="E1245" s="116">
        <v>0.03</v>
      </c>
      <c r="F1245" s="116">
        <v>0.03</v>
      </c>
      <c r="G1245" s="116">
        <v>0.03</v>
      </c>
      <c r="H1245" s="116">
        <v>0.03</v>
      </c>
    </row>
    <row r="1246" spans="3:8">
      <c r="C1246" s="6"/>
      <c r="D1246" s="330">
        <v>0.78</v>
      </c>
      <c r="E1246" s="116">
        <v>0.03</v>
      </c>
      <c r="F1246" s="116">
        <v>0.03</v>
      </c>
      <c r="G1246" s="116">
        <v>0.03</v>
      </c>
      <c r="H1246" s="116">
        <v>0.03</v>
      </c>
    </row>
    <row r="1247" spans="3:8">
      <c r="C1247" s="6"/>
      <c r="D1247" s="330">
        <v>0.8</v>
      </c>
      <c r="E1247" s="116">
        <v>0.03</v>
      </c>
      <c r="F1247" s="116">
        <v>0.03</v>
      </c>
      <c r="G1247" s="116">
        <v>0.03</v>
      </c>
      <c r="H1247" s="116">
        <v>0.03</v>
      </c>
    </row>
    <row r="1248" spans="3:8">
      <c r="C1248" s="6"/>
      <c r="D1248" s="330">
        <v>0.82</v>
      </c>
      <c r="E1248" s="116">
        <v>0.02</v>
      </c>
      <c r="F1248" s="116">
        <v>0.02</v>
      </c>
      <c r="G1248" s="116">
        <v>0.02</v>
      </c>
      <c r="H1248" s="116">
        <v>0.02</v>
      </c>
    </row>
    <row r="1249" spans="3:8">
      <c r="C1249" s="6"/>
      <c r="D1249" s="330">
        <v>0.84</v>
      </c>
      <c r="E1249" s="116">
        <v>0.02</v>
      </c>
      <c r="F1249" s="116">
        <v>0.02</v>
      </c>
      <c r="G1249" s="116">
        <v>0.02</v>
      </c>
      <c r="H1249" s="116">
        <v>0.02</v>
      </c>
    </row>
    <row r="1250" spans="3:8">
      <c r="C1250" s="6"/>
      <c r="D1250" s="330">
        <v>0.86</v>
      </c>
      <c r="E1250" s="116">
        <v>0.02</v>
      </c>
      <c r="F1250" s="116">
        <v>0.02</v>
      </c>
      <c r="G1250" s="116">
        <v>0.02</v>
      </c>
      <c r="H1250" s="116">
        <v>0.02</v>
      </c>
    </row>
    <row r="1251" spans="3:8">
      <c r="C1251" s="6"/>
      <c r="D1251" s="330">
        <v>0.88</v>
      </c>
      <c r="E1251" s="116">
        <v>0.02</v>
      </c>
      <c r="F1251" s="116">
        <v>0.02</v>
      </c>
      <c r="G1251" s="116">
        <v>0.02</v>
      </c>
      <c r="H1251" s="116">
        <v>0.02</v>
      </c>
    </row>
    <row r="1252" spans="3:8">
      <c r="C1252" s="6"/>
      <c r="D1252" s="330">
        <v>0.9</v>
      </c>
      <c r="E1252" s="116">
        <v>0.02</v>
      </c>
      <c r="F1252" s="116">
        <v>0.02</v>
      </c>
      <c r="G1252" s="116">
        <v>0.02</v>
      </c>
      <c r="H1252" s="116">
        <v>0.02</v>
      </c>
    </row>
    <row r="1253" spans="3:8">
      <c r="C1253" s="6"/>
      <c r="D1253" s="330">
        <v>0.92</v>
      </c>
      <c r="E1253" s="116">
        <v>0.01</v>
      </c>
      <c r="F1253" s="116">
        <v>0.01</v>
      </c>
      <c r="G1253" s="116">
        <v>0.01</v>
      </c>
      <c r="H1253" s="116">
        <v>0.01</v>
      </c>
    </row>
    <row r="1254" spans="3:8">
      <c r="C1254" s="6"/>
      <c r="D1254" s="330">
        <v>0.94</v>
      </c>
      <c r="E1254" s="116">
        <v>0.01</v>
      </c>
      <c r="F1254" s="116">
        <v>0.01</v>
      </c>
      <c r="G1254" s="116">
        <v>0.01</v>
      </c>
      <c r="H1254" s="116">
        <v>0.01</v>
      </c>
    </row>
    <row r="1255" spans="3:8">
      <c r="C1255" s="6"/>
      <c r="D1255" s="330">
        <v>0.96</v>
      </c>
      <c r="E1255" s="116">
        <v>0.01</v>
      </c>
      <c r="F1255" s="116">
        <v>0.01</v>
      </c>
      <c r="G1255" s="116">
        <v>0.01</v>
      </c>
      <c r="H1255" s="116">
        <v>0.01</v>
      </c>
    </row>
    <row r="1256" spans="3:8">
      <c r="C1256" s="6"/>
      <c r="D1256" s="330">
        <v>0.98</v>
      </c>
      <c r="E1256" s="116">
        <v>0.01</v>
      </c>
      <c r="F1256" s="116">
        <v>0.01</v>
      </c>
      <c r="G1256" s="116">
        <v>0.01</v>
      </c>
      <c r="H1256" s="116">
        <v>0.01</v>
      </c>
    </row>
    <row r="1257" spans="3:8">
      <c r="C1257" s="6"/>
      <c r="D1257" s="330">
        <v>1</v>
      </c>
      <c r="E1257" s="116">
        <v>0</v>
      </c>
      <c r="F1257" s="116">
        <v>0</v>
      </c>
      <c r="G1257" s="116">
        <v>0</v>
      </c>
      <c r="H1257" s="116">
        <v>0</v>
      </c>
    </row>
    <row r="1258" spans="3:8">
      <c r="C1258" s="6"/>
      <c r="D1258" s="330">
        <v>1.02</v>
      </c>
      <c r="E1258" s="116">
        <v>0.01</v>
      </c>
      <c r="F1258" s="116">
        <v>0.01</v>
      </c>
      <c r="G1258" s="116">
        <v>0.01</v>
      </c>
      <c r="H1258" s="116">
        <v>0.01</v>
      </c>
    </row>
    <row r="1259" spans="3:8">
      <c r="C1259" s="6"/>
      <c r="D1259" s="330">
        <v>1.04</v>
      </c>
      <c r="E1259" s="116">
        <v>0.01</v>
      </c>
      <c r="F1259" s="116">
        <v>0.01</v>
      </c>
      <c r="G1259" s="116">
        <v>0.01</v>
      </c>
      <c r="H1259" s="116">
        <v>0.01</v>
      </c>
    </row>
    <row r="1260" spans="3:8">
      <c r="C1260" s="6"/>
      <c r="D1260" s="330">
        <v>1.06</v>
      </c>
      <c r="E1260" s="116">
        <v>0.01</v>
      </c>
      <c r="F1260" s="116">
        <v>0.01</v>
      </c>
      <c r="G1260" s="116">
        <v>0.01</v>
      </c>
      <c r="H1260" s="116">
        <v>0.01</v>
      </c>
    </row>
    <row r="1261" spans="3:8">
      <c r="C1261" s="6"/>
      <c r="D1261" s="330">
        <v>1.08</v>
      </c>
      <c r="E1261" s="116">
        <v>0.01</v>
      </c>
      <c r="F1261" s="116">
        <v>0.01</v>
      </c>
      <c r="G1261" s="116">
        <v>0.01</v>
      </c>
      <c r="H1261" s="116">
        <v>0.01</v>
      </c>
    </row>
    <row r="1262" spans="3:8">
      <c r="C1262" s="6"/>
      <c r="D1262" s="330">
        <v>1.1000000000000001</v>
      </c>
      <c r="E1262" s="116">
        <v>0.01</v>
      </c>
      <c r="F1262" s="116">
        <v>0.01</v>
      </c>
      <c r="G1262" s="116">
        <v>0.01</v>
      </c>
      <c r="H1262" s="116">
        <v>0.01</v>
      </c>
    </row>
    <row r="1263" spans="3:8">
      <c r="C1263" s="6"/>
      <c r="D1263" s="330">
        <v>1.1200000000000001</v>
      </c>
      <c r="E1263" s="116">
        <v>0.02</v>
      </c>
      <c r="F1263" s="116">
        <v>0.02</v>
      </c>
      <c r="G1263" s="116">
        <v>0.02</v>
      </c>
      <c r="H1263" s="116">
        <v>0.02</v>
      </c>
    </row>
    <row r="1264" spans="3:8">
      <c r="C1264" s="6"/>
      <c r="D1264" s="330">
        <v>1.1399999999999999</v>
      </c>
      <c r="E1264" s="116">
        <v>0.02</v>
      </c>
      <c r="F1264" s="116">
        <v>0.02</v>
      </c>
      <c r="G1264" s="116">
        <v>0.02</v>
      </c>
      <c r="H1264" s="116">
        <v>0.02</v>
      </c>
    </row>
    <row r="1265" spans="3:8">
      <c r="C1265" s="6"/>
      <c r="D1265" s="330">
        <v>1.1599999999999999</v>
      </c>
      <c r="E1265" s="116">
        <v>0.02</v>
      </c>
      <c r="F1265" s="116">
        <v>0.02</v>
      </c>
      <c r="G1265" s="116">
        <v>0.02</v>
      </c>
      <c r="H1265" s="116">
        <v>0.02</v>
      </c>
    </row>
    <row r="1266" spans="3:8">
      <c r="C1266" s="6"/>
      <c r="D1266" s="330">
        <v>1.18</v>
      </c>
      <c r="E1266" s="116">
        <v>0.02</v>
      </c>
      <c r="F1266" s="116">
        <v>0.02</v>
      </c>
      <c r="G1266" s="116">
        <v>0.02</v>
      </c>
      <c r="H1266" s="116">
        <v>0.02</v>
      </c>
    </row>
    <row r="1267" spans="3:8">
      <c r="C1267" s="6"/>
      <c r="D1267" s="330">
        <v>1.2</v>
      </c>
      <c r="E1267" s="116">
        <v>0.02</v>
      </c>
      <c r="F1267" s="116">
        <v>0.02</v>
      </c>
      <c r="G1267" s="116">
        <v>0.02</v>
      </c>
      <c r="H1267" s="116">
        <v>0.02</v>
      </c>
    </row>
    <row r="1268" spans="3:8">
      <c r="C1268" s="6"/>
      <c r="D1268" s="330">
        <v>1.22</v>
      </c>
      <c r="E1268" s="116">
        <v>0.03</v>
      </c>
      <c r="F1268" s="116">
        <v>0.03</v>
      </c>
      <c r="G1268" s="116">
        <v>0.03</v>
      </c>
      <c r="H1268" s="116">
        <v>0.03</v>
      </c>
    </row>
    <row r="1269" spans="3:8">
      <c r="C1269" s="6"/>
      <c r="D1269" s="330">
        <v>1.24</v>
      </c>
      <c r="E1269" s="116">
        <v>0.03</v>
      </c>
      <c r="F1269" s="116">
        <v>0.03</v>
      </c>
      <c r="G1269" s="116">
        <v>0.03</v>
      </c>
      <c r="H1269" s="116">
        <v>0.03</v>
      </c>
    </row>
    <row r="1270" spans="3:8">
      <c r="C1270" s="6"/>
      <c r="D1270" s="330">
        <v>1.26</v>
      </c>
      <c r="E1270" s="116">
        <v>0.03</v>
      </c>
      <c r="F1270" s="116">
        <v>0.03</v>
      </c>
      <c r="G1270" s="116">
        <v>0.03</v>
      </c>
      <c r="H1270" s="116">
        <v>0.03</v>
      </c>
    </row>
    <row r="1271" spans="3:8">
      <c r="C1271" s="6"/>
      <c r="D1271" s="330">
        <v>1.28</v>
      </c>
      <c r="E1271" s="116">
        <v>0.03</v>
      </c>
      <c r="F1271" s="116">
        <v>0.03</v>
      </c>
      <c r="G1271" s="116">
        <v>0.03</v>
      </c>
      <c r="H1271" s="116">
        <v>0.03</v>
      </c>
    </row>
    <row r="1272" spans="3:8">
      <c r="C1272" s="6"/>
      <c r="D1272" s="330">
        <v>1.3</v>
      </c>
      <c r="E1272" s="116">
        <v>0.03</v>
      </c>
      <c r="F1272" s="116">
        <v>0.03</v>
      </c>
      <c r="G1272" s="116">
        <v>0.03</v>
      </c>
      <c r="H1272" s="116">
        <v>0.03</v>
      </c>
    </row>
    <row r="1273" spans="3:8">
      <c r="C1273" s="6"/>
      <c r="D1273" s="330">
        <v>1.32</v>
      </c>
      <c r="E1273" s="116">
        <v>0.04</v>
      </c>
      <c r="F1273" s="116">
        <v>0.04</v>
      </c>
      <c r="G1273" s="116">
        <v>0.04</v>
      </c>
      <c r="H1273" s="116">
        <v>0.04</v>
      </c>
    </row>
    <row r="1274" spans="3:8">
      <c r="C1274" s="6"/>
      <c r="D1274" s="330">
        <v>1.34</v>
      </c>
      <c r="E1274" s="116">
        <v>0.04</v>
      </c>
      <c r="F1274" s="116">
        <v>0.04</v>
      </c>
      <c r="G1274" s="116">
        <v>0.04</v>
      </c>
      <c r="H1274" s="116">
        <v>0.04</v>
      </c>
    </row>
    <row r="1275" spans="3:8">
      <c r="C1275" s="6"/>
      <c r="D1275" s="330">
        <v>1.36</v>
      </c>
      <c r="E1275" s="116">
        <v>0.04</v>
      </c>
      <c r="F1275" s="116">
        <v>0.04</v>
      </c>
      <c r="G1275" s="116">
        <v>0.04</v>
      </c>
      <c r="H1275" s="116">
        <v>0.04</v>
      </c>
    </row>
    <row r="1276" spans="3:8">
      <c r="C1276" s="6"/>
      <c r="D1276" s="330">
        <v>1.38</v>
      </c>
      <c r="E1276" s="116">
        <v>0.04</v>
      </c>
      <c r="F1276" s="116">
        <v>0.04</v>
      </c>
      <c r="G1276" s="116">
        <v>0.04</v>
      </c>
      <c r="H1276" s="116">
        <v>0.04</v>
      </c>
    </row>
    <row r="1277" spans="3:8">
      <c r="C1277" s="6"/>
      <c r="D1277" s="330">
        <v>1.4</v>
      </c>
      <c r="E1277" s="116">
        <v>0.04</v>
      </c>
      <c r="F1277" s="116">
        <v>0.04</v>
      </c>
      <c r="G1277" s="116">
        <v>0.04</v>
      </c>
      <c r="H1277" s="116">
        <v>0.04</v>
      </c>
    </row>
    <row r="1278" spans="3:8">
      <c r="C1278" s="6"/>
      <c r="D1278" s="330">
        <v>1.42</v>
      </c>
      <c r="E1278" s="116">
        <v>0.05</v>
      </c>
      <c r="F1278" s="116">
        <v>0.05</v>
      </c>
      <c r="G1278" s="116">
        <v>0.05</v>
      </c>
      <c r="H1278" s="116">
        <v>0.05</v>
      </c>
    </row>
    <row r="1279" spans="3:8">
      <c r="C1279" s="6"/>
      <c r="D1279" s="330">
        <v>1.44</v>
      </c>
      <c r="E1279" s="116">
        <v>0.05</v>
      </c>
      <c r="F1279" s="116">
        <v>0.05</v>
      </c>
      <c r="G1279" s="116">
        <v>0.05</v>
      </c>
      <c r="H1279" s="116">
        <v>0.05</v>
      </c>
    </row>
    <row r="1280" spans="3:8">
      <c r="C1280" s="6"/>
      <c r="D1280" s="330">
        <v>1.46</v>
      </c>
      <c r="E1280" s="116">
        <v>0.05</v>
      </c>
      <c r="F1280" s="116">
        <v>0.05</v>
      </c>
      <c r="G1280" s="116">
        <v>0.05</v>
      </c>
      <c r="H1280" s="116">
        <v>0.05</v>
      </c>
    </row>
    <row r="1281" spans="3:8">
      <c r="C1281" s="6"/>
      <c r="D1281" s="330">
        <v>1.48</v>
      </c>
      <c r="E1281" s="116">
        <v>0.05</v>
      </c>
      <c r="F1281" s="116">
        <v>0.05</v>
      </c>
      <c r="G1281" s="116">
        <v>0.05</v>
      </c>
      <c r="H1281" s="116">
        <v>0.05</v>
      </c>
    </row>
    <row r="1282" spans="3:8">
      <c r="C1282" s="6"/>
      <c r="D1282" s="330">
        <v>1.5</v>
      </c>
      <c r="E1282" s="116">
        <v>0.05</v>
      </c>
      <c r="F1282" s="116">
        <v>0.05</v>
      </c>
      <c r="G1282" s="116">
        <v>0.05</v>
      </c>
      <c r="H1282" s="116">
        <v>0.05</v>
      </c>
    </row>
    <row r="1283" spans="3:8">
      <c r="C1283" s="6"/>
      <c r="D1283" s="330">
        <v>9.99</v>
      </c>
      <c r="E1283" s="116">
        <v>0.25</v>
      </c>
      <c r="F1283" s="116">
        <v>0.25</v>
      </c>
      <c r="G1283" s="116">
        <v>0.25</v>
      </c>
      <c r="H1283" s="116">
        <v>0.25</v>
      </c>
    </row>
    <row r="1284" spans="3:8">
      <c r="C1284" s="6"/>
      <c r="D1284" s="7" t="s">
        <v>965</v>
      </c>
    </row>
    <row r="1285" spans="3:8">
      <c r="C1285" s="6"/>
      <c r="D1285" s="7"/>
    </row>
    <row r="1286" spans="3:8">
      <c r="C1286" s="7" t="s">
        <v>1282</v>
      </c>
      <c r="E1286" s="23"/>
    </row>
    <row r="1287" spans="3:8" ht="42.75">
      <c r="C1287" s="6"/>
      <c r="D1287" s="329" t="s">
        <v>962</v>
      </c>
      <c r="E1287" s="123" t="s">
        <v>244</v>
      </c>
      <c r="F1287" s="333" t="s">
        <v>245</v>
      </c>
      <c r="G1287" s="333" t="s">
        <v>5199</v>
      </c>
      <c r="H1287" s="333" t="s">
        <v>246</v>
      </c>
    </row>
    <row r="1288" spans="3:8">
      <c r="C1288" s="6"/>
      <c r="D1288" s="330">
        <v>0</v>
      </c>
      <c r="E1288" s="116">
        <v>0.1</v>
      </c>
      <c r="F1288" s="116">
        <v>0.1</v>
      </c>
      <c r="G1288" s="116">
        <v>0.1</v>
      </c>
      <c r="H1288" s="116">
        <v>0.1</v>
      </c>
    </row>
    <row r="1289" spans="3:8">
      <c r="C1289" s="6"/>
      <c r="D1289" s="330">
        <v>0.02</v>
      </c>
      <c r="E1289" s="116">
        <v>0.1</v>
      </c>
      <c r="F1289" s="116">
        <v>0.1</v>
      </c>
      <c r="G1289" s="116">
        <v>0.1</v>
      </c>
      <c r="H1289" s="116">
        <v>0.1</v>
      </c>
    </row>
    <row r="1290" spans="3:8">
      <c r="C1290" s="6"/>
      <c r="D1290" s="330">
        <v>0.04</v>
      </c>
      <c r="E1290" s="116">
        <v>0.1</v>
      </c>
      <c r="F1290" s="116">
        <v>0.1</v>
      </c>
      <c r="G1290" s="116">
        <v>0.1</v>
      </c>
      <c r="H1290" s="116">
        <v>0.1</v>
      </c>
    </row>
    <row r="1291" spans="3:8">
      <c r="C1291" s="6"/>
      <c r="D1291" s="330">
        <v>0.06</v>
      </c>
      <c r="E1291" s="116">
        <v>0.1</v>
      </c>
      <c r="F1291" s="116">
        <v>0.1</v>
      </c>
      <c r="G1291" s="116">
        <v>0.1</v>
      </c>
      <c r="H1291" s="116">
        <v>0.1</v>
      </c>
    </row>
    <row r="1292" spans="3:8">
      <c r="C1292" s="6"/>
      <c r="D1292" s="330">
        <v>0.08</v>
      </c>
      <c r="E1292" s="116">
        <v>0.1</v>
      </c>
      <c r="F1292" s="116">
        <v>0.1</v>
      </c>
      <c r="G1292" s="116">
        <v>0.1</v>
      </c>
      <c r="H1292" s="116">
        <v>0.1</v>
      </c>
    </row>
    <row r="1293" spans="3:8">
      <c r="C1293" s="6"/>
      <c r="D1293" s="330">
        <v>0.1</v>
      </c>
      <c r="E1293" s="116">
        <v>0.09</v>
      </c>
      <c r="F1293" s="116">
        <v>0.09</v>
      </c>
      <c r="G1293" s="116">
        <v>0.09</v>
      </c>
      <c r="H1293" s="116">
        <v>0.09</v>
      </c>
    </row>
    <row r="1294" spans="3:8">
      <c r="C1294" s="6"/>
      <c r="D1294" s="330">
        <v>0.12</v>
      </c>
      <c r="E1294" s="116">
        <v>0.09</v>
      </c>
      <c r="F1294" s="116">
        <v>0.09</v>
      </c>
      <c r="G1294" s="116">
        <v>0.09</v>
      </c>
      <c r="H1294" s="116">
        <v>0.09</v>
      </c>
    </row>
    <row r="1295" spans="3:8">
      <c r="C1295" s="6"/>
      <c r="D1295" s="330">
        <v>0.14000000000000001</v>
      </c>
      <c r="E1295" s="116">
        <v>0.09</v>
      </c>
      <c r="F1295" s="116">
        <v>0.09</v>
      </c>
      <c r="G1295" s="116">
        <v>0.09</v>
      </c>
      <c r="H1295" s="116">
        <v>0.09</v>
      </c>
    </row>
    <row r="1296" spans="3:8">
      <c r="C1296" s="6"/>
      <c r="D1296" s="330">
        <v>0.16</v>
      </c>
      <c r="E1296" s="116">
        <v>0.09</v>
      </c>
      <c r="F1296" s="116">
        <v>0.09</v>
      </c>
      <c r="G1296" s="116">
        <v>0.09</v>
      </c>
      <c r="H1296" s="116">
        <v>0.09</v>
      </c>
    </row>
    <row r="1297" spans="3:8">
      <c r="C1297" s="6"/>
      <c r="D1297" s="330">
        <v>0.18</v>
      </c>
      <c r="E1297" s="116">
        <v>0.09</v>
      </c>
      <c r="F1297" s="116">
        <v>0.09</v>
      </c>
      <c r="G1297" s="116">
        <v>0.09</v>
      </c>
      <c r="H1297" s="116">
        <v>0.09</v>
      </c>
    </row>
    <row r="1298" spans="3:8">
      <c r="C1298" s="6"/>
      <c r="D1298" s="330">
        <v>0.2</v>
      </c>
      <c r="E1298" s="116">
        <v>0.09</v>
      </c>
      <c r="F1298" s="116">
        <v>0.09</v>
      </c>
      <c r="G1298" s="116">
        <v>0.09</v>
      </c>
      <c r="H1298" s="116">
        <v>0.09</v>
      </c>
    </row>
    <row r="1299" spans="3:8">
      <c r="C1299" s="6"/>
      <c r="D1299" s="330">
        <v>0.22</v>
      </c>
      <c r="E1299" s="116">
        <v>0.08</v>
      </c>
      <c r="F1299" s="116">
        <v>0.08</v>
      </c>
      <c r="G1299" s="116">
        <v>0.08</v>
      </c>
      <c r="H1299" s="116">
        <v>0.08</v>
      </c>
    </row>
    <row r="1300" spans="3:8">
      <c r="C1300" s="6"/>
      <c r="D1300" s="330">
        <v>0.24</v>
      </c>
      <c r="E1300" s="116">
        <v>0.08</v>
      </c>
      <c r="F1300" s="116">
        <v>0.08</v>
      </c>
      <c r="G1300" s="116">
        <v>0.08</v>
      </c>
      <c r="H1300" s="116">
        <v>0.08</v>
      </c>
    </row>
    <row r="1301" spans="3:8">
      <c r="C1301" s="6"/>
      <c r="D1301" s="330">
        <v>0.26</v>
      </c>
      <c r="E1301" s="116">
        <v>0.08</v>
      </c>
      <c r="F1301" s="116">
        <v>0.08</v>
      </c>
      <c r="G1301" s="116">
        <v>0.08</v>
      </c>
      <c r="H1301" s="116">
        <v>0.08</v>
      </c>
    </row>
    <row r="1302" spans="3:8">
      <c r="C1302" s="6"/>
      <c r="D1302" s="330">
        <v>0.28000000000000003</v>
      </c>
      <c r="E1302" s="116">
        <v>0.08</v>
      </c>
      <c r="F1302" s="116">
        <v>0.08</v>
      </c>
      <c r="G1302" s="116">
        <v>0.08</v>
      </c>
      <c r="H1302" s="116">
        <v>0.08</v>
      </c>
    </row>
    <row r="1303" spans="3:8">
      <c r="C1303" s="6"/>
      <c r="D1303" s="330">
        <v>0.3</v>
      </c>
      <c r="E1303" s="116">
        <v>0.08</v>
      </c>
      <c r="F1303" s="116">
        <v>0.08</v>
      </c>
      <c r="G1303" s="116">
        <v>0.08</v>
      </c>
      <c r="H1303" s="116">
        <v>0.08</v>
      </c>
    </row>
    <row r="1304" spans="3:8">
      <c r="C1304" s="6"/>
      <c r="D1304" s="330">
        <v>0.32</v>
      </c>
      <c r="E1304" s="116">
        <v>7.0000000000000007E-2</v>
      </c>
      <c r="F1304" s="116">
        <v>7.0000000000000007E-2</v>
      </c>
      <c r="G1304" s="116">
        <v>7.0000000000000007E-2</v>
      </c>
      <c r="H1304" s="116">
        <v>7.0000000000000007E-2</v>
      </c>
    </row>
    <row r="1305" spans="3:8">
      <c r="C1305" s="6"/>
      <c r="D1305" s="330">
        <v>0.34</v>
      </c>
      <c r="E1305" s="116">
        <v>7.0000000000000007E-2</v>
      </c>
      <c r="F1305" s="116">
        <v>7.0000000000000007E-2</v>
      </c>
      <c r="G1305" s="116">
        <v>7.0000000000000007E-2</v>
      </c>
      <c r="H1305" s="116">
        <v>7.0000000000000007E-2</v>
      </c>
    </row>
    <row r="1306" spans="3:8">
      <c r="C1306" s="6"/>
      <c r="D1306" s="330">
        <v>0.36</v>
      </c>
      <c r="E1306" s="116">
        <v>7.0000000000000007E-2</v>
      </c>
      <c r="F1306" s="116">
        <v>7.0000000000000007E-2</v>
      </c>
      <c r="G1306" s="116">
        <v>7.0000000000000007E-2</v>
      </c>
      <c r="H1306" s="116">
        <v>7.0000000000000007E-2</v>
      </c>
    </row>
    <row r="1307" spans="3:8">
      <c r="C1307" s="6"/>
      <c r="D1307" s="330">
        <v>0.38</v>
      </c>
      <c r="E1307" s="116">
        <v>7.0000000000000007E-2</v>
      </c>
      <c r="F1307" s="116">
        <v>7.0000000000000007E-2</v>
      </c>
      <c r="G1307" s="116">
        <v>7.0000000000000007E-2</v>
      </c>
      <c r="H1307" s="116">
        <v>7.0000000000000007E-2</v>
      </c>
    </row>
    <row r="1308" spans="3:8">
      <c r="C1308" s="6"/>
      <c r="D1308" s="330">
        <v>0.4</v>
      </c>
      <c r="E1308" s="116">
        <v>7.0000000000000007E-2</v>
      </c>
      <c r="F1308" s="116">
        <v>7.0000000000000007E-2</v>
      </c>
      <c r="G1308" s="116">
        <v>7.0000000000000007E-2</v>
      </c>
      <c r="H1308" s="116">
        <v>7.0000000000000007E-2</v>
      </c>
    </row>
    <row r="1309" spans="3:8">
      <c r="C1309" s="6"/>
      <c r="D1309" s="330">
        <v>0.42</v>
      </c>
      <c r="E1309" s="116">
        <v>0.06</v>
      </c>
      <c r="F1309" s="116">
        <v>0.06</v>
      </c>
      <c r="G1309" s="116">
        <v>0.06</v>
      </c>
      <c r="H1309" s="116">
        <v>0.06</v>
      </c>
    </row>
    <row r="1310" spans="3:8">
      <c r="C1310" s="6"/>
      <c r="D1310" s="330">
        <v>0.44</v>
      </c>
      <c r="E1310" s="116">
        <v>0.06</v>
      </c>
      <c r="F1310" s="116">
        <v>0.06</v>
      </c>
      <c r="G1310" s="116">
        <v>0.06</v>
      </c>
      <c r="H1310" s="116">
        <v>0.06</v>
      </c>
    </row>
    <row r="1311" spans="3:8">
      <c r="C1311" s="6"/>
      <c r="D1311" s="330">
        <v>0.46</v>
      </c>
      <c r="E1311" s="116">
        <v>0.06</v>
      </c>
      <c r="F1311" s="116">
        <v>0.06</v>
      </c>
      <c r="G1311" s="116">
        <v>0.06</v>
      </c>
      <c r="H1311" s="116">
        <v>0.06</v>
      </c>
    </row>
    <row r="1312" spans="3:8">
      <c r="C1312" s="6"/>
      <c r="D1312" s="330">
        <v>0.48</v>
      </c>
      <c r="E1312" s="116">
        <v>0.06</v>
      </c>
      <c r="F1312" s="116">
        <v>0.06</v>
      </c>
      <c r="G1312" s="116">
        <v>0.06</v>
      </c>
      <c r="H1312" s="116">
        <v>0.06</v>
      </c>
    </row>
    <row r="1313" spans="3:8">
      <c r="C1313" s="6"/>
      <c r="D1313" s="330">
        <v>0.5</v>
      </c>
      <c r="E1313" s="116">
        <v>0.06</v>
      </c>
      <c r="F1313" s="116">
        <v>0.06</v>
      </c>
      <c r="G1313" s="116">
        <v>0.06</v>
      </c>
      <c r="H1313" s="116">
        <v>0.06</v>
      </c>
    </row>
    <row r="1314" spans="3:8">
      <c r="C1314" s="6"/>
      <c r="D1314" s="330">
        <v>0.52</v>
      </c>
      <c r="E1314" s="116">
        <v>0.05</v>
      </c>
      <c r="F1314" s="116">
        <v>0.05</v>
      </c>
      <c r="G1314" s="116">
        <v>0.05</v>
      </c>
      <c r="H1314" s="116">
        <v>0.05</v>
      </c>
    </row>
    <row r="1315" spans="3:8">
      <c r="C1315" s="6"/>
      <c r="D1315" s="330">
        <v>0.54</v>
      </c>
      <c r="E1315" s="116">
        <v>0.05</v>
      </c>
      <c r="F1315" s="116">
        <v>0.05</v>
      </c>
      <c r="G1315" s="116">
        <v>0.05</v>
      </c>
      <c r="H1315" s="116">
        <v>0.05</v>
      </c>
    </row>
    <row r="1316" spans="3:8">
      <c r="C1316" s="6"/>
      <c r="D1316" s="330">
        <v>0.56000000000000005</v>
      </c>
      <c r="E1316" s="116">
        <v>0.05</v>
      </c>
      <c r="F1316" s="116">
        <v>0.05</v>
      </c>
      <c r="G1316" s="116">
        <v>0.05</v>
      </c>
      <c r="H1316" s="116">
        <v>0.05</v>
      </c>
    </row>
    <row r="1317" spans="3:8">
      <c r="C1317" s="6"/>
      <c r="D1317" s="330">
        <v>0.57999999999999996</v>
      </c>
      <c r="E1317" s="116">
        <v>0.05</v>
      </c>
      <c r="F1317" s="116">
        <v>0.05</v>
      </c>
      <c r="G1317" s="116">
        <v>0.05</v>
      </c>
      <c r="H1317" s="116">
        <v>0.05</v>
      </c>
    </row>
    <row r="1318" spans="3:8">
      <c r="C1318" s="6"/>
      <c r="D1318" s="330">
        <v>0.6</v>
      </c>
      <c r="E1318" s="116">
        <v>0.05</v>
      </c>
      <c r="F1318" s="116">
        <v>0.05</v>
      </c>
      <c r="G1318" s="116">
        <v>0.05</v>
      </c>
      <c r="H1318" s="116">
        <v>0.05</v>
      </c>
    </row>
    <row r="1319" spans="3:8">
      <c r="C1319" s="6"/>
      <c r="D1319" s="330">
        <v>0.62</v>
      </c>
      <c r="E1319" s="116">
        <v>0.04</v>
      </c>
      <c r="F1319" s="116">
        <v>0.04</v>
      </c>
      <c r="G1319" s="116">
        <v>0.04</v>
      </c>
      <c r="H1319" s="116">
        <v>0.04</v>
      </c>
    </row>
    <row r="1320" spans="3:8">
      <c r="C1320" s="6"/>
      <c r="D1320" s="330">
        <v>0.64</v>
      </c>
      <c r="E1320" s="116">
        <v>0.04</v>
      </c>
      <c r="F1320" s="116">
        <v>0.04</v>
      </c>
      <c r="G1320" s="116">
        <v>0.04</v>
      </c>
      <c r="H1320" s="116">
        <v>0.04</v>
      </c>
    </row>
    <row r="1321" spans="3:8">
      <c r="C1321" s="6"/>
      <c r="D1321" s="330">
        <v>0.66</v>
      </c>
      <c r="E1321" s="116">
        <v>0.04</v>
      </c>
      <c r="F1321" s="116">
        <v>0.04</v>
      </c>
      <c r="G1321" s="116">
        <v>0.04</v>
      </c>
      <c r="H1321" s="116">
        <v>0.04</v>
      </c>
    </row>
    <row r="1322" spans="3:8">
      <c r="C1322" s="6"/>
      <c r="D1322" s="330">
        <v>0.68</v>
      </c>
      <c r="E1322" s="116">
        <v>0.04</v>
      </c>
      <c r="F1322" s="116">
        <v>0.04</v>
      </c>
      <c r="G1322" s="116">
        <v>0.04</v>
      </c>
      <c r="H1322" s="116">
        <v>0.04</v>
      </c>
    </row>
    <row r="1323" spans="3:8">
      <c r="C1323" s="6"/>
      <c r="D1323" s="330">
        <v>0.7</v>
      </c>
      <c r="E1323" s="116">
        <v>0.04</v>
      </c>
      <c r="F1323" s="116">
        <v>0.04</v>
      </c>
      <c r="G1323" s="116">
        <v>0.04</v>
      </c>
      <c r="H1323" s="116">
        <v>0.04</v>
      </c>
    </row>
    <row r="1324" spans="3:8">
      <c r="C1324" s="6"/>
      <c r="D1324" s="330">
        <v>0.72</v>
      </c>
      <c r="E1324" s="116">
        <v>0.03</v>
      </c>
      <c r="F1324" s="116">
        <v>0.03</v>
      </c>
      <c r="G1324" s="116">
        <v>0.03</v>
      </c>
      <c r="H1324" s="116">
        <v>0.03</v>
      </c>
    </row>
    <row r="1325" spans="3:8">
      <c r="C1325" s="6"/>
      <c r="D1325" s="330">
        <v>0.74</v>
      </c>
      <c r="E1325" s="116">
        <v>0.03</v>
      </c>
      <c r="F1325" s="116">
        <v>0.03</v>
      </c>
      <c r="G1325" s="116">
        <v>0.03</v>
      </c>
      <c r="H1325" s="116">
        <v>0.03</v>
      </c>
    </row>
    <row r="1326" spans="3:8">
      <c r="C1326" s="6"/>
      <c r="D1326" s="330">
        <v>0.76</v>
      </c>
      <c r="E1326" s="116">
        <v>0.03</v>
      </c>
      <c r="F1326" s="116">
        <v>0.03</v>
      </c>
      <c r="G1326" s="116">
        <v>0.03</v>
      </c>
      <c r="H1326" s="116">
        <v>0.03</v>
      </c>
    </row>
    <row r="1327" spans="3:8">
      <c r="C1327" s="6"/>
      <c r="D1327" s="330">
        <v>0.78</v>
      </c>
      <c r="E1327" s="116">
        <v>0.03</v>
      </c>
      <c r="F1327" s="116">
        <v>0.03</v>
      </c>
      <c r="G1327" s="116">
        <v>0.03</v>
      </c>
      <c r="H1327" s="116">
        <v>0.03</v>
      </c>
    </row>
    <row r="1328" spans="3:8">
      <c r="C1328" s="6"/>
      <c r="D1328" s="330">
        <v>0.8</v>
      </c>
      <c r="E1328" s="116">
        <v>0.03</v>
      </c>
      <c r="F1328" s="116">
        <v>0.03</v>
      </c>
      <c r="G1328" s="116">
        <v>0.03</v>
      </c>
      <c r="H1328" s="116">
        <v>0.03</v>
      </c>
    </row>
    <row r="1329" spans="3:8">
      <c r="C1329" s="6"/>
      <c r="D1329" s="330">
        <v>0.82</v>
      </c>
      <c r="E1329" s="116">
        <v>0.02</v>
      </c>
      <c r="F1329" s="116">
        <v>0.02</v>
      </c>
      <c r="G1329" s="116">
        <v>0.02</v>
      </c>
      <c r="H1329" s="116">
        <v>0.02</v>
      </c>
    </row>
    <row r="1330" spans="3:8">
      <c r="C1330" s="6"/>
      <c r="D1330" s="330">
        <v>0.84</v>
      </c>
      <c r="E1330" s="116">
        <v>0.02</v>
      </c>
      <c r="F1330" s="116">
        <v>0.02</v>
      </c>
      <c r="G1330" s="116">
        <v>0.02</v>
      </c>
      <c r="H1330" s="116">
        <v>0.02</v>
      </c>
    </row>
    <row r="1331" spans="3:8">
      <c r="C1331" s="6"/>
      <c r="D1331" s="330">
        <v>0.86</v>
      </c>
      <c r="E1331" s="116">
        <v>0.02</v>
      </c>
      <c r="F1331" s="116">
        <v>0.02</v>
      </c>
      <c r="G1331" s="116">
        <v>0.02</v>
      </c>
      <c r="H1331" s="116">
        <v>0.02</v>
      </c>
    </row>
    <row r="1332" spans="3:8">
      <c r="C1332" s="6"/>
      <c r="D1332" s="330">
        <v>0.88</v>
      </c>
      <c r="E1332" s="116">
        <v>0.02</v>
      </c>
      <c r="F1332" s="116">
        <v>0.02</v>
      </c>
      <c r="G1332" s="116">
        <v>0.02</v>
      </c>
      <c r="H1332" s="116">
        <v>0.02</v>
      </c>
    </row>
    <row r="1333" spans="3:8">
      <c r="C1333" s="6"/>
      <c r="D1333" s="330">
        <v>0.9</v>
      </c>
      <c r="E1333" s="116">
        <v>0.02</v>
      </c>
      <c r="F1333" s="116">
        <v>0.02</v>
      </c>
      <c r="G1333" s="116">
        <v>0.02</v>
      </c>
      <c r="H1333" s="116">
        <v>0.02</v>
      </c>
    </row>
    <row r="1334" spans="3:8">
      <c r="C1334" s="6"/>
      <c r="D1334" s="330">
        <v>0.92</v>
      </c>
      <c r="E1334" s="116">
        <v>0.01</v>
      </c>
      <c r="F1334" s="116">
        <v>0.01</v>
      </c>
      <c r="G1334" s="116">
        <v>0.01</v>
      </c>
      <c r="H1334" s="116">
        <v>0.01</v>
      </c>
    </row>
    <row r="1335" spans="3:8">
      <c r="C1335" s="6"/>
      <c r="D1335" s="330">
        <v>0.94</v>
      </c>
      <c r="E1335" s="116">
        <v>0.01</v>
      </c>
      <c r="F1335" s="116">
        <v>0.01</v>
      </c>
      <c r="G1335" s="116">
        <v>0.01</v>
      </c>
      <c r="H1335" s="116">
        <v>0.01</v>
      </c>
    </row>
    <row r="1336" spans="3:8">
      <c r="C1336" s="6"/>
      <c r="D1336" s="330">
        <v>0.96</v>
      </c>
      <c r="E1336" s="116">
        <v>0.01</v>
      </c>
      <c r="F1336" s="116">
        <v>0.01</v>
      </c>
      <c r="G1336" s="116">
        <v>0.01</v>
      </c>
      <c r="H1336" s="116">
        <v>0.01</v>
      </c>
    </row>
    <row r="1337" spans="3:8">
      <c r="C1337" s="6"/>
      <c r="D1337" s="330">
        <v>0.98</v>
      </c>
      <c r="E1337" s="116">
        <v>0.01</v>
      </c>
      <c r="F1337" s="116">
        <v>0.01</v>
      </c>
      <c r="G1337" s="116">
        <v>0.01</v>
      </c>
      <c r="H1337" s="116">
        <v>0.01</v>
      </c>
    </row>
    <row r="1338" spans="3:8">
      <c r="C1338" s="6"/>
      <c r="D1338" s="330">
        <v>1</v>
      </c>
      <c r="E1338" s="116">
        <v>0</v>
      </c>
      <c r="F1338" s="116">
        <v>0</v>
      </c>
      <c r="G1338" s="116">
        <v>0</v>
      </c>
      <c r="H1338" s="116">
        <v>0</v>
      </c>
    </row>
    <row r="1339" spans="3:8">
      <c r="C1339" s="6"/>
      <c r="D1339" s="330">
        <v>1.02</v>
      </c>
      <c r="E1339" s="116">
        <v>0.01</v>
      </c>
      <c r="F1339" s="116">
        <v>0.01</v>
      </c>
      <c r="G1339" s="116">
        <v>0.01</v>
      </c>
      <c r="H1339" s="116">
        <v>0.01</v>
      </c>
    </row>
    <row r="1340" spans="3:8">
      <c r="C1340" s="6"/>
      <c r="D1340" s="330">
        <v>1.04</v>
      </c>
      <c r="E1340" s="116">
        <v>0.01</v>
      </c>
      <c r="F1340" s="116">
        <v>0.01</v>
      </c>
      <c r="G1340" s="116">
        <v>0.01</v>
      </c>
      <c r="H1340" s="116">
        <v>0.01</v>
      </c>
    </row>
    <row r="1341" spans="3:8">
      <c r="C1341" s="6"/>
      <c r="D1341" s="330">
        <v>1.06</v>
      </c>
      <c r="E1341" s="116">
        <v>0.01</v>
      </c>
      <c r="F1341" s="116">
        <v>0.01</v>
      </c>
      <c r="G1341" s="116">
        <v>0.01</v>
      </c>
      <c r="H1341" s="116">
        <v>0.01</v>
      </c>
    </row>
    <row r="1342" spans="3:8">
      <c r="C1342" s="6"/>
      <c r="D1342" s="330">
        <v>1.08</v>
      </c>
      <c r="E1342" s="116">
        <v>0.01</v>
      </c>
      <c r="F1342" s="116">
        <v>0.01</v>
      </c>
      <c r="G1342" s="116">
        <v>0.01</v>
      </c>
      <c r="H1342" s="116">
        <v>0.01</v>
      </c>
    </row>
    <row r="1343" spans="3:8">
      <c r="C1343" s="6"/>
      <c r="D1343" s="330">
        <v>1.1000000000000001</v>
      </c>
      <c r="E1343" s="116">
        <v>0.01</v>
      </c>
      <c r="F1343" s="116">
        <v>0.01</v>
      </c>
      <c r="G1343" s="116">
        <v>0.01</v>
      </c>
      <c r="H1343" s="116">
        <v>0.01</v>
      </c>
    </row>
    <row r="1344" spans="3:8">
      <c r="C1344" s="6"/>
      <c r="D1344" s="330">
        <v>1.1200000000000001</v>
      </c>
      <c r="E1344" s="116">
        <v>0.02</v>
      </c>
      <c r="F1344" s="116">
        <v>0.02</v>
      </c>
      <c r="G1344" s="116">
        <v>0.02</v>
      </c>
      <c r="H1344" s="116">
        <v>0.02</v>
      </c>
    </row>
    <row r="1345" spans="3:8">
      <c r="C1345" s="6"/>
      <c r="D1345" s="330">
        <v>1.1399999999999999</v>
      </c>
      <c r="E1345" s="116">
        <v>0.02</v>
      </c>
      <c r="F1345" s="116">
        <v>0.02</v>
      </c>
      <c r="G1345" s="116">
        <v>0.02</v>
      </c>
      <c r="H1345" s="116">
        <v>0.02</v>
      </c>
    </row>
    <row r="1346" spans="3:8">
      <c r="C1346" s="6"/>
      <c r="D1346" s="330">
        <v>1.1599999999999999</v>
      </c>
      <c r="E1346" s="116">
        <v>0.02</v>
      </c>
      <c r="F1346" s="116">
        <v>0.02</v>
      </c>
      <c r="G1346" s="116">
        <v>0.02</v>
      </c>
      <c r="H1346" s="116">
        <v>0.02</v>
      </c>
    </row>
    <row r="1347" spans="3:8">
      <c r="C1347" s="6"/>
      <c r="D1347" s="330">
        <v>1.18</v>
      </c>
      <c r="E1347" s="116">
        <v>0.02</v>
      </c>
      <c r="F1347" s="116">
        <v>0.02</v>
      </c>
      <c r="G1347" s="116">
        <v>0.02</v>
      </c>
      <c r="H1347" s="116">
        <v>0.02</v>
      </c>
    </row>
    <row r="1348" spans="3:8">
      <c r="C1348" s="6"/>
      <c r="D1348" s="330">
        <v>1.2</v>
      </c>
      <c r="E1348" s="116">
        <v>0.02</v>
      </c>
      <c r="F1348" s="116">
        <v>0.02</v>
      </c>
      <c r="G1348" s="116">
        <v>0.02</v>
      </c>
      <c r="H1348" s="116">
        <v>0.02</v>
      </c>
    </row>
    <row r="1349" spans="3:8">
      <c r="C1349" s="6"/>
      <c r="D1349" s="330">
        <v>1.22</v>
      </c>
      <c r="E1349" s="116">
        <v>0.03</v>
      </c>
      <c r="F1349" s="116">
        <v>0.03</v>
      </c>
      <c r="G1349" s="116">
        <v>0.03</v>
      </c>
      <c r="H1349" s="116">
        <v>0.03</v>
      </c>
    </row>
    <row r="1350" spans="3:8">
      <c r="C1350" s="6"/>
      <c r="D1350" s="330">
        <v>1.24</v>
      </c>
      <c r="E1350" s="116">
        <v>0.03</v>
      </c>
      <c r="F1350" s="116">
        <v>0.03</v>
      </c>
      <c r="G1350" s="116">
        <v>0.03</v>
      </c>
      <c r="H1350" s="116">
        <v>0.03</v>
      </c>
    </row>
    <row r="1351" spans="3:8">
      <c r="C1351" s="6"/>
      <c r="D1351" s="330">
        <v>1.26</v>
      </c>
      <c r="E1351" s="116">
        <v>0.03</v>
      </c>
      <c r="F1351" s="116">
        <v>0.03</v>
      </c>
      <c r="G1351" s="116">
        <v>0.03</v>
      </c>
      <c r="H1351" s="116">
        <v>0.03</v>
      </c>
    </row>
    <row r="1352" spans="3:8">
      <c r="C1352" s="6"/>
      <c r="D1352" s="330">
        <v>1.28</v>
      </c>
      <c r="E1352" s="116">
        <v>0.03</v>
      </c>
      <c r="F1352" s="116">
        <v>0.03</v>
      </c>
      <c r="G1352" s="116">
        <v>0.03</v>
      </c>
      <c r="H1352" s="116">
        <v>0.03</v>
      </c>
    </row>
    <row r="1353" spans="3:8">
      <c r="C1353" s="6"/>
      <c r="D1353" s="330">
        <v>1.3</v>
      </c>
      <c r="E1353" s="116">
        <v>0.03</v>
      </c>
      <c r="F1353" s="116">
        <v>0.03</v>
      </c>
      <c r="G1353" s="116">
        <v>0.03</v>
      </c>
      <c r="H1353" s="116">
        <v>0.03</v>
      </c>
    </row>
    <row r="1354" spans="3:8">
      <c r="C1354" s="6"/>
      <c r="D1354" s="330">
        <v>1.32</v>
      </c>
      <c r="E1354" s="116">
        <v>0.04</v>
      </c>
      <c r="F1354" s="116">
        <v>0.04</v>
      </c>
      <c r="G1354" s="116">
        <v>0.04</v>
      </c>
      <c r="H1354" s="116">
        <v>0.04</v>
      </c>
    </row>
    <row r="1355" spans="3:8">
      <c r="C1355" s="6"/>
      <c r="D1355" s="330">
        <v>1.34</v>
      </c>
      <c r="E1355" s="116">
        <v>0.04</v>
      </c>
      <c r="F1355" s="116">
        <v>0.04</v>
      </c>
      <c r="G1355" s="116">
        <v>0.04</v>
      </c>
      <c r="H1355" s="116">
        <v>0.04</v>
      </c>
    </row>
    <row r="1356" spans="3:8">
      <c r="C1356" s="6"/>
      <c r="D1356" s="330">
        <v>1.36</v>
      </c>
      <c r="E1356" s="116">
        <v>0.04</v>
      </c>
      <c r="F1356" s="116">
        <v>0.04</v>
      </c>
      <c r="G1356" s="116">
        <v>0.04</v>
      </c>
      <c r="H1356" s="116">
        <v>0.04</v>
      </c>
    </row>
    <row r="1357" spans="3:8">
      <c r="C1357" s="6"/>
      <c r="D1357" s="330">
        <v>1.38</v>
      </c>
      <c r="E1357" s="116">
        <v>0.04</v>
      </c>
      <c r="F1357" s="116">
        <v>0.04</v>
      </c>
      <c r="G1357" s="116">
        <v>0.04</v>
      </c>
      <c r="H1357" s="116">
        <v>0.04</v>
      </c>
    </row>
    <row r="1358" spans="3:8">
      <c r="C1358" s="6"/>
      <c r="D1358" s="330">
        <v>1.4</v>
      </c>
      <c r="E1358" s="116">
        <v>0.04</v>
      </c>
      <c r="F1358" s="116">
        <v>0.04</v>
      </c>
      <c r="G1358" s="116">
        <v>0.04</v>
      </c>
      <c r="H1358" s="116">
        <v>0.04</v>
      </c>
    </row>
    <row r="1359" spans="3:8">
      <c r="C1359" s="6"/>
      <c r="D1359" s="330">
        <v>1.42</v>
      </c>
      <c r="E1359" s="116">
        <v>0.05</v>
      </c>
      <c r="F1359" s="116">
        <v>0.05</v>
      </c>
      <c r="G1359" s="116">
        <v>0.05</v>
      </c>
      <c r="H1359" s="116">
        <v>0.05</v>
      </c>
    </row>
    <row r="1360" spans="3:8">
      <c r="C1360" s="6"/>
      <c r="D1360" s="330">
        <v>1.44</v>
      </c>
      <c r="E1360" s="116">
        <v>0.05</v>
      </c>
      <c r="F1360" s="116">
        <v>0.05</v>
      </c>
      <c r="G1360" s="116">
        <v>0.05</v>
      </c>
      <c r="H1360" s="116">
        <v>0.05</v>
      </c>
    </row>
    <row r="1361" spans="1:35">
      <c r="C1361" s="6"/>
      <c r="D1361" s="330">
        <v>1.46</v>
      </c>
      <c r="E1361" s="116">
        <v>0.05</v>
      </c>
      <c r="F1361" s="116">
        <v>0.05</v>
      </c>
      <c r="G1361" s="116">
        <v>0.05</v>
      </c>
      <c r="H1361" s="116">
        <v>0.05</v>
      </c>
    </row>
    <row r="1362" spans="1:35">
      <c r="C1362" s="6"/>
      <c r="D1362" s="330">
        <v>1.48</v>
      </c>
      <c r="E1362" s="116">
        <v>0.05</v>
      </c>
      <c r="F1362" s="116">
        <v>0.05</v>
      </c>
      <c r="G1362" s="116">
        <v>0.05</v>
      </c>
      <c r="H1362" s="116">
        <v>0.05</v>
      </c>
    </row>
    <row r="1363" spans="1:35">
      <c r="C1363" s="6"/>
      <c r="D1363" s="330">
        <v>1.5</v>
      </c>
      <c r="E1363" s="116">
        <v>0.05</v>
      </c>
      <c r="F1363" s="116">
        <v>0.05</v>
      </c>
      <c r="G1363" s="116">
        <v>0.05</v>
      </c>
      <c r="H1363" s="116">
        <v>0.05</v>
      </c>
    </row>
    <row r="1364" spans="1:35">
      <c r="C1364" s="6"/>
      <c r="D1364" s="330">
        <v>9.99</v>
      </c>
      <c r="E1364" s="116">
        <v>0.25</v>
      </c>
      <c r="F1364" s="116">
        <v>0.25</v>
      </c>
      <c r="G1364" s="116">
        <v>0.25</v>
      </c>
      <c r="H1364" s="116">
        <v>0.25</v>
      </c>
    </row>
    <row r="1365" spans="1:35">
      <c r="C1365" s="6"/>
      <c r="D1365" s="7" t="s">
        <v>1283</v>
      </c>
    </row>
    <row r="1366" spans="1:35">
      <c r="C1366" s="6"/>
      <c r="D1366" s="7"/>
    </row>
    <row r="1367" spans="1:35" s="11" customFormat="1">
      <c r="A1367" s="29"/>
      <c r="B1367" s="29" t="s">
        <v>10581</v>
      </c>
      <c r="C1367" s="29"/>
    </row>
    <row r="1368" spans="1:35" customFormat="1">
      <c r="A1368" s="6"/>
      <c r="B1368" s="6"/>
    </row>
    <row r="1369" spans="1:35" s="800" customFormat="1">
      <c r="A1369" s="610"/>
      <c r="B1369" s="610"/>
      <c r="D1369" s="934" t="s">
        <v>10583</v>
      </c>
      <c r="E1369" s="627" t="s">
        <v>12868</v>
      </c>
      <c r="F1369" s="627" t="s">
        <v>238</v>
      </c>
      <c r="G1369" s="627" t="s">
        <v>239</v>
      </c>
      <c r="H1369" s="627" t="s">
        <v>240</v>
      </c>
    </row>
    <row r="1370" spans="1:35" s="800" customFormat="1">
      <c r="A1370" s="610"/>
      <c r="B1370" s="610"/>
      <c r="E1370" s="800" t="s">
        <v>10585</v>
      </c>
    </row>
    <row r="1371" spans="1:35" s="800" customFormat="1">
      <c r="A1371" s="610"/>
      <c r="B1371" s="610"/>
      <c r="D1371" s="934" t="s">
        <v>10584</v>
      </c>
      <c r="E1371" s="804" t="s">
        <v>352</v>
      </c>
      <c r="F1371" s="804" t="s">
        <v>351</v>
      </c>
      <c r="G1371" s="804" t="s">
        <v>353</v>
      </c>
      <c r="H1371" s="804" t="s">
        <v>584</v>
      </c>
      <c r="I1371" s="804" t="s">
        <v>2107</v>
      </c>
      <c r="J1371" s="804" t="s">
        <v>2108</v>
      </c>
      <c r="K1371" s="804" t="s">
        <v>354</v>
      </c>
      <c r="L1371" s="804" t="s">
        <v>355</v>
      </c>
      <c r="M1371" s="804" t="s">
        <v>3765</v>
      </c>
      <c r="N1371" s="804" t="s">
        <v>3766</v>
      </c>
      <c r="O1371" s="804" t="s">
        <v>4417</v>
      </c>
      <c r="P1371" s="804" t="s">
        <v>4418</v>
      </c>
      <c r="Q1371" s="804" t="s">
        <v>4419</v>
      </c>
      <c r="R1371" s="804" t="s">
        <v>4420</v>
      </c>
      <c r="S1371" s="804" t="s">
        <v>4421</v>
      </c>
      <c r="T1371" s="804" t="s">
        <v>4422</v>
      </c>
      <c r="U1371" s="804" t="s">
        <v>4423</v>
      </c>
      <c r="V1371" s="804" t="s">
        <v>4424</v>
      </c>
      <c r="W1371" s="804" t="s">
        <v>4425</v>
      </c>
      <c r="X1371" s="804" t="s">
        <v>4426</v>
      </c>
      <c r="Y1371" s="804" t="s">
        <v>8369</v>
      </c>
      <c r="Z1371" s="804" t="s">
        <v>4427</v>
      </c>
      <c r="AA1371" s="804" t="s">
        <v>8368</v>
      </c>
      <c r="AB1371" s="804" t="s">
        <v>4428</v>
      </c>
      <c r="AC1371" s="804" t="s">
        <v>4429</v>
      </c>
      <c r="AD1371" s="804" t="s">
        <v>5661</v>
      </c>
      <c r="AE1371" s="804" t="s">
        <v>5661</v>
      </c>
      <c r="AF1371" s="804" t="s">
        <v>5661</v>
      </c>
      <c r="AG1371" s="804" t="s">
        <v>5661</v>
      </c>
      <c r="AH1371" s="804" t="s">
        <v>5661</v>
      </c>
      <c r="AI1371" s="804" t="s">
        <v>350</v>
      </c>
    </row>
    <row r="1372" spans="1:35" s="800" customFormat="1">
      <c r="A1372" s="610"/>
      <c r="B1372" s="610"/>
      <c r="E1372" s="800" t="s">
        <v>10586</v>
      </c>
    </row>
    <row r="1373" spans="1:35" s="800" customFormat="1">
      <c r="A1373" s="610"/>
      <c r="B1373" s="610"/>
    </row>
    <row r="1374" spans="1:35" s="800" customFormat="1">
      <c r="A1374" s="610"/>
      <c r="B1374" s="610"/>
      <c r="C1374" s="801" t="s">
        <v>10591</v>
      </c>
    </row>
    <row r="1375" spans="1:35">
      <c r="E1375" s="627" t="s">
        <v>12868</v>
      </c>
      <c r="F1375" s="627" t="s">
        <v>238</v>
      </c>
      <c r="G1375" s="627" t="s">
        <v>239</v>
      </c>
      <c r="H1375" s="627" t="s">
        <v>240</v>
      </c>
    </row>
    <row r="1376" spans="1:35">
      <c r="D1376" s="145" t="s">
        <v>12868</v>
      </c>
      <c r="E1376" s="947">
        <v>2.5000000000000001E-2</v>
      </c>
      <c r="F1376" s="947">
        <v>0.02</v>
      </c>
      <c r="G1376" s="947">
        <v>1.4999999999999999E-2</v>
      </c>
      <c r="H1376" s="947">
        <v>5.0000000000000001E-3</v>
      </c>
      <c r="K1376" s="610"/>
      <c r="L1376" s="610"/>
      <c r="M1376" s="610"/>
    </row>
    <row r="1377" spans="3:35">
      <c r="D1377" s="145" t="s">
        <v>238</v>
      </c>
      <c r="E1377" s="947">
        <v>0.02</v>
      </c>
      <c r="F1377" s="947">
        <v>2.5000000000000001E-2</v>
      </c>
      <c r="G1377" s="947">
        <v>1.4999999999999999E-2</v>
      </c>
      <c r="H1377" s="947">
        <v>5.0000000000000001E-3</v>
      </c>
      <c r="J1377" s="610"/>
      <c r="K1377" s="610"/>
      <c r="L1377" s="610"/>
      <c r="M1377" s="610"/>
    </row>
    <row r="1378" spans="3:35">
      <c r="D1378" s="145" t="s">
        <v>239</v>
      </c>
      <c r="E1378" s="947">
        <v>1.4999999999999999E-2</v>
      </c>
      <c r="F1378" s="947">
        <v>1.4999999999999999E-2</v>
      </c>
      <c r="G1378" s="947">
        <v>2.5000000000000001E-2</v>
      </c>
      <c r="H1378" s="947">
        <v>0.01</v>
      </c>
      <c r="J1378" s="610"/>
      <c r="K1378" s="610"/>
      <c r="L1378" s="610"/>
      <c r="M1378" s="610"/>
    </row>
    <row r="1379" spans="3:35">
      <c r="D1379" s="145" t="s">
        <v>240</v>
      </c>
      <c r="E1379" s="947">
        <v>5.0000000000000001E-3</v>
      </c>
      <c r="F1379" s="947">
        <v>5.0000000000000001E-3</v>
      </c>
      <c r="G1379" s="947">
        <v>0.01</v>
      </c>
      <c r="H1379" s="947">
        <v>1.4999999999999999E-2</v>
      </c>
      <c r="J1379" s="610"/>
      <c r="K1379" s="610"/>
      <c r="L1379" s="610"/>
      <c r="M1379" s="610"/>
    </row>
    <row r="1380" spans="3:35">
      <c r="D1380" s="6" t="s">
        <v>10582</v>
      </c>
    </row>
    <row r="1382" spans="3:35" s="610" customFormat="1">
      <c r="C1382" s="88" t="s">
        <v>10592</v>
      </c>
      <c r="D1382" s="311" t="s">
        <v>10593</v>
      </c>
    </row>
    <row r="1383" spans="3:35" s="610" customFormat="1">
      <c r="C1383" s="611"/>
      <c r="D1383" s="196" t="s">
        <v>10588</v>
      </c>
      <c r="E1383" s="625">
        <v>0.35</v>
      </c>
    </row>
    <row r="1384" spans="3:35" s="610" customFormat="1">
      <c r="C1384" s="611"/>
      <c r="D1384" s="196" t="s">
        <v>10589</v>
      </c>
      <c r="E1384" s="625">
        <v>0.35</v>
      </c>
    </row>
    <row r="1385" spans="3:35" s="610" customFormat="1">
      <c r="C1385" s="611"/>
      <c r="D1385" s="196" t="s">
        <v>10590</v>
      </c>
      <c r="E1385" s="938">
        <v>0.30000000000000004</v>
      </c>
    </row>
    <row r="1386" spans="3:35" s="610" customFormat="1">
      <c r="C1386" s="611"/>
    </row>
    <row r="1387" spans="3:35" s="610" customFormat="1">
      <c r="C1387" s="611"/>
    </row>
    <row r="1388" spans="3:35" s="610" customFormat="1">
      <c r="C1388" s="611"/>
      <c r="E1388" s="804" t="s">
        <v>352</v>
      </c>
      <c r="F1388" s="804" t="s">
        <v>351</v>
      </c>
      <c r="G1388" s="804" t="s">
        <v>353</v>
      </c>
      <c r="H1388" s="804" t="s">
        <v>584</v>
      </c>
      <c r="I1388" s="804" t="s">
        <v>2107</v>
      </c>
      <c r="J1388" s="804" t="s">
        <v>2108</v>
      </c>
      <c r="K1388" s="804" t="s">
        <v>354</v>
      </c>
      <c r="L1388" s="804" t="s">
        <v>355</v>
      </c>
      <c r="M1388" s="804" t="s">
        <v>3765</v>
      </c>
      <c r="N1388" s="804" t="s">
        <v>3766</v>
      </c>
      <c r="O1388" s="804" t="s">
        <v>4417</v>
      </c>
      <c r="P1388" s="804" t="s">
        <v>4418</v>
      </c>
      <c r="Q1388" s="804" t="s">
        <v>4419</v>
      </c>
      <c r="R1388" s="804" t="s">
        <v>4420</v>
      </c>
      <c r="S1388" s="804" t="s">
        <v>4421</v>
      </c>
      <c r="T1388" s="804" t="s">
        <v>4422</v>
      </c>
      <c r="U1388" s="804" t="s">
        <v>4423</v>
      </c>
      <c r="V1388" s="804" t="s">
        <v>4424</v>
      </c>
      <c r="W1388" s="804" t="s">
        <v>4425</v>
      </c>
      <c r="X1388" s="804" t="s">
        <v>4426</v>
      </c>
      <c r="Y1388" s="804" t="s">
        <v>8369</v>
      </c>
      <c r="Z1388" s="804" t="s">
        <v>4427</v>
      </c>
      <c r="AA1388" s="804" t="s">
        <v>8368</v>
      </c>
      <c r="AB1388" s="804" t="s">
        <v>4428</v>
      </c>
      <c r="AC1388" s="804" t="s">
        <v>4429</v>
      </c>
      <c r="AD1388" s="804" t="s">
        <v>5661</v>
      </c>
      <c r="AE1388" s="804" t="s">
        <v>5661</v>
      </c>
      <c r="AF1388" s="804" t="s">
        <v>5661</v>
      </c>
      <c r="AG1388" s="804" t="s">
        <v>5661</v>
      </c>
      <c r="AH1388" s="804" t="s">
        <v>5661</v>
      </c>
      <c r="AI1388" s="804" t="s">
        <v>350</v>
      </c>
    </row>
    <row r="1389" spans="3:35" s="610" customFormat="1">
      <c r="C1389" s="611"/>
      <c r="D1389" s="934" t="s">
        <v>352</v>
      </c>
      <c r="E1389" s="146">
        <v>1.8600000000000002E-2</v>
      </c>
      <c r="F1389" s="146">
        <v>1.72E-2</v>
      </c>
      <c r="G1389" s="146">
        <v>1.4400000000000003E-2</v>
      </c>
      <c r="H1389" s="146">
        <v>1.5800000000000002E-2</v>
      </c>
      <c r="I1389" s="146">
        <v>1.3000000000000001E-2</v>
      </c>
      <c r="J1389" s="146">
        <v>1.23E-2</v>
      </c>
      <c r="K1389" s="146">
        <v>1.1600000000000001E-2</v>
      </c>
      <c r="L1389" s="146">
        <v>1.09E-2</v>
      </c>
      <c r="M1389" s="146">
        <v>8.1000000000000013E-3</v>
      </c>
      <c r="N1389" s="146">
        <v>8.1000000000000013E-3</v>
      </c>
      <c r="O1389" s="146">
        <v>1.3599999999999999E-2</v>
      </c>
      <c r="P1389" s="146">
        <v>1.0200000000000001E-2</v>
      </c>
      <c r="Q1389" s="146">
        <v>1.3000000000000001E-2</v>
      </c>
      <c r="R1389" s="146">
        <v>1.3800000000000002E-2</v>
      </c>
      <c r="S1389" s="146">
        <v>1.24E-2</v>
      </c>
      <c r="T1389" s="146">
        <v>1.24E-2</v>
      </c>
      <c r="U1389" s="146">
        <v>1.18E-2</v>
      </c>
      <c r="V1389" s="146">
        <v>1.1599999999999999E-2</v>
      </c>
      <c r="W1389" s="146">
        <v>1.04E-2</v>
      </c>
      <c r="X1389" s="146">
        <v>8.8000000000000005E-3</v>
      </c>
      <c r="Y1389" s="146">
        <v>1.18E-2</v>
      </c>
      <c r="Z1389" s="146">
        <v>1.3000000000000001E-2</v>
      </c>
      <c r="AA1389" s="146">
        <v>1.04E-2</v>
      </c>
      <c r="AB1389" s="146">
        <v>8.0000000000000002E-3</v>
      </c>
      <c r="AC1389" s="146">
        <v>7.3000000000000001E-3</v>
      </c>
      <c r="AD1389" s="146">
        <v>0</v>
      </c>
      <c r="AE1389" s="146">
        <v>0</v>
      </c>
      <c r="AF1389" s="146">
        <v>0</v>
      </c>
      <c r="AG1389" s="146">
        <v>0</v>
      </c>
      <c r="AH1389" s="146">
        <v>0</v>
      </c>
      <c r="AI1389" s="146">
        <v>0</v>
      </c>
    </row>
    <row r="1390" spans="3:35" s="610" customFormat="1">
      <c r="C1390" s="611"/>
      <c r="D1390" s="934" t="s">
        <v>351</v>
      </c>
      <c r="E1390" s="146">
        <v>1.72E-2</v>
      </c>
      <c r="F1390" s="146">
        <v>0.02</v>
      </c>
      <c r="G1390" s="146">
        <v>1.9300000000000001E-2</v>
      </c>
      <c r="H1390" s="146">
        <v>1.8600000000000002E-2</v>
      </c>
      <c r="I1390" s="146">
        <v>1.7899999999999999E-2</v>
      </c>
      <c r="J1390" s="146">
        <v>1.5100000000000002E-2</v>
      </c>
      <c r="K1390" s="146">
        <v>1.6500000000000001E-2</v>
      </c>
      <c r="L1390" s="146">
        <v>1.23E-2</v>
      </c>
      <c r="M1390" s="146">
        <v>9.4999999999999998E-3</v>
      </c>
      <c r="N1390" s="146">
        <v>9.4999999999999998E-3</v>
      </c>
      <c r="O1390" s="146">
        <v>1.6399999999999998E-2</v>
      </c>
      <c r="P1390" s="146">
        <v>1.5100000000000002E-2</v>
      </c>
      <c r="Q1390" s="146">
        <v>1.5800000000000002E-2</v>
      </c>
      <c r="R1390" s="146">
        <v>1.24E-2</v>
      </c>
      <c r="S1390" s="146">
        <v>1.52E-2</v>
      </c>
      <c r="T1390" s="146">
        <v>1.52E-2</v>
      </c>
      <c r="U1390" s="146">
        <v>1.46E-2</v>
      </c>
      <c r="V1390" s="146">
        <v>1.4400000000000001E-2</v>
      </c>
      <c r="W1390" s="146">
        <v>1.32E-2</v>
      </c>
      <c r="X1390" s="146">
        <v>1.37E-2</v>
      </c>
      <c r="Y1390" s="146">
        <v>1.46E-2</v>
      </c>
      <c r="Z1390" s="146">
        <v>1.5800000000000002E-2</v>
      </c>
      <c r="AA1390" s="146">
        <v>1.32E-2</v>
      </c>
      <c r="AB1390" s="146">
        <v>1.29E-2</v>
      </c>
      <c r="AC1390" s="146">
        <v>8.6999999999999994E-3</v>
      </c>
      <c r="AD1390" s="146">
        <v>0</v>
      </c>
      <c r="AE1390" s="146">
        <v>0</v>
      </c>
      <c r="AF1390" s="146">
        <v>0</v>
      </c>
      <c r="AG1390" s="146">
        <v>0</v>
      </c>
      <c r="AH1390" s="146">
        <v>0</v>
      </c>
      <c r="AI1390" s="146">
        <v>0</v>
      </c>
    </row>
    <row r="1391" spans="3:35" s="610" customFormat="1">
      <c r="C1391" s="611"/>
      <c r="D1391" s="934" t="s">
        <v>353</v>
      </c>
      <c r="E1391" s="146">
        <v>1.4400000000000003E-2</v>
      </c>
      <c r="F1391" s="146">
        <v>1.8600000000000002E-2</v>
      </c>
      <c r="G1391" s="146">
        <v>1.9300000000000001E-2</v>
      </c>
      <c r="H1391" s="146">
        <v>1.72E-2</v>
      </c>
      <c r="I1391" s="146">
        <v>1.7899999999999999E-2</v>
      </c>
      <c r="J1391" s="146">
        <v>1.7899999999999999E-2</v>
      </c>
      <c r="K1391" s="146">
        <v>1.6500000000000001E-2</v>
      </c>
      <c r="L1391" s="146">
        <v>1.44E-2</v>
      </c>
      <c r="M1391" s="146">
        <v>1.1600000000000001E-2</v>
      </c>
      <c r="N1391" s="146">
        <v>1.1600000000000001E-2</v>
      </c>
      <c r="O1391" s="146">
        <v>1.4999999999999999E-2</v>
      </c>
      <c r="P1391" s="146">
        <v>1.5100000000000002E-2</v>
      </c>
      <c r="Q1391" s="146">
        <v>1.4400000000000001E-2</v>
      </c>
      <c r="R1391" s="146">
        <v>9.6000000000000009E-3</v>
      </c>
      <c r="S1391" s="146">
        <v>1.3800000000000002E-2</v>
      </c>
      <c r="T1391" s="146">
        <v>1.3800000000000002E-2</v>
      </c>
      <c r="U1391" s="146">
        <v>1.32E-2</v>
      </c>
      <c r="V1391" s="146">
        <v>1.3000000000000001E-2</v>
      </c>
      <c r="W1391" s="146">
        <v>1.18E-2</v>
      </c>
      <c r="X1391" s="146">
        <v>1.37E-2</v>
      </c>
      <c r="Y1391" s="146">
        <v>1.32E-2</v>
      </c>
      <c r="Z1391" s="146">
        <v>1.4400000000000001E-2</v>
      </c>
      <c r="AA1391" s="146">
        <v>1.18E-2</v>
      </c>
      <c r="AB1391" s="146">
        <v>1.29E-2</v>
      </c>
      <c r="AC1391" s="146">
        <v>1.0799999999999999E-2</v>
      </c>
      <c r="AD1391" s="146">
        <v>0</v>
      </c>
      <c r="AE1391" s="146">
        <v>0</v>
      </c>
      <c r="AF1391" s="146">
        <v>0</v>
      </c>
      <c r="AG1391" s="146">
        <v>0</v>
      </c>
      <c r="AH1391" s="146">
        <v>0</v>
      </c>
      <c r="AI1391" s="146">
        <v>0</v>
      </c>
    </row>
    <row r="1392" spans="3:35" s="610" customFormat="1">
      <c r="C1392" s="611"/>
      <c r="D1392" s="934" t="s">
        <v>584</v>
      </c>
      <c r="E1392" s="146">
        <v>1.3000000000000001E-2</v>
      </c>
      <c r="F1392" s="146">
        <v>1.5800000000000002E-2</v>
      </c>
      <c r="G1392" s="146">
        <v>1.5100000000000002E-2</v>
      </c>
      <c r="H1392" s="146">
        <v>1.8600000000000002E-2</v>
      </c>
      <c r="I1392" s="146">
        <v>1.7899999999999999E-2</v>
      </c>
      <c r="J1392" s="146">
        <v>1.5100000000000002E-2</v>
      </c>
      <c r="K1392" s="146">
        <v>1.6500000000000001E-2</v>
      </c>
      <c r="L1392" s="146">
        <v>1.23E-2</v>
      </c>
      <c r="M1392" s="146">
        <v>9.4999999999999998E-3</v>
      </c>
      <c r="N1392" s="146">
        <v>9.4999999999999998E-3</v>
      </c>
      <c r="O1392" s="146">
        <v>1.2200000000000001E-2</v>
      </c>
      <c r="P1392" s="146">
        <v>1.09E-2</v>
      </c>
      <c r="Q1392" s="146">
        <v>1.1600000000000001E-2</v>
      </c>
      <c r="R1392" s="146">
        <v>8.199999999999999E-3</v>
      </c>
      <c r="S1392" s="146">
        <v>1.0999999999999999E-2</v>
      </c>
      <c r="T1392" s="146">
        <v>1.0999999999999999E-2</v>
      </c>
      <c r="U1392" s="146">
        <v>1.0400000000000001E-2</v>
      </c>
      <c r="V1392" s="146">
        <v>1.4400000000000001E-2</v>
      </c>
      <c r="W1392" s="146">
        <v>1.32E-2</v>
      </c>
      <c r="X1392" s="146">
        <v>1.37E-2</v>
      </c>
      <c r="Y1392" s="146">
        <v>1.0400000000000001E-2</v>
      </c>
      <c r="Z1392" s="146">
        <v>1.1600000000000001E-2</v>
      </c>
      <c r="AA1392" s="146">
        <v>1.32E-2</v>
      </c>
      <c r="AB1392" s="146">
        <v>1.29E-2</v>
      </c>
      <c r="AC1392" s="146">
        <v>8.6999999999999994E-3</v>
      </c>
      <c r="AD1392" s="146">
        <v>0</v>
      </c>
      <c r="AE1392" s="146">
        <v>0</v>
      </c>
      <c r="AF1392" s="146">
        <v>0</v>
      </c>
      <c r="AG1392" s="146">
        <v>0</v>
      </c>
      <c r="AH1392" s="146">
        <v>0</v>
      </c>
      <c r="AI1392" s="146">
        <v>0</v>
      </c>
    </row>
    <row r="1393" spans="3:35" s="610" customFormat="1">
      <c r="C1393" s="611"/>
      <c r="D1393" s="934" t="s">
        <v>2107</v>
      </c>
      <c r="E1393" s="146">
        <v>1.0199999999999999E-2</v>
      </c>
      <c r="F1393" s="146">
        <v>1.44E-2</v>
      </c>
      <c r="G1393" s="146">
        <v>1.5100000000000002E-2</v>
      </c>
      <c r="H1393" s="146">
        <v>1.72E-2</v>
      </c>
      <c r="I1393" s="146">
        <v>1.7899999999999999E-2</v>
      </c>
      <c r="J1393" s="146">
        <v>1.7899999999999999E-2</v>
      </c>
      <c r="K1393" s="146">
        <v>1.6500000000000001E-2</v>
      </c>
      <c r="L1393" s="146">
        <v>1.44E-2</v>
      </c>
      <c r="M1393" s="146">
        <v>1.1600000000000001E-2</v>
      </c>
      <c r="N1393" s="146">
        <v>1.1600000000000001E-2</v>
      </c>
      <c r="O1393" s="146">
        <v>1.0799999999999999E-2</v>
      </c>
      <c r="P1393" s="146">
        <v>1.09E-2</v>
      </c>
      <c r="Q1393" s="146">
        <v>1.0199999999999999E-2</v>
      </c>
      <c r="R1393" s="146">
        <v>5.3999999999999994E-3</v>
      </c>
      <c r="S1393" s="146">
        <v>9.5999999999999974E-3</v>
      </c>
      <c r="T1393" s="146">
        <v>9.5999999999999974E-3</v>
      </c>
      <c r="U1393" s="146">
        <v>8.9999999999999976E-3</v>
      </c>
      <c r="V1393" s="146">
        <v>1.3000000000000001E-2</v>
      </c>
      <c r="W1393" s="146">
        <v>1.18E-2</v>
      </c>
      <c r="X1393" s="146">
        <v>1.37E-2</v>
      </c>
      <c r="Y1393" s="146">
        <v>8.9999999999999976E-3</v>
      </c>
      <c r="Z1393" s="146">
        <v>1.0199999999999999E-2</v>
      </c>
      <c r="AA1393" s="146">
        <v>1.18E-2</v>
      </c>
      <c r="AB1393" s="146">
        <v>1.29E-2</v>
      </c>
      <c r="AC1393" s="146">
        <v>1.0799999999999999E-2</v>
      </c>
      <c r="AD1393" s="146">
        <v>0</v>
      </c>
      <c r="AE1393" s="146">
        <v>0</v>
      </c>
      <c r="AF1393" s="146">
        <v>0</v>
      </c>
      <c r="AG1393" s="146">
        <v>0</v>
      </c>
      <c r="AH1393" s="146">
        <v>0</v>
      </c>
      <c r="AI1393" s="146">
        <v>0</v>
      </c>
    </row>
    <row r="1394" spans="3:35" s="610" customFormat="1">
      <c r="C1394" s="611"/>
      <c r="D1394" s="934" t="s">
        <v>2108</v>
      </c>
      <c r="E1394" s="146">
        <v>1.0199999999999999E-2</v>
      </c>
      <c r="F1394" s="146">
        <v>1.0199999999999999E-2</v>
      </c>
      <c r="G1394" s="146">
        <v>1.23E-2</v>
      </c>
      <c r="H1394" s="146">
        <v>1.3000000000000001E-2</v>
      </c>
      <c r="I1394" s="146">
        <v>1.5100000000000002E-2</v>
      </c>
      <c r="J1394" s="146">
        <v>1.7899999999999999E-2</v>
      </c>
      <c r="K1394" s="146">
        <v>1.37E-2</v>
      </c>
      <c r="L1394" s="146">
        <v>1.5099999999999999E-2</v>
      </c>
      <c r="M1394" s="146">
        <v>1.23E-2</v>
      </c>
      <c r="N1394" s="146">
        <v>1.23E-2</v>
      </c>
      <c r="O1394" s="146">
        <v>6.6E-3</v>
      </c>
      <c r="P1394" s="146">
        <v>8.0999999999999996E-3</v>
      </c>
      <c r="Q1394" s="146">
        <v>6.0000000000000001E-3</v>
      </c>
      <c r="R1394" s="146">
        <v>5.3999999999999994E-3</v>
      </c>
      <c r="S1394" s="146">
        <v>5.3999999999999994E-3</v>
      </c>
      <c r="T1394" s="146">
        <v>5.3999999999999994E-3</v>
      </c>
      <c r="U1394" s="146">
        <v>4.7999999999999987E-3</v>
      </c>
      <c r="V1394" s="146">
        <v>8.8000000000000005E-3</v>
      </c>
      <c r="W1394" s="146">
        <v>7.6E-3</v>
      </c>
      <c r="X1394" s="146">
        <v>1.09E-2</v>
      </c>
      <c r="Y1394" s="146">
        <v>4.7999999999999987E-3</v>
      </c>
      <c r="Z1394" s="146">
        <v>6.0000000000000001E-3</v>
      </c>
      <c r="AA1394" s="146">
        <v>7.6E-3</v>
      </c>
      <c r="AB1394" s="146">
        <v>1.01E-2</v>
      </c>
      <c r="AC1394" s="146">
        <v>1.1499999999999998E-2</v>
      </c>
      <c r="AD1394" s="146">
        <v>0</v>
      </c>
      <c r="AE1394" s="146">
        <v>0</v>
      </c>
      <c r="AF1394" s="146">
        <v>0</v>
      </c>
      <c r="AG1394" s="146">
        <v>0</v>
      </c>
      <c r="AH1394" s="146">
        <v>0</v>
      </c>
      <c r="AI1394" s="146">
        <v>0</v>
      </c>
    </row>
    <row r="1395" spans="3:35" s="610" customFormat="1">
      <c r="C1395" s="611"/>
      <c r="D1395" s="934" t="s">
        <v>354</v>
      </c>
      <c r="E1395" s="146">
        <v>1.3000000000000001E-2</v>
      </c>
      <c r="F1395" s="146">
        <v>1.72E-2</v>
      </c>
      <c r="G1395" s="146">
        <v>1.7899999999999999E-2</v>
      </c>
      <c r="H1395" s="146">
        <v>1.5800000000000002E-2</v>
      </c>
      <c r="I1395" s="146">
        <v>1.6500000000000001E-2</v>
      </c>
      <c r="J1395" s="146">
        <v>1.6500000000000001E-2</v>
      </c>
      <c r="K1395" s="146">
        <v>1.7899999999999999E-2</v>
      </c>
      <c r="L1395" s="146">
        <v>1.5800000000000002E-2</v>
      </c>
      <c r="M1395" s="146">
        <v>1.1600000000000001E-2</v>
      </c>
      <c r="N1395" s="146">
        <v>1.1600000000000001E-2</v>
      </c>
      <c r="O1395" s="146">
        <v>1.3599999999999999E-2</v>
      </c>
      <c r="P1395" s="146">
        <v>1.37E-2</v>
      </c>
      <c r="Q1395" s="146">
        <v>1.3000000000000001E-2</v>
      </c>
      <c r="R1395" s="146">
        <v>8.199999999999999E-3</v>
      </c>
      <c r="S1395" s="146">
        <v>1.24E-2</v>
      </c>
      <c r="T1395" s="146">
        <v>1.24E-2</v>
      </c>
      <c r="U1395" s="146">
        <v>1.18E-2</v>
      </c>
      <c r="V1395" s="146">
        <v>1.1599999999999999E-2</v>
      </c>
      <c r="W1395" s="146">
        <v>1.04E-2</v>
      </c>
      <c r="X1395" s="146">
        <v>1.23E-2</v>
      </c>
      <c r="Y1395" s="146">
        <v>1.18E-2</v>
      </c>
      <c r="Z1395" s="146">
        <v>1.3000000000000001E-2</v>
      </c>
      <c r="AA1395" s="146">
        <v>1.04E-2</v>
      </c>
      <c r="AB1395" s="146">
        <v>1.4299999999999998E-2</v>
      </c>
      <c r="AC1395" s="146">
        <v>1.2199999999999999E-2</v>
      </c>
      <c r="AD1395" s="146">
        <v>0</v>
      </c>
      <c r="AE1395" s="146">
        <v>0</v>
      </c>
      <c r="AF1395" s="146">
        <v>0</v>
      </c>
      <c r="AG1395" s="146">
        <v>0</v>
      </c>
      <c r="AH1395" s="146">
        <v>0</v>
      </c>
      <c r="AI1395" s="146">
        <v>0</v>
      </c>
    </row>
    <row r="1396" spans="3:35" s="610" customFormat="1">
      <c r="C1396" s="611"/>
      <c r="D1396" s="934" t="s">
        <v>355</v>
      </c>
      <c r="E1396" s="146">
        <v>1.23E-2</v>
      </c>
      <c r="F1396" s="146">
        <v>1.23E-2</v>
      </c>
      <c r="G1396" s="146">
        <v>1.37E-2</v>
      </c>
      <c r="H1396" s="146">
        <v>1.09E-2</v>
      </c>
      <c r="I1396" s="146">
        <v>1.23E-2</v>
      </c>
      <c r="J1396" s="146">
        <v>1.3000000000000001E-2</v>
      </c>
      <c r="K1396" s="146">
        <v>1.37E-2</v>
      </c>
      <c r="L1396" s="146">
        <v>1.7899999999999999E-2</v>
      </c>
      <c r="M1396" s="146">
        <v>1.37E-2</v>
      </c>
      <c r="N1396" s="146">
        <v>1.37E-2</v>
      </c>
      <c r="O1396" s="146">
        <v>8.6999999999999994E-3</v>
      </c>
      <c r="P1396" s="146">
        <v>9.4999999999999998E-3</v>
      </c>
      <c r="Q1396" s="146">
        <v>8.0999999999999996E-3</v>
      </c>
      <c r="R1396" s="146">
        <v>7.4999999999999997E-3</v>
      </c>
      <c r="S1396" s="146">
        <v>7.4999999999999997E-3</v>
      </c>
      <c r="T1396" s="146">
        <v>7.4999999999999997E-3</v>
      </c>
      <c r="U1396" s="146">
        <v>6.9000000000000008E-3</v>
      </c>
      <c r="V1396" s="146">
        <v>6.6999999999999994E-3</v>
      </c>
      <c r="W1396" s="146">
        <v>5.4999999999999997E-3</v>
      </c>
      <c r="X1396" s="146">
        <v>8.0999999999999996E-3</v>
      </c>
      <c r="Y1396" s="146">
        <v>6.9000000000000008E-3</v>
      </c>
      <c r="Z1396" s="146">
        <v>8.0999999999999996E-3</v>
      </c>
      <c r="AA1396" s="146">
        <v>5.4999999999999997E-3</v>
      </c>
      <c r="AB1396" s="146">
        <v>1.01E-2</v>
      </c>
      <c r="AC1396" s="146">
        <v>1.4299999999999998E-2</v>
      </c>
      <c r="AD1396" s="146">
        <v>0</v>
      </c>
      <c r="AE1396" s="146">
        <v>0</v>
      </c>
      <c r="AF1396" s="146">
        <v>0</v>
      </c>
      <c r="AG1396" s="146">
        <v>0</v>
      </c>
      <c r="AH1396" s="146">
        <v>0</v>
      </c>
      <c r="AI1396" s="146">
        <v>0</v>
      </c>
    </row>
    <row r="1397" spans="3:35" s="610" customFormat="1">
      <c r="C1397" s="611"/>
      <c r="D1397" s="934" t="s">
        <v>3765</v>
      </c>
      <c r="E1397" s="146">
        <v>8.1000000000000013E-3</v>
      </c>
      <c r="F1397" s="146">
        <v>8.1000000000000013E-3</v>
      </c>
      <c r="G1397" s="146">
        <v>9.4999999999999998E-3</v>
      </c>
      <c r="H1397" s="146">
        <v>8.1000000000000013E-3</v>
      </c>
      <c r="I1397" s="146">
        <v>9.4999999999999998E-3</v>
      </c>
      <c r="J1397" s="146">
        <v>1.0199999999999999E-2</v>
      </c>
      <c r="K1397" s="146">
        <v>9.4999999999999998E-3</v>
      </c>
      <c r="L1397" s="146">
        <v>1.37E-2</v>
      </c>
      <c r="M1397" s="146">
        <v>1.7899999999999999E-2</v>
      </c>
      <c r="N1397" s="146">
        <v>1.37E-2</v>
      </c>
      <c r="O1397" s="146">
        <v>4.5000000000000005E-3</v>
      </c>
      <c r="P1397" s="146">
        <v>5.3E-3</v>
      </c>
      <c r="Q1397" s="146">
        <v>3.8999999999999998E-3</v>
      </c>
      <c r="R1397" s="146">
        <v>3.3E-3</v>
      </c>
      <c r="S1397" s="146">
        <v>3.3E-3</v>
      </c>
      <c r="T1397" s="146">
        <v>3.3E-3</v>
      </c>
      <c r="U1397" s="146">
        <v>2.6999999999999997E-3</v>
      </c>
      <c r="V1397" s="146">
        <v>3.8999999999999998E-3</v>
      </c>
      <c r="W1397" s="146">
        <v>2.6999999999999997E-3</v>
      </c>
      <c r="X1397" s="146">
        <v>5.3E-3</v>
      </c>
      <c r="Y1397" s="146">
        <v>2.6999999999999997E-3</v>
      </c>
      <c r="Z1397" s="146">
        <v>3.8999999999999998E-3</v>
      </c>
      <c r="AA1397" s="146">
        <v>2.6999999999999997E-3</v>
      </c>
      <c r="AB1397" s="146">
        <v>5.9000000000000007E-3</v>
      </c>
      <c r="AC1397" s="146">
        <v>1.01E-2</v>
      </c>
      <c r="AD1397" s="146">
        <v>0</v>
      </c>
      <c r="AE1397" s="146">
        <v>0</v>
      </c>
      <c r="AF1397" s="146">
        <v>0</v>
      </c>
      <c r="AG1397" s="146">
        <v>0</v>
      </c>
      <c r="AH1397" s="146">
        <v>0</v>
      </c>
      <c r="AI1397" s="146">
        <v>0</v>
      </c>
    </row>
    <row r="1398" spans="3:35" s="610" customFormat="1">
      <c r="C1398" s="611"/>
      <c r="D1398" s="934" t="s">
        <v>3766</v>
      </c>
      <c r="E1398" s="146">
        <v>8.1000000000000013E-3</v>
      </c>
      <c r="F1398" s="146">
        <v>8.1000000000000013E-3</v>
      </c>
      <c r="G1398" s="146">
        <v>9.4999999999999998E-3</v>
      </c>
      <c r="H1398" s="146">
        <v>8.1000000000000013E-3</v>
      </c>
      <c r="I1398" s="146">
        <v>9.4999999999999998E-3</v>
      </c>
      <c r="J1398" s="146">
        <v>1.0199999999999999E-2</v>
      </c>
      <c r="K1398" s="146">
        <v>9.4999999999999998E-3</v>
      </c>
      <c r="L1398" s="146">
        <v>1.37E-2</v>
      </c>
      <c r="M1398" s="146">
        <v>1.7899999999999999E-2</v>
      </c>
      <c r="N1398" s="146">
        <v>1.37E-2</v>
      </c>
      <c r="O1398" s="146">
        <v>4.5000000000000005E-3</v>
      </c>
      <c r="P1398" s="146">
        <v>5.3E-3</v>
      </c>
      <c r="Q1398" s="146">
        <v>3.8999999999999998E-3</v>
      </c>
      <c r="R1398" s="146">
        <v>3.3E-3</v>
      </c>
      <c r="S1398" s="146">
        <v>3.3E-3</v>
      </c>
      <c r="T1398" s="146">
        <v>3.3E-3</v>
      </c>
      <c r="U1398" s="146">
        <v>2.6999999999999997E-3</v>
      </c>
      <c r="V1398" s="146">
        <v>3.8999999999999998E-3</v>
      </c>
      <c r="W1398" s="146">
        <v>2.6999999999999997E-3</v>
      </c>
      <c r="X1398" s="146">
        <v>5.3E-3</v>
      </c>
      <c r="Y1398" s="146">
        <v>2.6999999999999997E-3</v>
      </c>
      <c r="Z1398" s="146">
        <v>3.8999999999999998E-3</v>
      </c>
      <c r="AA1398" s="146">
        <v>2.6999999999999997E-3</v>
      </c>
      <c r="AB1398" s="146">
        <v>5.9000000000000007E-3</v>
      </c>
      <c r="AC1398" s="146">
        <v>1.01E-2</v>
      </c>
      <c r="AD1398" s="146">
        <v>0</v>
      </c>
      <c r="AE1398" s="146">
        <v>0</v>
      </c>
      <c r="AF1398" s="146">
        <v>0</v>
      </c>
      <c r="AG1398" s="146">
        <v>0</v>
      </c>
      <c r="AH1398" s="146">
        <v>0</v>
      </c>
      <c r="AI1398" s="146">
        <v>0</v>
      </c>
    </row>
    <row r="1399" spans="3:35" s="610" customFormat="1">
      <c r="C1399" s="611"/>
      <c r="D1399" s="934" t="s">
        <v>4417</v>
      </c>
      <c r="E1399" s="146">
        <v>1.3599999999999999E-2</v>
      </c>
      <c r="F1399" s="146">
        <v>1.6399999999999998E-2</v>
      </c>
      <c r="G1399" s="146">
        <v>1.5700000000000002E-2</v>
      </c>
      <c r="H1399" s="146">
        <v>1.4999999999999999E-2</v>
      </c>
      <c r="I1399" s="146">
        <v>1.4299999999999998E-2</v>
      </c>
      <c r="J1399" s="146">
        <v>1.15E-2</v>
      </c>
      <c r="K1399" s="146">
        <v>1.29E-2</v>
      </c>
      <c r="L1399" s="146">
        <v>8.6999999999999994E-3</v>
      </c>
      <c r="M1399" s="146">
        <v>5.9000000000000007E-3</v>
      </c>
      <c r="N1399" s="146">
        <v>5.9000000000000007E-3</v>
      </c>
      <c r="O1399" s="146">
        <v>1.9400000000000001E-2</v>
      </c>
      <c r="P1399" s="146">
        <v>1.8100000000000002E-2</v>
      </c>
      <c r="Q1399" s="146">
        <v>1.8800000000000001E-2</v>
      </c>
      <c r="R1399" s="146">
        <v>1.4199999999999999E-2</v>
      </c>
      <c r="S1399" s="146">
        <v>1.6399999999999998E-2</v>
      </c>
      <c r="T1399" s="146">
        <v>1.5800000000000002E-2</v>
      </c>
      <c r="U1399" s="146">
        <v>1.46E-2</v>
      </c>
      <c r="V1399" s="146">
        <v>1.7399999999999999E-2</v>
      </c>
      <c r="W1399" s="146">
        <v>1.32E-2</v>
      </c>
      <c r="X1399" s="146">
        <v>1.67E-2</v>
      </c>
      <c r="Y1399" s="146">
        <v>1.46E-2</v>
      </c>
      <c r="Z1399" s="146">
        <v>1.8800000000000001E-2</v>
      </c>
      <c r="AA1399" s="146">
        <v>1.32E-2</v>
      </c>
      <c r="AB1399" s="146">
        <v>1.5900000000000001E-2</v>
      </c>
      <c r="AC1399" s="146">
        <v>1.17E-2</v>
      </c>
      <c r="AD1399" s="146">
        <v>0</v>
      </c>
      <c r="AE1399" s="146">
        <v>0</v>
      </c>
      <c r="AF1399" s="146">
        <v>0</v>
      </c>
      <c r="AG1399" s="146">
        <v>0</v>
      </c>
      <c r="AH1399" s="146">
        <v>0</v>
      </c>
      <c r="AI1399" s="146">
        <v>0</v>
      </c>
    </row>
    <row r="1400" spans="3:35" s="610" customFormat="1">
      <c r="C1400" s="611"/>
      <c r="D1400" s="934" t="s">
        <v>4418</v>
      </c>
      <c r="E1400" s="146">
        <v>9.6000000000000009E-3</v>
      </c>
      <c r="F1400" s="146">
        <v>1.3800000000000002E-2</v>
      </c>
      <c r="G1400" s="146">
        <v>1.4500000000000001E-2</v>
      </c>
      <c r="H1400" s="146">
        <v>1.24E-2</v>
      </c>
      <c r="I1400" s="146">
        <v>1.3099999999999999E-2</v>
      </c>
      <c r="J1400" s="146">
        <v>1.3099999999999999E-2</v>
      </c>
      <c r="K1400" s="146">
        <v>1.17E-2</v>
      </c>
      <c r="L1400" s="146">
        <v>9.5999999999999974E-3</v>
      </c>
      <c r="M1400" s="146">
        <v>6.7999999999999996E-3</v>
      </c>
      <c r="N1400" s="146">
        <v>6.7999999999999996E-3</v>
      </c>
      <c r="O1400" s="146">
        <v>1.7399999999999999E-2</v>
      </c>
      <c r="P1400" s="146">
        <v>1.8700000000000005E-2</v>
      </c>
      <c r="Q1400" s="146">
        <v>1.8000000000000002E-2</v>
      </c>
      <c r="R1400" s="146">
        <v>1.2E-2</v>
      </c>
      <c r="S1400" s="146">
        <v>1.6199999999999999E-2</v>
      </c>
      <c r="T1400" s="146">
        <v>1.4999999999999999E-2</v>
      </c>
      <c r="U1400" s="146">
        <v>1.32E-2</v>
      </c>
      <c r="V1400" s="146">
        <v>1.66E-2</v>
      </c>
      <c r="W1400" s="146">
        <v>1.18E-2</v>
      </c>
      <c r="X1400" s="146">
        <v>1.7299999999999996E-2</v>
      </c>
      <c r="Y1400" s="146">
        <v>1.32E-2</v>
      </c>
      <c r="Z1400" s="146">
        <v>1.8000000000000002E-2</v>
      </c>
      <c r="AA1400" s="146">
        <v>1.18E-2</v>
      </c>
      <c r="AB1400" s="146">
        <v>1.5300000000000001E-2</v>
      </c>
      <c r="AC1400" s="146">
        <v>1.32E-2</v>
      </c>
      <c r="AD1400" s="146">
        <v>0</v>
      </c>
      <c r="AE1400" s="146">
        <v>0</v>
      </c>
      <c r="AF1400" s="146">
        <v>0</v>
      </c>
      <c r="AG1400" s="146">
        <v>0</v>
      </c>
      <c r="AH1400" s="146">
        <v>0</v>
      </c>
      <c r="AI1400" s="146">
        <v>0</v>
      </c>
    </row>
    <row r="1401" spans="3:35" s="610" customFormat="1">
      <c r="C1401" s="611"/>
      <c r="D1401" s="934" t="s">
        <v>4419</v>
      </c>
      <c r="E1401" s="146">
        <v>1.24E-2</v>
      </c>
      <c r="F1401" s="146">
        <v>1.52E-2</v>
      </c>
      <c r="G1401" s="146">
        <v>1.4500000000000001E-2</v>
      </c>
      <c r="H1401" s="146">
        <v>1.3800000000000002E-2</v>
      </c>
      <c r="I1401" s="146">
        <v>1.3099999999999999E-2</v>
      </c>
      <c r="J1401" s="146">
        <v>1.03E-2</v>
      </c>
      <c r="K1401" s="146">
        <v>1.17E-2</v>
      </c>
      <c r="L1401" s="146">
        <v>7.4999999999999989E-3</v>
      </c>
      <c r="M1401" s="146">
        <v>4.6999999999999993E-3</v>
      </c>
      <c r="N1401" s="146">
        <v>4.6999999999999993E-3</v>
      </c>
      <c r="O1401" s="146">
        <v>1.8800000000000001E-2</v>
      </c>
      <c r="P1401" s="146">
        <v>1.8700000000000005E-2</v>
      </c>
      <c r="Q1401" s="146">
        <v>1.9400000000000001E-2</v>
      </c>
      <c r="R1401" s="146">
        <v>1.4800000000000001E-2</v>
      </c>
      <c r="S1401" s="146">
        <v>1.7600000000000001E-2</v>
      </c>
      <c r="T1401" s="146">
        <v>1.6399999999999998E-2</v>
      </c>
      <c r="U1401" s="146">
        <v>1.46E-2</v>
      </c>
      <c r="V1401" s="146">
        <v>1.8000000000000002E-2</v>
      </c>
      <c r="W1401" s="146">
        <v>1.32E-2</v>
      </c>
      <c r="X1401" s="146">
        <v>1.7299999999999996E-2</v>
      </c>
      <c r="Y1401" s="146">
        <v>1.46E-2</v>
      </c>
      <c r="Z1401" s="146">
        <v>1.9400000000000001E-2</v>
      </c>
      <c r="AA1401" s="146">
        <v>1.32E-2</v>
      </c>
      <c r="AB1401" s="146">
        <v>1.5300000000000001E-2</v>
      </c>
      <c r="AC1401" s="146">
        <v>1.11E-2</v>
      </c>
      <c r="AD1401" s="146">
        <v>0</v>
      </c>
      <c r="AE1401" s="146">
        <v>0</v>
      </c>
      <c r="AF1401" s="146">
        <v>0</v>
      </c>
      <c r="AG1401" s="146">
        <v>0</v>
      </c>
      <c r="AH1401" s="146">
        <v>0</v>
      </c>
      <c r="AI1401" s="146">
        <v>0</v>
      </c>
    </row>
    <row r="1402" spans="3:35" s="610" customFormat="1">
      <c r="C1402" s="611"/>
      <c r="D1402" s="934" t="s">
        <v>4420</v>
      </c>
      <c r="E1402" s="146">
        <v>1.32E-2</v>
      </c>
      <c r="F1402" s="146">
        <v>1.18E-2</v>
      </c>
      <c r="G1402" s="146">
        <v>9.0000000000000011E-3</v>
      </c>
      <c r="H1402" s="146">
        <v>1.04E-2</v>
      </c>
      <c r="I1402" s="146">
        <v>7.6E-3</v>
      </c>
      <c r="J1402" s="146">
        <v>6.9000000000000008E-3</v>
      </c>
      <c r="K1402" s="146">
        <v>6.1999999999999998E-3</v>
      </c>
      <c r="L1402" s="146">
        <v>5.4999999999999997E-3</v>
      </c>
      <c r="M1402" s="146">
        <v>2.6999999999999997E-3</v>
      </c>
      <c r="N1402" s="146">
        <v>2.6999999999999997E-3</v>
      </c>
      <c r="O1402" s="146">
        <v>1.4199999999999999E-2</v>
      </c>
      <c r="P1402" s="146">
        <v>1.14E-2</v>
      </c>
      <c r="Q1402" s="146">
        <v>1.4199999999999999E-2</v>
      </c>
      <c r="R1402" s="146">
        <v>1.8000000000000002E-2</v>
      </c>
      <c r="S1402" s="146">
        <v>1.66E-2</v>
      </c>
      <c r="T1402" s="146">
        <v>1.54E-2</v>
      </c>
      <c r="U1402" s="146">
        <v>1.3000000000000001E-2</v>
      </c>
      <c r="V1402" s="146">
        <v>1.2799999999999999E-2</v>
      </c>
      <c r="W1402" s="146">
        <v>1.1599999999999999E-2</v>
      </c>
      <c r="X1402" s="146">
        <v>0.01</v>
      </c>
      <c r="Y1402" s="146">
        <v>1.3000000000000001E-2</v>
      </c>
      <c r="Z1402" s="146">
        <v>1.4199999999999999E-2</v>
      </c>
      <c r="AA1402" s="146">
        <v>1.1599999999999999E-2</v>
      </c>
      <c r="AB1402" s="146">
        <v>8.6E-3</v>
      </c>
      <c r="AC1402" s="146">
        <v>7.9000000000000008E-3</v>
      </c>
      <c r="AD1402" s="146">
        <v>0</v>
      </c>
      <c r="AE1402" s="146">
        <v>0</v>
      </c>
      <c r="AF1402" s="146">
        <v>0</v>
      </c>
      <c r="AG1402" s="146">
        <v>0</v>
      </c>
      <c r="AH1402" s="146">
        <v>0</v>
      </c>
      <c r="AI1402" s="146">
        <v>0</v>
      </c>
    </row>
    <row r="1403" spans="3:35" s="610" customFormat="1">
      <c r="C1403" s="611"/>
      <c r="D1403" s="934" t="s">
        <v>4421</v>
      </c>
      <c r="E1403" s="146">
        <v>1.18E-2</v>
      </c>
      <c r="F1403" s="146">
        <v>1.46E-2</v>
      </c>
      <c r="G1403" s="146">
        <v>1.3900000000000001E-2</v>
      </c>
      <c r="H1403" s="146">
        <v>1.32E-2</v>
      </c>
      <c r="I1403" s="146">
        <v>1.2499999999999999E-2</v>
      </c>
      <c r="J1403" s="146">
        <v>9.7000000000000003E-3</v>
      </c>
      <c r="K1403" s="146">
        <v>1.11E-2</v>
      </c>
      <c r="L1403" s="146">
        <v>6.899999999999999E-3</v>
      </c>
      <c r="M1403" s="146">
        <v>4.0999999999999995E-3</v>
      </c>
      <c r="N1403" s="146">
        <v>4.0999999999999995E-3</v>
      </c>
      <c r="O1403" s="146">
        <v>1.5800000000000002E-2</v>
      </c>
      <c r="P1403" s="146">
        <v>1.6300000000000002E-2</v>
      </c>
      <c r="Q1403" s="146">
        <v>1.7000000000000001E-2</v>
      </c>
      <c r="R1403" s="146">
        <v>1.6E-2</v>
      </c>
      <c r="S1403" s="146">
        <v>0.02</v>
      </c>
      <c r="T1403" s="146">
        <v>0.02</v>
      </c>
      <c r="U1403" s="146">
        <v>1.6399999999999998E-2</v>
      </c>
      <c r="V1403" s="146">
        <v>1.5599999999999999E-2</v>
      </c>
      <c r="W1403" s="146">
        <v>1.4999999999999999E-2</v>
      </c>
      <c r="X1403" s="146">
        <v>1.4899999999999998E-2</v>
      </c>
      <c r="Y1403" s="146">
        <v>1.7000000000000001E-2</v>
      </c>
      <c r="Z1403" s="146">
        <v>1.7000000000000001E-2</v>
      </c>
      <c r="AA1403" s="146">
        <v>1.5599999999999999E-2</v>
      </c>
      <c r="AB1403" s="146">
        <v>1.23E-2</v>
      </c>
      <c r="AC1403" s="146">
        <v>8.0999999999999996E-3</v>
      </c>
      <c r="AD1403" s="146">
        <v>0</v>
      </c>
      <c r="AE1403" s="146">
        <v>0</v>
      </c>
      <c r="AF1403" s="146">
        <v>0</v>
      </c>
      <c r="AG1403" s="146">
        <v>0</v>
      </c>
      <c r="AH1403" s="146">
        <v>0</v>
      </c>
      <c r="AI1403" s="146">
        <v>0</v>
      </c>
    </row>
    <row r="1404" spans="3:35" s="610" customFormat="1">
      <c r="C1404" s="611"/>
      <c r="D1404" s="934" t="s">
        <v>4422</v>
      </c>
      <c r="E1404" s="146">
        <v>1.18E-2</v>
      </c>
      <c r="F1404" s="146">
        <v>1.46E-2</v>
      </c>
      <c r="G1404" s="146">
        <v>1.3900000000000001E-2</v>
      </c>
      <c r="H1404" s="146">
        <v>1.32E-2</v>
      </c>
      <c r="I1404" s="146">
        <v>1.2499999999999999E-2</v>
      </c>
      <c r="J1404" s="146">
        <v>9.7000000000000003E-3</v>
      </c>
      <c r="K1404" s="146">
        <v>1.11E-2</v>
      </c>
      <c r="L1404" s="146">
        <v>6.899999999999999E-3</v>
      </c>
      <c r="M1404" s="146">
        <v>4.0999999999999995E-3</v>
      </c>
      <c r="N1404" s="146">
        <v>4.0999999999999995E-3</v>
      </c>
      <c r="O1404" s="146">
        <v>1.52E-2</v>
      </c>
      <c r="P1404" s="146">
        <v>1.5100000000000002E-2</v>
      </c>
      <c r="Q1404" s="146">
        <v>1.5800000000000002E-2</v>
      </c>
      <c r="R1404" s="146">
        <v>1.54E-2</v>
      </c>
      <c r="S1404" s="146">
        <v>0.02</v>
      </c>
      <c r="T1404" s="146">
        <v>0.02</v>
      </c>
      <c r="U1404" s="146">
        <v>1.7000000000000001E-2</v>
      </c>
      <c r="V1404" s="146">
        <v>1.4400000000000001E-2</v>
      </c>
      <c r="W1404" s="146">
        <v>1.5599999999999999E-2</v>
      </c>
      <c r="X1404" s="146">
        <v>1.37E-2</v>
      </c>
      <c r="Y1404" s="146">
        <v>1.7000000000000001E-2</v>
      </c>
      <c r="Z1404" s="146">
        <v>1.5800000000000002E-2</v>
      </c>
      <c r="AA1404" s="146">
        <v>1.5599999999999999E-2</v>
      </c>
      <c r="AB1404" s="146">
        <v>1.17E-2</v>
      </c>
      <c r="AC1404" s="146">
        <v>7.4999999999999989E-3</v>
      </c>
      <c r="AD1404" s="146">
        <v>0</v>
      </c>
      <c r="AE1404" s="146">
        <v>0</v>
      </c>
      <c r="AF1404" s="146">
        <v>0</v>
      </c>
      <c r="AG1404" s="146">
        <v>0</v>
      </c>
      <c r="AH1404" s="146">
        <v>0</v>
      </c>
      <c r="AI1404" s="146">
        <v>0</v>
      </c>
    </row>
    <row r="1405" spans="3:35" s="610" customFormat="1">
      <c r="C1405" s="611"/>
      <c r="D1405" s="934" t="s">
        <v>4423</v>
      </c>
      <c r="E1405" s="146">
        <v>1.18E-2</v>
      </c>
      <c r="F1405" s="146">
        <v>1.46E-2</v>
      </c>
      <c r="G1405" s="146">
        <v>1.3900000000000001E-2</v>
      </c>
      <c r="H1405" s="146">
        <v>1.32E-2</v>
      </c>
      <c r="I1405" s="146">
        <v>1.2499999999999999E-2</v>
      </c>
      <c r="J1405" s="146">
        <v>9.7000000000000003E-3</v>
      </c>
      <c r="K1405" s="146">
        <v>1.11E-2</v>
      </c>
      <c r="L1405" s="146">
        <v>6.899999999999999E-3</v>
      </c>
      <c r="M1405" s="146">
        <v>4.0999999999999995E-3</v>
      </c>
      <c r="N1405" s="146">
        <v>4.0999999999999995E-3</v>
      </c>
      <c r="O1405" s="146">
        <v>1.46E-2</v>
      </c>
      <c r="P1405" s="146">
        <v>1.4500000000000001E-2</v>
      </c>
      <c r="Q1405" s="146">
        <v>1.52E-2</v>
      </c>
      <c r="R1405" s="146">
        <v>1.3000000000000001E-2</v>
      </c>
      <c r="S1405" s="146">
        <v>1.6399999999999998E-2</v>
      </c>
      <c r="T1405" s="146">
        <v>1.6399999999999998E-2</v>
      </c>
      <c r="U1405" s="146">
        <v>0.02</v>
      </c>
      <c r="V1405" s="146">
        <v>1.3800000000000002E-2</v>
      </c>
      <c r="W1405" s="146">
        <v>1.8600000000000002E-2</v>
      </c>
      <c r="X1405" s="146">
        <v>1.3099999999999999E-2</v>
      </c>
      <c r="Y1405" s="146">
        <v>1.9400000000000001E-2</v>
      </c>
      <c r="Z1405" s="146">
        <v>1.52E-2</v>
      </c>
      <c r="AA1405" s="146">
        <v>1.8000000000000002E-2</v>
      </c>
      <c r="AB1405" s="146">
        <v>1.11E-2</v>
      </c>
      <c r="AC1405" s="146">
        <v>6.899999999999999E-3</v>
      </c>
      <c r="AD1405" s="146">
        <v>0</v>
      </c>
      <c r="AE1405" s="146">
        <v>0</v>
      </c>
      <c r="AF1405" s="146">
        <v>0</v>
      </c>
      <c r="AG1405" s="146">
        <v>0</v>
      </c>
      <c r="AH1405" s="146">
        <v>0</v>
      </c>
      <c r="AI1405" s="146">
        <v>0</v>
      </c>
    </row>
    <row r="1406" spans="3:35" s="610" customFormat="1">
      <c r="C1406" s="611"/>
      <c r="D1406" s="934" t="s">
        <v>4424</v>
      </c>
      <c r="E1406" s="146">
        <v>8.199999999999999E-3</v>
      </c>
      <c r="F1406" s="146">
        <v>1.0999999999999999E-2</v>
      </c>
      <c r="G1406" s="146">
        <v>1.03E-2</v>
      </c>
      <c r="H1406" s="146">
        <v>1.3800000000000002E-2</v>
      </c>
      <c r="I1406" s="146">
        <v>1.3099999999999999E-2</v>
      </c>
      <c r="J1406" s="146">
        <v>1.03E-2</v>
      </c>
      <c r="K1406" s="146">
        <v>1.17E-2</v>
      </c>
      <c r="L1406" s="146">
        <v>7.4999999999999989E-3</v>
      </c>
      <c r="M1406" s="146">
        <v>4.6999999999999993E-3</v>
      </c>
      <c r="N1406" s="146">
        <v>4.6999999999999993E-3</v>
      </c>
      <c r="O1406" s="146">
        <v>1.4600000000000002E-2</v>
      </c>
      <c r="P1406" s="146">
        <v>1.4500000000000001E-2</v>
      </c>
      <c r="Q1406" s="146">
        <v>1.5200000000000002E-2</v>
      </c>
      <c r="R1406" s="146">
        <v>1.06E-2</v>
      </c>
      <c r="S1406" s="146">
        <v>1.3400000000000002E-2</v>
      </c>
      <c r="T1406" s="146">
        <v>1.2200000000000001E-2</v>
      </c>
      <c r="U1406" s="146">
        <v>1.0400000000000001E-2</v>
      </c>
      <c r="V1406" s="146">
        <v>1.8000000000000002E-2</v>
      </c>
      <c r="W1406" s="146">
        <v>1.32E-2</v>
      </c>
      <c r="X1406" s="146">
        <v>1.7299999999999996E-2</v>
      </c>
      <c r="Y1406" s="146">
        <v>1.2800000000000001E-2</v>
      </c>
      <c r="Z1406" s="146">
        <v>1.5200000000000002E-2</v>
      </c>
      <c r="AA1406" s="146">
        <v>1.5599999999999999E-2</v>
      </c>
      <c r="AB1406" s="146">
        <v>1.5300000000000001E-2</v>
      </c>
      <c r="AC1406" s="146">
        <v>1.11E-2</v>
      </c>
      <c r="AD1406" s="146">
        <v>0</v>
      </c>
      <c r="AE1406" s="146">
        <v>0</v>
      </c>
      <c r="AF1406" s="146">
        <v>0</v>
      </c>
      <c r="AG1406" s="146">
        <v>0</v>
      </c>
      <c r="AH1406" s="146">
        <v>0</v>
      </c>
      <c r="AI1406" s="146">
        <v>0</v>
      </c>
    </row>
    <row r="1407" spans="3:35" s="610" customFormat="1">
      <c r="C1407" s="611"/>
      <c r="D1407" s="934" t="s">
        <v>4425</v>
      </c>
      <c r="E1407" s="146">
        <v>7.6E-3</v>
      </c>
      <c r="F1407" s="146">
        <v>1.0400000000000001E-2</v>
      </c>
      <c r="G1407" s="146">
        <v>9.7000000000000003E-3</v>
      </c>
      <c r="H1407" s="146">
        <v>1.32E-2</v>
      </c>
      <c r="I1407" s="146">
        <v>1.2499999999999999E-2</v>
      </c>
      <c r="J1407" s="146">
        <v>9.7000000000000003E-3</v>
      </c>
      <c r="K1407" s="146">
        <v>1.11E-2</v>
      </c>
      <c r="L1407" s="146">
        <v>6.899999999999999E-3</v>
      </c>
      <c r="M1407" s="146">
        <v>4.0999999999999995E-3</v>
      </c>
      <c r="N1407" s="146">
        <v>4.0999999999999995E-3</v>
      </c>
      <c r="O1407" s="146">
        <v>1.0400000000000001E-2</v>
      </c>
      <c r="P1407" s="146">
        <v>1.03E-2</v>
      </c>
      <c r="Q1407" s="146">
        <v>1.0999999999999999E-2</v>
      </c>
      <c r="R1407" s="146">
        <v>8.7999999999999988E-3</v>
      </c>
      <c r="S1407" s="146">
        <v>1.2200000000000001E-2</v>
      </c>
      <c r="T1407" s="146">
        <v>1.2200000000000001E-2</v>
      </c>
      <c r="U1407" s="146">
        <v>1.5800000000000002E-2</v>
      </c>
      <c r="V1407" s="146">
        <v>1.3800000000000002E-2</v>
      </c>
      <c r="W1407" s="146">
        <v>1.8600000000000002E-2</v>
      </c>
      <c r="X1407" s="146">
        <v>1.3099999999999999E-2</v>
      </c>
      <c r="Y1407" s="146">
        <v>1.5200000000000002E-2</v>
      </c>
      <c r="Z1407" s="146">
        <v>1.0999999999999999E-2</v>
      </c>
      <c r="AA1407" s="146">
        <v>1.8000000000000002E-2</v>
      </c>
      <c r="AB1407" s="146">
        <v>1.11E-2</v>
      </c>
      <c r="AC1407" s="146">
        <v>6.899999999999999E-3</v>
      </c>
      <c r="AD1407" s="146">
        <v>0</v>
      </c>
      <c r="AE1407" s="146">
        <v>0</v>
      </c>
      <c r="AF1407" s="146">
        <v>0</v>
      </c>
      <c r="AG1407" s="146">
        <v>0</v>
      </c>
      <c r="AH1407" s="146">
        <v>0</v>
      </c>
      <c r="AI1407" s="146">
        <v>0</v>
      </c>
    </row>
    <row r="1408" spans="3:35" s="610" customFormat="1">
      <c r="C1408" s="611"/>
      <c r="D1408" s="934" t="s">
        <v>4426</v>
      </c>
      <c r="E1408" s="146">
        <v>5.3999999999999994E-3</v>
      </c>
      <c r="F1408" s="146">
        <v>9.5999999999999974E-3</v>
      </c>
      <c r="G1408" s="146">
        <v>1.03E-2</v>
      </c>
      <c r="H1408" s="146">
        <v>1.24E-2</v>
      </c>
      <c r="I1408" s="146">
        <v>1.3099999999999999E-2</v>
      </c>
      <c r="J1408" s="146">
        <v>1.3099999999999999E-2</v>
      </c>
      <c r="K1408" s="146">
        <v>1.17E-2</v>
      </c>
      <c r="L1408" s="146">
        <v>9.5999999999999974E-3</v>
      </c>
      <c r="M1408" s="146">
        <v>6.7999999999999996E-3</v>
      </c>
      <c r="N1408" s="146">
        <v>6.7999999999999996E-3</v>
      </c>
      <c r="O1408" s="146">
        <v>1.32E-2</v>
      </c>
      <c r="P1408" s="146">
        <v>1.4500000000000001E-2</v>
      </c>
      <c r="Q1408" s="146">
        <v>1.38E-2</v>
      </c>
      <c r="R1408" s="146">
        <v>7.7999999999999996E-3</v>
      </c>
      <c r="S1408" s="146">
        <v>1.2E-2</v>
      </c>
      <c r="T1408" s="146">
        <v>1.0799999999999999E-2</v>
      </c>
      <c r="U1408" s="146">
        <v>8.9999999999999976E-3</v>
      </c>
      <c r="V1408" s="146">
        <v>1.66E-2</v>
      </c>
      <c r="W1408" s="146">
        <v>1.18E-2</v>
      </c>
      <c r="X1408" s="146">
        <v>1.7299999999999996E-2</v>
      </c>
      <c r="Y1408" s="146">
        <v>1.1399999999999999E-2</v>
      </c>
      <c r="Z1408" s="146">
        <v>1.38E-2</v>
      </c>
      <c r="AA1408" s="146">
        <v>1.4199999999999999E-2</v>
      </c>
      <c r="AB1408" s="146">
        <v>1.5300000000000001E-2</v>
      </c>
      <c r="AC1408" s="146">
        <v>1.32E-2</v>
      </c>
      <c r="AD1408" s="146">
        <v>0</v>
      </c>
      <c r="AE1408" s="146">
        <v>0</v>
      </c>
      <c r="AF1408" s="146">
        <v>0</v>
      </c>
      <c r="AG1408" s="146">
        <v>0</v>
      </c>
      <c r="AH1408" s="146">
        <v>0</v>
      </c>
      <c r="AI1408" s="146">
        <v>0</v>
      </c>
    </row>
    <row r="1409" spans="3:35" s="610" customFormat="1">
      <c r="C1409" s="611"/>
      <c r="D1409" s="934" t="s">
        <v>8369</v>
      </c>
      <c r="E1409" s="146">
        <v>1.18E-2</v>
      </c>
      <c r="F1409" s="146">
        <v>1.46E-2</v>
      </c>
      <c r="G1409" s="146">
        <v>1.3900000000000001E-2</v>
      </c>
      <c r="H1409" s="146">
        <v>1.32E-2</v>
      </c>
      <c r="I1409" s="146">
        <v>1.2499999999999999E-2</v>
      </c>
      <c r="J1409" s="146">
        <v>9.7000000000000003E-3</v>
      </c>
      <c r="K1409" s="146">
        <v>1.11E-2</v>
      </c>
      <c r="L1409" s="146">
        <v>6.899999999999999E-3</v>
      </c>
      <c r="M1409" s="146">
        <v>4.0999999999999995E-3</v>
      </c>
      <c r="N1409" s="146">
        <v>4.0999999999999995E-3</v>
      </c>
      <c r="O1409" s="146">
        <v>1.46E-2</v>
      </c>
      <c r="P1409" s="146">
        <v>1.3900000000000001E-2</v>
      </c>
      <c r="Q1409" s="146">
        <v>1.46E-2</v>
      </c>
      <c r="R1409" s="146">
        <v>1.24E-2</v>
      </c>
      <c r="S1409" s="146">
        <v>1.5800000000000002E-2</v>
      </c>
      <c r="T1409" s="146">
        <v>1.5800000000000002E-2</v>
      </c>
      <c r="U1409" s="146">
        <v>1.9400000000000001E-2</v>
      </c>
      <c r="V1409" s="146">
        <v>1.32E-2</v>
      </c>
      <c r="W1409" s="146">
        <v>1.8000000000000002E-2</v>
      </c>
      <c r="X1409" s="146">
        <v>1.2499999999999999E-2</v>
      </c>
      <c r="Y1409" s="146">
        <v>0.02</v>
      </c>
      <c r="Z1409" s="146">
        <v>1.46E-2</v>
      </c>
      <c r="AA1409" s="146">
        <v>1.8600000000000002E-2</v>
      </c>
      <c r="AB1409" s="146">
        <v>1.11E-2</v>
      </c>
      <c r="AC1409" s="146">
        <v>6.899999999999999E-3</v>
      </c>
      <c r="AD1409" s="146">
        <v>0</v>
      </c>
      <c r="AE1409" s="146">
        <v>0</v>
      </c>
      <c r="AF1409" s="146">
        <v>0</v>
      </c>
      <c r="AG1409" s="146">
        <v>0</v>
      </c>
      <c r="AH1409" s="146">
        <v>0</v>
      </c>
      <c r="AI1409" s="146">
        <v>0</v>
      </c>
    </row>
    <row r="1410" spans="3:35" s="610" customFormat="1">
      <c r="C1410" s="611"/>
      <c r="D1410" s="934" t="s">
        <v>4427</v>
      </c>
      <c r="E1410" s="146">
        <v>5.3999999999999994E-3</v>
      </c>
      <c r="F1410" s="146">
        <v>5.3999999999999994E-3</v>
      </c>
      <c r="G1410" s="146">
        <v>7.4999999999999997E-3</v>
      </c>
      <c r="H1410" s="146">
        <v>8.199999999999999E-3</v>
      </c>
      <c r="I1410" s="146">
        <v>1.03E-2</v>
      </c>
      <c r="J1410" s="146">
        <v>1.3099999999999999E-2</v>
      </c>
      <c r="K1410" s="146">
        <v>8.8999999999999982E-3</v>
      </c>
      <c r="L1410" s="146">
        <v>1.0299999999999997E-2</v>
      </c>
      <c r="M1410" s="146">
        <v>7.4999999999999989E-3</v>
      </c>
      <c r="N1410" s="146">
        <v>7.4999999999999989E-3</v>
      </c>
      <c r="O1410" s="146">
        <v>9.0000000000000011E-3</v>
      </c>
      <c r="P1410" s="146">
        <v>1.17E-2</v>
      </c>
      <c r="Q1410" s="146">
        <v>9.5999999999999992E-3</v>
      </c>
      <c r="R1410" s="146">
        <v>7.7999999999999996E-3</v>
      </c>
      <c r="S1410" s="146">
        <v>7.7999999999999996E-3</v>
      </c>
      <c r="T1410" s="146">
        <v>6.6E-3</v>
      </c>
      <c r="U1410" s="146">
        <v>4.7999999999999987E-3</v>
      </c>
      <c r="V1410" s="146">
        <v>1.2400000000000001E-2</v>
      </c>
      <c r="W1410" s="146">
        <v>7.6E-3</v>
      </c>
      <c r="X1410" s="146">
        <v>1.4500000000000001E-2</v>
      </c>
      <c r="Y1410" s="146">
        <v>7.1999999999999998E-3</v>
      </c>
      <c r="Z1410" s="146">
        <v>9.5999999999999992E-3</v>
      </c>
      <c r="AA1410" s="146">
        <v>0.01</v>
      </c>
      <c r="AB1410" s="146">
        <v>1.2500000000000001E-2</v>
      </c>
      <c r="AC1410" s="146">
        <v>1.3899999999999999E-2</v>
      </c>
      <c r="AD1410" s="146">
        <v>0</v>
      </c>
      <c r="AE1410" s="146">
        <v>0</v>
      </c>
      <c r="AF1410" s="146">
        <v>0</v>
      </c>
      <c r="AG1410" s="146">
        <v>0</v>
      </c>
      <c r="AH1410" s="146">
        <v>0</v>
      </c>
      <c r="AI1410" s="146">
        <v>0</v>
      </c>
    </row>
    <row r="1411" spans="3:35" s="610" customFormat="1">
      <c r="C1411" s="611"/>
      <c r="D1411" s="934" t="s">
        <v>8368</v>
      </c>
      <c r="E1411" s="146">
        <v>7.6E-3</v>
      </c>
      <c r="F1411" s="146">
        <v>1.0400000000000001E-2</v>
      </c>
      <c r="G1411" s="146">
        <v>9.7000000000000003E-3</v>
      </c>
      <c r="H1411" s="146">
        <v>1.32E-2</v>
      </c>
      <c r="I1411" s="146">
        <v>1.2499999999999999E-2</v>
      </c>
      <c r="J1411" s="146">
        <v>9.7000000000000003E-3</v>
      </c>
      <c r="K1411" s="146">
        <v>1.11E-2</v>
      </c>
      <c r="L1411" s="146">
        <v>6.899999999999999E-3</v>
      </c>
      <c r="M1411" s="146">
        <v>4.0999999999999995E-3</v>
      </c>
      <c r="N1411" s="146">
        <v>4.0999999999999995E-3</v>
      </c>
      <c r="O1411" s="146">
        <v>1.0400000000000001E-2</v>
      </c>
      <c r="P1411" s="146">
        <v>9.7000000000000003E-3</v>
      </c>
      <c r="Q1411" s="146">
        <v>1.0400000000000001E-2</v>
      </c>
      <c r="R1411" s="146">
        <v>8.199999999999999E-3</v>
      </c>
      <c r="S1411" s="146">
        <v>1.1600000000000001E-2</v>
      </c>
      <c r="T1411" s="146">
        <v>1.1600000000000001E-2</v>
      </c>
      <c r="U1411" s="146">
        <v>1.5200000000000002E-2</v>
      </c>
      <c r="V1411" s="146">
        <v>1.32E-2</v>
      </c>
      <c r="W1411" s="146">
        <v>1.8000000000000002E-2</v>
      </c>
      <c r="X1411" s="146">
        <v>1.2499999999999999E-2</v>
      </c>
      <c r="Y1411" s="146">
        <v>1.5800000000000002E-2</v>
      </c>
      <c r="Z1411" s="146">
        <v>1.0400000000000001E-2</v>
      </c>
      <c r="AA1411" s="146">
        <v>1.8600000000000002E-2</v>
      </c>
      <c r="AB1411" s="146">
        <v>1.11E-2</v>
      </c>
      <c r="AC1411" s="146">
        <v>6.899999999999999E-3</v>
      </c>
      <c r="AD1411" s="146">
        <v>0</v>
      </c>
      <c r="AE1411" s="146">
        <v>0</v>
      </c>
      <c r="AF1411" s="146">
        <v>0</v>
      </c>
      <c r="AG1411" s="146">
        <v>0</v>
      </c>
      <c r="AH1411" s="146">
        <v>0</v>
      </c>
      <c r="AI1411" s="146">
        <v>0</v>
      </c>
    </row>
    <row r="1412" spans="3:35" s="610" customFormat="1">
      <c r="C1412" s="611"/>
      <c r="D1412" s="934" t="s">
        <v>4428</v>
      </c>
      <c r="E1412" s="146">
        <v>9.4000000000000004E-3</v>
      </c>
      <c r="F1412" s="146">
        <v>1.3599999999999999E-2</v>
      </c>
      <c r="G1412" s="146">
        <v>1.4299999999999998E-2</v>
      </c>
      <c r="H1412" s="146">
        <v>1.2199999999999999E-2</v>
      </c>
      <c r="I1412" s="146">
        <v>1.29E-2</v>
      </c>
      <c r="J1412" s="146">
        <v>1.29E-2</v>
      </c>
      <c r="K1412" s="146">
        <v>1.4299999999999998E-2</v>
      </c>
      <c r="L1412" s="146">
        <v>1.2199999999999999E-2</v>
      </c>
      <c r="M1412" s="146">
        <v>8.0000000000000002E-3</v>
      </c>
      <c r="N1412" s="146">
        <v>8.0000000000000002E-3</v>
      </c>
      <c r="O1412" s="146">
        <v>1.66E-2</v>
      </c>
      <c r="P1412" s="146">
        <v>1.67E-2</v>
      </c>
      <c r="Q1412" s="146">
        <v>1.6E-2</v>
      </c>
      <c r="R1412" s="146">
        <v>0.01</v>
      </c>
      <c r="S1412" s="146">
        <v>1.3599999999999999E-2</v>
      </c>
      <c r="T1412" s="146">
        <v>1.3000000000000001E-2</v>
      </c>
      <c r="U1412" s="146">
        <v>1.18E-2</v>
      </c>
      <c r="V1412" s="146">
        <v>1.46E-2</v>
      </c>
      <c r="W1412" s="146">
        <v>1.04E-2</v>
      </c>
      <c r="X1412" s="146">
        <v>1.5300000000000001E-2</v>
      </c>
      <c r="Y1412" s="146">
        <v>1.18E-2</v>
      </c>
      <c r="Z1412" s="146">
        <v>1.6E-2</v>
      </c>
      <c r="AA1412" s="146">
        <v>1.04E-2</v>
      </c>
      <c r="AB1412" s="146">
        <v>1.7299999999999996E-2</v>
      </c>
      <c r="AC1412" s="146">
        <v>1.52E-2</v>
      </c>
      <c r="AD1412" s="146">
        <v>0</v>
      </c>
      <c r="AE1412" s="146">
        <v>0</v>
      </c>
      <c r="AF1412" s="146">
        <v>0</v>
      </c>
      <c r="AG1412" s="146">
        <v>0</v>
      </c>
      <c r="AH1412" s="146">
        <v>0</v>
      </c>
      <c r="AI1412" s="146">
        <v>0</v>
      </c>
    </row>
    <row r="1413" spans="3:35" s="610" customFormat="1">
      <c r="C1413" s="611"/>
      <c r="D1413" s="934" t="s">
        <v>4429</v>
      </c>
      <c r="E1413" s="146">
        <v>8.6999999999999994E-3</v>
      </c>
      <c r="F1413" s="146">
        <v>8.6999999999999994E-3</v>
      </c>
      <c r="G1413" s="146">
        <v>1.01E-2</v>
      </c>
      <c r="H1413" s="146">
        <v>7.3000000000000001E-3</v>
      </c>
      <c r="I1413" s="146">
        <v>8.6999999999999994E-3</v>
      </c>
      <c r="J1413" s="146">
        <v>9.3999999999999986E-3</v>
      </c>
      <c r="K1413" s="146">
        <v>1.01E-2</v>
      </c>
      <c r="L1413" s="146">
        <v>1.4299999999999998E-2</v>
      </c>
      <c r="M1413" s="146">
        <v>1.01E-2</v>
      </c>
      <c r="N1413" s="146">
        <v>1.01E-2</v>
      </c>
      <c r="O1413" s="146">
        <v>1.17E-2</v>
      </c>
      <c r="P1413" s="146">
        <v>1.2500000000000001E-2</v>
      </c>
      <c r="Q1413" s="146">
        <v>1.1100000000000002E-2</v>
      </c>
      <c r="R1413" s="146">
        <v>9.300000000000001E-3</v>
      </c>
      <c r="S1413" s="146">
        <v>8.6999999999999994E-3</v>
      </c>
      <c r="T1413" s="146">
        <v>8.0999999999999996E-3</v>
      </c>
      <c r="U1413" s="146">
        <v>6.9000000000000008E-3</v>
      </c>
      <c r="V1413" s="146">
        <v>9.7000000000000003E-3</v>
      </c>
      <c r="W1413" s="146">
        <v>5.4999999999999997E-3</v>
      </c>
      <c r="X1413" s="146">
        <v>1.11E-2</v>
      </c>
      <c r="Y1413" s="146">
        <v>6.9000000000000008E-3</v>
      </c>
      <c r="Z1413" s="146">
        <v>1.1100000000000002E-2</v>
      </c>
      <c r="AA1413" s="146">
        <v>5.4999999999999997E-3</v>
      </c>
      <c r="AB1413" s="146">
        <v>1.3100000000000001E-2</v>
      </c>
      <c r="AC1413" s="146">
        <v>1.7299999999999996E-2</v>
      </c>
      <c r="AD1413" s="146">
        <v>0</v>
      </c>
      <c r="AE1413" s="146">
        <v>0</v>
      </c>
      <c r="AF1413" s="146">
        <v>0</v>
      </c>
      <c r="AG1413" s="146">
        <v>0</v>
      </c>
      <c r="AH1413" s="146">
        <v>0</v>
      </c>
      <c r="AI1413" s="146">
        <v>0</v>
      </c>
    </row>
    <row r="1414" spans="3:35" s="610" customFormat="1">
      <c r="C1414" s="611"/>
      <c r="D1414" s="934" t="s">
        <v>5661</v>
      </c>
      <c r="E1414" s="146">
        <v>0</v>
      </c>
      <c r="F1414" s="146">
        <v>0</v>
      </c>
      <c r="G1414" s="146">
        <v>0</v>
      </c>
      <c r="H1414" s="146">
        <v>0</v>
      </c>
      <c r="I1414" s="146">
        <v>0</v>
      </c>
      <c r="J1414" s="146">
        <v>0</v>
      </c>
      <c r="K1414" s="146">
        <v>0</v>
      </c>
      <c r="L1414" s="146">
        <v>0</v>
      </c>
      <c r="M1414" s="146">
        <v>0</v>
      </c>
      <c r="N1414" s="146">
        <v>0</v>
      </c>
      <c r="O1414" s="146">
        <v>0</v>
      </c>
      <c r="P1414" s="146">
        <v>0</v>
      </c>
      <c r="Q1414" s="146">
        <v>0</v>
      </c>
      <c r="R1414" s="146">
        <v>0</v>
      </c>
      <c r="S1414" s="146">
        <v>0</v>
      </c>
      <c r="T1414" s="146">
        <v>0</v>
      </c>
      <c r="U1414" s="146">
        <v>0</v>
      </c>
      <c r="V1414" s="146">
        <v>0</v>
      </c>
      <c r="W1414" s="146">
        <v>0</v>
      </c>
      <c r="X1414" s="146">
        <v>0</v>
      </c>
      <c r="Y1414" s="146">
        <v>0</v>
      </c>
      <c r="Z1414" s="146">
        <v>0</v>
      </c>
      <c r="AA1414" s="146">
        <v>0</v>
      </c>
      <c r="AB1414" s="146">
        <v>0</v>
      </c>
      <c r="AC1414" s="146">
        <v>0</v>
      </c>
      <c r="AD1414" s="146">
        <v>0</v>
      </c>
      <c r="AE1414" s="146">
        <v>0</v>
      </c>
      <c r="AF1414" s="146">
        <v>0</v>
      </c>
      <c r="AG1414" s="146">
        <v>0</v>
      </c>
      <c r="AH1414" s="146">
        <v>0</v>
      </c>
      <c r="AI1414" s="146">
        <v>0</v>
      </c>
    </row>
    <row r="1415" spans="3:35" s="610" customFormat="1">
      <c r="C1415" s="611"/>
      <c r="D1415" s="934" t="s">
        <v>5661</v>
      </c>
      <c r="E1415" s="146">
        <v>0</v>
      </c>
      <c r="F1415" s="146">
        <v>0</v>
      </c>
      <c r="G1415" s="146">
        <v>0</v>
      </c>
      <c r="H1415" s="146">
        <v>0</v>
      </c>
      <c r="I1415" s="146">
        <v>0</v>
      </c>
      <c r="J1415" s="146">
        <v>0</v>
      </c>
      <c r="K1415" s="146">
        <v>0</v>
      </c>
      <c r="L1415" s="146">
        <v>0</v>
      </c>
      <c r="M1415" s="146">
        <v>0</v>
      </c>
      <c r="N1415" s="146">
        <v>0</v>
      </c>
      <c r="O1415" s="146">
        <v>0</v>
      </c>
      <c r="P1415" s="146">
        <v>0</v>
      </c>
      <c r="Q1415" s="146">
        <v>0</v>
      </c>
      <c r="R1415" s="146">
        <v>0</v>
      </c>
      <c r="S1415" s="146">
        <v>0</v>
      </c>
      <c r="T1415" s="146">
        <v>0</v>
      </c>
      <c r="U1415" s="146">
        <v>0</v>
      </c>
      <c r="V1415" s="146">
        <v>0</v>
      </c>
      <c r="W1415" s="146">
        <v>0</v>
      </c>
      <c r="X1415" s="146">
        <v>0</v>
      </c>
      <c r="Y1415" s="146">
        <v>0</v>
      </c>
      <c r="Z1415" s="146">
        <v>0</v>
      </c>
      <c r="AA1415" s="146">
        <v>0</v>
      </c>
      <c r="AB1415" s="146">
        <v>0</v>
      </c>
      <c r="AC1415" s="146">
        <v>0</v>
      </c>
      <c r="AD1415" s="146">
        <v>0</v>
      </c>
      <c r="AE1415" s="146">
        <v>0</v>
      </c>
      <c r="AF1415" s="146">
        <v>0</v>
      </c>
      <c r="AG1415" s="146">
        <v>0</v>
      </c>
      <c r="AH1415" s="146">
        <v>0</v>
      </c>
      <c r="AI1415" s="146">
        <v>0</v>
      </c>
    </row>
    <row r="1416" spans="3:35" s="610" customFormat="1">
      <c r="C1416" s="611"/>
      <c r="D1416" s="934" t="s">
        <v>5661</v>
      </c>
      <c r="E1416" s="146">
        <v>0</v>
      </c>
      <c r="F1416" s="146">
        <v>0</v>
      </c>
      <c r="G1416" s="146">
        <v>0</v>
      </c>
      <c r="H1416" s="146">
        <v>0</v>
      </c>
      <c r="I1416" s="146">
        <v>0</v>
      </c>
      <c r="J1416" s="146">
        <v>0</v>
      </c>
      <c r="K1416" s="146">
        <v>0</v>
      </c>
      <c r="L1416" s="146">
        <v>0</v>
      </c>
      <c r="M1416" s="146">
        <v>0</v>
      </c>
      <c r="N1416" s="146">
        <v>0</v>
      </c>
      <c r="O1416" s="146">
        <v>0</v>
      </c>
      <c r="P1416" s="146">
        <v>0</v>
      </c>
      <c r="Q1416" s="146">
        <v>0</v>
      </c>
      <c r="R1416" s="146">
        <v>0</v>
      </c>
      <c r="S1416" s="146">
        <v>0</v>
      </c>
      <c r="T1416" s="146">
        <v>0</v>
      </c>
      <c r="U1416" s="146">
        <v>0</v>
      </c>
      <c r="V1416" s="146">
        <v>0</v>
      </c>
      <c r="W1416" s="146">
        <v>0</v>
      </c>
      <c r="X1416" s="146">
        <v>0</v>
      </c>
      <c r="Y1416" s="146">
        <v>0</v>
      </c>
      <c r="Z1416" s="146">
        <v>0</v>
      </c>
      <c r="AA1416" s="146">
        <v>0</v>
      </c>
      <c r="AB1416" s="146">
        <v>0</v>
      </c>
      <c r="AC1416" s="146">
        <v>0</v>
      </c>
      <c r="AD1416" s="146">
        <v>0</v>
      </c>
      <c r="AE1416" s="146">
        <v>0</v>
      </c>
      <c r="AF1416" s="146">
        <v>0</v>
      </c>
      <c r="AG1416" s="146">
        <v>0</v>
      </c>
      <c r="AH1416" s="146">
        <v>0</v>
      </c>
      <c r="AI1416" s="146">
        <v>0</v>
      </c>
    </row>
    <row r="1417" spans="3:35" s="610" customFormat="1">
      <c r="C1417" s="611"/>
      <c r="D1417" s="934" t="s">
        <v>5661</v>
      </c>
      <c r="E1417" s="146">
        <v>0</v>
      </c>
      <c r="F1417" s="146">
        <v>0</v>
      </c>
      <c r="G1417" s="146">
        <v>0</v>
      </c>
      <c r="H1417" s="146">
        <v>0</v>
      </c>
      <c r="I1417" s="146">
        <v>0</v>
      </c>
      <c r="J1417" s="146">
        <v>0</v>
      </c>
      <c r="K1417" s="146">
        <v>0</v>
      </c>
      <c r="L1417" s="146">
        <v>0</v>
      </c>
      <c r="M1417" s="146">
        <v>0</v>
      </c>
      <c r="N1417" s="146">
        <v>0</v>
      </c>
      <c r="O1417" s="146">
        <v>0</v>
      </c>
      <c r="P1417" s="146">
        <v>0</v>
      </c>
      <c r="Q1417" s="146">
        <v>0</v>
      </c>
      <c r="R1417" s="146">
        <v>0</v>
      </c>
      <c r="S1417" s="146">
        <v>0</v>
      </c>
      <c r="T1417" s="146">
        <v>0</v>
      </c>
      <c r="U1417" s="146">
        <v>0</v>
      </c>
      <c r="V1417" s="146">
        <v>0</v>
      </c>
      <c r="W1417" s="146">
        <v>0</v>
      </c>
      <c r="X1417" s="146">
        <v>0</v>
      </c>
      <c r="Y1417" s="146">
        <v>0</v>
      </c>
      <c r="Z1417" s="146">
        <v>0</v>
      </c>
      <c r="AA1417" s="146">
        <v>0</v>
      </c>
      <c r="AB1417" s="146">
        <v>0</v>
      </c>
      <c r="AC1417" s="146">
        <v>0</v>
      </c>
      <c r="AD1417" s="146">
        <v>0</v>
      </c>
      <c r="AE1417" s="146">
        <v>0</v>
      </c>
      <c r="AF1417" s="146">
        <v>0</v>
      </c>
      <c r="AG1417" s="146">
        <v>0</v>
      </c>
      <c r="AH1417" s="146">
        <v>0</v>
      </c>
      <c r="AI1417" s="146">
        <v>0</v>
      </c>
    </row>
    <row r="1418" spans="3:35" s="610" customFormat="1">
      <c r="C1418" s="611"/>
      <c r="D1418" s="934" t="s">
        <v>5661</v>
      </c>
      <c r="E1418" s="146">
        <v>0</v>
      </c>
      <c r="F1418" s="146">
        <v>0</v>
      </c>
      <c r="G1418" s="146">
        <v>0</v>
      </c>
      <c r="H1418" s="146">
        <v>0</v>
      </c>
      <c r="I1418" s="146">
        <v>0</v>
      </c>
      <c r="J1418" s="146">
        <v>0</v>
      </c>
      <c r="K1418" s="146">
        <v>0</v>
      </c>
      <c r="L1418" s="146">
        <v>0</v>
      </c>
      <c r="M1418" s="146">
        <v>0</v>
      </c>
      <c r="N1418" s="146">
        <v>0</v>
      </c>
      <c r="O1418" s="146">
        <v>0</v>
      </c>
      <c r="P1418" s="146">
        <v>0</v>
      </c>
      <c r="Q1418" s="146">
        <v>0</v>
      </c>
      <c r="R1418" s="146">
        <v>0</v>
      </c>
      <c r="S1418" s="146">
        <v>0</v>
      </c>
      <c r="T1418" s="146">
        <v>0</v>
      </c>
      <c r="U1418" s="146">
        <v>0</v>
      </c>
      <c r="V1418" s="146">
        <v>0</v>
      </c>
      <c r="W1418" s="146">
        <v>0</v>
      </c>
      <c r="X1418" s="146">
        <v>0</v>
      </c>
      <c r="Y1418" s="146">
        <v>0</v>
      </c>
      <c r="Z1418" s="146">
        <v>0</v>
      </c>
      <c r="AA1418" s="146">
        <v>0</v>
      </c>
      <c r="AB1418" s="146">
        <v>0</v>
      </c>
      <c r="AC1418" s="146">
        <v>0</v>
      </c>
      <c r="AD1418" s="146">
        <v>0</v>
      </c>
      <c r="AE1418" s="146">
        <v>0</v>
      </c>
      <c r="AF1418" s="146">
        <v>0</v>
      </c>
      <c r="AG1418" s="146">
        <v>0</v>
      </c>
      <c r="AH1418" s="146">
        <v>0</v>
      </c>
      <c r="AI1418" s="146">
        <v>0</v>
      </c>
    </row>
    <row r="1419" spans="3:35" s="610" customFormat="1">
      <c r="C1419" s="611"/>
      <c r="D1419" s="934" t="s">
        <v>350</v>
      </c>
      <c r="E1419" s="146">
        <v>0</v>
      </c>
      <c r="F1419" s="146">
        <v>0</v>
      </c>
      <c r="G1419" s="146">
        <v>0</v>
      </c>
      <c r="H1419" s="146">
        <v>0</v>
      </c>
      <c r="I1419" s="146">
        <v>0</v>
      </c>
      <c r="J1419" s="146">
        <v>0</v>
      </c>
      <c r="K1419" s="146">
        <v>0</v>
      </c>
      <c r="L1419" s="146">
        <v>0</v>
      </c>
      <c r="M1419" s="146">
        <v>0</v>
      </c>
      <c r="N1419" s="146">
        <v>0</v>
      </c>
      <c r="O1419" s="146">
        <v>0</v>
      </c>
      <c r="P1419" s="146">
        <v>0</v>
      </c>
      <c r="Q1419" s="146">
        <v>0</v>
      </c>
      <c r="R1419" s="146">
        <v>0</v>
      </c>
      <c r="S1419" s="146">
        <v>0</v>
      </c>
      <c r="T1419" s="146">
        <v>0</v>
      </c>
      <c r="U1419" s="146">
        <v>0</v>
      </c>
      <c r="V1419" s="146">
        <v>0</v>
      </c>
      <c r="W1419" s="146">
        <v>0</v>
      </c>
      <c r="X1419" s="146">
        <v>0</v>
      </c>
      <c r="Y1419" s="146">
        <v>0</v>
      </c>
      <c r="Z1419" s="146">
        <v>0</v>
      </c>
      <c r="AA1419" s="146">
        <v>0</v>
      </c>
      <c r="AB1419" s="146">
        <v>0</v>
      </c>
      <c r="AC1419" s="146">
        <v>0</v>
      </c>
      <c r="AD1419" s="146">
        <v>0</v>
      </c>
      <c r="AE1419" s="146">
        <v>0</v>
      </c>
      <c r="AF1419" s="146">
        <v>0</v>
      </c>
      <c r="AG1419" s="146">
        <v>0</v>
      </c>
      <c r="AH1419" s="146">
        <v>0</v>
      </c>
      <c r="AI1419" s="146">
        <v>0</v>
      </c>
    </row>
    <row r="1420" spans="3:35" s="610" customFormat="1">
      <c r="C1420" s="611"/>
      <c r="D1420" s="610" t="s">
        <v>10587</v>
      </c>
    </row>
    <row r="1421" spans="3:35" s="610" customFormat="1">
      <c r="C1421" s="611"/>
    </row>
    <row r="1423" spans="3:35" ht="15">
      <c r="C1423" s="936" t="s">
        <v>10588</v>
      </c>
      <c r="D1423" s="610"/>
      <c r="E1423" s="804" t="s">
        <v>352</v>
      </c>
      <c r="F1423" s="804" t="s">
        <v>351</v>
      </c>
      <c r="G1423" s="804" t="s">
        <v>353</v>
      </c>
      <c r="H1423" s="804" t="s">
        <v>584</v>
      </c>
      <c r="I1423" s="804" t="s">
        <v>2107</v>
      </c>
      <c r="J1423" s="804" t="s">
        <v>2108</v>
      </c>
      <c r="K1423" s="804" t="s">
        <v>354</v>
      </c>
      <c r="L1423" s="804" t="s">
        <v>355</v>
      </c>
      <c r="M1423" s="804" t="s">
        <v>3765</v>
      </c>
      <c r="N1423" s="804" t="s">
        <v>3766</v>
      </c>
      <c r="O1423" s="804" t="s">
        <v>4417</v>
      </c>
      <c r="P1423" s="804" t="s">
        <v>4418</v>
      </c>
      <c r="Q1423" s="804" t="s">
        <v>4419</v>
      </c>
      <c r="R1423" s="804" t="s">
        <v>4420</v>
      </c>
      <c r="S1423" s="804" t="s">
        <v>4421</v>
      </c>
      <c r="T1423" s="804" t="s">
        <v>4422</v>
      </c>
      <c r="U1423" s="804" t="s">
        <v>4423</v>
      </c>
      <c r="V1423" s="804" t="s">
        <v>4424</v>
      </c>
      <c r="W1423" s="804" t="s">
        <v>4425</v>
      </c>
      <c r="X1423" s="804" t="s">
        <v>4426</v>
      </c>
      <c r="Y1423" s="804" t="s">
        <v>8369</v>
      </c>
      <c r="Z1423" s="804" t="s">
        <v>4427</v>
      </c>
      <c r="AA1423" s="804" t="s">
        <v>8368</v>
      </c>
      <c r="AB1423" s="804" t="s">
        <v>4428</v>
      </c>
      <c r="AC1423" s="804" t="s">
        <v>4429</v>
      </c>
      <c r="AD1423" s="804" t="s">
        <v>5661</v>
      </c>
      <c r="AE1423" s="804" t="s">
        <v>5661</v>
      </c>
      <c r="AF1423" s="804" t="s">
        <v>5661</v>
      </c>
      <c r="AG1423" s="804" t="s">
        <v>5661</v>
      </c>
      <c r="AH1423" s="804" t="s">
        <v>5661</v>
      </c>
      <c r="AI1423" s="804" t="s">
        <v>350</v>
      </c>
    </row>
    <row r="1424" spans="3:35">
      <c r="D1424" s="934" t="s">
        <v>352</v>
      </c>
      <c r="E1424" s="935">
        <v>10</v>
      </c>
      <c r="F1424" s="935">
        <v>10</v>
      </c>
      <c r="G1424" s="935">
        <v>10</v>
      </c>
      <c r="H1424" s="935">
        <v>8</v>
      </c>
      <c r="I1424" s="937">
        <v>8</v>
      </c>
      <c r="J1424" s="937">
        <v>8</v>
      </c>
      <c r="K1424" s="937">
        <v>6</v>
      </c>
      <c r="L1424" s="937">
        <v>6</v>
      </c>
      <c r="M1424" s="937">
        <v>2</v>
      </c>
      <c r="N1424" s="937">
        <v>2</v>
      </c>
      <c r="O1424" s="937">
        <v>10</v>
      </c>
      <c r="P1424" s="937">
        <v>10</v>
      </c>
      <c r="Q1424" s="937">
        <v>10</v>
      </c>
      <c r="R1424" s="937">
        <v>10</v>
      </c>
      <c r="S1424" s="937">
        <v>10</v>
      </c>
      <c r="T1424" s="937">
        <v>10</v>
      </c>
      <c r="U1424" s="937">
        <v>10</v>
      </c>
      <c r="V1424" s="937">
        <v>8</v>
      </c>
      <c r="W1424" s="937">
        <v>8</v>
      </c>
      <c r="X1424" s="937">
        <v>8</v>
      </c>
      <c r="Y1424" s="937">
        <v>10</v>
      </c>
      <c r="Z1424" s="937">
        <v>10</v>
      </c>
      <c r="AA1424" s="937">
        <v>8</v>
      </c>
      <c r="AB1424" s="937">
        <v>6</v>
      </c>
      <c r="AC1424" s="937">
        <v>6</v>
      </c>
      <c r="AD1424" s="627">
        <v>0</v>
      </c>
      <c r="AE1424" s="627">
        <v>0</v>
      </c>
      <c r="AF1424" s="627">
        <v>0</v>
      </c>
      <c r="AG1424" s="627">
        <v>0</v>
      </c>
      <c r="AH1424" s="627">
        <v>0</v>
      </c>
      <c r="AI1424" s="627">
        <v>0</v>
      </c>
    </row>
    <row r="1425" spans="4:35">
      <c r="D1425" s="934" t="s">
        <v>351</v>
      </c>
      <c r="E1425" s="935">
        <v>10</v>
      </c>
      <c r="F1425" s="935">
        <v>10</v>
      </c>
      <c r="G1425" s="935">
        <v>10</v>
      </c>
      <c r="H1425" s="935">
        <v>8</v>
      </c>
      <c r="I1425" s="937">
        <v>8</v>
      </c>
      <c r="J1425" s="937">
        <v>8</v>
      </c>
      <c r="K1425" s="937">
        <v>6</v>
      </c>
      <c r="L1425" s="937">
        <v>6</v>
      </c>
      <c r="M1425" s="937">
        <v>2</v>
      </c>
      <c r="N1425" s="937">
        <v>2</v>
      </c>
      <c r="O1425" s="937">
        <v>10</v>
      </c>
      <c r="P1425" s="937">
        <v>10</v>
      </c>
      <c r="Q1425" s="937">
        <v>10</v>
      </c>
      <c r="R1425" s="937">
        <v>10</v>
      </c>
      <c r="S1425" s="937">
        <v>10</v>
      </c>
      <c r="T1425" s="937">
        <v>10</v>
      </c>
      <c r="U1425" s="937">
        <v>10</v>
      </c>
      <c r="V1425" s="937">
        <v>8</v>
      </c>
      <c r="W1425" s="937">
        <v>8</v>
      </c>
      <c r="X1425" s="937">
        <v>8</v>
      </c>
      <c r="Y1425" s="937">
        <v>10</v>
      </c>
      <c r="Z1425" s="937">
        <v>10</v>
      </c>
      <c r="AA1425" s="937">
        <v>8</v>
      </c>
      <c r="AB1425" s="937">
        <v>6</v>
      </c>
      <c r="AC1425" s="937">
        <v>6</v>
      </c>
      <c r="AD1425" s="627">
        <v>0</v>
      </c>
      <c r="AE1425" s="627">
        <v>0</v>
      </c>
      <c r="AF1425" s="627">
        <v>0</v>
      </c>
      <c r="AG1425" s="627">
        <v>0</v>
      </c>
      <c r="AH1425" s="627">
        <v>0</v>
      </c>
      <c r="AI1425" s="627">
        <v>0</v>
      </c>
    </row>
    <row r="1426" spans="4:35">
      <c r="D1426" s="934" t="s">
        <v>353</v>
      </c>
      <c r="E1426" s="935">
        <v>10</v>
      </c>
      <c r="F1426" s="935">
        <v>10</v>
      </c>
      <c r="G1426" s="935">
        <v>10</v>
      </c>
      <c r="H1426" s="935">
        <v>8</v>
      </c>
      <c r="I1426" s="937">
        <v>8</v>
      </c>
      <c r="J1426" s="937">
        <v>8</v>
      </c>
      <c r="K1426" s="937">
        <v>6</v>
      </c>
      <c r="L1426" s="937">
        <v>6</v>
      </c>
      <c r="M1426" s="937">
        <v>2</v>
      </c>
      <c r="N1426" s="937">
        <v>2</v>
      </c>
      <c r="O1426" s="937">
        <v>10</v>
      </c>
      <c r="P1426" s="937">
        <v>10</v>
      </c>
      <c r="Q1426" s="937">
        <v>10</v>
      </c>
      <c r="R1426" s="937">
        <v>10</v>
      </c>
      <c r="S1426" s="937">
        <v>10</v>
      </c>
      <c r="T1426" s="937">
        <v>10</v>
      </c>
      <c r="U1426" s="937">
        <v>10</v>
      </c>
      <c r="V1426" s="937">
        <v>8</v>
      </c>
      <c r="W1426" s="937">
        <v>8</v>
      </c>
      <c r="X1426" s="937">
        <v>8</v>
      </c>
      <c r="Y1426" s="937">
        <v>10</v>
      </c>
      <c r="Z1426" s="937">
        <v>10</v>
      </c>
      <c r="AA1426" s="937">
        <v>8</v>
      </c>
      <c r="AB1426" s="937">
        <v>6</v>
      </c>
      <c r="AC1426" s="937">
        <v>6</v>
      </c>
      <c r="AD1426" s="627">
        <v>0</v>
      </c>
      <c r="AE1426" s="627">
        <v>0</v>
      </c>
      <c r="AF1426" s="627">
        <v>0</v>
      </c>
      <c r="AG1426" s="627">
        <v>0</v>
      </c>
      <c r="AH1426" s="627">
        <v>0</v>
      </c>
      <c r="AI1426" s="627">
        <v>0</v>
      </c>
    </row>
    <row r="1427" spans="4:35">
      <c r="D1427" s="934" t="s">
        <v>584</v>
      </c>
      <c r="E1427" s="935">
        <v>4</v>
      </c>
      <c r="F1427" s="935">
        <v>4</v>
      </c>
      <c r="G1427" s="935">
        <v>4</v>
      </c>
      <c r="H1427" s="935">
        <v>8</v>
      </c>
      <c r="I1427" s="937">
        <v>8</v>
      </c>
      <c r="J1427" s="937">
        <v>8</v>
      </c>
      <c r="K1427" s="937">
        <v>6</v>
      </c>
      <c r="L1427" s="937">
        <v>6</v>
      </c>
      <c r="M1427" s="937">
        <v>2</v>
      </c>
      <c r="N1427" s="937">
        <v>2</v>
      </c>
      <c r="O1427" s="937">
        <v>4</v>
      </c>
      <c r="P1427" s="937">
        <v>4</v>
      </c>
      <c r="Q1427" s="937">
        <v>4</v>
      </c>
      <c r="R1427" s="937">
        <v>4</v>
      </c>
      <c r="S1427" s="937">
        <v>4</v>
      </c>
      <c r="T1427" s="937">
        <v>4</v>
      </c>
      <c r="U1427" s="937">
        <v>4</v>
      </c>
      <c r="V1427" s="937">
        <v>8</v>
      </c>
      <c r="W1427" s="937">
        <v>8</v>
      </c>
      <c r="X1427" s="937">
        <v>8</v>
      </c>
      <c r="Y1427" s="937">
        <v>4</v>
      </c>
      <c r="Z1427" s="937">
        <v>4</v>
      </c>
      <c r="AA1427" s="937">
        <v>8</v>
      </c>
      <c r="AB1427" s="937">
        <v>6</v>
      </c>
      <c r="AC1427" s="937">
        <v>6</v>
      </c>
      <c r="AD1427" s="627">
        <v>0</v>
      </c>
      <c r="AE1427" s="627">
        <v>0</v>
      </c>
      <c r="AF1427" s="627">
        <v>0</v>
      </c>
      <c r="AG1427" s="627">
        <v>0</v>
      </c>
      <c r="AH1427" s="627">
        <v>0</v>
      </c>
      <c r="AI1427" s="627">
        <v>0</v>
      </c>
    </row>
    <row r="1428" spans="4:35">
      <c r="D1428" s="934" t="s">
        <v>2107</v>
      </c>
      <c r="E1428" s="937">
        <v>4</v>
      </c>
      <c r="F1428" s="937">
        <v>4</v>
      </c>
      <c r="G1428" s="937">
        <v>4</v>
      </c>
      <c r="H1428" s="937">
        <v>8</v>
      </c>
      <c r="I1428" s="937">
        <v>8</v>
      </c>
      <c r="J1428" s="937">
        <v>8</v>
      </c>
      <c r="K1428" s="937">
        <v>6</v>
      </c>
      <c r="L1428" s="937">
        <v>6</v>
      </c>
      <c r="M1428" s="937">
        <v>2</v>
      </c>
      <c r="N1428" s="937">
        <v>2</v>
      </c>
      <c r="O1428" s="937">
        <v>4</v>
      </c>
      <c r="P1428" s="937">
        <v>4</v>
      </c>
      <c r="Q1428" s="937">
        <v>4</v>
      </c>
      <c r="R1428" s="937">
        <v>4</v>
      </c>
      <c r="S1428" s="937">
        <v>4</v>
      </c>
      <c r="T1428" s="937">
        <v>4</v>
      </c>
      <c r="U1428" s="937">
        <v>4</v>
      </c>
      <c r="V1428" s="937">
        <v>8</v>
      </c>
      <c r="W1428" s="937">
        <v>8</v>
      </c>
      <c r="X1428" s="937">
        <v>8</v>
      </c>
      <c r="Y1428" s="937">
        <v>4</v>
      </c>
      <c r="Z1428" s="937">
        <v>4</v>
      </c>
      <c r="AA1428" s="937">
        <v>8</v>
      </c>
      <c r="AB1428" s="937">
        <v>6</v>
      </c>
      <c r="AC1428" s="937">
        <v>6</v>
      </c>
      <c r="AD1428" s="627">
        <v>0</v>
      </c>
      <c r="AE1428" s="627">
        <v>0</v>
      </c>
      <c r="AF1428" s="627">
        <v>0</v>
      </c>
      <c r="AG1428" s="627">
        <v>0</v>
      </c>
      <c r="AH1428" s="627">
        <v>0</v>
      </c>
      <c r="AI1428" s="627">
        <v>0</v>
      </c>
    </row>
    <row r="1429" spans="4:35">
      <c r="D1429" s="934" t="s">
        <v>2108</v>
      </c>
      <c r="E1429" s="937">
        <v>4</v>
      </c>
      <c r="F1429" s="937">
        <v>4</v>
      </c>
      <c r="G1429" s="937">
        <v>4</v>
      </c>
      <c r="H1429" s="937">
        <v>8</v>
      </c>
      <c r="I1429" s="937">
        <v>8</v>
      </c>
      <c r="J1429" s="937">
        <v>8</v>
      </c>
      <c r="K1429" s="937">
        <v>6</v>
      </c>
      <c r="L1429" s="937">
        <v>6</v>
      </c>
      <c r="M1429" s="937">
        <v>2</v>
      </c>
      <c r="N1429" s="937">
        <v>2</v>
      </c>
      <c r="O1429" s="937">
        <v>4</v>
      </c>
      <c r="P1429" s="937">
        <v>4</v>
      </c>
      <c r="Q1429" s="937">
        <v>4</v>
      </c>
      <c r="R1429" s="937">
        <v>4</v>
      </c>
      <c r="S1429" s="937">
        <v>4</v>
      </c>
      <c r="T1429" s="937">
        <v>4</v>
      </c>
      <c r="U1429" s="937">
        <v>4</v>
      </c>
      <c r="V1429" s="937">
        <v>8</v>
      </c>
      <c r="W1429" s="937">
        <v>8</v>
      </c>
      <c r="X1429" s="937">
        <v>8</v>
      </c>
      <c r="Y1429" s="937">
        <v>4</v>
      </c>
      <c r="Z1429" s="937">
        <v>4</v>
      </c>
      <c r="AA1429" s="937">
        <v>8</v>
      </c>
      <c r="AB1429" s="937">
        <v>6</v>
      </c>
      <c r="AC1429" s="937">
        <v>6</v>
      </c>
      <c r="AD1429" s="627">
        <v>0</v>
      </c>
      <c r="AE1429" s="627">
        <v>0</v>
      </c>
      <c r="AF1429" s="627">
        <v>0</v>
      </c>
      <c r="AG1429" s="627">
        <v>0</v>
      </c>
      <c r="AH1429" s="627">
        <v>0</v>
      </c>
      <c r="AI1429" s="627">
        <v>0</v>
      </c>
    </row>
    <row r="1430" spans="4:35">
      <c r="D1430" s="934" t="s">
        <v>354</v>
      </c>
      <c r="E1430" s="937">
        <v>8</v>
      </c>
      <c r="F1430" s="937">
        <v>8</v>
      </c>
      <c r="G1430" s="937">
        <v>8</v>
      </c>
      <c r="H1430" s="937">
        <v>6</v>
      </c>
      <c r="I1430" s="937">
        <v>6</v>
      </c>
      <c r="J1430" s="937">
        <v>6</v>
      </c>
      <c r="K1430" s="937">
        <v>8</v>
      </c>
      <c r="L1430" s="937">
        <v>8</v>
      </c>
      <c r="M1430" s="937">
        <v>2</v>
      </c>
      <c r="N1430" s="937">
        <v>2</v>
      </c>
      <c r="O1430" s="937">
        <v>8</v>
      </c>
      <c r="P1430" s="937">
        <v>8</v>
      </c>
      <c r="Q1430" s="937">
        <v>8</v>
      </c>
      <c r="R1430" s="937">
        <v>8</v>
      </c>
      <c r="S1430" s="937">
        <v>8</v>
      </c>
      <c r="T1430" s="937">
        <v>8</v>
      </c>
      <c r="U1430" s="937">
        <v>8</v>
      </c>
      <c r="V1430" s="937">
        <v>6</v>
      </c>
      <c r="W1430" s="937">
        <v>6</v>
      </c>
      <c r="X1430" s="937">
        <v>6</v>
      </c>
      <c r="Y1430" s="937">
        <v>8</v>
      </c>
      <c r="Z1430" s="937">
        <v>8</v>
      </c>
      <c r="AA1430" s="937">
        <v>6</v>
      </c>
      <c r="AB1430" s="937">
        <v>8</v>
      </c>
      <c r="AC1430" s="937">
        <v>8</v>
      </c>
      <c r="AD1430" s="627">
        <v>0</v>
      </c>
      <c r="AE1430" s="627">
        <v>0</v>
      </c>
      <c r="AF1430" s="627">
        <v>0</v>
      </c>
      <c r="AG1430" s="627">
        <v>0</v>
      </c>
      <c r="AH1430" s="627">
        <v>0</v>
      </c>
      <c r="AI1430" s="627">
        <v>0</v>
      </c>
    </row>
    <row r="1431" spans="4:35">
      <c r="D1431" s="934" t="s">
        <v>355</v>
      </c>
      <c r="E1431" s="937">
        <v>8</v>
      </c>
      <c r="F1431" s="937">
        <v>8</v>
      </c>
      <c r="G1431" s="937">
        <v>8</v>
      </c>
      <c r="H1431" s="937">
        <v>6</v>
      </c>
      <c r="I1431" s="937">
        <v>6</v>
      </c>
      <c r="J1431" s="937">
        <v>6</v>
      </c>
      <c r="K1431" s="937">
        <v>8</v>
      </c>
      <c r="L1431" s="937">
        <v>8</v>
      </c>
      <c r="M1431" s="937">
        <v>2</v>
      </c>
      <c r="N1431" s="937">
        <v>2</v>
      </c>
      <c r="O1431" s="937">
        <v>8</v>
      </c>
      <c r="P1431" s="937">
        <v>8</v>
      </c>
      <c r="Q1431" s="937">
        <v>8</v>
      </c>
      <c r="R1431" s="937">
        <v>8</v>
      </c>
      <c r="S1431" s="937">
        <v>8</v>
      </c>
      <c r="T1431" s="937">
        <v>8</v>
      </c>
      <c r="U1431" s="937">
        <v>8</v>
      </c>
      <c r="V1431" s="937">
        <v>6</v>
      </c>
      <c r="W1431" s="937">
        <v>6</v>
      </c>
      <c r="X1431" s="937">
        <v>6</v>
      </c>
      <c r="Y1431" s="937">
        <v>8</v>
      </c>
      <c r="Z1431" s="937">
        <v>8</v>
      </c>
      <c r="AA1431" s="937">
        <v>6</v>
      </c>
      <c r="AB1431" s="937">
        <v>8</v>
      </c>
      <c r="AC1431" s="937">
        <v>8</v>
      </c>
      <c r="AD1431" s="627">
        <v>0</v>
      </c>
      <c r="AE1431" s="627">
        <v>0</v>
      </c>
      <c r="AF1431" s="627">
        <v>0</v>
      </c>
      <c r="AG1431" s="627">
        <v>0</v>
      </c>
      <c r="AH1431" s="627">
        <v>0</v>
      </c>
      <c r="AI1431" s="627">
        <v>0</v>
      </c>
    </row>
    <row r="1432" spans="4:35">
      <c r="D1432" s="934" t="s">
        <v>3765</v>
      </c>
      <c r="E1432" s="937">
        <v>2</v>
      </c>
      <c r="F1432" s="937">
        <v>2</v>
      </c>
      <c r="G1432" s="937">
        <v>2</v>
      </c>
      <c r="H1432" s="937">
        <v>2</v>
      </c>
      <c r="I1432" s="937">
        <v>2</v>
      </c>
      <c r="J1432" s="937">
        <v>2</v>
      </c>
      <c r="K1432" s="937">
        <v>2</v>
      </c>
      <c r="L1432" s="937">
        <v>2</v>
      </c>
      <c r="M1432" s="937">
        <v>8</v>
      </c>
      <c r="N1432" s="937">
        <v>2</v>
      </c>
      <c r="O1432" s="937">
        <v>2</v>
      </c>
      <c r="P1432" s="937">
        <v>2</v>
      </c>
      <c r="Q1432" s="937">
        <v>2</v>
      </c>
      <c r="R1432" s="937">
        <v>2</v>
      </c>
      <c r="S1432" s="937">
        <v>2</v>
      </c>
      <c r="T1432" s="937">
        <v>2</v>
      </c>
      <c r="U1432" s="937">
        <v>2</v>
      </c>
      <c r="V1432" s="937">
        <v>2</v>
      </c>
      <c r="W1432" s="937">
        <v>2</v>
      </c>
      <c r="X1432" s="937">
        <v>2</v>
      </c>
      <c r="Y1432" s="937">
        <v>2</v>
      </c>
      <c r="Z1432" s="937">
        <v>2</v>
      </c>
      <c r="AA1432" s="937">
        <v>2</v>
      </c>
      <c r="AB1432" s="937">
        <v>2</v>
      </c>
      <c r="AC1432" s="937">
        <v>2</v>
      </c>
      <c r="AD1432" s="627">
        <v>0</v>
      </c>
      <c r="AE1432" s="627">
        <v>0</v>
      </c>
      <c r="AF1432" s="627">
        <v>0</v>
      </c>
      <c r="AG1432" s="627">
        <v>0</v>
      </c>
      <c r="AH1432" s="627">
        <v>0</v>
      </c>
      <c r="AI1432" s="627">
        <v>0</v>
      </c>
    </row>
    <row r="1433" spans="4:35">
      <c r="D1433" s="934" t="s">
        <v>3766</v>
      </c>
      <c r="E1433" s="937">
        <v>2</v>
      </c>
      <c r="F1433" s="937">
        <v>2</v>
      </c>
      <c r="G1433" s="937">
        <v>2</v>
      </c>
      <c r="H1433" s="937">
        <v>2</v>
      </c>
      <c r="I1433" s="937">
        <v>2</v>
      </c>
      <c r="J1433" s="937">
        <v>2</v>
      </c>
      <c r="K1433" s="937">
        <v>2</v>
      </c>
      <c r="L1433" s="937">
        <v>2</v>
      </c>
      <c r="M1433" s="937">
        <v>8</v>
      </c>
      <c r="N1433" s="937">
        <v>2</v>
      </c>
      <c r="O1433" s="937">
        <v>2</v>
      </c>
      <c r="P1433" s="937">
        <v>2</v>
      </c>
      <c r="Q1433" s="937">
        <v>2</v>
      </c>
      <c r="R1433" s="937">
        <v>2</v>
      </c>
      <c r="S1433" s="937">
        <v>2</v>
      </c>
      <c r="T1433" s="937">
        <v>2</v>
      </c>
      <c r="U1433" s="937">
        <v>2</v>
      </c>
      <c r="V1433" s="937">
        <v>2</v>
      </c>
      <c r="W1433" s="937">
        <v>2</v>
      </c>
      <c r="X1433" s="937">
        <v>2</v>
      </c>
      <c r="Y1433" s="937">
        <v>2</v>
      </c>
      <c r="Z1433" s="937">
        <v>2</v>
      </c>
      <c r="AA1433" s="937">
        <v>2</v>
      </c>
      <c r="AB1433" s="937">
        <v>2</v>
      </c>
      <c r="AC1433" s="937">
        <v>2</v>
      </c>
      <c r="AD1433" s="627">
        <v>0</v>
      </c>
      <c r="AE1433" s="627">
        <v>0</v>
      </c>
      <c r="AF1433" s="627">
        <v>0</v>
      </c>
      <c r="AG1433" s="627">
        <v>0</v>
      </c>
      <c r="AH1433" s="627">
        <v>0</v>
      </c>
      <c r="AI1433" s="627">
        <v>0</v>
      </c>
    </row>
    <row r="1434" spans="4:35">
      <c r="D1434" s="934" t="s">
        <v>4417</v>
      </c>
      <c r="E1434" s="937">
        <v>10</v>
      </c>
      <c r="F1434" s="937">
        <v>10</v>
      </c>
      <c r="G1434" s="937">
        <v>10</v>
      </c>
      <c r="H1434" s="937">
        <v>8</v>
      </c>
      <c r="I1434" s="937">
        <v>8</v>
      </c>
      <c r="J1434" s="937">
        <v>8</v>
      </c>
      <c r="K1434" s="937">
        <v>6</v>
      </c>
      <c r="L1434" s="937">
        <v>6</v>
      </c>
      <c r="M1434" s="937">
        <v>2</v>
      </c>
      <c r="N1434" s="937">
        <v>2</v>
      </c>
      <c r="O1434" s="937">
        <v>10</v>
      </c>
      <c r="P1434" s="937">
        <v>10</v>
      </c>
      <c r="Q1434" s="937">
        <v>10</v>
      </c>
      <c r="R1434" s="937">
        <v>10</v>
      </c>
      <c r="S1434" s="937">
        <v>10</v>
      </c>
      <c r="T1434" s="937">
        <v>10</v>
      </c>
      <c r="U1434" s="937">
        <v>10</v>
      </c>
      <c r="V1434" s="937">
        <v>8</v>
      </c>
      <c r="W1434" s="937">
        <v>8</v>
      </c>
      <c r="X1434" s="937">
        <v>8</v>
      </c>
      <c r="Y1434" s="937">
        <v>10</v>
      </c>
      <c r="Z1434" s="937">
        <v>10</v>
      </c>
      <c r="AA1434" s="937">
        <v>8</v>
      </c>
      <c r="AB1434" s="937">
        <v>6</v>
      </c>
      <c r="AC1434" s="937">
        <v>6</v>
      </c>
      <c r="AD1434" s="627">
        <v>0</v>
      </c>
      <c r="AE1434" s="627">
        <v>0</v>
      </c>
      <c r="AF1434" s="627">
        <v>0</v>
      </c>
      <c r="AG1434" s="627">
        <v>0</v>
      </c>
      <c r="AH1434" s="627">
        <v>0</v>
      </c>
      <c r="AI1434" s="627">
        <v>0</v>
      </c>
    </row>
    <row r="1435" spans="4:35">
      <c r="D1435" s="934" t="s">
        <v>4418</v>
      </c>
      <c r="E1435" s="937">
        <v>10</v>
      </c>
      <c r="F1435" s="937">
        <v>10</v>
      </c>
      <c r="G1435" s="937">
        <v>10</v>
      </c>
      <c r="H1435" s="937">
        <v>8</v>
      </c>
      <c r="I1435" s="937">
        <v>8</v>
      </c>
      <c r="J1435" s="937">
        <v>8</v>
      </c>
      <c r="K1435" s="937">
        <v>6</v>
      </c>
      <c r="L1435" s="937">
        <v>6</v>
      </c>
      <c r="M1435" s="937">
        <v>2</v>
      </c>
      <c r="N1435" s="937">
        <v>2</v>
      </c>
      <c r="O1435" s="937">
        <v>10</v>
      </c>
      <c r="P1435" s="937">
        <v>10</v>
      </c>
      <c r="Q1435" s="937">
        <v>10</v>
      </c>
      <c r="R1435" s="937">
        <v>10</v>
      </c>
      <c r="S1435" s="937">
        <v>10</v>
      </c>
      <c r="T1435" s="937">
        <v>10</v>
      </c>
      <c r="U1435" s="937">
        <v>10</v>
      </c>
      <c r="V1435" s="937">
        <v>8</v>
      </c>
      <c r="W1435" s="937">
        <v>8</v>
      </c>
      <c r="X1435" s="937">
        <v>8</v>
      </c>
      <c r="Y1435" s="937">
        <v>10</v>
      </c>
      <c r="Z1435" s="937">
        <v>10</v>
      </c>
      <c r="AA1435" s="937">
        <v>8</v>
      </c>
      <c r="AB1435" s="937">
        <v>6</v>
      </c>
      <c r="AC1435" s="937">
        <v>6</v>
      </c>
      <c r="AD1435" s="627">
        <v>0</v>
      </c>
      <c r="AE1435" s="627">
        <v>0</v>
      </c>
      <c r="AF1435" s="627">
        <v>0</v>
      </c>
      <c r="AG1435" s="627">
        <v>0</v>
      </c>
      <c r="AH1435" s="627">
        <v>0</v>
      </c>
      <c r="AI1435" s="627">
        <v>0</v>
      </c>
    </row>
    <row r="1436" spans="4:35">
      <c r="D1436" s="934" t="s">
        <v>4419</v>
      </c>
      <c r="E1436" s="937">
        <v>10</v>
      </c>
      <c r="F1436" s="937">
        <v>10</v>
      </c>
      <c r="G1436" s="937">
        <v>10</v>
      </c>
      <c r="H1436" s="937">
        <v>8</v>
      </c>
      <c r="I1436" s="937">
        <v>8</v>
      </c>
      <c r="J1436" s="937">
        <v>8</v>
      </c>
      <c r="K1436" s="937">
        <v>6</v>
      </c>
      <c r="L1436" s="937">
        <v>6</v>
      </c>
      <c r="M1436" s="937">
        <v>2</v>
      </c>
      <c r="N1436" s="937">
        <v>2</v>
      </c>
      <c r="O1436" s="937">
        <v>10</v>
      </c>
      <c r="P1436" s="937">
        <v>10</v>
      </c>
      <c r="Q1436" s="937">
        <v>10</v>
      </c>
      <c r="R1436" s="937">
        <v>10</v>
      </c>
      <c r="S1436" s="937">
        <v>10</v>
      </c>
      <c r="T1436" s="937">
        <v>10</v>
      </c>
      <c r="U1436" s="937">
        <v>10</v>
      </c>
      <c r="V1436" s="937">
        <v>8</v>
      </c>
      <c r="W1436" s="937">
        <v>8</v>
      </c>
      <c r="X1436" s="937">
        <v>8</v>
      </c>
      <c r="Y1436" s="937">
        <v>10</v>
      </c>
      <c r="Z1436" s="937">
        <v>10</v>
      </c>
      <c r="AA1436" s="937">
        <v>8</v>
      </c>
      <c r="AB1436" s="937">
        <v>6</v>
      </c>
      <c r="AC1436" s="937">
        <v>6</v>
      </c>
      <c r="AD1436" s="627">
        <v>0</v>
      </c>
      <c r="AE1436" s="627">
        <v>0</v>
      </c>
      <c r="AF1436" s="627">
        <v>0</v>
      </c>
      <c r="AG1436" s="627">
        <v>0</v>
      </c>
      <c r="AH1436" s="627">
        <v>0</v>
      </c>
      <c r="AI1436" s="627">
        <v>0</v>
      </c>
    </row>
    <row r="1437" spans="4:35">
      <c r="D1437" s="934" t="s">
        <v>4420</v>
      </c>
      <c r="E1437" s="937">
        <v>10</v>
      </c>
      <c r="F1437" s="937">
        <v>10</v>
      </c>
      <c r="G1437" s="937">
        <v>10</v>
      </c>
      <c r="H1437" s="937">
        <v>8</v>
      </c>
      <c r="I1437" s="937">
        <v>8</v>
      </c>
      <c r="J1437" s="937">
        <v>8</v>
      </c>
      <c r="K1437" s="937">
        <v>6</v>
      </c>
      <c r="L1437" s="937">
        <v>6</v>
      </c>
      <c r="M1437" s="937">
        <v>2</v>
      </c>
      <c r="N1437" s="937">
        <v>2</v>
      </c>
      <c r="O1437" s="937">
        <v>10</v>
      </c>
      <c r="P1437" s="937">
        <v>10</v>
      </c>
      <c r="Q1437" s="937">
        <v>10</v>
      </c>
      <c r="R1437" s="937">
        <v>10</v>
      </c>
      <c r="S1437" s="937">
        <v>10</v>
      </c>
      <c r="T1437" s="937">
        <v>10</v>
      </c>
      <c r="U1437" s="937">
        <v>10</v>
      </c>
      <c r="V1437" s="937">
        <v>8</v>
      </c>
      <c r="W1437" s="937">
        <v>8</v>
      </c>
      <c r="X1437" s="937">
        <v>8</v>
      </c>
      <c r="Y1437" s="937">
        <v>10</v>
      </c>
      <c r="Z1437" s="937">
        <v>10</v>
      </c>
      <c r="AA1437" s="937">
        <v>8</v>
      </c>
      <c r="AB1437" s="937">
        <v>6</v>
      </c>
      <c r="AC1437" s="937">
        <v>6</v>
      </c>
      <c r="AD1437" s="627">
        <v>0</v>
      </c>
      <c r="AE1437" s="627">
        <v>0</v>
      </c>
      <c r="AF1437" s="627">
        <v>0</v>
      </c>
      <c r="AG1437" s="627">
        <v>0</v>
      </c>
      <c r="AH1437" s="627">
        <v>0</v>
      </c>
      <c r="AI1437" s="627">
        <v>0</v>
      </c>
    </row>
    <row r="1438" spans="4:35">
      <c r="D1438" s="934" t="s">
        <v>4421</v>
      </c>
      <c r="E1438" s="937">
        <v>10</v>
      </c>
      <c r="F1438" s="937">
        <v>10</v>
      </c>
      <c r="G1438" s="937">
        <v>10</v>
      </c>
      <c r="H1438" s="937">
        <v>8</v>
      </c>
      <c r="I1438" s="937">
        <v>8</v>
      </c>
      <c r="J1438" s="937">
        <v>8</v>
      </c>
      <c r="K1438" s="937">
        <v>6</v>
      </c>
      <c r="L1438" s="937">
        <v>6</v>
      </c>
      <c r="M1438" s="937">
        <v>2</v>
      </c>
      <c r="N1438" s="937">
        <v>2</v>
      </c>
      <c r="O1438" s="937">
        <v>10</v>
      </c>
      <c r="P1438" s="937">
        <v>10</v>
      </c>
      <c r="Q1438" s="937">
        <v>10</v>
      </c>
      <c r="R1438" s="937">
        <v>10</v>
      </c>
      <c r="S1438" s="937">
        <v>10</v>
      </c>
      <c r="T1438" s="937">
        <v>10</v>
      </c>
      <c r="U1438" s="937">
        <v>10</v>
      </c>
      <c r="V1438" s="937">
        <v>8</v>
      </c>
      <c r="W1438" s="937">
        <v>8</v>
      </c>
      <c r="X1438" s="937">
        <v>8</v>
      </c>
      <c r="Y1438" s="937">
        <v>10</v>
      </c>
      <c r="Z1438" s="937">
        <v>10</v>
      </c>
      <c r="AA1438" s="937">
        <v>8</v>
      </c>
      <c r="AB1438" s="937">
        <v>6</v>
      </c>
      <c r="AC1438" s="937">
        <v>6</v>
      </c>
      <c r="AD1438" s="627">
        <v>0</v>
      </c>
      <c r="AE1438" s="627">
        <v>0</v>
      </c>
      <c r="AF1438" s="627">
        <v>0</v>
      </c>
      <c r="AG1438" s="627">
        <v>0</v>
      </c>
      <c r="AH1438" s="627">
        <v>0</v>
      </c>
      <c r="AI1438" s="627">
        <v>0</v>
      </c>
    </row>
    <row r="1439" spans="4:35">
      <c r="D1439" s="934" t="s">
        <v>4422</v>
      </c>
      <c r="E1439" s="937">
        <v>10</v>
      </c>
      <c r="F1439" s="937">
        <v>10</v>
      </c>
      <c r="G1439" s="937">
        <v>10</v>
      </c>
      <c r="H1439" s="937">
        <v>8</v>
      </c>
      <c r="I1439" s="937">
        <v>8</v>
      </c>
      <c r="J1439" s="937">
        <v>8</v>
      </c>
      <c r="K1439" s="937">
        <v>6</v>
      </c>
      <c r="L1439" s="937">
        <v>6</v>
      </c>
      <c r="M1439" s="937">
        <v>2</v>
      </c>
      <c r="N1439" s="937">
        <v>2</v>
      </c>
      <c r="O1439" s="937">
        <v>10</v>
      </c>
      <c r="P1439" s="937">
        <v>10</v>
      </c>
      <c r="Q1439" s="937">
        <v>10</v>
      </c>
      <c r="R1439" s="937">
        <v>10</v>
      </c>
      <c r="S1439" s="937">
        <v>10</v>
      </c>
      <c r="T1439" s="937">
        <v>10</v>
      </c>
      <c r="U1439" s="937">
        <v>10</v>
      </c>
      <c r="V1439" s="937">
        <v>8</v>
      </c>
      <c r="W1439" s="937">
        <v>8</v>
      </c>
      <c r="X1439" s="937">
        <v>8</v>
      </c>
      <c r="Y1439" s="937">
        <v>10</v>
      </c>
      <c r="Z1439" s="937">
        <v>10</v>
      </c>
      <c r="AA1439" s="937">
        <v>8</v>
      </c>
      <c r="AB1439" s="937">
        <v>6</v>
      </c>
      <c r="AC1439" s="937">
        <v>6</v>
      </c>
      <c r="AD1439" s="627">
        <v>0</v>
      </c>
      <c r="AE1439" s="627">
        <v>0</v>
      </c>
      <c r="AF1439" s="627">
        <v>0</v>
      </c>
      <c r="AG1439" s="627">
        <v>0</v>
      </c>
      <c r="AH1439" s="627">
        <v>0</v>
      </c>
      <c r="AI1439" s="627">
        <v>0</v>
      </c>
    </row>
    <row r="1440" spans="4:35">
      <c r="D1440" s="934" t="s">
        <v>4423</v>
      </c>
      <c r="E1440" s="937">
        <v>10</v>
      </c>
      <c r="F1440" s="937">
        <v>10</v>
      </c>
      <c r="G1440" s="937">
        <v>10</v>
      </c>
      <c r="H1440" s="937">
        <v>8</v>
      </c>
      <c r="I1440" s="937">
        <v>8</v>
      </c>
      <c r="J1440" s="937">
        <v>8</v>
      </c>
      <c r="K1440" s="937">
        <v>6</v>
      </c>
      <c r="L1440" s="937">
        <v>6</v>
      </c>
      <c r="M1440" s="937">
        <v>2</v>
      </c>
      <c r="N1440" s="937">
        <v>2</v>
      </c>
      <c r="O1440" s="937">
        <v>10</v>
      </c>
      <c r="P1440" s="937">
        <v>10</v>
      </c>
      <c r="Q1440" s="937">
        <v>10</v>
      </c>
      <c r="R1440" s="937">
        <v>10</v>
      </c>
      <c r="S1440" s="937">
        <v>10</v>
      </c>
      <c r="T1440" s="937">
        <v>10</v>
      </c>
      <c r="U1440" s="937">
        <v>10</v>
      </c>
      <c r="V1440" s="937">
        <v>8</v>
      </c>
      <c r="W1440" s="937">
        <v>8</v>
      </c>
      <c r="X1440" s="937">
        <v>8</v>
      </c>
      <c r="Y1440" s="937">
        <v>10</v>
      </c>
      <c r="Z1440" s="937">
        <v>10</v>
      </c>
      <c r="AA1440" s="937">
        <v>8</v>
      </c>
      <c r="AB1440" s="937">
        <v>6</v>
      </c>
      <c r="AC1440" s="937">
        <v>6</v>
      </c>
      <c r="AD1440" s="627">
        <v>0</v>
      </c>
      <c r="AE1440" s="627">
        <v>0</v>
      </c>
      <c r="AF1440" s="627">
        <v>0</v>
      </c>
      <c r="AG1440" s="627">
        <v>0</v>
      </c>
      <c r="AH1440" s="627">
        <v>0</v>
      </c>
      <c r="AI1440" s="627">
        <v>0</v>
      </c>
    </row>
    <row r="1441" spans="3:35">
      <c r="D1441" s="934" t="s">
        <v>4424</v>
      </c>
      <c r="E1441" s="937">
        <v>4</v>
      </c>
      <c r="F1441" s="937">
        <v>4</v>
      </c>
      <c r="G1441" s="937">
        <v>4</v>
      </c>
      <c r="H1441" s="937">
        <v>8</v>
      </c>
      <c r="I1441" s="937">
        <v>8</v>
      </c>
      <c r="J1441" s="937">
        <v>8</v>
      </c>
      <c r="K1441" s="937">
        <v>6</v>
      </c>
      <c r="L1441" s="937">
        <v>6</v>
      </c>
      <c r="M1441" s="937">
        <v>2</v>
      </c>
      <c r="N1441" s="937">
        <v>2</v>
      </c>
      <c r="O1441" s="937">
        <v>4</v>
      </c>
      <c r="P1441" s="937">
        <v>4</v>
      </c>
      <c r="Q1441" s="937">
        <v>4</v>
      </c>
      <c r="R1441" s="937">
        <v>4</v>
      </c>
      <c r="S1441" s="937">
        <v>4</v>
      </c>
      <c r="T1441" s="937">
        <v>4</v>
      </c>
      <c r="U1441" s="937">
        <v>4</v>
      </c>
      <c r="V1441" s="937">
        <v>8</v>
      </c>
      <c r="W1441" s="937">
        <v>8</v>
      </c>
      <c r="X1441" s="937">
        <v>8</v>
      </c>
      <c r="Y1441" s="937">
        <v>4</v>
      </c>
      <c r="Z1441" s="937">
        <v>4</v>
      </c>
      <c r="AA1441" s="937">
        <v>8</v>
      </c>
      <c r="AB1441" s="937">
        <v>6</v>
      </c>
      <c r="AC1441" s="937">
        <v>6</v>
      </c>
      <c r="AD1441" s="627">
        <v>0</v>
      </c>
      <c r="AE1441" s="627">
        <v>0</v>
      </c>
      <c r="AF1441" s="627">
        <v>0</v>
      </c>
      <c r="AG1441" s="627">
        <v>0</v>
      </c>
      <c r="AH1441" s="627">
        <v>0</v>
      </c>
      <c r="AI1441" s="627">
        <v>0</v>
      </c>
    </row>
    <row r="1442" spans="3:35">
      <c r="D1442" s="934" t="s">
        <v>4425</v>
      </c>
      <c r="E1442" s="937">
        <v>4</v>
      </c>
      <c r="F1442" s="937">
        <v>4</v>
      </c>
      <c r="G1442" s="937">
        <v>4</v>
      </c>
      <c r="H1442" s="937">
        <v>8</v>
      </c>
      <c r="I1442" s="937">
        <v>8</v>
      </c>
      <c r="J1442" s="937">
        <v>8</v>
      </c>
      <c r="K1442" s="937">
        <v>6</v>
      </c>
      <c r="L1442" s="937">
        <v>6</v>
      </c>
      <c r="M1442" s="937">
        <v>2</v>
      </c>
      <c r="N1442" s="937">
        <v>2</v>
      </c>
      <c r="O1442" s="937">
        <v>4</v>
      </c>
      <c r="P1442" s="937">
        <v>4</v>
      </c>
      <c r="Q1442" s="937">
        <v>4</v>
      </c>
      <c r="R1442" s="937">
        <v>4</v>
      </c>
      <c r="S1442" s="937">
        <v>4</v>
      </c>
      <c r="T1442" s="937">
        <v>4</v>
      </c>
      <c r="U1442" s="937">
        <v>4</v>
      </c>
      <c r="V1442" s="937">
        <v>8</v>
      </c>
      <c r="W1442" s="937">
        <v>8</v>
      </c>
      <c r="X1442" s="937">
        <v>8</v>
      </c>
      <c r="Y1442" s="937">
        <v>4</v>
      </c>
      <c r="Z1442" s="937">
        <v>4</v>
      </c>
      <c r="AA1442" s="937">
        <v>8</v>
      </c>
      <c r="AB1442" s="937">
        <v>6</v>
      </c>
      <c r="AC1442" s="937">
        <v>6</v>
      </c>
      <c r="AD1442" s="627">
        <v>0</v>
      </c>
      <c r="AE1442" s="627">
        <v>0</v>
      </c>
      <c r="AF1442" s="627">
        <v>0</v>
      </c>
      <c r="AG1442" s="627">
        <v>0</v>
      </c>
      <c r="AH1442" s="627">
        <v>0</v>
      </c>
      <c r="AI1442" s="627">
        <v>0</v>
      </c>
    </row>
    <row r="1443" spans="3:35">
      <c r="D1443" s="934" t="s">
        <v>4426</v>
      </c>
      <c r="E1443" s="937">
        <v>4</v>
      </c>
      <c r="F1443" s="937">
        <v>4</v>
      </c>
      <c r="G1443" s="937">
        <v>4</v>
      </c>
      <c r="H1443" s="937">
        <v>8</v>
      </c>
      <c r="I1443" s="937">
        <v>8</v>
      </c>
      <c r="J1443" s="937">
        <v>8</v>
      </c>
      <c r="K1443" s="937">
        <v>6</v>
      </c>
      <c r="L1443" s="937">
        <v>6</v>
      </c>
      <c r="M1443" s="937">
        <v>2</v>
      </c>
      <c r="N1443" s="937">
        <v>2</v>
      </c>
      <c r="O1443" s="937">
        <v>4</v>
      </c>
      <c r="P1443" s="937">
        <v>4</v>
      </c>
      <c r="Q1443" s="937">
        <v>4</v>
      </c>
      <c r="R1443" s="937">
        <v>4</v>
      </c>
      <c r="S1443" s="937">
        <v>4</v>
      </c>
      <c r="T1443" s="937">
        <v>4</v>
      </c>
      <c r="U1443" s="937">
        <v>4</v>
      </c>
      <c r="V1443" s="937">
        <v>8</v>
      </c>
      <c r="W1443" s="937">
        <v>8</v>
      </c>
      <c r="X1443" s="937">
        <v>8</v>
      </c>
      <c r="Y1443" s="937">
        <v>4</v>
      </c>
      <c r="Z1443" s="937">
        <v>4</v>
      </c>
      <c r="AA1443" s="937">
        <v>8</v>
      </c>
      <c r="AB1443" s="937">
        <v>6</v>
      </c>
      <c r="AC1443" s="937">
        <v>6</v>
      </c>
      <c r="AD1443" s="627">
        <v>0</v>
      </c>
      <c r="AE1443" s="627">
        <v>0</v>
      </c>
      <c r="AF1443" s="627">
        <v>0</v>
      </c>
      <c r="AG1443" s="627">
        <v>0</v>
      </c>
      <c r="AH1443" s="627">
        <v>0</v>
      </c>
      <c r="AI1443" s="627">
        <v>0</v>
      </c>
    </row>
    <row r="1444" spans="3:35">
      <c r="D1444" s="934" t="s">
        <v>8369</v>
      </c>
      <c r="E1444" s="937">
        <v>10</v>
      </c>
      <c r="F1444" s="937">
        <v>10</v>
      </c>
      <c r="G1444" s="937">
        <v>10</v>
      </c>
      <c r="H1444" s="937">
        <v>8</v>
      </c>
      <c r="I1444" s="937">
        <v>8</v>
      </c>
      <c r="J1444" s="937">
        <v>8</v>
      </c>
      <c r="K1444" s="937">
        <v>6</v>
      </c>
      <c r="L1444" s="937">
        <v>6</v>
      </c>
      <c r="M1444" s="937">
        <v>2</v>
      </c>
      <c r="N1444" s="937">
        <v>2</v>
      </c>
      <c r="O1444" s="937">
        <v>10</v>
      </c>
      <c r="P1444" s="937">
        <v>10</v>
      </c>
      <c r="Q1444" s="937">
        <v>10</v>
      </c>
      <c r="R1444" s="937">
        <v>10</v>
      </c>
      <c r="S1444" s="937">
        <v>10</v>
      </c>
      <c r="T1444" s="937">
        <v>10</v>
      </c>
      <c r="U1444" s="937">
        <v>10</v>
      </c>
      <c r="V1444" s="937">
        <v>8</v>
      </c>
      <c r="W1444" s="937">
        <v>8</v>
      </c>
      <c r="X1444" s="937">
        <v>8</v>
      </c>
      <c r="Y1444" s="937">
        <v>10</v>
      </c>
      <c r="Z1444" s="937">
        <v>10</v>
      </c>
      <c r="AA1444" s="937">
        <v>8</v>
      </c>
      <c r="AB1444" s="937">
        <v>6</v>
      </c>
      <c r="AC1444" s="937">
        <v>6</v>
      </c>
      <c r="AD1444" s="627">
        <v>0</v>
      </c>
      <c r="AE1444" s="627">
        <v>0</v>
      </c>
      <c r="AF1444" s="627">
        <v>0</v>
      </c>
      <c r="AG1444" s="627">
        <v>0</v>
      </c>
      <c r="AH1444" s="627">
        <v>0</v>
      </c>
      <c r="AI1444" s="627">
        <v>0</v>
      </c>
    </row>
    <row r="1445" spans="3:35">
      <c r="D1445" s="934" t="s">
        <v>4427</v>
      </c>
      <c r="E1445" s="937">
        <v>4</v>
      </c>
      <c r="F1445" s="937">
        <v>4</v>
      </c>
      <c r="G1445" s="937">
        <v>4</v>
      </c>
      <c r="H1445" s="937">
        <v>8</v>
      </c>
      <c r="I1445" s="937">
        <v>8</v>
      </c>
      <c r="J1445" s="937">
        <v>8</v>
      </c>
      <c r="K1445" s="937">
        <v>6</v>
      </c>
      <c r="L1445" s="937">
        <v>6</v>
      </c>
      <c r="M1445" s="937">
        <v>2</v>
      </c>
      <c r="N1445" s="937">
        <v>2</v>
      </c>
      <c r="O1445" s="937">
        <v>4</v>
      </c>
      <c r="P1445" s="937">
        <v>4</v>
      </c>
      <c r="Q1445" s="937">
        <v>4</v>
      </c>
      <c r="R1445" s="937">
        <v>4</v>
      </c>
      <c r="S1445" s="937">
        <v>4</v>
      </c>
      <c r="T1445" s="937">
        <v>4</v>
      </c>
      <c r="U1445" s="937">
        <v>4</v>
      </c>
      <c r="V1445" s="937">
        <v>8</v>
      </c>
      <c r="W1445" s="937">
        <v>8</v>
      </c>
      <c r="X1445" s="937">
        <v>8</v>
      </c>
      <c r="Y1445" s="937">
        <v>4</v>
      </c>
      <c r="Z1445" s="937">
        <v>4</v>
      </c>
      <c r="AA1445" s="937">
        <v>8</v>
      </c>
      <c r="AB1445" s="937">
        <v>6</v>
      </c>
      <c r="AC1445" s="937">
        <v>6</v>
      </c>
      <c r="AD1445" s="627">
        <v>0</v>
      </c>
      <c r="AE1445" s="627">
        <v>0</v>
      </c>
      <c r="AF1445" s="627">
        <v>0</v>
      </c>
      <c r="AG1445" s="627">
        <v>0</v>
      </c>
      <c r="AH1445" s="627">
        <v>0</v>
      </c>
      <c r="AI1445" s="627">
        <v>0</v>
      </c>
    </row>
    <row r="1446" spans="3:35">
      <c r="D1446" s="934" t="s">
        <v>8368</v>
      </c>
      <c r="E1446" s="937">
        <v>4</v>
      </c>
      <c r="F1446" s="937">
        <v>4</v>
      </c>
      <c r="G1446" s="937">
        <v>4</v>
      </c>
      <c r="H1446" s="937">
        <v>8</v>
      </c>
      <c r="I1446" s="937">
        <v>8</v>
      </c>
      <c r="J1446" s="937">
        <v>8</v>
      </c>
      <c r="K1446" s="937">
        <v>6</v>
      </c>
      <c r="L1446" s="937">
        <v>6</v>
      </c>
      <c r="M1446" s="937">
        <v>2</v>
      </c>
      <c r="N1446" s="937">
        <v>2</v>
      </c>
      <c r="O1446" s="937">
        <v>4</v>
      </c>
      <c r="P1446" s="937">
        <v>4</v>
      </c>
      <c r="Q1446" s="937">
        <v>4</v>
      </c>
      <c r="R1446" s="937">
        <v>4</v>
      </c>
      <c r="S1446" s="937">
        <v>4</v>
      </c>
      <c r="T1446" s="937">
        <v>4</v>
      </c>
      <c r="U1446" s="937">
        <v>4</v>
      </c>
      <c r="V1446" s="937">
        <v>8</v>
      </c>
      <c r="W1446" s="937">
        <v>8</v>
      </c>
      <c r="X1446" s="937">
        <v>8</v>
      </c>
      <c r="Y1446" s="937">
        <v>4</v>
      </c>
      <c r="Z1446" s="937">
        <v>4</v>
      </c>
      <c r="AA1446" s="937">
        <v>8</v>
      </c>
      <c r="AB1446" s="937">
        <v>6</v>
      </c>
      <c r="AC1446" s="937">
        <v>6</v>
      </c>
      <c r="AD1446" s="627">
        <v>0</v>
      </c>
      <c r="AE1446" s="627">
        <v>0</v>
      </c>
      <c r="AF1446" s="627">
        <v>0</v>
      </c>
      <c r="AG1446" s="627">
        <v>0</v>
      </c>
      <c r="AH1446" s="627">
        <v>0</v>
      </c>
      <c r="AI1446" s="627">
        <v>0</v>
      </c>
    </row>
    <row r="1447" spans="3:35">
      <c r="D1447" s="934" t="s">
        <v>4428</v>
      </c>
      <c r="E1447" s="937">
        <v>8</v>
      </c>
      <c r="F1447" s="937">
        <v>8</v>
      </c>
      <c r="G1447" s="937">
        <v>8</v>
      </c>
      <c r="H1447" s="937">
        <v>6</v>
      </c>
      <c r="I1447" s="937">
        <v>6</v>
      </c>
      <c r="J1447" s="937">
        <v>6</v>
      </c>
      <c r="K1447" s="937">
        <v>8</v>
      </c>
      <c r="L1447" s="937">
        <v>8</v>
      </c>
      <c r="M1447" s="937">
        <v>2</v>
      </c>
      <c r="N1447" s="937">
        <v>2</v>
      </c>
      <c r="O1447" s="937">
        <v>8</v>
      </c>
      <c r="P1447" s="937">
        <v>8</v>
      </c>
      <c r="Q1447" s="937">
        <v>8</v>
      </c>
      <c r="R1447" s="937">
        <v>8</v>
      </c>
      <c r="S1447" s="937">
        <v>8</v>
      </c>
      <c r="T1447" s="937">
        <v>8</v>
      </c>
      <c r="U1447" s="937">
        <v>8</v>
      </c>
      <c r="V1447" s="937">
        <v>6</v>
      </c>
      <c r="W1447" s="937">
        <v>6</v>
      </c>
      <c r="X1447" s="937">
        <v>6</v>
      </c>
      <c r="Y1447" s="937">
        <v>8</v>
      </c>
      <c r="Z1447" s="937">
        <v>8</v>
      </c>
      <c r="AA1447" s="937">
        <v>6</v>
      </c>
      <c r="AB1447" s="937">
        <v>8</v>
      </c>
      <c r="AC1447" s="937">
        <v>8</v>
      </c>
      <c r="AD1447" s="627">
        <v>0</v>
      </c>
      <c r="AE1447" s="627">
        <v>0</v>
      </c>
      <c r="AF1447" s="627">
        <v>0</v>
      </c>
      <c r="AG1447" s="627">
        <v>0</v>
      </c>
      <c r="AH1447" s="627">
        <v>0</v>
      </c>
      <c r="AI1447" s="627">
        <v>0</v>
      </c>
    </row>
    <row r="1448" spans="3:35">
      <c r="D1448" s="934" t="s">
        <v>4429</v>
      </c>
      <c r="E1448" s="937">
        <v>8</v>
      </c>
      <c r="F1448" s="937">
        <v>8</v>
      </c>
      <c r="G1448" s="937">
        <v>8</v>
      </c>
      <c r="H1448" s="937">
        <v>6</v>
      </c>
      <c r="I1448" s="937">
        <v>6</v>
      </c>
      <c r="J1448" s="937">
        <v>6</v>
      </c>
      <c r="K1448" s="937">
        <v>8</v>
      </c>
      <c r="L1448" s="937">
        <v>8</v>
      </c>
      <c r="M1448" s="937">
        <v>2</v>
      </c>
      <c r="N1448" s="937">
        <v>2</v>
      </c>
      <c r="O1448" s="937">
        <v>8</v>
      </c>
      <c r="P1448" s="937">
        <v>8</v>
      </c>
      <c r="Q1448" s="937">
        <v>8</v>
      </c>
      <c r="R1448" s="937">
        <v>8</v>
      </c>
      <c r="S1448" s="937">
        <v>8</v>
      </c>
      <c r="T1448" s="937">
        <v>8</v>
      </c>
      <c r="U1448" s="937">
        <v>8</v>
      </c>
      <c r="V1448" s="937">
        <v>6</v>
      </c>
      <c r="W1448" s="937">
        <v>6</v>
      </c>
      <c r="X1448" s="937">
        <v>6</v>
      </c>
      <c r="Y1448" s="937">
        <v>8</v>
      </c>
      <c r="Z1448" s="937">
        <v>8</v>
      </c>
      <c r="AA1448" s="937">
        <v>6</v>
      </c>
      <c r="AB1448" s="937">
        <v>8</v>
      </c>
      <c r="AC1448" s="937">
        <v>8</v>
      </c>
      <c r="AD1448" s="627">
        <v>0</v>
      </c>
      <c r="AE1448" s="627">
        <v>0</v>
      </c>
      <c r="AF1448" s="627">
        <v>0</v>
      </c>
      <c r="AG1448" s="627">
        <v>0</v>
      </c>
      <c r="AH1448" s="627">
        <v>0</v>
      </c>
      <c r="AI1448" s="627">
        <v>0</v>
      </c>
    </row>
    <row r="1449" spans="3:35">
      <c r="D1449" s="934" t="s">
        <v>5661</v>
      </c>
      <c r="E1449" s="627">
        <v>0</v>
      </c>
      <c r="F1449" s="627">
        <v>0</v>
      </c>
      <c r="G1449" s="627">
        <v>0</v>
      </c>
      <c r="H1449" s="627">
        <v>0</v>
      </c>
      <c r="I1449" s="627">
        <v>0</v>
      </c>
      <c r="J1449" s="627">
        <v>0</v>
      </c>
      <c r="K1449" s="627">
        <v>0</v>
      </c>
      <c r="L1449" s="627">
        <v>0</v>
      </c>
      <c r="M1449" s="627">
        <v>0</v>
      </c>
      <c r="N1449" s="627">
        <v>0</v>
      </c>
      <c r="O1449" s="627">
        <v>0</v>
      </c>
      <c r="P1449" s="627">
        <v>0</v>
      </c>
      <c r="Q1449" s="627">
        <v>0</v>
      </c>
      <c r="R1449" s="627">
        <v>0</v>
      </c>
      <c r="S1449" s="627">
        <v>0</v>
      </c>
      <c r="T1449" s="627">
        <v>0</v>
      </c>
      <c r="U1449" s="627">
        <v>0</v>
      </c>
      <c r="V1449" s="627">
        <v>0</v>
      </c>
      <c r="W1449" s="627">
        <v>0</v>
      </c>
      <c r="X1449" s="627">
        <v>0</v>
      </c>
      <c r="Y1449" s="627">
        <v>0</v>
      </c>
      <c r="Z1449" s="627">
        <v>0</v>
      </c>
      <c r="AA1449" s="627">
        <v>0</v>
      </c>
      <c r="AB1449" s="627">
        <v>0</v>
      </c>
      <c r="AC1449" s="627">
        <v>0</v>
      </c>
      <c r="AD1449" s="627">
        <v>0</v>
      </c>
      <c r="AE1449" s="627">
        <v>0</v>
      </c>
      <c r="AF1449" s="627">
        <v>0</v>
      </c>
      <c r="AG1449" s="627">
        <v>0</v>
      </c>
      <c r="AH1449" s="627">
        <v>0</v>
      </c>
      <c r="AI1449" s="627">
        <v>0</v>
      </c>
    </row>
    <row r="1450" spans="3:35">
      <c r="D1450" s="934" t="s">
        <v>5661</v>
      </c>
      <c r="E1450" s="627">
        <v>0</v>
      </c>
      <c r="F1450" s="627">
        <v>0</v>
      </c>
      <c r="G1450" s="627">
        <v>0</v>
      </c>
      <c r="H1450" s="627">
        <v>0</v>
      </c>
      <c r="I1450" s="627">
        <v>0</v>
      </c>
      <c r="J1450" s="627">
        <v>0</v>
      </c>
      <c r="K1450" s="627">
        <v>0</v>
      </c>
      <c r="L1450" s="627">
        <v>0</v>
      </c>
      <c r="M1450" s="627">
        <v>0</v>
      </c>
      <c r="N1450" s="627">
        <v>0</v>
      </c>
      <c r="O1450" s="627">
        <v>0</v>
      </c>
      <c r="P1450" s="627">
        <v>0</v>
      </c>
      <c r="Q1450" s="627">
        <v>0</v>
      </c>
      <c r="R1450" s="627">
        <v>0</v>
      </c>
      <c r="S1450" s="627">
        <v>0</v>
      </c>
      <c r="T1450" s="627">
        <v>0</v>
      </c>
      <c r="U1450" s="627">
        <v>0</v>
      </c>
      <c r="V1450" s="627">
        <v>0</v>
      </c>
      <c r="W1450" s="627">
        <v>0</v>
      </c>
      <c r="X1450" s="627">
        <v>0</v>
      </c>
      <c r="Y1450" s="627">
        <v>0</v>
      </c>
      <c r="Z1450" s="627">
        <v>0</v>
      </c>
      <c r="AA1450" s="627">
        <v>0</v>
      </c>
      <c r="AB1450" s="627">
        <v>0</v>
      </c>
      <c r="AC1450" s="627">
        <v>0</v>
      </c>
      <c r="AD1450" s="627">
        <v>0</v>
      </c>
      <c r="AE1450" s="627">
        <v>0</v>
      </c>
      <c r="AF1450" s="627">
        <v>0</v>
      </c>
      <c r="AG1450" s="627">
        <v>0</v>
      </c>
      <c r="AH1450" s="627">
        <v>0</v>
      </c>
      <c r="AI1450" s="627">
        <v>0</v>
      </c>
    </row>
    <row r="1451" spans="3:35">
      <c r="D1451" s="934" t="s">
        <v>5661</v>
      </c>
      <c r="E1451" s="627">
        <v>0</v>
      </c>
      <c r="F1451" s="627">
        <v>0</v>
      </c>
      <c r="G1451" s="627">
        <v>0</v>
      </c>
      <c r="H1451" s="627">
        <v>0</v>
      </c>
      <c r="I1451" s="627">
        <v>0</v>
      </c>
      <c r="J1451" s="627">
        <v>0</v>
      </c>
      <c r="K1451" s="627">
        <v>0</v>
      </c>
      <c r="L1451" s="627">
        <v>0</v>
      </c>
      <c r="M1451" s="627">
        <v>0</v>
      </c>
      <c r="N1451" s="627">
        <v>0</v>
      </c>
      <c r="O1451" s="627">
        <v>0</v>
      </c>
      <c r="P1451" s="627">
        <v>0</v>
      </c>
      <c r="Q1451" s="627">
        <v>0</v>
      </c>
      <c r="R1451" s="627">
        <v>0</v>
      </c>
      <c r="S1451" s="627">
        <v>0</v>
      </c>
      <c r="T1451" s="627">
        <v>0</v>
      </c>
      <c r="U1451" s="627">
        <v>0</v>
      </c>
      <c r="V1451" s="627">
        <v>0</v>
      </c>
      <c r="W1451" s="627">
        <v>0</v>
      </c>
      <c r="X1451" s="627">
        <v>0</v>
      </c>
      <c r="Y1451" s="627">
        <v>0</v>
      </c>
      <c r="Z1451" s="627">
        <v>0</v>
      </c>
      <c r="AA1451" s="627">
        <v>0</v>
      </c>
      <c r="AB1451" s="627">
        <v>0</v>
      </c>
      <c r="AC1451" s="627">
        <v>0</v>
      </c>
      <c r="AD1451" s="627">
        <v>0</v>
      </c>
      <c r="AE1451" s="627">
        <v>0</v>
      </c>
      <c r="AF1451" s="627">
        <v>0</v>
      </c>
      <c r="AG1451" s="627">
        <v>0</v>
      </c>
      <c r="AH1451" s="627">
        <v>0</v>
      </c>
      <c r="AI1451" s="627">
        <v>0</v>
      </c>
    </row>
    <row r="1452" spans="3:35">
      <c r="D1452" s="934" t="s">
        <v>5661</v>
      </c>
      <c r="E1452" s="627">
        <v>0</v>
      </c>
      <c r="F1452" s="627">
        <v>0</v>
      </c>
      <c r="G1452" s="627">
        <v>0</v>
      </c>
      <c r="H1452" s="627">
        <v>0</v>
      </c>
      <c r="I1452" s="627">
        <v>0</v>
      </c>
      <c r="J1452" s="627">
        <v>0</v>
      </c>
      <c r="K1452" s="627">
        <v>0</v>
      </c>
      <c r="L1452" s="627">
        <v>0</v>
      </c>
      <c r="M1452" s="627">
        <v>0</v>
      </c>
      <c r="N1452" s="627">
        <v>0</v>
      </c>
      <c r="O1452" s="627">
        <v>0</v>
      </c>
      <c r="P1452" s="627">
        <v>0</v>
      </c>
      <c r="Q1452" s="627">
        <v>0</v>
      </c>
      <c r="R1452" s="627">
        <v>0</v>
      </c>
      <c r="S1452" s="627">
        <v>0</v>
      </c>
      <c r="T1452" s="627">
        <v>0</v>
      </c>
      <c r="U1452" s="627">
        <v>0</v>
      </c>
      <c r="V1452" s="627">
        <v>0</v>
      </c>
      <c r="W1452" s="627">
        <v>0</v>
      </c>
      <c r="X1452" s="627">
        <v>0</v>
      </c>
      <c r="Y1452" s="627">
        <v>0</v>
      </c>
      <c r="Z1452" s="627">
        <v>0</v>
      </c>
      <c r="AA1452" s="627">
        <v>0</v>
      </c>
      <c r="AB1452" s="627">
        <v>0</v>
      </c>
      <c r="AC1452" s="627">
        <v>0</v>
      </c>
      <c r="AD1452" s="627">
        <v>0</v>
      </c>
      <c r="AE1452" s="627">
        <v>0</v>
      </c>
      <c r="AF1452" s="627">
        <v>0</v>
      </c>
      <c r="AG1452" s="627">
        <v>0</v>
      </c>
      <c r="AH1452" s="627">
        <v>0</v>
      </c>
      <c r="AI1452" s="627">
        <v>0</v>
      </c>
    </row>
    <row r="1453" spans="3:35">
      <c r="D1453" s="934" t="s">
        <v>5661</v>
      </c>
      <c r="E1453" s="627">
        <v>0</v>
      </c>
      <c r="F1453" s="627">
        <v>0</v>
      </c>
      <c r="G1453" s="627">
        <v>0</v>
      </c>
      <c r="H1453" s="627">
        <v>0</v>
      </c>
      <c r="I1453" s="627">
        <v>0</v>
      </c>
      <c r="J1453" s="627">
        <v>0</v>
      </c>
      <c r="K1453" s="627">
        <v>0</v>
      </c>
      <c r="L1453" s="627">
        <v>0</v>
      </c>
      <c r="M1453" s="627">
        <v>0</v>
      </c>
      <c r="N1453" s="627">
        <v>0</v>
      </c>
      <c r="O1453" s="627">
        <v>0</v>
      </c>
      <c r="P1453" s="627">
        <v>0</v>
      </c>
      <c r="Q1453" s="627">
        <v>0</v>
      </c>
      <c r="R1453" s="627">
        <v>0</v>
      </c>
      <c r="S1453" s="627">
        <v>0</v>
      </c>
      <c r="T1453" s="627">
        <v>0</v>
      </c>
      <c r="U1453" s="627">
        <v>0</v>
      </c>
      <c r="V1453" s="627">
        <v>0</v>
      </c>
      <c r="W1453" s="627">
        <v>0</v>
      </c>
      <c r="X1453" s="627">
        <v>0</v>
      </c>
      <c r="Y1453" s="627">
        <v>0</v>
      </c>
      <c r="Z1453" s="627">
        <v>0</v>
      </c>
      <c r="AA1453" s="627">
        <v>0</v>
      </c>
      <c r="AB1453" s="627">
        <v>0</v>
      </c>
      <c r="AC1453" s="627">
        <v>0</v>
      </c>
      <c r="AD1453" s="627">
        <v>0</v>
      </c>
      <c r="AE1453" s="627">
        <v>0</v>
      </c>
      <c r="AF1453" s="627">
        <v>0</v>
      </c>
      <c r="AG1453" s="627">
        <v>0</v>
      </c>
      <c r="AH1453" s="627">
        <v>0</v>
      </c>
      <c r="AI1453" s="627">
        <v>0</v>
      </c>
    </row>
    <row r="1454" spans="3:35">
      <c r="D1454" s="934" t="s">
        <v>350</v>
      </c>
      <c r="E1454" s="627">
        <v>0</v>
      </c>
      <c r="F1454" s="627">
        <v>0</v>
      </c>
      <c r="G1454" s="627">
        <v>0</v>
      </c>
      <c r="H1454" s="627">
        <v>0</v>
      </c>
      <c r="I1454" s="627">
        <v>0</v>
      </c>
      <c r="J1454" s="627">
        <v>0</v>
      </c>
      <c r="K1454" s="627">
        <v>0</v>
      </c>
      <c r="L1454" s="627">
        <v>0</v>
      </c>
      <c r="M1454" s="627">
        <v>0</v>
      </c>
      <c r="N1454" s="627">
        <v>0</v>
      </c>
      <c r="O1454" s="627">
        <v>0</v>
      </c>
      <c r="P1454" s="627">
        <v>0</v>
      </c>
      <c r="Q1454" s="627">
        <v>0</v>
      </c>
      <c r="R1454" s="627">
        <v>0</v>
      </c>
      <c r="S1454" s="627">
        <v>0</v>
      </c>
      <c r="T1454" s="627">
        <v>0</v>
      </c>
      <c r="U1454" s="627">
        <v>0</v>
      </c>
      <c r="V1454" s="627">
        <v>0</v>
      </c>
      <c r="W1454" s="627">
        <v>0</v>
      </c>
      <c r="X1454" s="627">
        <v>0</v>
      </c>
      <c r="Y1454" s="627">
        <v>0</v>
      </c>
      <c r="Z1454" s="627">
        <v>0</v>
      </c>
      <c r="AA1454" s="627">
        <v>0</v>
      </c>
      <c r="AB1454" s="627">
        <v>0</v>
      </c>
      <c r="AC1454" s="627">
        <v>0</v>
      </c>
      <c r="AD1454" s="627">
        <v>0</v>
      </c>
      <c r="AE1454" s="627">
        <v>0</v>
      </c>
      <c r="AF1454" s="627">
        <v>0</v>
      </c>
      <c r="AG1454" s="627">
        <v>0</v>
      </c>
      <c r="AH1454" s="627">
        <v>0</v>
      </c>
      <c r="AI1454" s="627">
        <v>0</v>
      </c>
    </row>
    <row r="1455" spans="3:35">
      <c r="D1455" s="610"/>
    </row>
    <row r="1456" spans="3:35" ht="15">
      <c r="C1456" s="936" t="s">
        <v>10589</v>
      </c>
      <c r="D1456" s="610"/>
      <c r="E1456" s="804" t="s">
        <v>352</v>
      </c>
      <c r="F1456" s="804" t="s">
        <v>351</v>
      </c>
      <c r="G1456" s="804" t="s">
        <v>353</v>
      </c>
      <c r="H1456" s="804" t="s">
        <v>584</v>
      </c>
      <c r="I1456" s="804" t="s">
        <v>2107</v>
      </c>
      <c r="J1456" s="804" t="s">
        <v>2108</v>
      </c>
      <c r="K1456" s="804" t="s">
        <v>354</v>
      </c>
      <c r="L1456" s="804" t="s">
        <v>355</v>
      </c>
      <c r="M1456" s="804" t="s">
        <v>3765</v>
      </c>
      <c r="N1456" s="804" t="s">
        <v>3766</v>
      </c>
      <c r="O1456" s="804" t="s">
        <v>4417</v>
      </c>
      <c r="P1456" s="804" t="s">
        <v>4418</v>
      </c>
      <c r="Q1456" s="804" t="s">
        <v>4419</v>
      </c>
      <c r="R1456" s="804" t="s">
        <v>4420</v>
      </c>
      <c r="S1456" s="804" t="s">
        <v>4421</v>
      </c>
      <c r="T1456" s="804" t="s">
        <v>4422</v>
      </c>
      <c r="U1456" s="804" t="s">
        <v>4423</v>
      </c>
      <c r="V1456" s="804" t="s">
        <v>4424</v>
      </c>
      <c r="W1456" s="804" t="s">
        <v>4425</v>
      </c>
      <c r="X1456" s="804" t="s">
        <v>4426</v>
      </c>
      <c r="Y1456" s="804" t="s">
        <v>8369</v>
      </c>
      <c r="Z1456" s="804" t="s">
        <v>4427</v>
      </c>
      <c r="AA1456" s="804" t="s">
        <v>8368</v>
      </c>
      <c r="AB1456" s="804" t="s">
        <v>4428</v>
      </c>
      <c r="AC1456" s="804" t="s">
        <v>4429</v>
      </c>
      <c r="AD1456" s="804" t="s">
        <v>5661</v>
      </c>
      <c r="AE1456" s="804" t="s">
        <v>5661</v>
      </c>
      <c r="AF1456" s="804" t="s">
        <v>5661</v>
      </c>
      <c r="AG1456" s="804" t="s">
        <v>5661</v>
      </c>
      <c r="AH1456" s="804" t="s">
        <v>5661</v>
      </c>
      <c r="AI1456" s="804" t="s">
        <v>350</v>
      </c>
    </row>
    <row r="1457" spans="3:35">
      <c r="C1457" s="611"/>
      <c r="D1457" s="934" t="s">
        <v>352</v>
      </c>
      <c r="E1457" s="935">
        <v>8</v>
      </c>
      <c r="F1457" s="935">
        <v>6</v>
      </c>
      <c r="G1457" s="935">
        <v>2</v>
      </c>
      <c r="H1457" s="935">
        <v>6</v>
      </c>
      <c r="I1457" s="937">
        <v>2</v>
      </c>
      <c r="J1457" s="937">
        <v>1</v>
      </c>
      <c r="K1457" s="937">
        <v>2</v>
      </c>
      <c r="L1457" s="937">
        <v>1</v>
      </c>
      <c r="M1457" s="937">
        <v>1</v>
      </c>
      <c r="N1457" s="937">
        <v>1</v>
      </c>
      <c r="O1457" s="937">
        <v>6</v>
      </c>
      <c r="P1457" s="937">
        <v>2</v>
      </c>
      <c r="Q1457" s="937">
        <v>6</v>
      </c>
      <c r="R1457" s="937">
        <v>8</v>
      </c>
      <c r="S1457" s="937">
        <v>6</v>
      </c>
      <c r="T1457" s="937">
        <v>6</v>
      </c>
      <c r="U1457" s="937">
        <v>6</v>
      </c>
      <c r="V1457" s="937">
        <v>6</v>
      </c>
      <c r="W1457" s="937">
        <v>6</v>
      </c>
      <c r="X1457" s="937">
        <v>2</v>
      </c>
      <c r="Y1457" s="937">
        <v>6</v>
      </c>
      <c r="Z1457" s="937">
        <v>6</v>
      </c>
      <c r="AA1457" s="937">
        <v>6</v>
      </c>
      <c r="AB1457" s="937">
        <v>2</v>
      </c>
      <c r="AC1457" s="937">
        <v>1</v>
      </c>
      <c r="AD1457" s="627">
        <v>0</v>
      </c>
      <c r="AE1457" s="627">
        <v>0</v>
      </c>
      <c r="AF1457" s="627">
        <v>0</v>
      </c>
      <c r="AG1457" s="627">
        <v>0</v>
      </c>
      <c r="AH1457" s="627">
        <v>0</v>
      </c>
      <c r="AI1457" s="627">
        <v>0</v>
      </c>
    </row>
    <row r="1458" spans="3:35">
      <c r="C1458" s="611"/>
      <c r="D1458" s="934" t="s">
        <v>351</v>
      </c>
      <c r="E1458" s="935">
        <v>6</v>
      </c>
      <c r="F1458" s="935">
        <v>10</v>
      </c>
      <c r="G1458" s="935">
        <v>9</v>
      </c>
      <c r="H1458" s="935">
        <v>10</v>
      </c>
      <c r="I1458" s="937">
        <v>9</v>
      </c>
      <c r="J1458" s="937">
        <v>5</v>
      </c>
      <c r="K1458" s="937">
        <v>9</v>
      </c>
      <c r="L1458" s="937">
        <v>3</v>
      </c>
      <c r="M1458" s="937">
        <v>3</v>
      </c>
      <c r="N1458" s="937">
        <v>3</v>
      </c>
      <c r="O1458" s="937">
        <v>10</v>
      </c>
      <c r="P1458" s="937">
        <v>9</v>
      </c>
      <c r="Q1458" s="937">
        <v>10</v>
      </c>
      <c r="R1458" s="937">
        <v>6</v>
      </c>
      <c r="S1458" s="937">
        <v>10</v>
      </c>
      <c r="T1458" s="937">
        <v>10</v>
      </c>
      <c r="U1458" s="937">
        <v>10</v>
      </c>
      <c r="V1458" s="937">
        <v>10</v>
      </c>
      <c r="W1458" s="937">
        <v>10</v>
      </c>
      <c r="X1458" s="937">
        <v>9</v>
      </c>
      <c r="Y1458" s="937">
        <v>10</v>
      </c>
      <c r="Z1458" s="937">
        <v>10</v>
      </c>
      <c r="AA1458" s="937">
        <v>10</v>
      </c>
      <c r="AB1458" s="937">
        <v>9</v>
      </c>
      <c r="AC1458" s="937">
        <v>3</v>
      </c>
      <c r="AD1458" s="627">
        <v>0</v>
      </c>
      <c r="AE1458" s="627">
        <v>0</v>
      </c>
      <c r="AF1458" s="627">
        <v>0</v>
      </c>
      <c r="AG1458" s="627">
        <v>0</v>
      </c>
      <c r="AH1458" s="627">
        <v>0</v>
      </c>
      <c r="AI1458" s="627">
        <v>0</v>
      </c>
    </row>
    <row r="1459" spans="3:35">
      <c r="C1459" s="611"/>
      <c r="D1459" s="934" t="s">
        <v>353</v>
      </c>
      <c r="E1459" s="935">
        <v>2</v>
      </c>
      <c r="F1459" s="935">
        <v>8</v>
      </c>
      <c r="G1459" s="935">
        <v>9</v>
      </c>
      <c r="H1459" s="935">
        <v>8</v>
      </c>
      <c r="I1459" s="937">
        <v>9</v>
      </c>
      <c r="J1459" s="937">
        <v>9</v>
      </c>
      <c r="K1459" s="937">
        <v>9</v>
      </c>
      <c r="L1459" s="937">
        <v>6</v>
      </c>
      <c r="M1459" s="937">
        <v>6</v>
      </c>
      <c r="N1459" s="937">
        <v>6</v>
      </c>
      <c r="O1459" s="937">
        <v>8</v>
      </c>
      <c r="P1459" s="937">
        <v>9</v>
      </c>
      <c r="Q1459" s="937">
        <v>8</v>
      </c>
      <c r="R1459" s="937">
        <v>2</v>
      </c>
      <c r="S1459" s="937">
        <v>8</v>
      </c>
      <c r="T1459" s="937">
        <v>8</v>
      </c>
      <c r="U1459" s="937">
        <v>8</v>
      </c>
      <c r="V1459" s="937">
        <v>8</v>
      </c>
      <c r="W1459" s="937">
        <v>8</v>
      </c>
      <c r="X1459" s="937">
        <v>9</v>
      </c>
      <c r="Y1459" s="937">
        <v>8</v>
      </c>
      <c r="Z1459" s="937">
        <v>8</v>
      </c>
      <c r="AA1459" s="937">
        <v>8</v>
      </c>
      <c r="AB1459" s="937">
        <v>9</v>
      </c>
      <c r="AC1459" s="937">
        <v>6</v>
      </c>
      <c r="AD1459" s="627">
        <v>0</v>
      </c>
      <c r="AE1459" s="627">
        <v>0</v>
      </c>
      <c r="AF1459" s="627">
        <v>0</v>
      </c>
      <c r="AG1459" s="627">
        <v>0</v>
      </c>
      <c r="AH1459" s="627">
        <v>0</v>
      </c>
      <c r="AI1459" s="627">
        <v>0</v>
      </c>
    </row>
    <row r="1460" spans="3:35">
      <c r="C1460" s="611"/>
      <c r="D1460" s="934" t="s">
        <v>584</v>
      </c>
      <c r="E1460" s="935">
        <v>6</v>
      </c>
      <c r="F1460" s="935">
        <v>10</v>
      </c>
      <c r="G1460" s="935">
        <v>9</v>
      </c>
      <c r="H1460" s="935">
        <v>10</v>
      </c>
      <c r="I1460" s="937">
        <v>9</v>
      </c>
      <c r="J1460" s="937">
        <v>5</v>
      </c>
      <c r="K1460" s="937">
        <v>9</v>
      </c>
      <c r="L1460" s="937">
        <v>3</v>
      </c>
      <c r="M1460" s="937">
        <v>3</v>
      </c>
      <c r="N1460" s="937">
        <v>3</v>
      </c>
      <c r="O1460" s="937">
        <v>10</v>
      </c>
      <c r="P1460" s="937">
        <v>9</v>
      </c>
      <c r="Q1460" s="937">
        <v>10</v>
      </c>
      <c r="R1460" s="937">
        <v>6</v>
      </c>
      <c r="S1460" s="937">
        <v>10</v>
      </c>
      <c r="T1460" s="937">
        <v>10</v>
      </c>
      <c r="U1460" s="937">
        <v>10</v>
      </c>
      <c r="V1460" s="937">
        <v>10</v>
      </c>
      <c r="W1460" s="937">
        <v>10</v>
      </c>
      <c r="X1460" s="937">
        <v>9</v>
      </c>
      <c r="Y1460" s="937">
        <v>10</v>
      </c>
      <c r="Z1460" s="937">
        <v>10</v>
      </c>
      <c r="AA1460" s="937">
        <v>10</v>
      </c>
      <c r="AB1460" s="937">
        <v>9</v>
      </c>
      <c r="AC1460" s="937">
        <v>3</v>
      </c>
      <c r="AD1460" s="627">
        <v>0</v>
      </c>
      <c r="AE1460" s="627">
        <v>0</v>
      </c>
      <c r="AF1460" s="627">
        <v>0</v>
      </c>
      <c r="AG1460" s="627">
        <v>0</v>
      </c>
      <c r="AH1460" s="627">
        <v>0</v>
      </c>
      <c r="AI1460" s="627">
        <v>0</v>
      </c>
    </row>
    <row r="1461" spans="3:35">
      <c r="C1461" s="611"/>
      <c r="D1461" s="934" t="s">
        <v>2107</v>
      </c>
      <c r="E1461" s="937">
        <v>2</v>
      </c>
      <c r="F1461" s="937">
        <v>8</v>
      </c>
      <c r="G1461" s="937">
        <v>9</v>
      </c>
      <c r="H1461" s="937">
        <v>8</v>
      </c>
      <c r="I1461" s="937">
        <v>9</v>
      </c>
      <c r="J1461" s="937">
        <v>9</v>
      </c>
      <c r="K1461" s="937">
        <v>9</v>
      </c>
      <c r="L1461" s="937">
        <v>6</v>
      </c>
      <c r="M1461" s="937">
        <v>6</v>
      </c>
      <c r="N1461" s="937">
        <v>6</v>
      </c>
      <c r="O1461" s="937">
        <v>8</v>
      </c>
      <c r="P1461" s="937">
        <v>9</v>
      </c>
      <c r="Q1461" s="937">
        <v>8</v>
      </c>
      <c r="R1461" s="937">
        <v>2</v>
      </c>
      <c r="S1461" s="937">
        <v>8</v>
      </c>
      <c r="T1461" s="937">
        <v>8</v>
      </c>
      <c r="U1461" s="937">
        <v>8</v>
      </c>
      <c r="V1461" s="937">
        <v>8</v>
      </c>
      <c r="W1461" s="937">
        <v>8</v>
      </c>
      <c r="X1461" s="937">
        <v>9</v>
      </c>
      <c r="Y1461" s="937">
        <v>8</v>
      </c>
      <c r="Z1461" s="937">
        <v>8</v>
      </c>
      <c r="AA1461" s="937">
        <v>8</v>
      </c>
      <c r="AB1461" s="937">
        <v>9</v>
      </c>
      <c r="AC1461" s="937">
        <v>6</v>
      </c>
      <c r="AD1461" s="627">
        <v>0</v>
      </c>
      <c r="AE1461" s="627">
        <v>0</v>
      </c>
      <c r="AF1461" s="627">
        <v>0</v>
      </c>
      <c r="AG1461" s="627">
        <v>0</v>
      </c>
      <c r="AH1461" s="627">
        <v>0</v>
      </c>
      <c r="AI1461" s="627">
        <v>0</v>
      </c>
    </row>
    <row r="1462" spans="3:35">
      <c r="C1462" s="611"/>
      <c r="D1462" s="934" t="s">
        <v>2108</v>
      </c>
      <c r="E1462" s="937">
        <v>2</v>
      </c>
      <c r="F1462" s="937">
        <v>2</v>
      </c>
      <c r="G1462" s="937">
        <v>5</v>
      </c>
      <c r="H1462" s="937">
        <v>2</v>
      </c>
      <c r="I1462" s="937">
        <v>5</v>
      </c>
      <c r="J1462" s="937">
        <v>9</v>
      </c>
      <c r="K1462" s="937">
        <v>5</v>
      </c>
      <c r="L1462" s="937">
        <v>7</v>
      </c>
      <c r="M1462" s="937">
        <v>7</v>
      </c>
      <c r="N1462" s="937">
        <v>7</v>
      </c>
      <c r="O1462" s="937">
        <v>2</v>
      </c>
      <c r="P1462" s="937">
        <v>5</v>
      </c>
      <c r="Q1462" s="937">
        <v>2</v>
      </c>
      <c r="R1462" s="937">
        <v>2</v>
      </c>
      <c r="S1462" s="937">
        <v>2</v>
      </c>
      <c r="T1462" s="937">
        <v>2</v>
      </c>
      <c r="U1462" s="937">
        <v>2</v>
      </c>
      <c r="V1462" s="937">
        <v>2</v>
      </c>
      <c r="W1462" s="937">
        <v>2</v>
      </c>
      <c r="X1462" s="937">
        <v>5</v>
      </c>
      <c r="Y1462" s="937">
        <v>2</v>
      </c>
      <c r="Z1462" s="937">
        <v>2</v>
      </c>
      <c r="AA1462" s="937">
        <v>2</v>
      </c>
      <c r="AB1462" s="937">
        <v>5</v>
      </c>
      <c r="AC1462" s="937">
        <v>7</v>
      </c>
      <c r="AD1462" s="627">
        <v>0</v>
      </c>
      <c r="AE1462" s="627">
        <v>0</v>
      </c>
      <c r="AF1462" s="627">
        <v>0</v>
      </c>
      <c r="AG1462" s="627">
        <v>0</v>
      </c>
      <c r="AH1462" s="627">
        <v>0</v>
      </c>
      <c r="AI1462" s="627">
        <v>0</v>
      </c>
    </row>
    <row r="1463" spans="3:35">
      <c r="C1463" s="611"/>
      <c r="D1463" s="934" t="s">
        <v>354</v>
      </c>
      <c r="E1463" s="937">
        <v>2</v>
      </c>
      <c r="F1463" s="937">
        <v>8</v>
      </c>
      <c r="G1463" s="937">
        <v>9</v>
      </c>
      <c r="H1463" s="937">
        <v>8</v>
      </c>
      <c r="I1463" s="937">
        <v>9</v>
      </c>
      <c r="J1463" s="937">
        <v>9</v>
      </c>
      <c r="K1463" s="937">
        <v>9</v>
      </c>
      <c r="L1463" s="937">
        <v>6</v>
      </c>
      <c r="M1463" s="937">
        <v>6</v>
      </c>
      <c r="N1463" s="937">
        <v>6</v>
      </c>
      <c r="O1463" s="937">
        <v>8</v>
      </c>
      <c r="P1463" s="937">
        <v>9</v>
      </c>
      <c r="Q1463" s="937">
        <v>8</v>
      </c>
      <c r="R1463" s="937">
        <v>2</v>
      </c>
      <c r="S1463" s="937">
        <v>8</v>
      </c>
      <c r="T1463" s="937">
        <v>8</v>
      </c>
      <c r="U1463" s="937">
        <v>8</v>
      </c>
      <c r="V1463" s="937">
        <v>8</v>
      </c>
      <c r="W1463" s="937">
        <v>8</v>
      </c>
      <c r="X1463" s="937">
        <v>9</v>
      </c>
      <c r="Y1463" s="937">
        <v>8</v>
      </c>
      <c r="Z1463" s="937">
        <v>8</v>
      </c>
      <c r="AA1463" s="937">
        <v>8</v>
      </c>
      <c r="AB1463" s="937">
        <v>9</v>
      </c>
      <c r="AC1463" s="937">
        <v>6</v>
      </c>
      <c r="AD1463" s="627">
        <v>0</v>
      </c>
      <c r="AE1463" s="627">
        <v>0</v>
      </c>
      <c r="AF1463" s="627">
        <v>0</v>
      </c>
      <c r="AG1463" s="627">
        <v>0</v>
      </c>
      <c r="AH1463" s="627">
        <v>0</v>
      </c>
      <c r="AI1463" s="627">
        <v>0</v>
      </c>
    </row>
    <row r="1464" spans="3:35">
      <c r="C1464" s="611"/>
      <c r="D1464" s="934" t="s">
        <v>355</v>
      </c>
      <c r="E1464" s="937">
        <v>1</v>
      </c>
      <c r="F1464" s="937">
        <v>1</v>
      </c>
      <c r="G1464" s="937">
        <v>3</v>
      </c>
      <c r="H1464" s="937">
        <v>1</v>
      </c>
      <c r="I1464" s="937">
        <v>3</v>
      </c>
      <c r="J1464" s="937">
        <v>4</v>
      </c>
      <c r="K1464" s="937">
        <v>3</v>
      </c>
      <c r="L1464" s="937">
        <v>9</v>
      </c>
      <c r="M1464" s="937">
        <v>9</v>
      </c>
      <c r="N1464" s="937">
        <v>9</v>
      </c>
      <c r="O1464" s="937">
        <v>1</v>
      </c>
      <c r="P1464" s="937">
        <v>3</v>
      </c>
      <c r="Q1464" s="937">
        <v>1</v>
      </c>
      <c r="R1464" s="937">
        <v>1</v>
      </c>
      <c r="S1464" s="937">
        <v>1</v>
      </c>
      <c r="T1464" s="937">
        <v>1</v>
      </c>
      <c r="U1464" s="937">
        <v>1</v>
      </c>
      <c r="V1464" s="937">
        <v>1</v>
      </c>
      <c r="W1464" s="937">
        <v>1</v>
      </c>
      <c r="X1464" s="937">
        <v>3</v>
      </c>
      <c r="Y1464" s="937">
        <v>1</v>
      </c>
      <c r="Z1464" s="937">
        <v>1</v>
      </c>
      <c r="AA1464" s="937">
        <v>1</v>
      </c>
      <c r="AB1464" s="937">
        <v>3</v>
      </c>
      <c r="AC1464" s="937">
        <v>9</v>
      </c>
      <c r="AD1464" s="627">
        <v>0</v>
      </c>
      <c r="AE1464" s="627">
        <v>0</v>
      </c>
      <c r="AF1464" s="627">
        <v>0</v>
      </c>
      <c r="AG1464" s="627">
        <v>0</v>
      </c>
      <c r="AH1464" s="627">
        <v>0</v>
      </c>
      <c r="AI1464" s="627">
        <v>0</v>
      </c>
    </row>
    <row r="1465" spans="3:35">
      <c r="C1465" s="611"/>
      <c r="D1465" s="934" t="s">
        <v>3765</v>
      </c>
      <c r="E1465" s="937">
        <v>1</v>
      </c>
      <c r="F1465" s="937">
        <v>1</v>
      </c>
      <c r="G1465" s="937">
        <v>3</v>
      </c>
      <c r="H1465" s="937">
        <v>1</v>
      </c>
      <c r="I1465" s="937">
        <v>3</v>
      </c>
      <c r="J1465" s="937">
        <v>4</v>
      </c>
      <c r="K1465" s="937">
        <v>3</v>
      </c>
      <c r="L1465" s="937">
        <v>9</v>
      </c>
      <c r="M1465" s="937">
        <v>9</v>
      </c>
      <c r="N1465" s="937">
        <v>9</v>
      </c>
      <c r="O1465" s="937">
        <v>1</v>
      </c>
      <c r="P1465" s="937">
        <v>3</v>
      </c>
      <c r="Q1465" s="937">
        <v>1</v>
      </c>
      <c r="R1465" s="937">
        <v>1</v>
      </c>
      <c r="S1465" s="937">
        <v>1</v>
      </c>
      <c r="T1465" s="937">
        <v>1</v>
      </c>
      <c r="U1465" s="937">
        <v>1</v>
      </c>
      <c r="V1465" s="937">
        <v>1</v>
      </c>
      <c r="W1465" s="937">
        <v>1</v>
      </c>
      <c r="X1465" s="937">
        <v>3</v>
      </c>
      <c r="Y1465" s="937">
        <v>1</v>
      </c>
      <c r="Z1465" s="937">
        <v>1</v>
      </c>
      <c r="AA1465" s="937">
        <v>1</v>
      </c>
      <c r="AB1465" s="937">
        <v>3</v>
      </c>
      <c r="AC1465" s="937">
        <v>9</v>
      </c>
      <c r="AD1465" s="627">
        <v>0</v>
      </c>
      <c r="AE1465" s="627">
        <v>0</v>
      </c>
      <c r="AF1465" s="627">
        <v>0</v>
      </c>
      <c r="AG1465" s="627">
        <v>0</v>
      </c>
      <c r="AH1465" s="627">
        <v>0</v>
      </c>
      <c r="AI1465" s="627">
        <v>0</v>
      </c>
    </row>
    <row r="1466" spans="3:35">
      <c r="C1466" s="611"/>
      <c r="D1466" s="934" t="s">
        <v>3766</v>
      </c>
      <c r="E1466" s="937">
        <v>1</v>
      </c>
      <c r="F1466" s="937">
        <v>1</v>
      </c>
      <c r="G1466" s="937">
        <v>3</v>
      </c>
      <c r="H1466" s="937">
        <v>1</v>
      </c>
      <c r="I1466" s="937">
        <v>3</v>
      </c>
      <c r="J1466" s="937">
        <v>4</v>
      </c>
      <c r="K1466" s="937">
        <v>3</v>
      </c>
      <c r="L1466" s="937">
        <v>9</v>
      </c>
      <c r="M1466" s="937">
        <v>9</v>
      </c>
      <c r="N1466" s="937">
        <v>9</v>
      </c>
      <c r="O1466" s="937">
        <v>1</v>
      </c>
      <c r="P1466" s="937">
        <v>3</v>
      </c>
      <c r="Q1466" s="937">
        <v>1</v>
      </c>
      <c r="R1466" s="937">
        <v>1</v>
      </c>
      <c r="S1466" s="937">
        <v>1</v>
      </c>
      <c r="T1466" s="937">
        <v>1</v>
      </c>
      <c r="U1466" s="937">
        <v>1</v>
      </c>
      <c r="V1466" s="937">
        <v>1</v>
      </c>
      <c r="W1466" s="937">
        <v>1</v>
      </c>
      <c r="X1466" s="937">
        <v>3</v>
      </c>
      <c r="Y1466" s="937">
        <v>1</v>
      </c>
      <c r="Z1466" s="937">
        <v>1</v>
      </c>
      <c r="AA1466" s="937">
        <v>1</v>
      </c>
      <c r="AB1466" s="937">
        <v>3</v>
      </c>
      <c r="AC1466" s="937">
        <v>9</v>
      </c>
      <c r="AD1466" s="627">
        <v>0</v>
      </c>
      <c r="AE1466" s="627">
        <v>0</v>
      </c>
      <c r="AF1466" s="627">
        <v>0</v>
      </c>
      <c r="AG1466" s="627">
        <v>0</v>
      </c>
      <c r="AH1466" s="627">
        <v>0</v>
      </c>
      <c r="AI1466" s="627">
        <v>0</v>
      </c>
    </row>
    <row r="1467" spans="3:35">
      <c r="C1467" s="611"/>
      <c r="D1467" s="934" t="s">
        <v>4417</v>
      </c>
      <c r="E1467" s="937">
        <v>6</v>
      </c>
      <c r="F1467" s="937">
        <v>10</v>
      </c>
      <c r="G1467" s="937">
        <v>9</v>
      </c>
      <c r="H1467" s="937">
        <v>10</v>
      </c>
      <c r="I1467" s="937">
        <v>9</v>
      </c>
      <c r="J1467" s="937">
        <v>5</v>
      </c>
      <c r="K1467" s="937">
        <v>9</v>
      </c>
      <c r="L1467" s="937">
        <v>3</v>
      </c>
      <c r="M1467" s="937">
        <v>3</v>
      </c>
      <c r="N1467" s="937">
        <v>3</v>
      </c>
      <c r="O1467" s="937">
        <v>10</v>
      </c>
      <c r="P1467" s="937">
        <v>9</v>
      </c>
      <c r="Q1467" s="937">
        <v>10</v>
      </c>
      <c r="R1467" s="937">
        <v>6</v>
      </c>
      <c r="S1467" s="937">
        <v>10</v>
      </c>
      <c r="T1467" s="937">
        <v>10</v>
      </c>
      <c r="U1467" s="937">
        <v>10</v>
      </c>
      <c r="V1467" s="937">
        <v>10</v>
      </c>
      <c r="W1467" s="937">
        <v>10</v>
      </c>
      <c r="X1467" s="937">
        <v>9</v>
      </c>
      <c r="Y1467" s="937">
        <v>10</v>
      </c>
      <c r="Z1467" s="937">
        <v>10</v>
      </c>
      <c r="AA1467" s="937">
        <v>10</v>
      </c>
      <c r="AB1467" s="937">
        <v>9</v>
      </c>
      <c r="AC1467" s="937">
        <v>3</v>
      </c>
      <c r="AD1467" s="627">
        <v>0</v>
      </c>
      <c r="AE1467" s="627">
        <v>0</v>
      </c>
      <c r="AF1467" s="627">
        <v>0</v>
      </c>
      <c r="AG1467" s="627">
        <v>0</v>
      </c>
      <c r="AH1467" s="627">
        <v>0</v>
      </c>
      <c r="AI1467" s="627">
        <v>0</v>
      </c>
    </row>
    <row r="1468" spans="3:35">
      <c r="C1468" s="611"/>
      <c r="D1468" s="934" t="s">
        <v>4418</v>
      </c>
      <c r="E1468" s="937">
        <v>2</v>
      </c>
      <c r="F1468" s="937">
        <v>8</v>
      </c>
      <c r="G1468" s="937">
        <v>9</v>
      </c>
      <c r="H1468" s="937">
        <v>8</v>
      </c>
      <c r="I1468" s="937">
        <v>9</v>
      </c>
      <c r="J1468" s="937">
        <v>9</v>
      </c>
      <c r="K1468" s="937">
        <v>9</v>
      </c>
      <c r="L1468" s="937">
        <v>6</v>
      </c>
      <c r="M1468" s="937">
        <v>6</v>
      </c>
      <c r="N1468" s="937">
        <v>6</v>
      </c>
      <c r="O1468" s="937">
        <v>8</v>
      </c>
      <c r="P1468" s="937">
        <v>9</v>
      </c>
      <c r="Q1468" s="937">
        <v>8</v>
      </c>
      <c r="R1468" s="937">
        <v>2</v>
      </c>
      <c r="S1468" s="937">
        <v>8</v>
      </c>
      <c r="T1468" s="937">
        <v>8</v>
      </c>
      <c r="U1468" s="937">
        <v>8</v>
      </c>
      <c r="V1468" s="937">
        <v>8</v>
      </c>
      <c r="W1468" s="937">
        <v>8</v>
      </c>
      <c r="X1468" s="937">
        <v>9</v>
      </c>
      <c r="Y1468" s="937">
        <v>8</v>
      </c>
      <c r="Z1468" s="937">
        <v>8</v>
      </c>
      <c r="AA1468" s="937">
        <v>8</v>
      </c>
      <c r="AB1468" s="937">
        <v>9</v>
      </c>
      <c r="AC1468" s="937">
        <v>6</v>
      </c>
      <c r="AD1468" s="627">
        <v>0</v>
      </c>
      <c r="AE1468" s="627">
        <v>0</v>
      </c>
      <c r="AF1468" s="627">
        <v>0</v>
      </c>
      <c r="AG1468" s="627">
        <v>0</v>
      </c>
      <c r="AH1468" s="627">
        <v>0</v>
      </c>
      <c r="AI1468" s="627">
        <v>0</v>
      </c>
    </row>
    <row r="1469" spans="3:35">
      <c r="C1469" s="611"/>
      <c r="D1469" s="934" t="s">
        <v>4419</v>
      </c>
      <c r="E1469" s="937">
        <v>6</v>
      </c>
      <c r="F1469" s="937">
        <v>10</v>
      </c>
      <c r="G1469" s="937">
        <v>9</v>
      </c>
      <c r="H1469" s="937">
        <v>10</v>
      </c>
      <c r="I1469" s="937">
        <v>9</v>
      </c>
      <c r="J1469" s="937">
        <v>5</v>
      </c>
      <c r="K1469" s="937">
        <v>9</v>
      </c>
      <c r="L1469" s="937">
        <v>3</v>
      </c>
      <c r="M1469" s="937">
        <v>3</v>
      </c>
      <c r="N1469" s="937">
        <v>3</v>
      </c>
      <c r="O1469" s="937">
        <v>10</v>
      </c>
      <c r="P1469" s="937">
        <v>9</v>
      </c>
      <c r="Q1469" s="937">
        <v>10</v>
      </c>
      <c r="R1469" s="937">
        <v>6</v>
      </c>
      <c r="S1469" s="937">
        <v>10</v>
      </c>
      <c r="T1469" s="937">
        <v>10</v>
      </c>
      <c r="U1469" s="937">
        <v>10</v>
      </c>
      <c r="V1469" s="937">
        <v>10</v>
      </c>
      <c r="W1469" s="937">
        <v>10</v>
      </c>
      <c r="X1469" s="937">
        <v>9</v>
      </c>
      <c r="Y1469" s="937">
        <v>10</v>
      </c>
      <c r="Z1469" s="937">
        <v>10</v>
      </c>
      <c r="AA1469" s="937">
        <v>10</v>
      </c>
      <c r="AB1469" s="937">
        <v>9</v>
      </c>
      <c r="AC1469" s="937">
        <v>3</v>
      </c>
      <c r="AD1469" s="627">
        <v>0</v>
      </c>
      <c r="AE1469" s="627">
        <v>0</v>
      </c>
      <c r="AF1469" s="627">
        <v>0</v>
      </c>
      <c r="AG1469" s="627">
        <v>0</v>
      </c>
      <c r="AH1469" s="627">
        <v>0</v>
      </c>
      <c r="AI1469" s="627">
        <v>0</v>
      </c>
    </row>
    <row r="1470" spans="3:35">
      <c r="C1470" s="611"/>
      <c r="D1470" s="934" t="s">
        <v>4420</v>
      </c>
      <c r="E1470" s="937">
        <v>8</v>
      </c>
      <c r="F1470" s="937">
        <v>6</v>
      </c>
      <c r="G1470" s="937">
        <v>2</v>
      </c>
      <c r="H1470" s="937">
        <v>6</v>
      </c>
      <c r="I1470" s="937">
        <v>2</v>
      </c>
      <c r="J1470" s="937">
        <v>1</v>
      </c>
      <c r="K1470" s="937">
        <v>2</v>
      </c>
      <c r="L1470" s="937">
        <v>1</v>
      </c>
      <c r="M1470" s="937">
        <v>1</v>
      </c>
      <c r="N1470" s="937">
        <v>1</v>
      </c>
      <c r="O1470" s="937">
        <v>6</v>
      </c>
      <c r="P1470" s="937">
        <v>2</v>
      </c>
      <c r="Q1470" s="937">
        <v>6</v>
      </c>
      <c r="R1470" s="937">
        <v>8</v>
      </c>
      <c r="S1470" s="937">
        <v>6</v>
      </c>
      <c r="T1470" s="937">
        <v>6</v>
      </c>
      <c r="U1470" s="937">
        <v>6</v>
      </c>
      <c r="V1470" s="937">
        <v>6</v>
      </c>
      <c r="W1470" s="937">
        <v>6</v>
      </c>
      <c r="X1470" s="937">
        <v>2</v>
      </c>
      <c r="Y1470" s="937">
        <v>6</v>
      </c>
      <c r="Z1470" s="937">
        <v>6</v>
      </c>
      <c r="AA1470" s="937">
        <v>6</v>
      </c>
      <c r="AB1470" s="937">
        <v>2</v>
      </c>
      <c r="AC1470" s="937">
        <v>1</v>
      </c>
      <c r="AD1470" s="627">
        <v>0</v>
      </c>
      <c r="AE1470" s="627">
        <v>0</v>
      </c>
      <c r="AF1470" s="627">
        <v>0</v>
      </c>
      <c r="AG1470" s="627">
        <v>0</v>
      </c>
      <c r="AH1470" s="627">
        <v>0</v>
      </c>
      <c r="AI1470" s="627">
        <v>0</v>
      </c>
    </row>
    <row r="1471" spans="3:35">
      <c r="C1471" s="611"/>
      <c r="D1471" s="934" t="s">
        <v>4421</v>
      </c>
      <c r="E1471" s="937">
        <v>6</v>
      </c>
      <c r="F1471" s="937">
        <v>10</v>
      </c>
      <c r="G1471" s="937">
        <v>9</v>
      </c>
      <c r="H1471" s="937">
        <v>10</v>
      </c>
      <c r="I1471" s="937">
        <v>9</v>
      </c>
      <c r="J1471" s="937">
        <v>5</v>
      </c>
      <c r="K1471" s="937">
        <v>9</v>
      </c>
      <c r="L1471" s="937">
        <v>3</v>
      </c>
      <c r="M1471" s="937">
        <v>3</v>
      </c>
      <c r="N1471" s="937">
        <v>3</v>
      </c>
      <c r="O1471" s="937">
        <v>10</v>
      </c>
      <c r="P1471" s="937">
        <v>9</v>
      </c>
      <c r="Q1471" s="937">
        <v>10</v>
      </c>
      <c r="R1471" s="937">
        <v>6</v>
      </c>
      <c r="S1471" s="937">
        <v>10</v>
      </c>
      <c r="T1471" s="937">
        <v>10</v>
      </c>
      <c r="U1471" s="937">
        <v>10</v>
      </c>
      <c r="V1471" s="937">
        <v>10</v>
      </c>
      <c r="W1471" s="937">
        <v>10</v>
      </c>
      <c r="X1471" s="937">
        <v>9</v>
      </c>
      <c r="Y1471" s="937">
        <v>10</v>
      </c>
      <c r="Z1471" s="937">
        <v>10</v>
      </c>
      <c r="AA1471" s="937">
        <v>10</v>
      </c>
      <c r="AB1471" s="937">
        <v>9</v>
      </c>
      <c r="AC1471" s="937">
        <v>3</v>
      </c>
      <c r="AD1471" s="627">
        <v>0</v>
      </c>
      <c r="AE1471" s="627">
        <v>0</v>
      </c>
      <c r="AF1471" s="627">
        <v>0</v>
      </c>
      <c r="AG1471" s="627">
        <v>0</v>
      </c>
      <c r="AH1471" s="627">
        <v>0</v>
      </c>
      <c r="AI1471" s="627">
        <v>0</v>
      </c>
    </row>
    <row r="1472" spans="3:35">
      <c r="C1472" s="611"/>
      <c r="D1472" s="934" t="s">
        <v>4422</v>
      </c>
      <c r="E1472" s="937">
        <v>6</v>
      </c>
      <c r="F1472" s="937">
        <v>10</v>
      </c>
      <c r="G1472" s="937">
        <v>9</v>
      </c>
      <c r="H1472" s="937">
        <v>10</v>
      </c>
      <c r="I1472" s="937">
        <v>9</v>
      </c>
      <c r="J1472" s="937">
        <v>5</v>
      </c>
      <c r="K1472" s="937">
        <v>9</v>
      </c>
      <c r="L1472" s="937">
        <v>3</v>
      </c>
      <c r="M1472" s="937">
        <v>3</v>
      </c>
      <c r="N1472" s="937">
        <v>3</v>
      </c>
      <c r="O1472" s="937">
        <v>10</v>
      </c>
      <c r="P1472" s="937">
        <v>9</v>
      </c>
      <c r="Q1472" s="937">
        <v>10</v>
      </c>
      <c r="R1472" s="937">
        <v>6</v>
      </c>
      <c r="S1472" s="937">
        <v>10</v>
      </c>
      <c r="T1472" s="937">
        <v>10</v>
      </c>
      <c r="U1472" s="937">
        <v>10</v>
      </c>
      <c r="V1472" s="937">
        <v>10</v>
      </c>
      <c r="W1472" s="937">
        <v>10</v>
      </c>
      <c r="X1472" s="937">
        <v>9</v>
      </c>
      <c r="Y1472" s="937">
        <v>10</v>
      </c>
      <c r="Z1472" s="937">
        <v>10</v>
      </c>
      <c r="AA1472" s="937">
        <v>10</v>
      </c>
      <c r="AB1472" s="937">
        <v>9</v>
      </c>
      <c r="AC1472" s="937">
        <v>3</v>
      </c>
      <c r="AD1472" s="627">
        <v>0</v>
      </c>
      <c r="AE1472" s="627">
        <v>0</v>
      </c>
      <c r="AF1472" s="627">
        <v>0</v>
      </c>
      <c r="AG1472" s="627">
        <v>0</v>
      </c>
      <c r="AH1472" s="627">
        <v>0</v>
      </c>
      <c r="AI1472" s="627">
        <v>0</v>
      </c>
    </row>
    <row r="1473" spans="3:35">
      <c r="C1473" s="611"/>
      <c r="D1473" s="934" t="s">
        <v>4423</v>
      </c>
      <c r="E1473" s="937">
        <v>6</v>
      </c>
      <c r="F1473" s="937">
        <v>10</v>
      </c>
      <c r="G1473" s="937">
        <v>9</v>
      </c>
      <c r="H1473" s="937">
        <v>10</v>
      </c>
      <c r="I1473" s="937">
        <v>9</v>
      </c>
      <c r="J1473" s="937">
        <v>5</v>
      </c>
      <c r="K1473" s="937">
        <v>9</v>
      </c>
      <c r="L1473" s="937">
        <v>3</v>
      </c>
      <c r="M1473" s="937">
        <v>3</v>
      </c>
      <c r="N1473" s="937">
        <v>3</v>
      </c>
      <c r="O1473" s="937">
        <v>10</v>
      </c>
      <c r="P1473" s="937">
        <v>9</v>
      </c>
      <c r="Q1473" s="937">
        <v>10</v>
      </c>
      <c r="R1473" s="937">
        <v>6</v>
      </c>
      <c r="S1473" s="937">
        <v>10</v>
      </c>
      <c r="T1473" s="937">
        <v>10</v>
      </c>
      <c r="U1473" s="937">
        <v>10</v>
      </c>
      <c r="V1473" s="937">
        <v>10</v>
      </c>
      <c r="W1473" s="937">
        <v>10</v>
      </c>
      <c r="X1473" s="937">
        <v>9</v>
      </c>
      <c r="Y1473" s="937">
        <v>10</v>
      </c>
      <c r="Z1473" s="937">
        <v>10</v>
      </c>
      <c r="AA1473" s="937">
        <v>10</v>
      </c>
      <c r="AB1473" s="937">
        <v>9</v>
      </c>
      <c r="AC1473" s="937">
        <v>3</v>
      </c>
      <c r="AD1473" s="627">
        <v>0</v>
      </c>
      <c r="AE1473" s="627">
        <v>0</v>
      </c>
      <c r="AF1473" s="627">
        <v>0</v>
      </c>
      <c r="AG1473" s="627">
        <v>0</v>
      </c>
      <c r="AH1473" s="627">
        <v>0</v>
      </c>
      <c r="AI1473" s="627">
        <v>0</v>
      </c>
    </row>
    <row r="1474" spans="3:35">
      <c r="C1474" s="611"/>
      <c r="D1474" s="934" t="s">
        <v>4424</v>
      </c>
      <c r="E1474" s="937">
        <v>6</v>
      </c>
      <c r="F1474" s="937">
        <v>10</v>
      </c>
      <c r="G1474" s="937">
        <v>9</v>
      </c>
      <c r="H1474" s="937">
        <v>10</v>
      </c>
      <c r="I1474" s="937">
        <v>9</v>
      </c>
      <c r="J1474" s="937">
        <v>5</v>
      </c>
      <c r="K1474" s="937">
        <v>9</v>
      </c>
      <c r="L1474" s="937">
        <v>3</v>
      </c>
      <c r="M1474" s="937">
        <v>3</v>
      </c>
      <c r="N1474" s="937">
        <v>3</v>
      </c>
      <c r="O1474" s="937">
        <v>10</v>
      </c>
      <c r="P1474" s="937">
        <v>9</v>
      </c>
      <c r="Q1474" s="937">
        <v>10</v>
      </c>
      <c r="R1474" s="937">
        <v>6</v>
      </c>
      <c r="S1474" s="937">
        <v>10</v>
      </c>
      <c r="T1474" s="937">
        <v>10</v>
      </c>
      <c r="U1474" s="937">
        <v>10</v>
      </c>
      <c r="V1474" s="937">
        <v>10</v>
      </c>
      <c r="W1474" s="937">
        <v>10</v>
      </c>
      <c r="X1474" s="937">
        <v>9</v>
      </c>
      <c r="Y1474" s="937">
        <v>10</v>
      </c>
      <c r="Z1474" s="937">
        <v>10</v>
      </c>
      <c r="AA1474" s="937">
        <v>10</v>
      </c>
      <c r="AB1474" s="937">
        <v>9</v>
      </c>
      <c r="AC1474" s="937">
        <v>3</v>
      </c>
      <c r="AD1474" s="627">
        <v>0</v>
      </c>
      <c r="AE1474" s="627">
        <v>0</v>
      </c>
      <c r="AF1474" s="627">
        <v>0</v>
      </c>
      <c r="AG1474" s="627">
        <v>0</v>
      </c>
      <c r="AH1474" s="627">
        <v>0</v>
      </c>
      <c r="AI1474" s="627">
        <v>0</v>
      </c>
    </row>
    <row r="1475" spans="3:35">
      <c r="C1475" s="611"/>
      <c r="D1475" s="934" t="s">
        <v>4425</v>
      </c>
      <c r="E1475" s="937">
        <v>6</v>
      </c>
      <c r="F1475" s="937">
        <v>10</v>
      </c>
      <c r="G1475" s="937">
        <v>9</v>
      </c>
      <c r="H1475" s="937">
        <v>10</v>
      </c>
      <c r="I1475" s="937">
        <v>9</v>
      </c>
      <c r="J1475" s="937">
        <v>5</v>
      </c>
      <c r="K1475" s="937">
        <v>9</v>
      </c>
      <c r="L1475" s="937">
        <v>3</v>
      </c>
      <c r="M1475" s="937">
        <v>3</v>
      </c>
      <c r="N1475" s="937">
        <v>3</v>
      </c>
      <c r="O1475" s="937">
        <v>10</v>
      </c>
      <c r="P1475" s="937">
        <v>9</v>
      </c>
      <c r="Q1475" s="937">
        <v>10</v>
      </c>
      <c r="R1475" s="937">
        <v>6</v>
      </c>
      <c r="S1475" s="937">
        <v>10</v>
      </c>
      <c r="T1475" s="937">
        <v>10</v>
      </c>
      <c r="U1475" s="937">
        <v>10</v>
      </c>
      <c r="V1475" s="937">
        <v>10</v>
      </c>
      <c r="W1475" s="937">
        <v>10</v>
      </c>
      <c r="X1475" s="937">
        <v>9</v>
      </c>
      <c r="Y1475" s="937">
        <v>10</v>
      </c>
      <c r="Z1475" s="937">
        <v>10</v>
      </c>
      <c r="AA1475" s="937">
        <v>10</v>
      </c>
      <c r="AB1475" s="937">
        <v>9</v>
      </c>
      <c r="AC1475" s="937">
        <v>3</v>
      </c>
      <c r="AD1475" s="627">
        <v>0</v>
      </c>
      <c r="AE1475" s="627">
        <v>0</v>
      </c>
      <c r="AF1475" s="627">
        <v>0</v>
      </c>
      <c r="AG1475" s="627">
        <v>0</v>
      </c>
      <c r="AH1475" s="627">
        <v>0</v>
      </c>
      <c r="AI1475" s="627">
        <v>0</v>
      </c>
    </row>
    <row r="1476" spans="3:35">
      <c r="C1476" s="611"/>
      <c r="D1476" s="934" t="s">
        <v>4426</v>
      </c>
      <c r="E1476" s="937">
        <v>2</v>
      </c>
      <c r="F1476" s="937">
        <v>8</v>
      </c>
      <c r="G1476" s="937">
        <v>9</v>
      </c>
      <c r="H1476" s="937">
        <v>8</v>
      </c>
      <c r="I1476" s="937">
        <v>9</v>
      </c>
      <c r="J1476" s="937">
        <v>9</v>
      </c>
      <c r="K1476" s="937">
        <v>9</v>
      </c>
      <c r="L1476" s="937">
        <v>6</v>
      </c>
      <c r="M1476" s="937">
        <v>6</v>
      </c>
      <c r="N1476" s="937">
        <v>6</v>
      </c>
      <c r="O1476" s="937">
        <v>8</v>
      </c>
      <c r="P1476" s="937">
        <v>9</v>
      </c>
      <c r="Q1476" s="937">
        <v>8</v>
      </c>
      <c r="R1476" s="937">
        <v>2</v>
      </c>
      <c r="S1476" s="937">
        <v>8</v>
      </c>
      <c r="T1476" s="937">
        <v>8</v>
      </c>
      <c r="U1476" s="937">
        <v>8</v>
      </c>
      <c r="V1476" s="937">
        <v>8</v>
      </c>
      <c r="W1476" s="937">
        <v>8</v>
      </c>
      <c r="X1476" s="937">
        <v>9</v>
      </c>
      <c r="Y1476" s="937">
        <v>8</v>
      </c>
      <c r="Z1476" s="937">
        <v>8</v>
      </c>
      <c r="AA1476" s="937">
        <v>8</v>
      </c>
      <c r="AB1476" s="937">
        <v>9</v>
      </c>
      <c r="AC1476" s="937">
        <v>6</v>
      </c>
      <c r="AD1476" s="627">
        <v>0</v>
      </c>
      <c r="AE1476" s="627">
        <v>0</v>
      </c>
      <c r="AF1476" s="627">
        <v>0</v>
      </c>
      <c r="AG1476" s="627">
        <v>0</v>
      </c>
      <c r="AH1476" s="627">
        <v>0</v>
      </c>
      <c r="AI1476" s="627">
        <v>0</v>
      </c>
    </row>
    <row r="1477" spans="3:35">
      <c r="C1477" s="611"/>
      <c r="D1477" s="934" t="s">
        <v>8369</v>
      </c>
      <c r="E1477" s="937">
        <v>6</v>
      </c>
      <c r="F1477" s="937">
        <v>10</v>
      </c>
      <c r="G1477" s="937">
        <v>9</v>
      </c>
      <c r="H1477" s="937">
        <v>10</v>
      </c>
      <c r="I1477" s="937">
        <v>9</v>
      </c>
      <c r="J1477" s="937">
        <v>5</v>
      </c>
      <c r="K1477" s="937">
        <v>9</v>
      </c>
      <c r="L1477" s="937">
        <v>3</v>
      </c>
      <c r="M1477" s="937">
        <v>3</v>
      </c>
      <c r="N1477" s="937">
        <v>3</v>
      </c>
      <c r="O1477" s="937">
        <v>10</v>
      </c>
      <c r="P1477" s="937">
        <v>9</v>
      </c>
      <c r="Q1477" s="937">
        <v>10</v>
      </c>
      <c r="R1477" s="937">
        <v>6</v>
      </c>
      <c r="S1477" s="937">
        <v>10</v>
      </c>
      <c r="T1477" s="937">
        <v>10</v>
      </c>
      <c r="U1477" s="937">
        <v>10</v>
      </c>
      <c r="V1477" s="937">
        <v>10</v>
      </c>
      <c r="W1477" s="937">
        <v>10</v>
      </c>
      <c r="X1477" s="937">
        <v>9</v>
      </c>
      <c r="Y1477" s="937">
        <v>10</v>
      </c>
      <c r="Z1477" s="937">
        <v>10</v>
      </c>
      <c r="AA1477" s="937">
        <v>10</v>
      </c>
      <c r="AB1477" s="937">
        <v>9</v>
      </c>
      <c r="AC1477" s="937">
        <v>3</v>
      </c>
      <c r="AD1477" s="627">
        <v>0</v>
      </c>
      <c r="AE1477" s="627">
        <v>0</v>
      </c>
      <c r="AF1477" s="627">
        <v>0</v>
      </c>
      <c r="AG1477" s="627">
        <v>0</v>
      </c>
      <c r="AH1477" s="627">
        <v>0</v>
      </c>
      <c r="AI1477" s="627">
        <v>0</v>
      </c>
    </row>
    <row r="1478" spans="3:35">
      <c r="C1478" s="611"/>
      <c r="D1478" s="934" t="s">
        <v>4427</v>
      </c>
      <c r="E1478" s="937">
        <v>2</v>
      </c>
      <c r="F1478" s="937">
        <v>2</v>
      </c>
      <c r="G1478" s="937">
        <v>5</v>
      </c>
      <c r="H1478" s="937">
        <v>2</v>
      </c>
      <c r="I1478" s="937">
        <v>5</v>
      </c>
      <c r="J1478" s="937">
        <v>9</v>
      </c>
      <c r="K1478" s="937">
        <v>5</v>
      </c>
      <c r="L1478" s="937">
        <v>7</v>
      </c>
      <c r="M1478" s="937">
        <v>7</v>
      </c>
      <c r="N1478" s="937">
        <v>7</v>
      </c>
      <c r="O1478" s="937">
        <v>2</v>
      </c>
      <c r="P1478" s="937">
        <v>5</v>
      </c>
      <c r="Q1478" s="937">
        <v>2</v>
      </c>
      <c r="R1478" s="937">
        <v>2</v>
      </c>
      <c r="S1478" s="937">
        <v>2</v>
      </c>
      <c r="T1478" s="937">
        <v>2</v>
      </c>
      <c r="U1478" s="937">
        <v>2</v>
      </c>
      <c r="V1478" s="937">
        <v>2</v>
      </c>
      <c r="W1478" s="937">
        <v>2</v>
      </c>
      <c r="X1478" s="937">
        <v>5</v>
      </c>
      <c r="Y1478" s="937">
        <v>2</v>
      </c>
      <c r="Z1478" s="937">
        <v>2</v>
      </c>
      <c r="AA1478" s="937">
        <v>2</v>
      </c>
      <c r="AB1478" s="937">
        <v>5</v>
      </c>
      <c r="AC1478" s="937">
        <v>7</v>
      </c>
      <c r="AD1478" s="627">
        <v>0</v>
      </c>
      <c r="AE1478" s="627">
        <v>0</v>
      </c>
      <c r="AF1478" s="627">
        <v>0</v>
      </c>
      <c r="AG1478" s="627">
        <v>0</v>
      </c>
      <c r="AH1478" s="627">
        <v>0</v>
      </c>
      <c r="AI1478" s="627">
        <v>0</v>
      </c>
    </row>
    <row r="1479" spans="3:35">
      <c r="C1479" s="611"/>
      <c r="D1479" s="934" t="s">
        <v>8368</v>
      </c>
      <c r="E1479" s="937">
        <v>6</v>
      </c>
      <c r="F1479" s="937">
        <v>10</v>
      </c>
      <c r="G1479" s="937">
        <v>9</v>
      </c>
      <c r="H1479" s="937">
        <v>10</v>
      </c>
      <c r="I1479" s="937">
        <v>9</v>
      </c>
      <c r="J1479" s="937">
        <v>5</v>
      </c>
      <c r="K1479" s="937">
        <v>9</v>
      </c>
      <c r="L1479" s="937">
        <v>3</v>
      </c>
      <c r="M1479" s="937">
        <v>3</v>
      </c>
      <c r="N1479" s="937">
        <v>3</v>
      </c>
      <c r="O1479" s="937">
        <v>10</v>
      </c>
      <c r="P1479" s="937">
        <v>9</v>
      </c>
      <c r="Q1479" s="937">
        <v>10</v>
      </c>
      <c r="R1479" s="937">
        <v>6</v>
      </c>
      <c r="S1479" s="937">
        <v>10</v>
      </c>
      <c r="T1479" s="937">
        <v>10</v>
      </c>
      <c r="U1479" s="937">
        <v>10</v>
      </c>
      <c r="V1479" s="937">
        <v>10</v>
      </c>
      <c r="W1479" s="937">
        <v>10</v>
      </c>
      <c r="X1479" s="937">
        <v>9</v>
      </c>
      <c r="Y1479" s="937">
        <v>10</v>
      </c>
      <c r="Z1479" s="937">
        <v>10</v>
      </c>
      <c r="AA1479" s="937">
        <v>10</v>
      </c>
      <c r="AB1479" s="937">
        <v>9</v>
      </c>
      <c r="AC1479" s="937">
        <v>3</v>
      </c>
      <c r="AD1479" s="627">
        <v>0</v>
      </c>
      <c r="AE1479" s="627">
        <v>0</v>
      </c>
      <c r="AF1479" s="627">
        <v>0</v>
      </c>
      <c r="AG1479" s="627">
        <v>0</v>
      </c>
      <c r="AH1479" s="627">
        <v>0</v>
      </c>
      <c r="AI1479" s="627">
        <v>0</v>
      </c>
    </row>
    <row r="1480" spans="3:35">
      <c r="C1480" s="611"/>
      <c r="D1480" s="934" t="s">
        <v>4428</v>
      </c>
      <c r="E1480" s="937">
        <v>2</v>
      </c>
      <c r="F1480" s="937">
        <v>8</v>
      </c>
      <c r="G1480" s="937">
        <v>9</v>
      </c>
      <c r="H1480" s="937">
        <v>8</v>
      </c>
      <c r="I1480" s="937">
        <v>9</v>
      </c>
      <c r="J1480" s="937">
        <v>9</v>
      </c>
      <c r="K1480" s="937">
        <v>9</v>
      </c>
      <c r="L1480" s="937">
        <v>6</v>
      </c>
      <c r="M1480" s="937">
        <v>6</v>
      </c>
      <c r="N1480" s="937">
        <v>6</v>
      </c>
      <c r="O1480" s="937">
        <v>8</v>
      </c>
      <c r="P1480" s="937">
        <v>9</v>
      </c>
      <c r="Q1480" s="937">
        <v>8</v>
      </c>
      <c r="R1480" s="937">
        <v>2</v>
      </c>
      <c r="S1480" s="937">
        <v>8</v>
      </c>
      <c r="T1480" s="937">
        <v>8</v>
      </c>
      <c r="U1480" s="937">
        <v>8</v>
      </c>
      <c r="V1480" s="937">
        <v>8</v>
      </c>
      <c r="W1480" s="937">
        <v>8</v>
      </c>
      <c r="X1480" s="937">
        <v>9</v>
      </c>
      <c r="Y1480" s="937">
        <v>8</v>
      </c>
      <c r="Z1480" s="937">
        <v>8</v>
      </c>
      <c r="AA1480" s="937">
        <v>8</v>
      </c>
      <c r="AB1480" s="937">
        <v>9</v>
      </c>
      <c r="AC1480" s="937">
        <v>6</v>
      </c>
      <c r="AD1480" s="627">
        <v>0</v>
      </c>
      <c r="AE1480" s="627">
        <v>0</v>
      </c>
      <c r="AF1480" s="627">
        <v>0</v>
      </c>
      <c r="AG1480" s="627">
        <v>0</v>
      </c>
      <c r="AH1480" s="627">
        <v>0</v>
      </c>
      <c r="AI1480" s="627">
        <v>0</v>
      </c>
    </row>
    <row r="1481" spans="3:35">
      <c r="C1481" s="611"/>
      <c r="D1481" s="934" t="s">
        <v>4429</v>
      </c>
      <c r="E1481" s="937">
        <v>1</v>
      </c>
      <c r="F1481" s="937">
        <v>1</v>
      </c>
      <c r="G1481" s="937">
        <v>3</v>
      </c>
      <c r="H1481" s="937">
        <v>1</v>
      </c>
      <c r="I1481" s="937">
        <v>3</v>
      </c>
      <c r="J1481" s="937">
        <v>4</v>
      </c>
      <c r="K1481" s="937">
        <v>3</v>
      </c>
      <c r="L1481" s="937">
        <v>9</v>
      </c>
      <c r="M1481" s="937">
        <v>9</v>
      </c>
      <c r="N1481" s="937">
        <v>9</v>
      </c>
      <c r="O1481" s="937">
        <v>1</v>
      </c>
      <c r="P1481" s="937">
        <v>3</v>
      </c>
      <c r="Q1481" s="937">
        <v>1</v>
      </c>
      <c r="R1481" s="937">
        <v>1</v>
      </c>
      <c r="S1481" s="937">
        <v>1</v>
      </c>
      <c r="T1481" s="937">
        <v>1</v>
      </c>
      <c r="U1481" s="937">
        <v>1</v>
      </c>
      <c r="V1481" s="937">
        <v>1</v>
      </c>
      <c r="W1481" s="937">
        <v>1</v>
      </c>
      <c r="X1481" s="937">
        <v>3</v>
      </c>
      <c r="Y1481" s="937">
        <v>1</v>
      </c>
      <c r="Z1481" s="937">
        <v>1</v>
      </c>
      <c r="AA1481" s="937">
        <v>1</v>
      </c>
      <c r="AB1481" s="937">
        <v>3</v>
      </c>
      <c r="AC1481" s="937">
        <v>9</v>
      </c>
      <c r="AD1481" s="627">
        <v>0</v>
      </c>
      <c r="AE1481" s="627">
        <v>0</v>
      </c>
      <c r="AF1481" s="627">
        <v>0</v>
      </c>
      <c r="AG1481" s="627">
        <v>0</v>
      </c>
      <c r="AH1481" s="627">
        <v>0</v>
      </c>
      <c r="AI1481" s="627">
        <v>0</v>
      </c>
    </row>
    <row r="1482" spans="3:35">
      <c r="C1482" s="611"/>
      <c r="D1482" s="934" t="s">
        <v>5661</v>
      </c>
      <c r="E1482" s="627">
        <v>0</v>
      </c>
      <c r="F1482" s="627">
        <v>0</v>
      </c>
      <c r="G1482" s="627">
        <v>0</v>
      </c>
      <c r="H1482" s="627">
        <v>0</v>
      </c>
      <c r="I1482" s="627">
        <v>0</v>
      </c>
      <c r="J1482" s="627">
        <v>0</v>
      </c>
      <c r="K1482" s="627">
        <v>0</v>
      </c>
      <c r="L1482" s="627">
        <v>0</v>
      </c>
      <c r="M1482" s="627">
        <v>0</v>
      </c>
      <c r="N1482" s="627">
        <v>0</v>
      </c>
      <c r="O1482" s="627">
        <v>0</v>
      </c>
      <c r="P1482" s="627">
        <v>0</v>
      </c>
      <c r="Q1482" s="627">
        <v>0</v>
      </c>
      <c r="R1482" s="627">
        <v>0</v>
      </c>
      <c r="S1482" s="627">
        <v>0</v>
      </c>
      <c r="T1482" s="627">
        <v>0</v>
      </c>
      <c r="U1482" s="627">
        <v>0</v>
      </c>
      <c r="V1482" s="627">
        <v>0</v>
      </c>
      <c r="W1482" s="627">
        <v>0</v>
      </c>
      <c r="X1482" s="627">
        <v>0</v>
      </c>
      <c r="Y1482" s="627">
        <v>0</v>
      </c>
      <c r="Z1482" s="627">
        <v>0</v>
      </c>
      <c r="AA1482" s="627">
        <v>0</v>
      </c>
      <c r="AB1482" s="627">
        <v>0</v>
      </c>
      <c r="AC1482" s="627">
        <v>0</v>
      </c>
      <c r="AD1482" s="627">
        <v>0</v>
      </c>
      <c r="AE1482" s="627">
        <v>0</v>
      </c>
      <c r="AF1482" s="627">
        <v>0</v>
      </c>
      <c r="AG1482" s="627">
        <v>0</v>
      </c>
      <c r="AH1482" s="627">
        <v>0</v>
      </c>
      <c r="AI1482" s="627">
        <v>0</v>
      </c>
    </row>
    <row r="1483" spans="3:35">
      <c r="C1483" s="611"/>
      <c r="D1483" s="934" t="s">
        <v>5661</v>
      </c>
      <c r="E1483" s="627">
        <v>0</v>
      </c>
      <c r="F1483" s="627">
        <v>0</v>
      </c>
      <c r="G1483" s="627">
        <v>0</v>
      </c>
      <c r="H1483" s="627">
        <v>0</v>
      </c>
      <c r="I1483" s="627">
        <v>0</v>
      </c>
      <c r="J1483" s="627">
        <v>0</v>
      </c>
      <c r="K1483" s="627">
        <v>0</v>
      </c>
      <c r="L1483" s="627">
        <v>0</v>
      </c>
      <c r="M1483" s="627">
        <v>0</v>
      </c>
      <c r="N1483" s="627">
        <v>0</v>
      </c>
      <c r="O1483" s="627">
        <v>0</v>
      </c>
      <c r="P1483" s="627">
        <v>0</v>
      </c>
      <c r="Q1483" s="627">
        <v>0</v>
      </c>
      <c r="R1483" s="627">
        <v>0</v>
      </c>
      <c r="S1483" s="627">
        <v>0</v>
      </c>
      <c r="T1483" s="627">
        <v>0</v>
      </c>
      <c r="U1483" s="627">
        <v>0</v>
      </c>
      <c r="V1483" s="627">
        <v>0</v>
      </c>
      <c r="W1483" s="627">
        <v>0</v>
      </c>
      <c r="X1483" s="627">
        <v>0</v>
      </c>
      <c r="Y1483" s="627">
        <v>0</v>
      </c>
      <c r="Z1483" s="627">
        <v>0</v>
      </c>
      <c r="AA1483" s="627">
        <v>0</v>
      </c>
      <c r="AB1483" s="627">
        <v>0</v>
      </c>
      <c r="AC1483" s="627">
        <v>0</v>
      </c>
      <c r="AD1483" s="627">
        <v>0</v>
      </c>
      <c r="AE1483" s="627">
        <v>0</v>
      </c>
      <c r="AF1483" s="627">
        <v>0</v>
      </c>
      <c r="AG1483" s="627">
        <v>0</v>
      </c>
      <c r="AH1483" s="627">
        <v>0</v>
      </c>
      <c r="AI1483" s="627">
        <v>0</v>
      </c>
    </row>
    <row r="1484" spans="3:35">
      <c r="C1484" s="611"/>
      <c r="D1484" s="934" t="s">
        <v>5661</v>
      </c>
      <c r="E1484" s="627">
        <v>0</v>
      </c>
      <c r="F1484" s="627">
        <v>0</v>
      </c>
      <c r="G1484" s="627">
        <v>0</v>
      </c>
      <c r="H1484" s="627">
        <v>0</v>
      </c>
      <c r="I1484" s="627">
        <v>0</v>
      </c>
      <c r="J1484" s="627">
        <v>0</v>
      </c>
      <c r="K1484" s="627">
        <v>0</v>
      </c>
      <c r="L1484" s="627">
        <v>0</v>
      </c>
      <c r="M1484" s="627">
        <v>0</v>
      </c>
      <c r="N1484" s="627">
        <v>0</v>
      </c>
      <c r="O1484" s="627">
        <v>0</v>
      </c>
      <c r="P1484" s="627">
        <v>0</v>
      </c>
      <c r="Q1484" s="627">
        <v>0</v>
      </c>
      <c r="R1484" s="627">
        <v>0</v>
      </c>
      <c r="S1484" s="627">
        <v>0</v>
      </c>
      <c r="T1484" s="627">
        <v>0</v>
      </c>
      <c r="U1484" s="627">
        <v>0</v>
      </c>
      <c r="V1484" s="627">
        <v>0</v>
      </c>
      <c r="W1484" s="627">
        <v>0</v>
      </c>
      <c r="X1484" s="627">
        <v>0</v>
      </c>
      <c r="Y1484" s="627">
        <v>0</v>
      </c>
      <c r="Z1484" s="627">
        <v>0</v>
      </c>
      <c r="AA1484" s="627">
        <v>0</v>
      </c>
      <c r="AB1484" s="627">
        <v>0</v>
      </c>
      <c r="AC1484" s="627">
        <v>0</v>
      </c>
      <c r="AD1484" s="627">
        <v>0</v>
      </c>
      <c r="AE1484" s="627">
        <v>0</v>
      </c>
      <c r="AF1484" s="627">
        <v>0</v>
      </c>
      <c r="AG1484" s="627">
        <v>0</v>
      </c>
      <c r="AH1484" s="627">
        <v>0</v>
      </c>
      <c r="AI1484" s="627">
        <v>0</v>
      </c>
    </row>
    <row r="1485" spans="3:35">
      <c r="C1485" s="611"/>
      <c r="D1485" s="934" t="s">
        <v>5661</v>
      </c>
      <c r="E1485" s="627">
        <v>0</v>
      </c>
      <c r="F1485" s="627">
        <v>0</v>
      </c>
      <c r="G1485" s="627">
        <v>0</v>
      </c>
      <c r="H1485" s="627">
        <v>0</v>
      </c>
      <c r="I1485" s="627">
        <v>0</v>
      </c>
      <c r="J1485" s="627">
        <v>0</v>
      </c>
      <c r="K1485" s="627">
        <v>0</v>
      </c>
      <c r="L1485" s="627">
        <v>0</v>
      </c>
      <c r="M1485" s="627">
        <v>0</v>
      </c>
      <c r="N1485" s="627">
        <v>0</v>
      </c>
      <c r="O1485" s="627">
        <v>0</v>
      </c>
      <c r="P1485" s="627">
        <v>0</v>
      </c>
      <c r="Q1485" s="627">
        <v>0</v>
      </c>
      <c r="R1485" s="627">
        <v>0</v>
      </c>
      <c r="S1485" s="627">
        <v>0</v>
      </c>
      <c r="T1485" s="627">
        <v>0</v>
      </c>
      <c r="U1485" s="627">
        <v>0</v>
      </c>
      <c r="V1485" s="627">
        <v>0</v>
      </c>
      <c r="W1485" s="627">
        <v>0</v>
      </c>
      <c r="X1485" s="627">
        <v>0</v>
      </c>
      <c r="Y1485" s="627">
        <v>0</v>
      </c>
      <c r="Z1485" s="627">
        <v>0</v>
      </c>
      <c r="AA1485" s="627">
        <v>0</v>
      </c>
      <c r="AB1485" s="627">
        <v>0</v>
      </c>
      <c r="AC1485" s="627">
        <v>0</v>
      </c>
      <c r="AD1485" s="627">
        <v>0</v>
      </c>
      <c r="AE1485" s="627">
        <v>0</v>
      </c>
      <c r="AF1485" s="627">
        <v>0</v>
      </c>
      <c r="AG1485" s="627">
        <v>0</v>
      </c>
      <c r="AH1485" s="627">
        <v>0</v>
      </c>
      <c r="AI1485" s="627">
        <v>0</v>
      </c>
    </row>
    <row r="1486" spans="3:35">
      <c r="C1486" s="611"/>
      <c r="D1486" s="934" t="s">
        <v>5661</v>
      </c>
      <c r="E1486" s="627">
        <v>0</v>
      </c>
      <c r="F1486" s="627">
        <v>0</v>
      </c>
      <c r="G1486" s="627">
        <v>0</v>
      </c>
      <c r="H1486" s="627">
        <v>0</v>
      </c>
      <c r="I1486" s="627">
        <v>0</v>
      </c>
      <c r="J1486" s="627">
        <v>0</v>
      </c>
      <c r="K1486" s="627">
        <v>0</v>
      </c>
      <c r="L1486" s="627">
        <v>0</v>
      </c>
      <c r="M1486" s="627">
        <v>0</v>
      </c>
      <c r="N1486" s="627">
        <v>0</v>
      </c>
      <c r="O1486" s="627">
        <v>0</v>
      </c>
      <c r="P1486" s="627">
        <v>0</v>
      </c>
      <c r="Q1486" s="627">
        <v>0</v>
      </c>
      <c r="R1486" s="627">
        <v>0</v>
      </c>
      <c r="S1486" s="627">
        <v>0</v>
      </c>
      <c r="T1486" s="627">
        <v>0</v>
      </c>
      <c r="U1486" s="627">
        <v>0</v>
      </c>
      <c r="V1486" s="627">
        <v>0</v>
      </c>
      <c r="W1486" s="627">
        <v>0</v>
      </c>
      <c r="X1486" s="627">
        <v>0</v>
      </c>
      <c r="Y1486" s="627">
        <v>0</v>
      </c>
      <c r="Z1486" s="627">
        <v>0</v>
      </c>
      <c r="AA1486" s="627">
        <v>0</v>
      </c>
      <c r="AB1486" s="627">
        <v>0</v>
      </c>
      <c r="AC1486" s="627">
        <v>0</v>
      </c>
      <c r="AD1486" s="627">
        <v>0</v>
      </c>
      <c r="AE1486" s="627">
        <v>0</v>
      </c>
      <c r="AF1486" s="627">
        <v>0</v>
      </c>
      <c r="AG1486" s="627">
        <v>0</v>
      </c>
      <c r="AH1486" s="627">
        <v>0</v>
      </c>
      <c r="AI1486" s="627">
        <v>0</v>
      </c>
    </row>
    <row r="1487" spans="3:35">
      <c r="C1487" s="611"/>
      <c r="D1487" s="934" t="s">
        <v>350</v>
      </c>
      <c r="E1487" s="627">
        <v>0</v>
      </c>
      <c r="F1487" s="627">
        <v>0</v>
      </c>
      <c r="G1487" s="627">
        <v>0</v>
      </c>
      <c r="H1487" s="627">
        <v>0</v>
      </c>
      <c r="I1487" s="627">
        <v>0</v>
      </c>
      <c r="J1487" s="627">
        <v>0</v>
      </c>
      <c r="K1487" s="627">
        <v>0</v>
      </c>
      <c r="L1487" s="627">
        <v>0</v>
      </c>
      <c r="M1487" s="627">
        <v>0</v>
      </c>
      <c r="N1487" s="627">
        <v>0</v>
      </c>
      <c r="O1487" s="627">
        <v>0</v>
      </c>
      <c r="P1487" s="627">
        <v>0</v>
      </c>
      <c r="Q1487" s="627">
        <v>0</v>
      </c>
      <c r="R1487" s="627">
        <v>0</v>
      </c>
      <c r="S1487" s="627">
        <v>0</v>
      </c>
      <c r="T1487" s="627">
        <v>0</v>
      </c>
      <c r="U1487" s="627">
        <v>0</v>
      </c>
      <c r="V1487" s="627">
        <v>0</v>
      </c>
      <c r="W1487" s="627">
        <v>0</v>
      </c>
      <c r="X1487" s="627">
        <v>0</v>
      </c>
      <c r="Y1487" s="627">
        <v>0</v>
      </c>
      <c r="Z1487" s="627">
        <v>0</v>
      </c>
      <c r="AA1487" s="627">
        <v>0</v>
      </c>
      <c r="AB1487" s="627">
        <v>0</v>
      </c>
      <c r="AC1487" s="627">
        <v>0</v>
      </c>
      <c r="AD1487" s="627">
        <v>0</v>
      </c>
      <c r="AE1487" s="627">
        <v>0</v>
      </c>
      <c r="AF1487" s="627">
        <v>0</v>
      </c>
      <c r="AG1487" s="627">
        <v>0</v>
      </c>
      <c r="AH1487" s="627">
        <v>0</v>
      </c>
      <c r="AI1487" s="627">
        <v>0</v>
      </c>
    </row>
    <row r="1489" spans="3:35" ht="15">
      <c r="C1489" s="936" t="s">
        <v>10590</v>
      </c>
      <c r="D1489" s="610"/>
      <c r="E1489" s="804" t="s">
        <v>352</v>
      </c>
      <c r="F1489" s="804" t="s">
        <v>351</v>
      </c>
      <c r="G1489" s="804" t="s">
        <v>353</v>
      </c>
      <c r="H1489" s="804" t="s">
        <v>584</v>
      </c>
      <c r="I1489" s="804" t="s">
        <v>2107</v>
      </c>
      <c r="J1489" s="804" t="s">
        <v>2108</v>
      </c>
      <c r="K1489" s="804" t="s">
        <v>354</v>
      </c>
      <c r="L1489" s="804" t="s">
        <v>355</v>
      </c>
      <c r="M1489" s="804" t="s">
        <v>3765</v>
      </c>
      <c r="N1489" s="804" t="s">
        <v>3766</v>
      </c>
      <c r="O1489" s="804" t="s">
        <v>4417</v>
      </c>
      <c r="P1489" s="804" t="s">
        <v>4418</v>
      </c>
      <c r="Q1489" s="804" t="s">
        <v>4419</v>
      </c>
      <c r="R1489" s="804" t="s">
        <v>4420</v>
      </c>
      <c r="S1489" s="804" t="s">
        <v>4421</v>
      </c>
      <c r="T1489" s="804" t="s">
        <v>4422</v>
      </c>
      <c r="U1489" s="804" t="s">
        <v>4423</v>
      </c>
      <c r="V1489" s="804" t="s">
        <v>4424</v>
      </c>
      <c r="W1489" s="804" t="s">
        <v>4425</v>
      </c>
      <c r="X1489" s="804" t="s">
        <v>4426</v>
      </c>
      <c r="Y1489" s="804" t="s">
        <v>8369</v>
      </c>
      <c r="Z1489" s="804" t="s">
        <v>4427</v>
      </c>
      <c r="AA1489" s="804" t="s">
        <v>8368</v>
      </c>
      <c r="AB1489" s="804" t="s">
        <v>4428</v>
      </c>
      <c r="AC1489" s="804" t="s">
        <v>4429</v>
      </c>
      <c r="AD1489" s="804" t="s">
        <v>5661</v>
      </c>
      <c r="AE1489" s="804" t="s">
        <v>5661</v>
      </c>
      <c r="AF1489" s="804" t="s">
        <v>5661</v>
      </c>
      <c r="AG1489" s="804" t="s">
        <v>5661</v>
      </c>
      <c r="AH1489" s="804" t="s">
        <v>5661</v>
      </c>
      <c r="AI1489" s="804" t="s">
        <v>350</v>
      </c>
    </row>
    <row r="1490" spans="3:35">
      <c r="C1490" s="611"/>
      <c r="D1490" s="934" t="s">
        <v>352</v>
      </c>
      <c r="E1490" s="935">
        <v>10</v>
      </c>
      <c r="F1490" s="935">
        <v>10</v>
      </c>
      <c r="G1490" s="935">
        <v>10</v>
      </c>
      <c r="H1490" s="935">
        <v>10</v>
      </c>
      <c r="I1490" s="937">
        <v>10</v>
      </c>
      <c r="J1490" s="937">
        <v>10</v>
      </c>
      <c r="K1490" s="937">
        <v>10</v>
      </c>
      <c r="L1490" s="937">
        <v>10</v>
      </c>
      <c r="M1490" s="937">
        <v>10</v>
      </c>
      <c r="N1490" s="937">
        <v>10</v>
      </c>
      <c r="O1490" s="937">
        <v>4</v>
      </c>
      <c r="P1490" s="937">
        <v>3</v>
      </c>
      <c r="Q1490" s="937">
        <v>3</v>
      </c>
      <c r="R1490" s="937">
        <v>2</v>
      </c>
      <c r="S1490" s="937">
        <v>2</v>
      </c>
      <c r="T1490" s="937">
        <v>2</v>
      </c>
      <c r="U1490" s="937">
        <v>1</v>
      </c>
      <c r="V1490" s="937">
        <v>3</v>
      </c>
      <c r="W1490" s="937">
        <v>1</v>
      </c>
      <c r="X1490" s="937">
        <v>3</v>
      </c>
      <c r="Y1490" s="937">
        <v>1</v>
      </c>
      <c r="Z1490" s="937">
        <v>3</v>
      </c>
      <c r="AA1490" s="937">
        <v>1</v>
      </c>
      <c r="AB1490" s="937">
        <v>4</v>
      </c>
      <c r="AC1490" s="937">
        <v>4</v>
      </c>
      <c r="AD1490" s="627">
        <v>0</v>
      </c>
      <c r="AE1490" s="627">
        <v>0</v>
      </c>
      <c r="AF1490" s="627">
        <v>0</v>
      </c>
      <c r="AG1490" s="627">
        <v>0</v>
      </c>
      <c r="AH1490" s="627">
        <v>0</v>
      </c>
      <c r="AI1490" s="627">
        <v>0</v>
      </c>
    </row>
    <row r="1491" spans="3:35">
      <c r="C1491" s="611"/>
      <c r="D1491" s="934" t="s">
        <v>351</v>
      </c>
      <c r="E1491" s="935">
        <v>10</v>
      </c>
      <c r="F1491" s="935">
        <v>10</v>
      </c>
      <c r="G1491" s="935">
        <v>10</v>
      </c>
      <c r="H1491" s="935">
        <v>10</v>
      </c>
      <c r="I1491" s="937">
        <v>10</v>
      </c>
      <c r="J1491" s="937">
        <v>10</v>
      </c>
      <c r="K1491" s="937">
        <v>10</v>
      </c>
      <c r="L1491" s="937">
        <v>10</v>
      </c>
      <c r="M1491" s="937">
        <v>10</v>
      </c>
      <c r="N1491" s="937">
        <v>10</v>
      </c>
      <c r="O1491" s="937">
        <v>4</v>
      </c>
      <c r="P1491" s="937">
        <v>3</v>
      </c>
      <c r="Q1491" s="937">
        <v>3</v>
      </c>
      <c r="R1491" s="937">
        <v>2</v>
      </c>
      <c r="S1491" s="937">
        <v>2</v>
      </c>
      <c r="T1491" s="937">
        <v>2</v>
      </c>
      <c r="U1491" s="937">
        <v>1</v>
      </c>
      <c r="V1491" s="937">
        <v>3</v>
      </c>
      <c r="W1491" s="937">
        <v>1</v>
      </c>
      <c r="X1491" s="937">
        <v>3</v>
      </c>
      <c r="Y1491" s="937">
        <v>1</v>
      </c>
      <c r="Z1491" s="937">
        <v>3</v>
      </c>
      <c r="AA1491" s="937">
        <v>1</v>
      </c>
      <c r="AB1491" s="937">
        <v>4</v>
      </c>
      <c r="AC1491" s="937">
        <v>4</v>
      </c>
      <c r="AD1491" s="627">
        <v>0</v>
      </c>
      <c r="AE1491" s="627">
        <v>0</v>
      </c>
      <c r="AF1491" s="627">
        <v>0</v>
      </c>
      <c r="AG1491" s="627">
        <v>0</v>
      </c>
      <c r="AH1491" s="627">
        <v>0</v>
      </c>
      <c r="AI1491" s="627">
        <v>0</v>
      </c>
    </row>
    <row r="1492" spans="3:35">
      <c r="C1492" s="611"/>
      <c r="D1492" s="934" t="s">
        <v>353</v>
      </c>
      <c r="E1492" s="935">
        <v>10</v>
      </c>
      <c r="F1492" s="935">
        <v>10</v>
      </c>
      <c r="G1492" s="935">
        <v>10</v>
      </c>
      <c r="H1492" s="935">
        <v>10</v>
      </c>
      <c r="I1492" s="937">
        <v>10</v>
      </c>
      <c r="J1492" s="937">
        <v>10</v>
      </c>
      <c r="K1492" s="937">
        <v>10</v>
      </c>
      <c r="L1492" s="937">
        <v>10</v>
      </c>
      <c r="M1492" s="937">
        <v>10</v>
      </c>
      <c r="N1492" s="937">
        <v>10</v>
      </c>
      <c r="O1492" s="937">
        <v>4</v>
      </c>
      <c r="P1492" s="937">
        <v>3</v>
      </c>
      <c r="Q1492" s="937">
        <v>3</v>
      </c>
      <c r="R1492" s="937">
        <v>2</v>
      </c>
      <c r="S1492" s="937">
        <v>2</v>
      </c>
      <c r="T1492" s="937">
        <v>2</v>
      </c>
      <c r="U1492" s="937">
        <v>1</v>
      </c>
      <c r="V1492" s="937">
        <v>3</v>
      </c>
      <c r="W1492" s="937">
        <v>1</v>
      </c>
      <c r="X1492" s="937">
        <v>3</v>
      </c>
      <c r="Y1492" s="937">
        <v>1</v>
      </c>
      <c r="Z1492" s="937">
        <v>3</v>
      </c>
      <c r="AA1492" s="937">
        <v>1</v>
      </c>
      <c r="AB1492" s="937">
        <v>4</v>
      </c>
      <c r="AC1492" s="937">
        <v>4</v>
      </c>
      <c r="AD1492" s="627">
        <v>0</v>
      </c>
      <c r="AE1492" s="627">
        <v>0</v>
      </c>
      <c r="AF1492" s="627">
        <v>0</v>
      </c>
      <c r="AG1492" s="627">
        <v>0</v>
      </c>
      <c r="AH1492" s="627">
        <v>0</v>
      </c>
      <c r="AI1492" s="627">
        <v>0</v>
      </c>
    </row>
    <row r="1493" spans="3:35">
      <c r="C1493" s="611"/>
      <c r="D1493" s="934" t="s">
        <v>584</v>
      </c>
      <c r="E1493" s="935">
        <v>10</v>
      </c>
      <c r="F1493" s="935">
        <v>10</v>
      </c>
      <c r="G1493" s="935">
        <v>10</v>
      </c>
      <c r="H1493" s="935">
        <v>10</v>
      </c>
      <c r="I1493" s="937">
        <v>10</v>
      </c>
      <c r="J1493" s="937">
        <v>10</v>
      </c>
      <c r="K1493" s="937">
        <v>10</v>
      </c>
      <c r="L1493" s="937">
        <v>10</v>
      </c>
      <c r="M1493" s="937">
        <v>10</v>
      </c>
      <c r="N1493" s="937">
        <v>10</v>
      </c>
      <c r="O1493" s="937">
        <v>4</v>
      </c>
      <c r="P1493" s="937">
        <v>3</v>
      </c>
      <c r="Q1493" s="937">
        <v>3</v>
      </c>
      <c r="R1493" s="937">
        <v>2</v>
      </c>
      <c r="S1493" s="937">
        <v>2</v>
      </c>
      <c r="T1493" s="937">
        <v>2</v>
      </c>
      <c r="U1493" s="937">
        <v>1</v>
      </c>
      <c r="V1493" s="937">
        <v>3</v>
      </c>
      <c r="W1493" s="937">
        <v>1</v>
      </c>
      <c r="X1493" s="937">
        <v>3</v>
      </c>
      <c r="Y1493" s="937">
        <v>1</v>
      </c>
      <c r="Z1493" s="937">
        <v>3</v>
      </c>
      <c r="AA1493" s="937">
        <v>1</v>
      </c>
      <c r="AB1493" s="937">
        <v>4</v>
      </c>
      <c r="AC1493" s="937">
        <v>4</v>
      </c>
      <c r="AD1493" s="627">
        <v>0</v>
      </c>
      <c r="AE1493" s="627">
        <v>0</v>
      </c>
      <c r="AF1493" s="627">
        <v>0</v>
      </c>
      <c r="AG1493" s="627">
        <v>0</v>
      </c>
      <c r="AH1493" s="627">
        <v>0</v>
      </c>
      <c r="AI1493" s="627">
        <v>0</v>
      </c>
    </row>
    <row r="1494" spans="3:35">
      <c r="C1494" s="611"/>
      <c r="D1494" s="934" t="s">
        <v>2107</v>
      </c>
      <c r="E1494" s="937">
        <v>10</v>
      </c>
      <c r="F1494" s="937">
        <v>10</v>
      </c>
      <c r="G1494" s="937">
        <v>10</v>
      </c>
      <c r="H1494" s="937">
        <v>10</v>
      </c>
      <c r="I1494" s="937">
        <v>10</v>
      </c>
      <c r="J1494" s="937">
        <v>10</v>
      </c>
      <c r="K1494" s="937">
        <v>10</v>
      </c>
      <c r="L1494" s="937">
        <v>10</v>
      </c>
      <c r="M1494" s="937">
        <v>10</v>
      </c>
      <c r="N1494" s="937">
        <v>10</v>
      </c>
      <c r="O1494" s="937">
        <v>4</v>
      </c>
      <c r="P1494" s="937">
        <v>3</v>
      </c>
      <c r="Q1494" s="937">
        <v>3</v>
      </c>
      <c r="R1494" s="937">
        <v>2</v>
      </c>
      <c r="S1494" s="937">
        <v>2</v>
      </c>
      <c r="T1494" s="937">
        <v>2</v>
      </c>
      <c r="U1494" s="937">
        <v>1</v>
      </c>
      <c r="V1494" s="937">
        <v>3</v>
      </c>
      <c r="W1494" s="937">
        <v>1</v>
      </c>
      <c r="X1494" s="937">
        <v>3</v>
      </c>
      <c r="Y1494" s="937">
        <v>1</v>
      </c>
      <c r="Z1494" s="937">
        <v>3</v>
      </c>
      <c r="AA1494" s="937">
        <v>1</v>
      </c>
      <c r="AB1494" s="937">
        <v>4</v>
      </c>
      <c r="AC1494" s="937">
        <v>4</v>
      </c>
      <c r="AD1494" s="627">
        <v>0</v>
      </c>
      <c r="AE1494" s="627">
        <v>0</v>
      </c>
      <c r="AF1494" s="627">
        <v>0</v>
      </c>
      <c r="AG1494" s="627">
        <v>0</v>
      </c>
      <c r="AH1494" s="627">
        <v>0</v>
      </c>
      <c r="AI1494" s="627">
        <v>0</v>
      </c>
    </row>
    <row r="1495" spans="3:35">
      <c r="C1495" s="611"/>
      <c r="D1495" s="934" t="s">
        <v>2108</v>
      </c>
      <c r="E1495" s="937">
        <v>10</v>
      </c>
      <c r="F1495" s="937">
        <v>10</v>
      </c>
      <c r="G1495" s="937">
        <v>10</v>
      </c>
      <c r="H1495" s="937">
        <v>10</v>
      </c>
      <c r="I1495" s="937">
        <v>10</v>
      </c>
      <c r="J1495" s="937">
        <v>10</v>
      </c>
      <c r="K1495" s="937">
        <v>10</v>
      </c>
      <c r="L1495" s="937">
        <v>10</v>
      </c>
      <c r="M1495" s="937">
        <v>10</v>
      </c>
      <c r="N1495" s="937">
        <v>10</v>
      </c>
      <c r="O1495" s="937">
        <v>4</v>
      </c>
      <c r="P1495" s="937">
        <v>3</v>
      </c>
      <c r="Q1495" s="937">
        <v>3</v>
      </c>
      <c r="R1495" s="937">
        <v>2</v>
      </c>
      <c r="S1495" s="937">
        <v>2</v>
      </c>
      <c r="T1495" s="937">
        <v>2</v>
      </c>
      <c r="U1495" s="937">
        <v>1</v>
      </c>
      <c r="V1495" s="937">
        <v>3</v>
      </c>
      <c r="W1495" s="937">
        <v>1</v>
      </c>
      <c r="X1495" s="937">
        <v>3</v>
      </c>
      <c r="Y1495" s="937">
        <v>1</v>
      </c>
      <c r="Z1495" s="937">
        <v>3</v>
      </c>
      <c r="AA1495" s="937">
        <v>1</v>
      </c>
      <c r="AB1495" s="937">
        <v>4</v>
      </c>
      <c r="AC1495" s="937">
        <v>4</v>
      </c>
      <c r="AD1495" s="627">
        <v>0</v>
      </c>
      <c r="AE1495" s="627">
        <v>0</v>
      </c>
      <c r="AF1495" s="627">
        <v>0</v>
      </c>
      <c r="AG1495" s="627">
        <v>0</v>
      </c>
      <c r="AH1495" s="627">
        <v>0</v>
      </c>
      <c r="AI1495" s="627">
        <v>0</v>
      </c>
    </row>
    <row r="1496" spans="3:35">
      <c r="C1496" s="611"/>
      <c r="D1496" s="934" t="s">
        <v>354</v>
      </c>
      <c r="E1496" s="937">
        <v>10</v>
      </c>
      <c r="F1496" s="937">
        <v>10</v>
      </c>
      <c r="G1496" s="937">
        <v>10</v>
      </c>
      <c r="H1496" s="937">
        <v>10</v>
      </c>
      <c r="I1496" s="937">
        <v>10</v>
      </c>
      <c r="J1496" s="937">
        <v>10</v>
      </c>
      <c r="K1496" s="937">
        <v>10</v>
      </c>
      <c r="L1496" s="937">
        <v>10</v>
      </c>
      <c r="M1496" s="937">
        <v>10</v>
      </c>
      <c r="N1496" s="937">
        <v>10</v>
      </c>
      <c r="O1496" s="937">
        <v>4</v>
      </c>
      <c r="P1496" s="937">
        <v>3</v>
      </c>
      <c r="Q1496" s="937">
        <v>3</v>
      </c>
      <c r="R1496" s="937">
        <v>2</v>
      </c>
      <c r="S1496" s="937">
        <v>2</v>
      </c>
      <c r="T1496" s="937">
        <v>2</v>
      </c>
      <c r="U1496" s="937">
        <v>1</v>
      </c>
      <c r="V1496" s="937">
        <v>3</v>
      </c>
      <c r="W1496" s="937">
        <v>1</v>
      </c>
      <c r="X1496" s="937">
        <v>3</v>
      </c>
      <c r="Y1496" s="937">
        <v>1</v>
      </c>
      <c r="Z1496" s="937">
        <v>3</v>
      </c>
      <c r="AA1496" s="937">
        <v>1</v>
      </c>
      <c r="AB1496" s="937">
        <v>4</v>
      </c>
      <c r="AC1496" s="937">
        <v>4</v>
      </c>
      <c r="AD1496" s="627">
        <v>0</v>
      </c>
      <c r="AE1496" s="627">
        <v>0</v>
      </c>
      <c r="AF1496" s="627">
        <v>0</v>
      </c>
      <c r="AG1496" s="627">
        <v>0</v>
      </c>
      <c r="AH1496" s="627">
        <v>0</v>
      </c>
      <c r="AI1496" s="627">
        <v>0</v>
      </c>
    </row>
    <row r="1497" spans="3:35">
      <c r="C1497" s="611"/>
      <c r="D1497" s="934" t="s">
        <v>355</v>
      </c>
      <c r="E1497" s="937">
        <v>10</v>
      </c>
      <c r="F1497" s="937">
        <v>10</v>
      </c>
      <c r="G1497" s="937">
        <v>10</v>
      </c>
      <c r="H1497" s="937">
        <v>10</v>
      </c>
      <c r="I1497" s="937">
        <v>10</v>
      </c>
      <c r="J1497" s="937">
        <v>10</v>
      </c>
      <c r="K1497" s="937">
        <v>10</v>
      </c>
      <c r="L1497" s="937">
        <v>10</v>
      </c>
      <c r="M1497" s="937">
        <v>10</v>
      </c>
      <c r="N1497" s="937">
        <v>10</v>
      </c>
      <c r="O1497" s="937">
        <v>4</v>
      </c>
      <c r="P1497" s="937">
        <v>3</v>
      </c>
      <c r="Q1497" s="937">
        <v>3</v>
      </c>
      <c r="R1497" s="937">
        <v>2</v>
      </c>
      <c r="S1497" s="937">
        <v>2</v>
      </c>
      <c r="T1497" s="937">
        <v>2</v>
      </c>
      <c r="U1497" s="937">
        <v>1</v>
      </c>
      <c r="V1497" s="937">
        <v>3</v>
      </c>
      <c r="W1497" s="937">
        <v>1</v>
      </c>
      <c r="X1497" s="937">
        <v>3</v>
      </c>
      <c r="Y1497" s="937">
        <v>1</v>
      </c>
      <c r="Z1497" s="937">
        <v>3</v>
      </c>
      <c r="AA1497" s="937">
        <v>1</v>
      </c>
      <c r="AB1497" s="937">
        <v>4</v>
      </c>
      <c r="AC1497" s="937">
        <v>4</v>
      </c>
      <c r="AD1497" s="627">
        <v>0</v>
      </c>
      <c r="AE1497" s="627">
        <v>0</v>
      </c>
      <c r="AF1497" s="627">
        <v>0</v>
      </c>
      <c r="AG1497" s="627">
        <v>0</v>
      </c>
      <c r="AH1497" s="627">
        <v>0</v>
      </c>
      <c r="AI1497" s="627">
        <v>0</v>
      </c>
    </row>
    <row r="1498" spans="3:35">
      <c r="C1498" s="611"/>
      <c r="D1498" s="934" t="s">
        <v>3765</v>
      </c>
      <c r="E1498" s="937">
        <v>10</v>
      </c>
      <c r="F1498" s="937">
        <v>10</v>
      </c>
      <c r="G1498" s="937">
        <v>10</v>
      </c>
      <c r="H1498" s="937">
        <v>10</v>
      </c>
      <c r="I1498" s="937">
        <v>10</v>
      </c>
      <c r="J1498" s="937">
        <v>10</v>
      </c>
      <c r="K1498" s="937">
        <v>10</v>
      </c>
      <c r="L1498" s="937">
        <v>10</v>
      </c>
      <c r="M1498" s="937">
        <v>10</v>
      </c>
      <c r="N1498" s="937">
        <v>10</v>
      </c>
      <c r="O1498" s="937">
        <v>4</v>
      </c>
      <c r="P1498" s="937">
        <v>3</v>
      </c>
      <c r="Q1498" s="937">
        <v>3</v>
      </c>
      <c r="R1498" s="937">
        <v>2</v>
      </c>
      <c r="S1498" s="937">
        <v>2</v>
      </c>
      <c r="T1498" s="937">
        <v>2</v>
      </c>
      <c r="U1498" s="937">
        <v>1</v>
      </c>
      <c r="V1498" s="937">
        <v>3</v>
      </c>
      <c r="W1498" s="937">
        <v>1</v>
      </c>
      <c r="X1498" s="937">
        <v>3</v>
      </c>
      <c r="Y1498" s="937">
        <v>1</v>
      </c>
      <c r="Z1498" s="937">
        <v>3</v>
      </c>
      <c r="AA1498" s="937">
        <v>1</v>
      </c>
      <c r="AB1498" s="937">
        <v>4</v>
      </c>
      <c r="AC1498" s="937">
        <v>4</v>
      </c>
      <c r="AD1498" s="627">
        <v>0</v>
      </c>
      <c r="AE1498" s="627">
        <v>0</v>
      </c>
      <c r="AF1498" s="627">
        <v>0</v>
      </c>
      <c r="AG1498" s="627">
        <v>0</v>
      </c>
      <c r="AH1498" s="627">
        <v>0</v>
      </c>
      <c r="AI1498" s="627">
        <v>0</v>
      </c>
    </row>
    <row r="1499" spans="3:35">
      <c r="C1499" s="611"/>
      <c r="D1499" s="934" t="s">
        <v>3766</v>
      </c>
      <c r="E1499" s="937">
        <v>10</v>
      </c>
      <c r="F1499" s="937">
        <v>10</v>
      </c>
      <c r="G1499" s="937">
        <v>10</v>
      </c>
      <c r="H1499" s="937">
        <v>10</v>
      </c>
      <c r="I1499" s="937">
        <v>10</v>
      </c>
      <c r="J1499" s="937">
        <v>10</v>
      </c>
      <c r="K1499" s="937">
        <v>10</v>
      </c>
      <c r="L1499" s="937">
        <v>10</v>
      </c>
      <c r="M1499" s="937">
        <v>10</v>
      </c>
      <c r="N1499" s="937">
        <v>10</v>
      </c>
      <c r="O1499" s="937">
        <v>4</v>
      </c>
      <c r="P1499" s="937">
        <v>3</v>
      </c>
      <c r="Q1499" s="937">
        <v>3</v>
      </c>
      <c r="R1499" s="937">
        <v>2</v>
      </c>
      <c r="S1499" s="937">
        <v>2</v>
      </c>
      <c r="T1499" s="937">
        <v>2</v>
      </c>
      <c r="U1499" s="937">
        <v>1</v>
      </c>
      <c r="V1499" s="937">
        <v>3</v>
      </c>
      <c r="W1499" s="937">
        <v>1</v>
      </c>
      <c r="X1499" s="937">
        <v>3</v>
      </c>
      <c r="Y1499" s="937">
        <v>1</v>
      </c>
      <c r="Z1499" s="937">
        <v>3</v>
      </c>
      <c r="AA1499" s="937">
        <v>1</v>
      </c>
      <c r="AB1499" s="937">
        <v>4</v>
      </c>
      <c r="AC1499" s="937">
        <v>4</v>
      </c>
      <c r="AD1499" s="627">
        <v>0</v>
      </c>
      <c r="AE1499" s="627">
        <v>0</v>
      </c>
      <c r="AF1499" s="627">
        <v>0</v>
      </c>
      <c r="AG1499" s="627">
        <v>0</v>
      </c>
      <c r="AH1499" s="627">
        <v>0</v>
      </c>
      <c r="AI1499" s="627">
        <v>0</v>
      </c>
    </row>
    <row r="1500" spans="3:35">
      <c r="C1500" s="611"/>
      <c r="D1500" s="934" t="s">
        <v>4417</v>
      </c>
      <c r="E1500" s="937">
        <v>4</v>
      </c>
      <c r="F1500" s="937">
        <v>4</v>
      </c>
      <c r="G1500" s="937">
        <v>4</v>
      </c>
      <c r="H1500" s="937">
        <v>4</v>
      </c>
      <c r="I1500" s="937">
        <v>4</v>
      </c>
      <c r="J1500" s="937">
        <v>4</v>
      </c>
      <c r="K1500" s="937">
        <v>4</v>
      </c>
      <c r="L1500" s="937">
        <v>4</v>
      </c>
      <c r="M1500" s="937">
        <v>4</v>
      </c>
      <c r="N1500" s="937">
        <v>4</v>
      </c>
      <c r="O1500" s="937">
        <v>9</v>
      </c>
      <c r="P1500" s="937">
        <v>8</v>
      </c>
      <c r="Q1500" s="937">
        <v>8</v>
      </c>
      <c r="R1500" s="937">
        <v>5</v>
      </c>
      <c r="S1500" s="937">
        <v>4</v>
      </c>
      <c r="T1500" s="937">
        <v>3</v>
      </c>
      <c r="U1500" s="937">
        <v>1</v>
      </c>
      <c r="V1500" s="937">
        <v>8</v>
      </c>
      <c r="W1500" s="937">
        <v>1</v>
      </c>
      <c r="X1500" s="937">
        <v>8</v>
      </c>
      <c r="Y1500" s="937">
        <v>1</v>
      </c>
      <c r="Z1500" s="937">
        <v>8</v>
      </c>
      <c r="AA1500" s="937">
        <v>1</v>
      </c>
      <c r="AB1500" s="937">
        <v>9</v>
      </c>
      <c r="AC1500" s="937">
        <v>9</v>
      </c>
      <c r="AD1500" s="627">
        <v>0</v>
      </c>
      <c r="AE1500" s="627">
        <v>0</v>
      </c>
      <c r="AF1500" s="627">
        <v>0</v>
      </c>
      <c r="AG1500" s="627">
        <v>0</v>
      </c>
      <c r="AH1500" s="627">
        <v>0</v>
      </c>
      <c r="AI1500" s="627">
        <v>0</v>
      </c>
    </row>
    <row r="1501" spans="3:35">
      <c r="C1501" s="611"/>
      <c r="D1501" s="934" t="s">
        <v>4418</v>
      </c>
      <c r="E1501" s="937">
        <v>2</v>
      </c>
      <c r="F1501" s="937">
        <v>2</v>
      </c>
      <c r="G1501" s="937">
        <v>2</v>
      </c>
      <c r="H1501" s="937">
        <v>2</v>
      </c>
      <c r="I1501" s="937">
        <v>2</v>
      </c>
      <c r="J1501" s="937">
        <v>2</v>
      </c>
      <c r="K1501" s="937">
        <v>2</v>
      </c>
      <c r="L1501" s="937">
        <v>2</v>
      </c>
      <c r="M1501" s="937">
        <v>2</v>
      </c>
      <c r="N1501" s="937">
        <v>2</v>
      </c>
      <c r="O1501" s="937">
        <v>8</v>
      </c>
      <c r="P1501" s="937">
        <v>9</v>
      </c>
      <c r="Q1501" s="937">
        <v>9</v>
      </c>
      <c r="R1501" s="937">
        <v>6</v>
      </c>
      <c r="S1501" s="937">
        <v>6</v>
      </c>
      <c r="T1501" s="937">
        <v>4</v>
      </c>
      <c r="U1501" s="937">
        <v>1</v>
      </c>
      <c r="V1501" s="937">
        <v>9</v>
      </c>
      <c r="W1501" s="937">
        <v>1</v>
      </c>
      <c r="X1501" s="937">
        <v>9</v>
      </c>
      <c r="Y1501" s="937">
        <v>1</v>
      </c>
      <c r="Z1501" s="937">
        <v>9</v>
      </c>
      <c r="AA1501" s="937">
        <v>1</v>
      </c>
      <c r="AB1501" s="937">
        <v>8</v>
      </c>
      <c r="AC1501" s="937">
        <v>8</v>
      </c>
      <c r="AD1501" s="627">
        <v>0</v>
      </c>
      <c r="AE1501" s="627">
        <v>0</v>
      </c>
      <c r="AF1501" s="627">
        <v>0</v>
      </c>
      <c r="AG1501" s="627">
        <v>0</v>
      </c>
      <c r="AH1501" s="627">
        <v>0</v>
      </c>
      <c r="AI1501" s="627">
        <v>0</v>
      </c>
    </row>
    <row r="1502" spans="3:35">
      <c r="C1502" s="611"/>
      <c r="D1502" s="934" t="s">
        <v>4419</v>
      </c>
      <c r="E1502" s="937">
        <v>2</v>
      </c>
      <c r="F1502" s="937">
        <v>2</v>
      </c>
      <c r="G1502" s="937">
        <v>2</v>
      </c>
      <c r="H1502" s="937">
        <v>2</v>
      </c>
      <c r="I1502" s="937">
        <v>2</v>
      </c>
      <c r="J1502" s="937">
        <v>2</v>
      </c>
      <c r="K1502" s="937">
        <v>2</v>
      </c>
      <c r="L1502" s="937">
        <v>2</v>
      </c>
      <c r="M1502" s="937">
        <v>2</v>
      </c>
      <c r="N1502" s="937">
        <v>2</v>
      </c>
      <c r="O1502" s="937">
        <v>8</v>
      </c>
      <c r="P1502" s="937">
        <v>9</v>
      </c>
      <c r="Q1502" s="937">
        <v>9</v>
      </c>
      <c r="R1502" s="937">
        <v>6</v>
      </c>
      <c r="S1502" s="937">
        <v>6</v>
      </c>
      <c r="T1502" s="937">
        <v>4</v>
      </c>
      <c r="U1502" s="937">
        <v>1</v>
      </c>
      <c r="V1502" s="937">
        <v>9</v>
      </c>
      <c r="W1502" s="937">
        <v>1</v>
      </c>
      <c r="X1502" s="937">
        <v>9</v>
      </c>
      <c r="Y1502" s="937">
        <v>1</v>
      </c>
      <c r="Z1502" s="937">
        <v>9</v>
      </c>
      <c r="AA1502" s="937">
        <v>1</v>
      </c>
      <c r="AB1502" s="937">
        <v>8</v>
      </c>
      <c r="AC1502" s="937">
        <v>8</v>
      </c>
      <c r="AD1502" s="627">
        <v>0</v>
      </c>
      <c r="AE1502" s="627">
        <v>0</v>
      </c>
      <c r="AF1502" s="627">
        <v>0</v>
      </c>
      <c r="AG1502" s="627">
        <v>0</v>
      </c>
      <c r="AH1502" s="627">
        <v>0</v>
      </c>
      <c r="AI1502" s="627">
        <v>0</v>
      </c>
    </row>
    <row r="1503" spans="3:35">
      <c r="C1503" s="611"/>
      <c r="D1503" s="934" t="s">
        <v>4420</v>
      </c>
      <c r="E1503" s="937">
        <v>1</v>
      </c>
      <c r="F1503" s="937">
        <v>1</v>
      </c>
      <c r="G1503" s="937">
        <v>1</v>
      </c>
      <c r="H1503" s="937">
        <v>1</v>
      </c>
      <c r="I1503" s="937">
        <v>1</v>
      </c>
      <c r="J1503" s="937">
        <v>1</v>
      </c>
      <c r="K1503" s="937">
        <v>1</v>
      </c>
      <c r="L1503" s="937">
        <v>1</v>
      </c>
      <c r="M1503" s="937">
        <v>1</v>
      </c>
      <c r="N1503" s="937">
        <v>1</v>
      </c>
      <c r="O1503" s="937">
        <v>5</v>
      </c>
      <c r="P1503" s="937">
        <v>5</v>
      </c>
      <c r="Q1503" s="937">
        <v>5</v>
      </c>
      <c r="R1503" s="937">
        <v>9</v>
      </c>
      <c r="S1503" s="937">
        <v>9</v>
      </c>
      <c r="T1503" s="937">
        <v>7</v>
      </c>
      <c r="U1503" s="937">
        <v>3</v>
      </c>
      <c r="V1503" s="937">
        <v>5</v>
      </c>
      <c r="W1503" s="937">
        <v>3</v>
      </c>
      <c r="X1503" s="937">
        <v>5</v>
      </c>
      <c r="Y1503" s="937">
        <v>3</v>
      </c>
      <c r="Z1503" s="937">
        <v>5</v>
      </c>
      <c r="AA1503" s="937">
        <v>3</v>
      </c>
      <c r="AB1503" s="937">
        <v>5</v>
      </c>
      <c r="AC1503" s="937">
        <v>5</v>
      </c>
      <c r="AD1503" s="627">
        <v>0</v>
      </c>
      <c r="AE1503" s="627">
        <v>0</v>
      </c>
      <c r="AF1503" s="627">
        <v>0</v>
      </c>
      <c r="AG1503" s="627">
        <v>0</v>
      </c>
      <c r="AH1503" s="627">
        <v>0</v>
      </c>
      <c r="AI1503" s="627">
        <v>0</v>
      </c>
    </row>
    <row r="1504" spans="3:35">
      <c r="C1504" s="611"/>
      <c r="D1504" s="934" t="s">
        <v>4421</v>
      </c>
      <c r="E1504" s="937">
        <v>1</v>
      </c>
      <c r="F1504" s="937">
        <v>1</v>
      </c>
      <c r="G1504" s="937">
        <v>1</v>
      </c>
      <c r="H1504" s="937">
        <v>1</v>
      </c>
      <c r="I1504" s="937">
        <v>1</v>
      </c>
      <c r="J1504" s="937">
        <v>1</v>
      </c>
      <c r="K1504" s="937">
        <v>1</v>
      </c>
      <c r="L1504" s="937">
        <v>1</v>
      </c>
      <c r="M1504" s="937">
        <v>1</v>
      </c>
      <c r="N1504" s="937">
        <v>1</v>
      </c>
      <c r="O1504" s="937">
        <v>3</v>
      </c>
      <c r="P1504" s="937">
        <v>5</v>
      </c>
      <c r="Q1504" s="937">
        <v>5</v>
      </c>
      <c r="R1504" s="937">
        <v>8</v>
      </c>
      <c r="S1504" s="937">
        <v>10</v>
      </c>
      <c r="T1504" s="937">
        <v>10</v>
      </c>
      <c r="U1504" s="937">
        <v>4</v>
      </c>
      <c r="V1504" s="937">
        <v>5</v>
      </c>
      <c r="W1504" s="937">
        <v>4</v>
      </c>
      <c r="X1504" s="937">
        <v>5</v>
      </c>
      <c r="Y1504" s="937">
        <v>5</v>
      </c>
      <c r="Z1504" s="937">
        <v>5</v>
      </c>
      <c r="AA1504" s="937">
        <v>5</v>
      </c>
      <c r="AB1504" s="937">
        <v>3</v>
      </c>
      <c r="AC1504" s="937">
        <v>3</v>
      </c>
      <c r="AD1504" s="627">
        <v>0</v>
      </c>
      <c r="AE1504" s="627">
        <v>0</v>
      </c>
      <c r="AF1504" s="627">
        <v>0</v>
      </c>
      <c r="AG1504" s="627">
        <v>0</v>
      </c>
      <c r="AH1504" s="627">
        <v>0</v>
      </c>
      <c r="AI1504" s="627">
        <v>0</v>
      </c>
    </row>
    <row r="1505" spans="3:35">
      <c r="C1505" s="611"/>
      <c r="D1505" s="934" t="s">
        <v>4422</v>
      </c>
      <c r="E1505" s="937">
        <v>1</v>
      </c>
      <c r="F1505" s="937">
        <v>1</v>
      </c>
      <c r="G1505" s="937">
        <v>1</v>
      </c>
      <c r="H1505" s="937">
        <v>1</v>
      </c>
      <c r="I1505" s="937">
        <v>1</v>
      </c>
      <c r="J1505" s="937">
        <v>1</v>
      </c>
      <c r="K1505" s="937">
        <v>1</v>
      </c>
      <c r="L1505" s="937">
        <v>1</v>
      </c>
      <c r="M1505" s="937">
        <v>1</v>
      </c>
      <c r="N1505" s="937">
        <v>1</v>
      </c>
      <c r="O1505" s="937">
        <v>2</v>
      </c>
      <c r="P1505" s="937">
        <v>3</v>
      </c>
      <c r="Q1505" s="937">
        <v>3</v>
      </c>
      <c r="R1505" s="937">
        <v>7</v>
      </c>
      <c r="S1505" s="937">
        <v>10</v>
      </c>
      <c r="T1505" s="937">
        <v>10</v>
      </c>
      <c r="U1505" s="937">
        <v>5</v>
      </c>
      <c r="V1505" s="937">
        <v>3</v>
      </c>
      <c r="W1505" s="937">
        <v>5</v>
      </c>
      <c r="X1505" s="937">
        <v>3</v>
      </c>
      <c r="Y1505" s="937">
        <v>5</v>
      </c>
      <c r="Z1505" s="937">
        <v>3</v>
      </c>
      <c r="AA1505" s="937">
        <v>5</v>
      </c>
      <c r="AB1505" s="937">
        <v>2</v>
      </c>
      <c r="AC1505" s="937">
        <v>2</v>
      </c>
      <c r="AD1505" s="627">
        <v>0</v>
      </c>
      <c r="AE1505" s="627">
        <v>0</v>
      </c>
      <c r="AF1505" s="627">
        <v>0</v>
      </c>
      <c r="AG1505" s="627">
        <v>0</v>
      </c>
      <c r="AH1505" s="627">
        <v>0</v>
      </c>
      <c r="AI1505" s="627">
        <v>0</v>
      </c>
    </row>
    <row r="1506" spans="3:35">
      <c r="C1506" s="611"/>
      <c r="D1506" s="934" t="s">
        <v>4423</v>
      </c>
      <c r="E1506" s="937">
        <v>1</v>
      </c>
      <c r="F1506" s="937">
        <v>1</v>
      </c>
      <c r="G1506" s="937">
        <v>1</v>
      </c>
      <c r="H1506" s="937">
        <v>1</v>
      </c>
      <c r="I1506" s="937">
        <v>1</v>
      </c>
      <c r="J1506" s="937">
        <v>1</v>
      </c>
      <c r="K1506" s="937">
        <v>1</v>
      </c>
      <c r="L1506" s="937">
        <v>1</v>
      </c>
      <c r="M1506" s="937">
        <v>1</v>
      </c>
      <c r="N1506" s="937">
        <v>1</v>
      </c>
      <c r="O1506" s="937">
        <v>1</v>
      </c>
      <c r="P1506" s="937">
        <v>2</v>
      </c>
      <c r="Q1506" s="937">
        <v>2</v>
      </c>
      <c r="R1506" s="937">
        <v>3</v>
      </c>
      <c r="S1506" s="937">
        <v>4</v>
      </c>
      <c r="T1506" s="937">
        <v>4</v>
      </c>
      <c r="U1506" s="937">
        <v>10</v>
      </c>
      <c r="V1506" s="937">
        <v>2</v>
      </c>
      <c r="W1506" s="937">
        <v>10</v>
      </c>
      <c r="X1506" s="937">
        <v>2</v>
      </c>
      <c r="Y1506" s="937">
        <v>9</v>
      </c>
      <c r="Z1506" s="937">
        <v>2</v>
      </c>
      <c r="AA1506" s="937">
        <v>9</v>
      </c>
      <c r="AB1506" s="937">
        <v>1</v>
      </c>
      <c r="AC1506" s="937">
        <v>1</v>
      </c>
      <c r="AD1506" s="627">
        <v>0</v>
      </c>
      <c r="AE1506" s="627">
        <v>0</v>
      </c>
      <c r="AF1506" s="627">
        <v>0</v>
      </c>
      <c r="AG1506" s="627">
        <v>0</v>
      </c>
      <c r="AH1506" s="627">
        <v>0</v>
      </c>
      <c r="AI1506" s="627">
        <v>0</v>
      </c>
    </row>
    <row r="1507" spans="3:35">
      <c r="C1507" s="611"/>
      <c r="D1507" s="934" t="s">
        <v>4424</v>
      </c>
      <c r="E1507" s="937">
        <v>2</v>
      </c>
      <c r="F1507" s="937">
        <v>2</v>
      </c>
      <c r="G1507" s="937">
        <v>2</v>
      </c>
      <c r="H1507" s="937">
        <v>2</v>
      </c>
      <c r="I1507" s="937">
        <v>2</v>
      </c>
      <c r="J1507" s="937">
        <v>2</v>
      </c>
      <c r="K1507" s="937">
        <v>2</v>
      </c>
      <c r="L1507" s="937">
        <v>2</v>
      </c>
      <c r="M1507" s="937">
        <v>2</v>
      </c>
      <c r="N1507" s="937">
        <v>2</v>
      </c>
      <c r="O1507" s="937">
        <v>8</v>
      </c>
      <c r="P1507" s="937">
        <v>9</v>
      </c>
      <c r="Q1507" s="937">
        <v>9</v>
      </c>
      <c r="R1507" s="937">
        <v>6</v>
      </c>
      <c r="S1507" s="937">
        <v>6</v>
      </c>
      <c r="T1507" s="937">
        <v>4</v>
      </c>
      <c r="U1507" s="937">
        <v>1</v>
      </c>
      <c r="V1507" s="937">
        <v>9</v>
      </c>
      <c r="W1507" s="937">
        <v>1</v>
      </c>
      <c r="X1507" s="937">
        <v>9</v>
      </c>
      <c r="Y1507" s="937">
        <v>5</v>
      </c>
      <c r="Z1507" s="937">
        <v>9</v>
      </c>
      <c r="AA1507" s="937">
        <v>5</v>
      </c>
      <c r="AB1507" s="937">
        <v>8</v>
      </c>
      <c r="AC1507" s="937">
        <v>8</v>
      </c>
      <c r="AD1507" s="627">
        <v>0</v>
      </c>
      <c r="AE1507" s="627">
        <v>0</v>
      </c>
      <c r="AF1507" s="627">
        <v>0</v>
      </c>
      <c r="AG1507" s="627">
        <v>0</v>
      </c>
      <c r="AH1507" s="627">
        <v>0</v>
      </c>
      <c r="AI1507" s="627">
        <v>0</v>
      </c>
    </row>
    <row r="1508" spans="3:35">
      <c r="C1508" s="611"/>
      <c r="D1508" s="934" t="s">
        <v>4425</v>
      </c>
      <c r="E1508" s="937">
        <v>1</v>
      </c>
      <c r="F1508" s="937">
        <v>1</v>
      </c>
      <c r="G1508" s="937">
        <v>1</v>
      </c>
      <c r="H1508" s="937">
        <v>1</v>
      </c>
      <c r="I1508" s="937">
        <v>1</v>
      </c>
      <c r="J1508" s="937">
        <v>1</v>
      </c>
      <c r="K1508" s="937">
        <v>1</v>
      </c>
      <c r="L1508" s="937">
        <v>1</v>
      </c>
      <c r="M1508" s="937">
        <v>1</v>
      </c>
      <c r="N1508" s="937">
        <v>1</v>
      </c>
      <c r="O1508" s="937">
        <v>1</v>
      </c>
      <c r="P1508" s="937">
        <v>2</v>
      </c>
      <c r="Q1508" s="937">
        <v>2</v>
      </c>
      <c r="R1508" s="937">
        <v>3</v>
      </c>
      <c r="S1508" s="937">
        <v>4</v>
      </c>
      <c r="T1508" s="937">
        <v>4</v>
      </c>
      <c r="U1508" s="937">
        <v>10</v>
      </c>
      <c r="V1508" s="937">
        <v>2</v>
      </c>
      <c r="W1508" s="937">
        <v>10</v>
      </c>
      <c r="X1508" s="937">
        <v>2</v>
      </c>
      <c r="Y1508" s="937">
        <v>9</v>
      </c>
      <c r="Z1508" s="937">
        <v>2</v>
      </c>
      <c r="AA1508" s="937">
        <v>9</v>
      </c>
      <c r="AB1508" s="937">
        <v>1</v>
      </c>
      <c r="AC1508" s="937">
        <v>1</v>
      </c>
      <c r="AD1508" s="627">
        <v>0</v>
      </c>
      <c r="AE1508" s="627">
        <v>0</v>
      </c>
      <c r="AF1508" s="627">
        <v>0</v>
      </c>
      <c r="AG1508" s="627">
        <v>0</v>
      </c>
      <c r="AH1508" s="627">
        <v>0</v>
      </c>
      <c r="AI1508" s="627">
        <v>0</v>
      </c>
    </row>
    <row r="1509" spans="3:35">
      <c r="C1509" s="611"/>
      <c r="D1509" s="934" t="s">
        <v>4426</v>
      </c>
      <c r="E1509" s="937">
        <v>2</v>
      </c>
      <c r="F1509" s="937">
        <v>2</v>
      </c>
      <c r="G1509" s="937">
        <v>2</v>
      </c>
      <c r="H1509" s="937">
        <v>2</v>
      </c>
      <c r="I1509" s="937">
        <v>2</v>
      </c>
      <c r="J1509" s="937">
        <v>2</v>
      </c>
      <c r="K1509" s="937">
        <v>2</v>
      </c>
      <c r="L1509" s="937">
        <v>2</v>
      </c>
      <c r="M1509" s="937">
        <v>2</v>
      </c>
      <c r="N1509" s="937">
        <v>2</v>
      </c>
      <c r="O1509" s="937">
        <v>8</v>
      </c>
      <c r="P1509" s="937">
        <v>9</v>
      </c>
      <c r="Q1509" s="937">
        <v>9</v>
      </c>
      <c r="R1509" s="937">
        <v>6</v>
      </c>
      <c r="S1509" s="937">
        <v>6</v>
      </c>
      <c r="T1509" s="937">
        <v>4</v>
      </c>
      <c r="U1509" s="937">
        <v>1</v>
      </c>
      <c r="V1509" s="937">
        <v>9</v>
      </c>
      <c r="W1509" s="937">
        <v>1</v>
      </c>
      <c r="X1509" s="937">
        <v>9</v>
      </c>
      <c r="Y1509" s="937">
        <v>5</v>
      </c>
      <c r="Z1509" s="937">
        <v>9</v>
      </c>
      <c r="AA1509" s="937">
        <v>5</v>
      </c>
      <c r="AB1509" s="937">
        <v>8</v>
      </c>
      <c r="AC1509" s="937">
        <v>8</v>
      </c>
      <c r="AD1509" s="627">
        <v>0</v>
      </c>
      <c r="AE1509" s="627">
        <v>0</v>
      </c>
      <c r="AF1509" s="627">
        <v>0</v>
      </c>
      <c r="AG1509" s="627">
        <v>0</v>
      </c>
      <c r="AH1509" s="627">
        <v>0</v>
      </c>
      <c r="AI1509" s="627">
        <v>0</v>
      </c>
    </row>
    <row r="1510" spans="3:35">
      <c r="C1510" s="611"/>
      <c r="D1510" s="934" t="s">
        <v>8369</v>
      </c>
      <c r="E1510" s="937">
        <v>1</v>
      </c>
      <c r="F1510" s="937">
        <v>1</v>
      </c>
      <c r="G1510" s="937">
        <v>1</v>
      </c>
      <c r="H1510" s="937">
        <v>1</v>
      </c>
      <c r="I1510" s="937">
        <v>1</v>
      </c>
      <c r="J1510" s="937">
        <v>1</v>
      </c>
      <c r="K1510" s="937">
        <v>1</v>
      </c>
      <c r="L1510" s="937">
        <v>1</v>
      </c>
      <c r="M1510" s="937">
        <v>1</v>
      </c>
      <c r="N1510" s="937">
        <v>1</v>
      </c>
      <c r="O1510" s="937">
        <v>1</v>
      </c>
      <c r="P1510" s="937">
        <v>1</v>
      </c>
      <c r="Q1510" s="937">
        <v>1</v>
      </c>
      <c r="R1510" s="937">
        <v>2</v>
      </c>
      <c r="S1510" s="937">
        <v>3</v>
      </c>
      <c r="T1510" s="937">
        <v>3</v>
      </c>
      <c r="U1510" s="937">
        <v>9</v>
      </c>
      <c r="V1510" s="937">
        <v>1</v>
      </c>
      <c r="W1510" s="937">
        <v>9</v>
      </c>
      <c r="X1510" s="937">
        <v>1</v>
      </c>
      <c r="Y1510" s="937">
        <v>10</v>
      </c>
      <c r="Z1510" s="937">
        <v>1</v>
      </c>
      <c r="AA1510" s="937">
        <v>10</v>
      </c>
      <c r="AB1510" s="937">
        <v>1</v>
      </c>
      <c r="AC1510" s="937">
        <v>1</v>
      </c>
      <c r="AD1510" s="627">
        <v>0</v>
      </c>
      <c r="AE1510" s="627">
        <v>0</v>
      </c>
      <c r="AF1510" s="627">
        <v>0</v>
      </c>
      <c r="AG1510" s="627">
        <v>0</v>
      </c>
      <c r="AH1510" s="627">
        <v>0</v>
      </c>
      <c r="AI1510" s="627">
        <v>0</v>
      </c>
    </row>
    <row r="1511" spans="3:35">
      <c r="C1511" s="611"/>
      <c r="D1511" s="934" t="s">
        <v>4427</v>
      </c>
      <c r="E1511" s="937">
        <v>2</v>
      </c>
      <c r="F1511" s="937">
        <v>2</v>
      </c>
      <c r="G1511" s="937">
        <v>2</v>
      </c>
      <c r="H1511" s="937">
        <v>2</v>
      </c>
      <c r="I1511" s="937">
        <v>2</v>
      </c>
      <c r="J1511" s="937">
        <v>2</v>
      </c>
      <c r="K1511" s="937">
        <v>2</v>
      </c>
      <c r="L1511" s="937">
        <v>2</v>
      </c>
      <c r="M1511" s="937">
        <v>2</v>
      </c>
      <c r="N1511" s="937">
        <v>2</v>
      </c>
      <c r="O1511" s="937">
        <v>8</v>
      </c>
      <c r="P1511" s="937">
        <v>9</v>
      </c>
      <c r="Q1511" s="937">
        <v>9</v>
      </c>
      <c r="R1511" s="937">
        <v>6</v>
      </c>
      <c r="S1511" s="937">
        <v>6</v>
      </c>
      <c r="T1511" s="937">
        <v>4</v>
      </c>
      <c r="U1511" s="937">
        <v>1</v>
      </c>
      <c r="V1511" s="937">
        <v>9</v>
      </c>
      <c r="W1511" s="937">
        <v>1</v>
      </c>
      <c r="X1511" s="937">
        <v>9</v>
      </c>
      <c r="Y1511" s="937">
        <v>5</v>
      </c>
      <c r="Z1511" s="937">
        <v>9</v>
      </c>
      <c r="AA1511" s="937">
        <v>5</v>
      </c>
      <c r="AB1511" s="937">
        <v>8</v>
      </c>
      <c r="AC1511" s="937">
        <v>8</v>
      </c>
      <c r="AD1511" s="627">
        <v>0</v>
      </c>
      <c r="AE1511" s="627">
        <v>0</v>
      </c>
      <c r="AF1511" s="627">
        <v>0</v>
      </c>
      <c r="AG1511" s="627">
        <v>0</v>
      </c>
      <c r="AH1511" s="627">
        <v>0</v>
      </c>
      <c r="AI1511" s="627">
        <v>0</v>
      </c>
    </row>
    <row r="1512" spans="3:35">
      <c r="C1512" s="611"/>
      <c r="D1512" s="934" t="s">
        <v>8368</v>
      </c>
      <c r="E1512" s="937">
        <v>1</v>
      </c>
      <c r="F1512" s="937">
        <v>1</v>
      </c>
      <c r="G1512" s="937">
        <v>1</v>
      </c>
      <c r="H1512" s="937">
        <v>1</v>
      </c>
      <c r="I1512" s="937">
        <v>1</v>
      </c>
      <c r="J1512" s="937">
        <v>1</v>
      </c>
      <c r="K1512" s="937">
        <v>1</v>
      </c>
      <c r="L1512" s="937">
        <v>1</v>
      </c>
      <c r="M1512" s="937">
        <v>1</v>
      </c>
      <c r="N1512" s="937">
        <v>1</v>
      </c>
      <c r="O1512" s="937">
        <v>1</v>
      </c>
      <c r="P1512" s="937">
        <v>1</v>
      </c>
      <c r="Q1512" s="937">
        <v>1</v>
      </c>
      <c r="R1512" s="937">
        <v>2</v>
      </c>
      <c r="S1512" s="937">
        <v>3</v>
      </c>
      <c r="T1512" s="937">
        <v>3</v>
      </c>
      <c r="U1512" s="937">
        <v>9</v>
      </c>
      <c r="V1512" s="937">
        <v>1</v>
      </c>
      <c r="W1512" s="937">
        <v>9</v>
      </c>
      <c r="X1512" s="937">
        <v>1</v>
      </c>
      <c r="Y1512" s="937">
        <v>10</v>
      </c>
      <c r="Z1512" s="937">
        <v>1</v>
      </c>
      <c r="AA1512" s="937">
        <v>10</v>
      </c>
      <c r="AB1512" s="937">
        <v>1</v>
      </c>
      <c r="AC1512" s="937">
        <v>1</v>
      </c>
      <c r="AD1512" s="627">
        <v>0</v>
      </c>
      <c r="AE1512" s="627">
        <v>0</v>
      </c>
      <c r="AF1512" s="627">
        <v>0</v>
      </c>
      <c r="AG1512" s="627">
        <v>0</v>
      </c>
      <c r="AH1512" s="627">
        <v>0</v>
      </c>
      <c r="AI1512" s="627">
        <v>0</v>
      </c>
    </row>
    <row r="1513" spans="3:35">
      <c r="C1513" s="611"/>
      <c r="D1513" s="934" t="s">
        <v>4428</v>
      </c>
      <c r="E1513" s="937">
        <v>4</v>
      </c>
      <c r="F1513" s="937">
        <v>4</v>
      </c>
      <c r="G1513" s="937">
        <v>4</v>
      </c>
      <c r="H1513" s="937">
        <v>4</v>
      </c>
      <c r="I1513" s="937">
        <v>4</v>
      </c>
      <c r="J1513" s="937">
        <v>4</v>
      </c>
      <c r="K1513" s="937">
        <v>4</v>
      </c>
      <c r="L1513" s="937">
        <v>4</v>
      </c>
      <c r="M1513" s="937">
        <v>4</v>
      </c>
      <c r="N1513" s="937">
        <v>4</v>
      </c>
      <c r="O1513" s="937">
        <v>9</v>
      </c>
      <c r="P1513" s="937">
        <v>8</v>
      </c>
      <c r="Q1513" s="937">
        <v>8</v>
      </c>
      <c r="R1513" s="937">
        <v>5</v>
      </c>
      <c r="S1513" s="937">
        <v>4</v>
      </c>
      <c r="T1513" s="937">
        <v>3</v>
      </c>
      <c r="U1513" s="937">
        <v>1</v>
      </c>
      <c r="V1513" s="937">
        <v>8</v>
      </c>
      <c r="W1513" s="937">
        <v>1</v>
      </c>
      <c r="X1513" s="937">
        <v>8</v>
      </c>
      <c r="Y1513" s="937">
        <v>1</v>
      </c>
      <c r="Z1513" s="937">
        <v>8</v>
      </c>
      <c r="AA1513" s="937">
        <v>1</v>
      </c>
      <c r="AB1513" s="937">
        <v>9</v>
      </c>
      <c r="AC1513" s="937">
        <v>9</v>
      </c>
      <c r="AD1513" s="627">
        <v>0</v>
      </c>
      <c r="AE1513" s="627">
        <v>0</v>
      </c>
      <c r="AF1513" s="627">
        <v>0</v>
      </c>
      <c r="AG1513" s="627">
        <v>0</v>
      </c>
      <c r="AH1513" s="627">
        <v>0</v>
      </c>
      <c r="AI1513" s="627">
        <v>0</v>
      </c>
    </row>
    <row r="1514" spans="3:35">
      <c r="C1514" s="611"/>
      <c r="D1514" s="934" t="s">
        <v>4429</v>
      </c>
      <c r="E1514" s="937">
        <v>4</v>
      </c>
      <c r="F1514" s="937">
        <v>4</v>
      </c>
      <c r="G1514" s="937">
        <v>4</v>
      </c>
      <c r="H1514" s="937">
        <v>4</v>
      </c>
      <c r="I1514" s="937">
        <v>4</v>
      </c>
      <c r="J1514" s="937">
        <v>4</v>
      </c>
      <c r="K1514" s="937">
        <v>4</v>
      </c>
      <c r="L1514" s="937">
        <v>4</v>
      </c>
      <c r="M1514" s="937">
        <v>4</v>
      </c>
      <c r="N1514" s="937">
        <v>4</v>
      </c>
      <c r="O1514" s="937">
        <v>9</v>
      </c>
      <c r="P1514" s="937">
        <v>8</v>
      </c>
      <c r="Q1514" s="937">
        <v>8</v>
      </c>
      <c r="R1514" s="937">
        <v>5</v>
      </c>
      <c r="S1514" s="937">
        <v>4</v>
      </c>
      <c r="T1514" s="937">
        <v>3</v>
      </c>
      <c r="U1514" s="937">
        <v>1</v>
      </c>
      <c r="V1514" s="937">
        <v>8</v>
      </c>
      <c r="W1514" s="937">
        <v>1</v>
      </c>
      <c r="X1514" s="937">
        <v>8</v>
      </c>
      <c r="Y1514" s="937">
        <v>1</v>
      </c>
      <c r="Z1514" s="937">
        <v>8</v>
      </c>
      <c r="AA1514" s="937">
        <v>1</v>
      </c>
      <c r="AB1514" s="937">
        <v>9</v>
      </c>
      <c r="AC1514" s="937">
        <v>9</v>
      </c>
      <c r="AD1514" s="627">
        <v>0</v>
      </c>
      <c r="AE1514" s="627">
        <v>0</v>
      </c>
      <c r="AF1514" s="627">
        <v>0</v>
      </c>
      <c r="AG1514" s="627">
        <v>0</v>
      </c>
      <c r="AH1514" s="627">
        <v>0</v>
      </c>
      <c r="AI1514" s="627">
        <v>0</v>
      </c>
    </row>
    <row r="1515" spans="3:35">
      <c r="C1515" s="611"/>
      <c r="D1515" s="934" t="s">
        <v>5661</v>
      </c>
      <c r="E1515" s="627">
        <v>0</v>
      </c>
      <c r="F1515" s="627">
        <v>0</v>
      </c>
      <c r="G1515" s="627">
        <v>0</v>
      </c>
      <c r="H1515" s="627">
        <v>0</v>
      </c>
      <c r="I1515" s="627">
        <v>0</v>
      </c>
      <c r="J1515" s="627">
        <v>0</v>
      </c>
      <c r="K1515" s="627">
        <v>0</v>
      </c>
      <c r="L1515" s="627">
        <v>0</v>
      </c>
      <c r="M1515" s="627">
        <v>0</v>
      </c>
      <c r="N1515" s="627">
        <v>0</v>
      </c>
      <c r="O1515" s="627">
        <v>0</v>
      </c>
      <c r="P1515" s="627">
        <v>0</v>
      </c>
      <c r="Q1515" s="627">
        <v>0</v>
      </c>
      <c r="R1515" s="627">
        <v>0</v>
      </c>
      <c r="S1515" s="627">
        <v>0</v>
      </c>
      <c r="T1515" s="627">
        <v>0</v>
      </c>
      <c r="U1515" s="627">
        <v>0</v>
      </c>
      <c r="V1515" s="627">
        <v>0</v>
      </c>
      <c r="W1515" s="627">
        <v>0</v>
      </c>
      <c r="X1515" s="627">
        <v>0</v>
      </c>
      <c r="Y1515" s="627">
        <v>0</v>
      </c>
      <c r="Z1515" s="627">
        <v>0</v>
      </c>
      <c r="AA1515" s="627">
        <v>0</v>
      </c>
      <c r="AB1515" s="627">
        <v>0</v>
      </c>
      <c r="AC1515" s="627">
        <v>0</v>
      </c>
      <c r="AD1515" s="627">
        <v>0</v>
      </c>
      <c r="AE1515" s="627">
        <v>0</v>
      </c>
      <c r="AF1515" s="627">
        <v>0</v>
      </c>
      <c r="AG1515" s="627">
        <v>0</v>
      </c>
      <c r="AH1515" s="627">
        <v>0</v>
      </c>
      <c r="AI1515" s="627">
        <v>0</v>
      </c>
    </row>
    <row r="1516" spans="3:35">
      <c r="C1516" s="611"/>
      <c r="D1516" s="934" t="s">
        <v>5661</v>
      </c>
      <c r="E1516" s="627">
        <v>0</v>
      </c>
      <c r="F1516" s="627">
        <v>0</v>
      </c>
      <c r="G1516" s="627">
        <v>0</v>
      </c>
      <c r="H1516" s="627">
        <v>0</v>
      </c>
      <c r="I1516" s="627">
        <v>0</v>
      </c>
      <c r="J1516" s="627">
        <v>0</v>
      </c>
      <c r="K1516" s="627">
        <v>0</v>
      </c>
      <c r="L1516" s="627">
        <v>0</v>
      </c>
      <c r="M1516" s="627">
        <v>0</v>
      </c>
      <c r="N1516" s="627">
        <v>0</v>
      </c>
      <c r="O1516" s="627">
        <v>0</v>
      </c>
      <c r="P1516" s="627">
        <v>0</v>
      </c>
      <c r="Q1516" s="627">
        <v>0</v>
      </c>
      <c r="R1516" s="627">
        <v>0</v>
      </c>
      <c r="S1516" s="627">
        <v>0</v>
      </c>
      <c r="T1516" s="627">
        <v>0</v>
      </c>
      <c r="U1516" s="627">
        <v>0</v>
      </c>
      <c r="V1516" s="627">
        <v>0</v>
      </c>
      <c r="W1516" s="627">
        <v>0</v>
      </c>
      <c r="X1516" s="627">
        <v>0</v>
      </c>
      <c r="Y1516" s="627">
        <v>0</v>
      </c>
      <c r="Z1516" s="627">
        <v>0</v>
      </c>
      <c r="AA1516" s="627">
        <v>0</v>
      </c>
      <c r="AB1516" s="627">
        <v>0</v>
      </c>
      <c r="AC1516" s="627">
        <v>0</v>
      </c>
      <c r="AD1516" s="627">
        <v>0</v>
      </c>
      <c r="AE1516" s="627">
        <v>0</v>
      </c>
      <c r="AF1516" s="627">
        <v>0</v>
      </c>
      <c r="AG1516" s="627">
        <v>0</v>
      </c>
      <c r="AH1516" s="627">
        <v>0</v>
      </c>
      <c r="AI1516" s="627">
        <v>0</v>
      </c>
    </row>
    <row r="1517" spans="3:35">
      <c r="C1517" s="611"/>
      <c r="D1517" s="934" t="s">
        <v>5661</v>
      </c>
      <c r="E1517" s="627">
        <v>0</v>
      </c>
      <c r="F1517" s="627">
        <v>0</v>
      </c>
      <c r="G1517" s="627">
        <v>0</v>
      </c>
      <c r="H1517" s="627">
        <v>0</v>
      </c>
      <c r="I1517" s="627">
        <v>0</v>
      </c>
      <c r="J1517" s="627">
        <v>0</v>
      </c>
      <c r="K1517" s="627">
        <v>0</v>
      </c>
      <c r="L1517" s="627">
        <v>0</v>
      </c>
      <c r="M1517" s="627">
        <v>0</v>
      </c>
      <c r="N1517" s="627">
        <v>0</v>
      </c>
      <c r="O1517" s="627">
        <v>0</v>
      </c>
      <c r="P1517" s="627">
        <v>0</v>
      </c>
      <c r="Q1517" s="627">
        <v>0</v>
      </c>
      <c r="R1517" s="627">
        <v>0</v>
      </c>
      <c r="S1517" s="627">
        <v>0</v>
      </c>
      <c r="T1517" s="627">
        <v>0</v>
      </c>
      <c r="U1517" s="627">
        <v>0</v>
      </c>
      <c r="V1517" s="627">
        <v>0</v>
      </c>
      <c r="W1517" s="627">
        <v>0</v>
      </c>
      <c r="X1517" s="627">
        <v>0</v>
      </c>
      <c r="Y1517" s="627">
        <v>0</v>
      </c>
      <c r="Z1517" s="627">
        <v>0</v>
      </c>
      <c r="AA1517" s="627">
        <v>0</v>
      </c>
      <c r="AB1517" s="627">
        <v>0</v>
      </c>
      <c r="AC1517" s="627">
        <v>0</v>
      </c>
      <c r="AD1517" s="627">
        <v>0</v>
      </c>
      <c r="AE1517" s="627">
        <v>0</v>
      </c>
      <c r="AF1517" s="627">
        <v>0</v>
      </c>
      <c r="AG1517" s="627">
        <v>0</v>
      </c>
      <c r="AH1517" s="627">
        <v>0</v>
      </c>
      <c r="AI1517" s="627">
        <v>0</v>
      </c>
    </row>
    <row r="1518" spans="3:35">
      <c r="C1518" s="611"/>
      <c r="D1518" s="934" t="s">
        <v>5661</v>
      </c>
      <c r="E1518" s="627">
        <v>0</v>
      </c>
      <c r="F1518" s="627">
        <v>0</v>
      </c>
      <c r="G1518" s="627">
        <v>0</v>
      </c>
      <c r="H1518" s="627">
        <v>0</v>
      </c>
      <c r="I1518" s="627">
        <v>0</v>
      </c>
      <c r="J1518" s="627">
        <v>0</v>
      </c>
      <c r="K1518" s="627">
        <v>0</v>
      </c>
      <c r="L1518" s="627">
        <v>0</v>
      </c>
      <c r="M1518" s="627">
        <v>0</v>
      </c>
      <c r="N1518" s="627">
        <v>0</v>
      </c>
      <c r="O1518" s="627">
        <v>0</v>
      </c>
      <c r="P1518" s="627">
        <v>0</v>
      </c>
      <c r="Q1518" s="627">
        <v>0</v>
      </c>
      <c r="R1518" s="627">
        <v>0</v>
      </c>
      <c r="S1518" s="627">
        <v>0</v>
      </c>
      <c r="T1518" s="627">
        <v>0</v>
      </c>
      <c r="U1518" s="627">
        <v>0</v>
      </c>
      <c r="V1518" s="627">
        <v>0</v>
      </c>
      <c r="W1518" s="627">
        <v>0</v>
      </c>
      <c r="X1518" s="627">
        <v>0</v>
      </c>
      <c r="Y1518" s="627">
        <v>0</v>
      </c>
      <c r="Z1518" s="627">
        <v>0</v>
      </c>
      <c r="AA1518" s="627">
        <v>0</v>
      </c>
      <c r="AB1518" s="627">
        <v>0</v>
      </c>
      <c r="AC1518" s="627">
        <v>0</v>
      </c>
      <c r="AD1518" s="627">
        <v>0</v>
      </c>
      <c r="AE1518" s="627">
        <v>0</v>
      </c>
      <c r="AF1518" s="627">
        <v>0</v>
      </c>
      <c r="AG1518" s="627">
        <v>0</v>
      </c>
      <c r="AH1518" s="627">
        <v>0</v>
      </c>
      <c r="AI1518" s="627">
        <v>0</v>
      </c>
    </row>
    <row r="1519" spans="3:35">
      <c r="C1519" s="611"/>
      <c r="D1519" s="934" t="s">
        <v>5661</v>
      </c>
      <c r="E1519" s="627">
        <v>0</v>
      </c>
      <c r="F1519" s="627">
        <v>0</v>
      </c>
      <c r="G1519" s="627">
        <v>0</v>
      </c>
      <c r="H1519" s="627">
        <v>0</v>
      </c>
      <c r="I1519" s="627">
        <v>0</v>
      </c>
      <c r="J1519" s="627">
        <v>0</v>
      </c>
      <c r="K1519" s="627">
        <v>0</v>
      </c>
      <c r="L1519" s="627">
        <v>0</v>
      </c>
      <c r="M1519" s="627">
        <v>0</v>
      </c>
      <c r="N1519" s="627">
        <v>0</v>
      </c>
      <c r="O1519" s="627">
        <v>0</v>
      </c>
      <c r="P1519" s="627">
        <v>0</v>
      </c>
      <c r="Q1519" s="627">
        <v>0</v>
      </c>
      <c r="R1519" s="627">
        <v>0</v>
      </c>
      <c r="S1519" s="627">
        <v>0</v>
      </c>
      <c r="T1519" s="627">
        <v>0</v>
      </c>
      <c r="U1519" s="627">
        <v>0</v>
      </c>
      <c r="V1519" s="627">
        <v>0</v>
      </c>
      <c r="W1519" s="627">
        <v>0</v>
      </c>
      <c r="X1519" s="627">
        <v>0</v>
      </c>
      <c r="Y1519" s="627">
        <v>0</v>
      </c>
      <c r="Z1519" s="627">
        <v>0</v>
      </c>
      <c r="AA1519" s="627">
        <v>0</v>
      </c>
      <c r="AB1519" s="627">
        <v>0</v>
      </c>
      <c r="AC1519" s="627">
        <v>0</v>
      </c>
      <c r="AD1519" s="627">
        <v>0</v>
      </c>
      <c r="AE1519" s="627">
        <v>0</v>
      </c>
      <c r="AF1519" s="627">
        <v>0</v>
      </c>
      <c r="AG1519" s="627">
        <v>0</v>
      </c>
      <c r="AH1519" s="627">
        <v>0</v>
      </c>
      <c r="AI1519" s="627">
        <v>0</v>
      </c>
    </row>
    <row r="1520" spans="3:35">
      <c r="C1520" s="611"/>
      <c r="D1520" s="934" t="s">
        <v>350</v>
      </c>
      <c r="E1520" s="627">
        <v>0</v>
      </c>
      <c r="F1520" s="627">
        <v>0</v>
      </c>
      <c r="G1520" s="627">
        <v>0</v>
      </c>
      <c r="H1520" s="627">
        <v>0</v>
      </c>
      <c r="I1520" s="627">
        <v>0</v>
      </c>
      <c r="J1520" s="627">
        <v>0</v>
      </c>
      <c r="K1520" s="627">
        <v>0</v>
      </c>
      <c r="L1520" s="627">
        <v>0</v>
      </c>
      <c r="M1520" s="627">
        <v>0</v>
      </c>
      <c r="N1520" s="627">
        <v>0</v>
      </c>
      <c r="O1520" s="627">
        <v>0</v>
      </c>
      <c r="P1520" s="627">
        <v>0</v>
      </c>
      <c r="Q1520" s="627">
        <v>0</v>
      </c>
      <c r="R1520" s="627">
        <v>0</v>
      </c>
      <c r="S1520" s="627">
        <v>0</v>
      </c>
      <c r="T1520" s="627">
        <v>0</v>
      </c>
      <c r="U1520" s="627">
        <v>0</v>
      </c>
      <c r="V1520" s="627">
        <v>0</v>
      </c>
      <c r="W1520" s="627">
        <v>0</v>
      </c>
      <c r="X1520" s="627">
        <v>0</v>
      </c>
      <c r="Y1520" s="627">
        <v>0</v>
      </c>
      <c r="Z1520" s="627">
        <v>0</v>
      </c>
      <c r="AA1520" s="627">
        <v>0</v>
      </c>
      <c r="AB1520" s="627">
        <v>0</v>
      </c>
      <c r="AC1520" s="627">
        <v>0</v>
      </c>
      <c r="AD1520" s="627">
        <v>0</v>
      </c>
      <c r="AE1520" s="627">
        <v>0</v>
      </c>
      <c r="AF1520" s="627">
        <v>0</v>
      </c>
      <c r="AG1520" s="627">
        <v>0</v>
      </c>
      <c r="AH1520" s="627">
        <v>0</v>
      </c>
      <c r="AI1520" s="627">
        <v>0</v>
      </c>
    </row>
    <row r="1524" spans="1:149" s="11" customFormat="1">
      <c r="A1524" s="29"/>
      <c r="B1524" s="29" t="s">
        <v>10598</v>
      </c>
      <c r="C1524" s="29"/>
    </row>
    <row r="1527" spans="1:149">
      <c r="C1527" s="88" t="s">
        <v>241</v>
      </c>
      <c r="E1527" s="804" t="s">
        <v>352</v>
      </c>
      <c r="F1527" s="804" t="s">
        <v>351</v>
      </c>
      <c r="G1527" s="804" t="s">
        <v>353</v>
      </c>
      <c r="H1527" s="804" t="s">
        <v>584</v>
      </c>
      <c r="I1527" s="804" t="s">
        <v>2107</v>
      </c>
      <c r="J1527" s="804" t="s">
        <v>2108</v>
      </c>
      <c r="K1527" s="804" t="s">
        <v>354</v>
      </c>
      <c r="L1527" s="804" t="s">
        <v>355</v>
      </c>
      <c r="M1527" s="804" t="s">
        <v>3765</v>
      </c>
      <c r="N1527" s="804" t="s">
        <v>3766</v>
      </c>
      <c r="O1527" s="804" t="s">
        <v>4417</v>
      </c>
      <c r="P1527" s="804" t="s">
        <v>4418</v>
      </c>
      <c r="Q1527" s="804" t="s">
        <v>4419</v>
      </c>
      <c r="R1527" s="804" t="s">
        <v>4420</v>
      </c>
      <c r="S1527" s="804" t="s">
        <v>4421</v>
      </c>
      <c r="T1527" s="804" t="s">
        <v>4422</v>
      </c>
      <c r="U1527" s="804" t="s">
        <v>4423</v>
      </c>
      <c r="V1527" s="804" t="s">
        <v>4424</v>
      </c>
      <c r="W1527" s="804" t="s">
        <v>4425</v>
      </c>
      <c r="X1527" s="804" t="s">
        <v>4426</v>
      </c>
      <c r="Y1527" s="804" t="s">
        <v>8369</v>
      </c>
      <c r="Z1527" s="804" t="s">
        <v>4427</v>
      </c>
      <c r="AA1527" s="804" t="s">
        <v>8368</v>
      </c>
      <c r="AB1527" s="804" t="s">
        <v>4428</v>
      </c>
      <c r="AC1527" s="804" t="s">
        <v>4429</v>
      </c>
      <c r="AD1527" s="804" t="s">
        <v>5661</v>
      </c>
      <c r="AE1527" s="804" t="s">
        <v>5661</v>
      </c>
      <c r="AF1527" s="804" t="s">
        <v>5661</v>
      </c>
      <c r="AG1527" s="804" t="s">
        <v>5661</v>
      </c>
      <c r="AH1527" s="804" t="s">
        <v>5661</v>
      </c>
      <c r="AI1527" s="804" t="s">
        <v>350</v>
      </c>
      <c r="AK1527" s="508" t="s">
        <v>352</v>
      </c>
      <c r="AL1527" s="508" t="s">
        <v>351</v>
      </c>
      <c r="AM1527" s="508" t="s">
        <v>353</v>
      </c>
      <c r="AN1527" s="508" t="s">
        <v>584</v>
      </c>
      <c r="AO1527" s="508" t="s">
        <v>2107</v>
      </c>
      <c r="AP1527" s="508" t="s">
        <v>2108</v>
      </c>
      <c r="AQ1527" s="508" t="s">
        <v>354</v>
      </c>
      <c r="AR1527" s="508" t="s">
        <v>355</v>
      </c>
      <c r="AS1527" s="508" t="s">
        <v>3765</v>
      </c>
      <c r="AT1527" s="508" t="s">
        <v>3766</v>
      </c>
      <c r="AU1527" s="508" t="s">
        <v>4417</v>
      </c>
      <c r="AV1527" s="508" t="s">
        <v>4418</v>
      </c>
      <c r="AW1527" s="508" t="s">
        <v>4419</v>
      </c>
      <c r="AX1527" s="508" t="s">
        <v>4420</v>
      </c>
      <c r="AY1527" s="508" t="s">
        <v>4421</v>
      </c>
      <c r="AZ1527" s="508" t="s">
        <v>4422</v>
      </c>
      <c r="BA1527" s="508" t="s">
        <v>4423</v>
      </c>
      <c r="BB1527" s="508" t="s">
        <v>4424</v>
      </c>
      <c r="BC1527" s="508" t="s">
        <v>4425</v>
      </c>
      <c r="BD1527" s="508" t="s">
        <v>4426</v>
      </c>
      <c r="BE1527" s="508" t="s">
        <v>8369</v>
      </c>
      <c r="BF1527" s="508" t="s">
        <v>4427</v>
      </c>
      <c r="BG1527" s="508" t="s">
        <v>8368</v>
      </c>
      <c r="BH1527" s="508" t="s">
        <v>4428</v>
      </c>
      <c r="BI1527" s="508" t="s">
        <v>4429</v>
      </c>
      <c r="BK1527" s="976" t="s">
        <v>13070</v>
      </c>
    </row>
    <row r="1528" spans="1:149" s="610" customFormat="1">
      <c r="C1528" s="88"/>
      <c r="D1528" s="145" t="s">
        <v>5788</v>
      </c>
      <c r="E1528" s="804">
        <v>0</v>
      </c>
      <c r="F1528" s="804">
        <v>0</v>
      </c>
      <c r="G1528" s="804">
        <v>0</v>
      </c>
      <c r="H1528" s="804">
        <v>0</v>
      </c>
      <c r="I1528" s="804">
        <v>0</v>
      </c>
      <c r="J1528" s="804">
        <v>0</v>
      </c>
      <c r="K1528" s="804">
        <v>0</v>
      </c>
      <c r="L1528" s="804">
        <v>0</v>
      </c>
      <c r="M1528" s="804">
        <v>0</v>
      </c>
      <c r="N1528" s="804">
        <v>0</v>
      </c>
      <c r="O1528" s="804">
        <v>0</v>
      </c>
      <c r="P1528" s="804">
        <v>0</v>
      </c>
      <c r="Q1528" s="804">
        <v>0</v>
      </c>
      <c r="R1528" s="804">
        <v>0</v>
      </c>
      <c r="S1528" s="804">
        <v>0</v>
      </c>
      <c r="T1528" s="804">
        <v>0</v>
      </c>
      <c r="U1528" s="804">
        <v>0</v>
      </c>
      <c r="V1528" s="804">
        <v>0</v>
      </c>
      <c r="W1528" s="804">
        <v>0</v>
      </c>
      <c r="X1528" s="804">
        <v>0</v>
      </c>
      <c r="Y1528" s="804">
        <v>0</v>
      </c>
      <c r="Z1528" s="804">
        <v>0</v>
      </c>
      <c r="AA1528" s="804">
        <v>0</v>
      </c>
      <c r="AB1528" s="804">
        <v>0</v>
      </c>
      <c r="AC1528" s="804">
        <v>0</v>
      </c>
      <c r="AD1528" s="804">
        <v>0</v>
      </c>
      <c r="AE1528" s="804">
        <v>0</v>
      </c>
      <c r="AF1528" s="804">
        <v>0</v>
      </c>
      <c r="AG1528" s="804">
        <v>0</v>
      </c>
      <c r="AH1528" s="804">
        <v>0</v>
      </c>
      <c r="AI1528" s="804">
        <v>0</v>
      </c>
      <c r="AK1528" s="508">
        <v>0</v>
      </c>
      <c r="AL1528" s="508">
        <v>0</v>
      </c>
      <c r="AM1528" s="508">
        <v>0</v>
      </c>
      <c r="AN1528" s="508">
        <v>0</v>
      </c>
      <c r="AO1528" s="508">
        <v>0</v>
      </c>
      <c r="AP1528" s="508">
        <v>0</v>
      </c>
      <c r="AQ1528" s="508">
        <v>0</v>
      </c>
      <c r="AR1528" s="508">
        <v>0</v>
      </c>
      <c r="AS1528" s="508">
        <v>0</v>
      </c>
      <c r="AT1528" s="508">
        <v>0</v>
      </c>
      <c r="AU1528" s="508">
        <v>0</v>
      </c>
      <c r="AV1528" s="508">
        <v>0</v>
      </c>
      <c r="AW1528" s="508">
        <v>0</v>
      </c>
      <c r="AX1528" s="508">
        <v>0</v>
      </c>
      <c r="AY1528" s="508">
        <v>0</v>
      </c>
      <c r="AZ1528" s="508">
        <v>0</v>
      </c>
      <c r="BA1528" s="508">
        <v>0</v>
      </c>
      <c r="BB1528" s="508">
        <v>0</v>
      </c>
      <c r="BC1528" s="508">
        <v>0</v>
      </c>
      <c r="BD1528" s="508">
        <v>0</v>
      </c>
      <c r="BE1528" s="508">
        <v>0</v>
      </c>
      <c r="BF1528" s="508">
        <v>0</v>
      </c>
      <c r="BG1528" s="508">
        <v>0</v>
      </c>
      <c r="BH1528" s="508">
        <v>0</v>
      </c>
      <c r="BI1528" s="508">
        <v>0</v>
      </c>
      <c r="BL1528" s="804" t="s">
        <v>352</v>
      </c>
      <c r="BM1528" s="804" t="s">
        <v>351</v>
      </c>
      <c r="BN1528" s="804" t="s">
        <v>353</v>
      </c>
      <c r="BO1528" s="804" t="s">
        <v>584</v>
      </c>
      <c r="BP1528" s="804" t="s">
        <v>2107</v>
      </c>
      <c r="BQ1528" s="804" t="s">
        <v>2108</v>
      </c>
      <c r="BR1528" s="804" t="s">
        <v>354</v>
      </c>
      <c r="BS1528" s="804" t="s">
        <v>355</v>
      </c>
      <c r="BT1528" s="804" t="s">
        <v>3765</v>
      </c>
      <c r="BU1528" s="804" t="s">
        <v>3766</v>
      </c>
      <c r="BV1528" s="804" t="s">
        <v>4417</v>
      </c>
      <c r="BW1528" s="804" t="s">
        <v>4418</v>
      </c>
      <c r="BX1528" s="804" t="s">
        <v>4419</v>
      </c>
      <c r="BY1528" s="804" t="s">
        <v>4420</v>
      </c>
      <c r="BZ1528" s="804" t="s">
        <v>4421</v>
      </c>
      <c r="CA1528" s="804" t="s">
        <v>4422</v>
      </c>
      <c r="CB1528" s="804" t="s">
        <v>4423</v>
      </c>
      <c r="CC1528" s="804" t="s">
        <v>4424</v>
      </c>
      <c r="CD1528" s="804" t="s">
        <v>4425</v>
      </c>
      <c r="CE1528" s="804" t="s">
        <v>4426</v>
      </c>
      <c r="CF1528" s="804" t="s">
        <v>8369</v>
      </c>
      <c r="CG1528" s="804" t="s">
        <v>4427</v>
      </c>
      <c r="CH1528" s="804" t="s">
        <v>8368</v>
      </c>
      <c r="CI1528" s="804" t="s">
        <v>4428</v>
      </c>
      <c r="CJ1528" s="804" t="s">
        <v>4429</v>
      </c>
      <c r="CK1528" s="804" t="s">
        <v>5661</v>
      </c>
      <c r="CL1528" s="804" t="s">
        <v>5661</v>
      </c>
      <c r="CM1528" s="804" t="s">
        <v>5661</v>
      </c>
      <c r="CN1528" s="804" t="s">
        <v>5661</v>
      </c>
      <c r="CO1528" s="804" t="s">
        <v>5661</v>
      </c>
      <c r="CP1528" s="804" t="s">
        <v>350</v>
      </c>
    </row>
    <row r="1529" spans="1:149">
      <c r="D1529" s="939" t="s">
        <v>9050</v>
      </c>
      <c r="E1529" s="941">
        <v>4.4600000000000009</v>
      </c>
      <c r="F1529" s="941">
        <v>4.4600000000000009</v>
      </c>
      <c r="G1529" s="941">
        <v>4.4600000000000009</v>
      </c>
      <c r="H1529" s="941">
        <v>4.4600000000000009</v>
      </c>
      <c r="I1529" s="941">
        <v>4.4600000000000009</v>
      </c>
      <c r="J1529" s="941">
        <v>4.4600000000000009</v>
      </c>
      <c r="K1529" s="941">
        <v>4.4600000000000009</v>
      </c>
      <c r="L1529" s="941">
        <v>4.4600000000000009</v>
      </c>
      <c r="M1529" s="941">
        <v>4.4600000000000009</v>
      </c>
      <c r="N1529" s="941">
        <v>4.4600000000000009</v>
      </c>
      <c r="O1529" s="941">
        <v>4.4600000000000009</v>
      </c>
      <c r="P1529" s="941">
        <v>4.4600000000000009</v>
      </c>
      <c r="Q1529" s="941">
        <v>4.4600000000000009</v>
      </c>
      <c r="R1529" s="941">
        <v>5.96</v>
      </c>
      <c r="S1529" s="941">
        <v>5.96</v>
      </c>
      <c r="T1529" s="941">
        <v>5.96</v>
      </c>
      <c r="U1529" s="941">
        <v>5.96</v>
      </c>
      <c r="V1529" s="941">
        <v>4.4600000000000009</v>
      </c>
      <c r="W1529" s="941">
        <v>0</v>
      </c>
      <c r="X1529" s="941">
        <v>4.4600000000000009</v>
      </c>
      <c r="Y1529" s="941">
        <v>4.4600000000000009</v>
      </c>
      <c r="Z1529" s="941">
        <v>4.4600000000000009</v>
      </c>
      <c r="AA1529" s="941">
        <v>4.4600000000000009</v>
      </c>
      <c r="AB1529" s="941">
        <v>4.4600000000000009</v>
      </c>
      <c r="AC1529" s="941">
        <v>4.4600000000000009</v>
      </c>
      <c r="AD1529" s="941">
        <v>0</v>
      </c>
      <c r="AE1529" s="941">
        <v>0</v>
      </c>
      <c r="AF1529" s="941">
        <v>0</v>
      </c>
      <c r="AG1529" s="941">
        <v>0</v>
      </c>
      <c r="AH1529" s="941">
        <v>0</v>
      </c>
      <c r="AI1529" s="941">
        <v>0</v>
      </c>
      <c r="AK1529" s="508">
        <v>8.9200000000000017</v>
      </c>
      <c r="AL1529" s="508">
        <v>4.0140000000000011</v>
      </c>
      <c r="AM1529" s="508">
        <v>4.0140000000000011</v>
      </c>
      <c r="AN1529" s="508">
        <v>4.0140000000000011</v>
      </c>
      <c r="AO1529" s="508">
        <v>4.0140000000000011</v>
      </c>
      <c r="AP1529" s="508">
        <v>4.0140000000000011</v>
      </c>
      <c r="AQ1529" s="508">
        <v>4.0140000000000011</v>
      </c>
      <c r="AR1529" s="508">
        <v>4.0140000000000011</v>
      </c>
      <c r="AS1529" s="508">
        <v>4.0140000000000011</v>
      </c>
      <c r="AT1529" s="508">
        <v>4.0140000000000011</v>
      </c>
      <c r="AU1529" s="508">
        <v>4.0140000000000011</v>
      </c>
      <c r="AV1529" s="508">
        <v>4.0140000000000011</v>
      </c>
      <c r="AW1529" s="508">
        <v>4.0140000000000011</v>
      </c>
      <c r="AX1529" s="508">
        <v>5.3639999999999999</v>
      </c>
      <c r="AY1529" s="508">
        <v>5.3639999999999999</v>
      </c>
      <c r="AZ1529" s="508">
        <v>5.3639999999999999</v>
      </c>
      <c r="BA1529" s="508">
        <v>5.3639999999999999</v>
      </c>
      <c r="BB1529" s="508">
        <v>4.0140000000000011</v>
      </c>
      <c r="BC1529" s="508">
        <v>0</v>
      </c>
      <c r="BD1529" s="508">
        <v>4.0140000000000011</v>
      </c>
      <c r="BE1529" s="508">
        <v>4.0140000000000011</v>
      </c>
      <c r="BF1529" s="508">
        <v>4.0140000000000011</v>
      </c>
      <c r="BG1529" s="508">
        <v>4.0140000000000011</v>
      </c>
      <c r="BH1529" s="508">
        <v>4.0140000000000011</v>
      </c>
      <c r="BI1529" s="508">
        <v>4.0140000000000011</v>
      </c>
      <c r="BJ1529" s="508"/>
      <c r="BK1529" s="145" t="s">
        <v>5788</v>
      </c>
      <c r="BL1529" s="804">
        <v>0</v>
      </c>
      <c r="BM1529" s="804">
        <v>0</v>
      </c>
      <c r="BN1529" s="804">
        <v>0</v>
      </c>
      <c r="BO1529" s="804">
        <v>0</v>
      </c>
      <c r="BP1529" s="804">
        <v>0</v>
      </c>
      <c r="BQ1529" s="804">
        <v>0</v>
      </c>
      <c r="BR1529" s="804">
        <v>0</v>
      </c>
      <c r="BS1529" s="804">
        <v>0</v>
      </c>
      <c r="BT1529" s="804">
        <v>0</v>
      </c>
      <c r="BU1529" s="804">
        <v>0</v>
      </c>
      <c r="BV1529" s="804">
        <v>0</v>
      </c>
      <c r="BW1529" s="804">
        <v>0</v>
      </c>
      <c r="BX1529" s="804">
        <v>0</v>
      </c>
      <c r="BY1529" s="804">
        <v>0</v>
      </c>
      <c r="BZ1529" s="804">
        <v>0</v>
      </c>
      <c r="CA1529" s="804">
        <v>0</v>
      </c>
      <c r="CB1529" s="804">
        <v>0</v>
      </c>
      <c r="CC1529" s="804">
        <v>0</v>
      </c>
      <c r="CD1529" s="804">
        <v>0</v>
      </c>
      <c r="CE1529" s="804">
        <v>0</v>
      </c>
      <c r="CF1529" s="804">
        <v>0</v>
      </c>
      <c r="CG1529" s="804">
        <v>0</v>
      </c>
      <c r="CH1529" s="804">
        <v>0</v>
      </c>
      <c r="CI1529" s="804">
        <v>0</v>
      </c>
      <c r="CJ1529" s="804">
        <v>0</v>
      </c>
      <c r="CK1529" s="804">
        <v>0</v>
      </c>
      <c r="CL1529" s="804">
        <v>0</v>
      </c>
      <c r="CM1529" s="804">
        <v>0</v>
      </c>
      <c r="CN1529" s="804">
        <v>0</v>
      </c>
      <c r="CO1529" s="804">
        <v>0</v>
      </c>
      <c r="CP1529" s="804">
        <v>0</v>
      </c>
      <c r="CQ1529" s="508"/>
      <c r="CR1529" s="508"/>
      <c r="CS1529" s="508"/>
      <c r="CT1529" s="508"/>
      <c r="CU1529" s="508"/>
      <c r="CV1529" s="508"/>
      <c r="CW1529" s="508"/>
      <c r="CX1529" s="508"/>
      <c r="CY1529" s="508"/>
      <c r="CZ1529" s="508"/>
      <c r="DA1529" s="508"/>
      <c r="DB1529" s="508"/>
      <c r="DC1529" s="508"/>
      <c r="DD1529" s="508"/>
      <c r="DE1529" s="508"/>
      <c r="DF1529" s="508"/>
      <c r="DG1529" s="508"/>
      <c r="DH1529" s="508"/>
      <c r="DI1529" s="508"/>
      <c r="DJ1529" s="508"/>
      <c r="DK1529" s="508"/>
      <c r="DL1529" s="508"/>
      <c r="DM1529" s="508"/>
      <c r="DN1529" s="508"/>
      <c r="DO1529" s="508"/>
      <c r="DP1529" s="508"/>
      <c r="DQ1529" s="508"/>
      <c r="DR1529" s="508"/>
      <c r="DS1529" s="508"/>
      <c r="DT1529" s="508"/>
      <c r="DU1529" s="508"/>
      <c r="DV1529" s="508"/>
      <c r="DW1529" s="508"/>
      <c r="DX1529" s="508"/>
      <c r="DY1529" s="508"/>
      <c r="DZ1529" s="508"/>
      <c r="EA1529" s="508"/>
      <c r="EB1529" s="508"/>
      <c r="EC1529" s="508"/>
      <c r="ED1529" s="508"/>
      <c r="EE1529" s="508"/>
      <c r="EF1529" s="508"/>
      <c r="EG1529" s="508"/>
      <c r="EH1529" s="508"/>
      <c r="EI1529" s="508"/>
      <c r="EJ1529" s="508"/>
      <c r="EK1529" s="508"/>
      <c r="EL1529" s="508"/>
      <c r="EM1529" s="508"/>
      <c r="EN1529" s="508"/>
      <c r="EO1529" s="508"/>
      <c r="EP1529" s="508"/>
      <c r="EQ1529" s="508"/>
      <c r="ER1529" s="508"/>
      <c r="ES1529" s="508"/>
    </row>
    <row r="1530" spans="1:149">
      <c r="D1530" s="939" t="s">
        <v>9052</v>
      </c>
      <c r="E1530" s="941">
        <v>8.7360000000000007</v>
      </c>
      <c r="F1530" s="941">
        <v>8.7360000000000007</v>
      </c>
      <c r="G1530" s="941">
        <v>8.7360000000000007</v>
      </c>
      <c r="H1530" s="941">
        <v>8.7360000000000007</v>
      </c>
      <c r="I1530" s="941">
        <v>8.7360000000000007</v>
      </c>
      <c r="J1530" s="941">
        <v>8.7360000000000007</v>
      </c>
      <c r="K1530" s="941">
        <v>8.7360000000000007</v>
      </c>
      <c r="L1530" s="941">
        <v>8.7360000000000007</v>
      </c>
      <c r="M1530" s="941">
        <v>8.7360000000000007</v>
      </c>
      <c r="N1530" s="941">
        <v>8.7360000000000007</v>
      </c>
      <c r="O1530" s="941">
        <v>11.135999999999999</v>
      </c>
      <c r="P1530" s="941">
        <v>11.135999999999999</v>
      </c>
      <c r="Q1530" s="941">
        <v>11.135999999999999</v>
      </c>
      <c r="R1530" s="941">
        <v>13.536000000000001</v>
      </c>
      <c r="S1530" s="941">
        <v>13.536000000000001</v>
      </c>
      <c r="T1530" s="941">
        <v>13.536000000000001</v>
      </c>
      <c r="U1530" s="941">
        <v>13.536000000000001</v>
      </c>
      <c r="V1530" s="941">
        <v>11.135999999999999</v>
      </c>
      <c r="W1530" s="941">
        <v>0</v>
      </c>
      <c r="X1530" s="941">
        <v>11.135999999999999</v>
      </c>
      <c r="Y1530" s="941">
        <v>11.135999999999999</v>
      </c>
      <c r="Z1530" s="941">
        <v>11.135999999999999</v>
      </c>
      <c r="AA1530" s="941">
        <v>11.135999999999999</v>
      </c>
      <c r="AB1530" s="941">
        <v>11.135999999999999</v>
      </c>
      <c r="AC1530" s="941">
        <v>11.135999999999999</v>
      </c>
      <c r="AD1530" s="941">
        <v>0</v>
      </c>
      <c r="AE1530" s="941">
        <v>0</v>
      </c>
      <c r="AF1530" s="941">
        <v>0</v>
      </c>
      <c r="AG1530" s="941">
        <v>0</v>
      </c>
      <c r="AH1530" s="941">
        <v>0</v>
      </c>
      <c r="AI1530" s="941">
        <v>0</v>
      </c>
      <c r="AK1530" s="610">
        <v>10.4832</v>
      </c>
      <c r="AL1530" s="610">
        <v>10.4832</v>
      </c>
      <c r="AM1530" s="610">
        <v>10.4832</v>
      </c>
      <c r="AN1530" s="610">
        <v>10.4832</v>
      </c>
      <c r="AO1530" s="610">
        <v>10.4832</v>
      </c>
      <c r="AP1530" s="610">
        <v>10.4832</v>
      </c>
      <c r="AQ1530" s="610">
        <v>10.4832</v>
      </c>
      <c r="AR1530" s="610">
        <v>10.4832</v>
      </c>
      <c r="AS1530" s="610">
        <v>10.4832</v>
      </c>
      <c r="AT1530" s="610">
        <v>10.4832</v>
      </c>
      <c r="AU1530" s="610">
        <v>13.363199999999999</v>
      </c>
      <c r="AV1530" s="610">
        <v>13.363199999999999</v>
      </c>
      <c r="AW1530" s="610">
        <v>13.363199999999999</v>
      </c>
      <c r="AX1530" s="610">
        <v>16.243200000000002</v>
      </c>
      <c r="AY1530" s="610">
        <v>16.243200000000002</v>
      </c>
      <c r="AZ1530" s="610">
        <v>16.243200000000002</v>
      </c>
      <c r="BA1530" s="610">
        <v>16.243200000000002</v>
      </c>
      <c r="BB1530" s="610">
        <v>13.363199999999999</v>
      </c>
      <c r="BC1530" s="610">
        <v>0</v>
      </c>
      <c r="BD1530" s="610">
        <v>13.363199999999999</v>
      </c>
      <c r="BE1530" s="610">
        <v>13.363199999999999</v>
      </c>
      <c r="BF1530" s="610">
        <v>13.363199999999999</v>
      </c>
      <c r="BG1530" s="610">
        <v>13.363199999999999</v>
      </c>
      <c r="BH1530" s="610">
        <v>13.363199999999999</v>
      </c>
      <c r="BI1530" s="610">
        <v>13.363199999999999</v>
      </c>
      <c r="BJ1530" s="610"/>
      <c r="BK1530" s="939" t="s">
        <v>9050</v>
      </c>
      <c r="BL1530" s="941">
        <v>1.7840000000000003</v>
      </c>
      <c r="BM1530" s="941">
        <v>1.7840000000000003</v>
      </c>
      <c r="BN1530" s="941">
        <v>1.7840000000000003</v>
      </c>
      <c r="BO1530" s="941">
        <v>1.7840000000000003</v>
      </c>
      <c r="BP1530" s="941">
        <v>1.7840000000000003</v>
      </c>
      <c r="BQ1530" s="941">
        <v>1.7840000000000003</v>
      </c>
      <c r="BR1530" s="941">
        <v>1.7840000000000003</v>
      </c>
      <c r="BS1530" s="941">
        <v>1.7840000000000003</v>
      </c>
      <c r="BT1530" s="941">
        <v>1.7840000000000003</v>
      </c>
      <c r="BU1530" s="941">
        <v>1.7840000000000003</v>
      </c>
      <c r="BV1530" s="941">
        <v>1.7840000000000003</v>
      </c>
      <c r="BW1530" s="941">
        <v>1.7840000000000003</v>
      </c>
      <c r="BX1530" s="941">
        <v>1.7840000000000003</v>
      </c>
      <c r="BY1530" s="941">
        <v>2.3839999999999999</v>
      </c>
      <c r="BZ1530" s="941">
        <v>2.3839999999999999</v>
      </c>
      <c r="CA1530" s="941">
        <v>2.3839999999999999</v>
      </c>
      <c r="CB1530" s="941">
        <v>2.3839999999999999</v>
      </c>
      <c r="CC1530" s="941">
        <v>1.7840000000000003</v>
      </c>
      <c r="CD1530" s="941">
        <v>0</v>
      </c>
      <c r="CE1530" s="941">
        <v>1.7840000000000003</v>
      </c>
      <c r="CF1530" s="941">
        <v>1.7840000000000003</v>
      </c>
      <c r="CG1530" s="941">
        <v>1.7840000000000003</v>
      </c>
      <c r="CH1530" s="941">
        <v>1.7840000000000003</v>
      </c>
      <c r="CI1530" s="941">
        <v>1.7840000000000003</v>
      </c>
      <c r="CJ1530" s="941">
        <v>1.7840000000000003</v>
      </c>
      <c r="CK1530" s="147">
        <v>0</v>
      </c>
      <c r="CL1530" s="147">
        <v>0</v>
      </c>
      <c r="CM1530" s="147">
        <v>0</v>
      </c>
      <c r="CN1530" s="147">
        <v>0</v>
      </c>
      <c r="CO1530" s="147">
        <v>0</v>
      </c>
      <c r="CP1530" s="147">
        <v>0</v>
      </c>
      <c r="CQ1530" s="610"/>
      <c r="CR1530" s="610"/>
      <c r="CS1530" s="610"/>
      <c r="CT1530" s="610"/>
      <c r="CU1530" s="610"/>
      <c r="CV1530" s="610"/>
      <c r="CW1530" s="610"/>
      <c r="CX1530" s="610"/>
      <c r="CY1530" s="610"/>
      <c r="CZ1530" s="610"/>
      <c r="DA1530" s="610"/>
      <c r="DB1530" s="610"/>
      <c r="DC1530" s="610"/>
      <c r="DD1530" s="610"/>
      <c r="DE1530" s="610"/>
      <c r="DF1530" s="610"/>
      <c r="DG1530" s="610"/>
      <c r="DH1530" s="610"/>
      <c r="DI1530" s="610"/>
      <c r="DJ1530" s="610"/>
      <c r="DK1530" s="610"/>
      <c r="DL1530" s="610"/>
      <c r="DM1530" s="610"/>
      <c r="DN1530" s="610"/>
      <c r="DO1530" s="610"/>
      <c r="DP1530" s="610"/>
      <c r="DQ1530" s="610"/>
      <c r="DR1530" s="610"/>
      <c r="DS1530" s="610"/>
      <c r="DT1530" s="610"/>
      <c r="DU1530" s="610"/>
      <c r="DV1530" s="610"/>
      <c r="DW1530" s="610"/>
      <c r="DX1530" s="610"/>
      <c r="DY1530" s="610"/>
      <c r="DZ1530" s="610"/>
      <c r="EA1530" s="610"/>
      <c r="EB1530" s="610"/>
      <c r="EC1530" s="610"/>
      <c r="ED1530" s="610"/>
      <c r="EE1530" s="610"/>
      <c r="EF1530" s="610"/>
      <c r="EG1530" s="610"/>
      <c r="EH1530" s="610"/>
      <c r="EI1530" s="610"/>
      <c r="EJ1530" s="610"/>
      <c r="EK1530" s="610"/>
      <c r="EL1530" s="610"/>
      <c r="EM1530" s="610"/>
      <c r="EN1530" s="610"/>
      <c r="EO1530" s="610"/>
      <c r="EP1530" s="610"/>
      <c r="EQ1530" s="610"/>
      <c r="ER1530" s="610"/>
      <c r="ES1530" s="610"/>
    </row>
    <row r="1531" spans="1:149">
      <c r="D1531" s="939" t="s">
        <v>9051</v>
      </c>
      <c r="E1531" s="941">
        <v>11.648</v>
      </c>
      <c r="F1531" s="941">
        <v>11.648</v>
      </c>
      <c r="G1531" s="941">
        <v>11.648</v>
      </c>
      <c r="H1531" s="941">
        <v>11.648</v>
      </c>
      <c r="I1531" s="941">
        <v>11.648</v>
      </c>
      <c r="J1531" s="941">
        <v>11.648</v>
      </c>
      <c r="K1531" s="941">
        <v>11.648</v>
      </c>
      <c r="L1531" s="941">
        <v>11.648</v>
      </c>
      <c r="M1531" s="941">
        <v>11.648</v>
      </c>
      <c r="N1531" s="941">
        <v>11.648</v>
      </c>
      <c r="O1531" s="941">
        <v>14.048000000000002</v>
      </c>
      <c r="P1531" s="941">
        <v>14.048000000000002</v>
      </c>
      <c r="Q1531" s="941">
        <v>14.048000000000002</v>
      </c>
      <c r="R1531" s="941">
        <v>16.448</v>
      </c>
      <c r="S1531" s="941">
        <v>16.448</v>
      </c>
      <c r="T1531" s="941">
        <v>16.448</v>
      </c>
      <c r="U1531" s="941">
        <v>16.448</v>
      </c>
      <c r="V1531" s="941">
        <v>14.048000000000002</v>
      </c>
      <c r="W1531" s="941">
        <v>0</v>
      </c>
      <c r="X1531" s="941">
        <v>14.048000000000002</v>
      </c>
      <c r="Y1531" s="941">
        <v>14.048000000000002</v>
      </c>
      <c r="Z1531" s="941">
        <v>14.048000000000002</v>
      </c>
      <c r="AA1531" s="941">
        <v>14.048000000000002</v>
      </c>
      <c r="AB1531" s="941">
        <v>14.048000000000002</v>
      </c>
      <c r="AC1531" s="941">
        <v>14.048000000000002</v>
      </c>
      <c r="AD1531" s="941">
        <v>0</v>
      </c>
      <c r="AE1531" s="941">
        <v>0</v>
      </c>
      <c r="AF1531" s="941">
        <v>0</v>
      </c>
      <c r="AG1531" s="941">
        <v>0</v>
      </c>
      <c r="AH1531" s="941">
        <v>0</v>
      </c>
      <c r="AI1531" s="941">
        <v>0</v>
      </c>
      <c r="AK1531" s="610">
        <v>17.472000000000001</v>
      </c>
      <c r="AL1531" s="610">
        <v>17.472000000000001</v>
      </c>
      <c r="AM1531" s="610">
        <v>17.472000000000001</v>
      </c>
      <c r="AN1531" s="610">
        <v>17.472000000000001</v>
      </c>
      <c r="AO1531" s="610">
        <v>17.472000000000001</v>
      </c>
      <c r="AP1531" s="610">
        <v>17.472000000000001</v>
      </c>
      <c r="AQ1531" s="610">
        <v>17.472000000000001</v>
      </c>
      <c r="AR1531" s="610">
        <v>17.472000000000001</v>
      </c>
      <c r="AS1531" s="610">
        <v>17.472000000000001</v>
      </c>
      <c r="AT1531" s="610">
        <v>17.472000000000001</v>
      </c>
      <c r="AU1531" s="610">
        <v>21.072000000000003</v>
      </c>
      <c r="AV1531" s="610">
        <v>21.072000000000003</v>
      </c>
      <c r="AW1531" s="610">
        <v>21.072000000000003</v>
      </c>
      <c r="AX1531" s="610">
        <v>24.672000000000001</v>
      </c>
      <c r="AY1531" s="610">
        <v>24.672000000000001</v>
      </c>
      <c r="AZ1531" s="610">
        <v>24.672000000000001</v>
      </c>
      <c r="BA1531" s="610">
        <v>24.672000000000001</v>
      </c>
      <c r="BB1531" s="610">
        <v>21.072000000000003</v>
      </c>
      <c r="BC1531" s="610">
        <v>0</v>
      </c>
      <c r="BD1531" s="610">
        <v>21.072000000000003</v>
      </c>
      <c r="BE1531" s="610">
        <v>21.072000000000003</v>
      </c>
      <c r="BF1531" s="610">
        <v>21.072000000000003</v>
      </c>
      <c r="BG1531" s="610">
        <v>21.072000000000003</v>
      </c>
      <c r="BH1531" s="610">
        <v>21.072000000000003</v>
      </c>
      <c r="BI1531" s="610">
        <v>21.072000000000003</v>
      </c>
      <c r="BJ1531" s="610"/>
      <c r="BK1531" s="939" t="s">
        <v>9052</v>
      </c>
      <c r="BL1531" s="941">
        <v>2.1840000000000002</v>
      </c>
      <c r="BM1531" s="941">
        <v>2.1840000000000002</v>
      </c>
      <c r="BN1531" s="941">
        <v>2.1840000000000002</v>
      </c>
      <c r="BO1531" s="941">
        <v>2.1840000000000002</v>
      </c>
      <c r="BP1531" s="941">
        <v>2.1840000000000002</v>
      </c>
      <c r="BQ1531" s="941">
        <v>2.1840000000000002</v>
      </c>
      <c r="BR1531" s="941">
        <v>2.1840000000000002</v>
      </c>
      <c r="BS1531" s="941">
        <v>2.1840000000000002</v>
      </c>
      <c r="BT1531" s="941">
        <v>2.1840000000000002</v>
      </c>
      <c r="BU1531" s="941">
        <v>2.1840000000000002</v>
      </c>
      <c r="BV1531" s="941">
        <v>2.7839999999999998</v>
      </c>
      <c r="BW1531" s="941">
        <v>2.7839999999999998</v>
      </c>
      <c r="BX1531" s="941">
        <v>2.7839999999999998</v>
      </c>
      <c r="BY1531" s="941">
        <v>3.3840000000000003</v>
      </c>
      <c r="BZ1531" s="941">
        <v>3.3840000000000003</v>
      </c>
      <c r="CA1531" s="941">
        <v>3.3840000000000003</v>
      </c>
      <c r="CB1531" s="941">
        <v>3.3840000000000003</v>
      </c>
      <c r="CC1531" s="941">
        <v>2.7839999999999998</v>
      </c>
      <c r="CD1531" s="941">
        <v>0</v>
      </c>
      <c r="CE1531" s="941">
        <v>2.7839999999999998</v>
      </c>
      <c r="CF1531" s="941">
        <v>2.7839999999999998</v>
      </c>
      <c r="CG1531" s="941">
        <v>2.7839999999999998</v>
      </c>
      <c r="CH1531" s="941">
        <v>2.7839999999999998</v>
      </c>
      <c r="CI1531" s="941">
        <v>2.7839999999999998</v>
      </c>
      <c r="CJ1531" s="941">
        <v>2.7839999999999998</v>
      </c>
      <c r="CK1531" s="147">
        <v>0</v>
      </c>
      <c r="CL1531" s="147">
        <v>0</v>
      </c>
      <c r="CM1531" s="147">
        <v>0</v>
      </c>
      <c r="CN1531" s="147">
        <v>0</v>
      </c>
      <c r="CO1531" s="147">
        <v>0</v>
      </c>
      <c r="CP1531" s="147">
        <v>0</v>
      </c>
      <c r="CQ1531" s="610"/>
      <c r="CR1531" s="610"/>
      <c r="CS1531" s="610"/>
      <c r="CT1531" s="610"/>
      <c r="CU1531" s="610"/>
      <c r="CV1531" s="610"/>
      <c r="CW1531" s="610"/>
      <c r="CX1531" s="610"/>
      <c r="CY1531" s="610"/>
      <c r="CZ1531" s="610"/>
      <c r="DA1531" s="610"/>
      <c r="DB1531" s="610"/>
      <c r="DC1531" s="610"/>
      <c r="DD1531" s="610"/>
      <c r="DE1531" s="610"/>
      <c r="DF1531" s="610"/>
      <c r="DG1531" s="610"/>
      <c r="DH1531" s="610"/>
      <c r="DI1531" s="610"/>
      <c r="DJ1531" s="610"/>
      <c r="DK1531" s="610"/>
      <c r="DL1531" s="610"/>
      <c r="DM1531" s="610"/>
      <c r="DN1531" s="610"/>
      <c r="DO1531" s="610"/>
      <c r="DP1531" s="610"/>
      <c r="DQ1531" s="610"/>
      <c r="DR1531" s="610"/>
      <c r="DS1531" s="610"/>
      <c r="DT1531" s="610"/>
      <c r="DU1531" s="610"/>
      <c r="DV1531" s="610"/>
      <c r="DW1531" s="610"/>
      <c r="DX1531" s="610"/>
      <c r="DY1531" s="610"/>
      <c r="DZ1531" s="610"/>
      <c r="EA1531" s="610"/>
      <c r="EB1531" s="610"/>
      <c r="EC1531" s="610"/>
      <c r="ED1531" s="610"/>
      <c r="EE1531" s="610"/>
      <c r="EF1531" s="610"/>
      <c r="EG1531" s="610"/>
      <c r="EH1531" s="610"/>
      <c r="EI1531" s="610"/>
      <c r="EJ1531" s="610"/>
      <c r="EK1531" s="610"/>
      <c r="EL1531" s="610"/>
      <c r="EM1531" s="610"/>
      <c r="EN1531" s="610"/>
      <c r="EO1531" s="610"/>
      <c r="EP1531" s="610"/>
      <c r="EQ1531" s="610"/>
      <c r="ER1531" s="610"/>
      <c r="ES1531" s="610"/>
    </row>
    <row r="1532" spans="1:149">
      <c r="D1532" s="940" t="s">
        <v>5789</v>
      </c>
      <c r="E1532" s="941">
        <v>7.7600000000000007</v>
      </c>
      <c r="F1532" s="941">
        <v>7.7600000000000007</v>
      </c>
      <c r="G1532" s="941">
        <v>7.7600000000000007</v>
      </c>
      <c r="H1532" s="941">
        <v>7.7600000000000007</v>
      </c>
      <c r="I1532" s="941">
        <v>7.7600000000000007</v>
      </c>
      <c r="J1532" s="941">
        <v>7.7600000000000007</v>
      </c>
      <c r="K1532" s="941">
        <v>7.7600000000000007</v>
      </c>
      <c r="L1532" s="941">
        <v>7.7600000000000007</v>
      </c>
      <c r="M1532" s="941">
        <v>7.7600000000000007</v>
      </c>
      <c r="N1532" s="941">
        <v>7.7600000000000007</v>
      </c>
      <c r="O1532" s="941">
        <v>14.96</v>
      </c>
      <c r="P1532" s="941">
        <v>14.96</v>
      </c>
      <c r="Q1532" s="941">
        <v>14.96</v>
      </c>
      <c r="R1532" s="941">
        <v>12.56</v>
      </c>
      <c r="S1532" s="941">
        <v>12.56</v>
      </c>
      <c r="T1532" s="941">
        <v>12.56</v>
      </c>
      <c r="U1532" s="941">
        <v>7.7600000000000007</v>
      </c>
      <c r="V1532" s="941">
        <v>14.96</v>
      </c>
      <c r="W1532" s="941">
        <v>0</v>
      </c>
      <c r="X1532" s="941">
        <v>14.96</v>
      </c>
      <c r="Y1532" s="941">
        <v>14.96</v>
      </c>
      <c r="Z1532" s="941">
        <v>14.96</v>
      </c>
      <c r="AA1532" s="941">
        <v>14.96</v>
      </c>
      <c r="AB1532" s="941">
        <v>14.96</v>
      </c>
      <c r="AC1532" s="941">
        <v>14.96</v>
      </c>
      <c r="AD1532" s="941">
        <v>0</v>
      </c>
      <c r="AE1532" s="941">
        <v>0</v>
      </c>
      <c r="AF1532" s="941">
        <v>0</v>
      </c>
      <c r="AG1532" s="941">
        <v>0</v>
      </c>
      <c r="AH1532" s="941">
        <v>0</v>
      </c>
      <c r="AI1532" s="941">
        <v>0</v>
      </c>
      <c r="AK1532" s="610">
        <v>9.3120000000000012</v>
      </c>
      <c r="AL1532" s="610">
        <v>9.3120000000000012</v>
      </c>
      <c r="AM1532" s="610">
        <v>9.3120000000000012</v>
      </c>
      <c r="AN1532" s="610">
        <v>9.3120000000000012</v>
      </c>
      <c r="AO1532" s="610">
        <v>9.3120000000000012</v>
      </c>
      <c r="AP1532" s="610">
        <v>9.3120000000000012</v>
      </c>
      <c r="AQ1532" s="610">
        <v>9.3120000000000012</v>
      </c>
      <c r="AR1532" s="610">
        <v>9.3120000000000012</v>
      </c>
      <c r="AS1532" s="610">
        <v>9.3120000000000012</v>
      </c>
      <c r="AT1532" s="610">
        <v>9.3120000000000012</v>
      </c>
      <c r="AU1532" s="610">
        <v>17.952000000000002</v>
      </c>
      <c r="AV1532" s="610">
        <v>17.952000000000002</v>
      </c>
      <c r="AW1532" s="610">
        <v>17.952000000000002</v>
      </c>
      <c r="AX1532" s="610">
        <v>15.071999999999999</v>
      </c>
      <c r="AY1532" s="610">
        <v>15.071999999999999</v>
      </c>
      <c r="AZ1532" s="610">
        <v>15.071999999999999</v>
      </c>
      <c r="BA1532" s="610">
        <v>9.3120000000000012</v>
      </c>
      <c r="BB1532" s="610">
        <v>17.952000000000002</v>
      </c>
      <c r="BC1532" s="610">
        <v>0</v>
      </c>
      <c r="BD1532" s="610">
        <v>17.952000000000002</v>
      </c>
      <c r="BE1532" s="610">
        <v>17.952000000000002</v>
      </c>
      <c r="BF1532" s="610">
        <v>17.952000000000002</v>
      </c>
      <c r="BG1532" s="610">
        <v>17.952000000000002</v>
      </c>
      <c r="BH1532" s="610">
        <v>17.952000000000002</v>
      </c>
      <c r="BI1532" s="610">
        <v>17.952000000000002</v>
      </c>
      <c r="BJ1532" s="610"/>
      <c r="BK1532" s="939" t="s">
        <v>9051</v>
      </c>
      <c r="BL1532" s="941">
        <v>2.9119999999999999</v>
      </c>
      <c r="BM1532" s="941">
        <v>2.9119999999999999</v>
      </c>
      <c r="BN1532" s="941">
        <v>2.9119999999999999</v>
      </c>
      <c r="BO1532" s="941">
        <v>2.9119999999999999</v>
      </c>
      <c r="BP1532" s="941">
        <v>2.9119999999999999</v>
      </c>
      <c r="BQ1532" s="941">
        <v>2.9119999999999999</v>
      </c>
      <c r="BR1532" s="941">
        <v>2.9119999999999999</v>
      </c>
      <c r="BS1532" s="941">
        <v>2.9119999999999999</v>
      </c>
      <c r="BT1532" s="941">
        <v>2.9119999999999999</v>
      </c>
      <c r="BU1532" s="941">
        <v>2.9119999999999999</v>
      </c>
      <c r="BV1532" s="941">
        <v>3.5120000000000005</v>
      </c>
      <c r="BW1532" s="941">
        <v>3.5120000000000005</v>
      </c>
      <c r="BX1532" s="941">
        <v>3.5120000000000005</v>
      </c>
      <c r="BY1532" s="941">
        <v>4.1120000000000001</v>
      </c>
      <c r="BZ1532" s="941">
        <v>4.1120000000000001</v>
      </c>
      <c r="CA1532" s="941">
        <v>4.1120000000000001</v>
      </c>
      <c r="CB1532" s="941">
        <v>4.1120000000000001</v>
      </c>
      <c r="CC1532" s="941">
        <v>3.5120000000000005</v>
      </c>
      <c r="CD1532" s="941">
        <v>0</v>
      </c>
      <c r="CE1532" s="941">
        <v>3.5120000000000005</v>
      </c>
      <c r="CF1532" s="941">
        <v>3.5120000000000005</v>
      </c>
      <c r="CG1532" s="941">
        <v>3.5120000000000005</v>
      </c>
      <c r="CH1532" s="941">
        <v>3.5120000000000005</v>
      </c>
      <c r="CI1532" s="941">
        <v>3.5120000000000005</v>
      </c>
      <c r="CJ1532" s="941">
        <v>3.5120000000000005</v>
      </c>
      <c r="CK1532" s="147">
        <v>0</v>
      </c>
      <c r="CL1532" s="147">
        <v>0</v>
      </c>
      <c r="CM1532" s="147">
        <v>0</v>
      </c>
      <c r="CN1532" s="147">
        <v>0</v>
      </c>
      <c r="CO1532" s="147">
        <v>0</v>
      </c>
      <c r="CP1532" s="147">
        <v>0</v>
      </c>
      <c r="CQ1532" s="610"/>
      <c r="CR1532" s="610"/>
      <c r="CS1532" s="610"/>
      <c r="CT1532" s="610"/>
      <c r="CU1532" s="610"/>
      <c r="CV1532" s="610"/>
      <c r="CW1532" s="610"/>
      <c r="CX1532" s="610"/>
      <c r="CY1532" s="610"/>
      <c r="CZ1532" s="610"/>
      <c r="DA1532" s="610"/>
      <c r="DB1532" s="610"/>
      <c r="DC1532" s="610"/>
      <c r="DD1532" s="610"/>
      <c r="DE1532" s="610"/>
      <c r="DF1532" s="610"/>
      <c r="DG1532" s="610"/>
      <c r="DH1532" s="610"/>
      <c r="DI1532" s="610"/>
      <c r="DJ1532" s="610"/>
      <c r="DK1532" s="610"/>
      <c r="DL1532" s="610"/>
      <c r="DM1532" s="610"/>
      <c r="DN1532" s="610"/>
      <c r="DO1532" s="610"/>
      <c r="DP1532" s="610"/>
      <c r="DQ1532" s="610"/>
      <c r="DR1532" s="610"/>
      <c r="DS1532" s="610"/>
      <c r="DT1532" s="610"/>
      <c r="DU1532" s="610"/>
      <c r="DV1532" s="610"/>
      <c r="DW1532" s="610"/>
      <c r="DX1532" s="610"/>
      <c r="DY1532" s="610"/>
      <c r="DZ1532" s="610"/>
      <c r="EA1532" s="610"/>
      <c r="EB1532" s="610"/>
      <c r="EC1532" s="610"/>
      <c r="ED1532" s="610"/>
      <c r="EE1532" s="610"/>
      <c r="EF1532" s="610"/>
      <c r="EG1532" s="610"/>
      <c r="EH1532" s="610"/>
      <c r="EI1532" s="610"/>
      <c r="EJ1532" s="610"/>
      <c r="EK1532" s="610"/>
      <c r="EL1532" s="610"/>
      <c r="EM1532" s="610"/>
      <c r="EN1532" s="610"/>
      <c r="EO1532" s="610"/>
      <c r="EP1532" s="610"/>
      <c r="EQ1532" s="610"/>
      <c r="ER1532" s="610"/>
      <c r="ES1532" s="610"/>
    </row>
    <row r="1533" spans="1:149">
      <c r="D1533" s="940" t="s">
        <v>5790</v>
      </c>
      <c r="E1533" s="941">
        <v>8.4840000000000018</v>
      </c>
      <c r="F1533" s="941">
        <v>8.4840000000000018</v>
      </c>
      <c r="G1533" s="941">
        <v>8.4840000000000018</v>
      </c>
      <c r="H1533" s="941">
        <v>8.4840000000000018</v>
      </c>
      <c r="I1533" s="941">
        <v>8.4840000000000018</v>
      </c>
      <c r="J1533" s="941">
        <v>8.4840000000000018</v>
      </c>
      <c r="K1533" s="941">
        <v>8.4840000000000018</v>
      </c>
      <c r="L1533" s="941">
        <v>8.4840000000000018</v>
      </c>
      <c r="M1533" s="941">
        <v>8.4840000000000018</v>
      </c>
      <c r="N1533" s="941">
        <v>8.4840000000000018</v>
      </c>
      <c r="O1533" s="941">
        <v>21.084</v>
      </c>
      <c r="P1533" s="941">
        <v>21.084</v>
      </c>
      <c r="Q1533" s="941">
        <v>21.084</v>
      </c>
      <c r="R1533" s="941">
        <v>16.884</v>
      </c>
      <c r="S1533" s="941">
        <v>16.884</v>
      </c>
      <c r="T1533" s="941">
        <v>16.884</v>
      </c>
      <c r="U1533" s="941">
        <v>8.4840000000000018</v>
      </c>
      <c r="V1533" s="941">
        <v>21.084</v>
      </c>
      <c r="W1533" s="941">
        <v>0</v>
      </c>
      <c r="X1533" s="941">
        <v>21.084</v>
      </c>
      <c r="Y1533" s="941">
        <v>21.084</v>
      </c>
      <c r="Z1533" s="941">
        <v>21.084</v>
      </c>
      <c r="AA1533" s="941">
        <v>21.084</v>
      </c>
      <c r="AB1533" s="941">
        <v>21.084</v>
      </c>
      <c r="AC1533" s="941">
        <v>21.084</v>
      </c>
      <c r="AD1533" s="941">
        <v>0</v>
      </c>
      <c r="AE1533" s="941">
        <v>0</v>
      </c>
      <c r="AF1533" s="941">
        <v>0</v>
      </c>
      <c r="AG1533" s="941">
        <v>0</v>
      </c>
      <c r="AH1533" s="941">
        <v>0</v>
      </c>
      <c r="AI1533" s="941">
        <v>0</v>
      </c>
      <c r="AK1533" s="610">
        <v>12.726000000000003</v>
      </c>
      <c r="AL1533" s="610">
        <v>12.726000000000003</v>
      </c>
      <c r="AM1533" s="610">
        <v>12.726000000000003</v>
      </c>
      <c r="AN1533" s="610">
        <v>12.726000000000003</v>
      </c>
      <c r="AO1533" s="610">
        <v>12.726000000000003</v>
      </c>
      <c r="AP1533" s="610">
        <v>12.726000000000003</v>
      </c>
      <c r="AQ1533" s="610">
        <v>12.726000000000003</v>
      </c>
      <c r="AR1533" s="610">
        <v>12.726000000000003</v>
      </c>
      <c r="AS1533" s="610">
        <v>12.726000000000003</v>
      </c>
      <c r="AT1533" s="610">
        <v>12.726000000000003</v>
      </c>
      <c r="AU1533" s="610">
        <v>31.625999999999998</v>
      </c>
      <c r="AV1533" s="610">
        <v>31.625999999999998</v>
      </c>
      <c r="AW1533" s="610">
        <v>31.625999999999998</v>
      </c>
      <c r="AX1533" s="610">
        <v>25.326000000000001</v>
      </c>
      <c r="AY1533" s="610">
        <v>25.326000000000001</v>
      </c>
      <c r="AZ1533" s="610">
        <v>25.326000000000001</v>
      </c>
      <c r="BA1533" s="610">
        <v>12.726000000000003</v>
      </c>
      <c r="BB1533" s="610">
        <v>31.625999999999998</v>
      </c>
      <c r="BC1533" s="610">
        <v>0</v>
      </c>
      <c r="BD1533" s="610">
        <v>31.625999999999998</v>
      </c>
      <c r="BE1533" s="610">
        <v>31.625999999999998</v>
      </c>
      <c r="BF1533" s="610">
        <v>31.625999999999998</v>
      </c>
      <c r="BG1533" s="610">
        <v>31.625999999999998</v>
      </c>
      <c r="BH1533" s="610">
        <v>31.625999999999998</v>
      </c>
      <c r="BI1533" s="610">
        <v>31.625999999999998</v>
      </c>
      <c r="BJ1533" s="610"/>
      <c r="BK1533" s="940" t="s">
        <v>5789</v>
      </c>
      <c r="BL1533" s="941">
        <v>1.9400000000000002</v>
      </c>
      <c r="BM1533" s="941">
        <v>1.9400000000000002</v>
      </c>
      <c r="BN1533" s="941">
        <v>1.9400000000000002</v>
      </c>
      <c r="BO1533" s="941">
        <v>1.9400000000000002</v>
      </c>
      <c r="BP1533" s="941">
        <v>1.9400000000000002</v>
      </c>
      <c r="BQ1533" s="941">
        <v>1.9400000000000002</v>
      </c>
      <c r="BR1533" s="941">
        <v>1.9400000000000002</v>
      </c>
      <c r="BS1533" s="941">
        <v>1.9400000000000002</v>
      </c>
      <c r="BT1533" s="941">
        <v>1.9400000000000002</v>
      </c>
      <c r="BU1533" s="941">
        <v>1.9400000000000002</v>
      </c>
      <c r="BV1533" s="941">
        <v>3.74</v>
      </c>
      <c r="BW1533" s="941">
        <v>3.74</v>
      </c>
      <c r="BX1533" s="941">
        <v>3.74</v>
      </c>
      <c r="BY1533" s="941">
        <v>3.14</v>
      </c>
      <c r="BZ1533" s="941">
        <v>3.14</v>
      </c>
      <c r="CA1533" s="941">
        <v>3.14</v>
      </c>
      <c r="CB1533" s="941">
        <v>1.9400000000000002</v>
      </c>
      <c r="CC1533" s="941">
        <v>3.74</v>
      </c>
      <c r="CD1533" s="941">
        <v>0</v>
      </c>
      <c r="CE1533" s="941">
        <v>3.74</v>
      </c>
      <c r="CF1533" s="941">
        <v>3.74</v>
      </c>
      <c r="CG1533" s="941">
        <v>3.74</v>
      </c>
      <c r="CH1533" s="941">
        <v>3.74</v>
      </c>
      <c r="CI1533" s="941">
        <v>3.74</v>
      </c>
      <c r="CJ1533" s="941">
        <v>3.74</v>
      </c>
      <c r="CK1533" s="147">
        <v>0</v>
      </c>
      <c r="CL1533" s="147">
        <v>0</v>
      </c>
      <c r="CM1533" s="147">
        <v>0</v>
      </c>
      <c r="CN1533" s="147">
        <v>0</v>
      </c>
      <c r="CO1533" s="147">
        <v>0</v>
      </c>
      <c r="CP1533" s="147">
        <v>0</v>
      </c>
      <c r="CQ1533" s="610"/>
      <c r="CR1533" s="610"/>
      <c r="CS1533" s="610"/>
      <c r="CT1533" s="610"/>
      <c r="CU1533" s="610"/>
      <c r="CV1533" s="610"/>
      <c r="CW1533" s="610"/>
      <c r="CX1533" s="610"/>
      <c r="CY1533" s="610"/>
      <c r="CZ1533" s="610"/>
      <c r="DA1533" s="610"/>
      <c r="DB1533" s="610"/>
      <c r="DC1533" s="610"/>
      <c r="DD1533" s="610"/>
      <c r="DE1533" s="610"/>
      <c r="DF1533" s="610"/>
      <c r="DG1533" s="610"/>
      <c r="DH1533" s="610"/>
      <c r="DI1533" s="610"/>
      <c r="DJ1533" s="610"/>
      <c r="DK1533" s="610"/>
      <c r="DL1533" s="610"/>
      <c r="DM1533" s="610"/>
      <c r="DN1533" s="610"/>
      <c r="DO1533" s="610"/>
      <c r="DP1533" s="610"/>
      <c r="DQ1533" s="610"/>
      <c r="DR1533" s="610"/>
      <c r="DS1533" s="610"/>
      <c r="DT1533" s="610"/>
      <c r="DU1533" s="610"/>
      <c r="DV1533" s="610"/>
      <c r="DW1533" s="610"/>
      <c r="DX1533" s="610"/>
      <c r="DY1533" s="610"/>
      <c r="DZ1533" s="610"/>
      <c r="EA1533" s="610"/>
      <c r="EB1533" s="610"/>
      <c r="EC1533" s="610"/>
      <c r="ED1533" s="610"/>
      <c r="EE1533" s="610"/>
      <c r="EF1533" s="610"/>
      <c r="EG1533" s="610"/>
      <c r="EH1533" s="610"/>
      <c r="EI1533" s="610"/>
      <c r="EJ1533" s="610"/>
      <c r="EK1533" s="610"/>
      <c r="EL1533" s="610"/>
      <c r="EM1533" s="610"/>
      <c r="EN1533" s="610"/>
      <c r="EO1533" s="610"/>
      <c r="EP1533" s="610"/>
      <c r="EQ1533" s="610"/>
      <c r="ER1533" s="610"/>
      <c r="ES1533" s="610"/>
    </row>
    <row r="1534" spans="1:149">
      <c r="D1534" s="610" t="s">
        <v>10599</v>
      </c>
      <c r="AK1534" s="508"/>
      <c r="AL1534" s="508"/>
      <c r="AM1534" s="508"/>
      <c r="AN1534" s="508"/>
      <c r="AO1534" s="508"/>
      <c r="AP1534" s="508"/>
      <c r="AQ1534" s="508"/>
      <c r="AR1534" s="508"/>
      <c r="AS1534" s="508"/>
      <c r="AT1534" s="508"/>
      <c r="AU1534" s="508"/>
      <c r="AV1534" s="508"/>
      <c r="AW1534" s="508"/>
      <c r="AX1534" s="508"/>
      <c r="AY1534" s="508"/>
      <c r="AZ1534" s="508"/>
      <c r="BA1534" s="508"/>
      <c r="BB1534" s="508"/>
      <c r="BC1534" s="508"/>
      <c r="BD1534" s="508"/>
      <c r="BE1534" s="508"/>
      <c r="BF1534" s="508"/>
      <c r="BG1534" s="508"/>
      <c r="BH1534" s="508"/>
      <c r="BI1534" s="508"/>
      <c r="BK1534" s="940" t="s">
        <v>5790</v>
      </c>
      <c r="BL1534" s="941">
        <v>1.2120000000000002</v>
      </c>
      <c r="BM1534" s="941">
        <v>1.2120000000000002</v>
      </c>
      <c r="BN1534" s="941">
        <v>1.2120000000000002</v>
      </c>
      <c r="BO1534" s="941">
        <v>1.2120000000000002</v>
      </c>
      <c r="BP1534" s="941">
        <v>1.2120000000000002</v>
      </c>
      <c r="BQ1534" s="941">
        <v>1.2120000000000002</v>
      </c>
      <c r="BR1534" s="941">
        <v>1.2120000000000002</v>
      </c>
      <c r="BS1534" s="941">
        <v>1.2120000000000002</v>
      </c>
      <c r="BT1534" s="941">
        <v>1.2120000000000002</v>
      </c>
      <c r="BU1534" s="941">
        <v>1.2120000000000002</v>
      </c>
      <c r="BV1534" s="941">
        <v>3.012</v>
      </c>
      <c r="BW1534" s="941">
        <v>3.012</v>
      </c>
      <c r="BX1534" s="941">
        <v>3.012</v>
      </c>
      <c r="BY1534" s="941">
        <v>2.4119999999999999</v>
      </c>
      <c r="BZ1534" s="941">
        <v>2.4119999999999999</v>
      </c>
      <c r="CA1534" s="941">
        <v>2.4119999999999999</v>
      </c>
      <c r="CB1534" s="941">
        <v>1.2120000000000002</v>
      </c>
      <c r="CC1534" s="941">
        <v>3.012</v>
      </c>
      <c r="CD1534" s="941">
        <v>0</v>
      </c>
      <c r="CE1534" s="941">
        <v>3.012</v>
      </c>
      <c r="CF1534" s="941">
        <v>3.012</v>
      </c>
      <c r="CG1534" s="941">
        <v>3.012</v>
      </c>
      <c r="CH1534" s="941">
        <v>3.012</v>
      </c>
      <c r="CI1534" s="941">
        <v>3.012</v>
      </c>
      <c r="CJ1534" s="941">
        <v>3.012</v>
      </c>
      <c r="CK1534" s="147">
        <v>0</v>
      </c>
      <c r="CL1534" s="147">
        <v>0</v>
      </c>
      <c r="CM1534" s="147">
        <v>0</v>
      </c>
      <c r="CN1534" s="147">
        <v>0</v>
      </c>
      <c r="CO1534" s="147">
        <v>0</v>
      </c>
      <c r="CP1534" s="147">
        <v>0</v>
      </c>
    </row>
    <row r="1535" spans="1:149">
      <c r="AK1535" s="610"/>
      <c r="AL1535" s="610"/>
      <c r="AM1535" s="610"/>
      <c r="AN1535" s="610"/>
      <c r="AO1535" s="610"/>
      <c r="AP1535" s="610"/>
      <c r="AQ1535" s="610"/>
      <c r="AR1535" s="610"/>
      <c r="AS1535" s="610"/>
      <c r="AT1535" s="610"/>
      <c r="AU1535" s="610"/>
      <c r="AV1535" s="610"/>
      <c r="AW1535" s="610"/>
      <c r="AX1535" s="610"/>
      <c r="AY1535" s="610"/>
      <c r="AZ1535" s="610"/>
      <c r="BA1535" s="610"/>
      <c r="BB1535" s="610"/>
      <c r="BC1535" s="610"/>
      <c r="BD1535" s="610"/>
      <c r="BE1535" s="610"/>
      <c r="BF1535" s="610"/>
      <c r="BG1535" s="610"/>
      <c r="BH1535" s="610"/>
      <c r="BI1535" s="610"/>
      <c r="BK1535" s="610" t="s">
        <v>10599</v>
      </c>
      <c r="BL1535" s="610"/>
      <c r="BM1535" s="610"/>
      <c r="BN1535" s="610"/>
      <c r="BO1535" s="610"/>
      <c r="BP1535" s="610"/>
      <c r="BQ1535" s="610"/>
      <c r="BR1535" s="610"/>
      <c r="BS1535" s="610"/>
      <c r="BT1535" s="610"/>
      <c r="BU1535" s="610"/>
      <c r="BV1535" s="610"/>
      <c r="BW1535" s="610"/>
      <c r="BX1535" s="610"/>
      <c r="BY1535" s="610"/>
      <c r="BZ1535" s="610"/>
      <c r="CA1535" s="610"/>
      <c r="CB1535" s="610"/>
      <c r="CC1535" s="610"/>
      <c r="CD1535" s="610"/>
      <c r="CE1535" s="610"/>
      <c r="CF1535" s="610"/>
      <c r="CG1535" s="610"/>
      <c r="CH1535" s="610"/>
      <c r="CI1535" s="610"/>
      <c r="CJ1535" s="610"/>
      <c r="CK1535" s="610"/>
      <c r="CL1535" s="610"/>
      <c r="CM1535" s="610"/>
      <c r="CN1535" s="610"/>
      <c r="CO1535" s="610"/>
      <c r="CP1535" s="610"/>
    </row>
    <row r="1536" spans="1:149">
      <c r="C1536" s="88" t="s">
        <v>242</v>
      </c>
      <c r="D1536" s="610"/>
      <c r="E1536" s="804" t="s">
        <v>352</v>
      </c>
      <c r="F1536" s="804" t="s">
        <v>351</v>
      </c>
      <c r="G1536" s="804" t="s">
        <v>353</v>
      </c>
      <c r="H1536" s="804" t="s">
        <v>584</v>
      </c>
      <c r="I1536" s="804" t="s">
        <v>2107</v>
      </c>
      <c r="J1536" s="804" t="s">
        <v>2108</v>
      </c>
      <c r="K1536" s="804" t="s">
        <v>354</v>
      </c>
      <c r="L1536" s="804" t="s">
        <v>355</v>
      </c>
      <c r="M1536" s="804" t="s">
        <v>3765</v>
      </c>
      <c r="N1536" s="804" t="s">
        <v>3766</v>
      </c>
      <c r="O1536" s="804" t="s">
        <v>4417</v>
      </c>
      <c r="P1536" s="804" t="s">
        <v>4418</v>
      </c>
      <c r="Q1536" s="804" t="s">
        <v>4419</v>
      </c>
      <c r="R1536" s="804" t="s">
        <v>4420</v>
      </c>
      <c r="S1536" s="804" t="s">
        <v>4421</v>
      </c>
      <c r="T1536" s="804" t="s">
        <v>4422</v>
      </c>
      <c r="U1536" s="804" t="s">
        <v>4423</v>
      </c>
      <c r="V1536" s="804" t="s">
        <v>4424</v>
      </c>
      <c r="W1536" s="804" t="s">
        <v>4425</v>
      </c>
      <c r="X1536" s="804" t="s">
        <v>4426</v>
      </c>
      <c r="Y1536" s="804" t="s">
        <v>8369</v>
      </c>
      <c r="Z1536" s="804" t="s">
        <v>4427</v>
      </c>
      <c r="AA1536" s="804" t="s">
        <v>8368</v>
      </c>
      <c r="AB1536" s="804" t="s">
        <v>4428</v>
      </c>
      <c r="AC1536" s="804" t="s">
        <v>4429</v>
      </c>
      <c r="AD1536" s="804" t="s">
        <v>5661</v>
      </c>
      <c r="AE1536" s="804" t="s">
        <v>5661</v>
      </c>
      <c r="AF1536" s="804" t="s">
        <v>5661</v>
      </c>
      <c r="AG1536" s="804" t="s">
        <v>5661</v>
      </c>
      <c r="AH1536" s="804" t="s">
        <v>5661</v>
      </c>
      <c r="AI1536" s="804" t="s">
        <v>350</v>
      </c>
      <c r="AK1536" s="508" t="s">
        <v>352</v>
      </c>
      <c r="AL1536" s="508" t="s">
        <v>351</v>
      </c>
      <c r="AM1536" s="508" t="s">
        <v>353</v>
      </c>
      <c r="AN1536" s="508" t="s">
        <v>584</v>
      </c>
      <c r="AO1536" s="508" t="s">
        <v>2107</v>
      </c>
      <c r="AP1536" s="508" t="s">
        <v>2108</v>
      </c>
      <c r="AQ1536" s="508" t="s">
        <v>354</v>
      </c>
      <c r="AR1536" s="508" t="s">
        <v>355</v>
      </c>
      <c r="AS1536" s="508" t="s">
        <v>3765</v>
      </c>
      <c r="AT1536" s="508" t="s">
        <v>3766</v>
      </c>
      <c r="AU1536" s="508" t="s">
        <v>4417</v>
      </c>
      <c r="AV1536" s="508" t="s">
        <v>4418</v>
      </c>
      <c r="AW1536" s="508" t="s">
        <v>4419</v>
      </c>
      <c r="AX1536" s="508" t="s">
        <v>4420</v>
      </c>
      <c r="AY1536" s="508" t="s">
        <v>4421</v>
      </c>
      <c r="AZ1536" s="508" t="s">
        <v>4422</v>
      </c>
      <c r="BA1536" s="508" t="s">
        <v>4423</v>
      </c>
      <c r="BB1536" s="508" t="s">
        <v>4424</v>
      </c>
      <c r="BC1536" s="508" t="s">
        <v>4425</v>
      </c>
      <c r="BD1536" s="508" t="s">
        <v>4426</v>
      </c>
      <c r="BE1536" s="508" t="s">
        <v>8369</v>
      </c>
      <c r="BF1536" s="508" t="s">
        <v>4427</v>
      </c>
      <c r="BG1536" s="508" t="s">
        <v>8368</v>
      </c>
      <c r="BH1536" s="508" t="s">
        <v>4428</v>
      </c>
      <c r="BI1536" s="508" t="s">
        <v>4429</v>
      </c>
      <c r="BK1536" s="610"/>
      <c r="BL1536" s="610"/>
      <c r="BM1536" s="610"/>
      <c r="BN1536" s="610"/>
      <c r="BO1536" s="610"/>
      <c r="BP1536" s="610"/>
      <c r="BQ1536" s="610"/>
      <c r="BR1536" s="610"/>
      <c r="BS1536" s="610"/>
      <c r="BT1536" s="610"/>
      <c r="BU1536" s="610"/>
      <c r="BV1536" s="610"/>
      <c r="BW1536" s="610"/>
      <c r="BX1536" s="610"/>
      <c r="BY1536" s="610"/>
      <c r="BZ1536" s="610"/>
      <c r="CA1536" s="610"/>
      <c r="CB1536" s="610"/>
      <c r="CC1536" s="610"/>
      <c r="CD1536" s="610"/>
      <c r="CE1536" s="610"/>
      <c r="CF1536" s="610"/>
      <c r="CG1536" s="610"/>
      <c r="CH1536" s="610"/>
      <c r="CI1536" s="610"/>
      <c r="CJ1536" s="610"/>
      <c r="CK1536" s="610"/>
      <c r="CL1536" s="610"/>
      <c r="CM1536" s="610"/>
      <c r="CN1536" s="610"/>
      <c r="CO1536" s="610"/>
      <c r="CP1536" s="610"/>
    </row>
    <row r="1537" spans="3:94" s="610" customFormat="1">
      <c r="C1537" s="88"/>
      <c r="D1537" s="145" t="s">
        <v>5788</v>
      </c>
      <c r="E1537" s="804">
        <v>0</v>
      </c>
      <c r="F1537" s="804">
        <v>0</v>
      </c>
      <c r="G1537" s="804">
        <v>0</v>
      </c>
      <c r="H1537" s="804">
        <v>0</v>
      </c>
      <c r="I1537" s="804">
        <v>0</v>
      </c>
      <c r="J1537" s="804">
        <v>0</v>
      </c>
      <c r="K1537" s="804">
        <v>0</v>
      </c>
      <c r="L1537" s="804">
        <v>0</v>
      </c>
      <c r="M1537" s="804">
        <v>0</v>
      </c>
      <c r="N1537" s="804">
        <v>0</v>
      </c>
      <c r="O1537" s="804">
        <v>0</v>
      </c>
      <c r="P1537" s="804">
        <v>0</v>
      </c>
      <c r="Q1537" s="804">
        <v>0</v>
      </c>
      <c r="R1537" s="804">
        <v>0</v>
      </c>
      <c r="S1537" s="804">
        <v>0</v>
      </c>
      <c r="T1537" s="804">
        <v>0</v>
      </c>
      <c r="U1537" s="804">
        <v>0</v>
      </c>
      <c r="V1537" s="804">
        <v>0</v>
      </c>
      <c r="W1537" s="804">
        <v>0</v>
      </c>
      <c r="X1537" s="804">
        <v>0</v>
      </c>
      <c r="Y1537" s="804">
        <v>0</v>
      </c>
      <c r="Z1537" s="804">
        <v>0</v>
      </c>
      <c r="AA1537" s="804">
        <v>0</v>
      </c>
      <c r="AB1537" s="804">
        <v>0</v>
      </c>
      <c r="AC1537" s="804">
        <v>0</v>
      </c>
      <c r="AD1537" s="804">
        <v>0</v>
      </c>
      <c r="AE1537" s="804">
        <v>0</v>
      </c>
      <c r="AF1537" s="804">
        <v>0</v>
      </c>
      <c r="AG1537" s="804">
        <v>0</v>
      </c>
      <c r="AH1537" s="804">
        <v>0</v>
      </c>
      <c r="AI1537" s="804">
        <v>0</v>
      </c>
      <c r="AK1537" s="508">
        <v>0</v>
      </c>
      <c r="AL1537" s="508">
        <v>0</v>
      </c>
      <c r="AM1537" s="508">
        <v>0</v>
      </c>
      <c r="AN1537" s="508">
        <v>0</v>
      </c>
      <c r="AO1537" s="508">
        <v>0</v>
      </c>
      <c r="AP1537" s="508">
        <v>0</v>
      </c>
      <c r="AQ1537" s="508">
        <v>0</v>
      </c>
      <c r="AR1537" s="508">
        <v>0</v>
      </c>
      <c r="AS1537" s="508">
        <v>0</v>
      </c>
      <c r="AT1537" s="508">
        <v>0</v>
      </c>
      <c r="AU1537" s="508">
        <v>0</v>
      </c>
      <c r="AV1537" s="508">
        <v>0</v>
      </c>
      <c r="AW1537" s="508">
        <v>0</v>
      </c>
      <c r="AX1537" s="508">
        <v>0</v>
      </c>
      <c r="AY1537" s="508">
        <v>0</v>
      </c>
      <c r="AZ1537" s="508">
        <v>0</v>
      </c>
      <c r="BA1537" s="508">
        <v>0</v>
      </c>
      <c r="BB1537" s="508">
        <v>0</v>
      </c>
      <c r="BC1537" s="508">
        <v>0</v>
      </c>
      <c r="BD1537" s="508">
        <v>0</v>
      </c>
      <c r="BE1537" s="508">
        <v>0</v>
      </c>
      <c r="BF1537" s="508">
        <v>0</v>
      </c>
      <c r="BG1537" s="508">
        <v>0</v>
      </c>
      <c r="BH1537" s="508">
        <v>0</v>
      </c>
      <c r="BI1537" s="508">
        <v>0</v>
      </c>
      <c r="BL1537" s="804" t="s">
        <v>352</v>
      </c>
      <c r="BM1537" s="804" t="s">
        <v>351</v>
      </c>
      <c r="BN1537" s="804" t="s">
        <v>353</v>
      </c>
      <c r="BO1537" s="804" t="s">
        <v>584</v>
      </c>
      <c r="BP1537" s="804" t="s">
        <v>2107</v>
      </c>
      <c r="BQ1537" s="804" t="s">
        <v>2108</v>
      </c>
      <c r="BR1537" s="804" t="s">
        <v>354</v>
      </c>
      <c r="BS1537" s="804" t="s">
        <v>355</v>
      </c>
      <c r="BT1537" s="804" t="s">
        <v>3765</v>
      </c>
      <c r="BU1537" s="804" t="s">
        <v>3766</v>
      </c>
      <c r="BV1537" s="804" t="s">
        <v>4417</v>
      </c>
      <c r="BW1537" s="804" t="s">
        <v>4418</v>
      </c>
      <c r="BX1537" s="804" t="s">
        <v>4419</v>
      </c>
      <c r="BY1537" s="804" t="s">
        <v>4420</v>
      </c>
      <c r="BZ1537" s="804" t="s">
        <v>4421</v>
      </c>
      <c r="CA1537" s="804" t="s">
        <v>4422</v>
      </c>
      <c r="CB1537" s="804" t="s">
        <v>4423</v>
      </c>
      <c r="CC1537" s="804" t="s">
        <v>4424</v>
      </c>
      <c r="CD1537" s="804" t="s">
        <v>4425</v>
      </c>
      <c r="CE1537" s="804" t="s">
        <v>4426</v>
      </c>
      <c r="CF1537" s="804" t="s">
        <v>8369</v>
      </c>
      <c r="CG1537" s="804" t="s">
        <v>4427</v>
      </c>
      <c r="CH1537" s="804" t="s">
        <v>8368</v>
      </c>
      <c r="CI1537" s="804" t="s">
        <v>4428</v>
      </c>
      <c r="CJ1537" s="804" t="s">
        <v>4429</v>
      </c>
      <c r="CK1537" s="804" t="s">
        <v>5661</v>
      </c>
      <c r="CL1537" s="804" t="s">
        <v>5661</v>
      </c>
      <c r="CM1537" s="804" t="s">
        <v>5661</v>
      </c>
      <c r="CN1537" s="804" t="s">
        <v>5661</v>
      </c>
      <c r="CO1537" s="804" t="s">
        <v>5661</v>
      </c>
      <c r="CP1537" s="804" t="s">
        <v>350</v>
      </c>
    </row>
    <row r="1538" spans="3:94">
      <c r="C1538" s="611"/>
      <c r="D1538" s="939" t="s">
        <v>9050</v>
      </c>
      <c r="E1538" s="941">
        <v>5.08</v>
      </c>
      <c r="F1538" s="941">
        <v>5.08</v>
      </c>
      <c r="G1538" s="941">
        <v>5.08</v>
      </c>
      <c r="H1538" s="941">
        <v>5.08</v>
      </c>
      <c r="I1538" s="941">
        <v>5.08</v>
      </c>
      <c r="J1538" s="941">
        <v>5.08</v>
      </c>
      <c r="K1538" s="941">
        <v>5.08</v>
      </c>
      <c r="L1538" s="941">
        <v>5.08</v>
      </c>
      <c r="M1538" s="941">
        <v>5.08</v>
      </c>
      <c r="N1538" s="941">
        <v>5.08</v>
      </c>
      <c r="O1538" s="941">
        <v>5.08</v>
      </c>
      <c r="P1538" s="941">
        <v>5.08</v>
      </c>
      <c r="Q1538" s="941">
        <v>5.08</v>
      </c>
      <c r="R1538" s="941">
        <v>6.5799999999999992</v>
      </c>
      <c r="S1538" s="941">
        <v>6.5799999999999992</v>
      </c>
      <c r="T1538" s="941">
        <v>6.5799999999999992</v>
      </c>
      <c r="U1538" s="941">
        <v>6.5799999999999992</v>
      </c>
      <c r="V1538" s="941">
        <v>5.08</v>
      </c>
      <c r="W1538" s="941">
        <v>6.7532000000000005</v>
      </c>
      <c r="X1538" s="941">
        <v>5.08</v>
      </c>
      <c r="Y1538" s="941">
        <v>7.5032000000000014</v>
      </c>
      <c r="Z1538" s="941">
        <v>5.08</v>
      </c>
      <c r="AA1538" s="941">
        <v>8.2531999999999996</v>
      </c>
      <c r="AB1538" s="941">
        <v>5.08</v>
      </c>
      <c r="AC1538" s="941">
        <v>5.08</v>
      </c>
      <c r="AD1538" s="147">
        <v>0</v>
      </c>
      <c r="AE1538" s="147">
        <v>0</v>
      </c>
      <c r="AF1538" s="147">
        <v>0</v>
      </c>
      <c r="AG1538" s="147">
        <v>0</v>
      </c>
      <c r="AH1538" s="147">
        <v>0</v>
      </c>
      <c r="AI1538" s="147">
        <v>0</v>
      </c>
      <c r="AK1538" s="508">
        <v>5.08</v>
      </c>
      <c r="AL1538" s="508">
        <v>4.5720000000000001</v>
      </c>
      <c r="AM1538" s="508">
        <v>4.5720000000000001</v>
      </c>
      <c r="AN1538" s="508">
        <v>4.5720000000000001</v>
      </c>
      <c r="AO1538" s="508">
        <v>4.5720000000000001</v>
      </c>
      <c r="AP1538" s="508">
        <v>4.5720000000000001</v>
      </c>
      <c r="AQ1538" s="508">
        <v>4.5720000000000001</v>
      </c>
      <c r="AR1538" s="508">
        <v>4.5720000000000001</v>
      </c>
      <c r="AS1538" s="508">
        <v>4.5720000000000001</v>
      </c>
      <c r="AT1538" s="508">
        <v>4.5720000000000001</v>
      </c>
      <c r="AU1538" s="508">
        <v>4.5720000000000001</v>
      </c>
      <c r="AV1538" s="508">
        <v>4.5720000000000001</v>
      </c>
      <c r="AW1538" s="508">
        <v>4.5720000000000001</v>
      </c>
      <c r="AX1538" s="508">
        <v>5.9219999999999997</v>
      </c>
      <c r="AY1538" s="508">
        <v>5.9219999999999997</v>
      </c>
      <c r="AZ1538" s="508">
        <v>5.9219999999999997</v>
      </c>
      <c r="BA1538" s="508">
        <v>5.9219999999999997</v>
      </c>
      <c r="BB1538" s="508">
        <v>4.5720000000000001</v>
      </c>
      <c r="BC1538" s="508">
        <v>6.0778800000000004</v>
      </c>
      <c r="BD1538" s="508">
        <v>4.5720000000000001</v>
      </c>
      <c r="BE1538" s="508">
        <v>6.7528800000000011</v>
      </c>
      <c r="BF1538" s="508">
        <v>4.5720000000000001</v>
      </c>
      <c r="BG1538" s="508">
        <v>7.42788</v>
      </c>
      <c r="BH1538" s="508">
        <v>4.5720000000000001</v>
      </c>
      <c r="BI1538" s="508">
        <v>4.5720000000000001</v>
      </c>
      <c r="BK1538" s="145" t="s">
        <v>5788</v>
      </c>
      <c r="BL1538" s="804">
        <v>0</v>
      </c>
      <c r="BM1538" s="804">
        <v>0</v>
      </c>
      <c r="BN1538" s="804">
        <v>0</v>
      </c>
      <c r="BO1538" s="804">
        <v>0</v>
      </c>
      <c r="BP1538" s="804">
        <v>0</v>
      </c>
      <c r="BQ1538" s="804">
        <v>0</v>
      </c>
      <c r="BR1538" s="804">
        <v>0</v>
      </c>
      <c r="BS1538" s="804">
        <v>0</v>
      </c>
      <c r="BT1538" s="804">
        <v>0</v>
      </c>
      <c r="BU1538" s="804">
        <v>0</v>
      </c>
      <c r="BV1538" s="804">
        <v>0</v>
      </c>
      <c r="BW1538" s="804">
        <v>0</v>
      </c>
      <c r="BX1538" s="804">
        <v>0</v>
      </c>
      <c r="BY1538" s="804">
        <v>0</v>
      </c>
      <c r="BZ1538" s="804">
        <v>0</v>
      </c>
      <c r="CA1538" s="804">
        <v>0</v>
      </c>
      <c r="CB1538" s="804">
        <v>0</v>
      </c>
      <c r="CC1538" s="804">
        <v>0</v>
      </c>
      <c r="CD1538" s="804">
        <v>0</v>
      </c>
      <c r="CE1538" s="804">
        <v>0</v>
      </c>
      <c r="CF1538" s="804">
        <v>0</v>
      </c>
      <c r="CG1538" s="804">
        <v>0</v>
      </c>
      <c r="CH1538" s="804">
        <v>0</v>
      </c>
      <c r="CI1538" s="804">
        <v>0</v>
      </c>
      <c r="CJ1538" s="804">
        <v>0</v>
      </c>
      <c r="CK1538" s="804">
        <v>0</v>
      </c>
      <c r="CL1538" s="804">
        <v>0</v>
      </c>
      <c r="CM1538" s="804">
        <v>0</v>
      </c>
      <c r="CN1538" s="804">
        <v>0</v>
      </c>
      <c r="CO1538" s="804">
        <v>0</v>
      </c>
      <c r="CP1538" s="804">
        <v>0</v>
      </c>
    </row>
    <row r="1539" spans="3:94">
      <c r="C1539" s="611"/>
      <c r="D1539" s="939" t="s">
        <v>9052</v>
      </c>
      <c r="E1539" s="941">
        <v>9.7279999999999998</v>
      </c>
      <c r="F1539" s="941">
        <v>9.7279999999999998</v>
      </c>
      <c r="G1539" s="941">
        <v>9.7279999999999998</v>
      </c>
      <c r="H1539" s="941">
        <v>9.7279999999999998</v>
      </c>
      <c r="I1539" s="941">
        <v>9.7279999999999998</v>
      </c>
      <c r="J1539" s="941">
        <v>9.7279999999999998</v>
      </c>
      <c r="K1539" s="941">
        <v>9.7279999999999998</v>
      </c>
      <c r="L1539" s="941">
        <v>9.7279999999999998</v>
      </c>
      <c r="M1539" s="941">
        <v>9.7279999999999998</v>
      </c>
      <c r="N1539" s="941">
        <v>9.7279999999999998</v>
      </c>
      <c r="O1539" s="941">
        <v>12.127999999999998</v>
      </c>
      <c r="P1539" s="941">
        <v>12.127999999999998</v>
      </c>
      <c r="Q1539" s="941">
        <v>12.127999999999998</v>
      </c>
      <c r="R1539" s="941">
        <v>14.528</v>
      </c>
      <c r="S1539" s="941">
        <v>14.528</v>
      </c>
      <c r="T1539" s="941">
        <v>14.528</v>
      </c>
      <c r="U1539" s="941">
        <v>14.528</v>
      </c>
      <c r="V1539" s="941">
        <v>12.127999999999998</v>
      </c>
      <c r="W1539" s="941">
        <v>14.47616</v>
      </c>
      <c r="X1539" s="941">
        <v>12.127999999999998</v>
      </c>
      <c r="Y1539" s="941">
        <v>15.676159999999998</v>
      </c>
      <c r="Z1539" s="941">
        <v>12.127999999999998</v>
      </c>
      <c r="AA1539" s="941">
        <v>16.876159999999999</v>
      </c>
      <c r="AB1539" s="941">
        <v>12.127999999999998</v>
      </c>
      <c r="AC1539" s="941">
        <v>12.127999999999998</v>
      </c>
      <c r="AD1539" s="147">
        <v>0</v>
      </c>
      <c r="AE1539" s="147">
        <v>0</v>
      </c>
      <c r="AF1539" s="147">
        <v>0</v>
      </c>
      <c r="AG1539" s="147">
        <v>0</v>
      </c>
      <c r="AH1539" s="147">
        <v>0</v>
      </c>
      <c r="AI1539" s="147">
        <v>0</v>
      </c>
      <c r="AK1539" s="610">
        <v>11.673599999999999</v>
      </c>
      <c r="AL1539" s="610">
        <v>11.673599999999999</v>
      </c>
      <c r="AM1539" s="610">
        <v>11.673599999999999</v>
      </c>
      <c r="AN1539" s="610">
        <v>11.673599999999999</v>
      </c>
      <c r="AO1539" s="610">
        <v>11.673599999999999</v>
      </c>
      <c r="AP1539" s="610">
        <v>11.673599999999999</v>
      </c>
      <c r="AQ1539" s="610">
        <v>11.673599999999999</v>
      </c>
      <c r="AR1539" s="610">
        <v>11.673599999999999</v>
      </c>
      <c r="AS1539" s="610">
        <v>11.673599999999999</v>
      </c>
      <c r="AT1539" s="610">
        <v>11.673599999999999</v>
      </c>
      <c r="AU1539" s="610">
        <v>14.553599999999998</v>
      </c>
      <c r="AV1539" s="610">
        <v>14.553599999999998</v>
      </c>
      <c r="AW1539" s="610">
        <v>14.553599999999998</v>
      </c>
      <c r="AX1539" s="610">
        <v>17.433599999999998</v>
      </c>
      <c r="AY1539" s="610">
        <v>17.433599999999998</v>
      </c>
      <c r="AZ1539" s="610">
        <v>17.433599999999998</v>
      </c>
      <c r="BA1539" s="610">
        <v>17.433599999999998</v>
      </c>
      <c r="BB1539" s="610">
        <v>14.553599999999998</v>
      </c>
      <c r="BC1539" s="610">
        <v>17.371392</v>
      </c>
      <c r="BD1539" s="610">
        <v>14.553599999999998</v>
      </c>
      <c r="BE1539" s="610">
        <v>18.811391999999998</v>
      </c>
      <c r="BF1539" s="610">
        <v>14.553599999999998</v>
      </c>
      <c r="BG1539" s="610">
        <v>20.251391999999999</v>
      </c>
      <c r="BH1539" s="610">
        <v>14.553599999999998</v>
      </c>
      <c r="BI1539" s="610">
        <v>14.553599999999998</v>
      </c>
      <c r="BK1539" s="939" t="s">
        <v>9050</v>
      </c>
      <c r="BL1539" s="941">
        <v>2.032</v>
      </c>
      <c r="BM1539" s="941">
        <v>2.032</v>
      </c>
      <c r="BN1539" s="941">
        <v>2.032</v>
      </c>
      <c r="BO1539" s="941">
        <v>2.032</v>
      </c>
      <c r="BP1539" s="941">
        <v>2.032</v>
      </c>
      <c r="BQ1539" s="941">
        <v>2.032</v>
      </c>
      <c r="BR1539" s="941">
        <v>2.032</v>
      </c>
      <c r="BS1539" s="941">
        <v>2.032</v>
      </c>
      <c r="BT1539" s="941">
        <v>2.032</v>
      </c>
      <c r="BU1539" s="941">
        <v>2.032</v>
      </c>
      <c r="BV1539" s="941">
        <v>2.032</v>
      </c>
      <c r="BW1539" s="941">
        <v>2.032</v>
      </c>
      <c r="BX1539" s="941">
        <v>2.032</v>
      </c>
      <c r="BY1539" s="941">
        <v>2.6319999999999997</v>
      </c>
      <c r="BZ1539" s="941">
        <v>2.6319999999999997</v>
      </c>
      <c r="CA1539" s="941">
        <v>2.6319999999999997</v>
      </c>
      <c r="CB1539" s="941">
        <v>2.6319999999999997</v>
      </c>
      <c r="CC1539" s="941">
        <v>2.032</v>
      </c>
      <c r="CD1539" s="941">
        <v>2.7012800000000001</v>
      </c>
      <c r="CE1539" s="941">
        <v>2.032</v>
      </c>
      <c r="CF1539" s="941">
        <v>3.0012800000000004</v>
      </c>
      <c r="CG1539" s="941">
        <v>2.032</v>
      </c>
      <c r="CH1539" s="941">
        <v>3.3012800000000002</v>
      </c>
      <c r="CI1539" s="941">
        <v>2.032</v>
      </c>
      <c r="CJ1539" s="941">
        <v>2.032</v>
      </c>
      <c r="CK1539" s="147">
        <v>0</v>
      </c>
      <c r="CL1539" s="147">
        <v>0</v>
      </c>
      <c r="CM1539" s="147">
        <v>0</v>
      </c>
      <c r="CN1539" s="147">
        <v>0</v>
      </c>
      <c r="CO1539" s="147">
        <v>0</v>
      </c>
      <c r="CP1539" s="147">
        <v>0</v>
      </c>
    </row>
    <row r="1540" spans="3:94">
      <c r="C1540" s="611"/>
      <c r="D1540" s="939" t="s">
        <v>9051</v>
      </c>
      <c r="E1540" s="941">
        <v>13.391999999999999</v>
      </c>
      <c r="F1540" s="941">
        <v>13.391999999999999</v>
      </c>
      <c r="G1540" s="941">
        <v>13.391999999999999</v>
      </c>
      <c r="H1540" s="941">
        <v>13.391999999999999</v>
      </c>
      <c r="I1540" s="941">
        <v>13.391999999999999</v>
      </c>
      <c r="J1540" s="941">
        <v>13.391999999999999</v>
      </c>
      <c r="K1540" s="941">
        <v>13.391999999999999</v>
      </c>
      <c r="L1540" s="941">
        <v>13.391999999999999</v>
      </c>
      <c r="M1540" s="941">
        <v>13.391999999999999</v>
      </c>
      <c r="N1540" s="941">
        <v>13.391999999999999</v>
      </c>
      <c r="O1540" s="941">
        <v>15.792</v>
      </c>
      <c r="P1540" s="941">
        <v>15.792</v>
      </c>
      <c r="Q1540" s="941">
        <v>15.792</v>
      </c>
      <c r="R1540" s="941">
        <v>18.192</v>
      </c>
      <c r="S1540" s="941">
        <v>18.192</v>
      </c>
      <c r="T1540" s="941">
        <v>18.192</v>
      </c>
      <c r="U1540" s="941">
        <v>18.192</v>
      </c>
      <c r="V1540" s="941">
        <v>15.792</v>
      </c>
      <c r="W1540" s="941">
        <v>12.86656</v>
      </c>
      <c r="X1540" s="941">
        <v>15.792</v>
      </c>
      <c r="Y1540" s="941">
        <v>11.66656</v>
      </c>
      <c r="Z1540" s="941">
        <v>15.792</v>
      </c>
      <c r="AA1540" s="941">
        <v>12.86656</v>
      </c>
      <c r="AB1540" s="941">
        <v>15.792</v>
      </c>
      <c r="AC1540" s="941">
        <v>15.792</v>
      </c>
      <c r="AD1540" s="941">
        <v>0</v>
      </c>
      <c r="AE1540" s="941">
        <v>0</v>
      </c>
      <c r="AF1540" s="941">
        <v>0</v>
      </c>
      <c r="AG1540" s="941">
        <v>0</v>
      </c>
      <c r="AH1540" s="941">
        <v>0</v>
      </c>
      <c r="AI1540" s="941">
        <v>0</v>
      </c>
      <c r="AK1540" s="610">
        <v>20.088000000000001</v>
      </c>
      <c r="AL1540" s="610">
        <v>20.088000000000001</v>
      </c>
      <c r="AM1540" s="610">
        <v>20.088000000000001</v>
      </c>
      <c r="AN1540" s="610">
        <v>20.088000000000001</v>
      </c>
      <c r="AO1540" s="610">
        <v>20.088000000000001</v>
      </c>
      <c r="AP1540" s="610">
        <v>20.088000000000001</v>
      </c>
      <c r="AQ1540" s="610">
        <v>20.088000000000001</v>
      </c>
      <c r="AR1540" s="610">
        <v>20.088000000000001</v>
      </c>
      <c r="AS1540" s="610">
        <v>20.088000000000001</v>
      </c>
      <c r="AT1540" s="610">
        <v>20.088000000000001</v>
      </c>
      <c r="AU1540" s="610">
        <v>23.687999999999999</v>
      </c>
      <c r="AV1540" s="610">
        <v>23.687999999999999</v>
      </c>
      <c r="AW1540" s="610">
        <v>23.687999999999999</v>
      </c>
      <c r="AX1540" s="610">
        <v>27.288</v>
      </c>
      <c r="AY1540" s="610">
        <v>27.288</v>
      </c>
      <c r="AZ1540" s="610">
        <v>27.288</v>
      </c>
      <c r="BA1540" s="610">
        <v>27.288</v>
      </c>
      <c r="BB1540" s="610">
        <v>23.687999999999999</v>
      </c>
      <c r="BC1540" s="610">
        <v>19.29984</v>
      </c>
      <c r="BD1540" s="610">
        <v>23.687999999999999</v>
      </c>
      <c r="BE1540" s="610">
        <v>17.499839999999999</v>
      </c>
      <c r="BF1540" s="610">
        <v>23.687999999999999</v>
      </c>
      <c r="BG1540" s="610">
        <v>19.29984</v>
      </c>
      <c r="BH1540" s="610">
        <v>23.687999999999999</v>
      </c>
      <c r="BI1540" s="610">
        <v>23.687999999999999</v>
      </c>
      <c r="BK1540" s="939" t="s">
        <v>9052</v>
      </c>
      <c r="BL1540" s="941">
        <v>2.4319999999999999</v>
      </c>
      <c r="BM1540" s="941">
        <v>2.4319999999999999</v>
      </c>
      <c r="BN1540" s="941">
        <v>2.4319999999999999</v>
      </c>
      <c r="BO1540" s="941">
        <v>2.4319999999999999</v>
      </c>
      <c r="BP1540" s="941">
        <v>2.4319999999999999</v>
      </c>
      <c r="BQ1540" s="941">
        <v>2.4319999999999999</v>
      </c>
      <c r="BR1540" s="941">
        <v>2.4319999999999999</v>
      </c>
      <c r="BS1540" s="941">
        <v>2.4319999999999999</v>
      </c>
      <c r="BT1540" s="941">
        <v>2.4319999999999999</v>
      </c>
      <c r="BU1540" s="941">
        <v>2.4319999999999999</v>
      </c>
      <c r="BV1540" s="941">
        <v>3.0319999999999996</v>
      </c>
      <c r="BW1540" s="941">
        <v>3.0319999999999996</v>
      </c>
      <c r="BX1540" s="941">
        <v>3.0319999999999996</v>
      </c>
      <c r="BY1540" s="941">
        <v>3.6320000000000001</v>
      </c>
      <c r="BZ1540" s="941">
        <v>3.6320000000000001</v>
      </c>
      <c r="CA1540" s="941">
        <v>3.6320000000000001</v>
      </c>
      <c r="CB1540" s="941">
        <v>3.6320000000000001</v>
      </c>
      <c r="CC1540" s="941">
        <v>3.0319999999999996</v>
      </c>
      <c r="CD1540" s="941">
        <v>3.61904</v>
      </c>
      <c r="CE1540" s="941">
        <v>3.0319999999999996</v>
      </c>
      <c r="CF1540" s="941">
        <v>3.9190399999999994</v>
      </c>
      <c r="CG1540" s="941">
        <v>3.0319999999999996</v>
      </c>
      <c r="CH1540" s="941">
        <v>4.2190399999999997</v>
      </c>
      <c r="CI1540" s="941">
        <v>3.0319999999999996</v>
      </c>
      <c r="CJ1540" s="941">
        <v>3.0319999999999996</v>
      </c>
      <c r="CK1540" s="147">
        <v>0</v>
      </c>
      <c r="CL1540" s="147">
        <v>0</v>
      </c>
      <c r="CM1540" s="147">
        <v>0</v>
      </c>
      <c r="CN1540" s="147">
        <v>0</v>
      </c>
      <c r="CO1540" s="147">
        <v>0</v>
      </c>
      <c r="CP1540" s="147">
        <v>0</v>
      </c>
    </row>
    <row r="1541" spans="3:94">
      <c r="C1541" s="611"/>
      <c r="D1541" s="940" t="s">
        <v>5789</v>
      </c>
      <c r="E1541" s="941">
        <v>9.7119999999999997</v>
      </c>
      <c r="F1541" s="941">
        <v>9.7119999999999997</v>
      </c>
      <c r="G1541" s="941">
        <v>9.7119999999999997</v>
      </c>
      <c r="H1541" s="941">
        <v>9.7119999999999997</v>
      </c>
      <c r="I1541" s="941">
        <v>9.7119999999999997</v>
      </c>
      <c r="J1541" s="941">
        <v>9.7119999999999997</v>
      </c>
      <c r="K1541" s="941">
        <v>9.7119999999999997</v>
      </c>
      <c r="L1541" s="941">
        <v>9.7119999999999997</v>
      </c>
      <c r="M1541" s="941">
        <v>9.7119999999999997</v>
      </c>
      <c r="N1541" s="941">
        <v>9.7119999999999997</v>
      </c>
      <c r="O1541" s="941">
        <v>16.911999999999999</v>
      </c>
      <c r="P1541" s="941">
        <v>16.911999999999999</v>
      </c>
      <c r="Q1541" s="941">
        <v>16.911999999999999</v>
      </c>
      <c r="R1541" s="941">
        <v>14.512</v>
      </c>
      <c r="S1541" s="941">
        <v>14.512</v>
      </c>
      <c r="T1541" s="941">
        <v>14.512</v>
      </c>
      <c r="U1541" s="941">
        <v>9.7119999999999997</v>
      </c>
      <c r="V1541" s="941">
        <v>16.911999999999999</v>
      </c>
      <c r="W1541" s="941">
        <v>9.1955200000000001</v>
      </c>
      <c r="X1541" s="941">
        <v>16.911999999999999</v>
      </c>
      <c r="Y1541" s="941">
        <v>7.9955199999999991</v>
      </c>
      <c r="Z1541" s="941">
        <v>16.911999999999999</v>
      </c>
      <c r="AA1541" s="941">
        <v>9.1955199999999984</v>
      </c>
      <c r="AB1541" s="941">
        <v>16.911999999999999</v>
      </c>
      <c r="AC1541" s="941">
        <v>16.911999999999999</v>
      </c>
      <c r="AD1541" s="147">
        <v>0</v>
      </c>
      <c r="AE1541" s="147">
        <v>0</v>
      </c>
      <c r="AF1541" s="147">
        <v>0</v>
      </c>
      <c r="AG1541" s="147">
        <v>0</v>
      </c>
      <c r="AH1541" s="147">
        <v>0</v>
      </c>
      <c r="AI1541" s="147">
        <v>0</v>
      </c>
      <c r="AK1541" s="610">
        <v>11.654399999999999</v>
      </c>
      <c r="AL1541" s="610">
        <v>11.654399999999999</v>
      </c>
      <c r="AM1541" s="610">
        <v>11.654399999999999</v>
      </c>
      <c r="AN1541" s="610">
        <v>11.654399999999999</v>
      </c>
      <c r="AO1541" s="610">
        <v>11.654399999999999</v>
      </c>
      <c r="AP1541" s="610">
        <v>11.654399999999999</v>
      </c>
      <c r="AQ1541" s="610">
        <v>11.654399999999999</v>
      </c>
      <c r="AR1541" s="610">
        <v>11.654399999999999</v>
      </c>
      <c r="AS1541" s="610">
        <v>11.654399999999999</v>
      </c>
      <c r="AT1541" s="610">
        <v>11.654399999999999</v>
      </c>
      <c r="AU1541" s="610">
        <v>20.2944</v>
      </c>
      <c r="AV1541" s="610">
        <v>20.2944</v>
      </c>
      <c r="AW1541" s="610">
        <v>20.2944</v>
      </c>
      <c r="AX1541" s="610">
        <v>17.414400000000001</v>
      </c>
      <c r="AY1541" s="610">
        <v>17.414400000000001</v>
      </c>
      <c r="AZ1541" s="610">
        <v>17.414400000000001</v>
      </c>
      <c r="BA1541" s="610">
        <v>11.654399999999999</v>
      </c>
      <c r="BB1541" s="610">
        <v>20.2944</v>
      </c>
      <c r="BC1541" s="610">
        <v>11.034623999999999</v>
      </c>
      <c r="BD1541" s="610">
        <v>20.2944</v>
      </c>
      <c r="BE1541" s="610">
        <v>9.5946239999999978</v>
      </c>
      <c r="BF1541" s="610">
        <v>20.2944</v>
      </c>
      <c r="BG1541" s="610">
        <v>11.034623999999997</v>
      </c>
      <c r="BH1541" s="610">
        <v>20.2944</v>
      </c>
      <c r="BI1541" s="610">
        <v>20.2944</v>
      </c>
      <c r="BK1541" s="939" t="s">
        <v>9051</v>
      </c>
      <c r="BL1541" s="941">
        <v>3.3479999999999999</v>
      </c>
      <c r="BM1541" s="941">
        <v>3.3479999999999999</v>
      </c>
      <c r="BN1541" s="941">
        <v>3.3479999999999999</v>
      </c>
      <c r="BO1541" s="941">
        <v>3.3479999999999999</v>
      </c>
      <c r="BP1541" s="941">
        <v>3.3479999999999999</v>
      </c>
      <c r="BQ1541" s="941">
        <v>3.3479999999999999</v>
      </c>
      <c r="BR1541" s="941">
        <v>3.3479999999999999</v>
      </c>
      <c r="BS1541" s="941">
        <v>3.3479999999999999</v>
      </c>
      <c r="BT1541" s="941">
        <v>3.3479999999999999</v>
      </c>
      <c r="BU1541" s="941">
        <v>3.3479999999999999</v>
      </c>
      <c r="BV1541" s="941">
        <v>3.948</v>
      </c>
      <c r="BW1541" s="941">
        <v>3.948</v>
      </c>
      <c r="BX1541" s="941">
        <v>3.948</v>
      </c>
      <c r="BY1541" s="941">
        <v>4.548</v>
      </c>
      <c r="BZ1541" s="941">
        <v>4.548</v>
      </c>
      <c r="CA1541" s="941">
        <v>4.548</v>
      </c>
      <c r="CB1541" s="941">
        <v>4.548</v>
      </c>
      <c r="CC1541" s="941">
        <v>3.948</v>
      </c>
      <c r="CD1541" s="941">
        <v>3.2166399999999999</v>
      </c>
      <c r="CE1541" s="941">
        <v>3.948</v>
      </c>
      <c r="CF1541" s="941">
        <v>2.9166400000000001</v>
      </c>
      <c r="CG1541" s="941">
        <v>3.948</v>
      </c>
      <c r="CH1541" s="941">
        <v>3.2166399999999999</v>
      </c>
      <c r="CI1541" s="941">
        <v>3.948</v>
      </c>
      <c r="CJ1541" s="941">
        <v>3.948</v>
      </c>
      <c r="CK1541" s="147">
        <v>0</v>
      </c>
      <c r="CL1541" s="147">
        <v>0</v>
      </c>
      <c r="CM1541" s="147">
        <v>0</v>
      </c>
      <c r="CN1541" s="147">
        <v>0</v>
      </c>
      <c r="CO1541" s="147">
        <v>0</v>
      </c>
      <c r="CP1541" s="147">
        <v>0</v>
      </c>
    </row>
    <row r="1542" spans="3:94">
      <c r="C1542" s="611"/>
      <c r="D1542" s="940" t="s">
        <v>5790</v>
      </c>
      <c r="E1542" s="941">
        <v>10.584</v>
      </c>
      <c r="F1542" s="941">
        <v>10.584</v>
      </c>
      <c r="G1542" s="941">
        <v>10.584</v>
      </c>
      <c r="H1542" s="941">
        <v>10.584</v>
      </c>
      <c r="I1542" s="941">
        <v>10.584</v>
      </c>
      <c r="J1542" s="941">
        <v>10.584</v>
      </c>
      <c r="K1542" s="941">
        <v>10.584</v>
      </c>
      <c r="L1542" s="941">
        <v>10.584</v>
      </c>
      <c r="M1542" s="941">
        <v>10.584</v>
      </c>
      <c r="N1542" s="941">
        <v>10.584</v>
      </c>
      <c r="O1542" s="941">
        <v>23.184000000000001</v>
      </c>
      <c r="P1542" s="941">
        <v>23.184000000000001</v>
      </c>
      <c r="Q1542" s="941">
        <v>23.184000000000001</v>
      </c>
      <c r="R1542" s="941">
        <v>18.983999999999998</v>
      </c>
      <c r="S1542" s="941">
        <v>18.983999999999998</v>
      </c>
      <c r="T1542" s="941">
        <v>18.983999999999998</v>
      </c>
      <c r="U1542" s="941">
        <v>10.584</v>
      </c>
      <c r="V1542" s="941">
        <v>23.184000000000001</v>
      </c>
      <c r="W1542" s="941">
        <v>0</v>
      </c>
      <c r="X1542" s="941">
        <v>23.184000000000001</v>
      </c>
      <c r="Y1542" s="941">
        <v>23.184000000000001</v>
      </c>
      <c r="Z1542" s="941">
        <v>23.184000000000001</v>
      </c>
      <c r="AA1542" s="941">
        <v>0</v>
      </c>
      <c r="AB1542" s="941">
        <v>23.184000000000001</v>
      </c>
      <c r="AC1542" s="941">
        <v>23.184000000000001</v>
      </c>
      <c r="AD1542" s="147">
        <v>0</v>
      </c>
      <c r="AE1542" s="147">
        <v>0</v>
      </c>
      <c r="AF1542" s="147">
        <v>0</v>
      </c>
      <c r="AG1542" s="147">
        <v>0</v>
      </c>
      <c r="AH1542" s="147">
        <v>0</v>
      </c>
      <c r="AI1542" s="147">
        <v>0</v>
      </c>
      <c r="AK1542" s="610">
        <v>15.875999999999999</v>
      </c>
      <c r="AL1542" s="610">
        <v>15.875999999999999</v>
      </c>
      <c r="AM1542" s="610">
        <v>15.875999999999999</v>
      </c>
      <c r="AN1542" s="610">
        <v>15.875999999999999</v>
      </c>
      <c r="AO1542" s="610">
        <v>15.875999999999999</v>
      </c>
      <c r="AP1542" s="610">
        <v>15.875999999999999</v>
      </c>
      <c r="AQ1542" s="610">
        <v>15.875999999999999</v>
      </c>
      <c r="AR1542" s="610">
        <v>15.875999999999999</v>
      </c>
      <c r="AS1542" s="610">
        <v>15.875999999999999</v>
      </c>
      <c r="AT1542" s="610">
        <v>15.875999999999999</v>
      </c>
      <c r="AU1542" s="610">
        <v>34.776000000000003</v>
      </c>
      <c r="AV1542" s="610">
        <v>34.776000000000003</v>
      </c>
      <c r="AW1542" s="610">
        <v>34.776000000000003</v>
      </c>
      <c r="AX1542" s="610">
        <v>28.475999999999999</v>
      </c>
      <c r="AY1542" s="610">
        <v>28.475999999999999</v>
      </c>
      <c r="AZ1542" s="610">
        <v>28.475999999999999</v>
      </c>
      <c r="BA1542" s="610">
        <v>15.875999999999999</v>
      </c>
      <c r="BB1542" s="610">
        <v>34.776000000000003</v>
      </c>
      <c r="BC1542" s="610">
        <v>0</v>
      </c>
      <c r="BD1542" s="610">
        <v>34.776000000000003</v>
      </c>
      <c r="BE1542" s="610">
        <v>34.776000000000003</v>
      </c>
      <c r="BF1542" s="610">
        <v>34.776000000000003</v>
      </c>
      <c r="BG1542" s="610">
        <v>0</v>
      </c>
      <c r="BH1542" s="610">
        <v>34.776000000000003</v>
      </c>
      <c r="BI1542" s="610">
        <v>34.776000000000003</v>
      </c>
      <c r="BK1542" s="940" t="s">
        <v>5789</v>
      </c>
      <c r="BL1542" s="941">
        <v>2.4279999999999999</v>
      </c>
      <c r="BM1542" s="941">
        <v>2.4279999999999999</v>
      </c>
      <c r="BN1542" s="941">
        <v>2.4279999999999999</v>
      </c>
      <c r="BO1542" s="941">
        <v>2.4279999999999999</v>
      </c>
      <c r="BP1542" s="941">
        <v>2.4279999999999999</v>
      </c>
      <c r="BQ1542" s="941">
        <v>2.4279999999999999</v>
      </c>
      <c r="BR1542" s="941">
        <v>2.4279999999999999</v>
      </c>
      <c r="BS1542" s="941">
        <v>2.4279999999999999</v>
      </c>
      <c r="BT1542" s="941">
        <v>2.4279999999999999</v>
      </c>
      <c r="BU1542" s="941">
        <v>2.4279999999999999</v>
      </c>
      <c r="BV1542" s="941">
        <v>4.2279999999999998</v>
      </c>
      <c r="BW1542" s="941">
        <v>4.2279999999999998</v>
      </c>
      <c r="BX1542" s="941">
        <v>4.2279999999999998</v>
      </c>
      <c r="BY1542" s="941">
        <v>3.6280000000000001</v>
      </c>
      <c r="BZ1542" s="941">
        <v>3.6280000000000001</v>
      </c>
      <c r="CA1542" s="941">
        <v>3.6280000000000001</v>
      </c>
      <c r="CB1542" s="941">
        <v>2.4279999999999999</v>
      </c>
      <c r="CC1542" s="941">
        <v>4.2279999999999998</v>
      </c>
      <c r="CD1542" s="941">
        <v>2.29888</v>
      </c>
      <c r="CE1542" s="941">
        <v>4.2279999999999998</v>
      </c>
      <c r="CF1542" s="941">
        <v>1.9988799999999998</v>
      </c>
      <c r="CG1542" s="941">
        <v>4.2279999999999998</v>
      </c>
      <c r="CH1542" s="941">
        <v>2.2988799999999996</v>
      </c>
      <c r="CI1542" s="941">
        <v>4.2279999999999998</v>
      </c>
      <c r="CJ1542" s="941">
        <v>4.2279999999999998</v>
      </c>
      <c r="CK1542" s="147">
        <v>0</v>
      </c>
      <c r="CL1542" s="147">
        <v>0</v>
      </c>
      <c r="CM1542" s="147">
        <v>0</v>
      </c>
      <c r="CN1542" s="147">
        <v>0</v>
      </c>
      <c r="CO1542" s="147">
        <v>0</v>
      </c>
      <c r="CP1542" s="147">
        <v>0</v>
      </c>
    </row>
    <row r="1543" spans="3:94">
      <c r="C1543" s="611"/>
      <c r="D1543" s="610" t="s">
        <v>10600</v>
      </c>
      <c r="E1543" s="610"/>
      <c r="F1543" s="610"/>
      <c r="G1543" s="610"/>
      <c r="H1543" s="610"/>
      <c r="I1543" s="610"/>
      <c r="J1543" s="610"/>
      <c r="K1543" s="610"/>
      <c r="L1543" s="610"/>
      <c r="M1543" s="610"/>
      <c r="N1543" s="610"/>
      <c r="O1543" s="610"/>
      <c r="P1543" s="610"/>
      <c r="Q1543" s="610"/>
      <c r="R1543" s="610"/>
      <c r="S1543" s="610"/>
      <c r="T1543" s="610"/>
      <c r="U1543" s="610"/>
      <c r="V1543" s="610"/>
      <c r="W1543" s="610"/>
      <c r="X1543" s="610"/>
      <c r="Y1543" s="610"/>
      <c r="Z1543" s="610"/>
      <c r="AA1543" s="610"/>
      <c r="AB1543" s="610"/>
      <c r="AC1543" s="610"/>
      <c r="AD1543" s="610"/>
      <c r="AE1543" s="610"/>
      <c r="AF1543" s="610"/>
      <c r="AG1543" s="610"/>
      <c r="AH1543" s="610"/>
      <c r="AI1543" s="610"/>
      <c r="AK1543" s="610"/>
      <c r="AL1543" s="610"/>
      <c r="AM1543" s="610"/>
      <c r="AN1543" s="610"/>
      <c r="AO1543" s="610"/>
      <c r="AP1543" s="610"/>
      <c r="AQ1543" s="610"/>
      <c r="AR1543" s="610"/>
      <c r="AS1543" s="610"/>
      <c r="AT1543" s="610"/>
      <c r="AU1543" s="610"/>
      <c r="AV1543" s="610"/>
      <c r="AW1543" s="610"/>
      <c r="AX1543" s="610"/>
      <c r="AY1543" s="610"/>
      <c r="AZ1543" s="610"/>
      <c r="BA1543" s="610"/>
      <c r="BB1543" s="610"/>
      <c r="BC1543" s="610"/>
      <c r="BD1543" s="610"/>
      <c r="BE1543" s="610"/>
      <c r="BF1543" s="610"/>
      <c r="BG1543" s="610"/>
      <c r="BH1543" s="610"/>
      <c r="BI1543" s="610"/>
      <c r="BK1543" s="940" t="s">
        <v>5790</v>
      </c>
      <c r="BL1543" s="941">
        <v>1.512</v>
      </c>
      <c r="BM1543" s="941">
        <v>1.512</v>
      </c>
      <c r="BN1543" s="941">
        <v>1.512</v>
      </c>
      <c r="BO1543" s="941">
        <v>1.512</v>
      </c>
      <c r="BP1543" s="941">
        <v>1.512</v>
      </c>
      <c r="BQ1543" s="941">
        <v>1.512</v>
      </c>
      <c r="BR1543" s="941">
        <v>1.512</v>
      </c>
      <c r="BS1543" s="941">
        <v>1.512</v>
      </c>
      <c r="BT1543" s="941">
        <v>1.512</v>
      </c>
      <c r="BU1543" s="941">
        <v>1.512</v>
      </c>
      <c r="BV1543" s="941">
        <v>3.3120000000000003</v>
      </c>
      <c r="BW1543" s="941">
        <v>3.3120000000000003</v>
      </c>
      <c r="BX1543" s="941">
        <v>3.3120000000000003</v>
      </c>
      <c r="BY1543" s="941">
        <v>2.7119999999999997</v>
      </c>
      <c r="BZ1543" s="941">
        <v>2.7119999999999997</v>
      </c>
      <c r="CA1543" s="941">
        <v>2.7119999999999997</v>
      </c>
      <c r="CB1543" s="941">
        <v>1.512</v>
      </c>
      <c r="CC1543" s="941">
        <v>3.3120000000000003</v>
      </c>
      <c r="CD1543" s="941">
        <v>0</v>
      </c>
      <c r="CE1543" s="941">
        <v>3.3120000000000003</v>
      </c>
      <c r="CF1543" s="941">
        <v>3.3120000000000003</v>
      </c>
      <c r="CG1543" s="941">
        <v>3.3120000000000003</v>
      </c>
      <c r="CH1543" s="941">
        <v>0</v>
      </c>
      <c r="CI1543" s="941">
        <v>3.3120000000000003</v>
      </c>
      <c r="CJ1543" s="941">
        <v>3.3120000000000003</v>
      </c>
      <c r="CK1543" s="147">
        <v>0</v>
      </c>
      <c r="CL1543" s="147">
        <v>0</v>
      </c>
      <c r="CM1543" s="147">
        <v>0</v>
      </c>
      <c r="CN1543" s="147">
        <v>0</v>
      </c>
      <c r="CO1543" s="147">
        <v>0</v>
      </c>
      <c r="CP1543" s="147">
        <v>0</v>
      </c>
    </row>
    <row r="1544" spans="3:94">
      <c r="AK1544" s="508"/>
      <c r="AL1544" s="508"/>
      <c r="AM1544" s="508"/>
      <c r="AN1544" s="508"/>
      <c r="AO1544" s="508"/>
      <c r="AP1544" s="508"/>
      <c r="AQ1544" s="508"/>
      <c r="AR1544" s="508"/>
      <c r="AS1544" s="508"/>
      <c r="AT1544" s="508"/>
      <c r="AU1544" s="508"/>
      <c r="AV1544" s="508"/>
      <c r="AW1544" s="508"/>
      <c r="AX1544" s="508"/>
      <c r="AY1544" s="508"/>
      <c r="AZ1544" s="508"/>
      <c r="BA1544" s="508"/>
      <c r="BB1544" s="508"/>
      <c r="BC1544" s="508"/>
      <c r="BD1544" s="508"/>
      <c r="BE1544" s="508"/>
      <c r="BF1544" s="508"/>
      <c r="BG1544" s="508"/>
      <c r="BH1544" s="508"/>
      <c r="BI1544" s="508"/>
      <c r="BK1544" s="610" t="s">
        <v>10600</v>
      </c>
      <c r="BL1544" s="610"/>
      <c r="BM1544" s="610"/>
      <c r="BN1544" s="610"/>
      <c r="BO1544" s="610"/>
      <c r="BP1544" s="610"/>
      <c r="BQ1544" s="610"/>
      <c r="BR1544" s="610"/>
      <c r="BS1544" s="610"/>
      <c r="BT1544" s="610"/>
      <c r="BU1544" s="610"/>
      <c r="BV1544" s="610"/>
      <c r="BW1544" s="610"/>
      <c r="BX1544" s="610"/>
      <c r="BY1544" s="610"/>
      <c r="BZ1544" s="610"/>
      <c r="CA1544" s="610"/>
      <c r="CB1544" s="610"/>
      <c r="CC1544" s="610"/>
      <c r="CD1544" s="610"/>
      <c r="CE1544" s="610"/>
      <c r="CF1544" s="610"/>
      <c r="CG1544" s="610"/>
      <c r="CH1544" s="610"/>
      <c r="CI1544" s="610"/>
      <c r="CJ1544" s="610"/>
      <c r="CK1544" s="610"/>
      <c r="CL1544" s="610"/>
      <c r="CM1544" s="610"/>
      <c r="CN1544" s="610"/>
      <c r="CO1544" s="610"/>
      <c r="CP1544" s="610"/>
    </row>
    <row r="1545" spans="3:94">
      <c r="C1545" s="88" t="s">
        <v>4353</v>
      </c>
      <c r="D1545" s="610"/>
      <c r="E1545" s="804" t="s">
        <v>352</v>
      </c>
      <c r="F1545" s="804" t="s">
        <v>351</v>
      </c>
      <c r="G1545" s="804" t="s">
        <v>353</v>
      </c>
      <c r="H1545" s="804" t="s">
        <v>584</v>
      </c>
      <c r="I1545" s="804" t="s">
        <v>2107</v>
      </c>
      <c r="J1545" s="804" t="s">
        <v>2108</v>
      </c>
      <c r="K1545" s="804" t="s">
        <v>354</v>
      </c>
      <c r="L1545" s="804" t="s">
        <v>355</v>
      </c>
      <c r="M1545" s="804" t="s">
        <v>3765</v>
      </c>
      <c r="N1545" s="804" t="s">
        <v>3766</v>
      </c>
      <c r="O1545" s="804" t="s">
        <v>4417</v>
      </c>
      <c r="P1545" s="804" t="s">
        <v>4418</v>
      </c>
      <c r="Q1545" s="804" t="s">
        <v>4419</v>
      </c>
      <c r="R1545" s="804" t="s">
        <v>4420</v>
      </c>
      <c r="S1545" s="804" t="s">
        <v>4421</v>
      </c>
      <c r="T1545" s="804" t="s">
        <v>4422</v>
      </c>
      <c r="U1545" s="804" t="s">
        <v>4423</v>
      </c>
      <c r="V1545" s="804" t="s">
        <v>4424</v>
      </c>
      <c r="W1545" s="804" t="s">
        <v>4425</v>
      </c>
      <c r="X1545" s="804" t="s">
        <v>4426</v>
      </c>
      <c r="Y1545" s="804" t="s">
        <v>8369</v>
      </c>
      <c r="Z1545" s="804" t="s">
        <v>4427</v>
      </c>
      <c r="AA1545" s="804" t="s">
        <v>8368</v>
      </c>
      <c r="AB1545" s="804" t="s">
        <v>4428</v>
      </c>
      <c r="AC1545" s="804" t="s">
        <v>4429</v>
      </c>
      <c r="AD1545" s="804" t="s">
        <v>5661</v>
      </c>
      <c r="AE1545" s="804" t="s">
        <v>5661</v>
      </c>
      <c r="AF1545" s="804" t="s">
        <v>5661</v>
      </c>
      <c r="AG1545" s="804" t="s">
        <v>5661</v>
      </c>
      <c r="AH1545" s="804" t="s">
        <v>5661</v>
      </c>
      <c r="AI1545" s="804" t="s">
        <v>350</v>
      </c>
      <c r="AK1545" s="508" t="s">
        <v>352</v>
      </c>
      <c r="AL1545" s="508" t="s">
        <v>351</v>
      </c>
      <c r="AM1545" s="508" t="s">
        <v>353</v>
      </c>
      <c r="AN1545" s="508" t="s">
        <v>584</v>
      </c>
      <c r="AO1545" s="508" t="s">
        <v>2107</v>
      </c>
      <c r="AP1545" s="508" t="s">
        <v>2108</v>
      </c>
      <c r="AQ1545" s="508" t="s">
        <v>354</v>
      </c>
      <c r="AR1545" s="508" t="s">
        <v>355</v>
      </c>
      <c r="AS1545" s="508" t="s">
        <v>3765</v>
      </c>
      <c r="AT1545" s="508" t="s">
        <v>3766</v>
      </c>
      <c r="AU1545" s="508" t="s">
        <v>4417</v>
      </c>
      <c r="AV1545" s="508" t="s">
        <v>4418</v>
      </c>
      <c r="AW1545" s="508" t="s">
        <v>4419</v>
      </c>
      <c r="AX1545" s="508" t="s">
        <v>4420</v>
      </c>
      <c r="AY1545" s="508" t="s">
        <v>4421</v>
      </c>
      <c r="AZ1545" s="508" t="s">
        <v>4422</v>
      </c>
      <c r="BA1545" s="508" t="s">
        <v>4423</v>
      </c>
      <c r="BB1545" s="508" t="s">
        <v>4424</v>
      </c>
      <c r="BC1545" s="508" t="s">
        <v>4425</v>
      </c>
      <c r="BD1545" s="508" t="s">
        <v>4426</v>
      </c>
      <c r="BE1545" s="508" t="s">
        <v>8369</v>
      </c>
      <c r="BF1545" s="508" t="s">
        <v>4427</v>
      </c>
      <c r="BG1545" s="508" t="s">
        <v>8368</v>
      </c>
      <c r="BH1545" s="508" t="s">
        <v>4428</v>
      </c>
      <c r="BI1545" s="508" t="s">
        <v>4429</v>
      </c>
      <c r="BK1545" s="610"/>
      <c r="BL1545" s="610"/>
      <c r="BM1545" s="610"/>
      <c r="BN1545" s="610"/>
      <c r="BO1545" s="610"/>
      <c r="BP1545" s="610"/>
      <c r="BQ1545" s="610"/>
      <c r="BR1545" s="610"/>
      <c r="BS1545" s="610"/>
      <c r="BT1545" s="610"/>
      <c r="BU1545" s="610"/>
      <c r="BV1545" s="610"/>
      <c r="BW1545" s="610"/>
      <c r="BX1545" s="610"/>
      <c r="BY1545" s="610"/>
      <c r="BZ1545" s="610"/>
      <c r="CA1545" s="610"/>
      <c r="CB1545" s="610"/>
      <c r="CC1545" s="610"/>
      <c r="CD1545" s="610"/>
      <c r="CE1545" s="610"/>
      <c r="CF1545" s="610"/>
      <c r="CG1545" s="610"/>
      <c r="CH1545" s="610"/>
      <c r="CI1545" s="610"/>
      <c r="CJ1545" s="610"/>
      <c r="CK1545" s="610"/>
      <c r="CL1545" s="610"/>
      <c r="CM1545" s="610"/>
      <c r="CN1545" s="610"/>
      <c r="CO1545" s="610"/>
      <c r="CP1545" s="610"/>
    </row>
    <row r="1546" spans="3:94" s="610" customFormat="1">
      <c r="C1546" s="88"/>
      <c r="D1546" s="145" t="s">
        <v>5788</v>
      </c>
      <c r="E1546" s="804">
        <v>0</v>
      </c>
      <c r="F1546" s="804">
        <v>0</v>
      </c>
      <c r="G1546" s="804">
        <v>0</v>
      </c>
      <c r="H1546" s="804">
        <v>0</v>
      </c>
      <c r="I1546" s="804">
        <v>0</v>
      </c>
      <c r="J1546" s="804">
        <v>0</v>
      </c>
      <c r="K1546" s="804">
        <v>0</v>
      </c>
      <c r="L1546" s="804">
        <v>0</v>
      </c>
      <c r="M1546" s="804">
        <v>0</v>
      </c>
      <c r="N1546" s="804">
        <v>0</v>
      </c>
      <c r="O1546" s="804">
        <v>0</v>
      </c>
      <c r="P1546" s="804">
        <v>0</v>
      </c>
      <c r="Q1546" s="804">
        <v>0</v>
      </c>
      <c r="R1546" s="804">
        <v>0</v>
      </c>
      <c r="S1546" s="804">
        <v>0</v>
      </c>
      <c r="T1546" s="804">
        <v>0</v>
      </c>
      <c r="U1546" s="804">
        <v>0</v>
      </c>
      <c r="V1546" s="804">
        <v>0</v>
      </c>
      <c r="W1546" s="804">
        <v>0</v>
      </c>
      <c r="X1546" s="804">
        <v>0</v>
      </c>
      <c r="Y1546" s="804">
        <v>0</v>
      </c>
      <c r="Z1546" s="804">
        <v>0</v>
      </c>
      <c r="AA1546" s="804">
        <v>0</v>
      </c>
      <c r="AB1546" s="804">
        <v>0</v>
      </c>
      <c r="AC1546" s="804">
        <v>0</v>
      </c>
      <c r="AD1546" s="804">
        <v>0</v>
      </c>
      <c r="AE1546" s="804">
        <v>0</v>
      </c>
      <c r="AF1546" s="804">
        <v>0</v>
      </c>
      <c r="AG1546" s="804">
        <v>0</v>
      </c>
      <c r="AH1546" s="804">
        <v>0</v>
      </c>
      <c r="AI1546" s="804">
        <v>0</v>
      </c>
      <c r="AK1546" s="508">
        <v>0</v>
      </c>
      <c r="AL1546" s="508">
        <v>0</v>
      </c>
      <c r="AM1546" s="508">
        <v>0</v>
      </c>
      <c r="AN1546" s="508">
        <v>0</v>
      </c>
      <c r="AO1546" s="508">
        <v>0</v>
      </c>
      <c r="AP1546" s="508">
        <v>0</v>
      </c>
      <c r="AQ1546" s="508">
        <v>0</v>
      </c>
      <c r="AR1546" s="508">
        <v>0</v>
      </c>
      <c r="AS1546" s="508">
        <v>0</v>
      </c>
      <c r="AT1546" s="508">
        <v>0</v>
      </c>
      <c r="AU1546" s="508">
        <v>0</v>
      </c>
      <c r="AV1546" s="508">
        <v>0</v>
      </c>
      <c r="AW1546" s="508">
        <v>0</v>
      </c>
      <c r="AX1546" s="508">
        <v>0</v>
      </c>
      <c r="AY1546" s="508">
        <v>0</v>
      </c>
      <c r="AZ1546" s="508">
        <v>0</v>
      </c>
      <c r="BA1546" s="508">
        <v>0</v>
      </c>
      <c r="BB1546" s="508">
        <v>0</v>
      </c>
      <c r="BC1546" s="508">
        <v>0</v>
      </c>
      <c r="BD1546" s="508">
        <v>0</v>
      </c>
      <c r="BE1546" s="508">
        <v>0</v>
      </c>
      <c r="BF1546" s="508">
        <v>0</v>
      </c>
      <c r="BG1546" s="508">
        <v>0</v>
      </c>
      <c r="BH1546" s="508">
        <v>0</v>
      </c>
      <c r="BI1546" s="508">
        <v>0</v>
      </c>
      <c r="BL1546" s="804" t="s">
        <v>352</v>
      </c>
      <c r="BM1546" s="804" t="s">
        <v>351</v>
      </c>
      <c r="BN1546" s="804" t="s">
        <v>353</v>
      </c>
      <c r="BO1546" s="804" t="s">
        <v>584</v>
      </c>
      <c r="BP1546" s="804" t="s">
        <v>2107</v>
      </c>
      <c r="BQ1546" s="804" t="s">
        <v>2108</v>
      </c>
      <c r="BR1546" s="804" t="s">
        <v>354</v>
      </c>
      <c r="BS1546" s="804" t="s">
        <v>355</v>
      </c>
      <c r="BT1546" s="804" t="s">
        <v>3765</v>
      </c>
      <c r="BU1546" s="804" t="s">
        <v>3766</v>
      </c>
      <c r="BV1546" s="804" t="s">
        <v>4417</v>
      </c>
      <c r="BW1546" s="804" t="s">
        <v>4418</v>
      </c>
      <c r="BX1546" s="804" t="s">
        <v>4419</v>
      </c>
      <c r="BY1546" s="804" t="s">
        <v>4420</v>
      </c>
      <c r="BZ1546" s="804" t="s">
        <v>4421</v>
      </c>
      <c r="CA1546" s="804" t="s">
        <v>4422</v>
      </c>
      <c r="CB1546" s="804" t="s">
        <v>4423</v>
      </c>
      <c r="CC1546" s="804" t="s">
        <v>4424</v>
      </c>
      <c r="CD1546" s="804" t="s">
        <v>4425</v>
      </c>
      <c r="CE1546" s="804" t="s">
        <v>4426</v>
      </c>
      <c r="CF1546" s="804" t="s">
        <v>8369</v>
      </c>
      <c r="CG1546" s="804" t="s">
        <v>4427</v>
      </c>
      <c r="CH1546" s="804" t="s">
        <v>8368</v>
      </c>
      <c r="CI1546" s="804" t="s">
        <v>4428</v>
      </c>
      <c r="CJ1546" s="804" t="s">
        <v>4429</v>
      </c>
      <c r="CK1546" s="804" t="s">
        <v>5661</v>
      </c>
      <c r="CL1546" s="804" t="s">
        <v>5661</v>
      </c>
      <c r="CM1546" s="804" t="s">
        <v>5661</v>
      </c>
      <c r="CN1546" s="804" t="s">
        <v>5661</v>
      </c>
      <c r="CO1546" s="804" t="s">
        <v>5661</v>
      </c>
      <c r="CP1546" s="804" t="s">
        <v>350</v>
      </c>
    </row>
    <row r="1547" spans="3:94">
      <c r="C1547" s="611"/>
      <c r="D1547" s="939" t="s">
        <v>9050</v>
      </c>
      <c r="E1547" s="941">
        <v>5.1400000000000006</v>
      </c>
      <c r="F1547" s="941">
        <v>5.1400000000000006</v>
      </c>
      <c r="G1547" s="941">
        <v>5.1400000000000006</v>
      </c>
      <c r="H1547" s="941">
        <v>5.1400000000000006</v>
      </c>
      <c r="I1547" s="941">
        <v>5.1400000000000006</v>
      </c>
      <c r="J1547" s="941">
        <v>5.1400000000000006</v>
      </c>
      <c r="K1547" s="941">
        <v>5.1400000000000006</v>
      </c>
      <c r="L1547" s="941">
        <v>5.1400000000000006</v>
      </c>
      <c r="M1547" s="941">
        <v>5.1400000000000006</v>
      </c>
      <c r="N1547" s="941">
        <v>5.1400000000000006</v>
      </c>
      <c r="O1547" s="941">
        <v>5.1400000000000006</v>
      </c>
      <c r="P1547" s="941">
        <v>5.1400000000000006</v>
      </c>
      <c r="Q1547" s="941">
        <v>5.1400000000000006</v>
      </c>
      <c r="R1547" s="941">
        <v>6.6399999999999988</v>
      </c>
      <c r="S1547" s="941">
        <v>6.6399999999999988</v>
      </c>
      <c r="T1547" s="941">
        <v>6.6399999999999988</v>
      </c>
      <c r="U1547" s="941">
        <v>6.6399999999999988</v>
      </c>
      <c r="V1547" s="941">
        <v>5.1400000000000006</v>
      </c>
      <c r="W1547" s="941">
        <v>6.6399999999999988</v>
      </c>
      <c r="X1547" s="941">
        <v>5.1400000000000006</v>
      </c>
      <c r="Y1547" s="941">
        <v>6.6399999999999988</v>
      </c>
      <c r="Z1547" s="941">
        <v>5.1400000000000006</v>
      </c>
      <c r="AA1547" s="941">
        <v>6.6399999999999988</v>
      </c>
      <c r="AB1547" s="941">
        <v>5.1400000000000006</v>
      </c>
      <c r="AC1547" s="941">
        <v>5.1400000000000006</v>
      </c>
      <c r="AD1547" s="147">
        <v>0</v>
      </c>
      <c r="AE1547" s="147">
        <v>0</v>
      </c>
      <c r="AF1547" s="147">
        <v>0</v>
      </c>
      <c r="AG1547" s="147">
        <v>0</v>
      </c>
      <c r="AH1547" s="147">
        <v>0</v>
      </c>
      <c r="AI1547" s="147">
        <v>0</v>
      </c>
      <c r="AK1547" s="508">
        <v>5.1400000000000006</v>
      </c>
      <c r="AL1547" s="508">
        <v>4.6260000000000003</v>
      </c>
      <c r="AM1547" s="508">
        <v>4.6260000000000003</v>
      </c>
      <c r="AN1547" s="508">
        <v>4.6260000000000003</v>
      </c>
      <c r="AO1547" s="508">
        <v>4.6260000000000003</v>
      </c>
      <c r="AP1547" s="508">
        <v>4.6260000000000003</v>
      </c>
      <c r="AQ1547" s="508">
        <v>4.6260000000000003</v>
      </c>
      <c r="AR1547" s="508">
        <v>4.6260000000000003</v>
      </c>
      <c r="AS1547" s="508">
        <v>4.6260000000000003</v>
      </c>
      <c r="AT1547" s="508">
        <v>4.6260000000000003</v>
      </c>
      <c r="AU1547" s="508">
        <v>4.6260000000000003</v>
      </c>
      <c r="AV1547" s="508">
        <v>4.6260000000000003</v>
      </c>
      <c r="AW1547" s="508">
        <v>4.6260000000000003</v>
      </c>
      <c r="AX1547" s="508">
        <v>5.9759999999999991</v>
      </c>
      <c r="AY1547" s="508">
        <v>5.9759999999999991</v>
      </c>
      <c r="AZ1547" s="508">
        <v>5.9759999999999991</v>
      </c>
      <c r="BA1547" s="508">
        <v>5.9759999999999991</v>
      </c>
      <c r="BB1547" s="508">
        <v>4.6260000000000003</v>
      </c>
      <c r="BC1547" s="508">
        <v>5.9759999999999991</v>
      </c>
      <c r="BD1547" s="508">
        <v>4.6260000000000003</v>
      </c>
      <c r="BE1547" s="508">
        <v>5.9759999999999991</v>
      </c>
      <c r="BF1547" s="508">
        <v>4.6260000000000003</v>
      </c>
      <c r="BG1547" s="508">
        <v>5.9759999999999991</v>
      </c>
      <c r="BH1547" s="508">
        <v>4.6260000000000003</v>
      </c>
      <c r="BI1547" s="508">
        <v>4.6260000000000003</v>
      </c>
      <c r="BK1547" s="145" t="s">
        <v>5788</v>
      </c>
      <c r="BL1547" s="804">
        <v>0</v>
      </c>
      <c r="BM1547" s="804">
        <v>0</v>
      </c>
      <c r="BN1547" s="804">
        <v>0</v>
      </c>
      <c r="BO1547" s="804">
        <v>0</v>
      </c>
      <c r="BP1547" s="804">
        <v>0</v>
      </c>
      <c r="BQ1547" s="804">
        <v>0</v>
      </c>
      <c r="BR1547" s="804">
        <v>0</v>
      </c>
      <c r="BS1547" s="804">
        <v>0</v>
      </c>
      <c r="BT1547" s="804">
        <v>0</v>
      </c>
      <c r="BU1547" s="804">
        <v>0</v>
      </c>
      <c r="BV1547" s="804">
        <v>0</v>
      </c>
      <c r="BW1547" s="804">
        <v>0</v>
      </c>
      <c r="BX1547" s="804">
        <v>0</v>
      </c>
      <c r="BY1547" s="804">
        <v>0</v>
      </c>
      <c r="BZ1547" s="804">
        <v>0</v>
      </c>
      <c r="CA1547" s="804">
        <v>0</v>
      </c>
      <c r="CB1547" s="804">
        <v>0</v>
      </c>
      <c r="CC1547" s="804">
        <v>0</v>
      </c>
      <c r="CD1547" s="804">
        <v>0</v>
      </c>
      <c r="CE1547" s="804">
        <v>0</v>
      </c>
      <c r="CF1547" s="804">
        <v>0</v>
      </c>
      <c r="CG1547" s="804">
        <v>0</v>
      </c>
      <c r="CH1547" s="804">
        <v>0</v>
      </c>
      <c r="CI1547" s="804">
        <v>0</v>
      </c>
      <c r="CJ1547" s="804">
        <v>0</v>
      </c>
      <c r="CK1547" s="804">
        <v>0</v>
      </c>
      <c r="CL1547" s="804">
        <v>0</v>
      </c>
      <c r="CM1547" s="804">
        <v>0</v>
      </c>
      <c r="CN1547" s="804">
        <v>0</v>
      </c>
      <c r="CO1547" s="804">
        <v>0</v>
      </c>
      <c r="CP1547" s="804">
        <v>0</v>
      </c>
    </row>
    <row r="1548" spans="3:94">
      <c r="C1548" s="611"/>
      <c r="D1548" s="939" t="s">
        <v>9052</v>
      </c>
      <c r="E1548" s="941">
        <v>9.8239999999999998</v>
      </c>
      <c r="F1548" s="941">
        <v>9.8239999999999998</v>
      </c>
      <c r="G1548" s="941">
        <v>9.8239999999999998</v>
      </c>
      <c r="H1548" s="941">
        <v>9.8239999999999998</v>
      </c>
      <c r="I1548" s="941">
        <v>9.8239999999999998</v>
      </c>
      <c r="J1548" s="941">
        <v>9.8239999999999998</v>
      </c>
      <c r="K1548" s="941">
        <v>9.8239999999999998</v>
      </c>
      <c r="L1548" s="941">
        <v>9.8239999999999998</v>
      </c>
      <c r="M1548" s="941">
        <v>9.8239999999999998</v>
      </c>
      <c r="N1548" s="941">
        <v>9.8239999999999998</v>
      </c>
      <c r="O1548" s="941">
        <v>12.223999999999998</v>
      </c>
      <c r="P1548" s="941">
        <v>12.223999999999998</v>
      </c>
      <c r="Q1548" s="941">
        <v>12.223999999999998</v>
      </c>
      <c r="R1548" s="941">
        <v>14.624000000000001</v>
      </c>
      <c r="S1548" s="941">
        <v>14.624000000000001</v>
      </c>
      <c r="T1548" s="941">
        <v>14.624000000000001</v>
      </c>
      <c r="U1548" s="941">
        <v>14.624000000000001</v>
      </c>
      <c r="V1548" s="941">
        <v>12.223999999999998</v>
      </c>
      <c r="W1548" s="941">
        <v>14.624000000000001</v>
      </c>
      <c r="X1548" s="941">
        <v>12.223999999999998</v>
      </c>
      <c r="Y1548" s="941">
        <v>14.624000000000001</v>
      </c>
      <c r="Z1548" s="941">
        <v>12.223999999999998</v>
      </c>
      <c r="AA1548" s="941">
        <v>14.624000000000001</v>
      </c>
      <c r="AB1548" s="941">
        <v>12.223999999999998</v>
      </c>
      <c r="AC1548" s="941">
        <v>12.223999999999998</v>
      </c>
      <c r="AD1548" s="147">
        <v>0</v>
      </c>
      <c r="AE1548" s="147">
        <v>0</v>
      </c>
      <c r="AF1548" s="147">
        <v>0</v>
      </c>
      <c r="AG1548" s="147">
        <v>0</v>
      </c>
      <c r="AH1548" s="147">
        <v>0</v>
      </c>
      <c r="AI1548" s="147">
        <v>0</v>
      </c>
      <c r="AK1548" s="610">
        <v>11.7888</v>
      </c>
      <c r="AL1548" s="610">
        <v>11.7888</v>
      </c>
      <c r="AM1548" s="610">
        <v>11.7888</v>
      </c>
      <c r="AN1548" s="610">
        <v>11.7888</v>
      </c>
      <c r="AO1548" s="610">
        <v>11.7888</v>
      </c>
      <c r="AP1548" s="610">
        <v>11.7888</v>
      </c>
      <c r="AQ1548" s="610">
        <v>11.7888</v>
      </c>
      <c r="AR1548" s="610">
        <v>11.7888</v>
      </c>
      <c r="AS1548" s="610">
        <v>11.7888</v>
      </c>
      <c r="AT1548" s="610">
        <v>11.7888</v>
      </c>
      <c r="AU1548" s="610">
        <v>14.668799999999997</v>
      </c>
      <c r="AV1548" s="610">
        <v>14.668799999999997</v>
      </c>
      <c r="AW1548" s="610">
        <v>14.668799999999997</v>
      </c>
      <c r="AX1548" s="610">
        <v>17.5488</v>
      </c>
      <c r="AY1548" s="610">
        <v>17.5488</v>
      </c>
      <c r="AZ1548" s="610">
        <v>17.5488</v>
      </c>
      <c r="BA1548" s="610">
        <v>17.5488</v>
      </c>
      <c r="BB1548" s="610">
        <v>14.668799999999997</v>
      </c>
      <c r="BC1548" s="610">
        <v>17.5488</v>
      </c>
      <c r="BD1548" s="610">
        <v>14.668799999999997</v>
      </c>
      <c r="BE1548" s="610">
        <v>17.5488</v>
      </c>
      <c r="BF1548" s="610">
        <v>14.668799999999997</v>
      </c>
      <c r="BG1548" s="610">
        <v>17.5488</v>
      </c>
      <c r="BH1548" s="610">
        <v>14.668799999999997</v>
      </c>
      <c r="BI1548" s="610">
        <v>14.668799999999997</v>
      </c>
      <c r="BK1548" s="939" t="s">
        <v>9050</v>
      </c>
      <c r="BL1548" s="941">
        <v>2.056</v>
      </c>
      <c r="BM1548" s="941">
        <v>2.056</v>
      </c>
      <c r="BN1548" s="941">
        <v>2.056</v>
      </c>
      <c r="BO1548" s="941">
        <v>2.056</v>
      </c>
      <c r="BP1548" s="941">
        <v>2.056</v>
      </c>
      <c r="BQ1548" s="941">
        <v>2.056</v>
      </c>
      <c r="BR1548" s="941">
        <v>2.056</v>
      </c>
      <c r="BS1548" s="941">
        <v>2.056</v>
      </c>
      <c r="BT1548" s="941">
        <v>2.056</v>
      </c>
      <c r="BU1548" s="941">
        <v>2.056</v>
      </c>
      <c r="BV1548" s="941">
        <v>2.056</v>
      </c>
      <c r="BW1548" s="941">
        <v>2.056</v>
      </c>
      <c r="BX1548" s="941">
        <v>2.056</v>
      </c>
      <c r="BY1548" s="941">
        <v>2.6559999999999997</v>
      </c>
      <c r="BZ1548" s="941">
        <v>2.6559999999999997</v>
      </c>
      <c r="CA1548" s="941">
        <v>2.6559999999999997</v>
      </c>
      <c r="CB1548" s="941">
        <v>2.6559999999999997</v>
      </c>
      <c r="CC1548" s="941">
        <v>2.056</v>
      </c>
      <c r="CD1548" s="941">
        <v>2.6559999999999997</v>
      </c>
      <c r="CE1548" s="941">
        <v>2.056</v>
      </c>
      <c r="CF1548" s="941">
        <v>2.6559999999999997</v>
      </c>
      <c r="CG1548" s="941">
        <v>2.056</v>
      </c>
      <c r="CH1548" s="941">
        <v>2.6559999999999997</v>
      </c>
      <c r="CI1548" s="941">
        <v>2.056</v>
      </c>
      <c r="CJ1548" s="941">
        <v>2.056</v>
      </c>
      <c r="CK1548" s="147">
        <v>0</v>
      </c>
      <c r="CL1548" s="147">
        <v>0</v>
      </c>
      <c r="CM1548" s="147">
        <v>0</v>
      </c>
      <c r="CN1548" s="147">
        <v>0</v>
      </c>
      <c r="CO1548" s="147">
        <v>0</v>
      </c>
      <c r="CP1548" s="147">
        <v>0</v>
      </c>
    </row>
    <row r="1549" spans="3:94">
      <c r="C1549" s="611"/>
      <c r="D1549" s="939" t="s">
        <v>9051</v>
      </c>
      <c r="E1549" s="941">
        <v>13.568</v>
      </c>
      <c r="F1549" s="941">
        <v>13.568</v>
      </c>
      <c r="G1549" s="941">
        <v>13.568</v>
      </c>
      <c r="H1549" s="941">
        <v>13.568</v>
      </c>
      <c r="I1549" s="941">
        <v>13.568</v>
      </c>
      <c r="J1549" s="941">
        <v>13.568</v>
      </c>
      <c r="K1549" s="941">
        <v>13.568</v>
      </c>
      <c r="L1549" s="941">
        <v>13.568</v>
      </c>
      <c r="M1549" s="941">
        <v>13.568</v>
      </c>
      <c r="N1549" s="941">
        <v>13.568</v>
      </c>
      <c r="O1549" s="941">
        <v>15.968000000000002</v>
      </c>
      <c r="P1549" s="941">
        <v>15.968000000000002</v>
      </c>
      <c r="Q1549" s="941">
        <v>15.968000000000002</v>
      </c>
      <c r="R1549" s="941">
        <v>18.367999999999999</v>
      </c>
      <c r="S1549" s="941">
        <v>18.367999999999999</v>
      </c>
      <c r="T1549" s="941">
        <v>18.367999999999999</v>
      </c>
      <c r="U1549" s="941">
        <v>18.367999999999999</v>
      </c>
      <c r="V1549" s="941">
        <v>15.968000000000002</v>
      </c>
      <c r="W1549" s="941">
        <v>18.367999999999999</v>
      </c>
      <c r="X1549" s="941">
        <v>15.968000000000002</v>
      </c>
      <c r="Y1549" s="941">
        <v>18.367999999999999</v>
      </c>
      <c r="Z1549" s="941">
        <v>15.968000000000002</v>
      </c>
      <c r="AA1549" s="941">
        <v>18.367999999999999</v>
      </c>
      <c r="AB1549" s="941">
        <v>15.968000000000002</v>
      </c>
      <c r="AC1549" s="941">
        <v>15.968000000000002</v>
      </c>
      <c r="AD1549" s="941">
        <v>0</v>
      </c>
      <c r="AE1549" s="941">
        <v>0</v>
      </c>
      <c r="AF1549" s="941">
        <v>0</v>
      </c>
      <c r="AG1549" s="941">
        <v>0</v>
      </c>
      <c r="AH1549" s="941">
        <v>0</v>
      </c>
      <c r="AI1549" s="941">
        <v>0</v>
      </c>
      <c r="AK1549" s="610">
        <v>20.352</v>
      </c>
      <c r="AL1549" s="610">
        <v>20.352</v>
      </c>
      <c r="AM1549" s="610">
        <v>20.352</v>
      </c>
      <c r="AN1549" s="610">
        <v>20.352</v>
      </c>
      <c r="AO1549" s="610">
        <v>20.352</v>
      </c>
      <c r="AP1549" s="610">
        <v>20.352</v>
      </c>
      <c r="AQ1549" s="610">
        <v>20.352</v>
      </c>
      <c r="AR1549" s="610">
        <v>20.352</v>
      </c>
      <c r="AS1549" s="610">
        <v>20.352</v>
      </c>
      <c r="AT1549" s="610">
        <v>20.352</v>
      </c>
      <c r="AU1549" s="610">
        <v>23.952000000000002</v>
      </c>
      <c r="AV1549" s="610">
        <v>23.952000000000002</v>
      </c>
      <c r="AW1549" s="610">
        <v>23.952000000000002</v>
      </c>
      <c r="AX1549" s="610">
        <v>27.552</v>
      </c>
      <c r="AY1549" s="610">
        <v>27.552</v>
      </c>
      <c r="AZ1549" s="610">
        <v>27.552</v>
      </c>
      <c r="BA1549" s="610">
        <v>27.552</v>
      </c>
      <c r="BB1549" s="610">
        <v>23.952000000000002</v>
      </c>
      <c r="BC1549" s="610">
        <v>27.552</v>
      </c>
      <c r="BD1549" s="610">
        <v>23.952000000000002</v>
      </c>
      <c r="BE1549" s="610">
        <v>27.552</v>
      </c>
      <c r="BF1549" s="610">
        <v>23.952000000000002</v>
      </c>
      <c r="BG1549" s="610">
        <v>27.552</v>
      </c>
      <c r="BH1549" s="610">
        <v>23.952000000000002</v>
      </c>
      <c r="BI1549" s="610">
        <v>23.952000000000002</v>
      </c>
      <c r="BK1549" s="939" t="s">
        <v>9052</v>
      </c>
      <c r="BL1549" s="941">
        <v>2.456</v>
      </c>
      <c r="BM1549" s="941">
        <v>2.456</v>
      </c>
      <c r="BN1549" s="941">
        <v>2.456</v>
      </c>
      <c r="BO1549" s="941">
        <v>2.456</v>
      </c>
      <c r="BP1549" s="941">
        <v>2.456</v>
      </c>
      <c r="BQ1549" s="941">
        <v>2.456</v>
      </c>
      <c r="BR1549" s="941">
        <v>2.456</v>
      </c>
      <c r="BS1549" s="941">
        <v>2.456</v>
      </c>
      <c r="BT1549" s="941">
        <v>2.456</v>
      </c>
      <c r="BU1549" s="941">
        <v>2.456</v>
      </c>
      <c r="BV1549" s="941">
        <v>3.0559999999999996</v>
      </c>
      <c r="BW1549" s="941">
        <v>3.0559999999999996</v>
      </c>
      <c r="BX1549" s="941">
        <v>3.0559999999999996</v>
      </c>
      <c r="BY1549" s="941">
        <v>3.6560000000000001</v>
      </c>
      <c r="BZ1549" s="941">
        <v>3.6560000000000001</v>
      </c>
      <c r="CA1549" s="941">
        <v>3.6560000000000001</v>
      </c>
      <c r="CB1549" s="941">
        <v>3.6560000000000001</v>
      </c>
      <c r="CC1549" s="941">
        <v>3.0559999999999996</v>
      </c>
      <c r="CD1549" s="941">
        <v>3.6560000000000001</v>
      </c>
      <c r="CE1549" s="941">
        <v>3.0559999999999996</v>
      </c>
      <c r="CF1549" s="941">
        <v>3.6560000000000001</v>
      </c>
      <c r="CG1549" s="941">
        <v>3.0559999999999996</v>
      </c>
      <c r="CH1549" s="941">
        <v>3.6560000000000001</v>
      </c>
      <c r="CI1549" s="941">
        <v>3.0559999999999996</v>
      </c>
      <c r="CJ1549" s="941">
        <v>3.0559999999999996</v>
      </c>
      <c r="CK1549" s="147">
        <v>0</v>
      </c>
      <c r="CL1549" s="147">
        <v>0</v>
      </c>
      <c r="CM1549" s="147">
        <v>0</v>
      </c>
      <c r="CN1549" s="147">
        <v>0</v>
      </c>
      <c r="CO1549" s="147">
        <v>0</v>
      </c>
      <c r="CP1549" s="147">
        <v>0</v>
      </c>
    </row>
    <row r="1550" spans="3:94">
      <c r="C1550" s="611"/>
      <c r="D1550" s="940" t="s">
        <v>5789</v>
      </c>
      <c r="E1550" s="941">
        <v>9.3760000000000012</v>
      </c>
      <c r="F1550" s="941">
        <v>9.3760000000000012</v>
      </c>
      <c r="G1550" s="941">
        <v>9.3760000000000012</v>
      </c>
      <c r="H1550" s="941">
        <v>9.3760000000000012</v>
      </c>
      <c r="I1550" s="941">
        <v>9.3760000000000012</v>
      </c>
      <c r="J1550" s="941">
        <v>9.3760000000000012</v>
      </c>
      <c r="K1550" s="941">
        <v>9.3760000000000012</v>
      </c>
      <c r="L1550" s="941">
        <v>9.3760000000000012</v>
      </c>
      <c r="M1550" s="941">
        <v>9.3760000000000012</v>
      </c>
      <c r="N1550" s="941">
        <v>9.3760000000000012</v>
      </c>
      <c r="O1550" s="941">
        <v>16.576000000000001</v>
      </c>
      <c r="P1550" s="941">
        <v>16.576000000000001</v>
      </c>
      <c r="Q1550" s="941">
        <v>16.576000000000001</v>
      </c>
      <c r="R1550" s="941">
        <v>14.176</v>
      </c>
      <c r="S1550" s="941">
        <v>14.176</v>
      </c>
      <c r="T1550" s="941">
        <v>14.176</v>
      </c>
      <c r="U1550" s="941">
        <v>9.3760000000000012</v>
      </c>
      <c r="V1550" s="941">
        <v>16.576000000000001</v>
      </c>
      <c r="W1550" s="941">
        <v>9.3760000000000012</v>
      </c>
      <c r="X1550" s="941">
        <v>16.576000000000001</v>
      </c>
      <c r="Y1550" s="941">
        <v>9.3760000000000012</v>
      </c>
      <c r="Z1550" s="941">
        <v>16.576000000000001</v>
      </c>
      <c r="AA1550" s="941">
        <v>9.3760000000000012</v>
      </c>
      <c r="AB1550" s="941">
        <v>16.576000000000001</v>
      </c>
      <c r="AC1550" s="941">
        <v>16.576000000000001</v>
      </c>
      <c r="AD1550" s="147">
        <v>0</v>
      </c>
      <c r="AE1550" s="147">
        <v>0</v>
      </c>
      <c r="AF1550" s="147">
        <v>0</v>
      </c>
      <c r="AG1550" s="147">
        <v>0</v>
      </c>
      <c r="AH1550" s="147">
        <v>0</v>
      </c>
      <c r="AI1550" s="147">
        <v>0</v>
      </c>
      <c r="AK1550" s="610">
        <v>11.251200000000001</v>
      </c>
      <c r="AL1550" s="610">
        <v>11.251200000000001</v>
      </c>
      <c r="AM1550" s="610">
        <v>11.251200000000001</v>
      </c>
      <c r="AN1550" s="610">
        <v>11.251200000000001</v>
      </c>
      <c r="AO1550" s="610">
        <v>11.251200000000001</v>
      </c>
      <c r="AP1550" s="610">
        <v>11.251200000000001</v>
      </c>
      <c r="AQ1550" s="610">
        <v>11.251200000000001</v>
      </c>
      <c r="AR1550" s="610">
        <v>11.251200000000001</v>
      </c>
      <c r="AS1550" s="610">
        <v>11.251200000000001</v>
      </c>
      <c r="AT1550" s="610">
        <v>11.251200000000001</v>
      </c>
      <c r="AU1550" s="610">
        <v>19.891200000000001</v>
      </c>
      <c r="AV1550" s="610">
        <v>19.891200000000001</v>
      </c>
      <c r="AW1550" s="610">
        <v>19.891200000000001</v>
      </c>
      <c r="AX1550" s="610">
        <v>17.011199999999999</v>
      </c>
      <c r="AY1550" s="610">
        <v>17.011199999999999</v>
      </c>
      <c r="AZ1550" s="610">
        <v>17.011199999999999</v>
      </c>
      <c r="BA1550" s="610">
        <v>11.251200000000001</v>
      </c>
      <c r="BB1550" s="610">
        <v>19.891200000000001</v>
      </c>
      <c r="BC1550" s="610">
        <v>11.251200000000001</v>
      </c>
      <c r="BD1550" s="610">
        <v>19.891200000000001</v>
      </c>
      <c r="BE1550" s="610">
        <v>11.251200000000001</v>
      </c>
      <c r="BF1550" s="610">
        <v>19.891200000000001</v>
      </c>
      <c r="BG1550" s="610">
        <v>11.251200000000001</v>
      </c>
      <c r="BH1550" s="610">
        <v>19.891200000000001</v>
      </c>
      <c r="BI1550" s="610">
        <v>19.891200000000001</v>
      </c>
      <c r="BK1550" s="939" t="s">
        <v>9051</v>
      </c>
      <c r="BL1550" s="941">
        <v>3.3919999999999999</v>
      </c>
      <c r="BM1550" s="941">
        <v>3.3919999999999999</v>
      </c>
      <c r="BN1550" s="941">
        <v>3.3919999999999999</v>
      </c>
      <c r="BO1550" s="941">
        <v>3.3919999999999999</v>
      </c>
      <c r="BP1550" s="941">
        <v>3.3919999999999999</v>
      </c>
      <c r="BQ1550" s="941">
        <v>3.3919999999999999</v>
      </c>
      <c r="BR1550" s="941">
        <v>3.3919999999999999</v>
      </c>
      <c r="BS1550" s="941">
        <v>3.3919999999999999</v>
      </c>
      <c r="BT1550" s="941">
        <v>3.3919999999999999</v>
      </c>
      <c r="BU1550" s="941">
        <v>3.3919999999999999</v>
      </c>
      <c r="BV1550" s="941">
        <v>3.9920000000000004</v>
      </c>
      <c r="BW1550" s="941">
        <v>3.9920000000000004</v>
      </c>
      <c r="BX1550" s="941">
        <v>3.9920000000000004</v>
      </c>
      <c r="BY1550" s="941">
        <v>4.5919999999999996</v>
      </c>
      <c r="BZ1550" s="941">
        <v>4.5919999999999996</v>
      </c>
      <c r="CA1550" s="941">
        <v>4.5919999999999996</v>
      </c>
      <c r="CB1550" s="941">
        <v>4.5919999999999996</v>
      </c>
      <c r="CC1550" s="941">
        <v>3.9920000000000004</v>
      </c>
      <c r="CD1550" s="941">
        <v>4.5919999999999996</v>
      </c>
      <c r="CE1550" s="941">
        <v>3.9920000000000004</v>
      </c>
      <c r="CF1550" s="941">
        <v>4.5919999999999996</v>
      </c>
      <c r="CG1550" s="941">
        <v>3.9920000000000004</v>
      </c>
      <c r="CH1550" s="941">
        <v>4.5919999999999996</v>
      </c>
      <c r="CI1550" s="941">
        <v>3.9920000000000004</v>
      </c>
      <c r="CJ1550" s="941">
        <v>3.9920000000000004</v>
      </c>
      <c r="CK1550" s="147">
        <v>0</v>
      </c>
      <c r="CL1550" s="147">
        <v>0</v>
      </c>
      <c r="CM1550" s="147">
        <v>0</v>
      </c>
      <c r="CN1550" s="147">
        <v>0</v>
      </c>
      <c r="CO1550" s="147">
        <v>0</v>
      </c>
      <c r="CP1550" s="147">
        <v>0</v>
      </c>
    </row>
    <row r="1551" spans="3:94">
      <c r="C1551" s="611"/>
      <c r="D1551" s="940" t="s">
        <v>5790</v>
      </c>
      <c r="E1551" s="941">
        <v>9.8559999999999999</v>
      </c>
      <c r="F1551" s="941">
        <v>9.8559999999999999</v>
      </c>
      <c r="G1551" s="941">
        <v>9.8559999999999999</v>
      </c>
      <c r="H1551" s="941">
        <v>9.8559999999999999</v>
      </c>
      <c r="I1551" s="941">
        <v>9.8559999999999999</v>
      </c>
      <c r="J1551" s="941">
        <v>9.8559999999999999</v>
      </c>
      <c r="K1551" s="941">
        <v>9.8559999999999999</v>
      </c>
      <c r="L1551" s="941">
        <v>9.8559999999999999</v>
      </c>
      <c r="M1551" s="941">
        <v>9.8559999999999999</v>
      </c>
      <c r="N1551" s="941">
        <v>9.8559999999999999</v>
      </c>
      <c r="O1551" s="941">
        <v>22.456</v>
      </c>
      <c r="P1551" s="941">
        <v>22.456</v>
      </c>
      <c r="Q1551" s="941">
        <v>22.456</v>
      </c>
      <c r="R1551" s="941">
        <v>18.255999999999997</v>
      </c>
      <c r="S1551" s="941">
        <v>18.255999999999997</v>
      </c>
      <c r="T1551" s="941">
        <v>18.255999999999997</v>
      </c>
      <c r="U1551" s="941">
        <v>9.8559999999999999</v>
      </c>
      <c r="V1551" s="941">
        <v>22.456</v>
      </c>
      <c r="W1551" s="941">
        <v>9.8559999999999999</v>
      </c>
      <c r="X1551" s="941">
        <v>22.456</v>
      </c>
      <c r="Y1551" s="941">
        <v>9.8559999999999999</v>
      </c>
      <c r="Z1551" s="941">
        <v>22.456</v>
      </c>
      <c r="AA1551" s="941">
        <v>9.8559999999999999</v>
      </c>
      <c r="AB1551" s="941">
        <v>22.456</v>
      </c>
      <c r="AC1551" s="941">
        <v>22.456</v>
      </c>
      <c r="AD1551" s="147">
        <v>0</v>
      </c>
      <c r="AE1551" s="147">
        <v>0</v>
      </c>
      <c r="AF1551" s="147">
        <v>0</v>
      </c>
      <c r="AG1551" s="147">
        <v>0</v>
      </c>
      <c r="AH1551" s="147">
        <v>0</v>
      </c>
      <c r="AI1551" s="147">
        <v>0</v>
      </c>
      <c r="AK1551" s="610">
        <v>14.783999999999999</v>
      </c>
      <c r="AL1551" s="610">
        <v>14.783999999999999</v>
      </c>
      <c r="AM1551" s="610">
        <v>14.783999999999999</v>
      </c>
      <c r="AN1551" s="610">
        <v>14.783999999999999</v>
      </c>
      <c r="AO1551" s="610">
        <v>14.783999999999999</v>
      </c>
      <c r="AP1551" s="610">
        <v>14.783999999999999</v>
      </c>
      <c r="AQ1551" s="610">
        <v>14.783999999999999</v>
      </c>
      <c r="AR1551" s="610">
        <v>14.783999999999999</v>
      </c>
      <c r="AS1551" s="610">
        <v>14.783999999999999</v>
      </c>
      <c r="AT1551" s="610">
        <v>14.783999999999999</v>
      </c>
      <c r="AU1551" s="610">
        <v>33.683999999999997</v>
      </c>
      <c r="AV1551" s="610">
        <v>33.683999999999997</v>
      </c>
      <c r="AW1551" s="610">
        <v>33.683999999999997</v>
      </c>
      <c r="AX1551" s="610">
        <v>27.383999999999993</v>
      </c>
      <c r="AY1551" s="610">
        <v>27.383999999999993</v>
      </c>
      <c r="AZ1551" s="610">
        <v>27.383999999999993</v>
      </c>
      <c r="BA1551" s="610">
        <v>14.783999999999999</v>
      </c>
      <c r="BB1551" s="610">
        <v>33.683999999999997</v>
      </c>
      <c r="BC1551" s="610">
        <v>14.783999999999999</v>
      </c>
      <c r="BD1551" s="610">
        <v>33.683999999999997</v>
      </c>
      <c r="BE1551" s="610">
        <v>14.783999999999999</v>
      </c>
      <c r="BF1551" s="610">
        <v>33.683999999999997</v>
      </c>
      <c r="BG1551" s="610">
        <v>14.783999999999999</v>
      </c>
      <c r="BH1551" s="610">
        <v>33.683999999999997</v>
      </c>
      <c r="BI1551" s="610">
        <v>33.683999999999997</v>
      </c>
      <c r="BK1551" s="940" t="s">
        <v>5789</v>
      </c>
      <c r="BL1551" s="941">
        <v>2.3440000000000003</v>
      </c>
      <c r="BM1551" s="941">
        <v>2.3440000000000003</v>
      </c>
      <c r="BN1551" s="941">
        <v>2.3440000000000003</v>
      </c>
      <c r="BO1551" s="941">
        <v>2.3440000000000003</v>
      </c>
      <c r="BP1551" s="941">
        <v>2.3440000000000003</v>
      </c>
      <c r="BQ1551" s="941">
        <v>2.3440000000000003</v>
      </c>
      <c r="BR1551" s="941">
        <v>2.3440000000000003</v>
      </c>
      <c r="BS1551" s="941">
        <v>2.3440000000000003</v>
      </c>
      <c r="BT1551" s="941">
        <v>2.3440000000000003</v>
      </c>
      <c r="BU1551" s="941">
        <v>2.3440000000000003</v>
      </c>
      <c r="BV1551" s="941">
        <v>4.1440000000000001</v>
      </c>
      <c r="BW1551" s="941">
        <v>4.1440000000000001</v>
      </c>
      <c r="BX1551" s="941">
        <v>4.1440000000000001</v>
      </c>
      <c r="BY1551" s="941">
        <v>3.544</v>
      </c>
      <c r="BZ1551" s="941">
        <v>3.544</v>
      </c>
      <c r="CA1551" s="941">
        <v>3.544</v>
      </c>
      <c r="CB1551" s="941">
        <v>2.3440000000000003</v>
      </c>
      <c r="CC1551" s="941">
        <v>4.1440000000000001</v>
      </c>
      <c r="CD1551" s="941">
        <v>2.3440000000000003</v>
      </c>
      <c r="CE1551" s="941">
        <v>4.1440000000000001</v>
      </c>
      <c r="CF1551" s="941">
        <v>2.3440000000000003</v>
      </c>
      <c r="CG1551" s="941">
        <v>4.1440000000000001</v>
      </c>
      <c r="CH1551" s="941">
        <v>2.3440000000000003</v>
      </c>
      <c r="CI1551" s="941">
        <v>4.1440000000000001</v>
      </c>
      <c r="CJ1551" s="941">
        <v>4.1440000000000001</v>
      </c>
      <c r="CK1551" s="147">
        <v>0</v>
      </c>
      <c r="CL1551" s="147">
        <v>0</v>
      </c>
      <c r="CM1551" s="147">
        <v>0</v>
      </c>
      <c r="CN1551" s="147">
        <v>0</v>
      </c>
      <c r="CO1551" s="147">
        <v>0</v>
      </c>
      <c r="CP1551" s="147">
        <v>0</v>
      </c>
    </row>
    <row r="1552" spans="3:94">
      <c r="C1552" s="611"/>
      <c r="D1552" s="610" t="s">
        <v>10601</v>
      </c>
      <c r="E1552" s="610"/>
      <c r="F1552" s="610"/>
      <c r="G1552" s="610"/>
      <c r="H1552" s="610"/>
      <c r="I1552" s="610"/>
      <c r="J1552" s="610"/>
      <c r="K1552" s="610"/>
      <c r="L1552" s="610"/>
      <c r="M1552" s="610"/>
      <c r="N1552" s="610"/>
      <c r="O1552" s="610"/>
      <c r="P1552" s="610"/>
      <c r="Q1552" s="610"/>
      <c r="R1552" s="610"/>
      <c r="S1552" s="610"/>
      <c r="T1552" s="610"/>
      <c r="U1552" s="610"/>
      <c r="V1552" s="610"/>
      <c r="W1552" s="610"/>
      <c r="X1552" s="610"/>
      <c r="Y1552" s="610"/>
      <c r="Z1552" s="610"/>
      <c r="AA1552" s="610"/>
      <c r="AB1552" s="610"/>
      <c r="AC1552" s="610"/>
      <c r="AD1552" s="610"/>
      <c r="AE1552" s="610"/>
      <c r="AF1552" s="610"/>
      <c r="AG1552" s="610"/>
      <c r="AH1552" s="610"/>
      <c r="AI1552" s="610"/>
      <c r="AK1552" s="610"/>
      <c r="AL1552" s="610"/>
      <c r="AM1552" s="610"/>
      <c r="AN1552" s="610"/>
      <c r="AO1552" s="610"/>
      <c r="AP1552" s="610"/>
      <c r="AQ1552" s="610"/>
      <c r="AR1552" s="610"/>
      <c r="AS1552" s="610"/>
      <c r="AT1552" s="610"/>
      <c r="AU1552" s="610"/>
      <c r="AV1552" s="610"/>
      <c r="AW1552" s="610"/>
      <c r="AX1552" s="610"/>
      <c r="AY1552" s="610"/>
      <c r="AZ1552" s="610"/>
      <c r="BA1552" s="610"/>
      <c r="BB1552" s="610"/>
      <c r="BC1552" s="610"/>
      <c r="BD1552" s="610"/>
      <c r="BE1552" s="610"/>
      <c r="BF1552" s="610"/>
      <c r="BG1552" s="610"/>
      <c r="BH1552" s="610"/>
      <c r="BI1552" s="610"/>
      <c r="BK1552" s="940" t="s">
        <v>5790</v>
      </c>
      <c r="BL1552" s="941">
        <v>1.4079999999999999</v>
      </c>
      <c r="BM1552" s="941">
        <v>1.4079999999999999</v>
      </c>
      <c r="BN1552" s="941">
        <v>1.4079999999999999</v>
      </c>
      <c r="BO1552" s="941">
        <v>1.4079999999999999</v>
      </c>
      <c r="BP1552" s="941">
        <v>1.4079999999999999</v>
      </c>
      <c r="BQ1552" s="941">
        <v>1.4079999999999999</v>
      </c>
      <c r="BR1552" s="941">
        <v>1.4079999999999999</v>
      </c>
      <c r="BS1552" s="941">
        <v>1.4079999999999999</v>
      </c>
      <c r="BT1552" s="941">
        <v>1.4079999999999999</v>
      </c>
      <c r="BU1552" s="941">
        <v>1.4079999999999999</v>
      </c>
      <c r="BV1552" s="941">
        <v>3.2079999999999997</v>
      </c>
      <c r="BW1552" s="941">
        <v>3.2079999999999997</v>
      </c>
      <c r="BX1552" s="941">
        <v>3.2079999999999997</v>
      </c>
      <c r="BY1552" s="941">
        <v>2.6079999999999997</v>
      </c>
      <c r="BZ1552" s="941">
        <v>2.6079999999999997</v>
      </c>
      <c r="CA1552" s="941">
        <v>2.6079999999999997</v>
      </c>
      <c r="CB1552" s="941">
        <v>1.4079999999999999</v>
      </c>
      <c r="CC1552" s="941">
        <v>3.2079999999999997</v>
      </c>
      <c r="CD1552" s="941">
        <v>1.4079999999999999</v>
      </c>
      <c r="CE1552" s="941">
        <v>3.2079999999999997</v>
      </c>
      <c r="CF1552" s="941">
        <v>1.4079999999999999</v>
      </c>
      <c r="CG1552" s="941">
        <v>3.2079999999999997</v>
      </c>
      <c r="CH1552" s="941">
        <v>1.4079999999999999</v>
      </c>
      <c r="CI1552" s="941">
        <v>3.2079999999999997</v>
      </c>
      <c r="CJ1552" s="941">
        <v>3.2079999999999997</v>
      </c>
      <c r="CK1552" s="147">
        <v>0</v>
      </c>
      <c r="CL1552" s="147">
        <v>0</v>
      </c>
      <c r="CM1552" s="147">
        <v>0</v>
      </c>
      <c r="CN1552" s="147">
        <v>0</v>
      </c>
      <c r="CO1552" s="147">
        <v>0</v>
      </c>
      <c r="CP1552" s="147">
        <v>0</v>
      </c>
    </row>
    <row r="1553" spans="3:94">
      <c r="AK1553" s="610"/>
      <c r="AL1553" s="610"/>
      <c r="AM1553" s="610"/>
      <c r="AN1553" s="610"/>
      <c r="AO1553" s="610"/>
      <c r="AP1553" s="610"/>
      <c r="AQ1553" s="610"/>
      <c r="AR1553" s="610"/>
      <c r="AS1553" s="610"/>
      <c r="AT1553" s="610"/>
      <c r="AU1553" s="610"/>
      <c r="AV1553" s="610"/>
      <c r="AW1553" s="610"/>
      <c r="AX1553" s="610"/>
      <c r="AY1553" s="610"/>
      <c r="AZ1553" s="610"/>
      <c r="BA1553" s="610"/>
      <c r="BB1553" s="610"/>
      <c r="BC1553" s="610"/>
      <c r="BD1553" s="610"/>
      <c r="BE1553" s="610"/>
      <c r="BF1553" s="610"/>
      <c r="BG1553" s="610"/>
      <c r="BH1553" s="610"/>
      <c r="BI1553" s="610"/>
      <c r="BK1553" s="610" t="s">
        <v>10601</v>
      </c>
      <c r="BL1553" s="610"/>
      <c r="BM1553" s="610"/>
      <c r="BN1553" s="610"/>
      <c r="BO1553" s="610"/>
      <c r="BP1553" s="610"/>
      <c r="BQ1553" s="610"/>
      <c r="BR1553" s="610"/>
      <c r="BS1553" s="610"/>
      <c r="BT1553" s="610"/>
      <c r="BU1553" s="610"/>
      <c r="BV1553" s="610"/>
      <c r="BW1553" s="610"/>
      <c r="BX1553" s="610"/>
      <c r="BY1553" s="610"/>
      <c r="BZ1553" s="610"/>
      <c r="CA1553" s="610"/>
      <c r="CB1553" s="610"/>
      <c r="CC1553" s="610"/>
      <c r="CD1553" s="610"/>
      <c r="CE1553" s="610"/>
      <c r="CF1553" s="610"/>
      <c r="CG1553" s="610"/>
      <c r="CH1553" s="610"/>
      <c r="CI1553" s="610"/>
      <c r="CJ1553" s="610"/>
      <c r="CK1553" s="610"/>
      <c r="CL1553" s="610"/>
      <c r="CM1553" s="610"/>
      <c r="CN1553" s="610"/>
      <c r="CO1553" s="610"/>
      <c r="CP1553" s="610"/>
    </row>
    <row r="1554" spans="3:94">
      <c r="C1554" s="88" t="s">
        <v>243</v>
      </c>
      <c r="D1554" s="610"/>
      <c r="E1554" s="804" t="s">
        <v>352</v>
      </c>
      <c r="F1554" s="804" t="s">
        <v>351</v>
      </c>
      <c r="G1554" s="804" t="s">
        <v>353</v>
      </c>
      <c r="H1554" s="804" t="s">
        <v>584</v>
      </c>
      <c r="I1554" s="804" t="s">
        <v>2107</v>
      </c>
      <c r="J1554" s="804" t="s">
        <v>2108</v>
      </c>
      <c r="K1554" s="804" t="s">
        <v>354</v>
      </c>
      <c r="L1554" s="804" t="s">
        <v>355</v>
      </c>
      <c r="M1554" s="804" t="s">
        <v>3765</v>
      </c>
      <c r="N1554" s="804" t="s">
        <v>3766</v>
      </c>
      <c r="O1554" s="804" t="s">
        <v>4417</v>
      </c>
      <c r="P1554" s="804" t="s">
        <v>4418</v>
      </c>
      <c r="Q1554" s="804" t="s">
        <v>4419</v>
      </c>
      <c r="R1554" s="804" t="s">
        <v>4420</v>
      </c>
      <c r="S1554" s="804" t="s">
        <v>4421</v>
      </c>
      <c r="T1554" s="804" t="s">
        <v>4422</v>
      </c>
      <c r="U1554" s="804" t="s">
        <v>4423</v>
      </c>
      <c r="V1554" s="804" t="s">
        <v>4424</v>
      </c>
      <c r="W1554" s="804" t="s">
        <v>4425</v>
      </c>
      <c r="X1554" s="804" t="s">
        <v>4426</v>
      </c>
      <c r="Y1554" s="804" t="s">
        <v>8369</v>
      </c>
      <c r="Z1554" s="804" t="s">
        <v>4427</v>
      </c>
      <c r="AA1554" s="804" t="s">
        <v>8368</v>
      </c>
      <c r="AB1554" s="804" t="s">
        <v>4428</v>
      </c>
      <c r="AC1554" s="804" t="s">
        <v>4429</v>
      </c>
      <c r="AD1554" s="804" t="s">
        <v>5661</v>
      </c>
      <c r="AE1554" s="804" t="s">
        <v>5661</v>
      </c>
      <c r="AF1554" s="804" t="s">
        <v>5661</v>
      </c>
      <c r="AG1554" s="804" t="s">
        <v>5661</v>
      </c>
      <c r="AH1554" s="804" t="s">
        <v>5661</v>
      </c>
      <c r="AI1554" s="804" t="s">
        <v>350</v>
      </c>
      <c r="AK1554" s="508" t="s">
        <v>352</v>
      </c>
      <c r="AL1554" s="508" t="s">
        <v>351</v>
      </c>
      <c r="AM1554" s="508" t="s">
        <v>353</v>
      </c>
      <c r="AN1554" s="508" t="s">
        <v>584</v>
      </c>
      <c r="AO1554" s="508" t="s">
        <v>2107</v>
      </c>
      <c r="AP1554" s="508" t="s">
        <v>2108</v>
      </c>
      <c r="AQ1554" s="508" t="s">
        <v>354</v>
      </c>
      <c r="AR1554" s="508" t="s">
        <v>355</v>
      </c>
      <c r="AS1554" s="508" t="s">
        <v>3765</v>
      </c>
      <c r="AT1554" s="508" t="s">
        <v>3766</v>
      </c>
      <c r="AU1554" s="508" t="s">
        <v>4417</v>
      </c>
      <c r="AV1554" s="508" t="s">
        <v>4418</v>
      </c>
      <c r="AW1554" s="508" t="s">
        <v>4419</v>
      </c>
      <c r="AX1554" s="508" t="s">
        <v>4420</v>
      </c>
      <c r="AY1554" s="508" t="s">
        <v>4421</v>
      </c>
      <c r="AZ1554" s="508" t="s">
        <v>4422</v>
      </c>
      <c r="BA1554" s="508" t="s">
        <v>4423</v>
      </c>
      <c r="BB1554" s="508" t="s">
        <v>4424</v>
      </c>
      <c r="BC1554" s="508" t="s">
        <v>4425</v>
      </c>
      <c r="BD1554" s="508" t="s">
        <v>4426</v>
      </c>
      <c r="BE1554" s="508" t="s">
        <v>8369</v>
      </c>
      <c r="BF1554" s="508" t="s">
        <v>4427</v>
      </c>
      <c r="BG1554" s="508" t="s">
        <v>8368</v>
      </c>
      <c r="BH1554" s="508" t="s">
        <v>4428</v>
      </c>
      <c r="BI1554" s="508" t="s">
        <v>4429</v>
      </c>
      <c r="BK1554" s="610"/>
      <c r="BL1554" s="610"/>
      <c r="BM1554" s="610"/>
      <c r="BN1554" s="610"/>
      <c r="BO1554" s="610"/>
      <c r="BP1554" s="610"/>
      <c r="BQ1554" s="610"/>
      <c r="BR1554" s="610"/>
      <c r="BS1554" s="610"/>
      <c r="BT1554" s="610"/>
      <c r="BU1554" s="610"/>
      <c r="BV1554" s="610"/>
      <c r="BW1554" s="610"/>
      <c r="BX1554" s="610"/>
      <c r="BY1554" s="610"/>
      <c r="BZ1554" s="610"/>
      <c r="CA1554" s="610"/>
      <c r="CB1554" s="610"/>
      <c r="CC1554" s="610"/>
      <c r="CD1554" s="610"/>
      <c r="CE1554" s="610"/>
      <c r="CF1554" s="610"/>
      <c r="CG1554" s="610"/>
      <c r="CH1554" s="610"/>
      <c r="CI1554" s="610"/>
      <c r="CJ1554" s="610"/>
      <c r="CK1554" s="610"/>
      <c r="CL1554" s="610"/>
      <c r="CM1554" s="610"/>
      <c r="CN1554" s="610"/>
      <c r="CO1554" s="610"/>
      <c r="CP1554" s="610"/>
    </row>
    <row r="1555" spans="3:94" s="610" customFormat="1">
      <c r="C1555" s="88"/>
      <c r="D1555" s="145" t="s">
        <v>5788</v>
      </c>
      <c r="E1555" s="804">
        <v>0</v>
      </c>
      <c r="F1555" s="804">
        <v>0</v>
      </c>
      <c r="G1555" s="804">
        <v>0</v>
      </c>
      <c r="H1555" s="804">
        <v>0</v>
      </c>
      <c r="I1555" s="804">
        <v>0</v>
      </c>
      <c r="J1555" s="804">
        <v>0</v>
      </c>
      <c r="K1555" s="804">
        <v>0</v>
      </c>
      <c r="L1555" s="804">
        <v>0</v>
      </c>
      <c r="M1555" s="804">
        <v>0</v>
      </c>
      <c r="N1555" s="804">
        <v>0</v>
      </c>
      <c r="O1555" s="804">
        <v>0</v>
      </c>
      <c r="P1555" s="804">
        <v>0</v>
      </c>
      <c r="Q1555" s="804">
        <v>0</v>
      </c>
      <c r="R1555" s="804">
        <v>0</v>
      </c>
      <c r="S1555" s="804">
        <v>0</v>
      </c>
      <c r="T1555" s="804">
        <v>0</v>
      </c>
      <c r="U1555" s="804">
        <v>0</v>
      </c>
      <c r="V1555" s="804">
        <v>0</v>
      </c>
      <c r="W1555" s="804">
        <v>0</v>
      </c>
      <c r="X1555" s="804">
        <v>0</v>
      </c>
      <c r="Y1555" s="804">
        <v>0</v>
      </c>
      <c r="Z1555" s="804">
        <v>0</v>
      </c>
      <c r="AA1555" s="804">
        <v>0</v>
      </c>
      <c r="AB1555" s="804">
        <v>0</v>
      </c>
      <c r="AC1555" s="804">
        <v>0</v>
      </c>
      <c r="AD1555" s="804">
        <v>0</v>
      </c>
      <c r="AE1555" s="804">
        <v>0</v>
      </c>
      <c r="AF1555" s="804">
        <v>0</v>
      </c>
      <c r="AG1555" s="804">
        <v>0</v>
      </c>
      <c r="AH1555" s="804">
        <v>0</v>
      </c>
      <c r="AI1555" s="804">
        <v>0</v>
      </c>
      <c r="AK1555" s="508">
        <v>0</v>
      </c>
      <c r="AL1555" s="508">
        <v>0</v>
      </c>
      <c r="AM1555" s="508">
        <v>0</v>
      </c>
      <c r="AN1555" s="508">
        <v>0</v>
      </c>
      <c r="AO1555" s="508">
        <v>0</v>
      </c>
      <c r="AP1555" s="508">
        <v>0</v>
      </c>
      <c r="AQ1555" s="508">
        <v>0</v>
      </c>
      <c r="AR1555" s="508">
        <v>0</v>
      </c>
      <c r="AS1555" s="508">
        <v>0</v>
      </c>
      <c r="AT1555" s="508">
        <v>0</v>
      </c>
      <c r="AU1555" s="508">
        <v>0</v>
      </c>
      <c r="AV1555" s="508">
        <v>0</v>
      </c>
      <c r="AW1555" s="508">
        <v>0</v>
      </c>
      <c r="AX1555" s="508">
        <v>0</v>
      </c>
      <c r="AY1555" s="508">
        <v>0</v>
      </c>
      <c r="AZ1555" s="508">
        <v>0</v>
      </c>
      <c r="BA1555" s="508">
        <v>0</v>
      </c>
      <c r="BB1555" s="508">
        <v>0</v>
      </c>
      <c r="BC1555" s="508">
        <v>0</v>
      </c>
      <c r="BD1555" s="508">
        <v>0</v>
      </c>
      <c r="BE1555" s="508">
        <v>0</v>
      </c>
      <c r="BF1555" s="508">
        <v>0</v>
      </c>
      <c r="BG1555" s="508">
        <v>0</v>
      </c>
      <c r="BH1555" s="508">
        <v>0</v>
      </c>
      <c r="BI1555" s="508">
        <v>0</v>
      </c>
      <c r="BL1555" s="804" t="s">
        <v>352</v>
      </c>
      <c r="BM1555" s="804" t="s">
        <v>351</v>
      </c>
      <c r="BN1555" s="804" t="s">
        <v>353</v>
      </c>
      <c r="BO1555" s="804" t="s">
        <v>584</v>
      </c>
      <c r="BP1555" s="804" t="s">
        <v>2107</v>
      </c>
      <c r="BQ1555" s="804" t="s">
        <v>2108</v>
      </c>
      <c r="BR1555" s="804" t="s">
        <v>354</v>
      </c>
      <c r="BS1555" s="804" t="s">
        <v>355</v>
      </c>
      <c r="BT1555" s="804" t="s">
        <v>3765</v>
      </c>
      <c r="BU1555" s="804" t="s">
        <v>3766</v>
      </c>
      <c r="BV1555" s="804" t="s">
        <v>4417</v>
      </c>
      <c r="BW1555" s="804" t="s">
        <v>4418</v>
      </c>
      <c r="BX1555" s="804" t="s">
        <v>4419</v>
      </c>
      <c r="BY1555" s="804" t="s">
        <v>4420</v>
      </c>
      <c r="BZ1555" s="804" t="s">
        <v>4421</v>
      </c>
      <c r="CA1555" s="804" t="s">
        <v>4422</v>
      </c>
      <c r="CB1555" s="804" t="s">
        <v>4423</v>
      </c>
      <c r="CC1555" s="804" t="s">
        <v>4424</v>
      </c>
      <c r="CD1555" s="804" t="s">
        <v>4425</v>
      </c>
      <c r="CE1555" s="804" t="s">
        <v>4426</v>
      </c>
      <c r="CF1555" s="804" t="s">
        <v>8369</v>
      </c>
      <c r="CG1555" s="804" t="s">
        <v>4427</v>
      </c>
      <c r="CH1555" s="804" t="s">
        <v>8368</v>
      </c>
      <c r="CI1555" s="804" t="s">
        <v>4428</v>
      </c>
      <c r="CJ1555" s="804" t="s">
        <v>4429</v>
      </c>
      <c r="CK1555" s="804" t="s">
        <v>5661</v>
      </c>
      <c r="CL1555" s="804" t="s">
        <v>5661</v>
      </c>
      <c r="CM1555" s="804" t="s">
        <v>5661</v>
      </c>
      <c r="CN1555" s="804" t="s">
        <v>5661</v>
      </c>
      <c r="CO1555" s="804" t="s">
        <v>5661</v>
      </c>
      <c r="CP1555" s="804" t="s">
        <v>350</v>
      </c>
    </row>
    <row r="1556" spans="3:94">
      <c r="C1556" s="611"/>
      <c r="D1556" s="939" t="s">
        <v>9050</v>
      </c>
      <c r="E1556" s="941">
        <v>4.7799999999999994</v>
      </c>
      <c r="F1556" s="941">
        <v>4.7799999999999994</v>
      </c>
      <c r="G1556" s="941">
        <v>4.7799999999999994</v>
      </c>
      <c r="H1556" s="941">
        <v>4.7799999999999994</v>
      </c>
      <c r="I1556" s="941">
        <v>4.7799999999999994</v>
      </c>
      <c r="J1556" s="941">
        <v>4.7799999999999994</v>
      </c>
      <c r="K1556" s="941">
        <v>4.7799999999999994</v>
      </c>
      <c r="L1556" s="941">
        <v>4.7799999999999994</v>
      </c>
      <c r="M1556" s="941">
        <v>4.7799999999999994</v>
      </c>
      <c r="N1556" s="941">
        <v>4.7799999999999994</v>
      </c>
      <c r="O1556" s="941">
        <v>4.7799999999999994</v>
      </c>
      <c r="P1556" s="941">
        <v>4.7799999999999994</v>
      </c>
      <c r="Q1556" s="941">
        <v>4.7799999999999994</v>
      </c>
      <c r="R1556" s="941">
        <v>6.2799999999999994</v>
      </c>
      <c r="S1556" s="941">
        <v>6.2799999999999994</v>
      </c>
      <c r="T1556" s="941">
        <v>6.2799999999999994</v>
      </c>
      <c r="U1556" s="941">
        <v>6.2799999999999994</v>
      </c>
      <c r="V1556" s="941">
        <v>4.7799999999999994</v>
      </c>
      <c r="W1556" s="941">
        <v>6.2799999999999994</v>
      </c>
      <c r="X1556" s="941">
        <v>4.7799999999999994</v>
      </c>
      <c r="Y1556" s="941">
        <v>6.2799999999999994</v>
      </c>
      <c r="Z1556" s="941">
        <v>4.7799999999999994</v>
      </c>
      <c r="AA1556" s="941">
        <v>6.2799999999999994</v>
      </c>
      <c r="AB1556" s="941">
        <v>4.7799999999999994</v>
      </c>
      <c r="AC1556" s="941">
        <v>4.7799999999999994</v>
      </c>
      <c r="AD1556" s="147">
        <v>0</v>
      </c>
      <c r="AE1556" s="147">
        <v>0</v>
      </c>
      <c r="AF1556" s="147">
        <v>0</v>
      </c>
      <c r="AG1556" s="147">
        <v>0</v>
      </c>
      <c r="AH1556" s="147">
        <v>0</v>
      </c>
      <c r="AI1556" s="147">
        <v>0</v>
      </c>
      <c r="AK1556" s="508">
        <v>4.7799999999999994</v>
      </c>
      <c r="AL1556" s="508">
        <v>4.3019999999999996</v>
      </c>
      <c r="AM1556" s="508">
        <v>4.3019999999999996</v>
      </c>
      <c r="AN1556" s="508">
        <v>4.3019999999999996</v>
      </c>
      <c r="AO1556" s="508">
        <v>4.3019999999999996</v>
      </c>
      <c r="AP1556" s="508">
        <v>4.3019999999999996</v>
      </c>
      <c r="AQ1556" s="508">
        <v>4.3019999999999996</v>
      </c>
      <c r="AR1556" s="508">
        <v>4.3019999999999996</v>
      </c>
      <c r="AS1556" s="508">
        <v>4.3019999999999996</v>
      </c>
      <c r="AT1556" s="508">
        <v>4.3019999999999996</v>
      </c>
      <c r="AU1556" s="508">
        <v>4.3019999999999996</v>
      </c>
      <c r="AV1556" s="508">
        <v>4.3019999999999996</v>
      </c>
      <c r="AW1556" s="508">
        <v>4.3019999999999996</v>
      </c>
      <c r="AX1556" s="508">
        <v>5.6519999999999992</v>
      </c>
      <c r="AY1556" s="508">
        <v>5.6519999999999992</v>
      </c>
      <c r="AZ1556" s="508">
        <v>5.6519999999999992</v>
      </c>
      <c r="BA1556" s="508">
        <v>5.6519999999999992</v>
      </c>
      <c r="BB1556" s="508">
        <v>4.3019999999999996</v>
      </c>
      <c r="BC1556" s="508">
        <v>5.6519999999999992</v>
      </c>
      <c r="BD1556" s="508">
        <v>4.3019999999999996</v>
      </c>
      <c r="BE1556" s="508">
        <v>5.6519999999999992</v>
      </c>
      <c r="BF1556" s="508">
        <v>4.3019999999999996</v>
      </c>
      <c r="BG1556" s="508">
        <v>5.6519999999999992</v>
      </c>
      <c r="BH1556" s="508">
        <v>4.3019999999999996</v>
      </c>
      <c r="BI1556" s="508">
        <v>4.3019999999999996</v>
      </c>
      <c r="BK1556" s="145" t="s">
        <v>5788</v>
      </c>
      <c r="BL1556" s="804">
        <v>0</v>
      </c>
      <c r="BM1556" s="804">
        <v>0</v>
      </c>
      <c r="BN1556" s="804">
        <v>0</v>
      </c>
      <c r="BO1556" s="804">
        <v>0</v>
      </c>
      <c r="BP1556" s="804">
        <v>0</v>
      </c>
      <c r="BQ1556" s="804">
        <v>0</v>
      </c>
      <c r="BR1556" s="804">
        <v>0</v>
      </c>
      <c r="BS1556" s="804">
        <v>0</v>
      </c>
      <c r="BT1556" s="804">
        <v>0</v>
      </c>
      <c r="BU1556" s="804">
        <v>0</v>
      </c>
      <c r="BV1556" s="804">
        <v>0</v>
      </c>
      <c r="BW1556" s="804">
        <v>0</v>
      </c>
      <c r="BX1556" s="804">
        <v>0</v>
      </c>
      <c r="BY1556" s="804">
        <v>0</v>
      </c>
      <c r="BZ1556" s="804">
        <v>0</v>
      </c>
      <c r="CA1556" s="804">
        <v>0</v>
      </c>
      <c r="CB1556" s="804">
        <v>0</v>
      </c>
      <c r="CC1556" s="804">
        <v>0</v>
      </c>
      <c r="CD1556" s="804">
        <v>0</v>
      </c>
      <c r="CE1556" s="804">
        <v>0</v>
      </c>
      <c r="CF1556" s="804">
        <v>0</v>
      </c>
      <c r="CG1556" s="804">
        <v>0</v>
      </c>
      <c r="CH1556" s="804">
        <v>0</v>
      </c>
      <c r="CI1556" s="804">
        <v>0</v>
      </c>
      <c r="CJ1556" s="804">
        <v>0</v>
      </c>
      <c r="CK1556" s="804">
        <v>0</v>
      </c>
      <c r="CL1556" s="804">
        <v>0</v>
      </c>
      <c r="CM1556" s="804">
        <v>0</v>
      </c>
      <c r="CN1556" s="804">
        <v>0</v>
      </c>
      <c r="CO1556" s="804">
        <v>0</v>
      </c>
      <c r="CP1556" s="804">
        <v>0</v>
      </c>
    </row>
    <row r="1557" spans="3:94">
      <c r="C1557" s="611"/>
      <c r="D1557" s="939" t="s">
        <v>9052</v>
      </c>
      <c r="E1557" s="941">
        <v>9.2480000000000011</v>
      </c>
      <c r="F1557" s="941">
        <v>9.2480000000000011</v>
      </c>
      <c r="G1557" s="941">
        <v>9.2480000000000011</v>
      </c>
      <c r="H1557" s="941">
        <v>9.2480000000000011</v>
      </c>
      <c r="I1557" s="941">
        <v>9.2480000000000011</v>
      </c>
      <c r="J1557" s="941">
        <v>9.2480000000000011</v>
      </c>
      <c r="K1557" s="941">
        <v>9.2480000000000011</v>
      </c>
      <c r="L1557" s="941">
        <v>9.2480000000000011</v>
      </c>
      <c r="M1557" s="941">
        <v>9.2480000000000011</v>
      </c>
      <c r="N1557" s="941">
        <v>9.2480000000000011</v>
      </c>
      <c r="O1557" s="941">
        <v>11.648</v>
      </c>
      <c r="P1557" s="941">
        <v>11.648</v>
      </c>
      <c r="Q1557" s="941">
        <v>11.648</v>
      </c>
      <c r="R1557" s="941">
        <v>14.048000000000002</v>
      </c>
      <c r="S1557" s="941">
        <v>14.048000000000002</v>
      </c>
      <c r="T1557" s="941">
        <v>14.048000000000002</v>
      </c>
      <c r="U1557" s="941">
        <v>14.048000000000002</v>
      </c>
      <c r="V1557" s="941">
        <v>11.648</v>
      </c>
      <c r="W1557" s="941">
        <v>14.048000000000002</v>
      </c>
      <c r="X1557" s="941">
        <v>11.648</v>
      </c>
      <c r="Y1557" s="941">
        <v>14.048000000000002</v>
      </c>
      <c r="Z1557" s="941">
        <v>11.648</v>
      </c>
      <c r="AA1557" s="941">
        <v>14.048000000000002</v>
      </c>
      <c r="AB1557" s="941">
        <v>11.648</v>
      </c>
      <c r="AC1557" s="941">
        <v>11.648</v>
      </c>
      <c r="AD1557" s="147">
        <v>0</v>
      </c>
      <c r="AE1557" s="147">
        <v>0</v>
      </c>
      <c r="AF1557" s="147">
        <v>0</v>
      </c>
      <c r="AG1557" s="147">
        <v>0</v>
      </c>
      <c r="AH1557" s="147">
        <v>0</v>
      </c>
      <c r="AI1557" s="147">
        <v>0</v>
      </c>
      <c r="AK1557" s="610">
        <v>11.097600000000002</v>
      </c>
      <c r="AL1557" s="610">
        <v>11.097600000000002</v>
      </c>
      <c r="AM1557" s="610">
        <v>11.097600000000002</v>
      </c>
      <c r="AN1557" s="610">
        <v>11.097600000000002</v>
      </c>
      <c r="AO1557" s="610">
        <v>11.097600000000002</v>
      </c>
      <c r="AP1557" s="610">
        <v>11.097600000000002</v>
      </c>
      <c r="AQ1557" s="610">
        <v>11.097600000000002</v>
      </c>
      <c r="AR1557" s="610">
        <v>11.097600000000002</v>
      </c>
      <c r="AS1557" s="610">
        <v>11.097600000000002</v>
      </c>
      <c r="AT1557" s="610">
        <v>11.097600000000002</v>
      </c>
      <c r="AU1557" s="610">
        <v>13.977599999999999</v>
      </c>
      <c r="AV1557" s="610">
        <v>13.977599999999999</v>
      </c>
      <c r="AW1557" s="610">
        <v>13.977599999999999</v>
      </c>
      <c r="AX1557" s="610">
        <v>16.857600000000001</v>
      </c>
      <c r="AY1557" s="610">
        <v>16.857600000000001</v>
      </c>
      <c r="AZ1557" s="610">
        <v>16.857600000000001</v>
      </c>
      <c r="BA1557" s="610">
        <v>16.857600000000001</v>
      </c>
      <c r="BB1557" s="610">
        <v>13.977599999999999</v>
      </c>
      <c r="BC1557" s="610">
        <v>16.857600000000001</v>
      </c>
      <c r="BD1557" s="610">
        <v>13.977599999999999</v>
      </c>
      <c r="BE1557" s="610">
        <v>16.857600000000001</v>
      </c>
      <c r="BF1557" s="610">
        <v>13.977599999999999</v>
      </c>
      <c r="BG1557" s="610">
        <v>16.857600000000001</v>
      </c>
      <c r="BH1557" s="610">
        <v>13.977599999999999</v>
      </c>
      <c r="BI1557" s="610">
        <v>13.977599999999999</v>
      </c>
      <c r="BK1557" s="939" t="s">
        <v>9050</v>
      </c>
      <c r="BL1557" s="941">
        <v>1.9119999999999999</v>
      </c>
      <c r="BM1557" s="941">
        <v>1.9119999999999999</v>
      </c>
      <c r="BN1557" s="941">
        <v>1.9119999999999999</v>
      </c>
      <c r="BO1557" s="941">
        <v>1.9119999999999999</v>
      </c>
      <c r="BP1557" s="941">
        <v>1.9119999999999999</v>
      </c>
      <c r="BQ1557" s="941">
        <v>1.9119999999999999</v>
      </c>
      <c r="BR1557" s="941">
        <v>1.9119999999999999</v>
      </c>
      <c r="BS1557" s="941">
        <v>1.9119999999999999</v>
      </c>
      <c r="BT1557" s="941">
        <v>1.9119999999999999</v>
      </c>
      <c r="BU1557" s="941">
        <v>1.9119999999999999</v>
      </c>
      <c r="BV1557" s="941">
        <v>1.9119999999999999</v>
      </c>
      <c r="BW1557" s="941">
        <v>1.9119999999999999</v>
      </c>
      <c r="BX1557" s="941">
        <v>1.9119999999999999</v>
      </c>
      <c r="BY1557" s="941">
        <v>2.5119999999999996</v>
      </c>
      <c r="BZ1557" s="941">
        <v>2.5119999999999996</v>
      </c>
      <c r="CA1557" s="941">
        <v>2.5119999999999996</v>
      </c>
      <c r="CB1557" s="941">
        <v>2.5119999999999996</v>
      </c>
      <c r="CC1557" s="941">
        <v>1.9119999999999999</v>
      </c>
      <c r="CD1557" s="941">
        <v>2.5119999999999996</v>
      </c>
      <c r="CE1557" s="941">
        <v>1.9119999999999999</v>
      </c>
      <c r="CF1557" s="941">
        <v>2.5119999999999996</v>
      </c>
      <c r="CG1557" s="941">
        <v>1.9119999999999999</v>
      </c>
      <c r="CH1557" s="941">
        <v>2.5119999999999996</v>
      </c>
      <c r="CI1557" s="941">
        <v>1.9119999999999999</v>
      </c>
      <c r="CJ1557" s="941">
        <v>1.9119999999999999</v>
      </c>
      <c r="CK1557" s="147">
        <v>0</v>
      </c>
      <c r="CL1557" s="147">
        <v>0</v>
      </c>
      <c r="CM1557" s="147">
        <v>0</v>
      </c>
      <c r="CN1557" s="147">
        <v>0</v>
      </c>
      <c r="CO1557" s="147">
        <v>0</v>
      </c>
      <c r="CP1557" s="147">
        <v>0</v>
      </c>
    </row>
    <row r="1558" spans="3:94">
      <c r="C1558" s="611"/>
      <c r="D1558" s="939" t="s">
        <v>9051</v>
      </c>
      <c r="E1558" s="941">
        <v>12.799999999999997</v>
      </c>
      <c r="F1558" s="941">
        <v>12.799999999999997</v>
      </c>
      <c r="G1558" s="941">
        <v>12.799999999999997</v>
      </c>
      <c r="H1558" s="941">
        <v>12.799999999999997</v>
      </c>
      <c r="I1558" s="941">
        <v>12.799999999999997</v>
      </c>
      <c r="J1558" s="941">
        <v>12.799999999999997</v>
      </c>
      <c r="K1558" s="941">
        <v>12.799999999999997</v>
      </c>
      <c r="L1558" s="941">
        <v>12.799999999999997</v>
      </c>
      <c r="M1558" s="941">
        <v>12.799999999999997</v>
      </c>
      <c r="N1558" s="941">
        <v>12.799999999999997</v>
      </c>
      <c r="O1558" s="941">
        <v>15.2</v>
      </c>
      <c r="P1558" s="941">
        <v>15.2</v>
      </c>
      <c r="Q1558" s="941">
        <v>15.2</v>
      </c>
      <c r="R1558" s="941">
        <v>17.599999999999998</v>
      </c>
      <c r="S1558" s="941">
        <v>17.599999999999998</v>
      </c>
      <c r="T1558" s="941">
        <v>17.599999999999998</v>
      </c>
      <c r="U1558" s="941">
        <v>17.599999999999998</v>
      </c>
      <c r="V1558" s="941">
        <v>15.2</v>
      </c>
      <c r="W1558" s="941">
        <v>17.599999999999998</v>
      </c>
      <c r="X1558" s="941">
        <v>15.2</v>
      </c>
      <c r="Y1558" s="941">
        <v>17.599999999999998</v>
      </c>
      <c r="Z1558" s="941">
        <v>15.2</v>
      </c>
      <c r="AA1558" s="941">
        <v>17.599999999999998</v>
      </c>
      <c r="AB1558" s="941">
        <v>15.2</v>
      </c>
      <c r="AC1558" s="941">
        <v>15.2</v>
      </c>
      <c r="AD1558" s="941">
        <v>0</v>
      </c>
      <c r="AE1558" s="941">
        <v>0</v>
      </c>
      <c r="AF1558" s="941">
        <v>0</v>
      </c>
      <c r="AG1558" s="941">
        <v>0</v>
      </c>
      <c r="AH1558" s="941">
        <v>0</v>
      </c>
      <c r="AI1558" s="941">
        <v>0</v>
      </c>
      <c r="AK1558" s="610">
        <v>19.199999999999996</v>
      </c>
      <c r="AL1558" s="610">
        <v>19.199999999999996</v>
      </c>
      <c r="AM1558" s="610">
        <v>19.199999999999996</v>
      </c>
      <c r="AN1558" s="610">
        <v>19.199999999999996</v>
      </c>
      <c r="AO1558" s="610">
        <v>19.199999999999996</v>
      </c>
      <c r="AP1558" s="610">
        <v>19.199999999999996</v>
      </c>
      <c r="AQ1558" s="610">
        <v>19.199999999999996</v>
      </c>
      <c r="AR1558" s="610">
        <v>19.199999999999996</v>
      </c>
      <c r="AS1558" s="610">
        <v>19.199999999999996</v>
      </c>
      <c r="AT1558" s="610">
        <v>19.199999999999996</v>
      </c>
      <c r="AU1558" s="610">
        <v>22.799999999999997</v>
      </c>
      <c r="AV1558" s="610">
        <v>22.799999999999997</v>
      </c>
      <c r="AW1558" s="610">
        <v>22.799999999999997</v>
      </c>
      <c r="AX1558" s="610">
        <v>26.4</v>
      </c>
      <c r="AY1558" s="610">
        <v>26.4</v>
      </c>
      <c r="AZ1558" s="610">
        <v>26.4</v>
      </c>
      <c r="BA1558" s="610">
        <v>26.4</v>
      </c>
      <c r="BB1558" s="610">
        <v>22.799999999999997</v>
      </c>
      <c r="BC1558" s="610">
        <v>26.4</v>
      </c>
      <c r="BD1558" s="610">
        <v>22.799999999999997</v>
      </c>
      <c r="BE1558" s="610">
        <v>26.4</v>
      </c>
      <c r="BF1558" s="610">
        <v>22.799999999999997</v>
      </c>
      <c r="BG1558" s="610">
        <v>26.4</v>
      </c>
      <c r="BH1558" s="610">
        <v>22.799999999999997</v>
      </c>
      <c r="BI1558" s="610">
        <v>22.799999999999997</v>
      </c>
      <c r="BK1558" s="939" t="s">
        <v>9052</v>
      </c>
      <c r="BL1558" s="941">
        <v>2.3120000000000003</v>
      </c>
      <c r="BM1558" s="941">
        <v>2.3120000000000003</v>
      </c>
      <c r="BN1558" s="941">
        <v>2.3120000000000003</v>
      </c>
      <c r="BO1558" s="941">
        <v>2.3120000000000003</v>
      </c>
      <c r="BP1558" s="941">
        <v>2.3120000000000003</v>
      </c>
      <c r="BQ1558" s="941">
        <v>2.3120000000000003</v>
      </c>
      <c r="BR1558" s="941">
        <v>2.3120000000000003</v>
      </c>
      <c r="BS1558" s="941">
        <v>2.3120000000000003</v>
      </c>
      <c r="BT1558" s="941">
        <v>2.3120000000000003</v>
      </c>
      <c r="BU1558" s="941">
        <v>2.3120000000000003</v>
      </c>
      <c r="BV1558" s="941">
        <v>2.9119999999999999</v>
      </c>
      <c r="BW1558" s="941">
        <v>2.9119999999999999</v>
      </c>
      <c r="BX1558" s="941">
        <v>2.9119999999999999</v>
      </c>
      <c r="BY1558" s="941">
        <v>3.5120000000000005</v>
      </c>
      <c r="BZ1558" s="941">
        <v>3.5120000000000005</v>
      </c>
      <c r="CA1558" s="941">
        <v>3.5120000000000005</v>
      </c>
      <c r="CB1558" s="941">
        <v>3.5120000000000005</v>
      </c>
      <c r="CC1558" s="941">
        <v>2.9119999999999999</v>
      </c>
      <c r="CD1558" s="941">
        <v>3.5120000000000005</v>
      </c>
      <c r="CE1558" s="941">
        <v>2.9119999999999999</v>
      </c>
      <c r="CF1558" s="941">
        <v>3.5120000000000005</v>
      </c>
      <c r="CG1558" s="941">
        <v>2.9119999999999999</v>
      </c>
      <c r="CH1558" s="941">
        <v>3.5120000000000005</v>
      </c>
      <c r="CI1558" s="941">
        <v>2.9119999999999999</v>
      </c>
      <c r="CJ1558" s="941">
        <v>2.9119999999999999</v>
      </c>
      <c r="CK1558" s="147">
        <v>0</v>
      </c>
      <c r="CL1558" s="147">
        <v>0</v>
      </c>
      <c r="CM1558" s="147">
        <v>0</v>
      </c>
      <c r="CN1558" s="147">
        <v>0</v>
      </c>
      <c r="CO1558" s="147">
        <v>0</v>
      </c>
      <c r="CP1558" s="147">
        <v>0</v>
      </c>
    </row>
    <row r="1559" spans="3:94">
      <c r="C1559" s="611"/>
      <c r="D1559" s="940" t="s">
        <v>5789</v>
      </c>
      <c r="E1559" s="941">
        <v>9.0879999999999992</v>
      </c>
      <c r="F1559" s="941">
        <v>9.0879999999999992</v>
      </c>
      <c r="G1559" s="941">
        <v>9.0879999999999992</v>
      </c>
      <c r="H1559" s="941">
        <v>9.0879999999999992</v>
      </c>
      <c r="I1559" s="941">
        <v>9.0879999999999992</v>
      </c>
      <c r="J1559" s="941">
        <v>9.0879999999999992</v>
      </c>
      <c r="K1559" s="941">
        <v>9.0879999999999992</v>
      </c>
      <c r="L1559" s="941">
        <v>9.0879999999999992</v>
      </c>
      <c r="M1559" s="941">
        <v>9.0879999999999992</v>
      </c>
      <c r="N1559" s="941">
        <v>9.0879999999999992</v>
      </c>
      <c r="O1559" s="941">
        <v>16.288</v>
      </c>
      <c r="P1559" s="941">
        <v>16.288</v>
      </c>
      <c r="Q1559" s="941">
        <v>16.288</v>
      </c>
      <c r="R1559" s="941">
        <v>13.888000000000002</v>
      </c>
      <c r="S1559" s="941">
        <v>13.888000000000002</v>
      </c>
      <c r="T1559" s="941">
        <v>13.888000000000002</v>
      </c>
      <c r="U1559" s="941">
        <v>9.0879999999999992</v>
      </c>
      <c r="V1559" s="941">
        <v>16.288</v>
      </c>
      <c r="W1559" s="941">
        <v>9.0879999999999992</v>
      </c>
      <c r="X1559" s="941">
        <v>16.288</v>
      </c>
      <c r="Y1559" s="941">
        <v>9.0879999999999992</v>
      </c>
      <c r="Z1559" s="941">
        <v>16.288</v>
      </c>
      <c r="AA1559" s="941">
        <v>9.0879999999999992</v>
      </c>
      <c r="AB1559" s="941">
        <v>16.288</v>
      </c>
      <c r="AC1559" s="941">
        <v>16.288</v>
      </c>
      <c r="AD1559" s="147">
        <v>0</v>
      </c>
      <c r="AE1559" s="147">
        <v>0</v>
      </c>
      <c r="AF1559" s="147">
        <v>0</v>
      </c>
      <c r="AG1559" s="147">
        <v>0</v>
      </c>
      <c r="AH1559" s="147">
        <v>0</v>
      </c>
      <c r="AI1559" s="147">
        <v>0</v>
      </c>
      <c r="AK1559" s="610">
        <v>10.905599999999998</v>
      </c>
      <c r="AL1559" s="610">
        <v>10.905599999999998</v>
      </c>
      <c r="AM1559" s="610">
        <v>10.905599999999998</v>
      </c>
      <c r="AN1559" s="610">
        <v>10.905599999999998</v>
      </c>
      <c r="AO1559" s="610">
        <v>10.905599999999998</v>
      </c>
      <c r="AP1559" s="610">
        <v>10.905599999999998</v>
      </c>
      <c r="AQ1559" s="610">
        <v>10.905599999999998</v>
      </c>
      <c r="AR1559" s="610">
        <v>10.905599999999998</v>
      </c>
      <c r="AS1559" s="610">
        <v>10.905599999999998</v>
      </c>
      <c r="AT1559" s="610">
        <v>10.905599999999998</v>
      </c>
      <c r="AU1559" s="610">
        <v>19.5456</v>
      </c>
      <c r="AV1559" s="610">
        <v>19.5456</v>
      </c>
      <c r="AW1559" s="610">
        <v>19.5456</v>
      </c>
      <c r="AX1559" s="610">
        <v>16.665600000000001</v>
      </c>
      <c r="AY1559" s="610">
        <v>16.665600000000001</v>
      </c>
      <c r="AZ1559" s="610">
        <v>16.665600000000001</v>
      </c>
      <c r="BA1559" s="610">
        <v>10.905599999999998</v>
      </c>
      <c r="BB1559" s="610">
        <v>19.5456</v>
      </c>
      <c r="BC1559" s="610">
        <v>10.905599999999998</v>
      </c>
      <c r="BD1559" s="610">
        <v>19.5456</v>
      </c>
      <c r="BE1559" s="610">
        <v>10.905599999999998</v>
      </c>
      <c r="BF1559" s="610">
        <v>19.5456</v>
      </c>
      <c r="BG1559" s="610">
        <v>10.905599999999998</v>
      </c>
      <c r="BH1559" s="610">
        <v>19.5456</v>
      </c>
      <c r="BI1559" s="610">
        <v>19.5456</v>
      </c>
      <c r="BK1559" s="939" t="s">
        <v>9051</v>
      </c>
      <c r="BL1559" s="941">
        <v>3.1999999999999993</v>
      </c>
      <c r="BM1559" s="941">
        <v>3.1999999999999993</v>
      </c>
      <c r="BN1559" s="941">
        <v>3.1999999999999993</v>
      </c>
      <c r="BO1559" s="941">
        <v>3.1999999999999993</v>
      </c>
      <c r="BP1559" s="941">
        <v>3.1999999999999993</v>
      </c>
      <c r="BQ1559" s="941">
        <v>3.1999999999999993</v>
      </c>
      <c r="BR1559" s="941">
        <v>3.1999999999999993</v>
      </c>
      <c r="BS1559" s="941">
        <v>3.1999999999999993</v>
      </c>
      <c r="BT1559" s="941">
        <v>3.1999999999999993</v>
      </c>
      <c r="BU1559" s="941">
        <v>3.1999999999999993</v>
      </c>
      <c r="BV1559" s="941">
        <v>3.8</v>
      </c>
      <c r="BW1559" s="941">
        <v>3.8</v>
      </c>
      <c r="BX1559" s="941">
        <v>3.8</v>
      </c>
      <c r="BY1559" s="941">
        <v>4.3999999999999995</v>
      </c>
      <c r="BZ1559" s="941">
        <v>4.3999999999999995</v>
      </c>
      <c r="CA1559" s="941">
        <v>4.3999999999999995</v>
      </c>
      <c r="CB1559" s="941">
        <v>4.3999999999999995</v>
      </c>
      <c r="CC1559" s="941">
        <v>3.8</v>
      </c>
      <c r="CD1559" s="941">
        <v>4.3999999999999995</v>
      </c>
      <c r="CE1559" s="941">
        <v>3.8</v>
      </c>
      <c r="CF1559" s="941">
        <v>4.3999999999999995</v>
      </c>
      <c r="CG1559" s="941">
        <v>3.8</v>
      </c>
      <c r="CH1559" s="941">
        <v>4.3999999999999995</v>
      </c>
      <c r="CI1559" s="941">
        <v>3.8</v>
      </c>
      <c r="CJ1559" s="941">
        <v>3.8</v>
      </c>
      <c r="CK1559" s="147">
        <v>0</v>
      </c>
      <c r="CL1559" s="147">
        <v>0</v>
      </c>
      <c r="CM1559" s="147">
        <v>0</v>
      </c>
      <c r="CN1559" s="147">
        <v>0</v>
      </c>
      <c r="CO1559" s="147">
        <v>0</v>
      </c>
      <c r="CP1559" s="147">
        <v>0</v>
      </c>
    </row>
    <row r="1560" spans="3:94">
      <c r="C1560" s="611"/>
      <c r="D1560" s="940" t="s">
        <v>5790</v>
      </c>
      <c r="E1560" s="941">
        <v>9.6880000000000006</v>
      </c>
      <c r="F1560" s="941">
        <v>9.6880000000000006</v>
      </c>
      <c r="G1560" s="941">
        <v>9.6880000000000006</v>
      </c>
      <c r="H1560" s="941">
        <v>9.6880000000000006</v>
      </c>
      <c r="I1560" s="941">
        <v>9.6880000000000006</v>
      </c>
      <c r="J1560" s="941">
        <v>9.6880000000000006</v>
      </c>
      <c r="K1560" s="941">
        <v>9.6880000000000006</v>
      </c>
      <c r="L1560" s="941">
        <v>9.6880000000000006</v>
      </c>
      <c r="M1560" s="941">
        <v>9.6880000000000006</v>
      </c>
      <c r="N1560" s="941">
        <v>9.6880000000000006</v>
      </c>
      <c r="O1560" s="941">
        <v>22.288</v>
      </c>
      <c r="P1560" s="941">
        <v>22.288</v>
      </c>
      <c r="Q1560" s="941">
        <v>22.288</v>
      </c>
      <c r="R1560" s="941">
        <v>18.087999999999997</v>
      </c>
      <c r="S1560" s="941">
        <v>18.087999999999997</v>
      </c>
      <c r="T1560" s="941">
        <v>18.087999999999997</v>
      </c>
      <c r="U1560" s="941">
        <v>9.6880000000000006</v>
      </c>
      <c r="V1560" s="941">
        <v>22.288</v>
      </c>
      <c r="W1560" s="941">
        <v>9.6880000000000006</v>
      </c>
      <c r="X1560" s="941">
        <v>22.288</v>
      </c>
      <c r="Y1560" s="941">
        <v>9.6880000000000006</v>
      </c>
      <c r="Z1560" s="941">
        <v>22.288</v>
      </c>
      <c r="AA1560" s="941">
        <v>9.6880000000000006</v>
      </c>
      <c r="AB1560" s="941">
        <v>22.288</v>
      </c>
      <c r="AC1560" s="941">
        <v>22.288</v>
      </c>
      <c r="AD1560" s="147">
        <v>0</v>
      </c>
      <c r="AE1560" s="147">
        <v>0</v>
      </c>
      <c r="AF1560" s="147">
        <v>0</v>
      </c>
      <c r="AG1560" s="147">
        <v>0</v>
      </c>
      <c r="AH1560" s="147">
        <v>0</v>
      </c>
      <c r="AI1560" s="147">
        <v>0</v>
      </c>
      <c r="AK1560" s="610">
        <v>14.532</v>
      </c>
      <c r="AL1560" s="610">
        <v>14.532</v>
      </c>
      <c r="AM1560" s="610">
        <v>14.532</v>
      </c>
      <c r="AN1560" s="610">
        <v>14.532</v>
      </c>
      <c r="AO1560" s="610">
        <v>14.532</v>
      </c>
      <c r="AP1560" s="610">
        <v>14.532</v>
      </c>
      <c r="AQ1560" s="610">
        <v>14.532</v>
      </c>
      <c r="AR1560" s="610">
        <v>14.532</v>
      </c>
      <c r="AS1560" s="610">
        <v>14.532</v>
      </c>
      <c r="AT1560" s="610">
        <v>14.532</v>
      </c>
      <c r="AU1560" s="610">
        <v>33.432000000000002</v>
      </c>
      <c r="AV1560" s="610">
        <v>33.432000000000002</v>
      </c>
      <c r="AW1560" s="610">
        <v>33.432000000000002</v>
      </c>
      <c r="AX1560" s="610">
        <v>27.131999999999998</v>
      </c>
      <c r="AY1560" s="610">
        <v>27.131999999999998</v>
      </c>
      <c r="AZ1560" s="610">
        <v>27.131999999999998</v>
      </c>
      <c r="BA1560" s="610">
        <v>14.532</v>
      </c>
      <c r="BB1560" s="610">
        <v>33.432000000000002</v>
      </c>
      <c r="BC1560" s="610">
        <v>14.532</v>
      </c>
      <c r="BD1560" s="610">
        <v>33.432000000000002</v>
      </c>
      <c r="BE1560" s="610">
        <v>14.532</v>
      </c>
      <c r="BF1560" s="610">
        <v>33.432000000000002</v>
      </c>
      <c r="BG1560" s="610">
        <v>14.532</v>
      </c>
      <c r="BH1560" s="610">
        <v>33.432000000000002</v>
      </c>
      <c r="BI1560" s="610">
        <v>33.432000000000002</v>
      </c>
      <c r="BK1560" s="940" t="s">
        <v>5789</v>
      </c>
      <c r="BL1560" s="941">
        <v>2.2719999999999998</v>
      </c>
      <c r="BM1560" s="941">
        <v>2.2719999999999998</v>
      </c>
      <c r="BN1560" s="941">
        <v>2.2719999999999998</v>
      </c>
      <c r="BO1560" s="941">
        <v>2.2719999999999998</v>
      </c>
      <c r="BP1560" s="941">
        <v>2.2719999999999998</v>
      </c>
      <c r="BQ1560" s="941">
        <v>2.2719999999999998</v>
      </c>
      <c r="BR1560" s="941">
        <v>2.2719999999999998</v>
      </c>
      <c r="BS1560" s="941">
        <v>2.2719999999999998</v>
      </c>
      <c r="BT1560" s="941">
        <v>2.2719999999999998</v>
      </c>
      <c r="BU1560" s="941">
        <v>2.2719999999999998</v>
      </c>
      <c r="BV1560" s="941">
        <v>4.0720000000000001</v>
      </c>
      <c r="BW1560" s="941">
        <v>4.0720000000000001</v>
      </c>
      <c r="BX1560" s="941">
        <v>4.0720000000000001</v>
      </c>
      <c r="BY1560" s="941">
        <v>3.4720000000000004</v>
      </c>
      <c r="BZ1560" s="941">
        <v>3.4720000000000004</v>
      </c>
      <c r="CA1560" s="941">
        <v>3.4720000000000004</v>
      </c>
      <c r="CB1560" s="941">
        <v>2.2719999999999998</v>
      </c>
      <c r="CC1560" s="941">
        <v>4.0720000000000001</v>
      </c>
      <c r="CD1560" s="941">
        <v>2.2719999999999998</v>
      </c>
      <c r="CE1560" s="941">
        <v>4.0720000000000001</v>
      </c>
      <c r="CF1560" s="941">
        <v>2.2719999999999998</v>
      </c>
      <c r="CG1560" s="941">
        <v>4.0720000000000001</v>
      </c>
      <c r="CH1560" s="941">
        <v>2.2719999999999998</v>
      </c>
      <c r="CI1560" s="941">
        <v>4.0720000000000001</v>
      </c>
      <c r="CJ1560" s="941">
        <v>4.0720000000000001</v>
      </c>
      <c r="CK1560" s="147">
        <v>0</v>
      </c>
      <c r="CL1560" s="147">
        <v>0</v>
      </c>
      <c r="CM1560" s="147">
        <v>0</v>
      </c>
      <c r="CN1560" s="147">
        <v>0</v>
      </c>
      <c r="CO1560" s="147">
        <v>0</v>
      </c>
      <c r="CP1560" s="147">
        <v>0</v>
      </c>
    </row>
    <row r="1561" spans="3:94">
      <c r="C1561" s="611"/>
      <c r="D1561" s="610" t="s">
        <v>10602</v>
      </c>
      <c r="E1561" s="610"/>
      <c r="F1561" s="610"/>
      <c r="G1561" s="610"/>
      <c r="H1561" s="610"/>
      <c r="I1561" s="610"/>
      <c r="J1561" s="610"/>
      <c r="K1561" s="610"/>
      <c r="L1561" s="610"/>
      <c r="M1561" s="610"/>
      <c r="N1561" s="610"/>
      <c r="O1561" s="610"/>
      <c r="P1561" s="610"/>
      <c r="Q1561" s="610"/>
      <c r="R1561" s="610"/>
      <c r="S1561" s="610"/>
      <c r="T1561" s="610"/>
      <c r="U1561" s="610"/>
      <c r="V1561" s="610"/>
      <c r="W1561" s="610"/>
      <c r="X1561" s="610"/>
      <c r="Y1561" s="610"/>
      <c r="Z1561" s="610"/>
      <c r="AA1561" s="610"/>
      <c r="AB1561" s="610"/>
      <c r="AC1561" s="610"/>
      <c r="AD1561" s="610"/>
      <c r="AE1561" s="610"/>
      <c r="AF1561" s="610"/>
      <c r="AG1561" s="610"/>
      <c r="AH1561" s="610"/>
      <c r="AI1561" s="610"/>
      <c r="AK1561" s="610"/>
      <c r="AL1561" s="610"/>
      <c r="AM1561" s="610"/>
      <c r="AN1561" s="610"/>
      <c r="AO1561" s="610"/>
      <c r="AP1561" s="610"/>
      <c r="AQ1561" s="610"/>
      <c r="AR1561" s="610"/>
      <c r="AS1561" s="610"/>
      <c r="AT1561" s="610"/>
      <c r="AU1561" s="610"/>
      <c r="AV1561" s="610"/>
      <c r="AW1561" s="610"/>
      <c r="AX1561" s="610"/>
      <c r="AY1561" s="610"/>
      <c r="AZ1561" s="610"/>
      <c r="BA1561" s="610"/>
      <c r="BB1561" s="610"/>
      <c r="BC1561" s="610"/>
      <c r="BD1561" s="610"/>
      <c r="BE1561" s="610"/>
      <c r="BF1561" s="610"/>
      <c r="BG1561" s="610"/>
      <c r="BH1561" s="610"/>
      <c r="BI1561" s="610"/>
      <c r="BK1561" s="940" t="s">
        <v>5790</v>
      </c>
      <c r="BL1561" s="941">
        <v>1.3840000000000001</v>
      </c>
      <c r="BM1561" s="941">
        <v>1.3840000000000001</v>
      </c>
      <c r="BN1561" s="941">
        <v>1.3840000000000001</v>
      </c>
      <c r="BO1561" s="941">
        <v>1.3840000000000001</v>
      </c>
      <c r="BP1561" s="941">
        <v>1.3840000000000001</v>
      </c>
      <c r="BQ1561" s="941">
        <v>1.3840000000000001</v>
      </c>
      <c r="BR1561" s="941">
        <v>1.3840000000000001</v>
      </c>
      <c r="BS1561" s="941">
        <v>1.3840000000000001</v>
      </c>
      <c r="BT1561" s="941">
        <v>1.3840000000000001</v>
      </c>
      <c r="BU1561" s="941">
        <v>1.3840000000000001</v>
      </c>
      <c r="BV1561" s="941">
        <v>3.1840000000000002</v>
      </c>
      <c r="BW1561" s="941">
        <v>3.1840000000000002</v>
      </c>
      <c r="BX1561" s="941">
        <v>3.1840000000000002</v>
      </c>
      <c r="BY1561" s="941">
        <v>2.5839999999999996</v>
      </c>
      <c r="BZ1561" s="941">
        <v>2.5839999999999996</v>
      </c>
      <c r="CA1561" s="941">
        <v>2.5839999999999996</v>
      </c>
      <c r="CB1561" s="941">
        <v>1.3840000000000001</v>
      </c>
      <c r="CC1561" s="941">
        <v>3.1840000000000002</v>
      </c>
      <c r="CD1561" s="941">
        <v>1.3840000000000001</v>
      </c>
      <c r="CE1561" s="941">
        <v>3.1840000000000002</v>
      </c>
      <c r="CF1561" s="941">
        <v>1.3840000000000001</v>
      </c>
      <c r="CG1561" s="941">
        <v>3.1840000000000002</v>
      </c>
      <c r="CH1561" s="941">
        <v>1.3840000000000001</v>
      </c>
      <c r="CI1561" s="941">
        <v>3.1840000000000002</v>
      </c>
      <c r="CJ1561" s="941">
        <v>3.1840000000000002</v>
      </c>
      <c r="CK1561" s="147">
        <v>0</v>
      </c>
      <c r="CL1561" s="147">
        <v>0</v>
      </c>
      <c r="CM1561" s="147">
        <v>0</v>
      </c>
      <c r="CN1561" s="147">
        <v>0</v>
      </c>
      <c r="CO1561" s="147">
        <v>0</v>
      </c>
      <c r="CP1561" s="147">
        <v>0</v>
      </c>
    </row>
    <row r="1562" spans="3:94">
      <c r="BK1562" s="610" t="s">
        <v>10602</v>
      </c>
      <c r="BL1562" s="610"/>
      <c r="BM1562" s="610"/>
      <c r="BN1562" s="610"/>
      <c r="BO1562" s="610"/>
      <c r="BP1562" s="610"/>
      <c r="BQ1562" s="610"/>
      <c r="BR1562" s="610"/>
      <c r="BS1562" s="610"/>
      <c r="BT1562" s="610"/>
      <c r="BU1562" s="610"/>
      <c r="BV1562" s="610"/>
      <c r="BW1562" s="610"/>
      <c r="BX1562" s="610"/>
      <c r="BY1562" s="610"/>
      <c r="BZ1562" s="610"/>
      <c r="CA1562" s="610"/>
      <c r="CB1562" s="610"/>
      <c r="CC1562" s="610"/>
      <c r="CD1562" s="610"/>
      <c r="CE1562" s="610"/>
      <c r="CF1562" s="610"/>
      <c r="CG1562" s="610"/>
      <c r="CH1562" s="610"/>
      <c r="CI1562" s="610"/>
      <c r="CJ1562" s="610"/>
      <c r="CK1562" s="610"/>
      <c r="CL1562" s="610"/>
      <c r="CM1562" s="610"/>
      <c r="CN1562" s="610"/>
      <c r="CO1562" s="610"/>
      <c r="CP1562" s="610"/>
    </row>
    <row r="1564" spans="3:94">
      <c r="C1564" s="88" t="s">
        <v>10605</v>
      </c>
      <c r="E1564" s="627" t="s">
        <v>244</v>
      </c>
      <c r="F1564" s="627" t="s">
        <v>245</v>
      </c>
      <c r="G1564" s="627" t="s">
        <v>5199</v>
      </c>
      <c r="H1564" s="627" t="s">
        <v>246</v>
      </c>
      <c r="J1564" s="6" t="s">
        <v>10606</v>
      </c>
    </row>
    <row r="1565" spans="3:94">
      <c r="D1565" s="145">
        <v>0</v>
      </c>
      <c r="E1565" s="627">
        <v>0</v>
      </c>
      <c r="F1565" s="627">
        <v>0</v>
      </c>
      <c r="G1565" s="627">
        <v>0</v>
      </c>
      <c r="H1565" s="627">
        <v>0</v>
      </c>
      <c r="J1565" s="6">
        <v>0</v>
      </c>
    </row>
    <row r="1566" spans="3:94">
      <c r="D1566" s="145">
        <v>1</v>
      </c>
      <c r="E1566" s="944">
        <v>1</v>
      </c>
      <c r="F1566" s="944">
        <v>1</v>
      </c>
      <c r="G1566" s="944">
        <v>1</v>
      </c>
      <c r="H1566" s="944">
        <v>1</v>
      </c>
      <c r="I1566" s="6">
        <v>2</v>
      </c>
      <c r="J1566" s="945">
        <v>2</v>
      </c>
    </row>
    <row r="1567" spans="3:94">
      <c r="D1567" s="145">
        <v>2</v>
      </c>
      <c r="E1567" s="944">
        <v>2.8</v>
      </c>
      <c r="F1567" s="944">
        <v>2.8</v>
      </c>
      <c r="G1567" s="944">
        <v>2.8</v>
      </c>
      <c r="H1567" s="944">
        <v>2.8</v>
      </c>
      <c r="J1567" s="945">
        <v>1.8</v>
      </c>
    </row>
    <row r="1568" spans="3:94">
      <c r="D1568" s="145">
        <v>3</v>
      </c>
      <c r="E1568" s="944">
        <v>4.42</v>
      </c>
      <c r="F1568" s="944">
        <v>4.42</v>
      </c>
      <c r="G1568" s="944">
        <v>4.42</v>
      </c>
      <c r="H1568" s="944">
        <v>4.42</v>
      </c>
      <c r="J1568" s="945">
        <v>1.62</v>
      </c>
      <c r="T1568" s="508"/>
    </row>
    <row r="1569" spans="4:10">
      <c r="D1569" s="145">
        <v>4</v>
      </c>
      <c r="E1569" s="944">
        <v>5.8780000000000001</v>
      </c>
      <c r="F1569" s="944">
        <v>5.8780000000000001</v>
      </c>
      <c r="G1569" s="944">
        <v>5.8780000000000001</v>
      </c>
      <c r="H1569" s="944">
        <v>5.8780000000000001</v>
      </c>
      <c r="J1569" s="945">
        <v>1.4580000000000002</v>
      </c>
    </row>
    <row r="1570" spans="4:10">
      <c r="D1570" s="145">
        <v>5</v>
      </c>
      <c r="E1570" s="944">
        <v>7.1902000000000008</v>
      </c>
      <c r="F1570" s="944">
        <v>7.1902000000000008</v>
      </c>
      <c r="G1570" s="944">
        <v>7.1902000000000008</v>
      </c>
      <c r="H1570" s="944">
        <v>7.1902000000000008</v>
      </c>
      <c r="J1570" s="945">
        <v>1.3122000000000003</v>
      </c>
    </row>
    <row r="1571" spans="4:10">
      <c r="D1571" s="145">
        <v>6</v>
      </c>
      <c r="E1571" s="944">
        <v>8.3711800000000007</v>
      </c>
      <c r="F1571" s="944">
        <v>8.3711800000000007</v>
      </c>
      <c r="G1571" s="944">
        <v>8.3711800000000007</v>
      </c>
      <c r="H1571" s="944">
        <v>8.3711800000000007</v>
      </c>
      <c r="J1571" s="945">
        <v>1.1809800000000004</v>
      </c>
    </row>
    <row r="1572" spans="4:10">
      <c r="D1572" s="145">
        <v>7</v>
      </c>
      <c r="E1572" s="944">
        <v>9.4340620000000008</v>
      </c>
      <c r="F1572" s="944">
        <v>9.4340620000000008</v>
      </c>
      <c r="G1572" s="944">
        <v>9.4340620000000008</v>
      </c>
      <c r="H1572" s="944">
        <v>9.4340620000000008</v>
      </c>
      <c r="J1572" s="945">
        <v>1.0628820000000003</v>
      </c>
    </row>
    <row r="1573" spans="4:10">
      <c r="D1573" s="145">
        <v>8</v>
      </c>
      <c r="E1573" s="944">
        <v>10.390655800000001</v>
      </c>
      <c r="F1573" s="944">
        <v>10.390655800000001</v>
      </c>
      <c r="G1573" s="944">
        <v>10.390655800000001</v>
      </c>
      <c r="H1573" s="944">
        <v>10.390655800000001</v>
      </c>
      <c r="J1573" s="945">
        <v>0.95659380000000027</v>
      </c>
    </row>
    <row r="1574" spans="4:10">
      <c r="D1574" s="145">
        <v>9</v>
      </c>
      <c r="E1574" s="944">
        <v>11.251590220000001</v>
      </c>
      <c r="F1574" s="944">
        <v>11.251590220000001</v>
      </c>
      <c r="G1574" s="944">
        <v>11.251590220000001</v>
      </c>
      <c r="H1574" s="944">
        <v>11.251590220000001</v>
      </c>
      <c r="J1574" s="945">
        <v>0.86093442000000031</v>
      </c>
    </row>
    <row r="1575" spans="4:10">
      <c r="D1575" s="145">
        <v>10</v>
      </c>
      <c r="E1575" s="944">
        <v>12.026431198000001</v>
      </c>
      <c r="F1575" s="944">
        <v>12.026431198000001</v>
      </c>
      <c r="G1575" s="944">
        <v>12.026431198000001</v>
      </c>
      <c r="H1575" s="944">
        <v>12.026431198000001</v>
      </c>
      <c r="J1575" s="945">
        <v>0.77484097800000029</v>
      </c>
    </row>
    <row r="1576" spans="4:10">
      <c r="D1576" s="145">
        <v>11</v>
      </c>
      <c r="E1576" s="944">
        <v>12.723788078200002</v>
      </c>
      <c r="F1576" s="944">
        <v>12.723788078200002</v>
      </c>
      <c r="G1576" s="944">
        <v>12.723788078200002</v>
      </c>
      <c r="H1576" s="944">
        <v>12.723788078200002</v>
      </c>
      <c r="J1576" s="945">
        <v>0.69735688020000031</v>
      </c>
    </row>
    <row r="1577" spans="4:10">
      <c r="D1577" s="145">
        <v>12</v>
      </c>
      <c r="E1577" s="944">
        <v>13.351409270380003</v>
      </c>
      <c r="F1577" s="944">
        <v>13.351409270380003</v>
      </c>
      <c r="G1577" s="944">
        <v>13.351409270380003</v>
      </c>
      <c r="H1577" s="944">
        <v>13.351409270380003</v>
      </c>
      <c r="J1577" s="945">
        <v>0.62762119218000034</v>
      </c>
    </row>
    <row r="1578" spans="4:10">
      <c r="D1578" s="145">
        <v>13</v>
      </c>
      <c r="E1578" s="944">
        <v>13.916268343342004</v>
      </c>
      <c r="F1578" s="944">
        <v>13.916268343342004</v>
      </c>
      <c r="G1578" s="944">
        <v>13.916268343342004</v>
      </c>
      <c r="H1578" s="944">
        <v>13.916268343342004</v>
      </c>
      <c r="J1578" s="945">
        <v>0.56485907296200033</v>
      </c>
    </row>
    <row r="1579" spans="4:10">
      <c r="D1579" s="145">
        <v>14</v>
      </c>
      <c r="E1579" s="944">
        <v>14.424641509007804</v>
      </c>
      <c r="F1579" s="944">
        <v>14.424641509007804</v>
      </c>
      <c r="G1579" s="944">
        <v>14.424641509007804</v>
      </c>
      <c r="H1579" s="944">
        <v>14.424641509007804</v>
      </c>
      <c r="J1579" s="945">
        <v>0.50837316566580026</v>
      </c>
    </row>
    <row r="1580" spans="4:10">
      <c r="D1580" s="145">
        <v>15</v>
      </c>
      <c r="E1580" s="944">
        <v>14.882177358107024</v>
      </c>
      <c r="F1580" s="944">
        <v>14.882177358107024</v>
      </c>
      <c r="G1580" s="944">
        <v>14.882177358107024</v>
      </c>
      <c r="H1580" s="944">
        <v>14.882177358107024</v>
      </c>
      <c r="J1580" s="945">
        <v>0.45753584909922024</v>
      </c>
    </row>
    <row r="1581" spans="4:10">
      <c r="D1581" s="145">
        <v>16</v>
      </c>
      <c r="E1581" s="944">
        <v>15.293959622296322</v>
      </c>
      <c r="F1581" s="944">
        <v>15.293959622296322</v>
      </c>
      <c r="G1581" s="944">
        <v>15.293959622296322</v>
      </c>
      <c r="H1581" s="944">
        <v>15.293959622296322</v>
      </c>
      <c r="J1581" s="945">
        <v>0.4117822641892982</v>
      </c>
    </row>
    <row r="1582" spans="4:10">
      <c r="D1582" s="145">
        <v>17</v>
      </c>
      <c r="E1582" s="944">
        <v>15.66456366006669</v>
      </c>
      <c r="F1582" s="944">
        <v>15.66456366006669</v>
      </c>
      <c r="G1582" s="944">
        <v>15.66456366006669</v>
      </c>
      <c r="H1582" s="944">
        <v>15.66456366006669</v>
      </c>
      <c r="J1582" s="945">
        <v>0.37060403777036838</v>
      </c>
    </row>
    <row r="1583" spans="4:10">
      <c r="D1583" s="145">
        <v>18</v>
      </c>
      <c r="E1583" s="944">
        <v>15.998107294060022</v>
      </c>
      <c r="F1583" s="944">
        <v>15.998107294060022</v>
      </c>
      <c r="G1583" s="944">
        <v>15.998107294060022</v>
      </c>
      <c r="H1583" s="944">
        <v>15.998107294060022</v>
      </c>
      <c r="J1583" s="945">
        <v>0.33354363399333153</v>
      </c>
    </row>
    <row r="1584" spans="4:10">
      <c r="D1584" s="145">
        <v>19</v>
      </c>
      <c r="E1584" s="944">
        <v>16.29829656465402</v>
      </c>
      <c r="F1584" s="944">
        <v>16.29829656465402</v>
      </c>
      <c r="G1584" s="944">
        <v>16.29829656465402</v>
      </c>
      <c r="H1584" s="944">
        <v>16.29829656465402</v>
      </c>
      <c r="J1584" s="945">
        <v>0.30018927059399841</v>
      </c>
    </row>
    <row r="1585" spans="4:10">
      <c r="D1585" s="145">
        <v>20</v>
      </c>
      <c r="E1585" s="944">
        <v>16.568466908188618</v>
      </c>
      <c r="F1585" s="944">
        <v>16.568466908188618</v>
      </c>
      <c r="G1585" s="944">
        <v>16.568466908188618</v>
      </c>
      <c r="H1585" s="944">
        <v>16.568466908188618</v>
      </c>
      <c r="J1585" s="945">
        <v>0.27017034353459857</v>
      </c>
    </row>
    <row r="1586" spans="4:10">
      <c r="D1586" s="145">
        <v>21</v>
      </c>
      <c r="E1586" s="944">
        <v>16.811620217369757</v>
      </c>
      <c r="F1586" s="944">
        <v>16.811620217369757</v>
      </c>
      <c r="G1586" s="944">
        <v>16.811620217369757</v>
      </c>
      <c r="H1586" s="944">
        <v>16.811620217369757</v>
      </c>
      <c r="J1586" s="945">
        <v>0.24315330918113873</v>
      </c>
    </row>
    <row r="1587" spans="4:10">
      <c r="D1587" s="145">
        <v>22</v>
      </c>
      <c r="E1587" s="944">
        <v>17.030458195632782</v>
      </c>
      <c r="F1587" s="944">
        <v>17.030458195632782</v>
      </c>
      <c r="G1587" s="944">
        <v>17.030458195632782</v>
      </c>
      <c r="H1587" s="944">
        <v>17.030458195632782</v>
      </c>
      <c r="J1587" s="945">
        <v>0.21883797826302487</v>
      </c>
    </row>
    <row r="1588" spans="4:10">
      <c r="D1588" s="145">
        <v>23</v>
      </c>
      <c r="E1588" s="944">
        <v>17.227412376069505</v>
      </c>
      <c r="F1588" s="944">
        <v>17.227412376069505</v>
      </c>
      <c r="G1588" s="944">
        <v>17.227412376069505</v>
      </c>
      <c r="H1588" s="944">
        <v>17.227412376069505</v>
      </c>
      <c r="J1588" s="945">
        <v>0.19695418043672239</v>
      </c>
    </row>
    <row r="1589" spans="4:10">
      <c r="D1589" s="145">
        <v>24</v>
      </c>
      <c r="E1589" s="944">
        <v>17.404671138462554</v>
      </c>
      <c r="F1589" s="944">
        <v>17.404671138462554</v>
      </c>
      <c r="G1589" s="944">
        <v>17.404671138462554</v>
      </c>
      <c r="H1589" s="944">
        <v>17.404671138462554</v>
      </c>
      <c r="J1589" s="945">
        <v>0.17725876239305016</v>
      </c>
    </row>
    <row r="1590" spans="4:10">
      <c r="D1590" s="145">
        <v>25</v>
      </c>
      <c r="E1590" s="944">
        <v>17.564204024616298</v>
      </c>
      <c r="F1590" s="944">
        <v>17.564204024616298</v>
      </c>
      <c r="G1590" s="944">
        <v>17.564204024616298</v>
      </c>
      <c r="H1590" s="944">
        <v>17.564204024616298</v>
      </c>
      <c r="J1590" s="945">
        <v>0.15953288615374514</v>
      </c>
    </row>
    <row r="1591" spans="4:10">
      <c r="D1591" s="145">
        <v>999</v>
      </c>
      <c r="E1591" s="944">
        <v>17.707783622154668</v>
      </c>
      <c r="F1591" s="944">
        <v>17.707783622154668</v>
      </c>
      <c r="G1591" s="944">
        <v>17.707783622154668</v>
      </c>
      <c r="H1591" s="944">
        <v>17.707783622154668</v>
      </c>
      <c r="J1591" s="945">
        <v>0.14357959753837063</v>
      </c>
    </row>
    <row r="1592" spans="4:10">
      <c r="D1592" s="6" t="s">
        <v>10607</v>
      </c>
    </row>
    <row r="1594" spans="4:10">
      <c r="D1594" s="610"/>
      <c r="E1594" s="627" t="s">
        <v>244</v>
      </c>
      <c r="F1594" s="627" t="s">
        <v>245</v>
      </c>
      <c r="G1594" s="627" t="s">
        <v>5199</v>
      </c>
      <c r="H1594" s="627" t="s">
        <v>246</v>
      </c>
    </row>
    <row r="1595" spans="4:10">
      <c r="D1595" s="145">
        <v>0</v>
      </c>
      <c r="E1595" s="627">
        <v>0</v>
      </c>
      <c r="F1595" s="627">
        <v>0</v>
      </c>
      <c r="G1595" s="627">
        <v>0</v>
      </c>
      <c r="H1595" s="627">
        <v>0</v>
      </c>
    </row>
    <row r="1596" spans="4:10">
      <c r="D1596" s="145">
        <v>1</v>
      </c>
      <c r="E1596" s="947">
        <v>0.01</v>
      </c>
      <c r="F1596" s="947">
        <v>0.01</v>
      </c>
      <c r="G1596" s="947">
        <v>0.01</v>
      </c>
      <c r="H1596" s="947">
        <v>0.01</v>
      </c>
      <c r="J1596" s="127">
        <v>0.01</v>
      </c>
    </row>
    <row r="1597" spans="4:10">
      <c r="D1597" s="145">
        <v>2</v>
      </c>
      <c r="E1597" s="949">
        <v>1.4475E-2</v>
      </c>
      <c r="F1597" s="947">
        <v>1.8950000000000002E-2</v>
      </c>
      <c r="G1597" s="947">
        <v>1.8950000000000002E-2</v>
      </c>
      <c r="H1597" s="947">
        <v>1.8950000000000002E-2</v>
      </c>
      <c r="J1597" s="127">
        <v>8.9499999999999996E-3</v>
      </c>
    </row>
    <row r="1598" spans="4:10">
      <c r="D1598" s="145">
        <v>3</v>
      </c>
      <c r="E1598" s="949">
        <v>1.8480125E-2</v>
      </c>
      <c r="F1598" s="947">
        <v>2.6960250000000002E-2</v>
      </c>
      <c r="G1598" s="947">
        <v>2.6960250000000002E-2</v>
      </c>
      <c r="H1598" s="947">
        <v>2.6960250000000002E-2</v>
      </c>
      <c r="J1598" s="127">
        <v>8.01025E-3</v>
      </c>
    </row>
    <row r="1599" spans="4:10">
      <c r="D1599" s="145">
        <v>4</v>
      </c>
      <c r="E1599" s="949">
        <v>2.2064711875E-2</v>
      </c>
      <c r="F1599" s="947">
        <v>3.4129423749999999E-2</v>
      </c>
      <c r="G1599" s="947">
        <v>3.4129423749999999E-2</v>
      </c>
      <c r="H1599" s="947">
        <v>3.4129423749999999E-2</v>
      </c>
      <c r="J1599" s="127">
        <v>7.1691737500000005E-3</v>
      </c>
    </row>
    <row r="1600" spans="4:10">
      <c r="D1600" s="145">
        <v>5</v>
      </c>
      <c r="E1600" s="949">
        <v>2.5272917128124999E-2</v>
      </c>
      <c r="F1600" s="947">
        <v>4.0545834256249996E-2</v>
      </c>
      <c r="G1600" s="947">
        <v>4.0545834256249996E-2</v>
      </c>
      <c r="H1600" s="947">
        <v>4.0545834256249996E-2</v>
      </c>
      <c r="J1600" s="127">
        <v>6.4164105062500002E-3</v>
      </c>
    </row>
    <row r="1601" spans="4:10">
      <c r="D1601" s="145">
        <v>6</v>
      </c>
      <c r="E1601" s="949">
        <v>2.8144260829671874E-2</v>
      </c>
      <c r="F1601" s="947">
        <v>4.6288521659343745E-2</v>
      </c>
      <c r="G1601" s="947">
        <v>4.6288521659343745E-2</v>
      </c>
      <c r="H1601" s="947">
        <v>4.6288521659343745E-2</v>
      </c>
      <c r="J1601" s="127">
        <v>5.74268740309375E-3</v>
      </c>
    </row>
    <row r="1602" spans="4:10">
      <c r="D1602" s="145">
        <v>7</v>
      </c>
      <c r="E1602" s="949">
        <v>3.0714113442556326E-2</v>
      </c>
      <c r="F1602" s="947">
        <v>5.142822688511265E-2</v>
      </c>
      <c r="G1602" s="947">
        <v>5.142822688511265E-2</v>
      </c>
      <c r="H1602" s="947">
        <v>5.142822688511265E-2</v>
      </c>
      <c r="J1602" s="127">
        <v>5.1397052257689067E-3</v>
      </c>
    </row>
    <row r="1603" spans="4:10">
      <c r="D1603" s="145">
        <v>8</v>
      </c>
      <c r="E1603" s="949">
        <v>3.3014131531087912E-2</v>
      </c>
      <c r="F1603" s="947">
        <v>5.6028263062175822E-2</v>
      </c>
      <c r="G1603" s="947">
        <v>5.6028263062175822E-2</v>
      </c>
      <c r="H1603" s="947">
        <v>5.6028263062175822E-2</v>
      </c>
      <c r="J1603" s="127">
        <v>4.6000361770631715E-3</v>
      </c>
    </row>
    <row r="1604" spans="4:10">
      <c r="D1604" s="145">
        <v>9</v>
      </c>
      <c r="E1604" s="949">
        <v>3.5072647720323681E-2</v>
      </c>
      <c r="F1604" s="947">
        <v>6.014529544064736E-2</v>
      </c>
      <c r="G1604" s="947">
        <v>6.014529544064736E-2</v>
      </c>
      <c r="H1604" s="947">
        <v>6.014529544064736E-2</v>
      </c>
      <c r="J1604" s="127">
        <v>4.1170323784715385E-3</v>
      </c>
    </row>
    <row r="1605" spans="4:10">
      <c r="D1605" s="145">
        <v>10</v>
      </c>
      <c r="E1605" s="949">
        <v>3.6915019709689696E-2</v>
      </c>
      <c r="F1605" s="947">
        <v>6.3830039419379384E-2</v>
      </c>
      <c r="G1605" s="947">
        <v>6.3830039419379384E-2</v>
      </c>
      <c r="H1605" s="947">
        <v>6.3830039419379384E-2</v>
      </c>
      <c r="J1605" s="127">
        <v>3.6847439787320272E-3</v>
      </c>
    </row>
    <row r="1606" spans="4:10">
      <c r="D1606" s="145">
        <v>11</v>
      </c>
      <c r="E1606" s="949">
        <v>3.856394264017228E-2</v>
      </c>
      <c r="F1606" s="947">
        <v>6.7127885280344551E-2</v>
      </c>
      <c r="G1606" s="947">
        <v>6.7127885280344551E-2</v>
      </c>
      <c r="H1606" s="947">
        <v>6.7127885280344551E-2</v>
      </c>
      <c r="J1606" s="127">
        <v>3.2978458609651644E-3</v>
      </c>
    </row>
    <row r="1607" spans="4:10">
      <c r="D1607" s="145">
        <v>12</v>
      </c>
      <c r="E1607" s="949">
        <v>4.0039728662954188E-2</v>
      </c>
      <c r="F1607" s="947">
        <v>7.0079457325908368E-2</v>
      </c>
      <c r="G1607" s="947">
        <v>7.0079457325908368E-2</v>
      </c>
      <c r="H1607" s="947">
        <v>7.0079457325908368E-2</v>
      </c>
      <c r="J1607" s="127">
        <v>2.9515720455638222E-3</v>
      </c>
    </row>
    <row r="1608" spans="4:10">
      <c r="D1608" s="145">
        <v>13</v>
      </c>
      <c r="E1608" s="949">
        <v>4.1360557153343996E-2</v>
      </c>
      <c r="F1608" s="947">
        <v>7.2721114306687984E-2</v>
      </c>
      <c r="G1608" s="947">
        <v>7.2721114306687984E-2</v>
      </c>
      <c r="H1608" s="947">
        <v>7.2721114306687984E-2</v>
      </c>
      <c r="J1608" s="127">
        <v>2.6416569807796208E-3</v>
      </c>
    </row>
    <row r="1609" spans="4:10">
      <c r="D1609" s="145">
        <v>14</v>
      </c>
      <c r="E1609" s="949">
        <v>4.2542698652242875E-2</v>
      </c>
      <c r="F1609" s="947">
        <v>7.508539730448574E-2</v>
      </c>
      <c r="G1609" s="947">
        <v>7.508539730448574E-2</v>
      </c>
      <c r="H1609" s="947">
        <v>7.508539730448574E-2</v>
      </c>
      <c r="J1609" s="127">
        <v>2.3642829977977608E-3</v>
      </c>
    </row>
    <row r="1610" spans="4:10">
      <c r="D1610" s="145">
        <v>15</v>
      </c>
      <c r="E1610" s="949">
        <v>4.3600715293757371E-2</v>
      </c>
      <c r="F1610" s="947">
        <v>7.7201430587514733E-2</v>
      </c>
      <c r="G1610" s="947">
        <v>7.7201430587514733E-2</v>
      </c>
      <c r="H1610" s="947">
        <v>7.7201430587514733E-2</v>
      </c>
      <c r="J1610" s="127">
        <v>2.1160332830289959E-3</v>
      </c>
    </row>
    <row r="1611" spans="4:10">
      <c r="D1611" s="145">
        <v>16</v>
      </c>
      <c r="E1611" s="949">
        <v>4.4547640187912844E-2</v>
      </c>
      <c r="F1611" s="947">
        <v>7.909528037582568E-2</v>
      </c>
      <c r="G1611" s="947">
        <v>7.909528037582568E-2</v>
      </c>
      <c r="H1611" s="947">
        <v>7.909528037582568E-2</v>
      </c>
      <c r="J1611" s="127">
        <v>1.8938497883109514E-3</v>
      </c>
    </row>
    <row r="1612" spans="4:10">
      <c r="D1612" s="145">
        <v>17</v>
      </c>
      <c r="E1612" s="949">
        <v>4.5395137968181995E-2</v>
      </c>
      <c r="F1612" s="947">
        <v>8.0790275936363981E-2</v>
      </c>
      <c r="G1612" s="947">
        <v>8.0790275936363981E-2</v>
      </c>
      <c r="H1612" s="947">
        <v>8.0790275936363981E-2</v>
      </c>
      <c r="J1612" s="127">
        <v>1.6949955605383015E-3</v>
      </c>
    </row>
    <row r="1613" spans="4:10">
      <c r="D1613" s="145">
        <v>18</v>
      </c>
      <c r="E1613" s="949">
        <v>4.6153648481522883E-2</v>
      </c>
      <c r="F1613" s="947">
        <v>8.2307296963045756E-2</v>
      </c>
      <c r="G1613" s="947">
        <v>8.2307296963045756E-2</v>
      </c>
      <c r="H1613" s="947">
        <v>8.2307296963045756E-2</v>
      </c>
      <c r="J1613" s="127">
        <v>1.5170210266817797E-3</v>
      </c>
    </row>
    <row r="1614" spans="4:10">
      <c r="D1614" s="145">
        <v>19</v>
      </c>
      <c r="E1614" s="949">
        <v>4.6832515390962982E-2</v>
      </c>
      <c r="F1614" s="947">
        <v>8.3665030781925956E-2</v>
      </c>
      <c r="G1614" s="947">
        <v>8.3665030781925956E-2</v>
      </c>
      <c r="H1614" s="947">
        <v>8.3665030781925956E-2</v>
      </c>
      <c r="J1614" s="127">
        <v>1.3577338188801929E-3</v>
      </c>
    </row>
    <row r="1615" spans="4:10">
      <c r="D1615" s="145">
        <v>20</v>
      </c>
      <c r="E1615" s="949">
        <v>4.7440101274911869E-2</v>
      </c>
      <c r="F1615" s="947">
        <v>8.488020254982373E-2</v>
      </c>
      <c r="G1615" s="947">
        <v>8.488020254982373E-2</v>
      </c>
      <c r="H1615" s="947">
        <v>8.488020254982373E-2</v>
      </c>
      <c r="J1615" s="127">
        <v>1.2151717678977726E-3</v>
      </c>
    </row>
    <row r="1616" spans="4:10">
      <c r="D1616" s="145">
        <v>21</v>
      </c>
      <c r="E1616" s="949">
        <v>4.798389064104612E-2</v>
      </c>
      <c r="F1616" s="947">
        <v>8.5967781282092232E-2</v>
      </c>
      <c r="G1616" s="947">
        <v>8.5967781282092232E-2</v>
      </c>
      <c r="H1616" s="947">
        <v>8.5967781282092232E-2</v>
      </c>
      <c r="J1616" s="127">
        <v>1.0875787322685065E-3</v>
      </c>
    </row>
    <row r="1617" spans="4:10">
      <c r="D1617" s="145">
        <v>22</v>
      </c>
      <c r="E1617" s="949">
        <v>4.8470582123736276E-2</v>
      </c>
      <c r="F1617" s="947">
        <v>8.6941164247472544E-2</v>
      </c>
      <c r="G1617" s="947">
        <v>8.6941164247472544E-2</v>
      </c>
      <c r="H1617" s="947">
        <v>8.6941164247472544E-2</v>
      </c>
      <c r="J1617" s="127">
        <v>9.7338296538031341E-4</v>
      </c>
    </row>
    <row r="1618" spans="4:10">
      <c r="D1618" s="145">
        <v>23</v>
      </c>
      <c r="E1618" s="949">
        <v>4.8906171000743966E-2</v>
      </c>
      <c r="F1618" s="947">
        <v>8.7812342001487922E-2</v>
      </c>
      <c r="G1618" s="947">
        <v>8.7812342001487922E-2</v>
      </c>
      <c r="H1618" s="947">
        <v>8.7812342001487922E-2</v>
      </c>
      <c r="J1618" s="127">
        <v>8.7117775401538051E-4</v>
      </c>
    </row>
    <row r="1619" spans="4:10">
      <c r="D1619" s="145">
        <v>24</v>
      </c>
      <c r="E1619" s="949">
        <v>4.9296023045665847E-2</v>
      </c>
      <c r="F1619" s="947">
        <v>8.8592046091331686E-2</v>
      </c>
      <c r="G1619" s="947">
        <v>8.8592046091331686E-2</v>
      </c>
      <c r="H1619" s="947">
        <v>8.8592046091331686E-2</v>
      </c>
      <c r="J1619" s="127">
        <v>7.7970408984376555E-4</v>
      </c>
    </row>
    <row r="1620" spans="4:10">
      <c r="D1620" s="145">
        <v>25</v>
      </c>
      <c r="E1620" s="949">
        <v>4.964494062587093E-2</v>
      </c>
      <c r="F1620" s="947">
        <v>8.9289881251741851E-2</v>
      </c>
      <c r="G1620" s="947">
        <v>8.9289881251741851E-2</v>
      </c>
      <c r="H1620" s="947">
        <v>8.9289881251741851E-2</v>
      </c>
      <c r="J1620" s="127">
        <v>6.9783516041017023E-4</v>
      </c>
    </row>
    <row r="1621" spans="4:10">
      <c r="D1621" s="145">
        <v>999</v>
      </c>
      <c r="E1621" s="949">
        <v>4.964494062587093E-2</v>
      </c>
      <c r="F1621" s="947">
        <v>8.9289881251741851E-2</v>
      </c>
      <c r="G1621" s="947">
        <v>8.9289881251741851E-2</v>
      </c>
      <c r="H1621" s="947">
        <v>8.9289881251741851E-2</v>
      </c>
    </row>
    <row r="1622" spans="4:10">
      <c r="D1622" s="610" t="s">
        <v>10609</v>
      </c>
      <c r="E1622" s="610"/>
      <c r="F1622" s="610"/>
      <c r="G1622" s="610"/>
      <c r="H1622" s="610"/>
    </row>
  </sheetData>
  <hyperlinks>
    <hyperlink ref="D3" r:id="rId1"/>
  </hyperlinks>
  <pageMargins left="0.7" right="0.7" top="0.75" bottom="0.75" header="0.3" footer="0.3"/>
  <pageSetup paperSize="9" orientation="portrait" r:id="rId2"/>
  <rowBreaks count="1" manualBreakCount="1">
    <brk id="608" max="16383" man="1"/>
  </rowBreaks>
  <colBreaks count="1" manualBreakCount="1">
    <brk id="8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A55"/>
  <sheetViews>
    <sheetView workbookViewId="0"/>
  </sheetViews>
  <sheetFormatPr defaultRowHeight="14.25"/>
  <cols>
    <col min="1" max="1" width="94.3984375" customWidth="1"/>
  </cols>
  <sheetData>
    <row r="1" spans="1:1" ht="15">
      <c r="A1" s="866" t="s">
        <v>8634</v>
      </c>
    </row>
    <row r="2" spans="1:1" ht="15">
      <c r="A2" s="866" t="s">
        <v>8609</v>
      </c>
    </row>
    <row r="3" spans="1:1" ht="15">
      <c r="A3" s="867" t="s">
        <v>8635</v>
      </c>
    </row>
    <row r="4" spans="1:1" ht="15">
      <c r="A4" s="866" t="s">
        <v>8636</v>
      </c>
    </row>
    <row r="5" spans="1:1" ht="15">
      <c r="A5" s="866" t="s">
        <v>8637</v>
      </c>
    </row>
    <row r="6" spans="1:1" ht="15">
      <c r="A6" s="866" t="s">
        <v>8638</v>
      </c>
    </row>
    <row r="7" spans="1:1" ht="15">
      <c r="A7" s="866" t="s">
        <v>8647</v>
      </c>
    </row>
    <row r="8" spans="1:1" ht="15">
      <c r="A8" s="866" t="s">
        <v>8642</v>
      </c>
    </row>
    <row r="9" spans="1:1" s="800" customFormat="1" ht="15">
      <c r="A9" s="866" t="s">
        <v>8643</v>
      </c>
    </row>
    <row r="10" spans="1:1" s="800" customFormat="1" ht="15">
      <c r="A10" s="866" t="s">
        <v>8646</v>
      </c>
    </row>
    <row r="11" spans="1:1" s="800" customFormat="1" ht="15">
      <c r="A11" s="866" t="s">
        <v>8644</v>
      </c>
    </row>
    <row r="12" spans="1:1" s="800" customFormat="1" ht="15">
      <c r="A12" s="866" t="s">
        <v>8645</v>
      </c>
    </row>
    <row r="13" spans="1:1" s="800" customFormat="1" ht="15">
      <c r="A13" s="868" t="s">
        <v>8639</v>
      </c>
    </row>
    <row r="14" spans="1:1" s="800" customFormat="1" ht="15">
      <c r="A14" s="868" t="s">
        <v>8648</v>
      </c>
    </row>
    <row r="15" spans="1:1" s="800" customFormat="1" ht="15">
      <c r="A15" s="865" t="s">
        <v>8640</v>
      </c>
    </row>
    <row r="16" spans="1:1" s="800" customFormat="1" ht="15">
      <c r="A16" s="865" t="s">
        <v>8641</v>
      </c>
    </row>
    <row r="17" spans="1:1" s="800" customFormat="1" ht="15">
      <c r="A17" s="865"/>
    </row>
    <row r="18" spans="1:1" ht="15">
      <c r="A18" s="866" t="s">
        <v>8608</v>
      </c>
    </row>
    <row r="19" spans="1:1" ht="15">
      <c r="A19" s="866" t="s">
        <v>8609</v>
      </c>
    </row>
    <row r="20" spans="1:1" ht="15">
      <c r="A20" s="866" t="s">
        <v>8610</v>
      </c>
    </row>
    <row r="21" spans="1:1" ht="15">
      <c r="A21" s="866" t="s">
        <v>8611</v>
      </c>
    </row>
    <row r="22" spans="1:1" ht="15">
      <c r="A22" s="866" t="s">
        <v>8612</v>
      </c>
    </row>
    <row r="23" spans="1:1" ht="15">
      <c r="A23" s="866" t="s">
        <v>8613</v>
      </c>
    </row>
    <row r="24" spans="1:1" ht="15">
      <c r="A24" s="866" t="s">
        <v>8614</v>
      </c>
    </row>
    <row r="25" spans="1:1" ht="15">
      <c r="A25" s="866" t="s">
        <v>8615</v>
      </c>
    </row>
    <row r="26" spans="1:1" ht="15">
      <c r="A26" s="866" t="s">
        <v>8616</v>
      </c>
    </row>
    <row r="27" spans="1:1" ht="15">
      <c r="A27" s="868" t="s">
        <v>8617</v>
      </c>
    </row>
    <row r="28" spans="1:1" ht="15">
      <c r="A28" s="868" t="s">
        <v>8618</v>
      </c>
    </row>
    <row r="29" spans="1:1" ht="15">
      <c r="A29" s="866" t="s">
        <v>8619</v>
      </c>
    </row>
    <row r="30" spans="1:1" ht="15">
      <c r="A30" s="865" t="s">
        <v>8620</v>
      </c>
    </row>
    <row r="31" spans="1:1" ht="15">
      <c r="A31" s="865" t="s">
        <v>8621</v>
      </c>
    </row>
    <row r="32" spans="1:1" ht="15">
      <c r="A32" s="865" t="s">
        <v>8622</v>
      </c>
    </row>
    <row r="33" spans="1:1" ht="15">
      <c r="A33" s="865" t="s">
        <v>8623</v>
      </c>
    </row>
    <row r="34" spans="1:1" ht="15">
      <c r="A34" s="865" t="s">
        <v>8624</v>
      </c>
    </row>
    <row r="35" spans="1:1" ht="15">
      <c r="A35" s="865" t="s">
        <v>8625</v>
      </c>
    </row>
    <row r="36" spans="1:1" ht="15">
      <c r="A36" s="865" t="s">
        <v>8626</v>
      </c>
    </row>
    <row r="37" spans="1:1" ht="15">
      <c r="A37" s="865" t="s">
        <v>8627</v>
      </c>
    </row>
    <row r="39" spans="1:1" ht="15">
      <c r="A39" s="865" t="s">
        <v>8628</v>
      </c>
    </row>
    <row r="40" spans="1:1" ht="15">
      <c r="A40" s="865" t="s">
        <v>8629</v>
      </c>
    </row>
    <row r="41" spans="1:1" ht="15">
      <c r="A41" s="865" t="s">
        <v>8630</v>
      </c>
    </row>
    <row r="42" spans="1:1" ht="15">
      <c r="A42" s="865" t="s">
        <v>295</v>
      </c>
    </row>
    <row r="43" spans="1:1" ht="15">
      <c r="A43" s="865" t="s">
        <v>5198</v>
      </c>
    </row>
    <row r="44" spans="1:1" ht="15">
      <c r="A44" s="865" t="s">
        <v>1397</v>
      </c>
    </row>
    <row r="45" spans="1:1" ht="15">
      <c r="A45" s="865" t="s">
        <v>8631</v>
      </c>
    </row>
    <row r="46" spans="1:1" ht="15">
      <c r="A46" s="865" t="s">
        <v>517</v>
      </c>
    </row>
    <row r="47" spans="1:1" ht="15">
      <c r="A47" s="865" t="s">
        <v>8632</v>
      </c>
    </row>
    <row r="48" spans="1:1" ht="15">
      <c r="A48" s="865" t="s">
        <v>295</v>
      </c>
    </row>
    <row r="49" spans="1:1" ht="15">
      <c r="A49" s="865" t="s">
        <v>5198</v>
      </c>
    </row>
    <row r="50" spans="1:1" ht="15">
      <c r="A50" s="865" t="s">
        <v>1397</v>
      </c>
    </row>
    <row r="51" spans="1:1" ht="15">
      <c r="A51" s="865" t="s">
        <v>8631</v>
      </c>
    </row>
    <row r="52" spans="1:1" ht="15">
      <c r="A52" s="865" t="s">
        <v>325</v>
      </c>
    </row>
    <row r="53" spans="1:1" ht="15">
      <c r="A53" s="865" t="s">
        <v>517</v>
      </c>
    </row>
    <row r="54" spans="1:1" ht="15">
      <c r="A54" s="865" t="s">
        <v>8633</v>
      </c>
    </row>
    <row r="55" spans="1:1" ht="15">
      <c r="A55" s="865" t="s">
        <v>516</v>
      </c>
    </row>
  </sheetData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13474</vt:i4>
      </vt:variant>
    </vt:vector>
  </HeadingPairs>
  <TitlesOfParts>
    <vt:vector size="13508" baseType="lpstr">
      <vt:lpstr>Controls</vt:lpstr>
      <vt:lpstr>SIs</vt:lpstr>
      <vt:lpstr>VTdd</vt:lpstr>
      <vt:lpstr>Packs</vt:lpstr>
      <vt:lpstr>tlIntro</vt:lpstr>
      <vt:lpstr>Company</vt:lpstr>
      <vt:lpstr>tlCh1A</vt:lpstr>
      <vt:lpstr>tlCh1B</vt:lpstr>
      <vt:lpstr>tlCh2A</vt:lpstr>
      <vt:lpstr>tlCh2B</vt:lpstr>
      <vt:lpstr>tlCh3A</vt:lpstr>
      <vt:lpstr>tlCh3B</vt:lpstr>
      <vt:lpstr>tlCh4A</vt:lpstr>
      <vt:lpstr>tlCh4B</vt:lpstr>
      <vt:lpstr>OutComp</vt:lpstr>
      <vt:lpstr>OutCh1</vt:lpstr>
      <vt:lpstr>OutCh2</vt:lpstr>
      <vt:lpstr>OutCh3</vt:lpstr>
      <vt:lpstr>OutCh4</vt:lpstr>
      <vt:lpstr>OutDashboard</vt:lpstr>
      <vt:lpstr>Dec</vt:lpstr>
      <vt:lpstr>Calc</vt:lpstr>
      <vt:lpstr>FinCalc</vt:lpstr>
      <vt:lpstr>FinPNL</vt:lpstr>
      <vt:lpstr>FinBSOpen</vt:lpstr>
      <vt:lpstr>FinBSClose</vt:lpstr>
      <vt:lpstr>FinCF</vt:lpstr>
      <vt:lpstr>Cbal</vt:lpstr>
      <vt:lpstr>Obal</vt:lpstr>
      <vt:lpstr>adj</vt:lpstr>
      <vt:lpstr>param</vt:lpstr>
      <vt:lpstr>Glossary</vt:lpstr>
      <vt:lpstr>Data</vt:lpstr>
      <vt:lpstr>Sheet1</vt:lpstr>
      <vt:lpstr>adj_CostCode</vt:lpstr>
      <vt:lpstr>adj_FTECode</vt:lpstr>
      <vt:lpstr>adj_IndexTeam</vt:lpstr>
      <vt:lpstr>adj_RepCostCode</vt:lpstr>
      <vt:lpstr>adj_RepMTUCostCode</vt:lpstr>
      <vt:lpstr>calcCh1AddSlotAvailable</vt:lpstr>
      <vt:lpstr>calcCh1AnalyticsEmp1Req</vt:lpstr>
      <vt:lpstr>calcCh1AnalyticsExp</vt:lpstr>
      <vt:lpstr>calcCh1AnalyticsNumberBought</vt:lpstr>
      <vt:lpstr>calcCh1CondShare</vt:lpstr>
      <vt:lpstr>calcCh1CustProfitTot</vt:lpstr>
      <vt:lpstr>calcCh1MarkPlan</vt:lpstr>
      <vt:lpstr>calcCh1MarkPlanEmp1Req</vt:lpstr>
      <vt:lpstr>calcCh1MarkPlanExp</vt:lpstr>
      <vt:lpstr>calcCh1MarkPlanSeg1Fit</vt:lpstr>
      <vt:lpstr>calcCh1MarkPlanSeg2Fit</vt:lpstr>
      <vt:lpstr>calcCh1MarkPlanSeg3Fit</vt:lpstr>
      <vt:lpstr>calcCh1MarkPlanSeg4Fit</vt:lpstr>
      <vt:lpstr>calcCh1NewSlots</vt:lpstr>
      <vt:lpstr>calcCh1Prod1AvgCustPrice</vt:lpstr>
      <vt:lpstr>calcCh1Prod1AvgPrice</vt:lpstr>
      <vt:lpstr>calcCh1Prod1AvgPricePromo1</vt:lpstr>
      <vt:lpstr>calcCh1Prod1AvgPricePromo2</vt:lpstr>
      <vt:lpstr>calcCh1Prod1AvgPromoPrice</vt:lpstr>
      <vt:lpstr>calcCh1Prod1CustProfitTot</vt:lpstr>
      <vt:lpstr>calcCh1Prod1PromoROIavg</vt:lpstr>
      <vt:lpstr>calcCh1Prod1PromoRoiMax</vt:lpstr>
      <vt:lpstr>calcCh1Prod1PromoRoiMaxIndex</vt:lpstr>
      <vt:lpstr>calcCh1Prod1PromoRoiMin</vt:lpstr>
      <vt:lpstr>calcCh1Prod1PromoRoiMinIndex</vt:lpstr>
      <vt:lpstr>calcCh1Prod1Seg1AssortmentFit</vt:lpstr>
      <vt:lpstr>calcCh1Prod1Seg2AssortmentFit</vt:lpstr>
      <vt:lpstr>calcCh1Prod1Seg3AssortmentFit</vt:lpstr>
      <vt:lpstr>calcCh1Prod1Seg4AssortmentFit</vt:lpstr>
      <vt:lpstr>calcCh1Prod1Slot1Active</vt:lpstr>
      <vt:lpstr>calcCh1Prod1Slot1AvgPrice</vt:lpstr>
      <vt:lpstr>calcCh1Prod1Slot1AvgSalePrice</vt:lpstr>
      <vt:lpstr>calcCh1Prod1Slot1BaseCustProfPWeek</vt:lpstr>
      <vt:lpstr>calcCh1Prod1Slot1BaseGPaLPUnit</vt:lpstr>
      <vt:lpstr>calcCh1Prod1Slot1BaseGPaLPWeek</vt:lpstr>
      <vt:lpstr>calcCh1Prod1Slot1BaseVolPWeek</vt:lpstr>
      <vt:lpstr>calcCh1Prod1Slot1ChVolShare</vt:lpstr>
      <vt:lpstr>calcCh1Prod1Slot1CustPrice</vt:lpstr>
      <vt:lpstr>calcCh1Prod1Slot1CustProfitBase</vt:lpstr>
      <vt:lpstr>calcCh1Prod1Slot1CustProfitBaseMarginAbs</vt:lpstr>
      <vt:lpstr>calcCh1Prod1Slot1CustProfitBaseMarginPct</vt:lpstr>
      <vt:lpstr>calcCh1Prod1Slot1CustProfitBaseVol</vt:lpstr>
      <vt:lpstr>calcCh1Prod1Slot1CustProfitPromo1</vt:lpstr>
      <vt:lpstr>calcCh1Prod1Slot1CustProfitPromo1MarginAbs</vt:lpstr>
      <vt:lpstr>calcCh1Prod1Slot1CustProfitPromo1Vol</vt:lpstr>
      <vt:lpstr>calcCh1Prod1Slot1CustProfitPromo2</vt:lpstr>
      <vt:lpstr>calcCh1Prod1Slot1CustProfitPromo2MarginAbs</vt:lpstr>
      <vt:lpstr>calcCh1Prod1Slot1CustProfitPromo2Vol</vt:lpstr>
      <vt:lpstr>calcCh1Prod1Slot1CustProfitTot</vt:lpstr>
      <vt:lpstr>CalcCh1Prod1Slot1Depreciation</vt:lpstr>
      <vt:lpstr>CalcCh1Prod1Slot1DepreciationPUnit</vt:lpstr>
      <vt:lpstr>CalcCh1Prod1Slot1ManufacturingCostPUnit</vt:lpstr>
      <vt:lpstr>calcCh1Prod1Slot1NoPromoPricePLitre</vt:lpstr>
      <vt:lpstr>calcCh1Prod1Slot1NoPromoVol</vt:lpstr>
      <vt:lpstr>calcCh1Prod1Slot1Pack</vt:lpstr>
      <vt:lpstr>calcCh1Prod1Slot1PackFitBase</vt:lpstr>
      <vt:lpstr>calcCh1Prod1Slot1PriceDif</vt:lpstr>
      <vt:lpstr>calcCh1Prod1Slot1Promo1CustPrice</vt:lpstr>
      <vt:lpstr>calcCh1Prod1Slot1Promo1CustProfPWeek</vt:lpstr>
      <vt:lpstr>calcCh1Prod1Slot1Promo1CustUplift</vt:lpstr>
      <vt:lpstr>calcCh1Prod1Slot1Promo1GPaLPUnit</vt:lpstr>
      <vt:lpstr>calcCh1Prod1Slot1Promo1GPaLPWeek</vt:lpstr>
      <vt:lpstr>calcCh1Prod1Slot1Promo1GPaLUplift</vt:lpstr>
      <vt:lpstr>calcCh1Prod1Slot1Promo1Plan</vt:lpstr>
      <vt:lpstr>calcCh1Prod1Slot1Promo1PlanEmp1Req</vt:lpstr>
      <vt:lpstr>calcCh1Prod1Slot1Promo1PlanExp</vt:lpstr>
      <vt:lpstr>calcCh1Prod1Slot1Promo1PlanShare</vt:lpstr>
      <vt:lpstr>calcCh1Prod1Slot1Promo1PricePLitre</vt:lpstr>
      <vt:lpstr>calcCh1Prod1Slot1Promo1ROI</vt:lpstr>
      <vt:lpstr>calcCh1Prod1Slot1Promo1Seg1Efficiency</vt:lpstr>
      <vt:lpstr>calcCh1Prod1Slot1Promo1Seg1Fit</vt:lpstr>
      <vt:lpstr>calcCh1Prod1Slot1Promo1Seg1Share</vt:lpstr>
      <vt:lpstr>calcCh1Prod1Slot1Promo1Seg1ShareBase</vt:lpstr>
      <vt:lpstr>calcCh1Prod1Slot1Promo1Seg2Efficiency</vt:lpstr>
      <vt:lpstr>calcCh1Prod1Slot1Promo1Seg2Fit</vt:lpstr>
      <vt:lpstr>calcCh1Prod1Slot1Promo1Seg2Share</vt:lpstr>
      <vt:lpstr>calcCh1Prod1Slot1Promo1Seg2ShareBase</vt:lpstr>
      <vt:lpstr>calcCh1Prod1Slot1Promo1Seg3Efficiency</vt:lpstr>
      <vt:lpstr>calcCh1Prod1Slot1Promo1Seg3Fit</vt:lpstr>
      <vt:lpstr>calcCh1Prod1Slot1Promo1Seg3Share</vt:lpstr>
      <vt:lpstr>calcCh1Prod1Slot1Promo1Seg3ShareBase</vt:lpstr>
      <vt:lpstr>calcCh1Prod1Slot1Promo1Seg4Efficiency</vt:lpstr>
      <vt:lpstr>calcCh1Prod1Slot1Promo1Seg4Fit</vt:lpstr>
      <vt:lpstr>calcCh1Prod1Slot1Promo1Seg4Share</vt:lpstr>
      <vt:lpstr>calcCh1Prod1Slot1Promo1Seg4ShareBase</vt:lpstr>
      <vt:lpstr>calcCh1Prod1Slot1Promo1Vol</vt:lpstr>
      <vt:lpstr>calcCh1Prod1Slot1Promo1VolPWeek</vt:lpstr>
      <vt:lpstr>calcCh1Prod1Slot1Promo1VolUplift</vt:lpstr>
      <vt:lpstr>calcCh1Prod1Slot1Promo1Weeks</vt:lpstr>
      <vt:lpstr>calcCh1Prod1Slot1Promo2CustPrice</vt:lpstr>
      <vt:lpstr>calcCh1Prod1Slot1Promo2CustProfPWeek</vt:lpstr>
      <vt:lpstr>calcCh1Prod1Slot1Promo2CustUplift</vt:lpstr>
      <vt:lpstr>calcCh1Prod1Slot1Promo2GPaLPUnit</vt:lpstr>
      <vt:lpstr>calcCh1Prod1Slot1Promo2GPaLPWeek</vt:lpstr>
      <vt:lpstr>calcCh1Prod1Slot1Promo2GPaLUplift</vt:lpstr>
      <vt:lpstr>calcCh1Prod1Slot1Promo2Plan</vt:lpstr>
      <vt:lpstr>calcCh1Prod1Slot1Promo2PlanEmp1Req</vt:lpstr>
      <vt:lpstr>calcCh1Prod1Slot1Promo2PlanExp</vt:lpstr>
      <vt:lpstr>calcCh1Prod1Slot1Promo2PlanShare</vt:lpstr>
      <vt:lpstr>calcCh1Prod1Slot1Promo2PricePLitre</vt:lpstr>
      <vt:lpstr>calcCh1Prod1Slot1Promo2ROI</vt:lpstr>
      <vt:lpstr>calcCh1Prod1Slot1Promo2Seg1Efficiency</vt:lpstr>
      <vt:lpstr>calcCh1Prod1Slot1Promo2Seg1Fit</vt:lpstr>
      <vt:lpstr>calcCh1Prod1Slot1Promo2Seg1Share</vt:lpstr>
      <vt:lpstr>calcCh1Prod1Slot1Promo2Seg1ShareBase</vt:lpstr>
      <vt:lpstr>calcCh1Prod1Slot1Promo2Seg2Efficiency</vt:lpstr>
      <vt:lpstr>calcCh1Prod1Slot1Promo2Seg2Fit</vt:lpstr>
      <vt:lpstr>calcCh1Prod1Slot1Promo2Seg2Share</vt:lpstr>
      <vt:lpstr>calcCh1Prod1Slot1Promo2Seg2ShareBase</vt:lpstr>
      <vt:lpstr>calcCh1Prod1Slot1Promo2Seg3Efficiency</vt:lpstr>
      <vt:lpstr>calcCh1Prod1Slot1Promo2Seg3Fit</vt:lpstr>
      <vt:lpstr>calcCh1Prod1Slot1Promo2Seg3Share</vt:lpstr>
      <vt:lpstr>calcCh1Prod1Slot1Promo2Seg3ShareBase</vt:lpstr>
      <vt:lpstr>calcCh1Prod1Slot1Promo2Seg4Efficiency</vt:lpstr>
      <vt:lpstr>calcCh1Prod1Slot1Promo2Seg4Fit</vt:lpstr>
      <vt:lpstr>calcCh1Prod1Slot1Promo2Seg4Share</vt:lpstr>
      <vt:lpstr>calcCh1Prod1Slot1Promo2Seg4ShareBase</vt:lpstr>
      <vt:lpstr>calcCh1Prod1Slot1Promo2Vol</vt:lpstr>
      <vt:lpstr>calcCh1Prod1Slot1Promo2VolPWeek</vt:lpstr>
      <vt:lpstr>calcCh1Prod1Slot1Promo2VolUplift</vt:lpstr>
      <vt:lpstr>calcCh1Prod1Slot1Promo2Weeks</vt:lpstr>
      <vt:lpstr>calcCh1Prod1Slot1Seg1PackFit</vt:lpstr>
      <vt:lpstr>calcCh1Prod1Slot1Seg2PackFit</vt:lpstr>
      <vt:lpstr>calcCh1Prod1Slot1Seg3PackFit</vt:lpstr>
      <vt:lpstr>calcCh1Prod1Slot1Seg4PackFit</vt:lpstr>
      <vt:lpstr>calcCh1Prod1Slot1ShelfPrice</vt:lpstr>
      <vt:lpstr>calcCh1Prod1Slot1TotalVolSold</vt:lpstr>
      <vt:lpstr>calcCh1Prod1Slot1ValDrivExp</vt:lpstr>
      <vt:lpstr>calcCh1Prod1Slot1VolForecastSlot</vt:lpstr>
      <vt:lpstr>calcCh1Prod1Slot1WD</vt:lpstr>
      <vt:lpstr>calcCh1Prod1Slot2Active</vt:lpstr>
      <vt:lpstr>calcCh1Prod1Slot2AvgPrice</vt:lpstr>
      <vt:lpstr>calcCh1Prod1Slot2AvgSalePrice</vt:lpstr>
      <vt:lpstr>calcCh1Prod1Slot2BaseCustProfPWeek</vt:lpstr>
      <vt:lpstr>calcCh1Prod1Slot2BaseCustUplift</vt:lpstr>
      <vt:lpstr>calcCh1Prod1Slot2BaseGPaLPUnit</vt:lpstr>
      <vt:lpstr>calcCh1Prod1Slot2BaseGPaLPWeek</vt:lpstr>
      <vt:lpstr>calcCh1Prod1Slot2BaseVolPWeek</vt:lpstr>
      <vt:lpstr>calcCh1Prod1Slot2ChVolShare</vt:lpstr>
      <vt:lpstr>calcCh1Prod1Slot2CustPrice</vt:lpstr>
      <vt:lpstr>calcCh1Prod1Slot2CustProfitBase</vt:lpstr>
      <vt:lpstr>calcCh1Prod1Slot2CustProfitBaseMarginAbs</vt:lpstr>
      <vt:lpstr>calcCh1Prod1Slot2CustProfitBaseMarginPct</vt:lpstr>
      <vt:lpstr>calcCh1Prod1Slot2CustProfitBaseVol</vt:lpstr>
      <vt:lpstr>calcCh1Prod1Slot2CustProfitPromo1</vt:lpstr>
      <vt:lpstr>calcCh1Prod1Slot2CustProfitPromo1MarginAbs</vt:lpstr>
      <vt:lpstr>calcCh1Prod1Slot2CustProfitPromo1Vol</vt:lpstr>
      <vt:lpstr>calcCh1Prod1Slot2CustProfitPromo2</vt:lpstr>
      <vt:lpstr>calcCh1Prod1Slot2CustProfitPromo2MarginAbs</vt:lpstr>
      <vt:lpstr>calcCh1Prod1Slot2CustProfitPromo2Vol</vt:lpstr>
      <vt:lpstr>calcCh1Prod1Slot2CustProfitTot</vt:lpstr>
      <vt:lpstr>CalcCh1Prod1Slot2Depreciation</vt:lpstr>
      <vt:lpstr>CalcCh1Prod1Slot2DepreciationPUnit</vt:lpstr>
      <vt:lpstr>CalcCh1Prod1Slot2ManufacturingCostPUnit</vt:lpstr>
      <vt:lpstr>calcCh1Prod1Slot2NoPromoPricePLitre</vt:lpstr>
      <vt:lpstr>calcCh1Prod1Slot2NoPromoVol</vt:lpstr>
      <vt:lpstr>calcCh1Prod1Slot2Pack</vt:lpstr>
      <vt:lpstr>calcCh1Prod1Slot2PackFitBase</vt:lpstr>
      <vt:lpstr>calcCh1Prod1Slot2PriceDif</vt:lpstr>
      <vt:lpstr>calcCh1Prod1Slot2Promo1CustPrice</vt:lpstr>
      <vt:lpstr>calcCh1Prod1Slot2Promo1CustProfPWeek</vt:lpstr>
      <vt:lpstr>calcCh1Prod1Slot2Promo1CustUplift</vt:lpstr>
      <vt:lpstr>calcCh1Prod1Slot2Promo1GPaLPUnit</vt:lpstr>
      <vt:lpstr>calcCh1Prod1Slot2Promo1GPaLPWeek</vt:lpstr>
      <vt:lpstr>calcCh1Prod1Slot2Promo1GPaLUplift</vt:lpstr>
      <vt:lpstr>calcCh1Prod1Slot2Promo1Plan</vt:lpstr>
      <vt:lpstr>calcCh1Prod1Slot2Promo1PlanEmp1Req</vt:lpstr>
      <vt:lpstr>calcCh1Prod1Slot2Promo1PlanExp</vt:lpstr>
      <vt:lpstr>calcCh1Prod1Slot2Promo1PlanShare</vt:lpstr>
      <vt:lpstr>calcCh1Prod1Slot2Promo1PricePLitre</vt:lpstr>
      <vt:lpstr>calcCh1Prod1Slot2Promo1ROI</vt:lpstr>
      <vt:lpstr>calcCh1Prod1Slot2Promo1Seg1Efficiency</vt:lpstr>
      <vt:lpstr>calcCh1Prod1Slot2Promo1Seg1Fit</vt:lpstr>
      <vt:lpstr>calcCh1Prod1Slot2Promo1Seg1Share</vt:lpstr>
      <vt:lpstr>calcCh1Prod1Slot2Promo1Seg1ShareBase</vt:lpstr>
      <vt:lpstr>calcCh1Prod1Slot2Promo1Seg2Efficiency</vt:lpstr>
      <vt:lpstr>calcCh1Prod1Slot2Promo1Seg2Fit</vt:lpstr>
      <vt:lpstr>calcCh1Prod1Slot2Promo1Seg2Share</vt:lpstr>
      <vt:lpstr>calcCh1Prod1Slot2Promo1Seg2ShareBase</vt:lpstr>
      <vt:lpstr>calcCh1Prod1Slot2Promo1Seg3Efficiency</vt:lpstr>
      <vt:lpstr>calcCh1Prod1Slot2Promo1Seg3Fit</vt:lpstr>
      <vt:lpstr>calcCh1Prod1Slot2Promo1Seg3Share</vt:lpstr>
      <vt:lpstr>calcCh1Prod1Slot2Promo1Seg3ShareBase</vt:lpstr>
      <vt:lpstr>calcCh1Prod1Slot2Promo1Seg4Efficiency</vt:lpstr>
      <vt:lpstr>calcCh1Prod1Slot2Promo1Seg4Fit</vt:lpstr>
      <vt:lpstr>calcCh1Prod1Slot2Promo1Seg4Share</vt:lpstr>
      <vt:lpstr>calcCh1Prod1Slot2Promo1Seg4ShareBase</vt:lpstr>
      <vt:lpstr>calcCh1Prod1Slot2Promo1Share</vt:lpstr>
      <vt:lpstr>calcCh1Prod1Slot2Promo1Vol</vt:lpstr>
      <vt:lpstr>calcCh1Prod1Slot2Promo1VolPWeek</vt:lpstr>
      <vt:lpstr>calcCh1Prod1Slot2Promo1VolUplift</vt:lpstr>
      <vt:lpstr>calcCh1Prod1Slot2Promo1Weeks</vt:lpstr>
      <vt:lpstr>calcCh1Prod1Slot2Promo2CustPrice</vt:lpstr>
      <vt:lpstr>calcCh1Prod1Slot2Promo2CustProfPWeek</vt:lpstr>
      <vt:lpstr>calcCh1Prod1Slot2Promo2CustUplift</vt:lpstr>
      <vt:lpstr>calcCh1Prod1Slot2Promo2GPaLPUnit</vt:lpstr>
      <vt:lpstr>calcCh1Prod1Slot2Promo2GPaLPWeek</vt:lpstr>
      <vt:lpstr>calcCh1Prod1Slot2Promo2GPaLUplift</vt:lpstr>
      <vt:lpstr>calcCh1Prod1Slot2Promo2Plan</vt:lpstr>
      <vt:lpstr>calcCh1Prod1Slot2Promo2PlanEmp1Req</vt:lpstr>
      <vt:lpstr>calcCh1Prod1Slot2Promo2PlanExp</vt:lpstr>
      <vt:lpstr>calcCh1Prod1Slot2Promo2PlanShare</vt:lpstr>
      <vt:lpstr>calcCh1Prod1Slot2Promo2PricePLitre</vt:lpstr>
      <vt:lpstr>calcCh1Prod1Slot2Promo2ROI</vt:lpstr>
      <vt:lpstr>calcCh1Prod1Slot2Promo2Seg1Efficiency</vt:lpstr>
      <vt:lpstr>calcCh1Prod1Slot2Promo2Seg1Fit</vt:lpstr>
      <vt:lpstr>calcCh1Prod1Slot2Promo2Seg1Share</vt:lpstr>
      <vt:lpstr>calcCh1Prod1Slot2Promo2Seg1ShareBase</vt:lpstr>
      <vt:lpstr>calcCh1Prod1Slot2Promo2Seg2Efficiency</vt:lpstr>
      <vt:lpstr>calcCh1Prod1Slot2Promo2Seg2Fit</vt:lpstr>
      <vt:lpstr>calcCh1Prod1Slot2Promo2Seg2Share</vt:lpstr>
      <vt:lpstr>calcCh1Prod1Slot2Promo2Seg2ShareBase</vt:lpstr>
      <vt:lpstr>calcCh1Prod1Slot2Promo2Seg3Efficiency</vt:lpstr>
      <vt:lpstr>calcCh1Prod1Slot2Promo2Seg3Fit</vt:lpstr>
      <vt:lpstr>calcCh1Prod1Slot2Promo2Seg3Share</vt:lpstr>
      <vt:lpstr>calcCh1Prod1Slot2Promo2Seg3ShareBase</vt:lpstr>
      <vt:lpstr>calcCh1Prod1Slot2Promo2Seg4Efficiency</vt:lpstr>
      <vt:lpstr>calcCh1Prod1Slot2Promo2Seg4Fit</vt:lpstr>
      <vt:lpstr>calcCh1Prod1Slot2Promo2Seg4Share</vt:lpstr>
      <vt:lpstr>calcCh1Prod1Slot2Promo2Seg4ShareBase</vt:lpstr>
      <vt:lpstr>calcCh1Prod1Slot2Promo2Vol</vt:lpstr>
      <vt:lpstr>calcCh1Prod1Slot2Promo2VolPWeek</vt:lpstr>
      <vt:lpstr>calcCh1Prod1Slot2Promo2VolUplift</vt:lpstr>
      <vt:lpstr>calcCh1Prod1Slot2Promo2Weeks</vt:lpstr>
      <vt:lpstr>calcCh1Prod1Slot2Seg1PackFit</vt:lpstr>
      <vt:lpstr>calcCh1Prod1Slot2Seg2PackFit</vt:lpstr>
      <vt:lpstr>calcCh1Prod1Slot2Seg3PackFit</vt:lpstr>
      <vt:lpstr>calcCh1Prod1Slot2Seg4PackFit</vt:lpstr>
      <vt:lpstr>calcCh1Prod1Slot2ShelfPrice</vt:lpstr>
      <vt:lpstr>calcCh1Prod1Slot2TotalVolSold</vt:lpstr>
      <vt:lpstr>calcCh1Prod1Slot2ValDrivExp</vt:lpstr>
      <vt:lpstr>calcCh1Prod1Slot2VolForecastSlot</vt:lpstr>
      <vt:lpstr>calcCh1Prod1Slot2WD</vt:lpstr>
      <vt:lpstr>calcCh1Prod1Slot3Active</vt:lpstr>
      <vt:lpstr>calcCh1Prod1Slot3AvgPrice</vt:lpstr>
      <vt:lpstr>calcCh1Prod1Slot3AvgSalePrice</vt:lpstr>
      <vt:lpstr>calcCh1Prod1Slot3BaseCustProfPWeek</vt:lpstr>
      <vt:lpstr>calcCh1Prod1Slot3BaseCustUplift</vt:lpstr>
      <vt:lpstr>calcCh1Prod1Slot3BaseGPaLPUnit</vt:lpstr>
      <vt:lpstr>calcCh1Prod1Slot3BaseGPaLPWeek</vt:lpstr>
      <vt:lpstr>calcCh1Prod1Slot3BaseVolPWeek</vt:lpstr>
      <vt:lpstr>calcCh1Prod1Slot3ChVolShare</vt:lpstr>
      <vt:lpstr>calcCh1Prod1Slot3CustPrice</vt:lpstr>
      <vt:lpstr>calcCh1Prod1Slot3CustProfitBase</vt:lpstr>
      <vt:lpstr>calcCh1Prod1Slot3CustProfitBaseMarginAbs</vt:lpstr>
      <vt:lpstr>calcCh1Prod1Slot3CustProfitBaseMarginPct</vt:lpstr>
      <vt:lpstr>calcCh1Prod1Slot3CustProfitBaseVol</vt:lpstr>
      <vt:lpstr>calcCh1Prod1Slot3CustProfitPromo1</vt:lpstr>
      <vt:lpstr>calcCh1Prod1Slot3CustProfitPromo1MarginAbs</vt:lpstr>
      <vt:lpstr>calcCh1Prod1Slot3CustProfitPromo1Vol</vt:lpstr>
      <vt:lpstr>calcCh1Prod1Slot3CustProfitPromo2</vt:lpstr>
      <vt:lpstr>calcCh1Prod1Slot3CustProfitPromo2MarginAbs</vt:lpstr>
      <vt:lpstr>calcCh1Prod1Slot3CustProfitPromo2Vol</vt:lpstr>
      <vt:lpstr>calcCh1Prod1Slot3CustProfitTot</vt:lpstr>
      <vt:lpstr>CalcCh1Prod1Slot3Depreciation</vt:lpstr>
      <vt:lpstr>CalcCh1Prod1Slot3DepreciationPUnit</vt:lpstr>
      <vt:lpstr>CalcCh1Prod1Slot3ManufacturingCostPUnit</vt:lpstr>
      <vt:lpstr>calcCh1Prod1Slot3NoPromoPricePLitre</vt:lpstr>
      <vt:lpstr>calcCh1Prod1Slot3NoPromoVol</vt:lpstr>
      <vt:lpstr>calcCh1Prod1Slot3Pack</vt:lpstr>
      <vt:lpstr>calcCh1Prod1Slot3PackFitBase</vt:lpstr>
      <vt:lpstr>calcCh1Prod1Slot3PriceDif</vt:lpstr>
      <vt:lpstr>calcCh1Prod1Slot3Promo1CustPrice</vt:lpstr>
      <vt:lpstr>calcCh1Prod1Slot3Promo1CustProfPWeek</vt:lpstr>
      <vt:lpstr>calcCh1Prod1Slot3Promo1CustUplift</vt:lpstr>
      <vt:lpstr>calcCh1Prod1Slot3Promo1GPaLPUnit</vt:lpstr>
      <vt:lpstr>calcCh1Prod1Slot3Promo1GPaLPWeek</vt:lpstr>
      <vt:lpstr>calcCh1Prod1Slot3Promo1GPaLUplift</vt:lpstr>
      <vt:lpstr>calcCh1Prod1Slot3Promo1Plan</vt:lpstr>
      <vt:lpstr>calcCh1Prod1Slot3Promo1PlanEmp1Req</vt:lpstr>
      <vt:lpstr>calcCh1Prod1Slot3Promo1PlanExp</vt:lpstr>
      <vt:lpstr>calcCh1Prod1Slot3Promo1PlanShare</vt:lpstr>
      <vt:lpstr>calcCh1Prod1Slot3Promo1PricePLitre</vt:lpstr>
      <vt:lpstr>calcCh1Prod1Slot3Promo1ROI</vt:lpstr>
      <vt:lpstr>calcCh1Prod1Slot3Promo1Seg1Efficiency</vt:lpstr>
      <vt:lpstr>calcCh1Prod1Slot3Promo1Seg1Fit</vt:lpstr>
      <vt:lpstr>calcCh1Prod1Slot3Promo1Seg1Share</vt:lpstr>
      <vt:lpstr>calcCh1Prod1Slot3Promo1Seg1ShareBase</vt:lpstr>
      <vt:lpstr>calcCh1Prod1Slot3Promo1Seg2Efficiency</vt:lpstr>
      <vt:lpstr>calcCh1Prod1Slot3Promo1Seg2Fit</vt:lpstr>
      <vt:lpstr>calcCh1Prod1Slot3Promo1Seg2Share</vt:lpstr>
      <vt:lpstr>calcCh1Prod1Slot3Promo1Seg2ShareBase</vt:lpstr>
      <vt:lpstr>calcCh1Prod1Slot3Promo1Seg3Efficiency</vt:lpstr>
      <vt:lpstr>calcCh1Prod1Slot3Promo1Seg3Fit</vt:lpstr>
      <vt:lpstr>calcCh1Prod1Slot3Promo1Seg3Share</vt:lpstr>
      <vt:lpstr>calcCh1Prod1Slot3Promo1Seg3ShareBase</vt:lpstr>
      <vt:lpstr>calcCh1Prod1Slot3Promo1Seg4Efficiency</vt:lpstr>
      <vt:lpstr>calcCh1Prod1Slot3Promo1Seg4Fit</vt:lpstr>
      <vt:lpstr>calcCh1Prod1Slot3Promo1Seg4Share</vt:lpstr>
      <vt:lpstr>calcCh1Prod1Slot3Promo1Seg4ShareBase</vt:lpstr>
      <vt:lpstr>calcCh1Prod1Slot3Promo1Vol</vt:lpstr>
      <vt:lpstr>calcCh1Prod1Slot3Promo1VolPWeek</vt:lpstr>
      <vt:lpstr>calcCh1Prod1Slot3Promo1VolUplift</vt:lpstr>
      <vt:lpstr>calcCh1Prod1Slot3Promo1Weeks</vt:lpstr>
      <vt:lpstr>calcCh1Prod1Slot3Promo2CustPrice</vt:lpstr>
      <vt:lpstr>calcCh1Prod1Slot3Promo2CustProfPWeek</vt:lpstr>
      <vt:lpstr>calcCh1Prod1Slot3Promo2CustUplift</vt:lpstr>
      <vt:lpstr>calcCh1Prod1Slot3Promo2GPaLPUnit</vt:lpstr>
      <vt:lpstr>calcCh1Prod1Slot3Promo2GPaLPWeek</vt:lpstr>
      <vt:lpstr>calcCh1Prod1Slot3Promo2GPaLUplift</vt:lpstr>
      <vt:lpstr>calcCh1Prod1Slot3Promo2Plan</vt:lpstr>
      <vt:lpstr>calcCh1Prod1Slot3Promo2PlanEmp1Req</vt:lpstr>
      <vt:lpstr>calcCh1Prod1Slot3Promo2PlanExp</vt:lpstr>
      <vt:lpstr>calcCh1Prod1Slot3Promo2PlanShare</vt:lpstr>
      <vt:lpstr>calcCh1Prod1Slot3Promo2PricePLitre</vt:lpstr>
      <vt:lpstr>calcCh1Prod1Slot3Promo2ROI</vt:lpstr>
      <vt:lpstr>calcCh1Prod1Slot3Promo2Seg1Efficiency</vt:lpstr>
      <vt:lpstr>calcCh1Prod1Slot3Promo2Seg1Fit</vt:lpstr>
      <vt:lpstr>calcCh1Prod1Slot3Promo2Seg1Share</vt:lpstr>
      <vt:lpstr>calcCh1Prod1Slot3Promo2Seg1ShareBase</vt:lpstr>
      <vt:lpstr>calcCh1Prod1Slot3Promo2Seg2Efficiency</vt:lpstr>
      <vt:lpstr>calcCh1Prod1Slot3Promo2Seg2Fit</vt:lpstr>
      <vt:lpstr>calcCh1Prod1Slot3Promo2Seg2Share</vt:lpstr>
      <vt:lpstr>calcCh1Prod1Slot3Promo2Seg2ShareBase</vt:lpstr>
      <vt:lpstr>calcCh1Prod1Slot3Promo2Seg3Efficiency</vt:lpstr>
      <vt:lpstr>calcCh1Prod1Slot3Promo2Seg3Fit</vt:lpstr>
      <vt:lpstr>calcCh1Prod1Slot3Promo2Seg3Share</vt:lpstr>
      <vt:lpstr>calcCh1Prod1Slot3Promo2Seg3ShareBase</vt:lpstr>
      <vt:lpstr>calcCh1Prod1Slot3Promo2Seg4Efficiency</vt:lpstr>
      <vt:lpstr>calcCh1Prod1Slot3Promo2Seg4Fit</vt:lpstr>
      <vt:lpstr>calcCh1Prod1Slot3Promo2Seg4Share</vt:lpstr>
      <vt:lpstr>calcCh1Prod1Slot3Promo2Seg4ShareBase</vt:lpstr>
      <vt:lpstr>calcCh1Prod1Slot3Promo2Vol</vt:lpstr>
      <vt:lpstr>calcCh1Prod1Slot3Promo2VolPWeek</vt:lpstr>
      <vt:lpstr>calcCh1Prod1Slot3Promo2VolUplift</vt:lpstr>
      <vt:lpstr>calcCh1Prod1Slot3Promo2Weeks</vt:lpstr>
      <vt:lpstr>calcCh1Prod1Slot3Seg1PackFit</vt:lpstr>
      <vt:lpstr>calcCh1Prod1Slot3Seg2PackFit</vt:lpstr>
      <vt:lpstr>calcCh1Prod1Slot3Seg3PackFit</vt:lpstr>
      <vt:lpstr>calcCh1Prod1Slot3Seg4PackFit</vt:lpstr>
      <vt:lpstr>calcCh1Prod1Slot3ShelfPrice</vt:lpstr>
      <vt:lpstr>calcCh1Prod1Slot3TotalVolSold</vt:lpstr>
      <vt:lpstr>calcCh1Prod1Slot3ValDrivExp</vt:lpstr>
      <vt:lpstr>calcCh1Prod1Slot3VolForecastSlot</vt:lpstr>
      <vt:lpstr>calcCh1Prod1Slot3WD</vt:lpstr>
      <vt:lpstr>calcCh1Prod1SlotsEnd</vt:lpstr>
      <vt:lpstr>calcCh1Prod1SlotsNew</vt:lpstr>
      <vt:lpstr>calcCh1Prod1SlotsNextEmp1Req</vt:lpstr>
      <vt:lpstr>calcCh1Prod1SlotsNextExp</vt:lpstr>
      <vt:lpstr>calcCh1Prod1SlotsStart</vt:lpstr>
      <vt:lpstr>calcCh1Prod1SlotsTotEmp1Req</vt:lpstr>
      <vt:lpstr>calcCh1Prod1SlotsTotExp</vt:lpstr>
      <vt:lpstr>calcCh1Prod1SlotTotActive</vt:lpstr>
      <vt:lpstr>calcCh1Prod1TotalVolSold</vt:lpstr>
      <vt:lpstr>calcCh1Prod1VolForecastProd</vt:lpstr>
      <vt:lpstr>calcCh1Prod1VolSoldNoPromo</vt:lpstr>
      <vt:lpstr>calcCh1Prod1VolSoldPromo1</vt:lpstr>
      <vt:lpstr>calcCh1Prod1VolSoldPromo2</vt:lpstr>
      <vt:lpstr>calcCh1Prod2AvgCustPrice</vt:lpstr>
      <vt:lpstr>calcCh1Prod2AvgPrice</vt:lpstr>
      <vt:lpstr>calcCh1Prod2AvgPricePromo1</vt:lpstr>
      <vt:lpstr>calcCh1Prod2AvgPricePromo2</vt:lpstr>
      <vt:lpstr>calcCh1Prod2AvgPromoPrice</vt:lpstr>
      <vt:lpstr>calcCh1Prod2CustProfitTot</vt:lpstr>
      <vt:lpstr>calcCh1Prod2PromoROIavg</vt:lpstr>
      <vt:lpstr>calcCh1Prod2PromoRoiMax</vt:lpstr>
      <vt:lpstr>calcCh1Prod2PromoRoiMaxIndex</vt:lpstr>
      <vt:lpstr>calcCh1Prod2PromoRoiMin</vt:lpstr>
      <vt:lpstr>calcCh1Prod2PromoRoiMinIndex</vt:lpstr>
      <vt:lpstr>calcCh1Prod2Seg1AssortmentFit</vt:lpstr>
      <vt:lpstr>calcCh1Prod2Seg2AssortmentFit</vt:lpstr>
      <vt:lpstr>calcCh1Prod2Seg3AssortmentFit</vt:lpstr>
      <vt:lpstr>calcCh1Prod2Seg4AssortmentFit</vt:lpstr>
      <vt:lpstr>calcCh1Prod2Slot1Active</vt:lpstr>
      <vt:lpstr>calcCh1Prod2Slot1AvgPrice</vt:lpstr>
      <vt:lpstr>calcCh1Prod2Slot1AvgSalePrice</vt:lpstr>
      <vt:lpstr>calcCh1Prod2Slot1BaseCustProfPWeek</vt:lpstr>
      <vt:lpstr>calcCh1Prod2Slot1BaseCustUplift</vt:lpstr>
      <vt:lpstr>calcCh1Prod2Slot1BaseGPaLPUnit</vt:lpstr>
      <vt:lpstr>calcCh1Prod2Slot1BaseGPaLPWeek</vt:lpstr>
      <vt:lpstr>calcCh1Prod2Slot1BaseVolPWeek</vt:lpstr>
      <vt:lpstr>calcCh1Prod2Slot1ChVolShare</vt:lpstr>
      <vt:lpstr>calcCh1Prod2Slot1CustPrice</vt:lpstr>
      <vt:lpstr>calcCh1Prod2Slot1CustProfitBase</vt:lpstr>
      <vt:lpstr>calcCh1Prod2Slot1CustProfitBaseMarginAbs</vt:lpstr>
      <vt:lpstr>calcCh1Prod2Slot1CustProfitBaseMarginPct</vt:lpstr>
      <vt:lpstr>calcCh1Prod2Slot1CustProfitBaseVol</vt:lpstr>
      <vt:lpstr>calcCh1Prod2Slot1CustProfitPromo1</vt:lpstr>
      <vt:lpstr>calcCh1Prod2Slot1CustProfitPromo1MarginAbs</vt:lpstr>
      <vt:lpstr>calcCh1Prod2Slot1CustProfitPromo1Vol</vt:lpstr>
      <vt:lpstr>calcCh1Prod2Slot1CustProfitPromo2</vt:lpstr>
      <vt:lpstr>calcCh1Prod2Slot1CustProfitPromo2MarginAbs</vt:lpstr>
      <vt:lpstr>calcCh1Prod2Slot1CustProfitPromo2Vol</vt:lpstr>
      <vt:lpstr>calcCh1Prod2Slot1CustProfitTot</vt:lpstr>
      <vt:lpstr>CalcCh1Prod2Slot1Depreciation</vt:lpstr>
      <vt:lpstr>CalcCh1Prod2Slot1DepreciationPUnit</vt:lpstr>
      <vt:lpstr>CalcCh1Prod2Slot1ManufacturingCostPUnit</vt:lpstr>
      <vt:lpstr>calcCh1Prod2Slot1NoPromoPricePLitre</vt:lpstr>
      <vt:lpstr>calcCh1Prod2Slot1NoPromoVol</vt:lpstr>
      <vt:lpstr>calcCh1Prod2Slot1Pack</vt:lpstr>
      <vt:lpstr>calcCh1Prod2Slot1PackFitBase</vt:lpstr>
      <vt:lpstr>calcCh1Prod2Slot1PriceDif</vt:lpstr>
      <vt:lpstr>calcCh1Prod2Slot1Promo1CustPrice</vt:lpstr>
      <vt:lpstr>calcCh1Prod2Slot1Promo1CustProfPWeek</vt:lpstr>
      <vt:lpstr>calcCh1Prod2Slot1Promo1CustUplift</vt:lpstr>
      <vt:lpstr>calcCh1Prod2Slot1Promo1GPaLPUnit</vt:lpstr>
      <vt:lpstr>calcCh1Prod2Slot1Promo1GPaLPWeek</vt:lpstr>
      <vt:lpstr>calcCh1Prod2Slot1Promo1GPaLUplift</vt:lpstr>
      <vt:lpstr>calcCh1Prod2Slot1Promo1Plan</vt:lpstr>
      <vt:lpstr>calcCh1Prod2Slot1Promo1PlanEmp1Req</vt:lpstr>
      <vt:lpstr>calcCh1Prod2Slot1Promo1PlanExp</vt:lpstr>
      <vt:lpstr>calcCh1Prod2Slot1Promo1PlanShare</vt:lpstr>
      <vt:lpstr>calcCh1Prod2Slot1Promo1PricePLitre</vt:lpstr>
      <vt:lpstr>calcCh1Prod2Slot1Promo1ROI</vt:lpstr>
      <vt:lpstr>calcCh1Prod2Slot1Promo1Seg1Efficiency</vt:lpstr>
      <vt:lpstr>calcCh1Prod2Slot1Promo1Seg1Fit</vt:lpstr>
      <vt:lpstr>calcCh1Prod2Slot1Promo1Seg1Share</vt:lpstr>
      <vt:lpstr>calcCh1Prod2Slot1Promo1Seg1ShareBase</vt:lpstr>
      <vt:lpstr>calcCh1Prod2Slot1Promo1Seg2Efficiency</vt:lpstr>
      <vt:lpstr>calcCh1Prod2Slot1Promo1Seg2Fit</vt:lpstr>
      <vt:lpstr>calcCh1Prod2Slot1Promo1Seg2Share</vt:lpstr>
      <vt:lpstr>calcCh1Prod2Slot1Promo1Seg2ShareBase</vt:lpstr>
      <vt:lpstr>calcCh1Prod2Slot1Promo1Seg3Efficiency</vt:lpstr>
      <vt:lpstr>calcCh1Prod2Slot1Promo1Seg3Fit</vt:lpstr>
      <vt:lpstr>calcCh1Prod2Slot1Promo1Seg3Share</vt:lpstr>
      <vt:lpstr>calcCh1Prod2Slot1Promo1Seg3ShareBase</vt:lpstr>
      <vt:lpstr>calcCh1Prod2Slot1Promo1Seg4Efficiency</vt:lpstr>
      <vt:lpstr>calcCh1Prod2Slot1Promo1Seg4Fit</vt:lpstr>
      <vt:lpstr>calcCh1Prod2Slot1Promo1Seg4Share</vt:lpstr>
      <vt:lpstr>calcCh1Prod2Slot1Promo1Seg4ShareBase</vt:lpstr>
      <vt:lpstr>calcCh1Prod2Slot1Promo1Vol</vt:lpstr>
      <vt:lpstr>calcCh1Prod2Slot1Promo1VolPWeek</vt:lpstr>
      <vt:lpstr>calcCh1Prod2Slot1Promo1VolUplift</vt:lpstr>
      <vt:lpstr>calcCh1Prod2Slot1Promo1Weeks</vt:lpstr>
      <vt:lpstr>calcCh1Prod2Slot1Promo2CustPrice</vt:lpstr>
      <vt:lpstr>calcCh1Prod2Slot1Promo2CustProfPWeek</vt:lpstr>
      <vt:lpstr>calcCh1Prod2Slot1Promo2CustUplift</vt:lpstr>
      <vt:lpstr>calcCh1Prod2Slot1Promo2GPaLPUnit</vt:lpstr>
      <vt:lpstr>calcCh1Prod2Slot1Promo2GPaLPWeek</vt:lpstr>
      <vt:lpstr>calcCh1Prod2Slot1Promo2GPaLUplift</vt:lpstr>
      <vt:lpstr>calcCh1Prod2Slot1Promo2Plan</vt:lpstr>
      <vt:lpstr>calcCh1Prod2Slot1Promo2PlanEmp1Req</vt:lpstr>
      <vt:lpstr>calcCh1Prod2Slot1Promo2PlanExp</vt:lpstr>
      <vt:lpstr>calcCh1Prod2Slot1Promo2PlanShare</vt:lpstr>
      <vt:lpstr>calcCh1Prod2Slot1Promo2PricePLitre</vt:lpstr>
      <vt:lpstr>calcCh1Prod2Slot1Promo2ROI</vt:lpstr>
      <vt:lpstr>calcCh1Prod2Slot1Promo2Seg1Efficiency</vt:lpstr>
      <vt:lpstr>calcCh1Prod2Slot1Promo2Seg1Fit</vt:lpstr>
      <vt:lpstr>calcCh1Prod2Slot1Promo2Seg1Share</vt:lpstr>
      <vt:lpstr>calcCh1Prod2Slot1Promo2Seg1ShareBase</vt:lpstr>
      <vt:lpstr>calcCh1Prod2Slot1Promo2Seg2Efficiency</vt:lpstr>
      <vt:lpstr>calcCh1Prod2Slot1Promo2Seg2Fit</vt:lpstr>
      <vt:lpstr>calcCh1Prod2Slot1Promo2Seg2Share</vt:lpstr>
      <vt:lpstr>calcCh1Prod2Slot1Promo2Seg2ShareBase</vt:lpstr>
      <vt:lpstr>calcCh1Prod2Slot1Promo2Seg3Efficiency</vt:lpstr>
      <vt:lpstr>calcCh1Prod2Slot1Promo2Seg3Fit</vt:lpstr>
      <vt:lpstr>calcCh1Prod2Slot1Promo2Seg3Share</vt:lpstr>
      <vt:lpstr>calcCh1Prod2Slot1Promo2Seg3ShareBase</vt:lpstr>
      <vt:lpstr>calcCh1Prod2Slot1Promo2Seg4Efficiency</vt:lpstr>
      <vt:lpstr>calcCh1Prod2Slot1Promo2Seg4Fit</vt:lpstr>
      <vt:lpstr>calcCh1Prod2Slot1Promo2Seg4Share</vt:lpstr>
      <vt:lpstr>calcCh1Prod2Slot1Promo2Seg4ShareBase</vt:lpstr>
      <vt:lpstr>calcCh1Prod2Slot1Promo2Vol</vt:lpstr>
      <vt:lpstr>calcCh1Prod2Slot1Promo2VolPWeek</vt:lpstr>
      <vt:lpstr>calcCh1Prod2Slot1Promo2VolUplift</vt:lpstr>
      <vt:lpstr>calcCh1Prod2Slot1Promo2Weeks</vt:lpstr>
      <vt:lpstr>calcCh1Prod2Slot1Seg1PackFit</vt:lpstr>
      <vt:lpstr>calcCh1Prod2Slot1Seg2PackFit</vt:lpstr>
      <vt:lpstr>calcCh1Prod2Slot1Seg3PackFit</vt:lpstr>
      <vt:lpstr>calcCh1Prod2Slot1Seg4PackFit</vt:lpstr>
      <vt:lpstr>calcCh1Prod2Slot1ShelfPrice</vt:lpstr>
      <vt:lpstr>calcCh1Prod2Slot1TotalVolSold</vt:lpstr>
      <vt:lpstr>calcCh1Prod2Slot1ValDrivExp</vt:lpstr>
      <vt:lpstr>calcCh1Prod2Slot1VolForecastSlot</vt:lpstr>
      <vt:lpstr>calcCh1Prod2Slot1WD</vt:lpstr>
      <vt:lpstr>calcCh1Prod2Slot2Active</vt:lpstr>
      <vt:lpstr>calcCh1Prod2Slot2AvgPrice</vt:lpstr>
      <vt:lpstr>calcCh1Prod2Slot2AvgSalePrice</vt:lpstr>
      <vt:lpstr>calcCh1Prod2Slot2BaseCustProfPWeek</vt:lpstr>
      <vt:lpstr>calcCh1Prod2Slot2BaseCustUplift</vt:lpstr>
      <vt:lpstr>calcCh1Prod2Slot2BaseGPaLPUnit</vt:lpstr>
      <vt:lpstr>calcCh1Prod2Slot2BaseGPaLPWeek</vt:lpstr>
      <vt:lpstr>calcCh1Prod2Slot2BaseVolPWeek</vt:lpstr>
      <vt:lpstr>calcCh1Prod2Slot2ChVolShare</vt:lpstr>
      <vt:lpstr>calcCh1Prod2Slot2CustPrice</vt:lpstr>
      <vt:lpstr>calcCh1Prod2Slot2CustProfitBase</vt:lpstr>
      <vt:lpstr>calcCh1Prod2Slot2CustProfitBaseMarginAbs</vt:lpstr>
      <vt:lpstr>calcCh1Prod2Slot2CustProfitBaseMarginPct</vt:lpstr>
      <vt:lpstr>calcCh1Prod2Slot2CustProfitBaseVol</vt:lpstr>
      <vt:lpstr>calcCh1Prod2Slot2CustProfitPromo1</vt:lpstr>
      <vt:lpstr>calcCh1Prod2Slot2CustProfitPromo1MarginAbs</vt:lpstr>
      <vt:lpstr>calcCh1Prod2Slot2CustProfitPromo1Vol</vt:lpstr>
      <vt:lpstr>calcCh1Prod2Slot2CustProfitPromo2</vt:lpstr>
      <vt:lpstr>calcCh1Prod2Slot2CustProfitPromo2MarginAbs</vt:lpstr>
      <vt:lpstr>calcCh1Prod2Slot2CustProfitPromo2Vol</vt:lpstr>
      <vt:lpstr>calcCh1Prod2Slot2CustProfitTot</vt:lpstr>
      <vt:lpstr>CalcCh1Prod2Slot2Depreciation</vt:lpstr>
      <vt:lpstr>CalcCh1Prod2Slot2DepreciationPUnit</vt:lpstr>
      <vt:lpstr>CalcCh1Prod2Slot2ManufacturingCostPUnit</vt:lpstr>
      <vt:lpstr>calcCh1Prod2Slot2NoPromoPricePLitre</vt:lpstr>
      <vt:lpstr>calcCh1Prod2Slot2NoPromoVol</vt:lpstr>
      <vt:lpstr>calcCh1Prod2Slot2Pack</vt:lpstr>
      <vt:lpstr>calcCh1Prod2Slot2PackFitBase</vt:lpstr>
      <vt:lpstr>calcCh1Prod2Slot2PriceDif</vt:lpstr>
      <vt:lpstr>calcCh1Prod2Slot2Promo1CustPrice</vt:lpstr>
      <vt:lpstr>calcCh1Prod2Slot2Promo1CustProfPWeek</vt:lpstr>
      <vt:lpstr>calcCh1Prod2Slot2Promo1CustUplift</vt:lpstr>
      <vt:lpstr>calcCh1Prod2Slot2Promo1GPaLPUnit</vt:lpstr>
      <vt:lpstr>calcCh1Prod2Slot2Promo1GPaLPWeek</vt:lpstr>
      <vt:lpstr>calcCh1Prod2Slot2Promo1GPaLUplift</vt:lpstr>
      <vt:lpstr>calcCh1Prod2Slot2Promo1Plan</vt:lpstr>
      <vt:lpstr>calcCh1Prod2Slot2Promo1PlanEmp1Req</vt:lpstr>
      <vt:lpstr>calcCh1Prod2Slot2Promo1PlanExp</vt:lpstr>
      <vt:lpstr>calcCh1Prod2Slot2Promo1PlanShare</vt:lpstr>
      <vt:lpstr>calcCh1Prod2Slot2Promo1PricePLitre</vt:lpstr>
      <vt:lpstr>calcCh1Prod2Slot2Promo1ROI</vt:lpstr>
      <vt:lpstr>calcCh1Prod2Slot2Promo1Seg1Efficiency</vt:lpstr>
      <vt:lpstr>calcCh1Prod2Slot2Promo1Seg1Fit</vt:lpstr>
      <vt:lpstr>calcCh1Prod2Slot2Promo1Seg1Share</vt:lpstr>
      <vt:lpstr>calcCh1Prod2Slot2Promo1Seg1ShareBase</vt:lpstr>
      <vt:lpstr>calcCh1Prod2Slot2Promo1Seg2Efficiency</vt:lpstr>
      <vt:lpstr>calcCh1Prod2Slot2Promo1Seg2Fit</vt:lpstr>
      <vt:lpstr>calcCh1Prod2Slot2Promo1Seg2Share</vt:lpstr>
      <vt:lpstr>calcCh1Prod2Slot2Promo1Seg2ShareBase</vt:lpstr>
      <vt:lpstr>calcCh1Prod2Slot2Promo1Seg3Efficiency</vt:lpstr>
      <vt:lpstr>calcCh1Prod2Slot2Promo1Seg3Fit</vt:lpstr>
      <vt:lpstr>calcCh1Prod2Slot2Promo1Seg3Share</vt:lpstr>
      <vt:lpstr>calcCh1Prod2Slot2Promo1Seg3ShareBase</vt:lpstr>
      <vt:lpstr>calcCh1Prod2Slot2Promo1Seg4Efficiency</vt:lpstr>
      <vt:lpstr>calcCh1Prod2Slot2Promo1Seg4Fit</vt:lpstr>
      <vt:lpstr>calcCh1Prod2Slot2Promo1Seg4Share</vt:lpstr>
      <vt:lpstr>calcCh1Prod2Slot2Promo1Seg4ShareBase</vt:lpstr>
      <vt:lpstr>calcCh1Prod2Slot2Promo1Vol</vt:lpstr>
      <vt:lpstr>calcCh1Prod2Slot2Promo1VolPWeek</vt:lpstr>
      <vt:lpstr>calcCh1Prod2Slot2Promo1VolUplift</vt:lpstr>
      <vt:lpstr>calcCh1Prod2Slot2Promo1Weeks</vt:lpstr>
      <vt:lpstr>calcCh1Prod2Slot2Promo2CustPrice</vt:lpstr>
      <vt:lpstr>calcCh1Prod2Slot2Promo2CustProfPWeek</vt:lpstr>
      <vt:lpstr>calcCh1Prod2Slot2Promo2CustUplift</vt:lpstr>
      <vt:lpstr>calcCh1Prod2Slot2Promo2GPaLPUnit</vt:lpstr>
      <vt:lpstr>calcCh1Prod2Slot2Promo2GPaLPWeek</vt:lpstr>
      <vt:lpstr>calcCh1Prod2Slot2Promo2GPaLUplift</vt:lpstr>
      <vt:lpstr>calcCh1Prod2Slot2Promo2Plan</vt:lpstr>
      <vt:lpstr>calcCh1Prod2Slot2Promo2PlanEmp1Req</vt:lpstr>
      <vt:lpstr>calcCh1Prod2Slot2Promo2PlanExp</vt:lpstr>
      <vt:lpstr>calcCh1Prod2Slot2Promo2PlanShare</vt:lpstr>
      <vt:lpstr>calcCh1Prod2Slot2Promo2PricePLitre</vt:lpstr>
      <vt:lpstr>calcCh1Prod2Slot2Promo2ROI</vt:lpstr>
      <vt:lpstr>calcCh1Prod2Slot2Promo2Seg1Efficiency</vt:lpstr>
      <vt:lpstr>calcCh1Prod2Slot2Promo2Seg1Fit</vt:lpstr>
      <vt:lpstr>calcCh1Prod2Slot2Promo2Seg1Share</vt:lpstr>
      <vt:lpstr>calcCh1Prod2Slot2Promo2Seg1ShareBase</vt:lpstr>
      <vt:lpstr>calcCh1Prod2Slot2Promo2Seg2Efficiency</vt:lpstr>
      <vt:lpstr>calcCh1Prod2Slot2Promo2Seg2Fit</vt:lpstr>
      <vt:lpstr>calcCh1Prod2Slot2Promo2Seg2Share</vt:lpstr>
      <vt:lpstr>calcCh1Prod2Slot2Promo2Seg2ShareBase</vt:lpstr>
      <vt:lpstr>calcCh1Prod2Slot2Promo2Seg3Efficiency</vt:lpstr>
      <vt:lpstr>calcCh1Prod2Slot2Promo2Seg3Fit</vt:lpstr>
      <vt:lpstr>calcCh1Prod2Slot2Promo2Seg3Share</vt:lpstr>
      <vt:lpstr>calcCh1Prod2Slot2Promo2Seg3ShareBase</vt:lpstr>
      <vt:lpstr>calcCh1Prod2Slot2Promo2Seg4Efficiency</vt:lpstr>
      <vt:lpstr>calcCh1Prod2Slot2Promo2Seg4Fit</vt:lpstr>
      <vt:lpstr>calcCh1Prod2Slot2Promo2Seg4Share</vt:lpstr>
      <vt:lpstr>calcCh1Prod2Slot2Promo2Seg4ShareBase</vt:lpstr>
      <vt:lpstr>calcCh1Prod2Slot2Promo2Vol</vt:lpstr>
      <vt:lpstr>calcCh1Prod2Slot2Promo2VolPWeek</vt:lpstr>
      <vt:lpstr>calcCh1Prod2Slot2Promo2VolUplift</vt:lpstr>
      <vt:lpstr>calcCh1Prod2Slot2Promo2Weeks</vt:lpstr>
      <vt:lpstr>calcCh1Prod2Slot2Seg1PackFit</vt:lpstr>
      <vt:lpstr>calcCh1Prod2Slot2Seg2PackFit</vt:lpstr>
      <vt:lpstr>calcCh1Prod2Slot2Seg3PackFit</vt:lpstr>
      <vt:lpstr>calcCh1Prod2Slot2Seg4PackFit</vt:lpstr>
      <vt:lpstr>calcCh1Prod2Slot2ShelfPrice</vt:lpstr>
      <vt:lpstr>calcCh1Prod2Slot2TotalVolSold</vt:lpstr>
      <vt:lpstr>calcCh1Prod2Slot2ValDrivExp</vt:lpstr>
      <vt:lpstr>calcCh1Prod2Slot2VolForecastSlot</vt:lpstr>
      <vt:lpstr>calcCh1Prod2Slot2WD</vt:lpstr>
      <vt:lpstr>calcCh1Prod2Slot3Active</vt:lpstr>
      <vt:lpstr>calcCh1Prod2Slot3AvgPrice</vt:lpstr>
      <vt:lpstr>calcCh1Prod2Slot3AvgSalePrice</vt:lpstr>
      <vt:lpstr>calcCh1Prod2Slot3BaseCustProfPWeek</vt:lpstr>
      <vt:lpstr>calcCh1Prod2Slot3BaseCustUplift</vt:lpstr>
      <vt:lpstr>calcCh1Prod2Slot3BaseGPaLPUnit</vt:lpstr>
      <vt:lpstr>calcCh1Prod2Slot3BaseGPaLPWeek</vt:lpstr>
      <vt:lpstr>calcCh1Prod2Slot3BaseVolPWeek</vt:lpstr>
      <vt:lpstr>calcCh1Prod2Slot3ChVolShare</vt:lpstr>
      <vt:lpstr>calcCh1Prod2Slot3CustPrice</vt:lpstr>
      <vt:lpstr>calcCh1Prod2Slot3CustProfitBase</vt:lpstr>
      <vt:lpstr>calcCh1Prod2Slot3CustProfitBaseMarginAbs</vt:lpstr>
      <vt:lpstr>calcCh1Prod2Slot3CustProfitBaseMarginPct</vt:lpstr>
      <vt:lpstr>calcCh1Prod2Slot3CustProfitBaseVol</vt:lpstr>
      <vt:lpstr>calcCh1Prod2Slot3CustProfitPromo1</vt:lpstr>
      <vt:lpstr>calcCh1Prod2Slot3CustProfitPromo1MarginAbs</vt:lpstr>
      <vt:lpstr>calcCh1Prod2Slot3CustProfitPromo1Vol</vt:lpstr>
      <vt:lpstr>calcCh1Prod2Slot3CustProfitPromo2</vt:lpstr>
      <vt:lpstr>calcCh1Prod2Slot3CustProfitPromo2MarginAbs</vt:lpstr>
      <vt:lpstr>calcCh1Prod2Slot3CustProfitPromo2Vol</vt:lpstr>
      <vt:lpstr>calcCh1Prod2Slot3CustProfitTot</vt:lpstr>
      <vt:lpstr>CalcCh1Prod2Slot3Depreciation</vt:lpstr>
      <vt:lpstr>CalcCh1Prod2Slot3DepreciationPUnit</vt:lpstr>
      <vt:lpstr>CalcCh1Prod2Slot3ManufacturingCostPUnit</vt:lpstr>
      <vt:lpstr>calcCh1Prod2Slot3NoPromoPricePLitre</vt:lpstr>
      <vt:lpstr>calcCh1Prod2Slot3NoPromoVol</vt:lpstr>
      <vt:lpstr>calcCh1Prod2Slot3Pack</vt:lpstr>
      <vt:lpstr>calcCh1Prod2Slot3PackFitBase</vt:lpstr>
      <vt:lpstr>calcCh1Prod2Slot3PriceDif</vt:lpstr>
      <vt:lpstr>calcCh1Prod2Slot3Promo1CustPrice</vt:lpstr>
      <vt:lpstr>calcCh1Prod2Slot3Promo1CustProfPWeek</vt:lpstr>
      <vt:lpstr>calcCh1Prod2Slot3Promo1CustUplift</vt:lpstr>
      <vt:lpstr>calcCh1Prod2Slot3Promo1GPaLPUnit</vt:lpstr>
      <vt:lpstr>calcCh1Prod2Slot3Promo1GPaLPWeek</vt:lpstr>
      <vt:lpstr>calcCh1Prod2Slot3Promo1GPaLUplift</vt:lpstr>
      <vt:lpstr>calcCh1Prod2Slot3Promo1Plan</vt:lpstr>
      <vt:lpstr>calcCh1Prod2Slot3Promo1PlanEmp1Req</vt:lpstr>
      <vt:lpstr>calcCh1Prod2Slot3Promo1PlanExp</vt:lpstr>
      <vt:lpstr>calcCh1Prod2Slot3Promo1PlanShare</vt:lpstr>
      <vt:lpstr>calcCh1Prod2Slot3Promo1PricePLitre</vt:lpstr>
      <vt:lpstr>calcCh1Prod2Slot3Promo1ROI</vt:lpstr>
      <vt:lpstr>calcCh1Prod2Slot3Promo1Seg1Efficiency</vt:lpstr>
      <vt:lpstr>calcCh1Prod2Slot3Promo1Seg1Fit</vt:lpstr>
      <vt:lpstr>calcCh1Prod2Slot3Promo1Seg1Share</vt:lpstr>
      <vt:lpstr>calcCh1Prod2Slot3Promo1Seg1ShareBase</vt:lpstr>
      <vt:lpstr>calcCh1Prod2Slot3Promo1Seg2Efficiency</vt:lpstr>
      <vt:lpstr>calcCh1Prod2Slot3Promo1Seg2Fit</vt:lpstr>
      <vt:lpstr>calcCh1Prod2Slot3Promo1Seg2Share</vt:lpstr>
      <vt:lpstr>calcCh1Prod2Slot3Promo1Seg2ShareBase</vt:lpstr>
      <vt:lpstr>calcCh1Prod2Slot3Promo1Seg3Efficiency</vt:lpstr>
      <vt:lpstr>calcCh1Prod2Slot3Promo1Seg3Fit</vt:lpstr>
      <vt:lpstr>calcCh1Prod2Slot3Promo1Seg3Share</vt:lpstr>
      <vt:lpstr>calcCh1Prod2Slot3Promo1Seg3ShareBase</vt:lpstr>
      <vt:lpstr>calcCh1Prod2Slot3Promo1Seg4Efficiency</vt:lpstr>
      <vt:lpstr>calcCh1Prod2Slot3Promo1Seg4Fit</vt:lpstr>
      <vt:lpstr>calcCh1Prod2Slot3Promo1Seg4Share</vt:lpstr>
      <vt:lpstr>calcCh1Prod2Slot3Promo1Seg4ShareBase</vt:lpstr>
      <vt:lpstr>calcCh1Prod2Slot3Promo1Vol</vt:lpstr>
      <vt:lpstr>calcCh1Prod2Slot3Promo1VolPWeek</vt:lpstr>
      <vt:lpstr>calcCh1Prod2Slot3Promo1VolUplift</vt:lpstr>
      <vt:lpstr>calcCh1Prod2Slot3Promo1Weeks</vt:lpstr>
      <vt:lpstr>calcCh1Prod2Slot3Promo2CustPrice</vt:lpstr>
      <vt:lpstr>calcCh1Prod2Slot3Promo2CustProfPWeek</vt:lpstr>
      <vt:lpstr>calcCh1Prod2Slot3Promo2CustUplift</vt:lpstr>
      <vt:lpstr>calcCh1Prod2Slot3Promo2GPaLPUnit</vt:lpstr>
      <vt:lpstr>calcCh1Prod2Slot3Promo2GPaLPWeek</vt:lpstr>
      <vt:lpstr>calcCh1Prod2Slot3Promo2GPaLUplift</vt:lpstr>
      <vt:lpstr>calcCh1Prod2Slot3Promo2Plan</vt:lpstr>
      <vt:lpstr>calcCh1Prod2Slot3Promo2PlanEmp1Req</vt:lpstr>
      <vt:lpstr>calcCh1Prod2Slot3Promo2PlanExp</vt:lpstr>
      <vt:lpstr>calcCh1Prod2Slot3Promo2PlanShare</vt:lpstr>
      <vt:lpstr>calcCh1Prod2Slot3Promo2PricePLitre</vt:lpstr>
      <vt:lpstr>calcCh1Prod2Slot3Promo2ROI</vt:lpstr>
      <vt:lpstr>calcCh1Prod2Slot3Promo2Seg1Efficiency</vt:lpstr>
      <vt:lpstr>calcCh1Prod2Slot3Promo2Seg1Fit</vt:lpstr>
      <vt:lpstr>calcCh1Prod2Slot3Promo2Seg1Share</vt:lpstr>
      <vt:lpstr>calcCh1Prod2Slot3Promo2Seg1ShareBase</vt:lpstr>
      <vt:lpstr>calcCh1Prod2Slot3Promo2Seg2Efficiency</vt:lpstr>
      <vt:lpstr>calcCh1Prod2Slot3Promo2Seg2Fit</vt:lpstr>
      <vt:lpstr>calcCh1Prod2Slot3Promo2Seg2Share</vt:lpstr>
      <vt:lpstr>calcCh1Prod2Slot3Promo2Seg2ShareBase</vt:lpstr>
      <vt:lpstr>calcCh1Prod2Slot3Promo2Seg3Efficiency</vt:lpstr>
      <vt:lpstr>calcCh1Prod2Slot3Promo2Seg3Fit</vt:lpstr>
      <vt:lpstr>calcCh1Prod2Slot3Promo2Seg3Share</vt:lpstr>
      <vt:lpstr>calcCh1Prod2Slot3Promo2Seg3ShareBase</vt:lpstr>
      <vt:lpstr>calcCh1Prod2Slot3Promo2Seg4Efficiency</vt:lpstr>
      <vt:lpstr>calcCh1Prod2Slot3Promo2Seg4Fit</vt:lpstr>
      <vt:lpstr>calcCh1Prod2Slot3Promo2Seg4Share</vt:lpstr>
      <vt:lpstr>calcCh1Prod2Slot3Promo2Seg4ShareBase</vt:lpstr>
      <vt:lpstr>calcCh1Prod2Slot3Promo2Vol</vt:lpstr>
      <vt:lpstr>calcCh1Prod2Slot3Promo2VolPWeek</vt:lpstr>
      <vt:lpstr>calcCh1Prod2Slot3Promo2VolUplift</vt:lpstr>
      <vt:lpstr>calcCh1Prod2Slot3Promo2Weeks</vt:lpstr>
      <vt:lpstr>calcCh1Prod2Slot3Seg1PackFit</vt:lpstr>
      <vt:lpstr>calcCh1Prod2Slot3Seg2PackFit</vt:lpstr>
      <vt:lpstr>calcCh1Prod2Slot3Seg3PackFit</vt:lpstr>
      <vt:lpstr>calcCh1Prod2Slot3Seg4PackFit</vt:lpstr>
      <vt:lpstr>calcCh1Prod2Slot3ShelfPrice</vt:lpstr>
      <vt:lpstr>calcCh1Prod2Slot3TotalVolSold</vt:lpstr>
      <vt:lpstr>calcCh1Prod2Slot3ValDrivExp</vt:lpstr>
      <vt:lpstr>calcCh1Prod2Slot3VolForecastSlot</vt:lpstr>
      <vt:lpstr>calcCh1Prod2Slot3WD</vt:lpstr>
      <vt:lpstr>calcCh1Prod2SlotsEnd</vt:lpstr>
      <vt:lpstr>calcCh1Prod2SlotsNew</vt:lpstr>
      <vt:lpstr>calcCh1Prod2SlotsNextEmp1Req</vt:lpstr>
      <vt:lpstr>calcCh1Prod2SlotsNextExp</vt:lpstr>
      <vt:lpstr>calcCh1Prod2SlotsStart</vt:lpstr>
      <vt:lpstr>calcCh1Prod2SlotsTotEmp1Req</vt:lpstr>
      <vt:lpstr>calcCh1Prod2SlotsTotExp</vt:lpstr>
      <vt:lpstr>calcCh1Prod2SlotTotActive</vt:lpstr>
      <vt:lpstr>calcCh1Prod2TotalVolSold</vt:lpstr>
      <vt:lpstr>calcCh1Prod2VolForecastProd</vt:lpstr>
      <vt:lpstr>calcCh1Prod2VolSoldNoPromo</vt:lpstr>
      <vt:lpstr>calcCh1Prod2VolSoldPromo1</vt:lpstr>
      <vt:lpstr>calcCh1Prod2VolSoldPromo2</vt:lpstr>
      <vt:lpstr>calcCh1Prod3AvgCustPrice</vt:lpstr>
      <vt:lpstr>calcCh1Prod3AvgPrice</vt:lpstr>
      <vt:lpstr>calcCh1Prod3AvgPricePromo1</vt:lpstr>
      <vt:lpstr>calcCh1Prod3AvgPricePromo2</vt:lpstr>
      <vt:lpstr>calcCh1Prod3AvgPromoPrice</vt:lpstr>
      <vt:lpstr>calcCh1Prod3CustProfitTot</vt:lpstr>
      <vt:lpstr>calcCh1Prod3PromoROIavg</vt:lpstr>
      <vt:lpstr>calcCh1Prod3PromoRoiMax</vt:lpstr>
      <vt:lpstr>calcCh1Prod3PromoRoiMaxIndex</vt:lpstr>
      <vt:lpstr>calcCh1Prod3PromoRoiMin</vt:lpstr>
      <vt:lpstr>calcCh1Prod3PromoRoiMinIndex</vt:lpstr>
      <vt:lpstr>calcCh1Prod3Seg1AssortmentFit</vt:lpstr>
      <vt:lpstr>calcCh1Prod3Seg2AssortmentFit</vt:lpstr>
      <vt:lpstr>calcCh1Prod3Seg3AssortmentFit</vt:lpstr>
      <vt:lpstr>calcCh1Prod3Seg4AssortmentFit</vt:lpstr>
      <vt:lpstr>calcCh1Prod3Slot1Active</vt:lpstr>
      <vt:lpstr>calcCh1Prod3Slot1AvgPrice</vt:lpstr>
      <vt:lpstr>calcCh1Prod3Slot1AvgSalePrice</vt:lpstr>
      <vt:lpstr>calcCh1Prod3Slot1BaseCustProfPWeek</vt:lpstr>
      <vt:lpstr>calcCh1Prod3Slot1BaseCustUplift</vt:lpstr>
      <vt:lpstr>calcCh1Prod3Slot1BaseGPaLPUnit</vt:lpstr>
      <vt:lpstr>calcCh1Prod3Slot1BaseGPaLPWeek</vt:lpstr>
      <vt:lpstr>calcCh1Prod3Slot1BaseVolPWeek</vt:lpstr>
      <vt:lpstr>calcCh1Prod3Slot1ChVolShare</vt:lpstr>
      <vt:lpstr>calcCh1Prod3Slot1CustPrice</vt:lpstr>
      <vt:lpstr>calcCh1Prod3Slot1CustProfitBase</vt:lpstr>
      <vt:lpstr>calcCh1Prod3Slot1CustProfitBaseMarginAbs</vt:lpstr>
      <vt:lpstr>calcCh1Prod3Slot1CustProfitBaseMarginPct</vt:lpstr>
      <vt:lpstr>calcCh1Prod3Slot1CustProfitBaseVol</vt:lpstr>
      <vt:lpstr>calcCh1Prod3Slot1CustProfitPromo1</vt:lpstr>
      <vt:lpstr>calcCh1Prod3Slot1CustProfitPromo1MarginAbs</vt:lpstr>
      <vt:lpstr>calcCh1Prod3Slot1CustProfitPromo1Vol</vt:lpstr>
      <vt:lpstr>calcCh1Prod3Slot1CustProfitPromo2</vt:lpstr>
      <vt:lpstr>calcCh1Prod3Slot1CustProfitPromo2MarginAbs</vt:lpstr>
      <vt:lpstr>calcCh1Prod3Slot1CustProfitPromo2Vol</vt:lpstr>
      <vt:lpstr>calcCh1Prod3Slot1CustProfitTot</vt:lpstr>
      <vt:lpstr>CalcCh1Prod3Slot1Depreciation</vt:lpstr>
      <vt:lpstr>CalcCh1Prod3Slot1DepreciationPUnit</vt:lpstr>
      <vt:lpstr>CalcCh1Prod3Slot1ManufacturingCostPUnit</vt:lpstr>
      <vt:lpstr>calcCh1Prod3Slot1NoPromoPricePLitre</vt:lpstr>
      <vt:lpstr>calcCh1Prod3Slot1NoPromoVol</vt:lpstr>
      <vt:lpstr>calcCh1Prod3Slot1Pack</vt:lpstr>
      <vt:lpstr>calcCh1Prod3Slot1PackFitBase</vt:lpstr>
      <vt:lpstr>calcCh1Prod3Slot1PriceDif</vt:lpstr>
      <vt:lpstr>calcCh1Prod3Slot1Promo1CustPrice</vt:lpstr>
      <vt:lpstr>calcCh1Prod3Slot1Promo1CustProfPWeek</vt:lpstr>
      <vt:lpstr>calcCh1Prod3Slot1Promo1CustUplift</vt:lpstr>
      <vt:lpstr>calcCh1Prod3Slot1Promo1GPaLPUnit</vt:lpstr>
      <vt:lpstr>calcCh1Prod3Slot1Promo1GPaLPWeek</vt:lpstr>
      <vt:lpstr>calcCh1Prod3Slot1Promo1GPaLUplift</vt:lpstr>
      <vt:lpstr>calcCh1Prod3Slot1Promo1Plan</vt:lpstr>
      <vt:lpstr>calcCh1Prod3Slot1Promo1PlanEmp1Req</vt:lpstr>
      <vt:lpstr>calcCh1Prod3Slot1Promo1PlanExp</vt:lpstr>
      <vt:lpstr>calcCh1Prod3Slot1Promo1PlanShare</vt:lpstr>
      <vt:lpstr>calcCh1Prod3Slot1Promo1PricePLitre</vt:lpstr>
      <vt:lpstr>calcCh1Prod3Slot1Promo1ROI</vt:lpstr>
      <vt:lpstr>calcCh1Prod3Slot1Promo1Seg1Efficiency</vt:lpstr>
      <vt:lpstr>calcCh1Prod3Slot1Promo1Seg1Fit</vt:lpstr>
      <vt:lpstr>calcCh1Prod3Slot1Promo1Seg1Share</vt:lpstr>
      <vt:lpstr>calcCh1Prod3Slot1Promo1Seg1ShareBase</vt:lpstr>
      <vt:lpstr>calcCh1Prod3Slot1Promo1Seg2Efficiency</vt:lpstr>
      <vt:lpstr>calcCh1Prod3Slot1Promo1Seg2Fit</vt:lpstr>
      <vt:lpstr>calcCh1Prod3Slot1Promo1Seg2Share</vt:lpstr>
      <vt:lpstr>calcCh1Prod3Slot1Promo1Seg2ShareBase</vt:lpstr>
      <vt:lpstr>calcCh1Prod3Slot1Promo1Seg3Efficiency</vt:lpstr>
      <vt:lpstr>calcCh1Prod3Slot1Promo1Seg3Fit</vt:lpstr>
      <vt:lpstr>calcCh1Prod3Slot1Promo1Seg3Share</vt:lpstr>
      <vt:lpstr>calcCh1Prod3Slot1Promo1Seg3ShareBase</vt:lpstr>
      <vt:lpstr>calcCh1Prod3Slot1Promo1Seg4Efficiency</vt:lpstr>
      <vt:lpstr>calcCh1Prod3Slot1Promo1Seg4Fit</vt:lpstr>
      <vt:lpstr>calcCh1Prod3Slot1Promo1Seg4Share</vt:lpstr>
      <vt:lpstr>calcCh1Prod3Slot1Promo1Seg4ShareBase</vt:lpstr>
      <vt:lpstr>calcCh1Prod3Slot1Promo1Vol</vt:lpstr>
      <vt:lpstr>calcCh1Prod3Slot1Promo1VolPWeek</vt:lpstr>
      <vt:lpstr>calcCh1Prod3Slot1Promo1VolUplift</vt:lpstr>
      <vt:lpstr>calcCh1Prod3Slot1Promo1Weeks</vt:lpstr>
      <vt:lpstr>calcCh1Prod3Slot1Promo2CustPrice</vt:lpstr>
      <vt:lpstr>calcCh1Prod3Slot1Promo2CustProfPWeek</vt:lpstr>
      <vt:lpstr>calcCh1Prod3Slot1Promo2CustUplift</vt:lpstr>
      <vt:lpstr>calcCh1Prod3Slot1Promo2GPaLPUnit</vt:lpstr>
      <vt:lpstr>calcCh1Prod3Slot1Promo2GPaLPWeek</vt:lpstr>
      <vt:lpstr>calcCh1Prod3Slot1Promo2GPaLUplift</vt:lpstr>
      <vt:lpstr>calcCh1Prod3Slot1Promo2Plan</vt:lpstr>
      <vt:lpstr>calcCh1Prod3Slot1Promo2PlanEmp1Req</vt:lpstr>
      <vt:lpstr>calcCh1Prod3Slot1Promo2PlanExp</vt:lpstr>
      <vt:lpstr>calcCh1Prod3Slot1Promo2PlanShare</vt:lpstr>
      <vt:lpstr>calcCh1Prod3Slot1Promo2PricePLitre</vt:lpstr>
      <vt:lpstr>calcCh1Prod3Slot1Promo2ROI</vt:lpstr>
      <vt:lpstr>calcCh1Prod3Slot1Promo2Seg1Efficiency</vt:lpstr>
      <vt:lpstr>calcCh1Prod3Slot1Promo2Seg1Fit</vt:lpstr>
      <vt:lpstr>calcCh1Prod3Slot1Promo2Seg1Share</vt:lpstr>
      <vt:lpstr>calcCh1Prod3Slot1Promo2Seg1ShareBase</vt:lpstr>
      <vt:lpstr>calcCh1Prod3Slot1Promo2Seg2Efficiency</vt:lpstr>
      <vt:lpstr>calcCh1Prod3Slot1Promo2Seg2Fit</vt:lpstr>
      <vt:lpstr>calcCh1Prod3Slot1Promo2Seg2Share</vt:lpstr>
      <vt:lpstr>calcCh1Prod3Slot1Promo2Seg2ShareBase</vt:lpstr>
      <vt:lpstr>calcCh1Prod3Slot1Promo2Seg3Efficiency</vt:lpstr>
      <vt:lpstr>calcCh1Prod3Slot1Promo2Seg3Fit</vt:lpstr>
      <vt:lpstr>calcCh1Prod3Slot1Promo2Seg3Share</vt:lpstr>
      <vt:lpstr>calcCh1Prod3Slot1Promo2Seg3ShareBase</vt:lpstr>
      <vt:lpstr>calcCh1Prod3Slot1Promo2Seg4Efficiency</vt:lpstr>
      <vt:lpstr>calcCh1Prod3Slot1Promo2Seg4Fit</vt:lpstr>
      <vt:lpstr>calcCh1Prod3Slot1Promo2Seg4Share</vt:lpstr>
      <vt:lpstr>calcCh1Prod3Slot1Promo2Seg4ShareBase</vt:lpstr>
      <vt:lpstr>calcCh1Prod3Slot1Promo2Vol</vt:lpstr>
      <vt:lpstr>calcCh1Prod3Slot1Promo2VolPWeek</vt:lpstr>
      <vt:lpstr>calcCh1Prod3Slot1Promo2VolUplift</vt:lpstr>
      <vt:lpstr>calcCh1Prod3Slot1Promo2Weeks</vt:lpstr>
      <vt:lpstr>calcCh1Prod3Slot1Seg1PackFit</vt:lpstr>
      <vt:lpstr>calcCh1Prod3Slot1Seg2PackFit</vt:lpstr>
      <vt:lpstr>calcCh1Prod3Slot1Seg3PackFit</vt:lpstr>
      <vt:lpstr>calcCh1Prod3Slot1Seg4PackFit</vt:lpstr>
      <vt:lpstr>calcCh1Prod3Slot1ShelfPrice</vt:lpstr>
      <vt:lpstr>calcCh1Prod3Slot1TotalVolSold</vt:lpstr>
      <vt:lpstr>calcCh1Prod3Slot1ValDrivExp</vt:lpstr>
      <vt:lpstr>calcCh1Prod3Slot1VolForecastSlot</vt:lpstr>
      <vt:lpstr>calcCh1Prod3Slot1WD</vt:lpstr>
      <vt:lpstr>calcCh1Prod3Slot2Active</vt:lpstr>
      <vt:lpstr>calcCh1Prod3Slot2AvgPrice</vt:lpstr>
      <vt:lpstr>calcCh1Prod3Slot2AvgSalePrice</vt:lpstr>
      <vt:lpstr>calcCh1Prod3Slot2BaseCustProfPWeek</vt:lpstr>
      <vt:lpstr>calcCh1Prod3Slot2BaseCustUplift</vt:lpstr>
      <vt:lpstr>calcCh1Prod3Slot2BaseGPaLPUnit</vt:lpstr>
      <vt:lpstr>calcCh1Prod3Slot2BaseGPaLPWeek</vt:lpstr>
      <vt:lpstr>calcCh1Prod3Slot2BaseVolPWeek</vt:lpstr>
      <vt:lpstr>calcCh1Prod3Slot2ChVolShare</vt:lpstr>
      <vt:lpstr>calcCh1Prod3Slot2CustPrice</vt:lpstr>
      <vt:lpstr>calcCh1Prod3Slot2CustProfitBase</vt:lpstr>
      <vt:lpstr>calcCh1Prod3Slot2CustProfitBaseMarginAbs</vt:lpstr>
      <vt:lpstr>calcCh1Prod3Slot2CustProfitBaseMarginPct</vt:lpstr>
      <vt:lpstr>calcCh1Prod3Slot2CustProfitBaseVol</vt:lpstr>
      <vt:lpstr>calcCh1Prod3Slot2CustProfitPromo1</vt:lpstr>
      <vt:lpstr>calcCh1Prod3Slot2CustProfitPromo1MarginAbs</vt:lpstr>
      <vt:lpstr>calcCh1Prod3Slot2CustProfitPromo1Vol</vt:lpstr>
      <vt:lpstr>calcCh1Prod3Slot2CustProfitPromo2</vt:lpstr>
      <vt:lpstr>calcCh1Prod3Slot2CustProfitPromo2MarginAbs</vt:lpstr>
      <vt:lpstr>calcCh1Prod3Slot2CustProfitPromo2Vol</vt:lpstr>
      <vt:lpstr>calcCh1Prod3Slot2CustProfitTot</vt:lpstr>
      <vt:lpstr>CalcCh1Prod3Slot2Depreciation</vt:lpstr>
      <vt:lpstr>CalcCh1Prod3Slot2DepreciationPUnit</vt:lpstr>
      <vt:lpstr>CalcCh1Prod3Slot2ManufacturingCostPUnit</vt:lpstr>
      <vt:lpstr>calcCh1Prod3Slot2NoPromoPricePLitre</vt:lpstr>
      <vt:lpstr>calcCh1Prod3Slot2NoPromoVol</vt:lpstr>
      <vt:lpstr>calcCh1Prod3Slot2Pack</vt:lpstr>
      <vt:lpstr>calcCh1Prod3Slot2PackFitBase</vt:lpstr>
      <vt:lpstr>calcCh1Prod3Slot2PriceDif</vt:lpstr>
      <vt:lpstr>calcCh1Prod3Slot2Promo1CustPrice</vt:lpstr>
      <vt:lpstr>calcCh1Prod3Slot2Promo1CustProfPWeek</vt:lpstr>
      <vt:lpstr>calcCh1Prod3Slot2Promo1CustUplift</vt:lpstr>
      <vt:lpstr>calcCh1Prod3Slot2Promo1GPaLPUnit</vt:lpstr>
      <vt:lpstr>calcCh1Prod3Slot2Promo1GPaLPWeek</vt:lpstr>
      <vt:lpstr>calcCh1Prod3Slot2Promo1GPaLUplift</vt:lpstr>
      <vt:lpstr>calcCh1Prod3Slot2Promo1Plan</vt:lpstr>
      <vt:lpstr>calcCh1Prod3Slot2Promo1PlanEmp1Req</vt:lpstr>
      <vt:lpstr>calcCh1Prod3Slot2Promo1PlanExp</vt:lpstr>
      <vt:lpstr>calcCh1Prod3Slot2Promo1PlanShare</vt:lpstr>
      <vt:lpstr>calcCh1Prod3Slot2Promo1PricePLitre</vt:lpstr>
      <vt:lpstr>calcCh1Prod3Slot2Promo1ROI</vt:lpstr>
      <vt:lpstr>calcCh1Prod3Slot2Promo1Seg1Efficiency</vt:lpstr>
      <vt:lpstr>calcCh1Prod3Slot2Promo1Seg1Fit</vt:lpstr>
      <vt:lpstr>calcCh1Prod3Slot2Promo1Seg1Share</vt:lpstr>
      <vt:lpstr>calcCh1Prod3Slot2Promo1Seg1ShareBase</vt:lpstr>
      <vt:lpstr>calcCh1Prod3Slot2Promo1Seg2Efficiency</vt:lpstr>
      <vt:lpstr>calcCh1Prod3Slot2Promo1Seg2Fit</vt:lpstr>
      <vt:lpstr>calcCh1Prod3Slot2Promo1Seg2Share</vt:lpstr>
      <vt:lpstr>calcCh1Prod3Slot2Promo1Seg2ShareBase</vt:lpstr>
      <vt:lpstr>calcCh1Prod3Slot2Promo1Seg3Efficiency</vt:lpstr>
      <vt:lpstr>calcCh1Prod3Slot2Promo1Seg3Fit</vt:lpstr>
      <vt:lpstr>calcCh1Prod3Slot2Promo1Seg3Share</vt:lpstr>
      <vt:lpstr>calcCh1Prod3Slot2Promo1Seg3ShareBase</vt:lpstr>
      <vt:lpstr>calcCh1Prod3Slot2Promo1Seg4Efficiency</vt:lpstr>
      <vt:lpstr>calcCh1Prod3Slot2Promo1Seg4Fit</vt:lpstr>
      <vt:lpstr>calcCh1Prod3Slot2Promo1Seg4Share</vt:lpstr>
      <vt:lpstr>calcCh1Prod3Slot2Promo1Seg4ShareBase</vt:lpstr>
      <vt:lpstr>calcCh1Prod3Slot2Promo1Vol</vt:lpstr>
      <vt:lpstr>calcCh1Prod3Slot2Promo1VolPWeek</vt:lpstr>
      <vt:lpstr>calcCh1Prod3Slot2Promo1VolUplift</vt:lpstr>
      <vt:lpstr>calcCh1Prod3Slot2Promo1Weeks</vt:lpstr>
      <vt:lpstr>calcCh1Prod3Slot2Promo2CustPrice</vt:lpstr>
      <vt:lpstr>calcCh1Prod3Slot2Promo2CustProfPWeek</vt:lpstr>
      <vt:lpstr>calcCh1Prod3Slot2Promo2CustUplift</vt:lpstr>
      <vt:lpstr>calcCh1Prod3Slot2Promo2GPaLPUnit</vt:lpstr>
      <vt:lpstr>calcCh1Prod3Slot2Promo2GPaLPWeek</vt:lpstr>
      <vt:lpstr>calcCh1Prod3Slot2Promo2GPaLUplift</vt:lpstr>
      <vt:lpstr>calcCh1Prod3Slot2Promo2Plan</vt:lpstr>
      <vt:lpstr>calcCh1Prod3Slot2Promo2PlanEmp1Req</vt:lpstr>
      <vt:lpstr>calcCh1Prod3Slot2Promo2PlanExp</vt:lpstr>
      <vt:lpstr>calcCh1Prod3Slot2Promo2PlanShare</vt:lpstr>
      <vt:lpstr>calcCh1Prod3Slot2Promo2PricePLitre</vt:lpstr>
      <vt:lpstr>calcCh1Prod3Slot2Promo2ROI</vt:lpstr>
      <vt:lpstr>calcCh1Prod3Slot2Promo2Seg1Efficiency</vt:lpstr>
      <vt:lpstr>calcCh1Prod3Slot2Promo2Seg1Fit</vt:lpstr>
      <vt:lpstr>calcCh1Prod3Slot2Promo2Seg1Share</vt:lpstr>
      <vt:lpstr>calcCh1Prod3Slot2Promo2Seg1ShareBase</vt:lpstr>
      <vt:lpstr>calcCh1Prod3Slot2Promo2Seg2Efficiency</vt:lpstr>
      <vt:lpstr>calcCh1Prod3Slot2Promo2Seg2Fit</vt:lpstr>
      <vt:lpstr>calcCh1Prod3Slot2Promo2Seg2Share</vt:lpstr>
      <vt:lpstr>calcCh1Prod3Slot2Promo2Seg2ShareBase</vt:lpstr>
      <vt:lpstr>calcCh1Prod3Slot2Promo2Seg3Efficiency</vt:lpstr>
      <vt:lpstr>calcCh1Prod3Slot2Promo2Seg3Fit</vt:lpstr>
      <vt:lpstr>calcCh1Prod3Slot2Promo2Seg3Share</vt:lpstr>
      <vt:lpstr>calcCh1Prod3Slot2Promo2Seg3ShareBase</vt:lpstr>
      <vt:lpstr>calcCh1Prod3Slot2Promo2Seg4Efficiency</vt:lpstr>
      <vt:lpstr>calcCh1Prod3Slot2Promo2Seg4Fit</vt:lpstr>
      <vt:lpstr>calcCh1Prod3Slot2Promo2Seg4Share</vt:lpstr>
      <vt:lpstr>calcCh1Prod3Slot2Promo2Seg4ShareBase</vt:lpstr>
      <vt:lpstr>calcCh1Prod3Slot2Promo2Vol</vt:lpstr>
      <vt:lpstr>calcCh1Prod3Slot2Promo2VolPWeek</vt:lpstr>
      <vt:lpstr>calcCh1Prod3Slot2Promo2VolUplift</vt:lpstr>
      <vt:lpstr>calcCh1Prod3Slot2Promo2Weeks</vt:lpstr>
      <vt:lpstr>calcCh1Prod3Slot2Seg1PackFit</vt:lpstr>
      <vt:lpstr>calcCh1Prod3Slot2Seg2PackFit</vt:lpstr>
      <vt:lpstr>calcCh1Prod3Slot2Seg3PackFit</vt:lpstr>
      <vt:lpstr>calcCh1Prod3Slot2Seg4PackFit</vt:lpstr>
      <vt:lpstr>calcCh1Prod3Slot2ShelfPrice</vt:lpstr>
      <vt:lpstr>calcCh1Prod3Slot2TotalVolSold</vt:lpstr>
      <vt:lpstr>calcCh1Prod3Slot2ValDrivExp</vt:lpstr>
      <vt:lpstr>calcCh1Prod3Slot2VolForecastSlot</vt:lpstr>
      <vt:lpstr>calcCh1Prod3Slot2WD</vt:lpstr>
      <vt:lpstr>calcCh1Prod3Slot3Active</vt:lpstr>
      <vt:lpstr>calcCh1Prod3Slot3AvgPrice</vt:lpstr>
      <vt:lpstr>calcCh1Prod3Slot3AvgSalePrice</vt:lpstr>
      <vt:lpstr>calcCh1Prod3Slot3BaseCustProfPWeek</vt:lpstr>
      <vt:lpstr>calcCh1Prod3Slot3BaseCustUplift</vt:lpstr>
      <vt:lpstr>calcCh1Prod3Slot3BaseGPaLPUnit</vt:lpstr>
      <vt:lpstr>calcCh1Prod3Slot3BaseGPaLPWeek</vt:lpstr>
      <vt:lpstr>calcCh1Prod3Slot3BaseVolPWeek</vt:lpstr>
      <vt:lpstr>calcCh1Prod3Slot3ChVolShare</vt:lpstr>
      <vt:lpstr>calcCh1Prod3Slot3CustPrice</vt:lpstr>
      <vt:lpstr>calcCh1Prod3Slot3CustProfitBase</vt:lpstr>
      <vt:lpstr>calcCh1Prod3Slot3CustProfitBaseMarginAbs</vt:lpstr>
      <vt:lpstr>calcCh1Prod3Slot3CustProfitBaseMarginPct</vt:lpstr>
      <vt:lpstr>calcCh1Prod3Slot3CustProfitBaseVol</vt:lpstr>
      <vt:lpstr>calcCh1Prod3Slot3CustProfitPromo1</vt:lpstr>
      <vt:lpstr>calcCh1Prod3Slot3CustProfitPromo1MarginAbs</vt:lpstr>
      <vt:lpstr>calcCh1Prod3Slot3CustProfitPromo1Vol</vt:lpstr>
      <vt:lpstr>calcCh1Prod3Slot3CustProfitPromo2</vt:lpstr>
      <vt:lpstr>calcCh1Prod3Slot3CustProfitPromo2MarginAbs</vt:lpstr>
      <vt:lpstr>calcCh1Prod3Slot3CustProfitPromo2Vol</vt:lpstr>
      <vt:lpstr>calcCh1Prod3Slot3CustProfitTot</vt:lpstr>
      <vt:lpstr>CalcCh1Prod3Slot3Depreciation</vt:lpstr>
      <vt:lpstr>CalcCh1Prod3Slot3DepreciationPUnit</vt:lpstr>
      <vt:lpstr>CalcCh1Prod3Slot3ManufacturingCostPUnit</vt:lpstr>
      <vt:lpstr>calcCh1Prod3Slot3NoPromoPricePLitre</vt:lpstr>
      <vt:lpstr>calcCh1Prod3Slot3NoPromoVol</vt:lpstr>
      <vt:lpstr>calcCh1Prod3Slot3Pack</vt:lpstr>
      <vt:lpstr>calcCh1Prod3Slot3PackFitBase</vt:lpstr>
      <vt:lpstr>calcCh1Prod3Slot3PriceDif</vt:lpstr>
      <vt:lpstr>calcCh1Prod3Slot3Promo1CustPrice</vt:lpstr>
      <vt:lpstr>calcCh1Prod3Slot3Promo1CustProfPWeek</vt:lpstr>
      <vt:lpstr>calcCh1Prod3Slot3Promo1CustUplift</vt:lpstr>
      <vt:lpstr>calcCh1Prod3Slot3Promo1GPaLPUnit</vt:lpstr>
      <vt:lpstr>calcCh1Prod3Slot3Promo1GPaLPWeek</vt:lpstr>
      <vt:lpstr>calcCh1Prod3Slot3Promo1GPaLUplift</vt:lpstr>
      <vt:lpstr>calcCh1Prod3Slot3Promo1Plan</vt:lpstr>
      <vt:lpstr>calcCh1Prod3Slot3Promo1PlanEmp1Req</vt:lpstr>
      <vt:lpstr>calcCh1Prod3Slot3Promo1PlanExp</vt:lpstr>
      <vt:lpstr>calcCh1Prod3Slot3Promo1PlanShare</vt:lpstr>
      <vt:lpstr>calcCh1Prod3Slot3Promo1PricePLitre</vt:lpstr>
      <vt:lpstr>calcCh1Prod3Slot3Promo1ROI</vt:lpstr>
      <vt:lpstr>calcCh1Prod3Slot3Promo1Seg1Efficiency</vt:lpstr>
      <vt:lpstr>calcCh1Prod3Slot3Promo1Seg1Fit</vt:lpstr>
      <vt:lpstr>calcCh1Prod3Slot3Promo1Seg1Share</vt:lpstr>
      <vt:lpstr>calcCh1Prod3Slot3Promo1Seg1ShareBase</vt:lpstr>
      <vt:lpstr>calcCh1Prod3Slot3Promo1Seg2Efficiency</vt:lpstr>
      <vt:lpstr>calcCh1Prod3Slot3Promo1Seg2Fit</vt:lpstr>
      <vt:lpstr>calcCh1Prod3Slot3Promo1Seg2Share</vt:lpstr>
      <vt:lpstr>calcCh1Prod3Slot3Promo1Seg2ShareBase</vt:lpstr>
      <vt:lpstr>calcCh1Prod3Slot3Promo1Seg3Efficiency</vt:lpstr>
      <vt:lpstr>calcCh1Prod3Slot3Promo1Seg3Fit</vt:lpstr>
      <vt:lpstr>calcCh1Prod3Slot3Promo1Seg3Share</vt:lpstr>
      <vt:lpstr>calcCh1Prod3Slot3Promo1Seg3ShareBase</vt:lpstr>
      <vt:lpstr>calcCh1Prod3Slot3Promo1Seg4Efficiency</vt:lpstr>
      <vt:lpstr>calcCh1Prod3Slot3Promo1Seg4Fit</vt:lpstr>
      <vt:lpstr>calcCh1Prod3Slot3Promo1Seg4Share</vt:lpstr>
      <vt:lpstr>calcCh1Prod3Slot3Promo1Seg4ShareBase</vt:lpstr>
      <vt:lpstr>calcCh1Prod3Slot3Promo1Vol</vt:lpstr>
      <vt:lpstr>calcCh1Prod3Slot3Promo1VolPWeek</vt:lpstr>
      <vt:lpstr>calcCh1Prod3Slot3Promo1VolUplift</vt:lpstr>
      <vt:lpstr>calcCh1Prod3Slot3Promo1Weeks</vt:lpstr>
      <vt:lpstr>calcCh1Prod3Slot3Promo2CustPrice</vt:lpstr>
      <vt:lpstr>calcCh1Prod3Slot3Promo2CustProfPWeek</vt:lpstr>
      <vt:lpstr>calcCh1Prod3Slot3Promo2CustUplift</vt:lpstr>
      <vt:lpstr>calcCh1Prod3Slot3Promo2GPaLPUnit</vt:lpstr>
      <vt:lpstr>calcCh1Prod3Slot3Promo2GPaLPWeek</vt:lpstr>
      <vt:lpstr>calcCh1Prod3Slot3Promo2GPaLUplift</vt:lpstr>
      <vt:lpstr>calcCh1Prod3Slot3Promo2Plan</vt:lpstr>
      <vt:lpstr>calcCh1Prod3Slot3Promo2PlanEmp1Req</vt:lpstr>
      <vt:lpstr>calcCh1Prod3Slot3Promo2PlanExp</vt:lpstr>
      <vt:lpstr>calcCh1Prod3Slot3Promo2PlanShare</vt:lpstr>
      <vt:lpstr>calcCh1Prod3Slot3Promo2PricePLitre</vt:lpstr>
      <vt:lpstr>calcCh1Prod3Slot3Promo2ROI</vt:lpstr>
      <vt:lpstr>calcCh1Prod3Slot3Promo2Seg1Efficiency</vt:lpstr>
      <vt:lpstr>calcCh1Prod3Slot3Promo2Seg1Fit</vt:lpstr>
      <vt:lpstr>calcCh1Prod3Slot3Promo2Seg1Share</vt:lpstr>
      <vt:lpstr>calcCh1Prod3Slot3Promo2Seg1ShareBase</vt:lpstr>
      <vt:lpstr>calcCh1Prod3Slot3Promo2Seg2Efficiency</vt:lpstr>
      <vt:lpstr>calcCh1Prod3Slot3Promo2Seg2Fit</vt:lpstr>
      <vt:lpstr>calcCh1Prod3Slot3Promo2Seg2Share</vt:lpstr>
      <vt:lpstr>calcCh1Prod3Slot3Promo2Seg2ShareBase</vt:lpstr>
      <vt:lpstr>calcCh1Prod3Slot3Promo2Seg3Efficiency</vt:lpstr>
      <vt:lpstr>calcCh1Prod3Slot3Promo2Seg3Fit</vt:lpstr>
      <vt:lpstr>calcCh1Prod3Slot3Promo2Seg3Share</vt:lpstr>
      <vt:lpstr>calcCh1Prod3Slot3Promo2Seg3ShareBase</vt:lpstr>
      <vt:lpstr>calcCh1Prod3Slot3Promo2Seg4Efficiency</vt:lpstr>
      <vt:lpstr>calcCh1Prod3Slot3Promo2Seg4Fit</vt:lpstr>
      <vt:lpstr>calcCh1Prod3Slot3Promo2Seg4Share</vt:lpstr>
      <vt:lpstr>calcCh1Prod3Slot3Promo2Seg4ShareBase</vt:lpstr>
      <vt:lpstr>calcCh1Prod3Slot3Promo2Vol</vt:lpstr>
      <vt:lpstr>calcCh1Prod3Slot3Promo2VolPWeek</vt:lpstr>
      <vt:lpstr>calcCh1Prod3Slot3Promo2VolUplift</vt:lpstr>
      <vt:lpstr>calcCh1Prod3Slot3Promo2Weeks</vt:lpstr>
      <vt:lpstr>calcCh1Prod3Slot3Seg1PackFit</vt:lpstr>
      <vt:lpstr>calcCh1Prod3Slot3Seg2PackFit</vt:lpstr>
      <vt:lpstr>calcCh1Prod3Slot3Seg3PackFit</vt:lpstr>
      <vt:lpstr>calcCh1Prod3Slot3Seg4PackFit</vt:lpstr>
      <vt:lpstr>calcCh1Prod3Slot3ShelfPrice</vt:lpstr>
      <vt:lpstr>calcCh1Prod3Slot3TotalVolSold</vt:lpstr>
      <vt:lpstr>calcCh1Prod3Slot3ValDrivExp</vt:lpstr>
      <vt:lpstr>calcCh1Prod3Slot3VolForecastSlot</vt:lpstr>
      <vt:lpstr>calcCh1Prod3Slot3WD</vt:lpstr>
      <vt:lpstr>calcCh1Prod3SlotsEnd</vt:lpstr>
      <vt:lpstr>calcCh1Prod3SlotsNew</vt:lpstr>
      <vt:lpstr>calcCh1Prod3SlotsNextEmp1Req</vt:lpstr>
      <vt:lpstr>calcCh1Prod3SlotsNextExp</vt:lpstr>
      <vt:lpstr>calcCh1Prod3SlotsStart</vt:lpstr>
      <vt:lpstr>calcCh1Prod3SlotsTotEmp1Req</vt:lpstr>
      <vt:lpstr>calcCh1Prod3SlotsTotExp</vt:lpstr>
      <vt:lpstr>calcCh1Prod3SlotTotActive</vt:lpstr>
      <vt:lpstr>calcCh1Prod3TotalVolSold</vt:lpstr>
      <vt:lpstr>calcCh1Prod3VolForecastProd</vt:lpstr>
      <vt:lpstr>calcCh1Prod3VolSoldNoPromo</vt:lpstr>
      <vt:lpstr>calcCh1Prod3VolSoldPromo1</vt:lpstr>
      <vt:lpstr>calcCh1Prod3VolSoldPromo2</vt:lpstr>
      <vt:lpstr>calcCh1Prod4AvgCustPrice</vt:lpstr>
      <vt:lpstr>calcCh1Prod4AvgPrice</vt:lpstr>
      <vt:lpstr>calcCh1Prod4AvgPricePromo1</vt:lpstr>
      <vt:lpstr>calcCh1Prod4AvgPricePromo2</vt:lpstr>
      <vt:lpstr>calcCh1Prod4AvgPromoPrice</vt:lpstr>
      <vt:lpstr>calcCh1Prod4CustProfitTot</vt:lpstr>
      <vt:lpstr>calcCh1Prod4PromoROIavg</vt:lpstr>
      <vt:lpstr>calcCh1Prod4Seg1AssortmentFit</vt:lpstr>
      <vt:lpstr>calcCh1Prod4Seg2AssortmentFit</vt:lpstr>
      <vt:lpstr>calcCh1Prod4Seg3AssortmentFit</vt:lpstr>
      <vt:lpstr>calcCh1Prod4Seg4AssortmentFit</vt:lpstr>
      <vt:lpstr>calcCh1Prod4Slot1Active</vt:lpstr>
      <vt:lpstr>calcCh1Prod4Slot1AvgPrice</vt:lpstr>
      <vt:lpstr>calcCh1Prod4Slot1AvgSalePrice</vt:lpstr>
      <vt:lpstr>calcCh1Prod4Slot1BaseCustProfPWeek</vt:lpstr>
      <vt:lpstr>calcCh1Prod4Slot1BaseCustUplift</vt:lpstr>
      <vt:lpstr>calcCh1Prod4Slot1BaseGPaLPUnit</vt:lpstr>
      <vt:lpstr>calcCh1Prod4Slot1BaseGPaLPWeek</vt:lpstr>
      <vt:lpstr>calcCh1Prod4Slot1BaseVolPWeek</vt:lpstr>
      <vt:lpstr>calcCh1Prod4Slot1ChVolShare</vt:lpstr>
      <vt:lpstr>calcCh1Prod4Slot1CustPrice</vt:lpstr>
      <vt:lpstr>calcCh1Prod4Slot1CustProfitBase</vt:lpstr>
      <vt:lpstr>calcCh1Prod4Slot1CustProfitBaseMarginAbs</vt:lpstr>
      <vt:lpstr>calcCh1Prod4Slot1CustProfitBaseMarginPct</vt:lpstr>
      <vt:lpstr>calcCh1Prod4Slot1CustProfitBaseVol</vt:lpstr>
      <vt:lpstr>calcCh1Prod4Slot1CustProfitPromo1</vt:lpstr>
      <vt:lpstr>calcCh1Prod4Slot1CustProfitPromo1MarginAbs</vt:lpstr>
      <vt:lpstr>calcCh1Prod4Slot1CustProfitPromo1Vol</vt:lpstr>
      <vt:lpstr>calcCh1Prod4Slot1CustProfitPromo2</vt:lpstr>
      <vt:lpstr>calcCh1Prod4Slot1CustProfitPromo2MarginAbs</vt:lpstr>
      <vt:lpstr>calcCh1Prod4Slot1CustProfitPromo2Vol</vt:lpstr>
      <vt:lpstr>calcCh1Prod4Slot1CustProfitTot</vt:lpstr>
      <vt:lpstr>CalcCh1Prod4Slot1Depreciation</vt:lpstr>
      <vt:lpstr>CalcCh1Prod4Slot1DepreciationPUnit</vt:lpstr>
      <vt:lpstr>CalcCh1Prod4Slot1ManufacturingCostPUnit</vt:lpstr>
      <vt:lpstr>calcCh1Prod4Slot1NoPromoPricePLitre</vt:lpstr>
      <vt:lpstr>calcCh1Prod4Slot1NoPromoVol</vt:lpstr>
      <vt:lpstr>calcCh1Prod4Slot1Pack</vt:lpstr>
      <vt:lpstr>calcCh1Prod4Slot1PackFitBase</vt:lpstr>
      <vt:lpstr>calcCh1Prod4Slot1PriceDif</vt:lpstr>
      <vt:lpstr>calcCh1Prod4Slot1Promo1CustPrice</vt:lpstr>
      <vt:lpstr>calcCh1Prod4Slot1Promo1CustProfPWeek</vt:lpstr>
      <vt:lpstr>calcCh1Prod4Slot1Promo1CustUplift</vt:lpstr>
      <vt:lpstr>calcCh1Prod4Slot1Promo1GPaLPUnit</vt:lpstr>
      <vt:lpstr>calcCh1Prod4Slot1Promo1GPaLPWeek</vt:lpstr>
      <vt:lpstr>calcCh1Prod4Slot1Promo1GPaLUplift</vt:lpstr>
      <vt:lpstr>calcCh1Prod4Slot1Promo1Plan</vt:lpstr>
      <vt:lpstr>calcCh1Prod4Slot1Promo1PlanEmp1Req</vt:lpstr>
      <vt:lpstr>calcCh1Prod4Slot1Promo1PlanExp</vt:lpstr>
      <vt:lpstr>calcCh1Prod4Slot1Promo1PlanShare</vt:lpstr>
      <vt:lpstr>calcCh1Prod4Slot1Promo1PricePLitre</vt:lpstr>
      <vt:lpstr>calcCh1Prod4Slot1Promo1ROI</vt:lpstr>
      <vt:lpstr>calcCh1Prod4Slot1Promo1Seg1Efficiency</vt:lpstr>
      <vt:lpstr>calcCh1Prod4Slot1Promo1Seg1Fit</vt:lpstr>
      <vt:lpstr>calcCh1Prod4Slot1Promo1Seg1Share</vt:lpstr>
      <vt:lpstr>calcCh1Prod4Slot1Promo1Seg1ShareBase</vt:lpstr>
      <vt:lpstr>calcCh1Prod4Slot1Promo1Seg2Efficiency</vt:lpstr>
      <vt:lpstr>calcCh1Prod4Slot1Promo1Seg2Fit</vt:lpstr>
      <vt:lpstr>calcCh1Prod4Slot1Promo1Seg2Share</vt:lpstr>
      <vt:lpstr>calcCh1Prod4Slot1Promo1Seg2ShareBase</vt:lpstr>
      <vt:lpstr>calcCh1Prod4Slot1Promo1Seg3Efficiency</vt:lpstr>
      <vt:lpstr>calcCh1Prod4Slot1Promo1Seg3Fit</vt:lpstr>
      <vt:lpstr>calcCh1Prod4Slot1Promo1Seg3Share</vt:lpstr>
      <vt:lpstr>calcCh1Prod4Slot1Promo1Seg3ShareBase</vt:lpstr>
      <vt:lpstr>calcCh1Prod4Slot1Promo1Seg4Efficiency</vt:lpstr>
      <vt:lpstr>calcCh1Prod4Slot1Promo1Seg4Fit</vt:lpstr>
      <vt:lpstr>calcCh1Prod4Slot1Promo1Seg4Share</vt:lpstr>
      <vt:lpstr>calcCh1Prod4Slot1Promo1Seg4ShareBase</vt:lpstr>
      <vt:lpstr>calcCh1Prod4Slot1Promo1Vol</vt:lpstr>
      <vt:lpstr>calcCh1Prod4Slot1Promo1VolPWeek</vt:lpstr>
      <vt:lpstr>calcCh1Prod4Slot1Promo1VolUplift</vt:lpstr>
      <vt:lpstr>calcCh1Prod4Slot1Promo1Weeks</vt:lpstr>
      <vt:lpstr>calcCh1Prod4Slot1Promo2CustPrice</vt:lpstr>
      <vt:lpstr>calcCh1Prod4Slot1Promo2CustProfPWeek</vt:lpstr>
      <vt:lpstr>calcCh1Prod4Slot1Promo2CustUplift</vt:lpstr>
      <vt:lpstr>calcCh1Prod4Slot1Promo2GPaLPUnit</vt:lpstr>
      <vt:lpstr>calcCh1Prod4Slot1Promo2GPaLPWeek</vt:lpstr>
      <vt:lpstr>calcCh1Prod4Slot1Promo2GPaLUplift</vt:lpstr>
      <vt:lpstr>calcCh1Prod4Slot1Promo2Plan</vt:lpstr>
      <vt:lpstr>calcCh1Prod4Slot1Promo2PlanEmp1Req</vt:lpstr>
      <vt:lpstr>calcCh1Prod4Slot1Promo2PlanExp</vt:lpstr>
      <vt:lpstr>calcCh1Prod4Slot1Promo2PlanShare</vt:lpstr>
      <vt:lpstr>calcCh1Prod4Slot1Promo2PricePLitre</vt:lpstr>
      <vt:lpstr>calcCh1Prod4Slot1Promo2ROI</vt:lpstr>
      <vt:lpstr>calcCh1Prod4Slot1Promo2Seg1Efficiency</vt:lpstr>
      <vt:lpstr>calcCh1Prod4Slot1Promo2Seg1Fit</vt:lpstr>
      <vt:lpstr>calcCh1Prod4Slot1Promo2Seg1Share</vt:lpstr>
      <vt:lpstr>calcCh1Prod4Slot1Promo2Seg1ShareBase</vt:lpstr>
      <vt:lpstr>calcCh1Prod4Slot1Promo2Seg2Efficiency</vt:lpstr>
      <vt:lpstr>calcCh1Prod4Slot1Promo2Seg2Fit</vt:lpstr>
      <vt:lpstr>calcCh1Prod4Slot1Promo2Seg2Share</vt:lpstr>
      <vt:lpstr>calcCh1Prod4Slot1Promo2Seg2ShareBase</vt:lpstr>
      <vt:lpstr>calcCh1Prod4Slot1Promo2Seg3Efficiency</vt:lpstr>
      <vt:lpstr>calcCh1Prod4Slot1Promo2Seg3Fit</vt:lpstr>
      <vt:lpstr>calcCh1Prod4Slot1Promo2Seg3Share</vt:lpstr>
      <vt:lpstr>calcCh1Prod4Slot1Promo2Seg3ShareBase</vt:lpstr>
      <vt:lpstr>calcCh1Prod4Slot1Promo2Seg4Efficiency</vt:lpstr>
      <vt:lpstr>calcCh1Prod4Slot1Promo2Seg4Fit</vt:lpstr>
      <vt:lpstr>calcCh1Prod4Slot1Promo2Seg4Share</vt:lpstr>
      <vt:lpstr>calcCh1Prod4Slot1Promo2Seg4ShareBase</vt:lpstr>
      <vt:lpstr>calcCh1Prod4Slot1Promo2Vol</vt:lpstr>
      <vt:lpstr>calcCh1Prod4Slot1Promo2VolPWeek</vt:lpstr>
      <vt:lpstr>calcCh1Prod4Slot1Promo2VolUplift</vt:lpstr>
      <vt:lpstr>calcCh1Prod4Slot1Promo2Weeks</vt:lpstr>
      <vt:lpstr>calcCh1Prod4Slot1Seg1PackFit</vt:lpstr>
      <vt:lpstr>calcCh1Prod4Slot1Seg2PackFit</vt:lpstr>
      <vt:lpstr>calcCh1Prod4Slot1Seg3PackFit</vt:lpstr>
      <vt:lpstr>calcCh1Prod4Slot1Seg4PackFit</vt:lpstr>
      <vt:lpstr>calcCh1Prod4Slot1ShelfPrice</vt:lpstr>
      <vt:lpstr>calcCh1Prod4Slot1TotalVolSold</vt:lpstr>
      <vt:lpstr>calcCh1Prod4Slot1ValDrivExp</vt:lpstr>
      <vt:lpstr>calcCh1Prod4Slot1VolForecastSlot</vt:lpstr>
      <vt:lpstr>calcCh1Prod4Slot1WD</vt:lpstr>
      <vt:lpstr>calcCh1Prod4Slot2Active</vt:lpstr>
      <vt:lpstr>calcCh1Prod4Slot2AvgPrice</vt:lpstr>
      <vt:lpstr>calcCh1Prod4Slot2AvgSalePrice</vt:lpstr>
      <vt:lpstr>calcCh1Prod4Slot2BaseCustProfPWeek</vt:lpstr>
      <vt:lpstr>calcCh1Prod4Slot2BaseCustUplift</vt:lpstr>
      <vt:lpstr>calcCh1Prod4Slot2BaseGPaLPUnit</vt:lpstr>
      <vt:lpstr>calcCh1Prod4Slot2BaseGPaLPWeek</vt:lpstr>
      <vt:lpstr>calcCh1Prod4Slot2BaseVolPWeek</vt:lpstr>
      <vt:lpstr>calcCh1Prod4Slot2ChVolShare</vt:lpstr>
      <vt:lpstr>calcCh1Prod4Slot2CustPrice</vt:lpstr>
      <vt:lpstr>calcCh1Prod4Slot2CustProfitBase</vt:lpstr>
      <vt:lpstr>calcCh1Prod4Slot2CustProfitBaseMarginAbs</vt:lpstr>
      <vt:lpstr>calcCh1Prod4Slot2CustProfitBaseMarginPct</vt:lpstr>
      <vt:lpstr>calcCh1Prod4Slot2CustProfitBaseVol</vt:lpstr>
      <vt:lpstr>calcCh1Prod4Slot2CustProfitPromo1</vt:lpstr>
      <vt:lpstr>calcCh1Prod4Slot2CustProfitPromo1MarginAbs</vt:lpstr>
      <vt:lpstr>calcCh1Prod4Slot2CustProfitPromo1Vol</vt:lpstr>
      <vt:lpstr>calcCh1Prod4Slot2CustProfitPromo2</vt:lpstr>
      <vt:lpstr>calcCh1Prod4Slot2CustProfitPromo2MarginAbs</vt:lpstr>
      <vt:lpstr>calcCh1Prod4Slot2CustProfitPromo2Vol</vt:lpstr>
      <vt:lpstr>calcCh1Prod4Slot2CustProfitTot</vt:lpstr>
      <vt:lpstr>CalcCh1Prod4Slot2Depreciation</vt:lpstr>
      <vt:lpstr>CalcCh1Prod4Slot2DepreciationPUnit</vt:lpstr>
      <vt:lpstr>CalcCh1Prod4Slot2ManufacturingCostPUnit</vt:lpstr>
      <vt:lpstr>calcCh1Prod4Slot2NoPromoPricePLitre</vt:lpstr>
      <vt:lpstr>calcCh1Prod4Slot2NoPromoVol</vt:lpstr>
      <vt:lpstr>calcCh1Prod4Slot2Pack</vt:lpstr>
      <vt:lpstr>calcCh1Prod4Slot2PackFitBase</vt:lpstr>
      <vt:lpstr>calcCh1Prod4Slot2PriceDif</vt:lpstr>
      <vt:lpstr>calcCh1Prod4Slot2Promo1CustPrice</vt:lpstr>
      <vt:lpstr>calcCh1Prod4Slot2Promo1CustProfPWeek</vt:lpstr>
      <vt:lpstr>calcCh1Prod4Slot2Promo1CustUplift</vt:lpstr>
      <vt:lpstr>calcCh1Prod4Slot2Promo1GPaLPUnit</vt:lpstr>
      <vt:lpstr>calcCh1Prod4Slot2Promo1GPaLPWeek</vt:lpstr>
      <vt:lpstr>calcCh1Prod4Slot2Promo1GPaLUplift</vt:lpstr>
      <vt:lpstr>calcCh1Prod4Slot2Promo1Plan</vt:lpstr>
      <vt:lpstr>calcCh1Prod4Slot2Promo1PlanEmp1Req</vt:lpstr>
      <vt:lpstr>calcCh1Prod4Slot2Promo1PlanExp</vt:lpstr>
      <vt:lpstr>calcCh1Prod4Slot2Promo1PlanShare</vt:lpstr>
      <vt:lpstr>calcCh1Prod4Slot2Promo1PricePLitre</vt:lpstr>
      <vt:lpstr>calcCh1Prod4Slot2Promo1ROI</vt:lpstr>
      <vt:lpstr>calcCh1Prod4Slot2Promo1Seg1Efficiency</vt:lpstr>
      <vt:lpstr>calcCh1Prod4Slot2Promo1Seg1Fit</vt:lpstr>
      <vt:lpstr>calcCh1Prod4Slot2Promo1Seg1Share</vt:lpstr>
      <vt:lpstr>calcCh1Prod4Slot2Promo1Seg1ShareBase</vt:lpstr>
      <vt:lpstr>calcCh1Prod4Slot2Promo1Seg2Efficiency</vt:lpstr>
      <vt:lpstr>calcCh1Prod4Slot2Promo1Seg2Fit</vt:lpstr>
      <vt:lpstr>calcCh1Prod4Slot2Promo1Seg2Share</vt:lpstr>
      <vt:lpstr>calcCh1Prod4Slot2Promo1Seg2ShareBase</vt:lpstr>
      <vt:lpstr>calcCh1Prod4Slot2Promo1Seg3Efficiency</vt:lpstr>
      <vt:lpstr>calcCh1Prod4Slot2Promo1Seg3Fit</vt:lpstr>
      <vt:lpstr>calcCh1Prod4Slot2Promo1Seg3Share</vt:lpstr>
      <vt:lpstr>calcCh1Prod4Slot2Promo1Seg3ShareBase</vt:lpstr>
      <vt:lpstr>calcCh1Prod4Slot2Promo1Seg4Efficiency</vt:lpstr>
      <vt:lpstr>calcCh1Prod4Slot2Promo1Seg4Fit</vt:lpstr>
      <vt:lpstr>calcCh1Prod4Slot2Promo1Seg4Share</vt:lpstr>
      <vt:lpstr>calcCh1Prod4Slot2Promo1Seg4ShareBase</vt:lpstr>
      <vt:lpstr>calcCh1Prod4Slot2Promo1Vol</vt:lpstr>
      <vt:lpstr>calcCh1Prod4Slot2Promo1VolPWeek</vt:lpstr>
      <vt:lpstr>calcCh1Prod4Slot2Promo1VolUplift</vt:lpstr>
      <vt:lpstr>calcCh1Prod4Slot2Promo1Weeks</vt:lpstr>
      <vt:lpstr>calcCh1Prod4Slot2Promo2CustPrice</vt:lpstr>
      <vt:lpstr>calcCh1Prod4Slot2Promo2CustProfPWeek</vt:lpstr>
      <vt:lpstr>calcCh1Prod4Slot2Promo2CustUplift</vt:lpstr>
      <vt:lpstr>calcCh1Prod4Slot2Promo2GPaLPUnit</vt:lpstr>
      <vt:lpstr>calcCh1Prod4Slot2Promo2GPaLPWeek</vt:lpstr>
      <vt:lpstr>calcCh1Prod4Slot2Promo2GPaLUplift</vt:lpstr>
      <vt:lpstr>calcCh1Prod4Slot2Promo2Plan</vt:lpstr>
      <vt:lpstr>calcCh1Prod4Slot2Promo2PlanEmp1Req</vt:lpstr>
      <vt:lpstr>calcCh1Prod4Slot2Promo2PlanExp</vt:lpstr>
      <vt:lpstr>calcCh1Prod4Slot2Promo2PlanShare</vt:lpstr>
      <vt:lpstr>calcCh1Prod4Slot2Promo2PricePLitre</vt:lpstr>
      <vt:lpstr>calcCh1Prod4Slot2Promo2ROI</vt:lpstr>
      <vt:lpstr>calcCh1Prod4Slot2Promo2Seg1Efficiency</vt:lpstr>
      <vt:lpstr>calcCh1Prod4Slot2Promo2Seg1Fit</vt:lpstr>
      <vt:lpstr>calcCh1Prod4Slot2Promo2Seg1Share</vt:lpstr>
      <vt:lpstr>calcCh1Prod4Slot2Promo2Seg1ShareBase</vt:lpstr>
      <vt:lpstr>calcCh1Prod4Slot2Promo2Seg2Efficiency</vt:lpstr>
      <vt:lpstr>calcCh1Prod4Slot2Promo2Seg2Fit</vt:lpstr>
      <vt:lpstr>calcCh1Prod4Slot2Promo2Seg2Share</vt:lpstr>
      <vt:lpstr>calcCh1Prod4Slot2Promo2Seg2ShareBase</vt:lpstr>
      <vt:lpstr>calcCh1Prod4Slot2Promo2Seg3Efficiency</vt:lpstr>
      <vt:lpstr>calcCh1Prod4Slot2Promo2Seg3Fit</vt:lpstr>
      <vt:lpstr>calcCh1Prod4Slot2Promo2Seg3Share</vt:lpstr>
      <vt:lpstr>calcCh1Prod4Slot2Promo2Seg3ShareBase</vt:lpstr>
      <vt:lpstr>calcCh1Prod4Slot2Promo2Seg4Efficiency</vt:lpstr>
      <vt:lpstr>calcCh1Prod4Slot2Promo2Seg4Fit</vt:lpstr>
      <vt:lpstr>calcCh1Prod4Slot2Promo2Seg4Share</vt:lpstr>
      <vt:lpstr>calcCh1Prod4Slot2Promo2Seg4ShareBase</vt:lpstr>
      <vt:lpstr>calcCh1Prod4Slot2Promo2Vol</vt:lpstr>
      <vt:lpstr>calcCh1Prod4Slot2Promo2VolPWeek</vt:lpstr>
      <vt:lpstr>calcCh1Prod4Slot2Promo2VolUplift</vt:lpstr>
      <vt:lpstr>calcCh1Prod4Slot2Promo2Weeks</vt:lpstr>
      <vt:lpstr>calcCh1Prod4Slot2Seg1PackFit</vt:lpstr>
      <vt:lpstr>calcCh1Prod4Slot2Seg2PackFit</vt:lpstr>
      <vt:lpstr>calcCh1Prod4Slot2Seg3PackFit</vt:lpstr>
      <vt:lpstr>calcCh1Prod4Slot2Seg4PackFit</vt:lpstr>
      <vt:lpstr>calcCh1Prod4Slot2ShelfPrice</vt:lpstr>
      <vt:lpstr>calcCh1Prod4Slot2TotalVolSold</vt:lpstr>
      <vt:lpstr>calcCh1Prod4Slot2ValDrivExp</vt:lpstr>
      <vt:lpstr>calcCh1Prod4Slot2VolForecastSlot</vt:lpstr>
      <vt:lpstr>calcCh1Prod4Slot2WD</vt:lpstr>
      <vt:lpstr>calcCh1Prod4Slot3Active</vt:lpstr>
      <vt:lpstr>calcCh1Prod4Slot3AvgPrice</vt:lpstr>
      <vt:lpstr>calcCh1Prod4Slot3AvgSalePrice</vt:lpstr>
      <vt:lpstr>calcCh1Prod4Slot3BaseCustProfPWeek</vt:lpstr>
      <vt:lpstr>calcCh1Prod4Slot3BaseCustUplift</vt:lpstr>
      <vt:lpstr>calcCh1Prod4Slot3BaseGPaLPUnit</vt:lpstr>
      <vt:lpstr>calcCh1Prod4Slot3BaseGPaLPWeek</vt:lpstr>
      <vt:lpstr>calcCh1Prod4Slot3BaseVolPWeek</vt:lpstr>
      <vt:lpstr>calcCh1Prod4Slot3ChVolShare</vt:lpstr>
      <vt:lpstr>calcCh1Prod4Slot3CustPrice</vt:lpstr>
      <vt:lpstr>calcCh1Prod4Slot3CustProfitBase</vt:lpstr>
      <vt:lpstr>calcCh1Prod4Slot3CustProfitBaseMarginAbs</vt:lpstr>
      <vt:lpstr>calcCh1Prod4Slot3CustProfitBaseMarginPct</vt:lpstr>
      <vt:lpstr>calcCh1Prod4Slot3CustProfitBaseVol</vt:lpstr>
      <vt:lpstr>calcCh1Prod4Slot3CustProfitPromo1</vt:lpstr>
      <vt:lpstr>calcCh1Prod4Slot3CustProfitPromo1MarginAbs</vt:lpstr>
      <vt:lpstr>calcCh1Prod4Slot3CustProfitPromo1Vol</vt:lpstr>
      <vt:lpstr>calcCh1Prod4Slot3CustProfitPromo2</vt:lpstr>
      <vt:lpstr>calcCh1Prod4Slot3CustProfitPromo2MarginAbs</vt:lpstr>
      <vt:lpstr>calcCh1Prod4Slot3CustProfitPromo2Vol</vt:lpstr>
      <vt:lpstr>calcCh1Prod4Slot3CustProfitTot</vt:lpstr>
      <vt:lpstr>CalcCh1Prod4Slot3Depreciation</vt:lpstr>
      <vt:lpstr>CalcCh1Prod4Slot3DepreciationPUnit</vt:lpstr>
      <vt:lpstr>CalcCh1Prod4Slot3ManufacturingCostPUnit</vt:lpstr>
      <vt:lpstr>calcCh1Prod4Slot3NoPromoPricePLitre</vt:lpstr>
      <vt:lpstr>calcCh1Prod4Slot3NoPromoVol</vt:lpstr>
      <vt:lpstr>calcCh1Prod4Slot3Pack</vt:lpstr>
      <vt:lpstr>calcCh1Prod4Slot3PackFitBase</vt:lpstr>
      <vt:lpstr>calcCh1Prod4Slot3PriceDif</vt:lpstr>
      <vt:lpstr>calcCh1Prod4Slot3Promo1CustPrice</vt:lpstr>
      <vt:lpstr>calcCh1Prod4Slot3Promo1CustProfPWeek</vt:lpstr>
      <vt:lpstr>calcCh1Prod4Slot3Promo1CustUplift</vt:lpstr>
      <vt:lpstr>calcCh1Prod4Slot3Promo1GPaLPUnit</vt:lpstr>
      <vt:lpstr>calcCh1Prod4Slot3Promo1GPaLPWeek</vt:lpstr>
      <vt:lpstr>calcCh1Prod4Slot3Promo1GPaLUplift</vt:lpstr>
      <vt:lpstr>calcCh1Prod4Slot3Promo1Plan</vt:lpstr>
      <vt:lpstr>calcCh1Prod4Slot3Promo1PlanEmp1Req</vt:lpstr>
      <vt:lpstr>calcCh1Prod4Slot3Promo1PlanExp</vt:lpstr>
      <vt:lpstr>calcCh1Prod4Slot3Promo1PlanShare</vt:lpstr>
      <vt:lpstr>calcCh1Prod4Slot3Promo1PricePLitre</vt:lpstr>
      <vt:lpstr>calcCh1Prod4Slot3Promo1ROI</vt:lpstr>
      <vt:lpstr>calcCh1Prod4Slot3Promo1Seg1Efficiency</vt:lpstr>
      <vt:lpstr>calcCh1Prod4Slot3Promo1Seg1Fit</vt:lpstr>
      <vt:lpstr>calcCh1Prod4Slot3Promo1Seg1Share</vt:lpstr>
      <vt:lpstr>calcCh1Prod4Slot3Promo1Seg1ShareBase</vt:lpstr>
      <vt:lpstr>calcCh1Prod4Slot3Promo1Seg2Efficiency</vt:lpstr>
      <vt:lpstr>calcCh1Prod4Slot3Promo1Seg2Fit</vt:lpstr>
      <vt:lpstr>calcCh1Prod4Slot3Promo1Seg2Share</vt:lpstr>
      <vt:lpstr>calcCh1Prod4Slot3Promo1Seg2ShareBase</vt:lpstr>
      <vt:lpstr>calcCh1Prod4Slot3Promo1Seg3Efficiency</vt:lpstr>
      <vt:lpstr>calcCh1Prod4Slot3Promo1Seg3Fit</vt:lpstr>
      <vt:lpstr>calcCh1Prod4Slot3Promo1Seg3Share</vt:lpstr>
      <vt:lpstr>calcCh1Prod4Slot3Promo1Seg3ShareBase</vt:lpstr>
      <vt:lpstr>calcCh1Prod4Slot3Promo1Seg4Efficiency</vt:lpstr>
      <vt:lpstr>calcCh1Prod4Slot3Promo1Seg4Fit</vt:lpstr>
      <vt:lpstr>calcCh1Prod4Slot3Promo1Seg4Share</vt:lpstr>
      <vt:lpstr>calcCh1Prod4Slot3Promo1Seg4ShareBase</vt:lpstr>
      <vt:lpstr>calcCh1Prod4Slot3Promo1Vol</vt:lpstr>
      <vt:lpstr>calcCh1Prod4Slot3Promo1VolPWeek</vt:lpstr>
      <vt:lpstr>calcCh1Prod4Slot3Promo1VolUplift</vt:lpstr>
      <vt:lpstr>calcCh1Prod4Slot3Promo1Weeks</vt:lpstr>
      <vt:lpstr>calcCh1Prod4Slot3Promo2CustPrice</vt:lpstr>
      <vt:lpstr>calcCh1Prod4Slot3Promo2CustProfPWeek</vt:lpstr>
      <vt:lpstr>calcCh1Prod4Slot3Promo2CustUplift</vt:lpstr>
      <vt:lpstr>calcCh1Prod4Slot3Promo2GPaLPUnit</vt:lpstr>
      <vt:lpstr>calcCh1Prod4Slot3Promo2GPaLPWeek</vt:lpstr>
      <vt:lpstr>calcCh1Prod4Slot3Promo2GPaLUplift</vt:lpstr>
      <vt:lpstr>calcCh1Prod4Slot3Promo2Plan</vt:lpstr>
      <vt:lpstr>calcCh1Prod4Slot3Promo2PlanEmp1Req</vt:lpstr>
      <vt:lpstr>calcCh1Prod4Slot3Promo2PlanExp</vt:lpstr>
      <vt:lpstr>calcCh1Prod4Slot3Promo2PlanShare</vt:lpstr>
      <vt:lpstr>calcCh1Prod4Slot3Promo2PricePLitre</vt:lpstr>
      <vt:lpstr>calcCh1Prod4Slot3Promo2ROI</vt:lpstr>
      <vt:lpstr>calcCh1Prod4Slot3Promo2Seg1Efficiency</vt:lpstr>
      <vt:lpstr>calcCh1Prod4Slot3Promo2Seg1Fit</vt:lpstr>
      <vt:lpstr>calcCh1Prod4Slot3Promo2Seg1Share</vt:lpstr>
      <vt:lpstr>calcCh1Prod4Slot3Promo2Seg1ShareBase</vt:lpstr>
      <vt:lpstr>calcCh1Prod4Slot3Promo2Seg2Efficiency</vt:lpstr>
      <vt:lpstr>calcCh1Prod4Slot3Promo2Seg2Fit</vt:lpstr>
      <vt:lpstr>calcCh1Prod4Slot3Promo2Seg2Share</vt:lpstr>
      <vt:lpstr>calcCh1Prod4Slot3Promo2Seg2ShareBase</vt:lpstr>
      <vt:lpstr>calcCh1Prod4Slot3Promo2Seg3Efficiency</vt:lpstr>
      <vt:lpstr>calcCh1Prod4Slot3Promo2Seg3Fit</vt:lpstr>
      <vt:lpstr>calcCh1Prod4Slot3Promo2Seg3Share</vt:lpstr>
      <vt:lpstr>calcCh1Prod4Slot3Promo2Seg3ShareBase</vt:lpstr>
      <vt:lpstr>calcCh1Prod4Slot3Promo2Seg4Efficiency</vt:lpstr>
      <vt:lpstr>calcCh1Prod4Slot3Promo2Seg4Fit</vt:lpstr>
      <vt:lpstr>calcCh1Prod4Slot3Promo2Seg4Share</vt:lpstr>
      <vt:lpstr>calcCh1Prod4Slot3Promo2Seg4ShareBase</vt:lpstr>
      <vt:lpstr>calcCh1Prod4Slot3Promo2Vol</vt:lpstr>
      <vt:lpstr>calcCh1Prod4Slot3Promo2VolPWeek</vt:lpstr>
      <vt:lpstr>calcCh1Prod4Slot3Promo2VolUplift</vt:lpstr>
      <vt:lpstr>calcCh1Prod4Slot3Promo2Weeks</vt:lpstr>
      <vt:lpstr>calcCh1Prod4Slot3Seg1PackFit</vt:lpstr>
      <vt:lpstr>calcCh1Prod4Slot3Seg2PackFit</vt:lpstr>
      <vt:lpstr>calcCh1Prod4Slot3Seg3PackFit</vt:lpstr>
      <vt:lpstr>calcCh1Prod4Slot3Seg4PackFit</vt:lpstr>
      <vt:lpstr>calcCh1Prod4Slot3ShelfPrice</vt:lpstr>
      <vt:lpstr>calcCh1Prod4Slot3TotalVolSold</vt:lpstr>
      <vt:lpstr>calcCh1Prod4Slot3ValDrivExp</vt:lpstr>
      <vt:lpstr>calcCh1Prod4Slot3VolForecastSlot</vt:lpstr>
      <vt:lpstr>calcCh1Prod4Slot3WD</vt:lpstr>
      <vt:lpstr>calcCh1Prod4SlotsEnd</vt:lpstr>
      <vt:lpstr>calcCh1Prod4SlotsNew</vt:lpstr>
      <vt:lpstr>calcCh1Prod4SlotsNextEmp1Req</vt:lpstr>
      <vt:lpstr>calcCh1Prod4SlotsNextExp</vt:lpstr>
      <vt:lpstr>calcCh1Prod4SlotsStart</vt:lpstr>
      <vt:lpstr>calcCh1Prod4SlotsTotEmp1Req</vt:lpstr>
      <vt:lpstr>calcCh1Prod4SlotsTotExp</vt:lpstr>
      <vt:lpstr>calcCh1Prod4SlotTotActive</vt:lpstr>
      <vt:lpstr>calcCh1Prod4TotalVolSold</vt:lpstr>
      <vt:lpstr>calcCh1Prod4VolForecastProd</vt:lpstr>
      <vt:lpstr>calcCh1Prod4VolSoldNoPromo</vt:lpstr>
      <vt:lpstr>calcCh1Prod4VolSoldPromo1</vt:lpstr>
      <vt:lpstr>calcCh1Prod4VolSoldPromo2</vt:lpstr>
      <vt:lpstr>calcCh1Promo1PlanEmp1ReqTot</vt:lpstr>
      <vt:lpstr>calcCh1Promo1PlanExpTot</vt:lpstr>
      <vt:lpstr>calcCh1Promo2PlanEmp1ReqTot</vt:lpstr>
      <vt:lpstr>calcCh1Promo2PlanExpTot</vt:lpstr>
      <vt:lpstr>calcCh1PromoRoiAvg</vt:lpstr>
      <vt:lpstr>calcCh1PromoWeeks</vt:lpstr>
      <vt:lpstr>calcCh1PromoWeeksAvail</vt:lpstr>
      <vt:lpstr>calcCh1PromoWeeksMax</vt:lpstr>
      <vt:lpstr>calcCh1PromoWeeksUsed</vt:lpstr>
      <vt:lpstr>calcCh1SlotMaxReached</vt:lpstr>
      <vt:lpstr>calcCh1SlotsTotEmp1Req</vt:lpstr>
      <vt:lpstr>calcCh1SlotsTotExp</vt:lpstr>
      <vt:lpstr>calcCh1SlotTotActive</vt:lpstr>
      <vt:lpstr>calcCh1TotalVolSold</vt:lpstr>
      <vt:lpstr>calcCh1ValDriv1</vt:lpstr>
      <vt:lpstr>calcCh1ValDriv1AccEnd</vt:lpstr>
      <vt:lpstr>calcCh1ValDriv1AccStart</vt:lpstr>
      <vt:lpstr>calcCh1ValDriv1Emp1Req</vt:lpstr>
      <vt:lpstr>calcCh1ValDriv1Exp</vt:lpstr>
      <vt:lpstr>calcCh1ValDriv2</vt:lpstr>
      <vt:lpstr>calcCh1ValDriv2AccEnd</vt:lpstr>
      <vt:lpstr>calcCh1ValDriv2AccStart</vt:lpstr>
      <vt:lpstr>calcCh1ValDriv2Emp1Req</vt:lpstr>
      <vt:lpstr>calcCh1ValDriv2Exp</vt:lpstr>
      <vt:lpstr>calcCh1ValDriv3</vt:lpstr>
      <vt:lpstr>calcCh1ValDriv3AccEnd</vt:lpstr>
      <vt:lpstr>calcCh1ValDriv3AccStart</vt:lpstr>
      <vt:lpstr>calcCh1ValDriv3Emp1Req</vt:lpstr>
      <vt:lpstr>calcCh1ValDriv3Exp</vt:lpstr>
      <vt:lpstr>calcCh1ValDriv4</vt:lpstr>
      <vt:lpstr>calcCh1ValDriv4AccEnd</vt:lpstr>
      <vt:lpstr>calcCh1ValDriv4AccEndMMScore</vt:lpstr>
      <vt:lpstr>calcCh1ValDriv4AccStart</vt:lpstr>
      <vt:lpstr>calcCh1ValDriv4Emp1Req</vt:lpstr>
      <vt:lpstr>calcCh1ValDriv4Exp</vt:lpstr>
      <vt:lpstr>calcCh1ValDriv5</vt:lpstr>
      <vt:lpstr>calcCh1ValDriv5AccEnd</vt:lpstr>
      <vt:lpstr>calcCh1ValDriv5AccStart</vt:lpstr>
      <vt:lpstr>calcCh1ValDriv5Emp1Req</vt:lpstr>
      <vt:lpstr>calcCh1ValDriv5Exp</vt:lpstr>
      <vt:lpstr>calcCh1ValDriv5MMScore</vt:lpstr>
      <vt:lpstr>calcCh1ValDrivCond</vt:lpstr>
      <vt:lpstr>calcCh1ValDrivCondEmp1Req</vt:lpstr>
      <vt:lpstr>calcCh1ValDrivCondExp</vt:lpstr>
      <vt:lpstr>calcCh1ValDrivEmp1ReqTot</vt:lpstr>
      <vt:lpstr>calcCh1ValDrivExpTot</vt:lpstr>
      <vt:lpstr>calcCh1Vt</vt:lpstr>
      <vt:lpstr>calcCh1VtCode</vt:lpstr>
      <vt:lpstr>calcCh1WDAccInv</vt:lpstr>
      <vt:lpstr>calcCh1WDValDriv1</vt:lpstr>
      <vt:lpstr>calcCh1WeightedAvgPrice</vt:lpstr>
      <vt:lpstr>calcCh2AddSlotAvailable</vt:lpstr>
      <vt:lpstr>calcCh2AnalyticsEmp1Req</vt:lpstr>
      <vt:lpstr>calcCh2AnalyticsExp</vt:lpstr>
      <vt:lpstr>calcCh2AnalyticsNumberBought</vt:lpstr>
      <vt:lpstr>calcCh2CondShare</vt:lpstr>
      <vt:lpstr>calcCh2CustProfitTot</vt:lpstr>
      <vt:lpstr>calcCh2MarkPlan</vt:lpstr>
      <vt:lpstr>calcCh2MarkPlanEmp1Req</vt:lpstr>
      <vt:lpstr>calcCh2MarkPlanExp</vt:lpstr>
      <vt:lpstr>calcCh2MarkPlanSeg1Fit</vt:lpstr>
      <vt:lpstr>calcCh2MarkPlanSeg2Fit</vt:lpstr>
      <vt:lpstr>calcCh2MarkPlanSeg3Fit</vt:lpstr>
      <vt:lpstr>calcCh2MarkPlanSeg4Fit</vt:lpstr>
      <vt:lpstr>calcCh2NewSlots</vt:lpstr>
      <vt:lpstr>calcCh2Prod1CustProfitTot</vt:lpstr>
      <vt:lpstr>calcCh2Prod1Seg1AssortmentFit</vt:lpstr>
      <vt:lpstr>calcCh2Prod1Seg2AssortmentFit</vt:lpstr>
      <vt:lpstr>calcCh2Prod1Seg3AssortmentFit</vt:lpstr>
      <vt:lpstr>calcCh2Prod1Seg4AssortmentFit</vt:lpstr>
      <vt:lpstr>calcCh2Prod1Slot1Active</vt:lpstr>
      <vt:lpstr>calcCh2Prod1Slot1AvgSalePrice</vt:lpstr>
      <vt:lpstr>calcCh2Prod1Slot1ChVolShare</vt:lpstr>
      <vt:lpstr>calcCh2Prod1Slot1CustPrice</vt:lpstr>
      <vt:lpstr>calcCh2Prod1Slot1CustProfitBase</vt:lpstr>
      <vt:lpstr>calcCh2Prod1Slot1CustProfitBaseMarginAbs</vt:lpstr>
      <vt:lpstr>calcCh2Prod1Slot1CustProfitBaseMarginPct</vt:lpstr>
      <vt:lpstr>calcCh2Prod1Slot1CustProfitBaseVol</vt:lpstr>
      <vt:lpstr>CalcCh2Prod1Slot1Depreciation</vt:lpstr>
      <vt:lpstr>CalcCh2Prod1Slot1DepreciationPUnit</vt:lpstr>
      <vt:lpstr>CalcCh2Prod1Slot1ManufacturingCostPUnit</vt:lpstr>
      <vt:lpstr>calcCh2Prod1Slot1Pack</vt:lpstr>
      <vt:lpstr>calcCh2Prod1Slot1PackFitBase</vt:lpstr>
      <vt:lpstr>calcCh2Prod1Slot1PriceDif</vt:lpstr>
      <vt:lpstr>calcCh2Prod1Slot1Seg1PackFit</vt:lpstr>
      <vt:lpstr>calcCh2Prod1Slot1Seg2PackFit</vt:lpstr>
      <vt:lpstr>calcCh2Prod1Slot1Seg3PackFit</vt:lpstr>
      <vt:lpstr>calcCh2Prod1Slot1Seg4PackFit</vt:lpstr>
      <vt:lpstr>calcCh2Prod1Slot1ShelfPrice</vt:lpstr>
      <vt:lpstr>calcCh2Prod1Slot1ValDrivExp</vt:lpstr>
      <vt:lpstr>calcCh2Prod1Slot1VolForecastSlot</vt:lpstr>
      <vt:lpstr>calcCh2Prod1Slot1WD</vt:lpstr>
      <vt:lpstr>calcCh2Prod1Slot2Active</vt:lpstr>
      <vt:lpstr>calcCh2Prod1Slot2AvgSalePrice</vt:lpstr>
      <vt:lpstr>calcCh2Prod1Slot2ChVolShare</vt:lpstr>
      <vt:lpstr>calcCh2Prod1Slot2CustPrice</vt:lpstr>
      <vt:lpstr>calcCh2Prod1Slot2CustProfitBase</vt:lpstr>
      <vt:lpstr>calcCh2Prod1Slot2CustProfitBaseMarginAbs</vt:lpstr>
      <vt:lpstr>calcCh2Prod1Slot2CustProfitBaseMarginPct</vt:lpstr>
      <vt:lpstr>calcCh2Prod1Slot2CustProfitBaseVol</vt:lpstr>
      <vt:lpstr>CalcCh2Prod1Slot2Depreciation</vt:lpstr>
      <vt:lpstr>CalcCh2Prod1Slot2DepreciationPUnit</vt:lpstr>
      <vt:lpstr>CalcCh2Prod1Slot2ManufacturingCostPUnit</vt:lpstr>
      <vt:lpstr>calcCh2Prod1Slot2Pack</vt:lpstr>
      <vt:lpstr>calcCh2Prod1Slot2PackFitBase</vt:lpstr>
      <vt:lpstr>calcCh2Prod1Slot2PriceDif</vt:lpstr>
      <vt:lpstr>calcCh2Prod1Slot2Seg1PackFit</vt:lpstr>
      <vt:lpstr>calcCh2Prod1Slot2Seg2PackFit</vt:lpstr>
      <vt:lpstr>calcCh2Prod1Slot2Seg3PackFit</vt:lpstr>
      <vt:lpstr>calcCh2Prod1Slot2Seg4PackFit</vt:lpstr>
      <vt:lpstr>calcCh2Prod1Slot2ShelfPrice</vt:lpstr>
      <vt:lpstr>calcCh2Prod1Slot2ValDrivExp</vt:lpstr>
      <vt:lpstr>calcCh2Prod1Slot2VolForecastSlot</vt:lpstr>
      <vt:lpstr>calcCh2Prod1Slot2WD</vt:lpstr>
      <vt:lpstr>calcCh2Prod1Slot3Active</vt:lpstr>
      <vt:lpstr>calcCh2Prod1Slot3AvgSalePrice</vt:lpstr>
      <vt:lpstr>calcCh2Prod1Slot3ChVolShare</vt:lpstr>
      <vt:lpstr>calcCh2Prod1Slot3CustPrice</vt:lpstr>
      <vt:lpstr>calcCh2Prod1Slot3CustProfitBase</vt:lpstr>
      <vt:lpstr>calcCh2Prod1Slot3CustProfitBaseMarginAbs</vt:lpstr>
      <vt:lpstr>calcCh2Prod1Slot3CustProfitBaseMarginPct</vt:lpstr>
      <vt:lpstr>calcCh2Prod1Slot3CustProfitBaseVol</vt:lpstr>
      <vt:lpstr>CalcCh2Prod1Slot3Depreciation</vt:lpstr>
      <vt:lpstr>CalcCh2Prod1Slot3DepreciationPUnit</vt:lpstr>
      <vt:lpstr>CalcCh2Prod1Slot3ManufacturingCostPUnit</vt:lpstr>
      <vt:lpstr>calcCh2Prod1Slot3Pack</vt:lpstr>
      <vt:lpstr>calcCh2Prod1Slot3PackFitBase</vt:lpstr>
      <vt:lpstr>calcCh2Prod1Slot3PriceDif</vt:lpstr>
      <vt:lpstr>calcCh2Prod1Slot3Seg1PackFit</vt:lpstr>
      <vt:lpstr>calcCh2Prod1Slot3Seg2PackFit</vt:lpstr>
      <vt:lpstr>calcCh2Prod1Slot3Seg3PackFit</vt:lpstr>
      <vt:lpstr>calcCh2Prod1Slot3Seg4PackFit</vt:lpstr>
      <vt:lpstr>calcCh2Prod1Slot3ShelfPrice</vt:lpstr>
      <vt:lpstr>calcCh2Prod1Slot3ValDrivExp</vt:lpstr>
      <vt:lpstr>calcCh2Prod1Slot3VolForecastSlot</vt:lpstr>
      <vt:lpstr>calcCh2Prod1Slot3WD</vt:lpstr>
      <vt:lpstr>calcCh2Prod1SlotsEnd</vt:lpstr>
      <vt:lpstr>calcCh2Prod1SlotsNew</vt:lpstr>
      <vt:lpstr>calcCh2Prod1SlotsNextEmp1Req</vt:lpstr>
      <vt:lpstr>calcCh2Prod1SlotsNextExp</vt:lpstr>
      <vt:lpstr>calcCh2Prod1SlotsStart</vt:lpstr>
      <vt:lpstr>calcCh2Prod1SlotsTotEmp1Req</vt:lpstr>
      <vt:lpstr>calcCh2Prod1SlotsTotExp</vt:lpstr>
      <vt:lpstr>calcCh2Prod1SlotTotActive</vt:lpstr>
      <vt:lpstr>calcCh2Prod1VolForecastProd</vt:lpstr>
      <vt:lpstr>calcCh2Prod2CustProfitTot</vt:lpstr>
      <vt:lpstr>calcCh2Prod2Seg1AssortmentFit</vt:lpstr>
      <vt:lpstr>calcCh2Prod2Seg2AssortmentFit</vt:lpstr>
      <vt:lpstr>calcCh2Prod2Seg3AssortmentFit</vt:lpstr>
      <vt:lpstr>calcCh2Prod2Seg4AssortmentFit</vt:lpstr>
      <vt:lpstr>calcCh2Prod2Slot1Active</vt:lpstr>
      <vt:lpstr>calcCh2Prod2Slot1AvgSalePrice</vt:lpstr>
      <vt:lpstr>calcCh2Prod2Slot1ChVolShare</vt:lpstr>
      <vt:lpstr>calcCh2Prod2Slot1CustPrice</vt:lpstr>
      <vt:lpstr>calcCh2Prod2Slot1CustProfitBase</vt:lpstr>
      <vt:lpstr>calcCh2Prod2Slot1CustProfitBaseMarginAbs</vt:lpstr>
      <vt:lpstr>calcCh2Prod2Slot1CustProfitBaseMarginPct</vt:lpstr>
      <vt:lpstr>calcCh2Prod2Slot1CustProfitBaseVol</vt:lpstr>
      <vt:lpstr>CalcCh2Prod2Slot1Depreciation</vt:lpstr>
      <vt:lpstr>CalcCh2Prod2Slot1DepreciationPUnit</vt:lpstr>
      <vt:lpstr>CalcCh2Prod2Slot1ManufacturingCostPUnit</vt:lpstr>
      <vt:lpstr>calcCh2Prod2Slot1Pack</vt:lpstr>
      <vt:lpstr>calcCh2Prod2Slot1PackFitBase</vt:lpstr>
      <vt:lpstr>calcCh2Prod2Slot1PriceDif</vt:lpstr>
      <vt:lpstr>calcCh2Prod2Slot1Seg1PackFit</vt:lpstr>
      <vt:lpstr>calcCh2Prod2Slot1Seg2PackFit</vt:lpstr>
      <vt:lpstr>calcCh2Prod2Slot1Seg3PackFit</vt:lpstr>
      <vt:lpstr>calcCh2Prod2Slot1Seg4PackFit</vt:lpstr>
      <vt:lpstr>calcCh2Prod2Slot1ShelfPrice</vt:lpstr>
      <vt:lpstr>calcCh2Prod2Slot1ValDrivExp</vt:lpstr>
      <vt:lpstr>calcCh2Prod2Slot1VolForecastSlot</vt:lpstr>
      <vt:lpstr>calcCh2Prod2Slot1WD</vt:lpstr>
      <vt:lpstr>calcCh2Prod2Slot2Active</vt:lpstr>
      <vt:lpstr>calcCh2Prod2Slot2AvgSalePrice</vt:lpstr>
      <vt:lpstr>calcCh2Prod2Slot2ChVolShare</vt:lpstr>
      <vt:lpstr>calcCh2Prod2Slot2CustPrice</vt:lpstr>
      <vt:lpstr>calcCh2Prod2Slot2CustProfitBase</vt:lpstr>
      <vt:lpstr>calcCh2Prod2Slot2CustProfitBaseMarginAbs</vt:lpstr>
      <vt:lpstr>calcCh2Prod2Slot2CustProfitBaseMarginPct</vt:lpstr>
      <vt:lpstr>calcCh2Prod2Slot2CustProfitBaseVol</vt:lpstr>
      <vt:lpstr>CalcCh2Prod2Slot2Depreciation</vt:lpstr>
      <vt:lpstr>CalcCh2Prod2Slot2DepreciationPUnit</vt:lpstr>
      <vt:lpstr>CalcCh2Prod2Slot2ManufacturingCostPUnit</vt:lpstr>
      <vt:lpstr>calcCh2Prod2Slot2Pack</vt:lpstr>
      <vt:lpstr>calcCh2Prod2Slot2PackFitBase</vt:lpstr>
      <vt:lpstr>calcCh2Prod2Slot2PriceDif</vt:lpstr>
      <vt:lpstr>calcCh2Prod2Slot2Seg1PackFit</vt:lpstr>
      <vt:lpstr>calcCh2Prod2Slot2Seg2PackFit</vt:lpstr>
      <vt:lpstr>calcCh2Prod2Slot2Seg3PackFit</vt:lpstr>
      <vt:lpstr>calcCh2Prod2Slot2Seg4PackFit</vt:lpstr>
      <vt:lpstr>calcCh2Prod2Slot2ShelfPrice</vt:lpstr>
      <vt:lpstr>calcCh2Prod2Slot2ValDrivExp</vt:lpstr>
      <vt:lpstr>calcCh2Prod2Slot2VolForecastSlot</vt:lpstr>
      <vt:lpstr>calcCh2Prod2Slot2WD</vt:lpstr>
      <vt:lpstr>calcCh2Prod2Slot3Active</vt:lpstr>
      <vt:lpstr>calcCh2Prod2Slot3AvgSalePrice</vt:lpstr>
      <vt:lpstr>calcCh2Prod2Slot3ChVolShare</vt:lpstr>
      <vt:lpstr>calcCh2Prod2Slot3CustPrice</vt:lpstr>
      <vt:lpstr>calcCh2Prod2Slot3CustProfitBase</vt:lpstr>
      <vt:lpstr>calcCh2Prod2Slot3CustProfitBaseMarginAbs</vt:lpstr>
      <vt:lpstr>calcCh2Prod2Slot3CustProfitBaseMarginPct</vt:lpstr>
      <vt:lpstr>calcCh2Prod2Slot3CustProfitBaseVol</vt:lpstr>
      <vt:lpstr>CalcCh2Prod2Slot3Depreciation</vt:lpstr>
      <vt:lpstr>CalcCh2Prod2Slot3DepreciationPUnit</vt:lpstr>
      <vt:lpstr>CalcCh2Prod2Slot3ManufacturingCostPUnit</vt:lpstr>
      <vt:lpstr>calcCh2Prod2Slot3Pack</vt:lpstr>
      <vt:lpstr>calcCh2Prod2Slot3PackFitBase</vt:lpstr>
      <vt:lpstr>calcCh2Prod2Slot3PriceDif</vt:lpstr>
      <vt:lpstr>calcCh2Prod2Slot3Seg1PackFit</vt:lpstr>
      <vt:lpstr>calcCh2Prod2Slot3Seg2PackFit</vt:lpstr>
      <vt:lpstr>calcCh2Prod2Slot3Seg3PackFit</vt:lpstr>
      <vt:lpstr>calcCh2Prod2Slot3Seg4PackFit</vt:lpstr>
      <vt:lpstr>calcCh2Prod2Slot3ShelfPrice</vt:lpstr>
      <vt:lpstr>calcCh2Prod2Slot3ValDrivExp</vt:lpstr>
      <vt:lpstr>calcCh2Prod2Slot3VolForecastSlot</vt:lpstr>
      <vt:lpstr>calcCh2Prod2Slot3WD</vt:lpstr>
      <vt:lpstr>calcCh2Prod2SlotsEnd</vt:lpstr>
      <vt:lpstr>calcCh2Prod2SlotsNew</vt:lpstr>
      <vt:lpstr>calcCh2Prod2SlotsNextEmp1Req</vt:lpstr>
      <vt:lpstr>calcCh2Prod2SlotsNextExp</vt:lpstr>
      <vt:lpstr>calcCh2Prod2SlotsStart</vt:lpstr>
      <vt:lpstr>calcCh2Prod2SlotsTotEmp1Req</vt:lpstr>
      <vt:lpstr>calcCh2Prod2SlotsTotExp</vt:lpstr>
      <vt:lpstr>calcCh2Prod2SlotTotActive</vt:lpstr>
      <vt:lpstr>calcCh2Prod2VolForecastProd</vt:lpstr>
      <vt:lpstr>calcCh2Prod3CustProfitTot</vt:lpstr>
      <vt:lpstr>calcCh2Prod3Seg1AssortmentFit</vt:lpstr>
      <vt:lpstr>calcCh2Prod3Seg2AssortmentFit</vt:lpstr>
      <vt:lpstr>calcCh2Prod3Seg3AssortmentFit</vt:lpstr>
      <vt:lpstr>calcCh2Prod3Seg4AssortmentFit</vt:lpstr>
      <vt:lpstr>calcCh2Prod3Slot1Active</vt:lpstr>
      <vt:lpstr>calcCh2Prod3Slot1AvgSalePrice</vt:lpstr>
      <vt:lpstr>calcCh2Prod3Slot1ChVolShare</vt:lpstr>
      <vt:lpstr>calcCh2Prod3Slot1CustPrice</vt:lpstr>
      <vt:lpstr>calcCh2Prod3Slot1CustProfitBase</vt:lpstr>
      <vt:lpstr>calcCh2Prod3Slot1CustProfitBaseMarginAbs</vt:lpstr>
      <vt:lpstr>calcCh2Prod3Slot1CustProfitBaseMarginPct</vt:lpstr>
      <vt:lpstr>calcCh2Prod3Slot1CustProfitBaseVol</vt:lpstr>
      <vt:lpstr>CalcCh2Prod3Slot1Depreciation</vt:lpstr>
      <vt:lpstr>CalcCh2Prod3Slot1DepreciationPUnit</vt:lpstr>
      <vt:lpstr>CalcCh2Prod3Slot1ManufacturingCostPUnit</vt:lpstr>
      <vt:lpstr>calcCh2Prod3Slot1Pack</vt:lpstr>
      <vt:lpstr>calcCh2Prod3Slot1PackFitBase</vt:lpstr>
      <vt:lpstr>calcCh2Prod3Slot1PriceDif</vt:lpstr>
      <vt:lpstr>calcCh2Prod3Slot1Seg1PackFit</vt:lpstr>
      <vt:lpstr>calcCh2Prod3Slot1Seg2PackFit</vt:lpstr>
      <vt:lpstr>calcCh2Prod3Slot1Seg3PackFit</vt:lpstr>
      <vt:lpstr>calcCh2Prod3Slot1Seg4PackFit</vt:lpstr>
      <vt:lpstr>calcCh2Prod3Slot1ShelfPrice</vt:lpstr>
      <vt:lpstr>calcCh2Prod3Slot1ValDrivExp</vt:lpstr>
      <vt:lpstr>calcCh2Prod3Slot1VolForecastSlot</vt:lpstr>
      <vt:lpstr>calcCh2Prod3Slot1WD</vt:lpstr>
      <vt:lpstr>calcCh2Prod3Slot2Active</vt:lpstr>
      <vt:lpstr>calcCh2Prod3Slot2AvgSalePrice</vt:lpstr>
      <vt:lpstr>calcCh2Prod3Slot2ChVolShare</vt:lpstr>
      <vt:lpstr>calcCh2Prod3Slot2CustPrice</vt:lpstr>
      <vt:lpstr>calcCh2Prod3Slot2CustProfitBase</vt:lpstr>
      <vt:lpstr>calcCh2Prod3Slot2CustProfitBaseMarginAbs</vt:lpstr>
      <vt:lpstr>calcCh2Prod3Slot2CustProfitBaseMarginPct</vt:lpstr>
      <vt:lpstr>calcCh2Prod3Slot2CustProfitBaseVol</vt:lpstr>
      <vt:lpstr>CalcCh2Prod3Slot2Depreciation</vt:lpstr>
      <vt:lpstr>CalcCh2Prod3Slot2DepreciationPUnit</vt:lpstr>
      <vt:lpstr>CalcCh2Prod3Slot2ManufacturingCostPUnit</vt:lpstr>
      <vt:lpstr>calcCh2Prod3Slot2Pack</vt:lpstr>
      <vt:lpstr>calcCh2Prod3Slot2PackFitBase</vt:lpstr>
      <vt:lpstr>calcCh2Prod3Slot2PriceDif</vt:lpstr>
      <vt:lpstr>calcCh2Prod3Slot2Seg1PackFit</vt:lpstr>
      <vt:lpstr>calcCh2Prod3Slot2Seg2PackFit</vt:lpstr>
      <vt:lpstr>calcCh2Prod3Slot2Seg3PackFit</vt:lpstr>
      <vt:lpstr>calcCh2Prod3Slot2Seg4PackFit</vt:lpstr>
      <vt:lpstr>calcCh2Prod3Slot2ShelfPrice</vt:lpstr>
      <vt:lpstr>calcCh2Prod3Slot2ValDrivExp</vt:lpstr>
      <vt:lpstr>calcCh2Prod3Slot2VolForecastSlot</vt:lpstr>
      <vt:lpstr>calcCh2Prod3Slot2WD</vt:lpstr>
      <vt:lpstr>calcCh2Prod3Slot3Active</vt:lpstr>
      <vt:lpstr>calcCh2Prod3Slot3AvgSalePrice</vt:lpstr>
      <vt:lpstr>calcCh2Prod3Slot3ChVolShare</vt:lpstr>
      <vt:lpstr>calcCh2Prod3Slot3CustPrice</vt:lpstr>
      <vt:lpstr>calcCh2Prod3Slot3CustProfitBase</vt:lpstr>
      <vt:lpstr>calcCh2Prod3Slot3CustProfitBaseMarginAbs</vt:lpstr>
      <vt:lpstr>calcCh2Prod3Slot3CustProfitBaseMarginPct</vt:lpstr>
      <vt:lpstr>calcCh2Prod3Slot3CustProfitBaseVol</vt:lpstr>
      <vt:lpstr>CalcCh2Prod3Slot3Depreciation</vt:lpstr>
      <vt:lpstr>CalcCh2Prod3Slot3DepreciationPUnit</vt:lpstr>
      <vt:lpstr>CalcCh2Prod3Slot3ManufacturingCostPUnit</vt:lpstr>
      <vt:lpstr>calcCh2Prod3Slot3Pack</vt:lpstr>
      <vt:lpstr>calcCh2Prod3Slot3PackFitBase</vt:lpstr>
      <vt:lpstr>calcCh2Prod3Slot3PriceDif</vt:lpstr>
      <vt:lpstr>calcCh2Prod3Slot3Seg1PackFit</vt:lpstr>
      <vt:lpstr>calcCh2Prod3Slot3Seg2PackFit</vt:lpstr>
      <vt:lpstr>calcCh2Prod3Slot3Seg3PackFit</vt:lpstr>
      <vt:lpstr>calcCh2Prod3Slot3Seg4PackFit</vt:lpstr>
      <vt:lpstr>calcCh2Prod3Slot3ShelfPrice</vt:lpstr>
      <vt:lpstr>calcCh2Prod3Slot3ValDrivExp</vt:lpstr>
      <vt:lpstr>calcCh2Prod3Slot3VolForecastSlot</vt:lpstr>
      <vt:lpstr>calcCh2Prod3Slot3WD</vt:lpstr>
      <vt:lpstr>calcCh2Prod3SlotsEnd</vt:lpstr>
      <vt:lpstr>calcCh2Prod3SlotsNew</vt:lpstr>
      <vt:lpstr>calcCh2Prod3SlotsNextEmp1Req</vt:lpstr>
      <vt:lpstr>calcCh2Prod3SlotsNextExp</vt:lpstr>
      <vt:lpstr>calcCh2Prod3SlotsStart</vt:lpstr>
      <vt:lpstr>calcCh2Prod3SlotsTotEmp1Req</vt:lpstr>
      <vt:lpstr>calcCh2Prod3SlotsTotExp</vt:lpstr>
      <vt:lpstr>calcCh2Prod3SlotTotActive</vt:lpstr>
      <vt:lpstr>calcCh2Prod3VolForecastProd</vt:lpstr>
      <vt:lpstr>calcCh2Prod4CustProfitTot</vt:lpstr>
      <vt:lpstr>calcCh2Prod4Seg1AssortmentFit</vt:lpstr>
      <vt:lpstr>calcCh2Prod4Seg2AssortmentFit</vt:lpstr>
      <vt:lpstr>calcCh2Prod4Seg3AssortmentFit</vt:lpstr>
      <vt:lpstr>calcCh2Prod4Seg4AssortmentFit</vt:lpstr>
      <vt:lpstr>calcCh2Prod4Slot1Active</vt:lpstr>
      <vt:lpstr>calcCh2Prod4Slot1AvgSalePrice</vt:lpstr>
      <vt:lpstr>calcCh2Prod4Slot1ChVolShare</vt:lpstr>
      <vt:lpstr>calcCh2Prod4Slot1CustPrice</vt:lpstr>
      <vt:lpstr>calcCh2Prod4Slot1CustProfitBase</vt:lpstr>
      <vt:lpstr>calcCh2Prod4Slot1CustProfitBaseMarginAbs</vt:lpstr>
      <vt:lpstr>calcCh2Prod4Slot1CustProfitBaseMarginPct</vt:lpstr>
      <vt:lpstr>calcCh2Prod4Slot1CustProfitBaseVol</vt:lpstr>
      <vt:lpstr>CalcCh2Prod4Slot1Depreciation</vt:lpstr>
      <vt:lpstr>CalcCh2Prod4Slot1DepreciationPUnit</vt:lpstr>
      <vt:lpstr>CalcCh2Prod4Slot1ManufacturingCostPUnit</vt:lpstr>
      <vt:lpstr>calcCh2Prod4Slot1Pack</vt:lpstr>
      <vt:lpstr>calcCh2Prod4Slot1PackFitBase</vt:lpstr>
      <vt:lpstr>calcCh2Prod4Slot1PriceDif</vt:lpstr>
      <vt:lpstr>calcCh2Prod4Slot1Seg1PackFit</vt:lpstr>
      <vt:lpstr>calcCh2Prod4Slot1Seg2PackFit</vt:lpstr>
      <vt:lpstr>calcCh2Prod4Slot1Seg3PackFit</vt:lpstr>
      <vt:lpstr>calcCh2Prod4Slot1Seg4PackFit</vt:lpstr>
      <vt:lpstr>calcCh2Prod4Slot1ShelfPrice</vt:lpstr>
      <vt:lpstr>calcCh2Prod4Slot1ValDrivExp</vt:lpstr>
      <vt:lpstr>calcCh2Prod4Slot1VolForecastSlot</vt:lpstr>
      <vt:lpstr>calcCh2Prod4Slot1WD</vt:lpstr>
      <vt:lpstr>calcCh2Prod4Slot2Active</vt:lpstr>
      <vt:lpstr>calcCh2Prod4Slot2AvgSalePrice</vt:lpstr>
      <vt:lpstr>calcCh2Prod4Slot2ChVolShare</vt:lpstr>
      <vt:lpstr>calcCh2Prod4Slot2CustPrice</vt:lpstr>
      <vt:lpstr>calcCh2Prod4Slot2CustProfitBase</vt:lpstr>
      <vt:lpstr>calcCh2Prod4Slot2CustProfitBaseMarginAbs</vt:lpstr>
      <vt:lpstr>calcCh2Prod4Slot2CustProfitBaseMarginPct</vt:lpstr>
      <vt:lpstr>calcCh2Prod4Slot2CustProfitBaseVol</vt:lpstr>
      <vt:lpstr>CalcCh2Prod4Slot2Depreciation</vt:lpstr>
      <vt:lpstr>CalcCh2Prod4Slot2DepreciationPUnit</vt:lpstr>
      <vt:lpstr>CalcCh2Prod4Slot2ManufacturingCostPUnit</vt:lpstr>
      <vt:lpstr>calcCh2Prod4Slot2Pack</vt:lpstr>
      <vt:lpstr>calcCh2Prod4Slot2PackFitBase</vt:lpstr>
      <vt:lpstr>calcCh2Prod4Slot2PriceDif</vt:lpstr>
      <vt:lpstr>calcCh2Prod4Slot2Seg1PackFit</vt:lpstr>
      <vt:lpstr>calcCh2Prod4Slot2Seg2PackFit</vt:lpstr>
      <vt:lpstr>calcCh2Prod4Slot2Seg3PackFit</vt:lpstr>
      <vt:lpstr>calcCh2Prod4Slot2Seg4PackFit</vt:lpstr>
      <vt:lpstr>calcCh2Prod4Slot2ShelfPrice</vt:lpstr>
      <vt:lpstr>calcCh2Prod4Slot2ValDrivExp</vt:lpstr>
      <vt:lpstr>calcCh2Prod4Slot2VolForecastSlot</vt:lpstr>
      <vt:lpstr>calcCh2Prod4Slot2WD</vt:lpstr>
      <vt:lpstr>calcCh2Prod4Slot3Active</vt:lpstr>
      <vt:lpstr>calcCh2Prod4Slot3AvgSalePrice</vt:lpstr>
      <vt:lpstr>calcCh2Prod4Slot3ChVolShare</vt:lpstr>
      <vt:lpstr>calcCh2Prod4Slot3CustPrice</vt:lpstr>
      <vt:lpstr>calcCh2Prod4Slot3CustProfitBase</vt:lpstr>
      <vt:lpstr>calcCh2Prod4Slot3CustProfitBaseMarginAbs</vt:lpstr>
      <vt:lpstr>calcCh2Prod4Slot3CustProfitBaseMarginPct</vt:lpstr>
      <vt:lpstr>calcCh2Prod4Slot3CustProfitBaseVol</vt:lpstr>
      <vt:lpstr>CalcCh2Prod4Slot3Depreciation</vt:lpstr>
      <vt:lpstr>CalcCh2Prod4Slot3DepreciationPUnit</vt:lpstr>
      <vt:lpstr>CalcCh2Prod4Slot3ManufacturingCostPUnit</vt:lpstr>
      <vt:lpstr>calcCh2Prod4Slot3Pack</vt:lpstr>
      <vt:lpstr>calcCh2Prod4Slot3PackFitBase</vt:lpstr>
      <vt:lpstr>calcCh2Prod4Slot3PriceDif</vt:lpstr>
      <vt:lpstr>calcCh2Prod4Slot3Seg1PackFit</vt:lpstr>
      <vt:lpstr>calcCh2Prod4Slot3Seg2PackFit</vt:lpstr>
      <vt:lpstr>calcCh2Prod4Slot3Seg3PackFit</vt:lpstr>
      <vt:lpstr>calcCh2Prod4Slot3Seg4PackFit</vt:lpstr>
      <vt:lpstr>calcCh2Prod4Slot3ShelfPrice</vt:lpstr>
      <vt:lpstr>calcCh2Prod4Slot3ValDrivExp</vt:lpstr>
      <vt:lpstr>calcCh2Prod4Slot3VolForecastSlot</vt:lpstr>
      <vt:lpstr>calcCh2Prod4Slot3WD</vt:lpstr>
      <vt:lpstr>calcCh2Prod4SlotsEnd</vt:lpstr>
      <vt:lpstr>calcCh2Prod4SlotsNew</vt:lpstr>
      <vt:lpstr>calcCh2Prod4SlotsNextEmp1Req</vt:lpstr>
      <vt:lpstr>calcCh2Prod4SlotsNextExp</vt:lpstr>
      <vt:lpstr>calcCh2Prod4SlotsStart</vt:lpstr>
      <vt:lpstr>calcCh2Prod4SlotsTotEmp1Req</vt:lpstr>
      <vt:lpstr>calcCh2Prod4SlotsTotExp</vt:lpstr>
      <vt:lpstr>calcCh2Prod4SlotTotActive</vt:lpstr>
      <vt:lpstr>calcCh2Prod4VolForecastProd</vt:lpstr>
      <vt:lpstr>calcCh2SlotMaxReached</vt:lpstr>
      <vt:lpstr>calcCh2SlotsNextEmp1Req</vt:lpstr>
      <vt:lpstr>calcCh2SlotsNextExp</vt:lpstr>
      <vt:lpstr>calcCh2SlotsTotEmp1Req</vt:lpstr>
      <vt:lpstr>calcCh2SlotsTotExp</vt:lpstr>
      <vt:lpstr>calcCh2SlotTotActive</vt:lpstr>
      <vt:lpstr>calcCh2TotalVolSold</vt:lpstr>
      <vt:lpstr>calcCh2ValDriv1</vt:lpstr>
      <vt:lpstr>calcCh2ValDriv1AccEnd</vt:lpstr>
      <vt:lpstr>calcCh2ValDriv1AccStart</vt:lpstr>
      <vt:lpstr>calcCh2ValDriv1Emp1Req</vt:lpstr>
      <vt:lpstr>calcCh2ValDriv1Exp</vt:lpstr>
      <vt:lpstr>calcCh2ValDriv2</vt:lpstr>
      <vt:lpstr>calcCh2ValDriv2AccEnd</vt:lpstr>
      <vt:lpstr>calcCh2ValDriv2AccStart</vt:lpstr>
      <vt:lpstr>calcCh2ValDriv2Emp1Req</vt:lpstr>
      <vt:lpstr>calcCh2ValDriv2Exp</vt:lpstr>
      <vt:lpstr>calcCh2ValDriv3</vt:lpstr>
      <vt:lpstr>calcCh2ValDriv3AccEnd</vt:lpstr>
      <vt:lpstr>calcCh2ValDriv3AccStart</vt:lpstr>
      <vt:lpstr>calcCh2ValDriv3Emp1Req</vt:lpstr>
      <vt:lpstr>calcCh2ValDriv3Exp</vt:lpstr>
      <vt:lpstr>calcCh2ValDriv4</vt:lpstr>
      <vt:lpstr>calcCh2ValDriv4AccEnd</vt:lpstr>
      <vt:lpstr>calcCh2ValDriv4AccEndMMScore</vt:lpstr>
      <vt:lpstr>calcCh2ValDriv4AccStart</vt:lpstr>
      <vt:lpstr>calcCh2ValDriv4Emp1Req</vt:lpstr>
      <vt:lpstr>calcCh2ValDriv4Exp</vt:lpstr>
      <vt:lpstr>calcCh2ValDriv5</vt:lpstr>
      <vt:lpstr>calcCh2ValDriv5AccEnd</vt:lpstr>
      <vt:lpstr>calcCh2ValDriv5AccStart</vt:lpstr>
      <vt:lpstr>calcCh2ValDriv5Emp1Req</vt:lpstr>
      <vt:lpstr>calcCh2ValDriv5Exp</vt:lpstr>
      <vt:lpstr>calcCh2ValDriv5MMScore</vt:lpstr>
      <vt:lpstr>calcCh2ValDrivCond</vt:lpstr>
      <vt:lpstr>calcCh2ValDrivCondEmp1Req</vt:lpstr>
      <vt:lpstr>calcCh2ValDrivCondExp</vt:lpstr>
      <vt:lpstr>calcCh2ValDrivEmp1ReqTot</vt:lpstr>
      <vt:lpstr>calcCh2ValDrivExpTot</vt:lpstr>
      <vt:lpstr>calcCh2Vt</vt:lpstr>
      <vt:lpstr>calcCh2VtCode</vt:lpstr>
      <vt:lpstr>calcCh2WDAccInv</vt:lpstr>
      <vt:lpstr>calcCh2WDValDriv1</vt:lpstr>
      <vt:lpstr>calcCh2WeightedAvgPrice</vt:lpstr>
      <vt:lpstr>calcCh3AddSlotAvailable</vt:lpstr>
      <vt:lpstr>calcCh3AnalyticsEmp1Req</vt:lpstr>
      <vt:lpstr>calcCh3AnalyticsExp</vt:lpstr>
      <vt:lpstr>calcCh3AnalyticsNumberBought</vt:lpstr>
      <vt:lpstr>calcCh3CondShare</vt:lpstr>
      <vt:lpstr>calcCh3CustProfitTot</vt:lpstr>
      <vt:lpstr>calcCh3MarkPlan</vt:lpstr>
      <vt:lpstr>calcCh3MarkPlanEmp1Req</vt:lpstr>
      <vt:lpstr>calcCh3MarkPlanExp</vt:lpstr>
      <vt:lpstr>calcCh3MarkPlanSeg1Fit</vt:lpstr>
      <vt:lpstr>calcCh3MarkPlanSeg2Fit</vt:lpstr>
      <vt:lpstr>calcCh3MarkPlanSeg3Fit</vt:lpstr>
      <vt:lpstr>calcCh3MarkPlanSeg4Fit</vt:lpstr>
      <vt:lpstr>calcCh3NewSlots</vt:lpstr>
      <vt:lpstr>calcCh3Prod1AvgCustPrice</vt:lpstr>
      <vt:lpstr>calcCh3Prod1AvgPrice</vt:lpstr>
      <vt:lpstr>calcCh3Prod1AvgPricePromo1</vt:lpstr>
      <vt:lpstr>calcCh3Prod1AvgPromoPrice</vt:lpstr>
      <vt:lpstr>calcCh3Prod1CustProfitTot</vt:lpstr>
      <vt:lpstr>calcCh3Prod1PromoROIavg</vt:lpstr>
      <vt:lpstr>calcCh3Prod1PromoRoiMax</vt:lpstr>
      <vt:lpstr>calcCh3Prod1PromoRoiMaxIndex</vt:lpstr>
      <vt:lpstr>calcCh3Prod1PromoRoiMin</vt:lpstr>
      <vt:lpstr>calcCh3Prod1PromoRoiMinIndex</vt:lpstr>
      <vt:lpstr>calcCh3Prod1Seg1AssortmentFit</vt:lpstr>
      <vt:lpstr>calcCh3Prod1Seg2AssortmentFit</vt:lpstr>
      <vt:lpstr>calcCh3Prod1Seg3AssortmentFit</vt:lpstr>
      <vt:lpstr>calcCh3Prod1Seg4AssortmentFit</vt:lpstr>
      <vt:lpstr>calcCh3Prod1Slot1Active</vt:lpstr>
      <vt:lpstr>calcCh3Prod1Slot1AvgPrice</vt:lpstr>
      <vt:lpstr>calcCh3Prod1Slot1AvgSalePrice</vt:lpstr>
      <vt:lpstr>calcCh3Prod1Slot1BaseCustProfPWeek</vt:lpstr>
      <vt:lpstr>calcCh3Prod1Slot1BaseCustUplift</vt:lpstr>
      <vt:lpstr>calcCh3Prod1Slot1BaseGPaLPUnit</vt:lpstr>
      <vt:lpstr>calcCh3Prod1Slot1BaseGPaLPWeek</vt:lpstr>
      <vt:lpstr>calcCh3Prod1Slot1BaseVolPWeek</vt:lpstr>
      <vt:lpstr>calcCh3Prod1Slot1ChVolShare</vt:lpstr>
      <vt:lpstr>calcCh3Prod1Slot1CustPrice</vt:lpstr>
      <vt:lpstr>calcCh3Prod1Slot1CustProfitBase</vt:lpstr>
      <vt:lpstr>calcCh3Prod1Slot1CustProfitBaseMarginAbs</vt:lpstr>
      <vt:lpstr>calcCh3Prod1Slot1CustProfitBaseMarginPct</vt:lpstr>
      <vt:lpstr>calcCh3Prod1Slot1CustProfitBaseVol</vt:lpstr>
      <vt:lpstr>calcCh3Prod1Slot1CustProfitPromo1</vt:lpstr>
      <vt:lpstr>calcCh3Prod1Slot1CustProfitPromo1MarginAbs</vt:lpstr>
      <vt:lpstr>calcCh3Prod1Slot1CustProfitPromo1Vol</vt:lpstr>
      <vt:lpstr>calcCh3Prod1Slot1CustProfitTot</vt:lpstr>
      <vt:lpstr>CalcCh3Prod1Slot1Depreciation</vt:lpstr>
      <vt:lpstr>CalcCh3Prod1Slot1DepreciationPUnit</vt:lpstr>
      <vt:lpstr>CalcCh3Prod1Slot1ManufacturingCostPUnit</vt:lpstr>
      <vt:lpstr>calcCh3Prod1Slot1NoPromoPricePLitre</vt:lpstr>
      <vt:lpstr>calcCh3Prod1Slot1NoPromoVol</vt:lpstr>
      <vt:lpstr>calcCh3Prod1Slot1Pack</vt:lpstr>
      <vt:lpstr>calcCh3Prod1Slot1PackFitBase</vt:lpstr>
      <vt:lpstr>calcCh3Prod1Slot1PriceDif</vt:lpstr>
      <vt:lpstr>calcCh3Prod1Slot1Promo1CustPrice</vt:lpstr>
      <vt:lpstr>calcCh3Prod1Slot1Promo1CustProfPWeek</vt:lpstr>
      <vt:lpstr>calcCh3Prod1Slot1Promo1CustUplift</vt:lpstr>
      <vt:lpstr>calcCh3Prod1Slot1Promo1GPaLPUnit</vt:lpstr>
      <vt:lpstr>calcCh3Prod1Slot1Promo1GPaLPWeek</vt:lpstr>
      <vt:lpstr>calcCh3Prod1Slot1Promo1GPaLUplift</vt:lpstr>
      <vt:lpstr>calcCh3Prod1Slot1Promo1Plan</vt:lpstr>
      <vt:lpstr>calcCh3Prod1Slot1Promo1PlanEmp1Req</vt:lpstr>
      <vt:lpstr>calcCh3Prod1Slot1Promo1PlanExp</vt:lpstr>
      <vt:lpstr>calcCh3Prod1Slot1Promo1PlanShare</vt:lpstr>
      <vt:lpstr>calcCh3Prod1Slot1Promo1PricePLitre</vt:lpstr>
      <vt:lpstr>calcCh3Prod1Slot1Promo1ROI</vt:lpstr>
      <vt:lpstr>calcCh3Prod1Slot1Promo1Seg1Efficiency</vt:lpstr>
      <vt:lpstr>calcCh3Prod1Slot1Promo1Seg1Fit</vt:lpstr>
      <vt:lpstr>calcCh3Prod1Slot1Promo1Seg1Share</vt:lpstr>
      <vt:lpstr>calcCh3Prod1Slot1Promo1Seg2Efficiency</vt:lpstr>
      <vt:lpstr>calcCh3Prod1Slot1Promo1Seg2Fit</vt:lpstr>
      <vt:lpstr>calcCh3Prod1Slot1Promo1Seg2Share</vt:lpstr>
      <vt:lpstr>calcCh3Prod1Slot1Promo1Seg3Efficiency</vt:lpstr>
      <vt:lpstr>calcCh3Prod1Slot1Promo1Seg3Fit</vt:lpstr>
      <vt:lpstr>calcCh3Prod1Slot1Promo1Seg3Share</vt:lpstr>
      <vt:lpstr>calcCh3Prod1Slot1Promo1Seg4Efficiency</vt:lpstr>
      <vt:lpstr>calcCh3Prod1Slot1Promo1Seg4Fit</vt:lpstr>
      <vt:lpstr>calcCh3Prod1Slot1Promo1Seg4Share</vt:lpstr>
      <vt:lpstr>calcCh3Prod1Slot1Promo1Vol</vt:lpstr>
      <vt:lpstr>calcCh3Prod1Slot1Promo1VolPWeek</vt:lpstr>
      <vt:lpstr>calcCh3Prod1Slot1Promo1VolUplift</vt:lpstr>
      <vt:lpstr>calcCh3Prod1Slot1Promo1Weeks</vt:lpstr>
      <vt:lpstr>calcCh3Prod1Slot1Seg1PackFit</vt:lpstr>
      <vt:lpstr>calcCh3Prod1Slot1Seg2PackFit</vt:lpstr>
      <vt:lpstr>calcCh3Prod1Slot1Seg3PackFit</vt:lpstr>
      <vt:lpstr>calcCh3Prod1Slot1Seg4PackFit</vt:lpstr>
      <vt:lpstr>calcCh3Prod1Slot1ShelfPrice</vt:lpstr>
      <vt:lpstr>calcCh3Prod1Slot1TotalVolSold</vt:lpstr>
      <vt:lpstr>calcCh3Prod1Slot1ValDrivExp</vt:lpstr>
      <vt:lpstr>calcCh3Prod1Slot1VolForecastSlot</vt:lpstr>
      <vt:lpstr>calcCh3Prod1Slot1WD</vt:lpstr>
      <vt:lpstr>calcCh3Prod1Slot2Active</vt:lpstr>
      <vt:lpstr>calcCh3Prod1Slot2AvgPrice</vt:lpstr>
      <vt:lpstr>calcCh3Prod1Slot2AvgSalePrice</vt:lpstr>
      <vt:lpstr>calcCh3Prod1Slot2BaseCustProfPWeek</vt:lpstr>
      <vt:lpstr>calcCh3Prod1Slot2BaseCustUplift</vt:lpstr>
      <vt:lpstr>calcCh3Prod1Slot2BaseGPaLPUnit</vt:lpstr>
      <vt:lpstr>calcCh3Prod1Slot2BaseGPaLPWeek</vt:lpstr>
      <vt:lpstr>calcCh3Prod1Slot2BaseVolPWeek</vt:lpstr>
      <vt:lpstr>calcCh3Prod1Slot2ChVolShare</vt:lpstr>
      <vt:lpstr>calcCh3Prod1Slot2CustPrice</vt:lpstr>
      <vt:lpstr>calcCh3Prod1Slot2CustProfitBase</vt:lpstr>
      <vt:lpstr>calcCh3Prod1Slot2CustProfitBaseMarginAbs</vt:lpstr>
      <vt:lpstr>calcCh3Prod1Slot2CustProfitBaseMarginPct</vt:lpstr>
      <vt:lpstr>calcCh3Prod1Slot2CustProfitBaseVol</vt:lpstr>
      <vt:lpstr>calcCh3Prod1Slot2CustProfitPromo1</vt:lpstr>
      <vt:lpstr>calcCh3Prod1Slot2CustProfitPromo1MarginAbs</vt:lpstr>
      <vt:lpstr>calcCh3Prod1Slot2CustProfitPromo1Vol</vt:lpstr>
      <vt:lpstr>calcCh3Prod1Slot2CustProfitTot</vt:lpstr>
      <vt:lpstr>CalcCh3Prod1Slot2Depreciation</vt:lpstr>
      <vt:lpstr>CalcCh3Prod1Slot2DepreciationPUnit</vt:lpstr>
      <vt:lpstr>CalcCh3Prod1Slot2ManufacturingCostPUnit</vt:lpstr>
      <vt:lpstr>calcCh3Prod1Slot2NoPromoPricePLitre</vt:lpstr>
      <vt:lpstr>calcCh3Prod1Slot2NoPromoVol</vt:lpstr>
      <vt:lpstr>calcCh3Prod1Slot2Pack</vt:lpstr>
      <vt:lpstr>calcCh3Prod1Slot2PackFitBase</vt:lpstr>
      <vt:lpstr>calcCh3Prod1Slot2PriceDif</vt:lpstr>
      <vt:lpstr>calcCh3Prod1Slot2Promo1CustPrice</vt:lpstr>
      <vt:lpstr>calcCh3Prod1Slot2Promo1CustProfPWeek</vt:lpstr>
      <vt:lpstr>calcCh3Prod1Slot2Promo1CustUplift</vt:lpstr>
      <vt:lpstr>calcCh3Prod1Slot2Promo1GPaLPUnit</vt:lpstr>
      <vt:lpstr>calcCh3Prod1Slot2Promo1GPaLPWeek</vt:lpstr>
      <vt:lpstr>calcCh3Prod1Slot2Promo1GPaLUplift</vt:lpstr>
      <vt:lpstr>calcCh3Prod1Slot2Promo1Plan</vt:lpstr>
      <vt:lpstr>calcCh3Prod1Slot2Promo1PlanEmp1Req</vt:lpstr>
      <vt:lpstr>calcCh3Prod1Slot2Promo1PlanExp</vt:lpstr>
      <vt:lpstr>calcCh3Prod1Slot2Promo1PlanShare</vt:lpstr>
      <vt:lpstr>calcCh3Prod1Slot2Promo1PricePLitre</vt:lpstr>
      <vt:lpstr>calcCh3Prod1Slot2Promo1ROI</vt:lpstr>
      <vt:lpstr>calcCh3Prod1Slot2Promo1Seg1Efficiency</vt:lpstr>
      <vt:lpstr>calcCh3Prod1Slot2Promo1Seg1Fit</vt:lpstr>
      <vt:lpstr>calcCh3Prod1Slot2Promo1Seg1Share</vt:lpstr>
      <vt:lpstr>calcCh3Prod1Slot2Promo1Seg2Efficiency</vt:lpstr>
      <vt:lpstr>calcCh3Prod1Slot2Promo1Seg2Fit</vt:lpstr>
      <vt:lpstr>calcCh3Prod1Slot2Promo1Seg2Share</vt:lpstr>
      <vt:lpstr>calcCh3Prod1Slot2Promo1Seg3Efficiency</vt:lpstr>
      <vt:lpstr>calcCh3Prod1Slot2Promo1Seg3Fit</vt:lpstr>
      <vt:lpstr>calcCh3Prod1Slot2Promo1Seg3Share</vt:lpstr>
      <vt:lpstr>calcCh3Prod1Slot2Promo1Seg4Efficiency</vt:lpstr>
      <vt:lpstr>calcCh3Prod1Slot2Promo1Seg4Fit</vt:lpstr>
      <vt:lpstr>calcCh3Prod1Slot2Promo1Seg4Share</vt:lpstr>
      <vt:lpstr>calcCh3Prod1Slot2Promo1Vol</vt:lpstr>
      <vt:lpstr>calcCh3Prod1Slot2Promo1VolPWeek</vt:lpstr>
      <vt:lpstr>calcCh3Prod1Slot2Promo1VolUplift</vt:lpstr>
      <vt:lpstr>calcCh3Prod1Slot2Promo1Weeks</vt:lpstr>
      <vt:lpstr>calcCh3Prod1Slot2Seg1PackFit</vt:lpstr>
      <vt:lpstr>calcCh3Prod1Slot2Seg2PackFit</vt:lpstr>
      <vt:lpstr>calcCh3Prod1Slot2Seg3PackFit</vt:lpstr>
      <vt:lpstr>calcCh3Prod1Slot2Seg4PackFit</vt:lpstr>
      <vt:lpstr>calcCh3Prod1Slot2ShelfPrice</vt:lpstr>
      <vt:lpstr>calcCh3Prod1Slot2TotalVolSold</vt:lpstr>
      <vt:lpstr>calcCh3Prod1Slot2ValDrivExp</vt:lpstr>
      <vt:lpstr>calcCh3Prod1Slot2VolForecastSlot</vt:lpstr>
      <vt:lpstr>calcCh3Prod1Slot2WD</vt:lpstr>
      <vt:lpstr>calcCh3Prod1Slot3Active</vt:lpstr>
      <vt:lpstr>calcCh3Prod1Slot3AvgPrice</vt:lpstr>
      <vt:lpstr>calcCh3Prod1Slot3AvgSalePrice</vt:lpstr>
      <vt:lpstr>calcCh3Prod1Slot3BaseCustProfPWeek</vt:lpstr>
      <vt:lpstr>calcCh3Prod1Slot3BaseCustUplift</vt:lpstr>
      <vt:lpstr>calcCh3Prod1Slot3BaseGPaLPUnit</vt:lpstr>
      <vt:lpstr>calcCh3Prod1Slot3BaseGPaLPWeek</vt:lpstr>
      <vt:lpstr>calcCh3Prod1Slot3BaseVolPWeek</vt:lpstr>
      <vt:lpstr>calcCh3Prod1Slot3ChVolShare</vt:lpstr>
      <vt:lpstr>calcCh3Prod1Slot3CustPrice</vt:lpstr>
      <vt:lpstr>calcCh3Prod1Slot3CustProfitBase</vt:lpstr>
      <vt:lpstr>calcCh3Prod1Slot3CustProfitBaseMarginAbs</vt:lpstr>
      <vt:lpstr>calcCh3Prod1Slot3CustProfitBaseMarginPct</vt:lpstr>
      <vt:lpstr>calcCh3Prod1Slot3CustProfitBaseVol</vt:lpstr>
      <vt:lpstr>calcCh3Prod1Slot3CustProfitPromo1</vt:lpstr>
      <vt:lpstr>calcCh3Prod1Slot3CustProfitPromo1MarginAbs</vt:lpstr>
      <vt:lpstr>calcCh3Prod1Slot3CustProfitPromo1Vol</vt:lpstr>
      <vt:lpstr>calcCh3Prod1Slot3CustProfitTot</vt:lpstr>
      <vt:lpstr>CalcCh3Prod1Slot3Depreciation</vt:lpstr>
      <vt:lpstr>CalcCh3Prod1Slot3DepreciationPUnit</vt:lpstr>
      <vt:lpstr>CalcCh3Prod1Slot3ManufacturingCostPUnit</vt:lpstr>
      <vt:lpstr>calcCh3Prod1Slot3NoPromoPricePLitre</vt:lpstr>
      <vt:lpstr>calcCh3Prod1Slot3NoPromoVol</vt:lpstr>
      <vt:lpstr>calcCh3Prod1Slot3Pack</vt:lpstr>
      <vt:lpstr>calcCh3Prod1Slot3PackFitBase</vt:lpstr>
      <vt:lpstr>calcCh3Prod1Slot3PriceDif</vt:lpstr>
      <vt:lpstr>calcCh3Prod1Slot3Promo1CustPrice</vt:lpstr>
      <vt:lpstr>calcCh3Prod1Slot3Promo1CustProfPWeek</vt:lpstr>
      <vt:lpstr>calcCh3Prod1Slot3Promo1CustUplift</vt:lpstr>
      <vt:lpstr>calcCh3Prod1Slot3Promo1GPaLPUnit</vt:lpstr>
      <vt:lpstr>calcCh3Prod1Slot3Promo1GPaLPWeek</vt:lpstr>
      <vt:lpstr>calcCh3Prod1Slot3Promo1GPaLUplift</vt:lpstr>
      <vt:lpstr>calcCh3Prod1Slot3Promo1Plan</vt:lpstr>
      <vt:lpstr>calcCh3Prod1Slot3Promo1PlanEmp1Req</vt:lpstr>
      <vt:lpstr>calcCh3Prod1Slot3Promo1PlanExp</vt:lpstr>
      <vt:lpstr>calcCh3Prod1Slot3Promo1PlanShare</vt:lpstr>
      <vt:lpstr>calcCh3Prod1Slot3Promo1PricePLitre</vt:lpstr>
      <vt:lpstr>calcCh3Prod1Slot3Promo1ROI</vt:lpstr>
      <vt:lpstr>calcCh3Prod1Slot3Promo1Seg1Efficiency</vt:lpstr>
      <vt:lpstr>calcCh3Prod1Slot3Promo1Seg1Fit</vt:lpstr>
      <vt:lpstr>calcCh3Prod1Slot3Promo1Seg1Share</vt:lpstr>
      <vt:lpstr>calcCh3Prod1Slot3Promo1Seg2Efficiency</vt:lpstr>
      <vt:lpstr>calcCh3Prod1Slot3Promo1Seg2Fit</vt:lpstr>
      <vt:lpstr>calcCh3Prod1Slot3Promo1Seg2Share</vt:lpstr>
      <vt:lpstr>calcCh3Prod1Slot3Promo1Seg3Efficiency</vt:lpstr>
      <vt:lpstr>calcCh3Prod1Slot3Promo1Seg3Fit</vt:lpstr>
      <vt:lpstr>calcCh3Prod1Slot3Promo1Seg3Share</vt:lpstr>
      <vt:lpstr>calcCh3Prod1Slot3Promo1Seg4Efficiency</vt:lpstr>
      <vt:lpstr>calcCh3Prod1Slot3Promo1Seg4Fit</vt:lpstr>
      <vt:lpstr>calcCh3Prod1Slot3Promo1Seg4Share</vt:lpstr>
      <vt:lpstr>calcCh3Prod1Slot3Promo1Vol</vt:lpstr>
      <vt:lpstr>calcCh3Prod1Slot3Promo1VolPWeek</vt:lpstr>
      <vt:lpstr>calcCh3Prod1Slot3Promo1VolUplift</vt:lpstr>
      <vt:lpstr>calcCh3Prod1Slot3Promo1Weeks</vt:lpstr>
      <vt:lpstr>calcCh3Prod1Slot3Seg1PackFit</vt:lpstr>
      <vt:lpstr>calcCh3Prod1Slot3Seg2PackFit</vt:lpstr>
      <vt:lpstr>calcCh3Prod1Slot3Seg3PackFit</vt:lpstr>
      <vt:lpstr>calcCh3Prod1Slot3Seg4PackFit</vt:lpstr>
      <vt:lpstr>calcCh3Prod1Slot3ShelfPrice</vt:lpstr>
      <vt:lpstr>calcCh3Prod1Slot3TotalVolSold</vt:lpstr>
      <vt:lpstr>calcCh3Prod1Slot3ValDrivExp</vt:lpstr>
      <vt:lpstr>calcCh3Prod1Slot3VolForecastSlot</vt:lpstr>
      <vt:lpstr>calcCh3Prod1Slot3WD</vt:lpstr>
      <vt:lpstr>calcCh3Prod1SlotsEnd</vt:lpstr>
      <vt:lpstr>calcCh3Prod1SlotsNew</vt:lpstr>
      <vt:lpstr>calcCh3Prod1SlotsNextEmp1Req</vt:lpstr>
      <vt:lpstr>calcCh3Prod1SlotsNextExp</vt:lpstr>
      <vt:lpstr>calcCh3Prod1SlotsStart</vt:lpstr>
      <vt:lpstr>calcCh3Prod1SlotsTotEmp1Req</vt:lpstr>
      <vt:lpstr>calcCh3Prod1SlotsTotExp</vt:lpstr>
      <vt:lpstr>calcCh3Prod1SlotTotActive</vt:lpstr>
      <vt:lpstr>calcCh3Prod1TotalVolSold</vt:lpstr>
      <vt:lpstr>calcCh3Prod1VolForecastProd</vt:lpstr>
      <vt:lpstr>calcCh3Prod1VolSoldNoPromo</vt:lpstr>
      <vt:lpstr>calcCh3Prod1VolSoldPromo1</vt:lpstr>
      <vt:lpstr>calcCh3Prod2AvgCustPrice</vt:lpstr>
      <vt:lpstr>calcCh3Prod2AvgPrice</vt:lpstr>
      <vt:lpstr>calcCh3Prod2AvgPricePromo1</vt:lpstr>
      <vt:lpstr>calcCh3Prod2AvgPromoPrice</vt:lpstr>
      <vt:lpstr>calcCh3Prod2CustProfitTot</vt:lpstr>
      <vt:lpstr>calcCh3Prod2PromoROIavg</vt:lpstr>
      <vt:lpstr>calcCh3Prod2Seg1AssortmentFit</vt:lpstr>
      <vt:lpstr>calcCh3Prod2Seg2AssortmentFit</vt:lpstr>
      <vt:lpstr>calcCh3Prod2Seg3AssortmentFit</vt:lpstr>
      <vt:lpstr>calcCh3Prod2Seg4AssortmentFit</vt:lpstr>
      <vt:lpstr>calcCh3Prod2Slot1Active</vt:lpstr>
      <vt:lpstr>calcCh3Prod2Slot1AvgPrice</vt:lpstr>
      <vt:lpstr>calcCh3Prod2Slot1AvgSalePrice</vt:lpstr>
      <vt:lpstr>calcCh3Prod2Slot1BaseCustProfPWeek</vt:lpstr>
      <vt:lpstr>calcCh3Prod2Slot1BaseCustUplift</vt:lpstr>
      <vt:lpstr>calcCh3Prod2Slot1BaseGPaLPUnit</vt:lpstr>
      <vt:lpstr>calcCh3Prod2Slot1BaseGPaLPWeek</vt:lpstr>
      <vt:lpstr>calcCh3Prod2Slot1BaseVolPWeek</vt:lpstr>
      <vt:lpstr>calcCh3Prod2Slot1ChVolShare</vt:lpstr>
      <vt:lpstr>calcCh3Prod2Slot1CustPrice</vt:lpstr>
      <vt:lpstr>calcCh3Prod2Slot1CustProfitBase</vt:lpstr>
      <vt:lpstr>calcCh3Prod2Slot1CustProfitBaseMarginAbs</vt:lpstr>
      <vt:lpstr>calcCh3Prod2Slot1CustProfitBaseMarginPct</vt:lpstr>
      <vt:lpstr>calcCh3Prod2Slot1CustProfitBaseVol</vt:lpstr>
      <vt:lpstr>calcCh3Prod2Slot1CustProfitPromo1</vt:lpstr>
      <vt:lpstr>calcCh3Prod2Slot1CustProfitPromo1MarginAbs</vt:lpstr>
      <vt:lpstr>calcCh3Prod2Slot1CustProfitPromo1Vol</vt:lpstr>
      <vt:lpstr>calcCh3Prod2Slot1CustProfitTot</vt:lpstr>
      <vt:lpstr>CalcCh3Prod2Slot1Depreciation</vt:lpstr>
      <vt:lpstr>CalcCh3Prod2Slot1DepreciationPUnit</vt:lpstr>
      <vt:lpstr>CalcCh3Prod2Slot1ManufacturingCostPUnit</vt:lpstr>
      <vt:lpstr>calcCh3Prod2Slot1NoPromoPricePLitre</vt:lpstr>
      <vt:lpstr>calcCh3Prod2Slot1NoPromoVol</vt:lpstr>
      <vt:lpstr>calcCh3Prod2Slot1Pack</vt:lpstr>
      <vt:lpstr>calcCh3Prod2Slot1PackFitBase</vt:lpstr>
      <vt:lpstr>calcCh3Prod2Slot1PriceDif</vt:lpstr>
      <vt:lpstr>calcCh3Prod2Slot1Promo1CustPrice</vt:lpstr>
      <vt:lpstr>calcCh3Prod2Slot1Promo1CustProfPWeek</vt:lpstr>
      <vt:lpstr>calcCh3Prod2Slot1Promo1CustUplift</vt:lpstr>
      <vt:lpstr>calcCh3Prod2Slot1Promo1GPaLPUnit</vt:lpstr>
      <vt:lpstr>calcCh3Prod2Slot1Promo1GPaLPWeek</vt:lpstr>
      <vt:lpstr>calcCh3Prod2Slot1Promo1GPaLUplift</vt:lpstr>
      <vt:lpstr>calcCh3Prod2Slot1Promo1Plan</vt:lpstr>
      <vt:lpstr>calcCh3Prod2Slot1Promo1PlanEmp1Req</vt:lpstr>
      <vt:lpstr>calcCh3Prod2Slot1Promo1PlanExp</vt:lpstr>
      <vt:lpstr>calcCh3Prod2Slot1Promo1PlanShare</vt:lpstr>
      <vt:lpstr>calcCh3Prod2Slot1Promo1PricePLitre</vt:lpstr>
      <vt:lpstr>calcCh3Prod2Slot1Promo1ROI</vt:lpstr>
      <vt:lpstr>calcCh3Prod2Slot1Promo1Seg1Efficiency</vt:lpstr>
      <vt:lpstr>calcCh3Prod2Slot1Promo1Seg1Fit</vt:lpstr>
      <vt:lpstr>calcCh3Prod2Slot1Promo1Seg1Share</vt:lpstr>
      <vt:lpstr>calcCh3Prod2Slot1Promo1Seg2Efficiency</vt:lpstr>
      <vt:lpstr>calcCh3Prod2Slot1Promo1Seg2Fit</vt:lpstr>
      <vt:lpstr>calcCh3Prod2Slot1Promo1Seg2Share</vt:lpstr>
      <vt:lpstr>calcCh3Prod2Slot1Promo1Seg3Efficiency</vt:lpstr>
      <vt:lpstr>calcCh3Prod2Slot1Promo1Seg3Fit</vt:lpstr>
      <vt:lpstr>calcCh3Prod2Slot1Promo1Seg3Share</vt:lpstr>
      <vt:lpstr>calcCh3Prod2Slot1Promo1Seg4Efficiency</vt:lpstr>
      <vt:lpstr>calcCh3Prod2Slot1Promo1Seg4Fit</vt:lpstr>
      <vt:lpstr>calcCh3Prod2Slot1Promo1Seg4Share</vt:lpstr>
      <vt:lpstr>calcCh3Prod2Slot1Promo1Vol</vt:lpstr>
      <vt:lpstr>calcCh3Prod2Slot1Promo1VolPWeek</vt:lpstr>
      <vt:lpstr>calcCh3Prod2Slot1Promo1VolUplift</vt:lpstr>
      <vt:lpstr>calcCh3Prod2Slot1Promo1Weeks</vt:lpstr>
      <vt:lpstr>calcCh3Prod2Slot1Seg1PackFit</vt:lpstr>
      <vt:lpstr>calcCh3Prod2Slot1Seg2PackFit</vt:lpstr>
      <vt:lpstr>calcCh3Prod2Slot1Seg3PackFit</vt:lpstr>
      <vt:lpstr>calcCh3Prod2Slot1Seg4PackFit</vt:lpstr>
      <vt:lpstr>calcCh3Prod2Slot1ShelfPrice</vt:lpstr>
      <vt:lpstr>calcCh3Prod2Slot1TotalVolSold</vt:lpstr>
      <vt:lpstr>calcCh3Prod2Slot1ValDrivExp</vt:lpstr>
      <vt:lpstr>calcCh3Prod2Slot1VolForecastSlot</vt:lpstr>
      <vt:lpstr>calcCh3Prod2Slot1WD</vt:lpstr>
      <vt:lpstr>calcCh3Prod2Slot2Active</vt:lpstr>
      <vt:lpstr>calcCh3Prod2Slot2AvgPrice</vt:lpstr>
      <vt:lpstr>calcCh3Prod2Slot2AvgSalePrice</vt:lpstr>
      <vt:lpstr>calcCh3Prod2Slot2BaseCustProfPWeek</vt:lpstr>
      <vt:lpstr>calcCh3Prod2Slot2BaseCustUplift</vt:lpstr>
      <vt:lpstr>calcCh3Prod2Slot2BaseGPaLPUnit</vt:lpstr>
      <vt:lpstr>calcCh3Prod2Slot2BaseGPaLPWeek</vt:lpstr>
      <vt:lpstr>calcCh3Prod2Slot2BaseVolPWeek</vt:lpstr>
      <vt:lpstr>calcCh3Prod2Slot2ChVolShare</vt:lpstr>
      <vt:lpstr>calcCh3Prod2Slot2CustPrice</vt:lpstr>
      <vt:lpstr>calcCh3Prod2Slot2CustProfitBase</vt:lpstr>
      <vt:lpstr>calcCh3Prod2Slot2CustProfitBaseMarginAbs</vt:lpstr>
      <vt:lpstr>calcCh3Prod2Slot2CustProfitBaseMarginPct</vt:lpstr>
      <vt:lpstr>calcCh3Prod2Slot2CustProfitBaseVol</vt:lpstr>
      <vt:lpstr>calcCh3Prod2Slot2CustProfitPromo1</vt:lpstr>
      <vt:lpstr>calcCh3Prod2Slot2CustProfitPromo1MarginAbs</vt:lpstr>
      <vt:lpstr>calcCh3Prod2Slot2CustProfitPromo1Vol</vt:lpstr>
      <vt:lpstr>calcCh3Prod2Slot2CustProfitTot</vt:lpstr>
      <vt:lpstr>CalcCh3Prod2Slot2Depreciation</vt:lpstr>
      <vt:lpstr>CalcCh3Prod2Slot2DepreciationPUnit</vt:lpstr>
      <vt:lpstr>CalcCh3Prod2Slot2ManufacturingCostPUnit</vt:lpstr>
      <vt:lpstr>calcCh3Prod2Slot2NoPromoPricePLitre</vt:lpstr>
      <vt:lpstr>calcCh3Prod2Slot2NoPromoVol</vt:lpstr>
      <vt:lpstr>calcCh3Prod2Slot2Pack</vt:lpstr>
      <vt:lpstr>calcCh3Prod2Slot2PackFitBase</vt:lpstr>
      <vt:lpstr>calcCh3Prod2Slot2PriceDif</vt:lpstr>
      <vt:lpstr>calcCh3Prod2Slot2Promo1CustPrice</vt:lpstr>
      <vt:lpstr>calcCh3Prod2Slot2Promo1CustProfPWeek</vt:lpstr>
      <vt:lpstr>calcCh3Prod2Slot2Promo1CustUplift</vt:lpstr>
      <vt:lpstr>calcCh3Prod2Slot2Promo1GPaLPUnit</vt:lpstr>
      <vt:lpstr>calcCh3Prod2Slot2Promo1GPaLPWeek</vt:lpstr>
      <vt:lpstr>calcCh3Prod2Slot2Promo1GPaLUplift</vt:lpstr>
      <vt:lpstr>calcCh3Prod2Slot2Promo1Plan</vt:lpstr>
      <vt:lpstr>calcCh3Prod2Slot2Promo1PlanEmp1Req</vt:lpstr>
      <vt:lpstr>calcCh3Prod2Slot2Promo1PlanExp</vt:lpstr>
      <vt:lpstr>calcCh3Prod2Slot2Promo1PlanShare</vt:lpstr>
      <vt:lpstr>calcCh3Prod2Slot2Promo1PricePLitre</vt:lpstr>
      <vt:lpstr>calcCh3Prod2Slot2Promo1ROI</vt:lpstr>
      <vt:lpstr>calcCh3Prod2Slot2Promo1Seg1Efficiency</vt:lpstr>
      <vt:lpstr>calcCh3Prod2Slot2Promo1Seg1Fit</vt:lpstr>
      <vt:lpstr>calcCh3Prod2Slot2Promo1Seg1Share</vt:lpstr>
      <vt:lpstr>calcCh3Prod2Slot2Promo1Seg2Efficiency</vt:lpstr>
      <vt:lpstr>calcCh3Prod2Slot2Promo1Seg2Fit</vt:lpstr>
      <vt:lpstr>calcCh3Prod2Slot2Promo1Seg2Share</vt:lpstr>
      <vt:lpstr>calcCh3Prod2Slot2Promo1Seg3Efficiency</vt:lpstr>
      <vt:lpstr>calcCh3Prod2Slot2Promo1Seg3Fit</vt:lpstr>
      <vt:lpstr>calcCh3Prod2Slot2Promo1Seg3Share</vt:lpstr>
      <vt:lpstr>calcCh3Prod2Slot2Promo1Seg4Efficiency</vt:lpstr>
      <vt:lpstr>calcCh3Prod2Slot2Promo1Seg4Fit</vt:lpstr>
      <vt:lpstr>calcCh3Prod2Slot2Promo1Seg4Share</vt:lpstr>
      <vt:lpstr>calcCh3Prod2Slot2Promo1Vol</vt:lpstr>
      <vt:lpstr>calcCh3Prod2Slot2Promo1VolPWeek</vt:lpstr>
      <vt:lpstr>calcCh3Prod2Slot2Promo1VolUplift</vt:lpstr>
      <vt:lpstr>calcCh3Prod2Slot2Promo1Weeks</vt:lpstr>
      <vt:lpstr>calcCh3Prod2Slot2Seg1PackFit</vt:lpstr>
      <vt:lpstr>calcCh3Prod2Slot2Seg2PackFit</vt:lpstr>
      <vt:lpstr>calcCh3Prod2Slot2Seg3PackFit</vt:lpstr>
      <vt:lpstr>calcCh3Prod2Slot2Seg4PackFit</vt:lpstr>
      <vt:lpstr>calcCh3Prod2Slot2ShelfPrice</vt:lpstr>
      <vt:lpstr>calcCh3Prod2Slot2TotalVolSold</vt:lpstr>
      <vt:lpstr>calcCh3Prod2Slot2ValDrivExp</vt:lpstr>
      <vt:lpstr>calcCh3Prod2Slot2VolForecastSlot</vt:lpstr>
      <vt:lpstr>calcCh3Prod2Slot2WD</vt:lpstr>
      <vt:lpstr>calcCh3Prod2Slot3Active</vt:lpstr>
      <vt:lpstr>calcCh3Prod2Slot3AvgPrice</vt:lpstr>
      <vt:lpstr>calcCh3Prod2Slot3AvgSalePrice</vt:lpstr>
      <vt:lpstr>calcCh3Prod2Slot3BaseCustProfPWeek</vt:lpstr>
      <vt:lpstr>calcCh3Prod2Slot3BaseCustUplift</vt:lpstr>
      <vt:lpstr>calcCh3Prod2Slot3BaseGPaLPUnit</vt:lpstr>
      <vt:lpstr>calcCh3Prod2Slot3BaseGPaLPWeek</vt:lpstr>
      <vt:lpstr>calcCh3Prod2Slot3BaseVolPWeek</vt:lpstr>
      <vt:lpstr>calcCh3Prod2Slot3ChVolShare</vt:lpstr>
      <vt:lpstr>calcCh3Prod2Slot3CustPrice</vt:lpstr>
      <vt:lpstr>calcCh3Prod2Slot3CustProfitBase</vt:lpstr>
      <vt:lpstr>calcCh3Prod2Slot3CustProfitBaseMarginAbs</vt:lpstr>
      <vt:lpstr>calcCh3Prod2Slot3CustProfitBaseMarginPct</vt:lpstr>
      <vt:lpstr>calcCh3Prod2Slot3CustProfitBaseVol</vt:lpstr>
      <vt:lpstr>calcCh3Prod2Slot3CustProfitPromo1</vt:lpstr>
      <vt:lpstr>calcCh3Prod2Slot3CustProfitPromo1MarginAbs</vt:lpstr>
      <vt:lpstr>calcCh3Prod2Slot3CustProfitPromo1Vol</vt:lpstr>
      <vt:lpstr>calcCh3Prod2Slot3CustProfitTot</vt:lpstr>
      <vt:lpstr>CalcCh3Prod2Slot3Depreciation</vt:lpstr>
      <vt:lpstr>CalcCh3Prod2Slot3DepreciationPUnit</vt:lpstr>
      <vt:lpstr>CalcCh3Prod2Slot3ManufacturingCostPUnit</vt:lpstr>
      <vt:lpstr>calcCh3Prod2Slot3NoPromoPricePLitre</vt:lpstr>
      <vt:lpstr>calcCh3Prod2Slot3NoPromoVol</vt:lpstr>
      <vt:lpstr>calcCh3Prod2Slot3Pack</vt:lpstr>
      <vt:lpstr>calcCh3Prod2Slot3PackFitBase</vt:lpstr>
      <vt:lpstr>calcCh3Prod2Slot3PriceDif</vt:lpstr>
      <vt:lpstr>calcCh3Prod2Slot3Promo1CustPrice</vt:lpstr>
      <vt:lpstr>calcCh3Prod2Slot3Promo1CustProfPWeek</vt:lpstr>
      <vt:lpstr>calcCh3Prod2Slot3Promo1CustUplift</vt:lpstr>
      <vt:lpstr>calcCh3Prod2Slot3Promo1GPaLPUnit</vt:lpstr>
      <vt:lpstr>calcCh3Prod2Slot3Promo1GPaLPWeek</vt:lpstr>
      <vt:lpstr>calcCh3Prod2Slot3Promo1GPaLUplift</vt:lpstr>
      <vt:lpstr>calcCh3Prod2Slot3Promo1Plan</vt:lpstr>
      <vt:lpstr>calcCh3Prod2Slot3Promo1PlanEmp1Req</vt:lpstr>
      <vt:lpstr>calcCh3Prod2Slot3Promo1PlanExp</vt:lpstr>
      <vt:lpstr>calcCh3Prod2Slot3Promo1PlanShare</vt:lpstr>
      <vt:lpstr>calcCh3Prod2Slot3Promo1PricePLitre</vt:lpstr>
      <vt:lpstr>calcCh3Prod2Slot3Promo1ROI</vt:lpstr>
      <vt:lpstr>calcCh3Prod2Slot3Promo1Seg1Efficiency</vt:lpstr>
      <vt:lpstr>calcCh3Prod2Slot3Promo1Seg1Fit</vt:lpstr>
      <vt:lpstr>calcCh3Prod2Slot3Promo1Seg1Share</vt:lpstr>
      <vt:lpstr>calcCh3Prod2Slot3Promo1Seg2Efficiency</vt:lpstr>
      <vt:lpstr>calcCh3Prod2Slot3Promo1Seg2Fit</vt:lpstr>
      <vt:lpstr>calcCh3Prod2Slot3Promo1Seg2Share</vt:lpstr>
      <vt:lpstr>calcCh3Prod2Slot3Promo1Seg3Efficiency</vt:lpstr>
      <vt:lpstr>calcCh3Prod2Slot3Promo1Seg3Fit</vt:lpstr>
      <vt:lpstr>calcCh3Prod2Slot3Promo1Seg3Share</vt:lpstr>
      <vt:lpstr>calcCh3Prod2Slot3Promo1Seg4Efficiency</vt:lpstr>
      <vt:lpstr>calcCh3Prod2Slot3Promo1Seg4Fit</vt:lpstr>
      <vt:lpstr>calcCh3Prod2Slot3Promo1Seg4Share</vt:lpstr>
      <vt:lpstr>calcCh3Prod2Slot3Promo1Vol</vt:lpstr>
      <vt:lpstr>calcCh3Prod2Slot3Promo1VolPWeek</vt:lpstr>
      <vt:lpstr>calcCh3Prod2Slot3Promo1VolUplift</vt:lpstr>
      <vt:lpstr>calcCh3Prod2Slot3Promo1Weeks</vt:lpstr>
      <vt:lpstr>calcCh3Prod2Slot3Seg1PackFit</vt:lpstr>
      <vt:lpstr>calcCh3Prod2Slot3Seg2PackFit</vt:lpstr>
      <vt:lpstr>calcCh3Prod2Slot3Seg3PackFit</vt:lpstr>
      <vt:lpstr>calcCh3Prod2Slot3Seg4PackFit</vt:lpstr>
      <vt:lpstr>calcCh3Prod2Slot3ShelfPrice</vt:lpstr>
      <vt:lpstr>calcCh3Prod2Slot3TotalVolSold</vt:lpstr>
      <vt:lpstr>calcCh3Prod2Slot3ValDrivExp</vt:lpstr>
      <vt:lpstr>calcCh3Prod2Slot3VolForecastSlot</vt:lpstr>
      <vt:lpstr>calcCh3Prod2Slot3WD</vt:lpstr>
      <vt:lpstr>calcCh3Prod2SlotsEnd</vt:lpstr>
      <vt:lpstr>calcCh3Prod2SlotsNew</vt:lpstr>
      <vt:lpstr>calcCh3Prod2SlotsNextEmp1Req</vt:lpstr>
      <vt:lpstr>calcCh3Prod2SlotsNextExp</vt:lpstr>
      <vt:lpstr>calcCh3Prod2SlotsStart</vt:lpstr>
      <vt:lpstr>calcCh3Prod2SlotsTotEmp1Req</vt:lpstr>
      <vt:lpstr>calcCh3Prod2SlotsTotExp</vt:lpstr>
      <vt:lpstr>calcCh3Prod2SlotTotActive</vt:lpstr>
      <vt:lpstr>calcCh3Prod2TotalVolSold</vt:lpstr>
      <vt:lpstr>calcCh3Prod2VolForecastProd</vt:lpstr>
      <vt:lpstr>calcCh3Prod2VolSoldNoPromo</vt:lpstr>
      <vt:lpstr>calcCh3Prod2VolSoldPromo1</vt:lpstr>
      <vt:lpstr>calcCh3Prod3AvgCustPrice</vt:lpstr>
      <vt:lpstr>calcCh3Prod3AvgPrice</vt:lpstr>
      <vt:lpstr>calcCh3Prod3AvgPricePromo1</vt:lpstr>
      <vt:lpstr>calcCh3Prod3AvgPromoPrice</vt:lpstr>
      <vt:lpstr>calcCh3Prod3CustProfitTot</vt:lpstr>
      <vt:lpstr>calcCh3Prod3PromoROIavg</vt:lpstr>
      <vt:lpstr>calcCh3Prod3Seg1AssortmentFit</vt:lpstr>
      <vt:lpstr>calcCh3Prod3Seg2AssortmentFit</vt:lpstr>
      <vt:lpstr>calcCh3Prod3Seg3AssortmentFit</vt:lpstr>
      <vt:lpstr>calcCh3Prod3Seg4AssortmentFit</vt:lpstr>
      <vt:lpstr>calcCh3Prod3Slot1Active</vt:lpstr>
      <vt:lpstr>calcCh3Prod3Slot1AvgPrice</vt:lpstr>
      <vt:lpstr>calcCh3Prod3Slot1AvgSalePrice</vt:lpstr>
      <vt:lpstr>calcCh3Prod3Slot1BaseCustProfPWeek</vt:lpstr>
      <vt:lpstr>calcCh3Prod3Slot1BaseCustUplift</vt:lpstr>
      <vt:lpstr>calcCh3Prod3Slot1BaseGPaLPUnit</vt:lpstr>
      <vt:lpstr>calcCh3Prod3Slot1BaseGPaLPWeek</vt:lpstr>
      <vt:lpstr>calcCh3Prod3Slot1BaseVolPWeek</vt:lpstr>
      <vt:lpstr>calcCh3Prod3Slot1ChVolShare</vt:lpstr>
      <vt:lpstr>calcCh3Prod3Slot1CustPrice</vt:lpstr>
      <vt:lpstr>calcCh3Prod3Slot1CustProfitBase</vt:lpstr>
      <vt:lpstr>calcCh3Prod3Slot1CustProfitBaseMarginAbs</vt:lpstr>
      <vt:lpstr>calcCh3Prod3Slot1CustProfitBaseMarginPct</vt:lpstr>
      <vt:lpstr>calcCh3Prod3Slot1CustProfitBaseVol</vt:lpstr>
      <vt:lpstr>calcCh3Prod3Slot1CustProfitPromo1</vt:lpstr>
      <vt:lpstr>calcCh3Prod3Slot1CustProfitPromo1MarginAbs</vt:lpstr>
      <vt:lpstr>calcCh3Prod3Slot1CustProfitPromo1Vol</vt:lpstr>
      <vt:lpstr>calcCh3Prod3Slot1CustProfitTot</vt:lpstr>
      <vt:lpstr>CalcCh3Prod3Slot1Depreciation</vt:lpstr>
      <vt:lpstr>CalcCh3Prod3Slot1DepreciationPUnit</vt:lpstr>
      <vt:lpstr>CalcCh3Prod3Slot1ManufacturingCostPUnit</vt:lpstr>
      <vt:lpstr>calcCh3Prod3Slot1NoPromoPricePLitre</vt:lpstr>
      <vt:lpstr>calcCh3Prod3Slot1NoPromoVol</vt:lpstr>
      <vt:lpstr>calcCh3Prod3Slot1Pack</vt:lpstr>
      <vt:lpstr>calcCh3Prod3Slot1PackFitBase</vt:lpstr>
      <vt:lpstr>calcCh3Prod3Slot1PriceDif</vt:lpstr>
      <vt:lpstr>calcCh3Prod3Slot1Promo1CustPrice</vt:lpstr>
      <vt:lpstr>calcCh3Prod3Slot1Promo1CustProfPWeek</vt:lpstr>
      <vt:lpstr>calcCh3Prod3Slot1Promo1CustUplift</vt:lpstr>
      <vt:lpstr>calcCh3Prod3Slot1Promo1GPaLPUnit</vt:lpstr>
      <vt:lpstr>calcCh3Prod3Slot1Promo1GPaLPWeek</vt:lpstr>
      <vt:lpstr>calcCh3Prod3Slot1Promo1GPaLUplift</vt:lpstr>
      <vt:lpstr>calcCh3Prod3Slot1Promo1Plan</vt:lpstr>
      <vt:lpstr>calcCh3Prod3Slot1Promo1PlanEmp1Req</vt:lpstr>
      <vt:lpstr>calcCh3Prod3Slot1Promo1PlanExp</vt:lpstr>
      <vt:lpstr>calcCh3Prod3Slot1Promo1PlanShare</vt:lpstr>
      <vt:lpstr>calcCh3Prod3Slot1Promo1PricePLitre</vt:lpstr>
      <vt:lpstr>calcCh3Prod3Slot1Promo1ROI</vt:lpstr>
      <vt:lpstr>calcCh3Prod3Slot1Promo1Seg1Efficiency</vt:lpstr>
      <vt:lpstr>calcCh3Prod3Slot1Promo1Seg1Fit</vt:lpstr>
      <vt:lpstr>calcCh3Prod3Slot1Promo1Seg1Share</vt:lpstr>
      <vt:lpstr>calcCh3Prod3Slot1Promo1Seg2Efficiency</vt:lpstr>
      <vt:lpstr>calcCh3Prod3Slot1Promo1Seg2Fit</vt:lpstr>
      <vt:lpstr>calcCh3Prod3Slot1Promo1Seg2Share</vt:lpstr>
      <vt:lpstr>calcCh3Prod3Slot1Promo1Seg3Efficiency</vt:lpstr>
      <vt:lpstr>calcCh3Prod3Slot1Promo1Seg3Fit</vt:lpstr>
      <vt:lpstr>calcCh3Prod3Slot1Promo1Seg3Share</vt:lpstr>
      <vt:lpstr>calcCh3Prod3Slot1Promo1Seg4Efficiency</vt:lpstr>
      <vt:lpstr>calcCh3Prod3Slot1Promo1Seg4Fit</vt:lpstr>
      <vt:lpstr>calcCh3Prod3Slot1Promo1Seg4Share</vt:lpstr>
      <vt:lpstr>calcCh3Prod3Slot1Promo1Vol</vt:lpstr>
      <vt:lpstr>calcCh3Prod3Slot1Promo1VolPWeek</vt:lpstr>
      <vt:lpstr>calcCh3Prod3Slot1Promo1VolUplift</vt:lpstr>
      <vt:lpstr>calcCh3Prod3Slot1Promo1Weeks</vt:lpstr>
      <vt:lpstr>calcCh3Prod3Slot1Seg1PackFit</vt:lpstr>
      <vt:lpstr>calcCh3Prod3Slot1Seg2PackFit</vt:lpstr>
      <vt:lpstr>calcCh3Prod3Slot1Seg3PackFit</vt:lpstr>
      <vt:lpstr>calcCh3Prod3Slot1Seg4PackFit</vt:lpstr>
      <vt:lpstr>calcCh3Prod3Slot1ShelfPrice</vt:lpstr>
      <vt:lpstr>calcCh3Prod3Slot1TotalVolSold</vt:lpstr>
      <vt:lpstr>calcCh3Prod3Slot1ValDrivExp</vt:lpstr>
      <vt:lpstr>calcCh3Prod3Slot1VolForecastSlot</vt:lpstr>
      <vt:lpstr>calcCh3Prod3Slot1WD</vt:lpstr>
      <vt:lpstr>calcCh3Prod3Slot2Active</vt:lpstr>
      <vt:lpstr>calcCh3Prod3Slot2AvgPrice</vt:lpstr>
      <vt:lpstr>calcCh3Prod3Slot2AvgSalePrice</vt:lpstr>
      <vt:lpstr>calcCh3Prod3Slot2BaseCustProfPWeek</vt:lpstr>
      <vt:lpstr>calcCh3Prod3Slot2BaseCustUplift</vt:lpstr>
      <vt:lpstr>calcCh3Prod3Slot2BaseGPaLPUnit</vt:lpstr>
      <vt:lpstr>calcCh3Prod3Slot2BaseGPaLPWeek</vt:lpstr>
      <vt:lpstr>calcCh3Prod3Slot2BaseVolPWeek</vt:lpstr>
      <vt:lpstr>calcCh3Prod3Slot2ChVolShare</vt:lpstr>
      <vt:lpstr>calcCh3Prod3Slot2CustPrice</vt:lpstr>
      <vt:lpstr>calcCh3Prod3Slot2CustProfitBase</vt:lpstr>
      <vt:lpstr>calcCh3Prod3Slot2CustProfitBaseMarginAbs</vt:lpstr>
      <vt:lpstr>calcCh3Prod3Slot2CustProfitBaseMarginPct</vt:lpstr>
      <vt:lpstr>calcCh3Prod3Slot2CustProfitBaseVol</vt:lpstr>
      <vt:lpstr>calcCh3Prod3Slot2CustProfitPromo1</vt:lpstr>
      <vt:lpstr>calcCh3Prod3Slot2CustProfitPromo1MarginAbs</vt:lpstr>
      <vt:lpstr>calcCh3Prod3Slot2CustProfitPromo1Vol</vt:lpstr>
      <vt:lpstr>calcCh3Prod3Slot2CustProfitTot</vt:lpstr>
      <vt:lpstr>CalcCh3Prod3Slot2Depreciation</vt:lpstr>
      <vt:lpstr>CalcCh3Prod3Slot2DepreciationPUnit</vt:lpstr>
      <vt:lpstr>CalcCh3Prod3Slot2ManufacturingCostPUnit</vt:lpstr>
      <vt:lpstr>calcCh3Prod3Slot2NoPromoPricePLitre</vt:lpstr>
      <vt:lpstr>calcCh3Prod3Slot2NoPromoVol</vt:lpstr>
      <vt:lpstr>calcCh3Prod3Slot2Pack</vt:lpstr>
      <vt:lpstr>calcCh3Prod3Slot2PackFitBase</vt:lpstr>
      <vt:lpstr>calcCh3Prod3Slot2PriceDif</vt:lpstr>
      <vt:lpstr>calcCh3Prod3Slot2Promo1CustPrice</vt:lpstr>
      <vt:lpstr>calcCh3Prod3Slot2Promo1CustProfPWeek</vt:lpstr>
      <vt:lpstr>calcCh3Prod3Slot2Promo1CustUplift</vt:lpstr>
      <vt:lpstr>calcCh3Prod3Slot2Promo1GPaLPUnit</vt:lpstr>
      <vt:lpstr>calcCh3Prod3Slot2Promo1GPaLPWeek</vt:lpstr>
      <vt:lpstr>calcCh3Prod3Slot2Promo1GPaLUplift</vt:lpstr>
      <vt:lpstr>calcCh3Prod3Slot2Promo1Plan</vt:lpstr>
      <vt:lpstr>calcCh3Prod3Slot2Promo1PlanEmp1Req</vt:lpstr>
      <vt:lpstr>calcCh3Prod3Slot2Promo1PlanExp</vt:lpstr>
      <vt:lpstr>calcCh3Prod3Slot2Promo1PlanShare</vt:lpstr>
      <vt:lpstr>calcCh3Prod3Slot2Promo1PricePLitre</vt:lpstr>
      <vt:lpstr>calcCh3Prod3Slot2Promo1ROI</vt:lpstr>
      <vt:lpstr>calcCh3Prod3Slot2Promo1Seg1Efficiency</vt:lpstr>
      <vt:lpstr>calcCh3Prod3Slot2Promo1Seg1Fit</vt:lpstr>
      <vt:lpstr>calcCh3Prod3Slot2Promo1Seg1Share</vt:lpstr>
      <vt:lpstr>calcCh3Prod3Slot2Promo1Seg2Efficiency</vt:lpstr>
      <vt:lpstr>calcCh3Prod3Slot2Promo1Seg2Fit</vt:lpstr>
      <vt:lpstr>calcCh3Prod3Slot2Promo1Seg2Share</vt:lpstr>
      <vt:lpstr>calcCh3Prod3Slot2Promo1Seg3Efficiency</vt:lpstr>
      <vt:lpstr>calcCh3Prod3Slot2Promo1Seg3Fit</vt:lpstr>
      <vt:lpstr>calcCh3Prod3Slot2Promo1Seg3Share</vt:lpstr>
      <vt:lpstr>calcCh3Prod3Slot2Promo1Seg4Efficiency</vt:lpstr>
      <vt:lpstr>calcCh3Prod3Slot2Promo1Seg4Fit</vt:lpstr>
      <vt:lpstr>calcCh3Prod3Slot2Promo1Seg4Share</vt:lpstr>
      <vt:lpstr>calcCh3Prod3Slot2Promo1Vol</vt:lpstr>
      <vt:lpstr>calcCh3Prod3Slot2Promo1VolPWeek</vt:lpstr>
      <vt:lpstr>calcCh3Prod3Slot2Promo1VolUplift</vt:lpstr>
      <vt:lpstr>calcCh3Prod3Slot2Promo1Weeks</vt:lpstr>
      <vt:lpstr>calcCh3Prod3Slot2Seg1PackFit</vt:lpstr>
      <vt:lpstr>calcCh3Prod3Slot2Seg2PackFit</vt:lpstr>
      <vt:lpstr>calcCh3Prod3Slot2Seg3PackFit</vt:lpstr>
      <vt:lpstr>calcCh3Prod3Slot2Seg4PackFit</vt:lpstr>
      <vt:lpstr>calcCh3Prod3Slot2ShelfPrice</vt:lpstr>
      <vt:lpstr>calcCh3Prod3Slot2TotalVolSold</vt:lpstr>
      <vt:lpstr>calcCh3Prod3Slot2ValDrivExp</vt:lpstr>
      <vt:lpstr>calcCh3Prod3Slot2VolForecastSlot</vt:lpstr>
      <vt:lpstr>calcCh3Prod3Slot2WD</vt:lpstr>
      <vt:lpstr>calcCh3Prod3Slot3Active</vt:lpstr>
      <vt:lpstr>calcCh3Prod3Slot3AvgPrice</vt:lpstr>
      <vt:lpstr>calcCh3Prod3Slot3AvgSalePrice</vt:lpstr>
      <vt:lpstr>calcCh3Prod3Slot3BaseCustProfPWeek</vt:lpstr>
      <vt:lpstr>calcCh3Prod3Slot3BaseCustUplift</vt:lpstr>
      <vt:lpstr>calcCh3Prod3Slot3BaseGPaLPUnit</vt:lpstr>
      <vt:lpstr>calcCh3Prod3Slot3BaseGPaLPWeek</vt:lpstr>
      <vt:lpstr>calcCh3Prod3Slot3BaseVolPWeek</vt:lpstr>
      <vt:lpstr>calcCh3Prod3Slot3ChVolShare</vt:lpstr>
      <vt:lpstr>calcCh3Prod3Slot3CustPrice</vt:lpstr>
      <vt:lpstr>calcCh3Prod3Slot3CustProfitBase</vt:lpstr>
      <vt:lpstr>calcCh3Prod3Slot3CustProfitBaseMarginAbs</vt:lpstr>
      <vt:lpstr>calcCh3Prod3Slot3CustProfitBaseMarginPct</vt:lpstr>
      <vt:lpstr>calcCh3Prod3Slot3CustProfitBaseVol</vt:lpstr>
      <vt:lpstr>calcCh3Prod3Slot3CustProfitPromo1</vt:lpstr>
      <vt:lpstr>calcCh3Prod3Slot3CustProfitPromo1MarginAbs</vt:lpstr>
      <vt:lpstr>calcCh3Prod3Slot3CustProfitPromo1Vol</vt:lpstr>
      <vt:lpstr>calcCh3Prod3Slot3CustProfitTot</vt:lpstr>
      <vt:lpstr>CalcCh3Prod3Slot3Depreciation</vt:lpstr>
      <vt:lpstr>CalcCh3Prod3Slot3DepreciationPUnit</vt:lpstr>
      <vt:lpstr>CalcCh3Prod3Slot3ManufacturingCostPUnit</vt:lpstr>
      <vt:lpstr>calcCh3Prod3Slot3NoPromoPricePLitre</vt:lpstr>
      <vt:lpstr>calcCh3Prod3Slot3NoPromoVol</vt:lpstr>
      <vt:lpstr>calcCh3Prod3Slot3Pack</vt:lpstr>
      <vt:lpstr>calcCh3Prod3Slot3PackFitBase</vt:lpstr>
      <vt:lpstr>calcCh3Prod3Slot3PriceDif</vt:lpstr>
      <vt:lpstr>calcCh3Prod3Slot3Promo1CustPrice</vt:lpstr>
      <vt:lpstr>calcCh3Prod3Slot3Promo1CustProfPWeek</vt:lpstr>
      <vt:lpstr>calcCh3Prod3Slot3Promo1CustUplift</vt:lpstr>
      <vt:lpstr>calcCh3Prod3Slot3Promo1GPaLPUnit</vt:lpstr>
      <vt:lpstr>calcCh3Prod3Slot3Promo1GPaLPWeek</vt:lpstr>
      <vt:lpstr>calcCh3Prod3Slot3Promo1GPaLUplift</vt:lpstr>
      <vt:lpstr>calcCh3Prod3Slot3Promo1Plan</vt:lpstr>
      <vt:lpstr>calcCh3Prod3Slot3Promo1PlanEmp1Req</vt:lpstr>
      <vt:lpstr>calcCh3Prod3Slot3Promo1PlanExp</vt:lpstr>
      <vt:lpstr>calcCh3Prod3Slot3Promo1PlanShare</vt:lpstr>
      <vt:lpstr>calcCh3Prod3Slot3Promo1PricePLitre</vt:lpstr>
      <vt:lpstr>calcCh3Prod3Slot3Promo1ROI</vt:lpstr>
      <vt:lpstr>calcCh3Prod3Slot3Promo1Seg1Efficiency</vt:lpstr>
      <vt:lpstr>calcCh3Prod3Slot3Promo1Seg1Fit</vt:lpstr>
      <vt:lpstr>calcCh3Prod3Slot3Promo1Seg1Share</vt:lpstr>
      <vt:lpstr>calcCh3Prod3Slot3Promo1Seg2Efficiency</vt:lpstr>
      <vt:lpstr>calcCh3Prod3Slot3Promo1Seg2Fit</vt:lpstr>
      <vt:lpstr>calcCh3Prod3Slot3Promo1Seg2Share</vt:lpstr>
      <vt:lpstr>calcCh3Prod3Slot3Promo1Seg3Efficiency</vt:lpstr>
      <vt:lpstr>calcCh3Prod3Slot3Promo1Seg3Fit</vt:lpstr>
      <vt:lpstr>calcCh3Prod3Slot3Promo1Seg3Share</vt:lpstr>
      <vt:lpstr>calcCh3Prod3Slot3Promo1Seg4Efficiency</vt:lpstr>
      <vt:lpstr>calcCh3Prod3Slot3Promo1Seg4Fit</vt:lpstr>
      <vt:lpstr>calcCh3Prod3Slot3Promo1Seg4Share</vt:lpstr>
      <vt:lpstr>calcCh3Prod3Slot3Promo1Vol</vt:lpstr>
      <vt:lpstr>calcCh3Prod3Slot3Promo1VolPWeek</vt:lpstr>
      <vt:lpstr>calcCh3Prod3Slot3Promo1VolUplift</vt:lpstr>
      <vt:lpstr>calcCh3Prod3Slot3Promo1Weeks</vt:lpstr>
      <vt:lpstr>calcCh3Prod3Slot3Seg1PackFit</vt:lpstr>
      <vt:lpstr>calcCh3Prod3Slot3Seg2PackFit</vt:lpstr>
      <vt:lpstr>calcCh3Prod3Slot3Seg3PackFit</vt:lpstr>
      <vt:lpstr>calcCh3Prod3Slot3Seg4PackFit</vt:lpstr>
      <vt:lpstr>calcCh3Prod3Slot3ShelfPrice</vt:lpstr>
      <vt:lpstr>calcCh3Prod3Slot3TotalVolSold</vt:lpstr>
      <vt:lpstr>calcCh3Prod3Slot3ValDrivExp</vt:lpstr>
      <vt:lpstr>calcCh3Prod3Slot3VolForecastSlot</vt:lpstr>
      <vt:lpstr>calcCh3Prod3Slot3WD</vt:lpstr>
      <vt:lpstr>calcCh3Prod3SlotsEnd</vt:lpstr>
      <vt:lpstr>calcCh3Prod3SlotsNew</vt:lpstr>
      <vt:lpstr>calcCh3Prod3SlotsNextEmp1Req</vt:lpstr>
      <vt:lpstr>calcCh3Prod3SlotsNextExp</vt:lpstr>
      <vt:lpstr>calcCh3Prod3SlotsStart</vt:lpstr>
      <vt:lpstr>calcCh3Prod3SlotsTotEmp1Req</vt:lpstr>
      <vt:lpstr>calcCh3Prod3SlotsTotExp</vt:lpstr>
      <vt:lpstr>calcCh3Prod3SlotTotActive</vt:lpstr>
      <vt:lpstr>calcCh3Prod3TotalVolSold</vt:lpstr>
      <vt:lpstr>calcCh3Prod3VolForecastProd</vt:lpstr>
      <vt:lpstr>calcCh3Prod3VolSoldNoPromo</vt:lpstr>
      <vt:lpstr>calcCh3Prod3VolSoldPromo1</vt:lpstr>
      <vt:lpstr>calcCh3Prod4AvgCustPrice</vt:lpstr>
      <vt:lpstr>calcCh3Prod4AvgPrice</vt:lpstr>
      <vt:lpstr>calcCh3Prod4AvgPricePromo1</vt:lpstr>
      <vt:lpstr>calcCh3Prod4AvgPromoPrice</vt:lpstr>
      <vt:lpstr>calcCh3Prod4CustProfitTot</vt:lpstr>
      <vt:lpstr>calcCh3Prod4PromoROIavg</vt:lpstr>
      <vt:lpstr>calcCh3Prod4Seg1AssortmentFit</vt:lpstr>
      <vt:lpstr>calcCh3Prod4Seg2AssortmentFit</vt:lpstr>
      <vt:lpstr>calcCh3Prod4Seg3AssortmentFit</vt:lpstr>
      <vt:lpstr>calcCh3Prod4Seg4AssortmentFit</vt:lpstr>
      <vt:lpstr>calcCh3Prod4Slot1Active</vt:lpstr>
      <vt:lpstr>calcCh3Prod4Slot1AvgPrice</vt:lpstr>
      <vt:lpstr>calcCh3Prod4Slot1AvgSalePrice</vt:lpstr>
      <vt:lpstr>calcCh3Prod4Slot1BaseCustProfPWeek</vt:lpstr>
      <vt:lpstr>calcCh3Prod4Slot1BaseCustUplift</vt:lpstr>
      <vt:lpstr>calcCh3Prod4Slot1BaseGPaLPUnit</vt:lpstr>
      <vt:lpstr>calcCh3Prod4Slot1BaseGPaLPWeek</vt:lpstr>
      <vt:lpstr>calcCh3Prod4Slot1BaseVolPWeek</vt:lpstr>
      <vt:lpstr>calcCh3Prod4Slot1ChVolShare</vt:lpstr>
      <vt:lpstr>calcCh3Prod4Slot1CustPrice</vt:lpstr>
      <vt:lpstr>calcCh3Prod4Slot1CustProfitBase</vt:lpstr>
      <vt:lpstr>calcCh3Prod4Slot1CustProfitBaseMarginAbs</vt:lpstr>
      <vt:lpstr>calcCh3Prod4Slot1CustProfitBaseMarginPct</vt:lpstr>
      <vt:lpstr>calcCh3Prod4Slot1CustProfitBaseVol</vt:lpstr>
      <vt:lpstr>calcCh3Prod4Slot1CustProfitPromo1</vt:lpstr>
      <vt:lpstr>calcCh3Prod4Slot1CustProfitPromo1MarginAbs</vt:lpstr>
      <vt:lpstr>calcCh3Prod4Slot1CustProfitPromo1Vol</vt:lpstr>
      <vt:lpstr>calcCh3Prod4Slot1CustProfitTot</vt:lpstr>
      <vt:lpstr>CalcCh3Prod4Slot1Depreciation</vt:lpstr>
      <vt:lpstr>CalcCh3Prod4Slot1DepreciationPUnit</vt:lpstr>
      <vt:lpstr>CalcCh3Prod4Slot1ManufacturingCostPUnit</vt:lpstr>
      <vt:lpstr>calcCh3Prod4Slot1NoPromoPricePLitre</vt:lpstr>
      <vt:lpstr>calcCh3Prod4Slot1NoPromoVol</vt:lpstr>
      <vt:lpstr>calcCh3Prod4Slot1Pack</vt:lpstr>
      <vt:lpstr>calcCh3Prod4Slot1PackFitBase</vt:lpstr>
      <vt:lpstr>calcCh3Prod4Slot1PriceDif</vt:lpstr>
      <vt:lpstr>calcCh3Prod4Slot1Promo1CustPrice</vt:lpstr>
      <vt:lpstr>calcCh3Prod4Slot1Promo1CustProfPWeek</vt:lpstr>
      <vt:lpstr>calcCh3Prod4Slot1Promo1CustUplift</vt:lpstr>
      <vt:lpstr>calcCh3Prod4Slot1Promo1GPaLPUnit</vt:lpstr>
      <vt:lpstr>calcCh3Prod4Slot1Promo1GPaLPWeek</vt:lpstr>
      <vt:lpstr>calcCh3Prod4Slot1Promo1GPaLUplift</vt:lpstr>
      <vt:lpstr>calcCh3Prod4Slot1Promo1Plan</vt:lpstr>
      <vt:lpstr>calcCh3Prod4Slot1Promo1PlanEmp1Req</vt:lpstr>
      <vt:lpstr>calcCh3Prod4Slot1Promo1PlanExp</vt:lpstr>
      <vt:lpstr>calcCh3Prod4Slot1Promo1PlanShare</vt:lpstr>
      <vt:lpstr>calcCh3Prod4Slot1Promo1PricePLitre</vt:lpstr>
      <vt:lpstr>calcCh3Prod4Slot1Promo1ROI</vt:lpstr>
      <vt:lpstr>calcCh3Prod4Slot1Promo1Seg1Efficiency</vt:lpstr>
      <vt:lpstr>calcCh3Prod4Slot1Promo1Seg1Fit</vt:lpstr>
      <vt:lpstr>calcCh3Prod4Slot1Promo1Seg1Share</vt:lpstr>
      <vt:lpstr>calcCh3Prod4Slot1Promo1Seg2Efficiency</vt:lpstr>
      <vt:lpstr>calcCh3Prod4Slot1Promo1Seg2Fit</vt:lpstr>
      <vt:lpstr>calcCh3Prod4Slot1Promo1Seg2Share</vt:lpstr>
      <vt:lpstr>calcCh3Prod4Slot1Promo1Seg3Efficiency</vt:lpstr>
      <vt:lpstr>calcCh3Prod4Slot1Promo1Seg3Fit</vt:lpstr>
      <vt:lpstr>calcCh3Prod4Slot1Promo1Seg3Share</vt:lpstr>
      <vt:lpstr>calcCh3Prod4Slot1Promo1Seg4Efficiency</vt:lpstr>
      <vt:lpstr>calcCh3Prod4Slot1Promo1Seg4Fit</vt:lpstr>
      <vt:lpstr>calcCh3Prod4Slot1Promo1Seg4Share</vt:lpstr>
      <vt:lpstr>calcCh3Prod4Slot1Promo1Vol</vt:lpstr>
      <vt:lpstr>calcCh3Prod4Slot1Promo1VolPWeek</vt:lpstr>
      <vt:lpstr>calcCh3Prod4Slot1Promo1VolUplift</vt:lpstr>
      <vt:lpstr>calcCh3Prod4Slot1Promo1Weeks</vt:lpstr>
      <vt:lpstr>calcCh3Prod4Slot1Seg1PackFit</vt:lpstr>
      <vt:lpstr>calcCh3Prod4Slot1Seg2PackFit</vt:lpstr>
      <vt:lpstr>calcCh3Prod4Slot1Seg3PackFit</vt:lpstr>
      <vt:lpstr>calcCh3Prod4Slot1Seg4PackFit</vt:lpstr>
      <vt:lpstr>calcCh3Prod4Slot1ShelfPrice</vt:lpstr>
      <vt:lpstr>calcCh3Prod4Slot1TotalVolSold</vt:lpstr>
      <vt:lpstr>calcCh3Prod4Slot1ValDrivExp</vt:lpstr>
      <vt:lpstr>calcCh3Prod4Slot1VolForecastSlot</vt:lpstr>
      <vt:lpstr>calcCh3Prod4Slot1WD</vt:lpstr>
      <vt:lpstr>calcCh3Prod4Slot2Active</vt:lpstr>
      <vt:lpstr>calcCh3Prod4Slot2AvgPrice</vt:lpstr>
      <vt:lpstr>calcCh3Prod4Slot2AvgSalePrice</vt:lpstr>
      <vt:lpstr>calcCh3Prod4Slot2BaseCustProfPWeek</vt:lpstr>
      <vt:lpstr>calcCh3Prod4Slot2BaseCustUplift</vt:lpstr>
      <vt:lpstr>calcCh3Prod4Slot2BaseGPaLPUnit</vt:lpstr>
      <vt:lpstr>calcCh3Prod4Slot2BaseGPaLPWeek</vt:lpstr>
      <vt:lpstr>calcCh3Prod4Slot2BaseVolPWeek</vt:lpstr>
      <vt:lpstr>calcCh3Prod4Slot2ChVolShare</vt:lpstr>
      <vt:lpstr>calcCh3Prod4Slot2CustPrice</vt:lpstr>
      <vt:lpstr>calcCh3Prod4Slot2CustProfitBase</vt:lpstr>
      <vt:lpstr>calcCh3Prod4Slot2CustProfitBaseMarginAbs</vt:lpstr>
      <vt:lpstr>calcCh3Prod4Slot2CustProfitBaseMarginPct</vt:lpstr>
      <vt:lpstr>calcCh3Prod4Slot2CustProfitBaseVol</vt:lpstr>
      <vt:lpstr>calcCh3Prod4Slot2CustProfitPromo1</vt:lpstr>
      <vt:lpstr>calcCh3Prod4Slot2CustProfitPromo1MarginAbs</vt:lpstr>
      <vt:lpstr>calcCh3Prod4Slot2CustProfitPromo1Vol</vt:lpstr>
      <vt:lpstr>calcCh3Prod4Slot2CustProfitTot</vt:lpstr>
      <vt:lpstr>CalcCh3Prod4Slot2Depreciation</vt:lpstr>
      <vt:lpstr>CalcCh3Prod4Slot2DepreciationPUnit</vt:lpstr>
      <vt:lpstr>CalcCh3Prod4Slot2ManufacturingCostPUnit</vt:lpstr>
      <vt:lpstr>calcCh3Prod4Slot2NoPromoPricePLitre</vt:lpstr>
      <vt:lpstr>calcCh3Prod4Slot2NoPromoVol</vt:lpstr>
      <vt:lpstr>calcCh3Prod4Slot2Pack</vt:lpstr>
      <vt:lpstr>calcCh3Prod4Slot2PackFitBase</vt:lpstr>
      <vt:lpstr>calcCh3Prod4Slot2PriceDif</vt:lpstr>
      <vt:lpstr>calcCh3Prod4Slot2Promo1CustPrice</vt:lpstr>
      <vt:lpstr>calcCh3Prod4Slot2Promo1CustProfPWeek</vt:lpstr>
      <vt:lpstr>calcCh3Prod4Slot2Promo1CustUplift</vt:lpstr>
      <vt:lpstr>calcCh3Prod4Slot2Promo1GPaLPUnit</vt:lpstr>
      <vt:lpstr>calcCh3Prod4Slot2Promo1GPaLPWeek</vt:lpstr>
      <vt:lpstr>calcCh3Prod4Slot2Promo1GPaLUplift</vt:lpstr>
      <vt:lpstr>calcCh3Prod4Slot2Promo1Plan</vt:lpstr>
      <vt:lpstr>calcCh3Prod4Slot2Promo1PlanEmp1Req</vt:lpstr>
      <vt:lpstr>calcCh3Prod4Slot2Promo1PlanExp</vt:lpstr>
      <vt:lpstr>calcCh3Prod4Slot2Promo1PlanShare</vt:lpstr>
      <vt:lpstr>calcCh3Prod4Slot2Promo1PricePLitre</vt:lpstr>
      <vt:lpstr>calcCh3Prod4Slot2Promo1ROI</vt:lpstr>
      <vt:lpstr>calcCh3Prod4Slot2Promo1Seg1Efficiency</vt:lpstr>
      <vt:lpstr>calcCh3Prod4Slot2Promo1Seg1Fit</vt:lpstr>
      <vt:lpstr>calcCh3Prod4Slot2Promo1Seg1Share</vt:lpstr>
      <vt:lpstr>calcCh3Prod4Slot2Promo1Seg2Efficiency</vt:lpstr>
      <vt:lpstr>calcCh3Prod4Slot2Promo1Seg2Fit</vt:lpstr>
      <vt:lpstr>calcCh3Prod4Slot2Promo1Seg2Share</vt:lpstr>
      <vt:lpstr>calcCh3Prod4Slot2Promo1Seg3Efficiency</vt:lpstr>
      <vt:lpstr>calcCh3Prod4Slot2Promo1Seg3Fit</vt:lpstr>
      <vt:lpstr>calcCh3Prod4Slot2Promo1Seg3Share</vt:lpstr>
      <vt:lpstr>calcCh3Prod4Slot2Promo1Seg4Efficiency</vt:lpstr>
      <vt:lpstr>calcCh3Prod4Slot2Promo1Seg4Fit</vt:lpstr>
      <vt:lpstr>calcCh3Prod4Slot2Promo1Seg4Share</vt:lpstr>
      <vt:lpstr>calcCh3Prod4Slot2Promo1Vol</vt:lpstr>
      <vt:lpstr>calcCh3Prod4Slot2Promo1VolPWeek</vt:lpstr>
      <vt:lpstr>calcCh3Prod4Slot2Promo1VolUplift</vt:lpstr>
      <vt:lpstr>calcCh3Prod4Slot2Promo1Weeks</vt:lpstr>
      <vt:lpstr>calcCh3Prod4Slot2Seg1PackFit</vt:lpstr>
      <vt:lpstr>calcCh3Prod4Slot2Seg2PackFit</vt:lpstr>
      <vt:lpstr>calcCh3Prod4Slot2Seg3PackFit</vt:lpstr>
      <vt:lpstr>calcCh3Prod4Slot2Seg4PackFit</vt:lpstr>
      <vt:lpstr>calcCh3Prod4Slot2ShelfPrice</vt:lpstr>
      <vt:lpstr>calcCh3Prod4Slot2TotalVolSold</vt:lpstr>
      <vt:lpstr>calcCh3Prod4Slot2ValDrivExp</vt:lpstr>
      <vt:lpstr>calcCh3Prod4Slot2VolForecastSlot</vt:lpstr>
      <vt:lpstr>calcCh3Prod4Slot2WD</vt:lpstr>
      <vt:lpstr>calcCh3Prod4Slot3Active</vt:lpstr>
      <vt:lpstr>calcCh3Prod4Slot3AvgPrice</vt:lpstr>
      <vt:lpstr>calcCh3Prod4Slot3AvgSalePrice</vt:lpstr>
      <vt:lpstr>calcCh3Prod4Slot3BaseCustProfPWeek</vt:lpstr>
      <vt:lpstr>calcCh3Prod4Slot3BaseCustUplift</vt:lpstr>
      <vt:lpstr>calcCh3Prod4Slot3BaseGPaLPUnit</vt:lpstr>
      <vt:lpstr>calcCh3Prod4Slot3BaseGPaLPWeek</vt:lpstr>
      <vt:lpstr>calcCh3Prod4Slot3BaseVolPWeek</vt:lpstr>
      <vt:lpstr>calcCh3Prod4Slot3ChVolShare</vt:lpstr>
      <vt:lpstr>calcCh3Prod4Slot3CustPrice</vt:lpstr>
      <vt:lpstr>calcCh3Prod4Slot3CustProfitBase</vt:lpstr>
      <vt:lpstr>calcCh3Prod4Slot3CustProfitBaseMarginAbs</vt:lpstr>
      <vt:lpstr>calcCh3Prod4Slot3CustProfitBaseMarginPct</vt:lpstr>
      <vt:lpstr>calcCh3Prod4Slot3CustProfitBaseVol</vt:lpstr>
      <vt:lpstr>calcCh3Prod4Slot3CustProfitPromo1</vt:lpstr>
      <vt:lpstr>calcCh3Prod4Slot3CustProfitPromo1MarginAbs</vt:lpstr>
      <vt:lpstr>calcCh3Prod4Slot3CustProfitPromo1Vol</vt:lpstr>
      <vt:lpstr>calcCh3Prod4Slot3CustProfitTot</vt:lpstr>
      <vt:lpstr>CalcCh3Prod4Slot3Depreciation</vt:lpstr>
      <vt:lpstr>CalcCh3Prod4Slot3DepreciationPUnit</vt:lpstr>
      <vt:lpstr>CalcCh3Prod4Slot3ManufacturingCostPUnit</vt:lpstr>
      <vt:lpstr>calcCh3Prod4Slot3NoPromoPricePLitre</vt:lpstr>
      <vt:lpstr>calcCh3Prod4Slot3NoPromoVol</vt:lpstr>
      <vt:lpstr>calcCh3Prod4Slot3Pack</vt:lpstr>
      <vt:lpstr>calcCh3Prod4Slot3PackFitBase</vt:lpstr>
      <vt:lpstr>calcCh3Prod4Slot3PriceDif</vt:lpstr>
      <vt:lpstr>calcCh3Prod4Slot3Promo1CustPrice</vt:lpstr>
      <vt:lpstr>calcCh3Prod4Slot3Promo1CustProfPWeek</vt:lpstr>
      <vt:lpstr>calcCh3Prod4Slot3Promo1CustUplift</vt:lpstr>
      <vt:lpstr>calcCh3Prod4Slot3Promo1GPaLPUnit</vt:lpstr>
      <vt:lpstr>calcCh3Prod4Slot3Promo1GPaLPWeek</vt:lpstr>
      <vt:lpstr>calcCh3Prod4Slot3Promo1GPaLUplift</vt:lpstr>
      <vt:lpstr>calcCh3Prod4Slot3Promo1Plan</vt:lpstr>
      <vt:lpstr>calcCh3Prod4Slot3Promo1PlanEmp1Req</vt:lpstr>
      <vt:lpstr>calcCh3Prod4Slot3Promo1PlanExp</vt:lpstr>
      <vt:lpstr>calcCh3Prod4Slot3Promo1PlanShare</vt:lpstr>
      <vt:lpstr>calcCh3Prod4Slot3Promo1PricePLitre</vt:lpstr>
      <vt:lpstr>calcCh3Prod4Slot3Promo1ROI</vt:lpstr>
      <vt:lpstr>calcCh3Prod4Slot3Promo1Seg1Efficiency</vt:lpstr>
      <vt:lpstr>calcCh3Prod4Slot3Promo1Seg1Fit</vt:lpstr>
      <vt:lpstr>calcCh3Prod4Slot3Promo1Seg1Share</vt:lpstr>
      <vt:lpstr>calcCh3Prod4Slot3Promo1Seg2Efficiency</vt:lpstr>
      <vt:lpstr>calcCh3Prod4Slot3Promo1Seg2Fit</vt:lpstr>
      <vt:lpstr>calcCh3Prod4Slot3Promo1Seg2Share</vt:lpstr>
      <vt:lpstr>calcCh3Prod4Slot3Promo1Seg3Efficiency</vt:lpstr>
      <vt:lpstr>calcCh3Prod4Slot3Promo1Seg3Fit</vt:lpstr>
      <vt:lpstr>calcCh3Prod4Slot3Promo1Seg3Share</vt:lpstr>
      <vt:lpstr>calcCh3Prod4Slot3Promo1Seg4Efficiency</vt:lpstr>
      <vt:lpstr>calcCh3Prod4Slot3Promo1Seg4Fit</vt:lpstr>
      <vt:lpstr>calcCh3Prod4Slot3Promo1Seg4Share</vt:lpstr>
      <vt:lpstr>calcCh3Prod4Slot3Promo1Vol</vt:lpstr>
      <vt:lpstr>calcCh3Prod4Slot3Promo1VolPWeek</vt:lpstr>
      <vt:lpstr>calcCh3Prod4Slot3Promo1VolUplift</vt:lpstr>
      <vt:lpstr>calcCh3Prod4Slot3Promo1Weeks</vt:lpstr>
      <vt:lpstr>calcCh3Prod4Slot3Seg1PackFit</vt:lpstr>
      <vt:lpstr>calcCh3Prod4Slot3Seg2PackFit</vt:lpstr>
      <vt:lpstr>calcCh3Prod4Slot3Seg3PackFit</vt:lpstr>
      <vt:lpstr>calcCh3Prod4Slot3Seg4PackFit</vt:lpstr>
      <vt:lpstr>calcCh3Prod4Slot3ShelfPrice</vt:lpstr>
      <vt:lpstr>calcCh3Prod4Slot3TotalVolSold</vt:lpstr>
      <vt:lpstr>calcCh3Prod4Slot3ValDrivExp</vt:lpstr>
      <vt:lpstr>calcCh3Prod4Slot3VolForecastSlot</vt:lpstr>
      <vt:lpstr>calcCh3Prod4Slot3WD</vt:lpstr>
      <vt:lpstr>calcCh3Prod4SlotsEnd</vt:lpstr>
      <vt:lpstr>calcCh3Prod4SlotsNew</vt:lpstr>
      <vt:lpstr>calcCh3Prod4SlotsNextEmp1Req</vt:lpstr>
      <vt:lpstr>calcCh3Prod4SlotsNextExp</vt:lpstr>
      <vt:lpstr>calcCh3Prod4SlotsStart</vt:lpstr>
      <vt:lpstr>calcCh3Prod4SlotsTotEmp1Req</vt:lpstr>
      <vt:lpstr>calcCh3Prod4SlotsTotExp</vt:lpstr>
      <vt:lpstr>calcCh3Prod4SlotTotActive</vt:lpstr>
      <vt:lpstr>calcCh3Prod4TotalVolSold</vt:lpstr>
      <vt:lpstr>calcCh3Prod4VolForecastProd</vt:lpstr>
      <vt:lpstr>calcCh3Prod4VolSoldNoPromo</vt:lpstr>
      <vt:lpstr>calcCh3Prod4VolSoldPromo1</vt:lpstr>
      <vt:lpstr>calcCh3Promo1PlanEmp1ReqTot</vt:lpstr>
      <vt:lpstr>calcCh3Promo1PlanExpTot</vt:lpstr>
      <vt:lpstr>calcCh3PromoRoiAvg</vt:lpstr>
      <vt:lpstr>calcCh3PromoWeeks</vt:lpstr>
      <vt:lpstr>calcCh3PromoWeeksAvail</vt:lpstr>
      <vt:lpstr>calcCh3PromoWeeksMax</vt:lpstr>
      <vt:lpstr>calcCh3PromoWeeksUsed</vt:lpstr>
      <vt:lpstr>calcCh3SlotMaxReached</vt:lpstr>
      <vt:lpstr>calcCh3SlotsNextEmp1Req</vt:lpstr>
      <vt:lpstr>calcCh3SlotsNextExp</vt:lpstr>
      <vt:lpstr>calcCh3SlotsTotEmp1Req</vt:lpstr>
      <vt:lpstr>calcCh3SlotsTotExp</vt:lpstr>
      <vt:lpstr>calcCh3SlotTotActive</vt:lpstr>
      <vt:lpstr>calcCh3TotalVolSold</vt:lpstr>
      <vt:lpstr>calcCh3ValDriv1</vt:lpstr>
      <vt:lpstr>calcCh3ValDriv1AccEnd</vt:lpstr>
      <vt:lpstr>calcCh3ValDriv1AccStart</vt:lpstr>
      <vt:lpstr>calcCh3ValDriv1Emp1Req</vt:lpstr>
      <vt:lpstr>calcCh3ValDriv1Exp</vt:lpstr>
      <vt:lpstr>calcCh3ValDriv2</vt:lpstr>
      <vt:lpstr>calcCh3ValDriv2AccEnd</vt:lpstr>
      <vt:lpstr>calcCh3ValDriv2AccStart</vt:lpstr>
      <vt:lpstr>calcCh3ValDriv2Emp1Req</vt:lpstr>
      <vt:lpstr>calcCh3ValDriv2Exp</vt:lpstr>
      <vt:lpstr>calcCh3ValDriv3</vt:lpstr>
      <vt:lpstr>calcCh3ValDriv3AccEnd</vt:lpstr>
      <vt:lpstr>calcCh3ValDriv3AccStart</vt:lpstr>
      <vt:lpstr>calcCh3ValDriv3Emp1Req</vt:lpstr>
      <vt:lpstr>calcCh3ValDriv3Exp</vt:lpstr>
      <vt:lpstr>calcCh3ValDriv4</vt:lpstr>
      <vt:lpstr>calcCh3ValDriv4AccEnd</vt:lpstr>
      <vt:lpstr>calcCh3ValDriv4AccEndMMScore</vt:lpstr>
      <vt:lpstr>calcCh3ValDriv4AccStart</vt:lpstr>
      <vt:lpstr>calcCh3ValDriv4Emp1Req</vt:lpstr>
      <vt:lpstr>calcCh3ValDriv4Exp</vt:lpstr>
      <vt:lpstr>calcCh3ValDriv5</vt:lpstr>
      <vt:lpstr>calcCh3ValDriv5AccEnd</vt:lpstr>
      <vt:lpstr>calcCh3ValDriv5AccStart</vt:lpstr>
      <vt:lpstr>calcCh3ValDriv5Emp1Req</vt:lpstr>
      <vt:lpstr>calcCh3ValDriv5Exp</vt:lpstr>
      <vt:lpstr>calcCh3ValDriv5MMScore</vt:lpstr>
      <vt:lpstr>calcCh3ValDrivCond</vt:lpstr>
      <vt:lpstr>calcCh3ValDrivCondEmp1Req</vt:lpstr>
      <vt:lpstr>calcCh3ValDrivCondExp</vt:lpstr>
      <vt:lpstr>calcCh3ValDrivEmp1ReqTot</vt:lpstr>
      <vt:lpstr>calcCh3ValDrivExpTot</vt:lpstr>
      <vt:lpstr>calcCh3Vt</vt:lpstr>
      <vt:lpstr>calcCh3VtCode</vt:lpstr>
      <vt:lpstr>calcCh3WDAccInv</vt:lpstr>
      <vt:lpstr>calcCh3WDValDriv1</vt:lpstr>
      <vt:lpstr>calcCh3WeightedAvgPrice</vt:lpstr>
      <vt:lpstr>calcCh4AddSlotAvailable</vt:lpstr>
      <vt:lpstr>calcCh4AnalyticsEmp1Req</vt:lpstr>
      <vt:lpstr>calcCh4AnalyticsExp</vt:lpstr>
      <vt:lpstr>calcCh4AnalyticsNumberBought</vt:lpstr>
      <vt:lpstr>calcCh4CondShare</vt:lpstr>
      <vt:lpstr>calcCh4CustProfitTot</vt:lpstr>
      <vt:lpstr>calcCh4MarkPlan</vt:lpstr>
      <vt:lpstr>calcCh4MarkPlanEmp1Req</vt:lpstr>
      <vt:lpstr>calcCh4MarkPlanExp</vt:lpstr>
      <vt:lpstr>calcCh4MarkPlanSeg1Fit</vt:lpstr>
      <vt:lpstr>calcCh4MarkPlanSeg2Fit</vt:lpstr>
      <vt:lpstr>calcCh4MarkPlanSeg3Fit</vt:lpstr>
      <vt:lpstr>calcCh4MarkPlanSeg4Fit</vt:lpstr>
      <vt:lpstr>calcCh4NewSlots</vt:lpstr>
      <vt:lpstr>calcCh4Prod1AvgCustPrice</vt:lpstr>
      <vt:lpstr>calcCh4Prod1AvgPrice</vt:lpstr>
      <vt:lpstr>calcCh4Prod1AvgPricePromo1</vt:lpstr>
      <vt:lpstr>calcCh4Prod1AvgPromoPrice</vt:lpstr>
      <vt:lpstr>calcCh4Prod1CustProfitTot</vt:lpstr>
      <vt:lpstr>calcCh4Prod1PromoROIavg</vt:lpstr>
      <vt:lpstr>calcCh4Prod1Seg1AssortmentFit</vt:lpstr>
      <vt:lpstr>calcCh4Prod1Seg2AssortmentFit</vt:lpstr>
      <vt:lpstr>calcCh4Prod1Seg3AssortmentFit</vt:lpstr>
      <vt:lpstr>calcCh4Prod1Seg4AssortmentFit</vt:lpstr>
      <vt:lpstr>calcCh4Prod1Slot1Active</vt:lpstr>
      <vt:lpstr>calcCh4Prod1Slot1AvgPrice</vt:lpstr>
      <vt:lpstr>calcCh4Prod1Slot1AvgSalePrice</vt:lpstr>
      <vt:lpstr>calcCh4Prod1Slot1BaseCustProfPWeek</vt:lpstr>
      <vt:lpstr>calcCh4Prod1Slot1BaseCustUplift</vt:lpstr>
      <vt:lpstr>calcCh4Prod1Slot1BaseGPaLPUnit</vt:lpstr>
      <vt:lpstr>calcCh4Prod1Slot1BaseGPaLPWeek</vt:lpstr>
      <vt:lpstr>calcCh4Prod1Slot1BaseVolPWeek</vt:lpstr>
      <vt:lpstr>calcCh4Prod1Slot1ChVolShare</vt:lpstr>
      <vt:lpstr>calcCh4Prod1Slot1CustPrice</vt:lpstr>
      <vt:lpstr>calcCh4Prod1Slot1CustProfitBase</vt:lpstr>
      <vt:lpstr>calcCh4Prod1Slot1CustProfitBaseMarginAbs</vt:lpstr>
      <vt:lpstr>calcCh4Prod1Slot1CustProfitBaseMarginPct</vt:lpstr>
      <vt:lpstr>calcCh4Prod1Slot1CustProfitBaseVol</vt:lpstr>
      <vt:lpstr>calcCh4Prod1Slot1CustProfitPromo1</vt:lpstr>
      <vt:lpstr>calcCh4Prod1Slot1CustProfitPromo1MarginAbs</vt:lpstr>
      <vt:lpstr>calcCh4Prod1Slot1CustProfitPromo1Vol</vt:lpstr>
      <vt:lpstr>calcCh4Prod1Slot1CustProfitTot</vt:lpstr>
      <vt:lpstr>CalcCh4Prod1Slot1Depreciation</vt:lpstr>
      <vt:lpstr>CalcCh4Prod1Slot1DepreciationPUnit</vt:lpstr>
      <vt:lpstr>CalcCh4Prod1Slot1ManufacturingCostPUnit</vt:lpstr>
      <vt:lpstr>calcCh4Prod1Slot1NoPromoPricePLitre</vt:lpstr>
      <vt:lpstr>calcCh4Prod1Slot1NoPromoVol</vt:lpstr>
      <vt:lpstr>calcCh4Prod1Slot1Pack</vt:lpstr>
      <vt:lpstr>calcCh4Prod1Slot1PackFitBase</vt:lpstr>
      <vt:lpstr>calcCh4Prod1Slot1PriceDif</vt:lpstr>
      <vt:lpstr>calcCh4Prod1Slot1Promo1CustPrice</vt:lpstr>
      <vt:lpstr>calcCh4Prod1Slot1Promo1CustProfPWeek</vt:lpstr>
      <vt:lpstr>calcCh4Prod1Slot1Promo1CustUplift</vt:lpstr>
      <vt:lpstr>calcCh4Prod1Slot1Promo1GPaLPUnit</vt:lpstr>
      <vt:lpstr>calcCh4Prod1Slot1Promo1GPaLPWeek</vt:lpstr>
      <vt:lpstr>calcCh4Prod1Slot1Promo1GPaLUplift</vt:lpstr>
      <vt:lpstr>calcCh4Prod1Slot1Promo1Plan</vt:lpstr>
      <vt:lpstr>calcCh4Prod1Slot1Promo1PlanEmp1Req</vt:lpstr>
      <vt:lpstr>calcCh4Prod1Slot1Promo1PlanExp</vt:lpstr>
      <vt:lpstr>calcCh4Prod1Slot1Promo1PlanShare</vt:lpstr>
      <vt:lpstr>calcCh4Prod1Slot1Promo1PricePLitre</vt:lpstr>
      <vt:lpstr>calcCh4Prod1Slot1Promo1ROI</vt:lpstr>
      <vt:lpstr>calcCh4Prod1Slot1Promo1Seg1Efficiency</vt:lpstr>
      <vt:lpstr>calcCh4Prod1Slot1Promo1Seg1Fit</vt:lpstr>
      <vt:lpstr>calcCh4Prod1Slot1Promo1Seg1Share</vt:lpstr>
      <vt:lpstr>calcCh4Prod1Slot1Promo1Seg2Efficiency</vt:lpstr>
      <vt:lpstr>calcCh4Prod1Slot1Promo1Seg2Fit</vt:lpstr>
      <vt:lpstr>calcCh4Prod1Slot1Promo1Seg2Share</vt:lpstr>
      <vt:lpstr>calcCh4Prod1Slot1Promo1Seg3Efficiency</vt:lpstr>
      <vt:lpstr>calcCh4Prod1Slot1Promo1Seg3Fit</vt:lpstr>
      <vt:lpstr>calcCh4Prod1Slot1Promo1Seg3Share</vt:lpstr>
      <vt:lpstr>calcCh4Prod1Slot1Promo1Seg4Efficiency</vt:lpstr>
      <vt:lpstr>calcCh4Prod1Slot1Promo1Seg4Fit</vt:lpstr>
      <vt:lpstr>calcCh4Prod1Slot1Promo1Seg4Share</vt:lpstr>
      <vt:lpstr>calcCh4Prod1Slot1Promo1Vol</vt:lpstr>
      <vt:lpstr>calcCh4Prod1Slot1Promo1VolPWeek</vt:lpstr>
      <vt:lpstr>calcCh4Prod1Slot1Promo1VolUplift</vt:lpstr>
      <vt:lpstr>calcCh4Prod1Slot1Promo1Weeks</vt:lpstr>
      <vt:lpstr>calcCh4Prod1Slot1Seg1PackFit</vt:lpstr>
      <vt:lpstr>calcCh4Prod1Slot1Seg2PackFit</vt:lpstr>
      <vt:lpstr>calcCh4Prod1Slot1Seg3PackFit</vt:lpstr>
      <vt:lpstr>calcCh4Prod1Slot1Seg4PackFit</vt:lpstr>
      <vt:lpstr>calcCh4Prod1Slot1ShelfPrice</vt:lpstr>
      <vt:lpstr>calcCh4Prod1Slot1TotalVolSold</vt:lpstr>
      <vt:lpstr>calcCh4Prod1Slot1ValDrivExp</vt:lpstr>
      <vt:lpstr>calcCh4Prod1Slot1VolForecastSlot</vt:lpstr>
      <vt:lpstr>calcCh4Prod1Slot1WD</vt:lpstr>
      <vt:lpstr>calcCh4Prod1Slot2Active</vt:lpstr>
      <vt:lpstr>calcCh4Prod1Slot2AvgPrice</vt:lpstr>
      <vt:lpstr>calcCh4Prod1Slot2AvgSalePrice</vt:lpstr>
      <vt:lpstr>calcCh4Prod1Slot2BaseCustProfPWeek</vt:lpstr>
      <vt:lpstr>calcCh4Prod1Slot2BaseCustUplift</vt:lpstr>
      <vt:lpstr>calcCh4Prod1Slot2BaseGPaLPUnit</vt:lpstr>
      <vt:lpstr>calcCh4Prod1Slot2BaseGPaLPWeek</vt:lpstr>
      <vt:lpstr>calcCh4Prod1Slot2BaseVolPWeek</vt:lpstr>
      <vt:lpstr>calcCh4Prod1Slot2ChVolShare</vt:lpstr>
      <vt:lpstr>calcCh4Prod1Slot2CustPrice</vt:lpstr>
      <vt:lpstr>calcCh4Prod1Slot2CustProfitBase</vt:lpstr>
      <vt:lpstr>calcCh4Prod1Slot2CustProfitBaseMarginAbs</vt:lpstr>
      <vt:lpstr>calcCh4Prod1Slot2CustProfitBaseMarginPct</vt:lpstr>
      <vt:lpstr>calcCh4Prod1Slot2CustProfitBaseVol</vt:lpstr>
      <vt:lpstr>calcCh4Prod1Slot2CustProfitPromo1</vt:lpstr>
      <vt:lpstr>calcCh4Prod1Slot2CustProfitPromo1MarginAbs</vt:lpstr>
      <vt:lpstr>calcCh4Prod1Slot2CustProfitPromo1Vol</vt:lpstr>
      <vt:lpstr>calcCh4Prod1Slot2CustProfitTot</vt:lpstr>
      <vt:lpstr>CalcCh4Prod1Slot2Depreciation</vt:lpstr>
      <vt:lpstr>CalcCh4Prod1Slot2DepreciationPUnit</vt:lpstr>
      <vt:lpstr>CalcCh4Prod1Slot2ManufacturingCostPUnit</vt:lpstr>
      <vt:lpstr>calcCh4Prod1Slot2NoPromoPricePLitre</vt:lpstr>
      <vt:lpstr>calcCh4Prod1Slot2NoPromoVol</vt:lpstr>
      <vt:lpstr>calcCh4Prod1Slot2Pack</vt:lpstr>
      <vt:lpstr>calcCh4Prod1Slot2PackFitBase</vt:lpstr>
      <vt:lpstr>calcCh4Prod1Slot2PriceDif</vt:lpstr>
      <vt:lpstr>calcCh4Prod1Slot2Promo1CustPrice</vt:lpstr>
      <vt:lpstr>calcCh4Prod1Slot2Promo1CustProfPWeek</vt:lpstr>
      <vt:lpstr>calcCh4Prod1Slot2Promo1CustUplift</vt:lpstr>
      <vt:lpstr>calcCh4Prod1Slot2Promo1GPaLPUnit</vt:lpstr>
      <vt:lpstr>calcCh4Prod1Slot2Promo1GPaLPWeek</vt:lpstr>
      <vt:lpstr>calcCh4Prod1Slot2Promo1GPaLUplift</vt:lpstr>
      <vt:lpstr>calcCh4Prod1Slot2Promo1Plan</vt:lpstr>
      <vt:lpstr>calcCh4Prod1Slot2Promo1PlanEmp1Req</vt:lpstr>
      <vt:lpstr>calcCh4Prod1Slot2Promo1PlanExp</vt:lpstr>
      <vt:lpstr>calcCh4Prod1Slot2Promo1PlanShare</vt:lpstr>
      <vt:lpstr>calcCh4Prod1Slot2Promo1PricePLitre</vt:lpstr>
      <vt:lpstr>calcCh4Prod1Slot2Promo1ROI</vt:lpstr>
      <vt:lpstr>calcCh4Prod1Slot2Promo1Seg1Efficiency</vt:lpstr>
      <vt:lpstr>calcCh4Prod1Slot2Promo1Seg1Fit</vt:lpstr>
      <vt:lpstr>calcCh4Prod1Slot2Promo1Seg1Share</vt:lpstr>
      <vt:lpstr>calcCh4Prod1Slot2Promo1Seg2Efficiency</vt:lpstr>
      <vt:lpstr>calcCh4Prod1Slot2Promo1Seg2Fit</vt:lpstr>
      <vt:lpstr>calcCh4Prod1Slot2Promo1Seg2Share</vt:lpstr>
      <vt:lpstr>calcCh4Prod1Slot2Promo1Seg3Efficiency</vt:lpstr>
      <vt:lpstr>calcCh4Prod1Slot2Promo1Seg3Fit</vt:lpstr>
      <vt:lpstr>calcCh4Prod1Slot2Promo1Seg3Share</vt:lpstr>
      <vt:lpstr>calcCh4Prod1Slot2Promo1Seg4Efficiency</vt:lpstr>
      <vt:lpstr>calcCh4Prod1Slot2Promo1Seg4Fit</vt:lpstr>
      <vt:lpstr>calcCh4Prod1Slot2Promo1Seg4Share</vt:lpstr>
      <vt:lpstr>calcCh4Prod1Slot2Promo1Vol</vt:lpstr>
      <vt:lpstr>calcCh4Prod1Slot2Promo1VolPWeek</vt:lpstr>
      <vt:lpstr>calcCh4Prod1Slot2Promo1VolUplift</vt:lpstr>
      <vt:lpstr>calcCh4Prod1Slot2Promo1Weeks</vt:lpstr>
      <vt:lpstr>calcCh4Prod1Slot2Seg1PackFit</vt:lpstr>
      <vt:lpstr>calcCh4Prod1Slot2Seg2PackFit</vt:lpstr>
      <vt:lpstr>calcCh4Prod1Slot2Seg3PackFit</vt:lpstr>
      <vt:lpstr>calcCh4Prod1Slot2Seg4PackFit</vt:lpstr>
      <vt:lpstr>calcCh4Prod1Slot2ShelfPrice</vt:lpstr>
      <vt:lpstr>calcCh4Prod1Slot2TotalVolSold</vt:lpstr>
      <vt:lpstr>calcCh4Prod1Slot2ValDrivExp</vt:lpstr>
      <vt:lpstr>calcCh4Prod1Slot2VolForecastSlot</vt:lpstr>
      <vt:lpstr>calcCh4Prod1Slot2WD</vt:lpstr>
      <vt:lpstr>calcCh4Prod1Slot3Active</vt:lpstr>
      <vt:lpstr>calcCh4Prod1Slot3AvgPrice</vt:lpstr>
      <vt:lpstr>calcCh4Prod1Slot3AvgSalePrice</vt:lpstr>
      <vt:lpstr>calcCh4Prod1Slot3BaseCustProfPWeek</vt:lpstr>
      <vt:lpstr>calcCh4Prod1Slot3BaseCustUplift</vt:lpstr>
      <vt:lpstr>calcCh4Prod1Slot3BaseGPaLPUnit</vt:lpstr>
      <vt:lpstr>calcCh4Prod1Slot3BaseGPaLPWeek</vt:lpstr>
      <vt:lpstr>calcCh4Prod1Slot3BaseVolPWeek</vt:lpstr>
      <vt:lpstr>calcCh4Prod1Slot3ChVolShare</vt:lpstr>
      <vt:lpstr>calcCh4Prod1Slot3CustPrice</vt:lpstr>
      <vt:lpstr>calcCh4Prod1Slot3CustProfitBase</vt:lpstr>
      <vt:lpstr>calcCh4Prod1Slot3CustProfitBaseMarginAbs</vt:lpstr>
      <vt:lpstr>calcCh4Prod1Slot3CustProfitBaseMarginPct</vt:lpstr>
      <vt:lpstr>calcCh4Prod1Slot3CustProfitBaseVol</vt:lpstr>
      <vt:lpstr>calcCh4Prod1Slot3CustProfitPromo1</vt:lpstr>
      <vt:lpstr>calcCh4Prod1Slot3CustProfitPromo1MarginAbs</vt:lpstr>
      <vt:lpstr>calcCh4Prod1Slot3CustProfitPromo1Vol</vt:lpstr>
      <vt:lpstr>calcCh4Prod1Slot3CustProfitTot</vt:lpstr>
      <vt:lpstr>CalcCh4Prod1Slot3Depreciation</vt:lpstr>
      <vt:lpstr>CalcCh4Prod1Slot3DepreciationPUnit</vt:lpstr>
      <vt:lpstr>CalcCh4Prod1Slot3ManufacturingCostPUnit</vt:lpstr>
      <vt:lpstr>calcCh4Prod1Slot3NoPromoPricePLitre</vt:lpstr>
      <vt:lpstr>calcCh4Prod1Slot3NoPromoVol</vt:lpstr>
      <vt:lpstr>calcCh4Prod1Slot3Pack</vt:lpstr>
      <vt:lpstr>calcCh4Prod1Slot3PackFitBase</vt:lpstr>
      <vt:lpstr>calcCh4Prod1Slot3PriceDif</vt:lpstr>
      <vt:lpstr>calcCh4Prod1Slot3Promo1CustPrice</vt:lpstr>
      <vt:lpstr>calcCh4Prod1Slot3Promo1CustProfPWeek</vt:lpstr>
      <vt:lpstr>calcCh4Prod1Slot3Promo1CustUplift</vt:lpstr>
      <vt:lpstr>calcCh4Prod1Slot3Promo1GPaLPUnit</vt:lpstr>
      <vt:lpstr>calcCh4Prod1Slot3Promo1GPaLPWeek</vt:lpstr>
      <vt:lpstr>calcCh4Prod1Slot3Promo1GPaLUplift</vt:lpstr>
      <vt:lpstr>calcCh4Prod1Slot3Promo1Plan</vt:lpstr>
      <vt:lpstr>calcCh4Prod1Slot3Promo1PlanEmp1Req</vt:lpstr>
      <vt:lpstr>calcCh4Prod1Slot3Promo1PlanExp</vt:lpstr>
      <vt:lpstr>calcCh4Prod1Slot3Promo1PlanShare</vt:lpstr>
      <vt:lpstr>calcCh4Prod1Slot3Promo1PricePLitre</vt:lpstr>
      <vt:lpstr>calcCh4Prod1Slot3Promo1ROI</vt:lpstr>
      <vt:lpstr>calcCh4Prod1Slot3Promo1Seg1Efficiency</vt:lpstr>
      <vt:lpstr>calcCh4Prod1Slot3Promo1Seg1Fit</vt:lpstr>
      <vt:lpstr>calcCh4Prod1Slot3Promo1Seg1Share</vt:lpstr>
      <vt:lpstr>calcCh4Prod1Slot3Promo1Seg2Efficiency</vt:lpstr>
      <vt:lpstr>calcCh4Prod1Slot3Promo1Seg2Fit</vt:lpstr>
      <vt:lpstr>calcCh4Prod1Slot3Promo1Seg2Share</vt:lpstr>
      <vt:lpstr>calcCh4Prod1Slot3Promo1Seg3Efficiency</vt:lpstr>
      <vt:lpstr>calcCh4Prod1Slot3Promo1Seg3Fit</vt:lpstr>
      <vt:lpstr>calcCh4Prod1Slot3Promo1Seg3Share</vt:lpstr>
      <vt:lpstr>calcCh4Prod1Slot3Promo1Seg4Efficiency</vt:lpstr>
      <vt:lpstr>calcCh4Prod1Slot3Promo1Seg4Fit</vt:lpstr>
      <vt:lpstr>calcCh4Prod1Slot3Promo1Seg4Share</vt:lpstr>
      <vt:lpstr>calcCh4Prod1Slot3Promo1Vol</vt:lpstr>
      <vt:lpstr>calcCh4Prod1Slot3Promo1VolPWeek</vt:lpstr>
      <vt:lpstr>calcCh4Prod1Slot3Promo1VolUplift</vt:lpstr>
      <vt:lpstr>calcCh4Prod1Slot3Promo1Weeks</vt:lpstr>
      <vt:lpstr>calcCh4Prod1Slot3Seg1PackFit</vt:lpstr>
      <vt:lpstr>calcCh4Prod1Slot3Seg2PackFit</vt:lpstr>
      <vt:lpstr>calcCh4Prod1Slot3Seg3PackFit</vt:lpstr>
      <vt:lpstr>calcCh4Prod1Slot3Seg4PackFit</vt:lpstr>
      <vt:lpstr>calcCh4Prod1Slot3ShelfPrice</vt:lpstr>
      <vt:lpstr>calcCh4Prod1Slot3TotalVolSold</vt:lpstr>
      <vt:lpstr>calcCh4Prod1Slot3ValDrivExp</vt:lpstr>
      <vt:lpstr>calcCh4Prod1Slot3VolForecastSlot</vt:lpstr>
      <vt:lpstr>calcCh4Prod1Slot3WD</vt:lpstr>
      <vt:lpstr>calcCh4Prod1SlotsEnd</vt:lpstr>
      <vt:lpstr>calcCh4Prod1SlotsNew</vt:lpstr>
      <vt:lpstr>calcCh4Prod1SlotsNextEmp1Req</vt:lpstr>
      <vt:lpstr>calcCh4Prod1SlotsNextExp</vt:lpstr>
      <vt:lpstr>calcCh4Prod1SlotsStart</vt:lpstr>
      <vt:lpstr>calcCh4Prod1SlotsTotEmp1Req</vt:lpstr>
      <vt:lpstr>calcCh4Prod1SlotsTotExp</vt:lpstr>
      <vt:lpstr>calcCh4Prod1SlotTotActive</vt:lpstr>
      <vt:lpstr>calcCh4Prod1TotalVolSold</vt:lpstr>
      <vt:lpstr>calcCh4Prod1VolForecastProd</vt:lpstr>
      <vt:lpstr>calcCh4Prod1VolSoldNoPromo</vt:lpstr>
      <vt:lpstr>calcCh4Prod1VolSoldPromo1</vt:lpstr>
      <vt:lpstr>calcCh4Prod2AvgCustPrice</vt:lpstr>
      <vt:lpstr>calcCh4Prod2AvgPrice</vt:lpstr>
      <vt:lpstr>calcCh4Prod2AvgPricePromo1</vt:lpstr>
      <vt:lpstr>calcCh4Prod2AvgPromoPrice</vt:lpstr>
      <vt:lpstr>calcCh4Prod2CustProfitTot</vt:lpstr>
      <vt:lpstr>calcCh4Prod2PromoROIavg</vt:lpstr>
      <vt:lpstr>calcCh4Prod2Seg1AssortmentFit</vt:lpstr>
      <vt:lpstr>calcCh4Prod2Seg2AssortmentFit</vt:lpstr>
      <vt:lpstr>calcCh4Prod2Seg3AssortmentFit</vt:lpstr>
      <vt:lpstr>calcCh4Prod2Seg4AssortmentFit</vt:lpstr>
      <vt:lpstr>calcCh4Prod2Slot1Active</vt:lpstr>
      <vt:lpstr>calcCh4Prod2Slot1AvgPrice</vt:lpstr>
      <vt:lpstr>calcCh4Prod2Slot1AvgSalePrice</vt:lpstr>
      <vt:lpstr>calcCh4Prod2Slot1BaseCustProfPWeek</vt:lpstr>
      <vt:lpstr>calcCh4Prod2Slot1BaseCustUplift</vt:lpstr>
      <vt:lpstr>calcCh4Prod2Slot1BaseGPaLPUnit</vt:lpstr>
      <vt:lpstr>calcCh4Prod2Slot1BaseGPaLPWeek</vt:lpstr>
      <vt:lpstr>calcCh4Prod2Slot1BaseVolPWeek</vt:lpstr>
      <vt:lpstr>calcCh4Prod2Slot1ChVolShare</vt:lpstr>
      <vt:lpstr>calcCh4Prod2Slot1CustPrice</vt:lpstr>
      <vt:lpstr>calcCh4Prod2Slot1CustProfitBase</vt:lpstr>
      <vt:lpstr>calcCh4Prod2Slot1CustProfitBaseMarginAbs</vt:lpstr>
      <vt:lpstr>calcCh4Prod2Slot1CustProfitBaseMarginPct</vt:lpstr>
      <vt:lpstr>calcCh4Prod2Slot1CustProfitBaseVol</vt:lpstr>
      <vt:lpstr>calcCh4Prod2Slot1CustProfitPromo1</vt:lpstr>
      <vt:lpstr>calcCh4Prod2Slot1CustProfitPromo1MarginAbs</vt:lpstr>
      <vt:lpstr>calcCh4Prod2Slot1CustProfitPromo1Vol</vt:lpstr>
      <vt:lpstr>calcCh4Prod2Slot1CustProfitTot</vt:lpstr>
      <vt:lpstr>CalcCh4Prod2Slot1Depreciation</vt:lpstr>
      <vt:lpstr>CalcCh4Prod2Slot1DepreciationPUnit</vt:lpstr>
      <vt:lpstr>CalcCh4Prod2Slot1ManufacturingCostPUnit</vt:lpstr>
      <vt:lpstr>calcCh4Prod2Slot1NoPromoPricePLitre</vt:lpstr>
      <vt:lpstr>calcCh4Prod2Slot1NoPromoVol</vt:lpstr>
      <vt:lpstr>calcCh4Prod2Slot1Pack</vt:lpstr>
      <vt:lpstr>calcCh4Prod2Slot1PackFitBase</vt:lpstr>
      <vt:lpstr>calcCh4Prod2Slot1PriceDif</vt:lpstr>
      <vt:lpstr>calcCh4Prod2Slot1Promo1CustPrice</vt:lpstr>
      <vt:lpstr>calcCh4Prod2Slot1Promo1CustProfPWeek</vt:lpstr>
      <vt:lpstr>calcCh4Prod2Slot1Promo1CustUplift</vt:lpstr>
      <vt:lpstr>calcCh4Prod2Slot1Promo1GPaLPUnit</vt:lpstr>
      <vt:lpstr>calcCh4Prod2Slot1Promo1GPaLPWeek</vt:lpstr>
      <vt:lpstr>calcCh4Prod2Slot1Promo1GPaLUplift</vt:lpstr>
      <vt:lpstr>calcCh4Prod2Slot1Promo1Plan</vt:lpstr>
      <vt:lpstr>calcCh4Prod2Slot1Promo1PlanEmp1Req</vt:lpstr>
      <vt:lpstr>calcCh4Prod2Slot1Promo1PlanExp</vt:lpstr>
      <vt:lpstr>calcCh4Prod2Slot1Promo1PlanShare</vt:lpstr>
      <vt:lpstr>calcCh4Prod2Slot1Promo1PricePLitre</vt:lpstr>
      <vt:lpstr>calcCh4Prod2Slot1Promo1ROI</vt:lpstr>
      <vt:lpstr>calcCh4Prod2Slot1Promo1Seg1Efficiency</vt:lpstr>
      <vt:lpstr>calcCh4Prod2Slot1Promo1Seg1Fit</vt:lpstr>
      <vt:lpstr>calcCh4Prod2Slot1Promo1Seg1Share</vt:lpstr>
      <vt:lpstr>calcCh4Prod2Slot1Promo1Seg2Efficiency</vt:lpstr>
      <vt:lpstr>calcCh4Prod2Slot1Promo1Seg2Fit</vt:lpstr>
      <vt:lpstr>calcCh4Prod2Slot1Promo1Seg2Share</vt:lpstr>
      <vt:lpstr>calcCh4Prod2Slot1Promo1Seg3Efficiency</vt:lpstr>
      <vt:lpstr>calcCh4Prod2Slot1Promo1Seg3Fit</vt:lpstr>
      <vt:lpstr>calcCh4Prod2Slot1Promo1Seg3Share</vt:lpstr>
      <vt:lpstr>calcCh4Prod2Slot1Promo1Seg4Efficiency</vt:lpstr>
      <vt:lpstr>calcCh4Prod2Slot1Promo1Seg4Fit</vt:lpstr>
      <vt:lpstr>calcCh4Prod2Slot1Promo1Seg4Share</vt:lpstr>
      <vt:lpstr>calcCh4Prod2Slot1Promo1Vol</vt:lpstr>
      <vt:lpstr>calcCh4Prod2Slot1Promo1VolPWeek</vt:lpstr>
      <vt:lpstr>calcCh4Prod2Slot1Promo1VolUplift</vt:lpstr>
      <vt:lpstr>calcCh4Prod2Slot1Promo1Weeks</vt:lpstr>
      <vt:lpstr>calcCh4Prod2Slot1Seg1PackFit</vt:lpstr>
      <vt:lpstr>calcCh4Prod2Slot1Seg2PackFit</vt:lpstr>
      <vt:lpstr>calcCh4Prod2Slot1Seg3PackFit</vt:lpstr>
      <vt:lpstr>calcCh4Prod2Slot1Seg4PackFit</vt:lpstr>
      <vt:lpstr>calcCh4Prod2Slot1ShelfPrice</vt:lpstr>
      <vt:lpstr>calcCh4Prod2Slot1TotalVolSold</vt:lpstr>
      <vt:lpstr>calcCh4Prod2Slot1ValDrivExp</vt:lpstr>
      <vt:lpstr>calcCh4Prod2Slot1VolForecastSlot</vt:lpstr>
      <vt:lpstr>calcCh4Prod2Slot1WD</vt:lpstr>
      <vt:lpstr>calcCh4Prod2Slot2Active</vt:lpstr>
      <vt:lpstr>calcCh4Prod2Slot2AvgPrice</vt:lpstr>
      <vt:lpstr>calcCh4Prod2Slot2AvgSalePrice</vt:lpstr>
      <vt:lpstr>calcCh4Prod2Slot2BaseCustProfPWeek</vt:lpstr>
      <vt:lpstr>calcCh4Prod2Slot2BaseCustUplift</vt:lpstr>
      <vt:lpstr>calcCh4Prod2Slot2BaseGPaLPUnit</vt:lpstr>
      <vt:lpstr>calcCh4Prod2Slot2BaseGPaLPWeek</vt:lpstr>
      <vt:lpstr>calcCh4Prod2Slot2BaseVolPWeek</vt:lpstr>
      <vt:lpstr>calcCh4Prod2Slot2ChVolShare</vt:lpstr>
      <vt:lpstr>calcCh4Prod2Slot2CustPrice</vt:lpstr>
      <vt:lpstr>calcCh4Prod2Slot2CustProfitBase</vt:lpstr>
      <vt:lpstr>calcCh4Prod2Slot2CustProfitBaseMarginAbs</vt:lpstr>
      <vt:lpstr>calcCh4Prod2Slot2CustProfitBaseMarginPct</vt:lpstr>
      <vt:lpstr>calcCh4Prod2Slot2CustProfitBaseVol</vt:lpstr>
      <vt:lpstr>calcCh4Prod2Slot2CustProfitPromo1</vt:lpstr>
      <vt:lpstr>calcCh4Prod2Slot2CustProfitPromo1MarginAbs</vt:lpstr>
      <vt:lpstr>calcCh4Prod2Slot2CustProfitPromo1Vol</vt:lpstr>
      <vt:lpstr>calcCh4Prod2Slot2CustProfitTot</vt:lpstr>
      <vt:lpstr>CalcCh4Prod2Slot2Depreciation</vt:lpstr>
      <vt:lpstr>CalcCh4Prod2Slot2DepreciationPUnit</vt:lpstr>
      <vt:lpstr>CalcCh4Prod2Slot2ManufacturingCostPUnit</vt:lpstr>
      <vt:lpstr>calcCh4Prod2Slot2NoPromoPricePLitre</vt:lpstr>
      <vt:lpstr>calcCh4Prod2Slot2NoPromoVol</vt:lpstr>
      <vt:lpstr>calcCh4Prod2Slot2Pack</vt:lpstr>
      <vt:lpstr>calcCh4Prod2Slot2PackFitBase</vt:lpstr>
      <vt:lpstr>calcCh4Prod2Slot2PriceDif</vt:lpstr>
      <vt:lpstr>calcCh4Prod2Slot2Promo1CustPrice</vt:lpstr>
      <vt:lpstr>calcCh4Prod2Slot2Promo1CustProfPWeek</vt:lpstr>
      <vt:lpstr>calcCh4Prod2Slot2Promo1CustUplift</vt:lpstr>
      <vt:lpstr>calcCh4Prod2Slot2Promo1GPaLPUnit</vt:lpstr>
      <vt:lpstr>calcCh4Prod2Slot2Promo1GPaLPWeek</vt:lpstr>
      <vt:lpstr>calcCh4Prod2Slot2Promo1GPaLUplift</vt:lpstr>
      <vt:lpstr>calcCh4Prod2Slot2Promo1Plan</vt:lpstr>
      <vt:lpstr>calcCh4Prod2Slot2Promo1PlanEmp1Req</vt:lpstr>
      <vt:lpstr>calcCh4Prod2Slot2Promo1PlanExp</vt:lpstr>
      <vt:lpstr>calcCh4Prod2Slot2Promo1PlanShare</vt:lpstr>
      <vt:lpstr>calcCh4Prod2Slot2Promo1PricePLitre</vt:lpstr>
      <vt:lpstr>calcCh4Prod2Slot2Promo1ROI</vt:lpstr>
      <vt:lpstr>calcCh4Prod2Slot2Promo1Seg1Efficiency</vt:lpstr>
      <vt:lpstr>calcCh4Prod2Slot2Promo1Seg1Fit</vt:lpstr>
      <vt:lpstr>calcCh4Prod2Slot2Promo1Seg1Share</vt:lpstr>
      <vt:lpstr>calcCh4Prod2Slot2Promo1Seg2Efficiency</vt:lpstr>
      <vt:lpstr>calcCh4Prod2Slot2Promo1Seg2Fit</vt:lpstr>
      <vt:lpstr>calcCh4Prod2Slot2Promo1Seg2Share</vt:lpstr>
      <vt:lpstr>calcCh4Prod2Slot2Promo1Seg3Efficiency</vt:lpstr>
      <vt:lpstr>calcCh4Prod2Slot2Promo1Seg3Fit</vt:lpstr>
      <vt:lpstr>calcCh4Prod2Slot2Promo1Seg3Share</vt:lpstr>
      <vt:lpstr>calcCh4Prod2Slot2Promo1Seg4Efficiency</vt:lpstr>
      <vt:lpstr>calcCh4Prod2Slot2Promo1Seg4Fit</vt:lpstr>
      <vt:lpstr>calcCh4Prod2Slot2Promo1Seg4Share</vt:lpstr>
      <vt:lpstr>calcCh4Prod2Slot2Promo1Vol</vt:lpstr>
      <vt:lpstr>calcCh4Prod2Slot2Promo1VolPWeek</vt:lpstr>
      <vt:lpstr>calcCh4Prod2Slot2Promo1VolUplift</vt:lpstr>
      <vt:lpstr>calcCh4Prod2Slot2Promo1Weeks</vt:lpstr>
      <vt:lpstr>calcCh4Prod2Slot2Seg1PackFit</vt:lpstr>
      <vt:lpstr>calcCh4Prod2Slot2Seg2PackFit</vt:lpstr>
      <vt:lpstr>calcCh4Prod2Slot2Seg3PackFit</vt:lpstr>
      <vt:lpstr>calcCh4Prod2Slot2Seg4PackFit</vt:lpstr>
      <vt:lpstr>calcCh4Prod2Slot2ShelfPrice</vt:lpstr>
      <vt:lpstr>calcCh4Prod2Slot2TotalVolSold</vt:lpstr>
      <vt:lpstr>calcCh4Prod2Slot2ValDrivExp</vt:lpstr>
      <vt:lpstr>calcCh4Prod2Slot2VolForecastSlot</vt:lpstr>
      <vt:lpstr>calcCh4Prod2Slot2WD</vt:lpstr>
      <vt:lpstr>calcCh4Prod2Slot3Active</vt:lpstr>
      <vt:lpstr>calcCh4Prod2Slot3AvgPrice</vt:lpstr>
      <vt:lpstr>calcCh4Prod2Slot3AvgSalePrice</vt:lpstr>
      <vt:lpstr>calcCh4Prod2Slot3BaseCustProfPWeek</vt:lpstr>
      <vt:lpstr>calcCh4Prod2Slot3BaseCustUplift</vt:lpstr>
      <vt:lpstr>calcCh4Prod2Slot3BaseGPaLPUnit</vt:lpstr>
      <vt:lpstr>calcCh4Prod2Slot3BaseGPaLPWeek</vt:lpstr>
      <vt:lpstr>calcCh4Prod2Slot3BaseVolPWeek</vt:lpstr>
      <vt:lpstr>calcCh4Prod2Slot3ChVolShare</vt:lpstr>
      <vt:lpstr>calcCh4Prod2Slot3CustPrice</vt:lpstr>
      <vt:lpstr>calcCh4Prod2Slot3CustProfitBase</vt:lpstr>
      <vt:lpstr>calcCh4Prod2Slot3CustProfitBaseMarginAbs</vt:lpstr>
      <vt:lpstr>calcCh4Prod2Slot3CustProfitBaseMarginPct</vt:lpstr>
      <vt:lpstr>calcCh4Prod2Slot3CustProfitBaseVol</vt:lpstr>
      <vt:lpstr>calcCh4Prod2Slot3CustProfitPromo1</vt:lpstr>
      <vt:lpstr>calcCh4Prod2Slot3CustProfitPromo1MarginAbs</vt:lpstr>
      <vt:lpstr>calcCh4Prod2Slot3CustProfitPromo1Vol</vt:lpstr>
      <vt:lpstr>calcCh4Prod2Slot3CustProfitTot</vt:lpstr>
      <vt:lpstr>CalcCh4Prod2Slot3Depreciation</vt:lpstr>
      <vt:lpstr>CalcCh4Prod2Slot3DepreciationPUnit</vt:lpstr>
      <vt:lpstr>CalcCh4Prod2Slot3ManufacturingCostPUnit</vt:lpstr>
      <vt:lpstr>calcCh4Prod2Slot3NoPromoPricePLitre</vt:lpstr>
      <vt:lpstr>calcCh4Prod2Slot3NoPromoVol</vt:lpstr>
      <vt:lpstr>calcCh4Prod2Slot3Pack</vt:lpstr>
      <vt:lpstr>calcCh4Prod2Slot3PackFitBase</vt:lpstr>
      <vt:lpstr>calcCh4Prod2Slot3PriceDif</vt:lpstr>
      <vt:lpstr>calcCh4Prod2Slot3Promo1CustPrice</vt:lpstr>
      <vt:lpstr>calcCh4Prod2Slot3Promo1CustProfPWeek</vt:lpstr>
      <vt:lpstr>calcCh4Prod2Slot3Promo1CustUplift</vt:lpstr>
      <vt:lpstr>calcCh4Prod2Slot3Promo1GPaLPUnit</vt:lpstr>
      <vt:lpstr>calcCh4Prod2Slot3Promo1GPaLPWeek</vt:lpstr>
      <vt:lpstr>calcCh4Prod2Slot3Promo1GPaLUplift</vt:lpstr>
      <vt:lpstr>calcCh4Prod2Slot3Promo1Plan</vt:lpstr>
      <vt:lpstr>calcCh4Prod2Slot3Promo1PlanEmp1Req</vt:lpstr>
      <vt:lpstr>calcCh4Prod2Slot3Promo1PlanExp</vt:lpstr>
      <vt:lpstr>calcCh4Prod2Slot3Promo1PlanShare</vt:lpstr>
      <vt:lpstr>calcCh4Prod2Slot3Promo1PricePLitre</vt:lpstr>
      <vt:lpstr>calcCh4Prod2Slot3Promo1ROI</vt:lpstr>
      <vt:lpstr>calcCh4Prod2Slot3Promo1Seg1Efficiency</vt:lpstr>
      <vt:lpstr>calcCh4Prod2Slot3Promo1Seg1Fit</vt:lpstr>
      <vt:lpstr>calcCh4Prod2Slot3Promo1Seg1Share</vt:lpstr>
      <vt:lpstr>calcCh4Prod2Slot3Promo1Seg2Efficiency</vt:lpstr>
      <vt:lpstr>calcCh4Prod2Slot3Promo1Seg2Fit</vt:lpstr>
      <vt:lpstr>calcCh4Prod2Slot3Promo1Seg2Share</vt:lpstr>
      <vt:lpstr>calcCh4Prod2Slot3Promo1Seg3Efficiency</vt:lpstr>
      <vt:lpstr>calcCh4Prod2Slot3Promo1Seg3Fit</vt:lpstr>
      <vt:lpstr>calcCh4Prod2Slot3Promo1Seg3Share</vt:lpstr>
      <vt:lpstr>calcCh4Prod2Slot3Promo1Seg4Efficiency</vt:lpstr>
      <vt:lpstr>calcCh4Prod2Slot3Promo1Seg4Fit</vt:lpstr>
      <vt:lpstr>calcCh4Prod2Slot3Promo1Seg4Share</vt:lpstr>
      <vt:lpstr>calcCh4Prod2Slot3Promo1Vol</vt:lpstr>
      <vt:lpstr>calcCh4Prod2Slot3Promo1VolPWeek</vt:lpstr>
      <vt:lpstr>calcCh4Prod2Slot3Promo1VolUplift</vt:lpstr>
      <vt:lpstr>calcCh4Prod2Slot3Promo1Weeks</vt:lpstr>
      <vt:lpstr>calcCh4Prod2Slot3Seg1PackFit</vt:lpstr>
      <vt:lpstr>calcCh4Prod2Slot3Seg2PackFit</vt:lpstr>
      <vt:lpstr>calcCh4Prod2Slot3Seg3PackFit</vt:lpstr>
      <vt:lpstr>calcCh4Prod2Slot3Seg4PackFit</vt:lpstr>
      <vt:lpstr>calcCh4Prod2Slot3ShelfPrice</vt:lpstr>
      <vt:lpstr>calcCh4Prod2Slot3TotalVolSold</vt:lpstr>
      <vt:lpstr>calcCh4Prod2Slot3ValDrivExp</vt:lpstr>
      <vt:lpstr>calcCh4Prod2Slot3VolForecastSlot</vt:lpstr>
      <vt:lpstr>calcCh4Prod2Slot3WD</vt:lpstr>
      <vt:lpstr>calcCh4Prod2SlotsEnd</vt:lpstr>
      <vt:lpstr>calcCh4Prod2SlotsNew</vt:lpstr>
      <vt:lpstr>calcCh4Prod2SlotsNextEmp1Req</vt:lpstr>
      <vt:lpstr>calcCh4Prod2SlotsNextExp</vt:lpstr>
      <vt:lpstr>calcCh4Prod2SlotsStart</vt:lpstr>
      <vt:lpstr>calcCh4Prod2SlotsTotEmp1Req</vt:lpstr>
      <vt:lpstr>calcCh4Prod2SlotsTotExp</vt:lpstr>
      <vt:lpstr>calcCh4Prod2SlotTotActive</vt:lpstr>
      <vt:lpstr>calcCh4Prod2TotalVolSold</vt:lpstr>
      <vt:lpstr>calcCh4Prod2VolForecastProd</vt:lpstr>
      <vt:lpstr>calcCh4Prod2VolSoldNoPromo</vt:lpstr>
      <vt:lpstr>calcCh4Prod2VolSoldPromo1</vt:lpstr>
      <vt:lpstr>calcCh4Prod3AvgCustPrice</vt:lpstr>
      <vt:lpstr>calcCh4Prod3AvgPrice</vt:lpstr>
      <vt:lpstr>calcCh4Prod3AvgPricePromo1</vt:lpstr>
      <vt:lpstr>calcCh4Prod3AvgPromoPrice</vt:lpstr>
      <vt:lpstr>calcCh4Prod3CustProfitTot</vt:lpstr>
      <vt:lpstr>calcCh4Prod3PromoROIavg</vt:lpstr>
      <vt:lpstr>calcCh4Prod3Seg1AssortmentFit</vt:lpstr>
      <vt:lpstr>calcCh4Prod3Seg2AssortmentFit</vt:lpstr>
      <vt:lpstr>calcCh4Prod3Seg3AssortmentFit</vt:lpstr>
      <vt:lpstr>calcCh4Prod3Seg4AssortmentFit</vt:lpstr>
      <vt:lpstr>calcCh4Prod3Slot1Active</vt:lpstr>
      <vt:lpstr>calcCh4Prod3Slot1AvgPrice</vt:lpstr>
      <vt:lpstr>calcCh4Prod3Slot1AvgSalePrice</vt:lpstr>
      <vt:lpstr>calcCh4Prod3Slot1BaseCustProfPWeek</vt:lpstr>
      <vt:lpstr>calcCh4Prod3Slot1BaseCustUplift</vt:lpstr>
      <vt:lpstr>calcCh4Prod3Slot1BaseGPaLPUnit</vt:lpstr>
      <vt:lpstr>calcCh4Prod3Slot1BaseGPaLPWeek</vt:lpstr>
      <vt:lpstr>calcCh4Prod3Slot1BaseVolPWeek</vt:lpstr>
      <vt:lpstr>calcCh4Prod3Slot1ChVolShare</vt:lpstr>
      <vt:lpstr>calcCh4Prod3Slot1CustPrice</vt:lpstr>
      <vt:lpstr>calcCh4Prod3Slot1CustProfitBase</vt:lpstr>
      <vt:lpstr>calcCh4Prod3Slot1CustProfitBaseMarginAbs</vt:lpstr>
      <vt:lpstr>calcCh4Prod3Slot1CustProfitBaseMarginPct</vt:lpstr>
      <vt:lpstr>calcCh4Prod3Slot1CustProfitBaseVol</vt:lpstr>
      <vt:lpstr>calcCh4Prod3Slot1CustProfitPromo1</vt:lpstr>
      <vt:lpstr>calcCh4Prod3Slot1CustProfitPromo1MarginAbs</vt:lpstr>
      <vt:lpstr>calcCh4Prod3Slot1CustProfitPromo1Vol</vt:lpstr>
      <vt:lpstr>calcCh4Prod3Slot1CustProfitTot</vt:lpstr>
      <vt:lpstr>CalcCh4Prod3Slot1Depreciation</vt:lpstr>
      <vt:lpstr>CalcCh4Prod3Slot1DepreciationPUnit</vt:lpstr>
      <vt:lpstr>CalcCh4Prod3Slot1ManufacturingCostPUnit</vt:lpstr>
      <vt:lpstr>calcCh4Prod3Slot1NoPromoPricePLitre</vt:lpstr>
      <vt:lpstr>calcCh4Prod3Slot1NoPromoVol</vt:lpstr>
      <vt:lpstr>calcCh4Prod3Slot1Pack</vt:lpstr>
      <vt:lpstr>calcCh4Prod3Slot1PackFitBase</vt:lpstr>
      <vt:lpstr>calcCh4Prod3Slot1PriceDif</vt:lpstr>
      <vt:lpstr>calcCh4Prod3Slot1Promo1CustPrice</vt:lpstr>
      <vt:lpstr>calcCh4Prod3Slot1Promo1CustProfPWeek</vt:lpstr>
      <vt:lpstr>calcCh4Prod3Slot1Promo1CustUplift</vt:lpstr>
      <vt:lpstr>calcCh4Prod3Slot1Promo1GPaLPUnit</vt:lpstr>
      <vt:lpstr>calcCh4Prod3Slot1Promo1GPaLPWeek</vt:lpstr>
      <vt:lpstr>calcCh4Prod3Slot1Promo1GPaLUplift</vt:lpstr>
      <vt:lpstr>calcCh4Prod3Slot1Promo1Plan</vt:lpstr>
      <vt:lpstr>calcCh4Prod3Slot1Promo1PlanEmp1Req</vt:lpstr>
      <vt:lpstr>calcCh4Prod3Slot1Promo1PlanExp</vt:lpstr>
      <vt:lpstr>calcCh4Prod3Slot1Promo1PlanShare</vt:lpstr>
      <vt:lpstr>calcCh4Prod3Slot1Promo1PricePLitre</vt:lpstr>
      <vt:lpstr>calcCh4Prod3Slot1Promo1ROI</vt:lpstr>
      <vt:lpstr>calcCh4Prod3Slot1Promo1Seg1Efficiency</vt:lpstr>
      <vt:lpstr>calcCh4Prod3Slot1Promo1Seg1Fit</vt:lpstr>
      <vt:lpstr>calcCh4Prod3Slot1Promo1Seg1Share</vt:lpstr>
      <vt:lpstr>calcCh4Prod3Slot1Promo1Seg2Efficiency</vt:lpstr>
      <vt:lpstr>calcCh4Prod3Slot1Promo1Seg2Fit</vt:lpstr>
      <vt:lpstr>calcCh4Prod3Slot1Promo1Seg2Share</vt:lpstr>
      <vt:lpstr>calcCh4Prod3Slot1Promo1Seg3Efficiency</vt:lpstr>
      <vt:lpstr>calcCh4Prod3Slot1Promo1Seg3Fit</vt:lpstr>
      <vt:lpstr>calcCh4Prod3Slot1Promo1Seg3Share</vt:lpstr>
      <vt:lpstr>calcCh4Prod3Slot1Promo1Seg4Efficiency</vt:lpstr>
      <vt:lpstr>calcCh4Prod3Slot1Promo1Seg4Fit</vt:lpstr>
      <vt:lpstr>calcCh4Prod3Slot1Promo1Seg4Share</vt:lpstr>
      <vt:lpstr>calcCh4Prod3Slot1Promo1Vol</vt:lpstr>
      <vt:lpstr>calcCh4Prod3Slot1Promo1VolPWeek</vt:lpstr>
      <vt:lpstr>calcCh4Prod3Slot1Promo1VolUplift</vt:lpstr>
      <vt:lpstr>calcCh4Prod3Slot1Promo1Weeks</vt:lpstr>
      <vt:lpstr>calcCh4Prod3Slot1Seg1PackFit</vt:lpstr>
      <vt:lpstr>calcCh4Prod3Slot1Seg2PackFit</vt:lpstr>
      <vt:lpstr>calcCh4Prod3Slot1Seg3PackFit</vt:lpstr>
      <vt:lpstr>calcCh4Prod3Slot1Seg4PackFit</vt:lpstr>
      <vt:lpstr>calcCh4Prod3Slot1ShelfPrice</vt:lpstr>
      <vt:lpstr>calcCh4Prod3Slot1TotalVolSold</vt:lpstr>
      <vt:lpstr>calcCh4Prod3Slot1ValDrivExp</vt:lpstr>
      <vt:lpstr>calcCh4Prod3Slot1VolForecastSlot</vt:lpstr>
      <vt:lpstr>calcCh4Prod3Slot1WD</vt:lpstr>
      <vt:lpstr>calcCh4Prod3Slot2Active</vt:lpstr>
      <vt:lpstr>calcCh4Prod3Slot2AvgPrice</vt:lpstr>
      <vt:lpstr>calcCh4Prod3Slot2AvgSalePrice</vt:lpstr>
      <vt:lpstr>calcCh4Prod3Slot2BaseCustProfPWeek</vt:lpstr>
      <vt:lpstr>calcCh4Prod3Slot2BaseCustUplift</vt:lpstr>
      <vt:lpstr>calcCh4Prod3Slot2BaseGPaLPUnit</vt:lpstr>
      <vt:lpstr>calcCh4Prod3Slot2BaseGPaLPWeek</vt:lpstr>
      <vt:lpstr>calcCh4Prod3Slot2BaseVolPWeek</vt:lpstr>
      <vt:lpstr>calcCh4Prod3Slot2ChVolShare</vt:lpstr>
      <vt:lpstr>calcCh4Prod3Slot2CustPrice</vt:lpstr>
      <vt:lpstr>calcCh4Prod3Slot2CustProfitBase</vt:lpstr>
      <vt:lpstr>calcCh4Prod3Slot2CustProfitBaseMarginAbs</vt:lpstr>
      <vt:lpstr>calcCh4Prod3Slot2CustProfitBaseMarginPct</vt:lpstr>
      <vt:lpstr>calcCh4Prod3Slot2CustProfitBaseVol</vt:lpstr>
      <vt:lpstr>calcCh4Prod3Slot2CustProfitPromo1</vt:lpstr>
      <vt:lpstr>calcCh4Prod3Slot2CustProfitPromo1MarginAbs</vt:lpstr>
      <vt:lpstr>calcCh4Prod3Slot2CustProfitPromo1Vol</vt:lpstr>
      <vt:lpstr>calcCh4Prod3Slot2CustProfitTot</vt:lpstr>
      <vt:lpstr>CalcCh4Prod3Slot2Depreciation</vt:lpstr>
      <vt:lpstr>CalcCh4Prod3Slot2DepreciationPUnit</vt:lpstr>
      <vt:lpstr>CalcCh4Prod3Slot2ManufacturingCostPUnit</vt:lpstr>
      <vt:lpstr>calcCh4Prod3Slot2NoPromoPricePLitre</vt:lpstr>
      <vt:lpstr>calcCh4Prod3Slot2NoPromoVol</vt:lpstr>
      <vt:lpstr>calcCh4Prod3Slot2Pack</vt:lpstr>
      <vt:lpstr>calcCh4Prod3Slot2PackFitBase</vt:lpstr>
      <vt:lpstr>calcCh4Prod3Slot2PriceDif</vt:lpstr>
      <vt:lpstr>calcCh4Prod3Slot2Promo1CustPrice</vt:lpstr>
      <vt:lpstr>calcCh4Prod3Slot2Promo1CustProfPWeek</vt:lpstr>
      <vt:lpstr>calcCh4Prod3Slot2Promo1CustUplift</vt:lpstr>
      <vt:lpstr>calcCh4Prod3Slot2Promo1GPaLPUnit</vt:lpstr>
      <vt:lpstr>calcCh4Prod3Slot2Promo1GPaLPWeek</vt:lpstr>
      <vt:lpstr>calcCh4Prod3Slot2Promo1GPaLUplift</vt:lpstr>
      <vt:lpstr>calcCh4Prod3Slot2Promo1Plan</vt:lpstr>
      <vt:lpstr>calcCh4Prod3Slot2Promo1PlanEmp1Req</vt:lpstr>
      <vt:lpstr>calcCh4Prod3Slot2Promo1PlanExp</vt:lpstr>
      <vt:lpstr>calcCh4Prod3Slot2Promo1PlanShare</vt:lpstr>
      <vt:lpstr>calcCh4Prod3Slot2Promo1PricePLitre</vt:lpstr>
      <vt:lpstr>calcCh4Prod3Slot2Promo1ROI</vt:lpstr>
      <vt:lpstr>calcCh4Prod3Slot2Promo1Seg1Efficiency</vt:lpstr>
      <vt:lpstr>calcCh4Prod3Slot2Promo1Seg1Fit</vt:lpstr>
      <vt:lpstr>calcCh4Prod3Slot2Promo1Seg1Share</vt:lpstr>
      <vt:lpstr>calcCh4Prod3Slot2Promo1Seg2Efficiency</vt:lpstr>
      <vt:lpstr>calcCh4Prod3Slot2Promo1Seg2Fit</vt:lpstr>
      <vt:lpstr>calcCh4Prod3Slot2Promo1Seg2Share</vt:lpstr>
      <vt:lpstr>calcCh4Prod3Slot2Promo1Seg3Efficiency</vt:lpstr>
      <vt:lpstr>calcCh4Prod3Slot2Promo1Seg3Fit</vt:lpstr>
      <vt:lpstr>calcCh4Prod3Slot2Promo1Seg3Share</vt:lpstr>
      <vt:lpstr>calcCh4Prod3Slot2Promo1Seg4Efficiency</vt:lpstr>
      <vt:lpstr>calcCh4Prod3Slot2Promo1Seg4Fit</vt:lpstr>
      <vt:lpstr>calcCh4Prod3Slot2Promo1Seg4Share</vt:lpstr>
      <vt:lpstr>calcCh4Prod3Slot2Promo1Vol</vt:lpstr>
      <vt:lpstr>calcCh4Prod3Slot2Promo1VolPWeek</vt:lpstr>
      <vt:lpstr>calcCh4Prod3Slot2Promo1VolUplift</vt:lpstr>
      <vt:lpstr>calcCh4Prod3Slot2Promo1Weeks</vt:lpstr>
      <vt:lpstr>calcCh4Prod3Slot2Seg1PackFit</vt:lpstr>
      <vt:lpstr>calcCh4Prod3Slot2Seg2PackFit</vt:lpstr>
      <vt:lpstr>calcCh4Prod3Slot2Seg3PackFit</vt:lpstr>
      <vt:lpstr>calcCh4Prod3Slot2Seg4PackFit</vt:lpstr>
      <vt:lpstr>calcCh4Prod3Slot2ShelfPrice</vt:lpstr>
      <vt:lpstr>calcCh4Prod3Slot2TotalVolSold</vt:lpstr>
      <vt:lpstr>calcCh4Prod3Slot2ValDrivExp</vt:lpstr>
      <vt:lpstr>calcCh4Prod3Slot2VolForecastSlot</vt:lpstr>
      <vt:lpstr>calcCh4Prod3Slot2WD</vt:lpstr>
      <vt:lpstr>calcCh4Prod3Slot3Active</vt:lpstr>
      <vt:lpstr>calcCh4Prod3Slot3AvgPrice</vt:lpstr>
      <vt:lpstr>calcCh4Prod3Slot3AvgSalePrice</vt:lpstr>
      <vt:lpstr>calcCh4Prod3Slot3BaseCustProfPWeek</vt:lpstr>
      <vt:lpstr>calcCh4Prod3Slot3BaseCustUplift</vt:lpstr>
      <vt:lpstr>calcCh4Prod3Slot3BaseGPaLPUnit</vt:lpstr>
      <vt:lpstr>calcCh4Prod3Slot3BaseGPaLPWeek</vt:lpstr>
      <vt:lpstr>calcCh4Prod3Slot3BaseVolPWeek</vt:lpstr>
      <vt:lpstr>calcCh4Prod3Slot3ChVolShare</vt:lpstr>
      <vt:lpstr>calcCh4Prod3Slot3CustPrice</vt:lpstr>
      <vt:lpstr>calcCh4Prod3Slot3CustProfitBase</vt:lpstr>
      <vt:lpstr>calcCh4Prod3Slot3CustProfitBaseMarginAbs</vt:lpstr>
      <vt:lpstr>calcCh4Prod3Slot3CustProfitBaseMarginPct</vt:lpstr>
      <vt:lpstr>calcCh4Prod3Slot3CustProfitBaseVol</vt:lpstr>
      <vt:lpstr>calcCh4Prod3Slot3CustProfitPromo1</vt:lpstr>
      <vt:lpstr>calcCh4Prod3Slot3CustProfitPromo1MarginAbs</vt:lpstr>
      <vt:lpstr>calcCh4Prod3Slot3CustProfitPromo1Vol</vt:lpstr>
      <vt:lpstr>calcCh4Prod3Slot3CustProfitTot</vt:lpstr>
      <vt:lpstr>CalcCh4Prod3Slot3Depreciation</vt:lpstr>
      <vt:lpstr>CalcCh4Prod3Slot3DepreciationPUnit</vt:lpstr>
      <vt:lpstr>CalcCh4Prod3Slot3ManufacturingCostPUnit</vt:lpstr>
      <vt:lpstr>calcCh4Prod3Slot3NoPromoPricePLitre</vt:lpstr>
      <vt:lpstr>calcCh4Prod3Slot3NoPromoVol</vt:lpstr>
      <vt:lpstr>calcCh4Prod3Slot3Pack</vt:lpstr>
      <vt:lpstr>calcCh4Prod3Slot3PackFitBase</vt:lpstr>
      <vt:lpstr>calcCh4Prod3Slot3PriceDif</vt:lpstr>
      <vt:lpstr>calcCh4Prod3Slot3Promo1CustPrice</vt:lpstr>
      <vt:lpstr>calcCh4Prod3Slot3Promo1CustProfPWeek</vt:lpstr>
      <vt:lpstr>calcCh4Prod3Slot3Promo1CustUplift</vt:lpstr>
      <vt:lpstr>calcCh4Prod3Slot3Promo1GPaLPUnit</vt:lpstr>
      <vt:lpstr>calcCh4Prod3Slot3Promo1GPaLPWeek</vt:lpstr>
      <vt:lpstr>calcCh4Prod3Slot3Promo1GPaLUplift</vt:lpstr>
      <vt:lpstr>calcCh4Prod3Slot3Promo1Plan</vt:lpstr>
      <vt:lpstr>calcCh4Prod3Slot3Promo1PlanEmp1Req</vt:lpstr>
      <vt:lpstr>calcCh4Prod3Slot3Promo1PlanExp</vt:lpstr>
      <vt:lpstr>calcCh4Prod3Slot3Promo1PlanShare</vt:lpstr>
      <vt:lpstr>calcCh4Prod3Slot3Promo1PricePLitre</vt:lpstr>
      <vt:lpstr>calcCh4Prod3Slot3Promo1ROI</vt:lpstr>
      <vt:lpstr>calcCh4Prod3Slot3Promo1Seg1Efficiency</vt:lpstr>
      <vt:lpstr>calcCh4Prod3Slot3Promo1Seg1Fit</vt:lpstr>
      <vt:lpstr>calcCh4Prod3Slot3Promo1Seg1Share</vt:lpstr>
      <vt:lpstr>calcCh4Prod3Slot3Promo1Seg2Efficiency</vt:lpstr>
      <vt:lpstr>calcCh4Prod3Slot3Promo1Seg2Fit</vt:lpstr>
      <vt:lpstr>calcCh4Prod3Slot3Promo1Seg2Share</vt:lpstr>
      <vt:lpstr>calcCh4Prod3Slot3Promo1Seg3Efficiency</vt:lpstr>
      <vt:lpstr>calcCh4Prod3Slot3Promo1Seg3Fit</vt:lpstr>
      <vt:lpstr>calcCh4Prod3Slot3Promo1Seg3Share</vt:lpstr>
      <vt:lpstr>calcCh4Prod3Slot3Promo1Seg4Efficiency</vt:lpstr>
      <vt:lpstr>calcCh4Prod3Slot3Promo1Seg4Fit</vt:lpstr>
      <vt:lpstr>calcCh4Prod3Slot3Promo1Seg4Share</vt:lpstr>
      <vt:lpstr>calcCh4Prod3Slot3Promo1Vol</vt:lpstr>
      <vt:lpstr>calcCh4Prod3Slot3Promo1VolPWeek</vt:lpstr>
      <vt:lpstr>calcCh4Prod3Slot3Promo1VolUplift</vt:lpstr>
      <vt:lpstr>calcCh4Prod3Slot3Promo1Weeks</vt:lpstr>
      <vt:lpstr>calcCh4Prod3Slot3Seg1PackFit</vt:lpstr>
      <vt:lpstr>calcCh4Prod3Slot3Seg2PackFit</vt:lpstr>
      <vt:lpstr>calcCh4Prod3Slot3Seg3PackFit</vt:lpstr>
      <vt:lpstr>calcCh4Prod3Slot3Seg4PackFit</vt:lpstr>
      <vt:lpstr>calcCh4Prod3Slot3ShelfPrice</vt:lpstr>
      <vt:lpstr>calcCh4Prod3Slot3TotalVolSold</vt:lpstr>
      <vt:lpstr>calcCh4Prod3Slot3ValDrivExp</vt:lpstr>
      <vt:lpstr>calcCh4Prod3Slot3VolForecastSlot</vt:lpstr>
      <vt:lpstr>calcCh4Prod3Slot3WD</vt:lpstr>
      <vt:lpstr>calcCh4Prod3SlotsEnd</vt:lpstr>
      <vt:lpstr>calcCh4Prod3SlotsNew</vt:lpstr>
      <vt:lpstr>calcCh4Prod3SlotsNextEmp1Req</vt:lpstr>
      <vt:lpstr>calcCh4Prod3SlotsNextExp</vt:lpstr>
      <vt:lpstr>calcCh4Prod3SlotsStart</vt:lpstr>
      <vt:lpstr>calcCh4Prod3SlotsTotEmp1Req</vt:lpstr>
      <vt:lpstr>calcCh4Prod3SlotsTotExp</vt:lpstr>
      <vt:lpstr>calcCh4Prod3SlotTotActive</vt:lpstr>
      <vt:lpstr>calcCh4Prod3TotalVolSold</vt:lpstr>
      <vt:lpstr>calcCh4Prod3VolForecastProd</vt:lpstr>
      <vt:lpstr>calcCh4Prod3VolSoldNoPromo</vt:lpstr>
      <vt:lpstr>calcCh4Prod3VolSoldPromo1</vt:lpstr>
      <vt:lpstr>calcCh4Prod4AvgCustPrice</vt:lpstr>
      <vt:lpstr>calcCh4Prod4AvgPrice</vt:lpstr>
      <vt:lpstr>calcCh4Prod4AvgPricePromo1</vt:lpstr>
      <vt:lpstr>calcCh4Prod4AvgPromoPrice</vt:lpstr>
      <vt:lpstr>calcCh4Prod4CustProfitTot</vt:lpstr>
      <vt:lpstr>calcCh4Prod4PromoROIavg</vt:lpstr>
      <vt:lpstr>calcCh4Prod4Seg1AssortmentFit</vt:lpstr>
      <vt:lpstr>calcCh4Prod4Seg2AssortmentFit</vt:lpstr>
      <vt:lpstr>calcCh4Prod4Seg3AssortmentFit</vt:lpstr>
      <vt:lpstr>calcCh4Prod4Seg4AssortmentFit</vt:lpstr>
      <vt:lpstr>calcCh4Prod4Slot1Active</vt:lpstr>
      <vt:lpstr>calcCh4Prod4Slot1AvgPrice</vt:lpstr>
      <vt:lpstr>calcCh4Prod4Slot1AvgSalePrice</vt:lpstr>
      <vt:lpstr>calcCh4Prod4Slot1BaseCustProfPWeek</vt:lpstr>
      <vt:lpstr>calcCh4Prod4Slot1BaseCustUplift</vt:lpstr>
      <vt:lpstr>calcCh4Prod4Slot1BaseGPaLPUnit</vt:lpstr>
      <vt:lpstr>calcCh4Prod4Slot1BaseGPaLPWeek</vt:lpstr>
      <vt:lpstr>calcCh4Prod4Slot1BaseVolPWeek</vt:lpstr>
      <vt:lpstr>calcCh4Prod4Slot1ChVolShare</vt:lpstr>
      <vt:lpstr>calcCh4Prod4Slot1CustPrice</vt:lpstr>
      <vt:lpstr>calcCh4Prod4Slot1CustProfitBase</vt:lpstr>
      <vt:lpstr>calcCh4Prod4Slot1CustProfitBaseMarginAbs</vt:lpstr>
      <vt:lpstr>calcCh4Prod4Slot1CustProfitBaseMarginPct</vt:lpstr>
      <vt:lpstr>calcCh4Prod4Slot1CustProfitBaseVol</vt:lpstr>
      <vt:lpstr>calcCh4Prod4Slot1CustProfitPromo1</vt:lpstr>
      <vt:lpstr>calcCh4Prod4Slot1CustProfitPromo1MarginAbs</vt:lpstr>
      <vt:lpstr>calcCh4Prod4Slot1CustProfitPromo1Vol</vt:lpstr>
      <vt:lpstr>calcCh4Prod4Slot1CustProfitTot</vt:lpstr>
      <vt:lpstr>CalcCh4Prod4Slot1Depreciation</vt:lpstr>
      <vt:lpstr>CalcCh4Prod4Slot1DepreciationPUnit</vt:lpstr>
      <vt:lpstr>CalcCh4Prod4Slot1ManufacturingCostPUnit</vt:lpstr>
      <vt:lpstr>calcCh4Prod4Slot1NoPromoPricePLitre</vt:lpstr>
      <vt:lpstr>calcCh4Prod4Slot1NoPromoVol</vt:lpstr>
      <vt:lpstr>calcCh4Prod4Slot1Pack</vt:lpstr>
      <vt:lpstr>calcCh4Prod4Slot1PackFitBase</vt:lpstr>
      <vt:lpstr>calcCh4Prod4Slot1PriceDif</vt:lpstr>
      <vt:lpstr>calcCh4Prod4Slot1Promo1CustPrice</vt:lpstr>
      <vt:lpstr>calcCh4Prod4Slot1Promo1CustProfPWeek</vt:lpstr>
      <vt:lpstr>calcCh4Prod4Slot1Promo1CustUplift</vt:lpstr>
      <vt:lpstr>calcCh4Prod4Slot1Promo1GPaLPUnit</vt:lpstr>
      <vt:lpstr>calcCh4Prod4Slot1Promo1GPaLPWeek</vt:lpstr>
      <vt:lpstr>calcCh4Prod4Slot1Promo1GPaLUplift</vt:lpstr>
      <vt:lpstr>calcCh4Prod4Slot1Promo1Plan</vt:lpstr>
      <vt:lpstr>calcCh4Prod4Slot1Promo1PlanEmp1Req</vt:lpstr>
      <vt:lpstr>calcCh4Prod4Slot1Promo1PlanExp</vt:lpstr>
      <vt:lpstr>calcCh4Prod4Slot1Promo1PlanShare</vt:lpstr>
      <vt:lpstr>calcCh4Prod4Slot1Promo1PricePLitre</vt:lpstr>
      <vt:lpstr>calcCh4Prod4Slot1Promo1ROI</vt:lpstr>
      <vt:lpstr>calcCh4Prod4Slot1Promo1Seg1Efficiency</vt:lpstr>
      <vt:lpstr>calcCh4Prod4Slot1Promo1Seg1Fit</vt:lpstr>
      <vt:lpstr>calcCh4Prod4Slot1Promo1Seg1Share</vt:lpstr>
      <vt:lpstr>calcCh4Prod4Slot1Promo1Seg2Efficiency</vt:lpstr>
      <vt:lpstr>calcCh4Prod4Slot1Promo1Seg2Fit</vt:lpstr>
      <vt:lpstr>calcCh4Prod4Slot1Promo1Seg2Share</vt:lpstr>
      <vt:lpstr>calcCh4Prod4Slot1Promo1Seg3Efficiency</vt:lpstr>
      <vt:lpstr>calcCh4Prod4Slot1Promo1Seg3Fit</vt:lpstr>
      <vt:lpstr>calcCh4Prod4Slot1Promo1Seg3Share</vt:lpstr>
      <vt:lpstr>calcCh4Prod4Slot1Promo1Seg4Efficiency</vt:lpstr>
      <vt:lpstr>calcCh4Prod4Slot1Promo1Seg4Fit</vt:lpstr>
      <vt:lpstr>calcCh4Prod4Slot1Promo1Seg4Share</vt:lpstr>
      <vt:lpstr>calcCh4Prod4Slot1Promo1Vol</vt:lpstr>
      <vt:lpstr>calcCh4Prod4Slot1Promo1VolPWeek</vt:lpstr>
      <vt:lpstr>calcCh4Prod4Slot1Promo1VolUplift</vt:lpstr>
      <vt:lpstr>calcCh4Prod4Slot1Promo1Weeks</vt:lpstr>
      <vt:lpstr>calcCh4Prod4Slot1Seg1PackFit</vt:lpstr>
      <vt:lpstr>calcCh4Prod4Slot1Seg2PackFit</vt:lpstr>
      <vt:lpstr>calcCh4Prod4Slot1Seg3PackFit</vt:lpstr>
      <vt:lpstr>calcCh4Prod4Slot1Seg4PackFit</vt:lpstr>
      <vt:lpstr>calcCh4Prod4Slot1ShelfPrice</vt:lpstr>
      <vt:lpstr>calcCh4Prod4Slot1TotalVolSold</vt:lpstr>
      <vt:lpstr>calcCh4Prod4Slot1ValDrivExp</vt:lpstr>
      <vt:lpstr>calcCh4Prod4Slot1VolForecastSlot</vt:lpstr>
      <vt:lpstr>calcCh4Prod4Slot1WD</vt:lpstr>
      <vt:lpstr>calcCh4Prod4Slot2Active</vt:lpstr>
      <vt:lpstr>calcCh4Prod4Slot2AvgPrice</vt:lpstr>
      <vt:lpstr>calcCh4Prod4Slot2AvgSalePrice</vt:lpstr>
      <vt:lpstr>calcCh4Prod4Slot2BaseCustProfPWeek</vt:lpstr>
      <vt:lpstr>calcCh4Prod4Slot2BaseCustUplift</vt:lpstr>
      <vt:lpstr>calcCh4Prod4Slot2BaseGPaLPUnit</vt:lpstr>
      <vt:lpstr>calcCh4Prod4Slot2BaseGPaLPWeek</vt:lpstr>
      <vt:lpstr>calcCh4Prod4Slot2BaseVolPWeek</vt:lpstr>
      <vt:lpstr>calcCh4Prod4Slot2ChVolShare</vt:lpstr>
      <vt:lpstr>calcCh4Prod4Slot2CustPrice</vt:lpstr>
      <vt:lpstr>calcCh4Prod4Slot2CustProfitBase</vt:lpstr>
      <vt:lpstr>calcCh4Prod4Slot2CustProfitBaseMarginAbs</vt:lpstr>
      <vt:lpstr>calcCh4Prod4Slot2CustProfitBaseMarginPct</vt:lpstr>
      <vt:lpstr>calcCh4Prod4Slot2CustProfitBaseVol</vt:lpstr>
      <vt:lpstr>calcCh4Prod4Slot2CustProfitPromo1</vt:lpstr>
      <vt:lpstr>calcCh4Prod4Slot2CustProfitPromo1MarginAbs</vt:lpstr>
      <vt:lpstr>calcCh4Prod4Slot2CustProfitPromo1Vol</vt:lpstr>
      <vt:lpstr>calcCh4Prod4Slot2CustProfitTot</vt:lpstr>
      <vt:lpstr>CalcCh4Prod4Slot2Depreciation</vt:lpstr>
      <vt:lpstr>CalcCh4Prod4Slot2DepreciationPUnit</vt:lpstr>
      <vt:lpstr>CalcCh4Prod4Slot2ManufacturingCostPUnit</vt:lpstr>
      <vt:lpstr>calcCh4Prod4Slot2NoPromoPricePLitre</vt:lpstr>
      <vt:lpstr>calcCh4Prod4Slot2NoPromoVol</vt:lpstr>
      <vt:lpstr>calcCh4Prod4Slot2Pack</vt:lpstr>
      <vt:lpstr>calcCh4Prod4Slot2PackFitBase</vt:lpstr>
      <vt:lpstr>calcCh4Prod4Slot2PriceDif</vt:lpstr>
      <vt:lpstr>calcCh4Prod4Slot2Promo1CustPrice</vt:lpstr>
      <vt:lpstr>calcCh4Prod4Slot2Promo1CustProfPWeek</vt:lpstr>
      <vt:lpstr>calcCh4Prod4Slot2Promo1CustUplift</vt:lpstr>
      <vt:lpstr>calcCh4Prod4Slot2Promo1GPaLPUnit</vt:lpstr>
      <vt:lpstr>calcCh4Prod4Slot2Promo1GPaLPWeek</vt:lpstr>
      <vt:lpstr>calcCh4Prod4Slot2Promo1GPaLUplift</vt:lpstr>
      <vt:lpstr>calcCh4Prod4Slot2Promo1Plan</vt:lpstr>
      <vt:lpstr>calcCh4Prod4Slot2Promo1PlanEmp1Req</vt:lpstr>
      <vt:lpstr>calcCh4Prod4Slot2Promo1PlanExp</vt:lpstr>
      <vt:lpstr>calcCh4Prod4Slot2Promo1PlanShare</vt:lpstr>
      <vt:lpstr>calcCh4Prod4Slot2Promo1PricePLitre</vt:lpstr>
      <vt:lpstr>calcCh4Prod4Slot2Promo1ROI</vt:lpstr>
      <vt:lpstr>calcCh4Prod4Slot2Promo1Seg1Efficiency</vt:lpstr>
      <vt:lpstr>calcCh4Prod4Slot2Promo1Seg1Fit</vt:lpstr>
      <vt:lpstr>calcCh4Prod4Slot2Promo1Seg1Share</vt:lpstr>
      <vt:lpstr>calcCh4Prod4Slot2Promo1Seg2Efficiency</vt:lpstr>
      <vt:lpstr>calcCh4Prod4Slot2Promo1Seg2Fit</vt:lpstr>
      <vt:lpstr>calcCh4Prod4Slot2Promo1Seg2Share</vt:lpstr>
      <vt:lpstr>calcCh4Prod4Slot2Promo1Seg3Efficiency</vt:lpstr>
      <vt:lpstr>calcCh4Prod4Slot2Promo1Seg3Fit</vt:lpstr>
      <vt:lpstr>calcCh4Prod4Slot2Promo1Seg3Share</vt:lpstr>
      <vt:lpstr>calcCh4Prod4Slot2Promo1Seg4Efficiency</vt:lpstr>
      <vt:lpstr>calcCh4Prod4Slot2Promo1Seg4Fit</vt:lpstr>
      <vt:lpstr>calcCh4Prod4Slot2Promo1Seg4Share</vt:lpstr>
      <vt:lpstr>calcCh4Prod4Slot2Promo1Vol</vt:lpstr>
      <vt:lpstr>calcCh4Prod4Slot2Promo1VolPWeek</vt:lpstr>
      <vt:lpstr>calcCh4Prod4Slot2Promo1VolUplift</vt:lpstr>
      <vt:lpstr>calcCh4Prod4Slot2Promo1Weeks</vt:lpstr>
      <vt:lpstr>calcCh4Prod4Slot2Seg1PackFit</vt:lpstr>
      <vt:lpstr>calcCh4Prod4Slot2Seg2PackFit</vt:lpstr>
      <vt:lpstr>calcCh4Prod4Slot2Seg3PackFit</vt:lpstr>
      <vt:lpstr>calcCh4Prod4Slot2Seg4PackFit</vt:lpstr>
      <vt:lpstr>calcCh4Prod4Slot2ShelfPrice</vt:lpstr>
      <vt:lpstr>calcCh4Prod4Slot2TotalVolSold</vt:lpstr>
      <vt:lpstr>calcCh4Prod4Slot2ValDrivExp</vt:lpstr>
      <vt:lpstr>calcCh4Prod4Slot2VolForecastSlot</vt:lpstr>
      <vt:lpstr>calcCh4Prod4Slot2WD</vt:lpstr>
      <vt:lpstr>calcCh4Prod4Slot3Active</vt:lpstr>
      <vt:lpstr>calcCh4Prod4Slot3AvgPrice</vt:lpstr>
      <vt:lpstr>calcCh4Prod4Slot3AvgSalePrice</vt:lpstr>
      <vt:lpstr>calcCh4Prod4Slot3BaseCustProfPWeek</vt:lpstr>
      <vt:lpstr>calcCh4Prod4Slot3BaseCustUplift</vt:lpstr>
      <vt:lpstr>calcCh4Prod4Slot3BaseGPaLPUnit</vt:lpstr>
      <vt:lpstr>calcCh4Prod4Slot3BaseGPaLPWeek</vt:lpstr>
      <vt:lpstr>calcCh4Prod4Slot3BaseVolPWeek</vt:lpstr>
      <vt:lpstr>calcCh4Prod4Slot3ChVolShare</vt:lpstr>
      <vt:lpstr>calcCh4Prod4Slot3CustPrice</vt:lpstr>
      <vt:lpstr>calcCh4Prod4Slot3CustProfitBase</vt:lpstr>
      <vt:lpstr>calcCh4Prod4Slot3CustProfitBaseMarginAbs</vt:lpstr>
      <vt:lpstr>calcCh4Prod4Slot3CustProfitBaseMarginPct</vt:lpstr>
      <vt:lpstr>calcCh4Prod4Slot3CustProfitBaseVol</vt:lpstr>
      <vt:lpstr>calcCh4Prod4Slot3CustProfitPromo1</vt:lpstr>
      <vt:lpstr>calcCh4Prod4Slot3CustProfitPromo1MarginAbs</vt:lpstr>
      <vt:lpstr>calcCh4Prod4Slot3CustProfitPromo1Vol</vt:lpstr>
      <vt:lpstr>calcCh4Prod4Slot3CustProfitTot</vt:lpstr>
      <vt:lpstr>CalcCh4Prod4Slot3Depreciation</vt:lpstr>
      <vt:lpstr>CalcCh4Prod4Slot3DepreciationPUnit</vt:lpstr>
      <vt:lpstr>CalcCh4Prod4Slot3ManufacturingCostPUnit</vt:lpstr>
      <vt:lpstr>calcCh4Prod4Slot3NoPromoPricePLitre</vt:lpstr>
      <vt:lpstr>calcCh4Prod4Slot3NoPromoVol</vt:lpstr>
      <vt:lpstr>calcCh4Prod4Slot3Pack</vt:lpstr>
      <vt:lpstr>calcCh4Prod4Slot3PackFitBase</vt:lpstr>
      <vt:lpstr>calcCh4Prod4Slot3PriceDif</vt:lpstr>
      <vt:lpstr>calcCh4Prod4Slot3Promo1CustPrice</vt:lpstr>
      <vt:lpstr>calcCh4Prod4Slot3Promo1CustProfPWeek</vt:lpstr>
      <vt:lpstr>calcCh4Prod4Slot3Promo1CustUplift</vt:lpstr>
      <vt:lpstr>calcCh4Prod4Slot3Promo1GPaLPUnit</vt:lpstr>
      <vt:lpstr>calcCh4Prod4Slot3Promo1GPaLPWeek</vt:lpstr>
      <vt:lpstr>calcCh4Prod4Slot3Promo1GPaLUplift</vt:lpstr>
      <vt:lpstr>calcCh4Prod4Slot3Promo1Plan</vt:lpstr>
      <vt:lpstr>calcCh4Prod4Slot3Promo1PlanEmp1Req</vt:lpstr>
      <vt:lpstr>calcCh4Prod4Slot3Promo1PlanExp</vt:lpstr>
      <vt:lpstr>calcCh4Prod4Slot3Promo1PlanShare</vt:lpstr>
      <vt:lpstr>calcCh4Prod4Slot3Promo1PricePLitre</vt:lpstr>
      <vt:lpstr>calcCh4Prod4Slot3Promo1ROI</vt:lpstr>
      <vt:lpstr>calcCh4Prod4Slot3Promo1Seg1Efficiency</vt:lpstr>
      <vt:lpstr>calcCh4Prod4Slot3Promo1Seg1Fit</vt:lpstr>
      <vt:lpstr>calcCh4Prod4Slot3Promo1Seg1Share</vt:lpstr>
      <vt:lpstr>calcCh4Prod4Slot3Promo1Seg2Efficiency</vt:lpstr>
      <vt:lpstr>calcCh4Prod4Slot3Promo1Seg2Fit</vt:lpstr>
      <vt:lpstr>calcCh4Prod4Slot3Promo1Seg2Share</vt:lpstr>
      <vt:lpstr>calcCh4Prod4Slot3Promo1Seg3Efficiency</vt:lpstr>
      <vt:lpstr>calcCh4Prod4Slot3Promo1Seg3Fit</vt:lpstr>
      <vt:lpstr>calcCh4Prod4Slot3Promo1Seg3Share</vt:lpstr>
      <vt:lpstr>calcCh4Prod4Slot3Promo1Seg4Efficiency</vt:lpstr>
      <vt:lpstr>calcCh4Prod4Slot3Promo1Seg4Fit</vt:lpstr>
      <vt:lpstr>calcCh4Prod4Slot3Promo1Seg4Share</vt:lpstr>
      <vt:lpstr>calcCh4Prod4Slot3Promo1Vol</vt:lpstr>
      <vt:lpstr>calcCh4Prod4Slot3Promo1VolPWeek</vt:lpstr>
      <vt:lpstr>calcCh4Prod4Slot3Promo1VolUplift</vt:lpstr>
      <vt:lpstr>calcCh4Prod4Slot3Promo1Weeks</vt:lpstr>
      <vt:lpstr>calcCh4Prod4Slot3Seg1PackFit</vt:lpstr>
      <vt:lpstr>calcCh4Prod4Slot3Seg2PackFit</vt:lpstr>
      <vt:lpstr>calcCh4Prod4Slot3Seg3PackFit</vt:lpstr>
      <vt:lpstr>calcCh4Prod4Slot3Seg4PackFit</vt:lpstr>
      <vt:lpstr>calcCh4Prod4Slot3ShelfPrice</vt:lpstr>
      <vt:lpstr>calcCh4Prod4Slot3TotalVolSold</vt:lpstr>
      <vt:lpstr>calcCh4Prod4Slot3ValDrivExp</vt:lpstr>
      <vt:lpstr>calcCh4Prod4Slot3VolForecastSlot</vt:lpstr>
      <vt:lpstr>calcCh4Prod4Slot3WD</vt:lpstr>
      <vt:lpstr>calcCh4Prod4SlotsEnd</vt:lpstr>
      <vt:lpstr>calcCh4Prod4SlotsNew</vt:lpstr>
      <vt:lpstr>calcCh4Prod4SlotsNextEmp1Req</vt:lpstr>
      <vt:lpstr>calcCh4Prod4SlotsNextExp</vt:lpstr>
      <vt:lpstr>calcCh4Prod4SlotsStart</vt:lpstr>
      <vt:lpstr>calcCh4Prod4SlotsTotEmp1Req</vt:lpstr>
      <vt:lpstr>calcCh4Prod4SlotsTotExp</vt:lpstr>
      <vt:lpstr>calcCh4Prod4SlotTotActive</vt:lpstr>
      <vt:lpstr>calcCh4Prod4TotalVolSold</vt:lpstr>
      <vt:lpstr>calcCh4Prod4VolForecastProd</vt:lpstr>
      <vt:lpstr>calcCh4Prod4VolSoldNoPromo</vt:lpstr>
      <vt:lpstr>calcCh4Prod4VolSoldPromo1</vt:lpstr>
      <vt:lpstr>calcCh4Promo1PlanEmp1ReqTot</vt:lpstr>
      <vt:lpstr>calcCh4Promo1PlanExpTot</vt:lpstr>
      <vt:lpstr>calcCh4PromoRoiAvg</vt:lpstr>
      <vt:lpstr>calcCh4PromoWeeks</vt:lpstr>
      <vt:lpstr>calcCh4PromoWeeksAvail</vt:lpstr>
      <vt:lpstr>calcCh4PromoWeeksMax</vt:lpstr>
      <vt:lpstr>calcCh4PromoWeeksUsed</vt:lpstr>
      <vt:lpstr>calcCh4SlotMaxReached</vt:lpstr>
      <vt:lpstr>calcCh4SlotsNextEmp1Req</vt:lpstr>
      <vt:lpstr>calcCh4SlotsNextExp</vt:lpstr>
      <vt:lpstr>calcCh4SlotsTotEmp1Req</vt:lpstr>
      <vt:lpstr>calcCh4SlotsTotExp</vt:lpstr>
      <vt:lpstr>calcCh4SlotTotActive</vt:lpstr>
      <vt:lpstr>calcCh4TotalVolSold</vt:lpstr>
      <vt:lpstr>calcCh4ValDriv1</vt:lpstr>
      <vt:lpstr>calcCh4ValDriv1AccEnd</vt:lpstr>
      <vt:lpstr>calcCh4ValDriv1AccStart</vt:lpstr>
      <vt:lpstr>calcCh4ValDriv1Emp1Req</vt:lpstr>
      <vt:lpstr>calcCh4ValDriv1Exp</vt:lpstr>
      <vt:lpstr>calcCh4ValDriv2</vt:lpstr>
      <vt:lpstr>calcCh4ValDriv2AccEnd</vt:lpstr>
      <vt:lpstr>calcCh4ValDriv2AccStart</vt:lpstr>
      <vt:lpstr>calcCh4ValDriv2Emp1Req</vt:lpstr>
      <vt:lpstr>calcCh4ValDriv2Exp</vt:lpstr>
      <vt:lpstr>calcCh4ValDriv3</vt:lpstr>
      <vt:lpstr>calcCh4ValDriv3AccEnd</vt:lpstr>
      <vt:lpstr>calcCh4ValDriv3AccStart</vt:lpstr>
      <vt:lpstr>calcCh4ValDriv3Emp1Req</vt:lpstr>
      <vt:lpstr>calcCh4ValDriv3Exp</vt:lpstr>
      <vt:lpstr>calcCh4ValDriv4</vt:lpstr>
      <vt:lpstr>calcCh4ValDriv4AccEnd</vt:lpstr>
      <vt:lpstr>calcCh4ValDriv4AccEndMMScore</vt:lpstr>
      <vt:lpstr>calcCh4ValDriv4AccStart</vt:lpstr>
      <vt:lpstr>calcCh4ValDriv4Emp1Req</vt:lpstr>
      <vt:lpstr>calcCh4ValDriv4Exp</vt:lpstr>
      <vt:lpstr>calcCh4ValDriv5</vt:lpstr>
      <vt:lpstr>calcCh4ValDriv5AccEnd</vt:lpstr>
      <vt:lpstr>calcCh4ValDriv5AccStart</vt:lpstr>
      <vt:lpstr>calcCh4ValDriv5Emp1Req</vt:lpstr>
      <vt:lpstr>calcCh4ValDriv5Exp</vt:lpstr>
      <vt:lpstr>calcCh4ValDriv5MMScore</vt:lpstr>
      <vt:lpstr>calcCh4ValDrivCond</vt:lpstr>
      <vt:lpstr>calcCh4ValDrivCondEmp1Req</vt:lpstr>
      <vt:lpstr>calcCh4ValDrivCondExp</vt:lpstr>
      <vt:lpstr>calcCh4ValDrivEmp1ReqTot</vt:lpstr>
      <vt:lpstr>calcCh4ValDrivExpTot</vt:lpstr>
      <vt:lpstr>calcCh4Vt</vt:lpstr>
      <vt:lpstr>calcCh4VtCode</vt:lpstr>
      <vt:lpstr>calcCh4WDAccInv</vt:lpstr>
      <vt:lpstr>calcCh4WDValDriv1</vt:lpstr>
      <vt:lpstr>calcCh4WeightedAvgPrice</vt:lpstr>
      <vt:lpstr>calcCustProfitTot</vt:lpstr>
      <vt:lpstr>CalcEmp1AdminExp</vt:lpstr>
      <vt:lpstr>CalcEmp1Att</vt:lpstr>
      <vt:lpstr>CalcEmp1End</vt:lpstr>
      <vt:lpstr>CalcEmp1Exp</vt:lpstr>
      <vt:lpstr>calcEmp1Open</vt:lpstr>
      <vt:lpstr>calcEmp1Rec</vt:lpstr>
      <vt:lpstr>CalcEmp1RecDismExp</vt:lpstr>
      <vt:lpstr>CalcEmp1Req</vt:lpstr>
      <vt:lpstr>CalcEmp1Unassigned</vt:lpstr>
      <vt:lpstr>CalcEmp1Utiliz</vt:lpstr>
      <vt:lpstr>calcMarkPlanEmp1ReqTot</vt:lpstr>
      <vt:lpstr>calcMarkPlanExpTot</vt:lpstr>
      <vt:lpstr>calcPackInnovation1</vt:lpstr>
      <vt:lpstr>calcPackInnovation1Emp1Req</vt:lpstr>
      <vt:lpstr>calcPackInnovation1Exp</vt:lpstr>
      <vt:lpstr>calcPackInnovation2</vt:lpstr>
      <vt:lpstr>calcPackInnovation2Emp1Req</vt:lpstr>
      <vt:lpstr>calcPackInnovation2Exp</vt:lpstr>
      <vt:lpstr>calcPackInnovationEmp1ReqTot</vt:lpstr>
      <vt:lpstr>calcPackInnovationExpTot</vt:lpstr>
      <vt:lpstr>CalcPlant1AtMaximum</vt:lpstr>
      <vt:lpstr>CalcPlant1CapitalLoss</vt:lpstr>
      <vt:lpstr>CalcPlant1Ch1Prod1Slot1Alloc</vt:lpstr>
      <vt:lpstr>CalcPlant1Ch1Prod1Slot1HoursReq</vt:lpstr>
      <vt:lpstr>CalcPlant1Ch1Prod1Slot1ManufacturingCost</vt:lpstr>
      <vt:lpstr>CalcPlant1Ch1Prod1Slot2Alloc</vt:lpstr>
      <vt:lpstr>CalcPlant1Ch1Prod1Slot2HoursReq</vt:lpstr>
      <vt:lpstr>CalcPlant1Ch1Prod1Slot2ManufacturingCost</vt:lpstr>
      <vt:lpstr>CalcPlant1Ch1Prod1Slot3Alloc</vt:lpstr>
      <vt:lpstr>CalcPlant1Ch1Prod1Slot3HoursReq</vt:lpstr>
      <vt:lpstr>CalcPlant1Ch1Prod1Slot3ManufacturingCost</vt:lpstr>
      <vt:lpstr>CalcPlant1Ch1Prod2Slot1Alloc</vt:lpstr>
      <vt:lpstr>CalcPlant1Ch1Prod2Slot1HoursReq</vt:lpstr>
      <vt:lpstr>CalcPlant1Ch1Prod2Slot1ManufacturingCost</vt:lpstr>
      <vt:lpstr>CalcPlant1Ch1Prod2Slot2Alloc</vt:lpstr>
      <vt:lpstr>CalcPlant1Ch1Prod2Slot2HoursReq</vt:lpstr>
      <vt:lpstr>CalcPlant1Ch1Prod2Slot2ManufacturingCost</vt:lpstr>
      <vt:lpstr>CalcPlant1Ch1Prod2Slot3Alloc</vt:lpstr>
      <vt:lpstr>CalcPlant1Ch1Prod2Slot3HoursReq</vt:lpstr>
      <vt:lpstr>CalcPlant1Ch1Prod2Slot3ManufacturingCost</vt:lpstr>
      <vt:lpstr>CalcPlant1Ch1Prod3Slot1Alloc</vt:lpstr>
      <vt:lpstr>CalcPlant1Ch1Prod3Slot1HoursReq</vt:lpstr>
      <vt:lpstr>CalcPlant1Ch1Prod3Slot1ManufacturingCost</vt:lpstr>
      <vt:lpstr>CalcPlant1Ch1Prod3Slot2Alloc</vt:lpstr>
      <vt:lpstr>CalcPlant1Ch1Prod3Slot2HoursReq</vt:lpstr>
      <vt:lpstr>CalcPlant1Ch1Prod3Slot2ManufacturingCost</vt:lpstr>
      <vt:lpstr>CalcPlant1Ch1Prod3Slot3Alloc</vt:lpstr>
      <vt:lpstr>CalcPlant1Ch1Prod3Slot3HoursReq</vt:lpstr>
      <vt:lpstr>CalcPlant1Ch1Prod3Slot3ManufacturingCost</vt:lpstr>
      <vt:lpstr>CalcPlant1Ch1Prod4Slot1Alloc</vt:lpstr>
      <vt:lpstr>CalcPlant1Ch1Prod4Slot1HoursReq</vt:lpstr>
      <vt:lpstr>CalcPlant1Ch1Prod4Slot1ManufacturingCost</vt:lpstr>
      <vt:lpstr>CalcPlant1Ch1Prod4Slot2Alloc</vt:lpstr>
      <vt:lpstr>CalcPlant1Ch1Prod4Slot2HoursReq</vt:lpstr>
      <vt:lpstr>CalcPlant1Ch1Prod4Slot2ManufacturingCost</vt:lpstr>
      <vt:lpstr>CalcPlant1Ch1Prod4Slot3Alloc</vt:lpstr>
      <vt:lpstr>CalcPlant1Ch1Prod4Slot3HoursReq</vt:lpstr>
      <vt:lpstr>CalcPlant1Ch1Prod4Slot3ManufacturingCost</vt:lpstr>
      <vt:lpstr>CalcPlant1Ch2Prod1Slot1Alloc</vt:lpstr>
      <vt:lpstr>CalcPlant1Ch2Prod1Slot1HoursReq</vt:lpstr>
      <vt:lpstr>CalcPlant1Ch2Prod1Slot1ManufacturingCost</vt:lpstr>
      <vt:lpstr>CalcPlant1Ch2Prod1Slot2Alloc</vt:lpstr>
      <vt:lpstr>CalcPlant1Ch2Prod1Slot2HoursReq</vt:lpstr>
      <vt:lpstr>CalcPlant1Ch2Prod1Slot2ManufacturingCost</vt:lpstr>
      <vt:lpstr>CalcPlant1Ch2Prod1Slot3Alloc</vt:lpstr>
      <vt:lpstr>CalcPlant1Ch2Prod1Slot3HoursReq</vt:lpstr>
      <vt:lpstr>CalcPlant1Ch2Prod1Slot3ManufacturingCost</vt:lpstr>
      <vt:lpstr>CalcPlant1Ch2Prod2Slot1Alloc</vt:lpstr>
      <vt:lpstr>CalcPlant1Ch2Prod2Slot1HoursReq</vt:lpstr>
      <vt:lpstr>CalcPlant1Ch2Prod2Slot1ManufacturingCost</vt:lpstr>
      <vt:lpstr>CalcPlant1Ch2Prod2Slot2Alloc</vt:lpstr>
      <vt:lpstr>CalcPlant1Ch2Prod2Slot2HoursReq</vt:lpstr>
      <vt:lpstr>CalcPlant1Ch2Prod2Slot2ManufacturingCost</vt:lpstr>
      <vt:lpstr>CalcPlant1Ch2Prod2Slot3Alloc</vt:lpstr>
      <vt:lpstr>CalcPlant1Ch2Prod2Slot3HoursReq</vt:lpstr>
      <vt:lpstr>CalcPlant1Ch2Prod2Slot3ManufacturingCost</vt:lpstr>
      <vt:lpstr>CalcPlant1Ch2Prod3Slot1Alloc</vt:lpstr>
      <vt:lpstr>CalcPlant1Ch2Prod3Slot1HoursReq</vt:lpstr>
      <vt:lpstr>CalcPlant1Ch2Prod3Slot1ManufacturingCost</vt:lpstr>
      <vt:lpstr>CalcPlant1Ch2Prod3Slot2Alloc</vt:lpstr>
      <vt:lpstr>CalcPlant1Ch2Prod3Slot2HoursReq</vt:lpstr>
      <vt:lpstr>CalcPlant1Ch2Prod3Slot2ManufacturingCost</vt:lpstr>
      <vt:lpstr>CalcPlant1Ch2Prod3Slot3Alloc</vt:lpstr>
      <vt:lpstr>CalcPlant1Ch2Prod3Slot3HoursReq</vt:lpstr>
      <vt:lpstr>CalcPlant1Ch2Prod3Slot3ManufacturingCost</vt:lpstr>
      <vt:lpstr>CalcPlant1Ch2Prod4Slot1Alloc</vt:lpstr>
      <vt:lpstr>CalcPlant1Ch2Prod4Slot1HoursReq</vt:lpstr>
      <vt:lpstr>CalcPlant1Ch2Prod4Slot1ManufacturingCost</vt:lpstr>
      <vt:lpstr>CalcPlant1Ch2Prod4Slot2Alloc</vt:lpstr>
      <vt:lpstr>CalcPlant1Ch2Prod4Slot2HoursReq</vt:lpstr>
      <vt:lpstr>CalcPlant1Ch2Prod4Slot2ManufacturingCost</vt:lpstr>
      <vt:lpstr>CalcPlant1Ch2Prod4Slot3Alloc</vt:lpstr>
      <vt:lpstr>CalcPlant1Ch2Prod4Slot3HoursReq</vt:lpstr>
      <vt:lpstr>CalcPlant1Ch2Prod4Slot3ManufacturingCost</vt:lpstr>
      <vt:lpstr>CalcPlant1Ch3Prod1Slot1Alloc</vt:lpstr>
      <vt:lpstr>CalcPlant1Ch3Prod1Slot1HoursReq</vt:lpstr>
      <vt:lpstr>CalcPlant1Ch3Prod1Slot1ManufacturingCost</vt:lpstr>
      <vt:lpstr>CalcPlant1Ch3Prod1Slot2Alloc</vt:lpstr>
      <vt:lpstr>CalcPlant1Ch3Prod1Slot2HoursReq</vt:lpstr>
      <vt:lpstr>CalcPlant1Ch3Prod1Slot2ManufacturingCost</vt:lpstr>
      <vt:lpstr>CalcPlant1Ch3Prod1Slot3Alloc</vt:lpstr>
      <vt:lpstr>CalcPlant1Ch3Prod1Slot3HoursReq</vt:lpstr>
      <vt:lpstr>CalcPlant1Ch3Prod1Slot3ManufacturingCost</vt:lpstr>
      <vt:lpstr>CalcPlant1Ch3Prod2Slot1Alloc</vt:lpstr>
      <vt:lpstr>CalcPlant1Ch3Prod2Slot1HoursReq</vt:lpstr>
      <vt:lpstr>CalcPlant1Ch3Prod2Slot1ManufacturingCost</vt:lpstr>
      <vt:lpstr>CalcPlant1Ch3Prod2Slot2Alloc</vt:lpstr>
      <vt:lpstr>CalcPlant1Ch3Prod2Slot2HoursReq</vt:lpstr>
      <vt:lpstr>CalcPlant1Ch3Prod2Slot2ManufacturingCost</vt:lpstr>
      <vt:lpstr>CalcPlant1Ch3Prod2Slot3Alloc</vt:lpstr>
      <vt:lpstr>CalcPlant1Ch3Prod2Slot3HoursReq</vt:lpstr>
      <vt:lpstr>CalcPlant1Ch3Prod2Slot3ManufacturingCost</vt:lpstr>
      <vt:lpstr>CalcPlant1Ch3Prod3Slot1Alloc</vt:lpstr>
      <vt:lpstr>CalcPlant1Ch3Prod3Slot1HoursReq</vt:lpstr>
      <vt:lpstr>CalcPlant1Ch3Prod3Slot1ManufacturingCost</vt:lpstr>
      <vt:lpstr>CalcPlant1Ch3Prod3Slot2Alloc</vt:lpstr>
      <vt:lpstr>CalcPlant1Ch3Prod3Slot2HoursReq</vt:lpstr>
      <vt:lpstr>CalcPlant1Ch3Prod3Slot2ManufacturingCost</vt:lpstr>
      <vt:lpstr>CalcPlant1Ch3Prod3Slot3Alloc</vt:lpstr>
      <vt:lpstr>CalcPlant1Ch3Prod3Slot3HoursReq</vt:lpstr>
      <vt:lpstr>CalcPlant1Ch3Prod3Slot3ManufacturingCost</vt:lpstr>
      <vt:lpstr>CalcPlant1Ch3Prod4Slot1Alloc</vt:lpstr>
      <vt:lpstr>CalcPlant1Ch3Prod4Slot1HoursReq</vt:lpstr>
      <vt:lpstr>CalcPlant1Ch3Prod4Slot1ManufacturingCost</vt:lpstr>
      <vt:lpstr>CalcPlant1Ch3Prod4Slot2Alloc</vt:lpstr>
      <vt:lpstr>CalcPlant1Ch3Prod4Slot2HoursReq</vt:lpstr>
      <vt:lpstr>CalcPlant1Ch3Prod4Slot2ManufacturingCost</vt:lpstr>
      <vt:lpstr>CalcPlant1Ch3Prod4Slot3Alloc</vt:lpstr>
      <vt:lpstr>CalcPlant1Ch3Prod4Slot3HoursReq</vt:lpstr>
      <vt:lpstr>CalcPlant1Ch3Prod4Slot3ManufacturingCost</vt:lpstr>
      <vt:lpstr>CalcPlant1Ch4Prod1Slot1Alloc</vt:lpstr>
      <vt:lpstr>CalcPlant1Ch4Prod1Slot1HoursReq</vt:lpstr>
      <vt:lpstr>CalcPlant1Ch4Prod1Slot1ManufacturingCost</vt:lpstr>
      <vt:lpstr>CalcPlant1Ch4Prod1Slot2Alloc</vt:lpstr>
      <vt:lpstr>CalcPlant1Ch4Prod1Slot2HoursReq</vt:lpstr>
      <vt:lpstr>CalcPlant1Ch4Prod1Slot2ManufacturingCost</vt:lpstr>
      <vt:lpstr>CalcPlant1Ch4Prod1Slot3Alloc</vt:lpstr>
      <vt:lpstr>CalcPlant1Ch4Prod1Slot3HoursReq</vt:lpstr>
      <vt:lpstr>CalcPlant1Ch4Prod1Slot3ManufacturingCost</vt:lpstr>
      <vt:lpstr>CalcPlant1Ch4Prod2Slot1Alloc</vt:lpstr>
      <vt:lpstr>CalcPlant1Ch4Prod2Slot1HoursReq</vt:lpstr>
      <vt:lpstr>CalcPlant1Ch4Prod2Slot1ManufacturingCost</vt:lpstr>
      <vt:lpstr>CalcPlant1Ch4Prod2Slot2Alloc</vt:lpstr>
      <vt:lpstr>CalcPlant1Ch4Prod2Slot2HoursReq</vt:lpstr>
      <vt:lpstr>CalcPlant1Ch4Prod2Slot2ManufacturingCost</vt:lpstr>
      <vt:lpstr>CalcPlant1Ch4Prod2Slot3Alloc</vt:lpstr>
      <vt:lpstr>CalcPlant1Ch4Prod2Slot3HoursReq</vt:lpstr>
      <vt:lpstr>CalcPlant1Ch4Prod2Slot3ManufacturingCost</vt:lpstr>
      <vt:lpstr>CalcPlant1Ch4Prod3Slot1Alloc</vt:lpstr>
      <vt:lpstr>CalcPlant1Ch4Prod3Slot1HoursReq</vt:lpstr>
      <vt:lpstr>CalcPlant1Ch4Prod3Slot1ManufacturingCost</vt:lpstr>
      <vt:lpstr>CalcPlant1Ch4Prod3Slot2Alloc</vt:lpstr>
      <vt:lpstr>CalcPlant1Ch4Prod3Slot2HoursReq</vt:lpstr>
      <vt:lpstr>CalcPlant1Ch4Prod3Slot2ManufacturingCost</vt:lpstr>
      <vt:lpstr>CalcPlant1Ch4Prod3Slot3Alloc</vt:lpstr>
      <vt:lpstr>CalcPlant1Ch4Prod3Slot3HoursReq</vt:lpstr>
      <vt:lpstr>CalcPlant1Ch4Prod3Slot3ManufacturingCost</vt:lpstr>
      <vt:lpstr>CalcPlant1Ch4Prod4Slot1Alloc</vt:lpstr>
      <vt:lpstr>CalcPlant1Ch4Prod4Slot1HoursReq</vt:lpstr>
      <vt:lpstr>CalcPlant1Ch4Prod4Slot1ManufacturingCost</vt:lpstr>
      <vt:lpstr>CalcPlant1Ch4Prod4Slot2Alloc</vt:lpstr>
      <vt:lpstr>CalcPlant1Ch4Prod4Slot2HoursReq</vt:lpstr>
      <vt:lpstr>CalcPlant1Ch4Prod4Slot2ManufacturingCost</vt:lpstr>
      <vt:lpstr>CalcPlant1Ch4Prod4Slot3Alloc</vt:lpstr>
      <vt:lpstr>CalcPlant1Ch4Prod4Slot3HoursReq</vt:lpstr>
      <vt:lpstr>CalcPlant1Ch4Prod4Slot3ManufacturingCost</vt:lpstr>
      <vt:lpstr>CalcPlant1Dep</vt:lpstr>
      <vt:lpstr>CalcPlant1DivestmentRevenue</vt:lpstr>
      <vt:lpstr>CalcPlant1DivestmentValue</vt:lpstr>
      <vt:lpstr>CalcPlant1HoursAvail</vt:lpstr>
      <vt:lpstr>CalcPlant1HoursAvailPreInvest</vt:lpstr>
      <vt:lpstr>CalcPlant1HoursReq</vt:lpstr>
      <vt:lpstr>CalcPlant1InvestCostNewUnit</vt:lpstr>
      <vt:lpstr>CalcPlant1Investment</vt:lpstr>
      <vt:lpstr>CalcPlant1MachCost</vt:lpstr>
      <vt:lpstr>CalcPlant1ResetPct</vt:lpstr>
      <vt:lpstr>CalcPlant1UnitsAvail</vt:lpstr>
      <vt:lpstr>CalcPlant1UnitsAvailPreInvest</vt:lpstr>
      <vt:lpstr>CalcPlant1UnitsEnd</vt:lpstr>
      <vt:lpstr>CalcPlant1Utiliz</vt:lpstr>
      <vt:lpstr>CalcPlant1UtilizPreInvest</vt:lpstr>
      <vt:lpstr>calcProd1CustProfitTot</vt:lpstr>
      <vt:lpstr>calcProd1SlotTotActive</vt:lpstr>
      <vt:lpstr>calcProd2CustProfitTot</vt:lpstr>
      <vt:lpstr>calcProd2SlotTotActive</vt:lpstr>
      <vt:lpstr>calcProd3CustProfitTot</vt:lpstr>
      <vt:lpstr>calcProd3SlotTotActive</vt:lpstr>
      <vt:lpstr>calcProd4CustProfitTot</vt:lpstr>
      <vt:lpstr>calcProd4SlotTotActive</vt:lpstr>
      <vt:lpstr>calcPromoRoiAvg</vt:lpstr>
      <vt:lpstr>calcReportEmp1Req</vt:lpstr>
      <vt:lpstr>calcReportExpReq</vt:lpstr>
      <vt:lpstr>calcSI1Code</vt:lpstr>
      <vt:lpstr>calcSI2Code</vt:lpstr>
      <vt:lpstr>calcSI3Code</vt:lpstr>
      <vt:lpstr>calcSI4Code</vt:lpstr>
      <vt:lpstr>calcSI5Code</vt:lpstr>
      <vt:lpstr>calcTableSIsLaunched</vt:lpstr>
      <vt:lpstr>calcTableSIsRoundsIntoLaunch</vt:lpstr>
      <vt:lpstr>cbal_Paste</vt:lpstr>
      <vt:lpstr>cbalCh1CustomerProfitTot</vt:lpstr>
      <vt:lpstr>cbalCh1GCCTot</vt:lpstr>
      <vt:lpstr>cbalCh1GPaLTot</vt:lpstr>
      <vt:lpstr>cbalCh1Prod1Slot1Active</vt:lpstr>
      <vt:lpstr>cbalCh1Prod1Slot1AvgPrice</vt:lpstr>
      <vt:lpstr>cbalCh1Prod1Slot1AvgPromoPrice</vt:lpstr>
      <vt:lpstr>cbalCh1Prod1Slot1COGS</vt:lpstr>
      <vt:lpstr>cbalCh1Prod1Slot1COGSpL</vt:lpstr>
      <vt:lpstr>cbalCh1Prod1Slot1CustPrice</vt:lpstr>
      <vt:lpstr>cbalCh1Prod1Slot1GPaL</vt:lpstr>
      <vt:lpstr>cbalCh1Prod1Slot1GPaLPerLitre</vt:lpstr>
      <vt:lpstr>cbalCh1Prod1Slot1NetRev</vt:lpstr>
      <vt:lpstr>cbalCh1Prod1Slot1NetRevPerLtr</vt:lpstr>
      <vt:lpstr>cbalCh1Prod1Slot1Pack</vt:lpstr>
      <vt:lpstr>cbalCh1Prod1Slot1Promo1</vt:lpstr>
      <vt:lpstr>cbalCh1Prod1Slot1Promo1CustUplift</vt:lpstr>
      <vt:lpstr>cbalCh1Prod1Slot1Promo1GPaLUplift</vt:lpstr>
      <vt:lpstr>cbalCh1Prod1Slot1Promo1Price</vt:lpstr>
      <vt:lpstr>cbalCh1Prod1Slot1Promo1ROI</vt:lpstr>
      <vt:lpstr>cbalCh1Prod1Slot1Promo1Share</vt:lpstr>
      <vt:lpstr>cbalCh1Prod1Slot1Promo1VolUplift</vt:lpstr>
      <vt:lpstr>cbalCh1Prod1Slot1Promo1Weeks</vt:lpstr>
      <vt:lpstr>cbalCh1Prod1Slot1Promo2</vt:lpstr>
      <vt:lpstr>cbalCh1Prod1Slot1Promo2CustUplift</vt:lpstr>
      <vt:lpstr>cbalCh1Prod1Slot1Promo2GPaLUplift</vt:lpstr>
      <vt:lpstr>cbalCh1Prod1Slot1Promo2Price</vt:lpstr>
      <vt:lpstr>cbalCh1Prod1Slot1Promo2ROI</vt:lpstr>
      <vt:lpstr>cbalCh1Prod1Slot1Promo2Share</vt:lpstr>
      <vt:lpstr>cbalCh1Prod1Slot1Promo2VolUplift</vt:lpstr>
      <vt:lpstr>cbalCh1Prod1Slot1Promo2Weeks</vt:lpstr>
      <vt:lpstr>cbalCh1Prod1Slot1SoldVol</vt:lpstr>
      <vt:lpstr>cbalCh1Prod1Slot1WD</vt:lpstr>
      <vt:lpstr>cbalCh1Prod1Slot2Active</vt:lpstr>
      <vt:lpstr>cbalCh1Prod1Slot2AvgPrice</vt:lpstr>
      <vt:lpstr>cbalCh1Prod1Slot2AvgPromoPrice</vt:lpstr>
      <vt:lpstr>cbalCh1Prod1Slot2COGS</vt:lpstr>
      <vt:lpstr>cbalCh1Prod1Slot2COGSpL</vt:lpstr>
      <vt:lpstr>cbalCh1Prod1Slot2CustPrice</vt:lpstr>
      <vt:lpstr>cbalCh1Prod1Slot2GPaL</vt:lpstr>
      <vt:lpstr>cbalCh1Prod1Slot2GPaLPerLitre</vt:lpstr>
      <vt:lpstr>cbalCh1Prod1Slot2NetRev</vt:lpstr>
      <vt:lpstr>cbalCh1Prod1Slot2NetRevPerLtr</vt:lpstr>
      <vt:lpstr>cbalCh1Prod1Slot2Pack</vt:lpstr>
      <vt:lpstr>cbalCh1Prod1Slot2Promo1</vt:lpstr>
      <vt:lpstr>cbalCh1Prod1Slot2Promo1CustUplift</vt:lpstr>
      <vt:lpstr>cbalCh1Prod1Slot2Promo1GPaLUplift</vt:lpstr>
      <vt:lpstr>cbalCh1Prod1Slot2Promo1Price</vt:lpstr>
      <vt:lpstr>cbalCh1Prod1Slot2Promo1ROI</vt:lpstr>
      <vt:lpstr>cbalCh1Prod1Slot2Promo1Share</vt:lpstr>
      <vt:lpstr>cbalCh1Prod1Slot2Promo1VolUplift</vt:lpstr>
      <vt:lpstr>cbalCh1Prod1Slot2Promo1Weeks</vt:lpstr>
      <vt:lpstr>cbalCh1Prod1Slot2Promo2</vt:lpstr>
      <vt:lpstr>cbalCh1Prod1Slot2Promo2CustUplift</vt:lpstr>
      <vt:lpstr>cbalCh1Prod1Slot2Promo2GPaLUplift</vt:lpstr>
      <vt:lpstr>cbalCh1Prod1Slot2Promo2Price</vt:lpstr>
      <vt:lpstr>cbalCh1Prod1Slot2Promo2ROI</vt:lpstr>
      <vt:lpstr>cbalCh1Prod1Slot2Promo2Share</vt:lpstr>
      <vt:lpstr>cbalCh1Prod1Slot2Promo2VolUplift</vt:lpstr>
      <vt:lpstr>cbalCh1Prod1Slot2Promo2Weeks</vt:lpstr>
      <vt:lpstr>cbalCh1Prod1Slot2SoldVol</vt:lpstr>
      <vt:lpstr>cbalCh1Prod1Slot2WD</vt:lpstr>
      <vt:lpstr>cbalCh1Prod1Slot3Active</vt:lpstr>
      <vt:lpstr>cbalCh1Prod1Slot3AvgPrice</vt:lpstr>
      <vt:lpstr>cbalCh1Prod1Slot3AvgPromoPrice</vt:lpstr>
      <vt:lpstr>cbalCh1Prod1Slot3COGS</vt:lpstr>
      <vt:lpstr>cbalCh1Prod1Slot3COGSpL</vt:lpstr>
      <vt:lpstr>cbalCh1Prod1Slot3CustPrice</vt:lpstr>
      <vt:lpstr>cbalCh1Prod1Slot3GPaL</vt:lpstr>
      <vt:lpstr>cbalCh1Prod1Slot3GPaLPerLitre</vt:lpstr>
      <vt:lpstr>cbalCh1Prod1Slot3NetRev</vt:lpstr>
      <vt:lpstr>cbalCh1Prod1Slot3NetRevPerLtr</vt:lpstr>
      <vt:lpstr>cbalCh1Prod1Slot3Pack</vt:lpstr>
      <vt:lpstr>cbalCh1Prod1Slot3Promo1</vt:lpstr>
      <vt:lpstr>cbalCh1Prod1Slot3Promo1CustUplift</vt:lpstr>
      <vt:lpstr>cbalCh1Prod1Slot3Promo1GPaLUplift</vt:lpstr>
      <vt:lpstr>cbalCh1Prod1Slot3Promo1Price</vt:lpstr>
      <vt:lpstr>cbalCh1Prod1Slot3Promo1ROI</vt:lpstr>
      <vt:lpstr>cbalCh1Prod1Slot3Promo1Share</vt:lpstr>
      <vt:lpstr>cbalCh1Prod1Slot3Promo1VolUplift</vt:lpstr>
      <vt:lpstr>cbalCh1Prod1Slot3Promo1Weeks</vt:lpstr>
      <vt:lpstr>cbalCh1Prod1Slot3Promo2</vt:lpstr>
      <vt:lpstr>cbalCh1Prod1Slot3Promo2CustUplift</vt:lpstr>
      <vt:lpstr>cbalCh1Prod1Slot3Promo2GPaLUplift</vt:lpstr>
      <vt:lpstr>cbalCh1Prod1Slot3Promo2Price</vt:lpstr>
      <vt:lpstr>cbalCh1Prod1Slot3Promo2ROI</vt:lpstr>
      <vt:lpstr>cbalCh1Prod1Slot3Promo2Share</vt:lpstr>
      <vt:lpstr>cbalCh1Prod1Slot3Promo2VolUplift</vt:lpstr>
      <vt:lpstr>cbalCh1Prod1Slot3Promo2Weeks</vt:lpstr>
      <vt:lpstr>cbalCh1Prod1Slot3SoldVol</vt:lpstr>
      <vt:lpstr>cbalCh1Prod1Slot3WD</vt:lpstr>
      <vt:lpstr>cbalCh1Prod1SlotTotActive</vt:lpstr>
      <vt:lpstr>cbalCh1Prod2Slot1Active</vt:lpstr>
      <vt:lpstr>cbalCh1Prod2Slot1AvgPrice</vt:lpstr>
      <vt:lpstr>cbalCh1Prod2Slot1AvgPromoPrice</vt:lpstr>
      <vt:lpstr>cbalCh1Prod2Slot1COGS</vt:lpstr>
      <vt:lpstr>cbalCh1Prod2Slot1COGSpL</vt:lpstr>
      <vt:lpstr>cbalCh1Prod2Slot1CustPrice</vt:lpstr>
      <vt:lpstr>cbalCh1Prod2Slot1GPaL</vt:lpstr>
      <vt:lpstr>cbalCh1Prod2Slot1GPaLPerLitre</vt:lpstr>
      <vt:lpstr>cbalCh1Prod2Slot1NetRev</vt:lpstr>
      <vt:lpstr>cbalCh1Prod2Slot1NetRevPerLtr</vt:lpstr>
      <vt:lpstr>cbalCh1Prod2Slot1Pack</vt:lpstr>
      <vt:lpstr>cbalCh1Prod2Slot1Promo1</vt:lpstr>
      <vt:lpstr>cbalCh1Prod2Slot1Promo1CustUplift</vt:lpstr>
      <vt:lpstr>cbalCh1Prod2Slot1Promo1GPaLUplift</vt:lpstr>
      <vt:lpstr>cbalCh1Prod2Slot1Promo1Price</vt:lpstr>
      <vt:lpstr>cbalCh1Prod2Slot1Promo1ROI</vt:lpstr>
      <vt:lpstr>cbalCh1Prod2Slot1Promo1Share</vt:lpstr>
      <vt:lpstr>cbalCh1Prod2Slot1Promo1VolUplift</vt:lpstr>
      <vt:lpstr>cbalCh1Prod2Slot1Promo1Weeks</vt:lpstr>
      <vt:lpstr>cbalCh1Prod2Slot1Promo2</vt:lpstr>
      <vt:lpstr>cbalCh1Prod2Slot1Promo2CustUplift</vt:lpstr>
      <vt:lpstr>cbalCh1Prod2Slot1Promo2GPaLUplift</vt:lpstr>
      <vt:lpstr>cbalCh1Prod2Slot1Promo2Price</vt:lpstr>
      <vt:lpstr>cbalCh1Prod2Slot1Promo2ROI</vt:lpstr>
      <vt:lpstr>cbalCh1Prod2Slot1Promo2Share</vt:lpstr>
      <vt:lpstr>cbalCh1Prod2Slot1Promo2VolUplift</vt:lpstr>
      <vt:lpstr>cbalCh1Prod2Slot1Promo2Weeks</vt:lpstr>
      <vt:lpstr>cbalCh1Prod2Slot1SoldVol</vt:lpstr>
      <vt:lpstr>cbalCh1Prod2Slot1WD</vt:lpstr>
      <vt:lpstr>cbalCh1Prod2Slot2Active</vt:lpstr>
      <vt:lpstr>cbalCh1Prod2Slot2AvgPrice</vt:lpstr>
      <vt:lpstr>cbalCh1Prod2Slot2AvgPromoPrice</vt:lpstr>
      <vt:lpstr>cbalCh1Prod2Slot2COGS</vt:lpstr>
      <vt:lpstr>cbalCh1Prod2Slot2COGSpL</vt:lpstr>
      <vt:lpstr>cbalCh1Prod2Slot2CustPrice</vt:lpstr>
      <vt:lpstr>cbalCh1Prod2Slot2GPaL</vt:lpstr>
      <vt:lpstr>cbalCh1Prod2Slot2GPaLPerLitre</vt:lpstr>
      <vt:lpstr>cbalCh1Prod2Slot2NetRev</vt:lpstr>
      <vt:lpstr>cbalCh1Prod2Slot2NetRevPerLtr</vt:lpstr>
      <vt:lpstr>cbalCh1Prod2Slot2Pack</vt:lpstr>
      <vt:lpstr>cbalCh1Prod2Slot2Promo1</vt:lpstr>
      <vt:lpstr>cbalCh1Prod2Slot2Promo1CustUplift</vt:lpstr>
      <vt:lpstr>cbalCh1Prod2Slot2Promo1GPaLUplift</vt:lpstr>
      <vt:lpstr>cbalCh1Prod2Slot2Promo1Price</vt:lpstr>
      <vt:lpstr>cbalCh1Prod2Slot2Promo1ROI</vt:lpstr>
      <vt:lpstr>cbalCh1Prod2Slot2Promo1Share</vt:lpstr>
      <vt:lpstr>cbalCh1Prod2Slot2Promo1VolUplift</vt:lpstr>
      <vt:lpstr>cbalCh1Prod2Slot2Promo1Weeks</vt:lpstr>
      <vt:lpstr>cbalCh1Prod2Slot2Promo2</vt:lpstr>
      <vt:lpstr>cbalCh1Prod2Slot2Promo2CustUplift</vt:lpstr>
      <vt:lpstr>cbalCh1Prod2Slot2Promo2GPaLUplift</vt:lpstr>
      <vt:lpstr>cbalCh1Prod2Slot2Promo2Price</vt:lpstr>
      <vt:lpstr>cbalCh1Prod2Slot2Promo2ROI</vt:lpstr>
      <vt:lpstr>cbalCh1Prod2Slot2Promo2Share</vt:lpstr>
      <vt:lpstr>cbalCh1Prod2Slot2Promo2VolUplift</vt:lpstr>
      <vt:lpstr>cbalCh1Prod2Slot2Promo2Weeks</vt:lpstr>
      <vt:lpstr>cbalCh1Prod2Slot2SoldVol</vt:lpstr>
      <vt:lpstr>cbalCh1Prod2Slot2WD</vt:lpstr>
      <vt:lpstr>cbalCh1Prod2Slot3Active</vt:lpstr>
      <vt:lpstr>cbalCh1Prod2Slot3AvgPrice</vt:lpstr>
      <vt:lpstr>cbalCh1Prod2Slot3AvgPromoPrice</vt:lpstr>
      <vt:lpstr>cbalCh1Prod2Slot3COGS</vt:lpstr>
      <vt:lpstr>cbalCh1Prod2Slot3COGSpL</vt:lpstr>
      <vt:lpstr>cbalCh1Prod2Slot3CustPrice</vt:lpstr>
      <vt:lpstr>cbalCh1Prod2Slot3GPaL</vt:lpstr>
      <vt:lpstr>cbalCh1Prod2Slot3GPaLPerLitre</vt:lpstr>
      <vt:lpstr>cbalCh1Prod2Slot3NetRev</vt:lpstr>
      <vt:lpstr>cbalCh1Prod2Slot3NetRevPerLtr</vt:lpstr>
      <vt:lpstr>cbalCh1Prod2Slot3Pack</vt:lpstr>
      <vt:lpstr>cbalCh1Prod2Slot3Promo1</vt:lpstr>
      <vt:lpstr>cbalCh1Prod2Slot3Promo1CustUplift</vt:lpstr>
      <vt:lpstr>cbalCh1Prod2Slot3Promo1GPaLUplift</vt:lpstr>
      <vt:lpstr>cbalCh1Prod2Slot3Promo1Price</vt:lpstr>
      <vt:lpstr>cbalCh1Prod2Slot3Promo1ROI</vt:lpstr>
      <vt:lpstr>cbalCh1Prod2Slot3Promo1Share</vt:lpstr>
      <vt:lpstr>cbalCh1Prod2Slot3Promo1VolUplift</vt:lpstr>
      <vt:lpstr>cbalCh1Prod2Slot3Promo1Weeks</vt:lpstr>
      <vt:lpstr>cbalCh1Prod2Slot3Promo2</vt:lpstr>
      <vt:lpstr>cbalCh1Prod2Slot3Promo2CustUplift</vt:lpstr>
      <vt:lpstr>cbalCh1Prod2Slot3Promo2GPaLUplift</vt:lpstr>
      <vt:lpstr>cbalCh1Prod2Slot3Promo2Price</vt:lpstr>
      <vt:lpstr>cbalCh1Prod2Slot3Promo2ROI</vt:lpstr>
      <vt:lpstr>cbalCh1Prod2Slot3Promo2Share</vt:lpstr>
      <vt:lpstr>cbalCh1Prod2Slot3Promo2VolUplift</vt:lpstr>
      <vt:lpstr>cbalCh1Prod2Slot3Promo2Weeks</vt:lpstr>
      <vt:lpstr>cbalCh1Prod2Slot3SoldVol</vt:lpstr>
      <vt:lpstr>cbalCh1Prod2Slot3WD</vt:lpstr>
      <vt:lpstr>cbalCh1Prod2SlotTotActive</vt:lpstr>
      <vt:lpstr>cbalCh1Prod3Slot1Active</vt:lpstr>
      <vt:lpstr>cbalCh1Prod3Slot1AvgPrice</vt:lpstr>
      <vt:lpstr>cbalCh1Prod3Slot1AvgPromoPrice</vt:lpstr>
      <vt:lpstr>cbalCh1Prod3Slot1COGS</vt:lpstr>
      <vt:lpstr>cbalCh1Prod3Slot1COGSpL</vt:lpstr>
      <vt:lpstr>cbalCh1Prod3Slot1CustPrice</vt:lpstr>
      <vt:lpstr>cbalCh1Prod3Slot1GPaL</vt:lpstr>
      <vt:lpstr>cbalCh1Prod3Slot1GPaLPerLitre</vt:lpstr>
      <vt:lpstr>cbalCh1Prod3Slot1NetRev</vt:lpstr>
      <vt:lpstr>cbalCh1Prod3Slot1NetRevPerLtr</vt:lpstr>
      <vt:lpstr>cbalCh1Prod3Slot1Pack</vt:lpstr>
      <vt:lpstr>cbalCh1Prod3Slot1Promo1</vt:lpstr>
      <vt:lpstr>cbalCh1Prod3Slot1Promo1CustUplift</vt:lpstr>
      <vt:lpstr>cbalCh1Prod3Slot1Promo1GPaLUplift</vt:lpstr>
      <vt:lpstr>cbalCh1Prod3Slot1Promo1Price</vt:lpstr>
      <vt:lpstr>cbalCh1Prod3Slot1Promo1ROI</vt:lpstr>
      <vt:lpstr>cbalCh1Prod3Slot1Promo1Share</vt:lpstr>
      <vt:lpstr>cbalCh1Prod3Slot1Promo1VolUplift</vt:lpstr>
      <vt:lpstr>cbalCh1Prod3Slot1Promo1Weeks</vt:lpstr>
      <vt:lpstr>cbalCh1Prod3Slot1Promo2</vt:lpstr>
      <vt:lpstr>cbalCh1Prod3Slot1Promo2CustUplift</vt:lpstr>
      <vt:lpstr>cbalCh1Prod3Slot1Promo2GPaLUplift</vt:lpstr>
      <vt:lpstr>cbalCh1Prod3Slot1Promo2Price</vt:lpstr>
      <vt:lpstr>cbalCh1Prod3Slot1Promo2ROI</vt:lpstr>
      <vt:lpstr>cbalCh1Prod3Slot1Promo2Share</vt:lpstr>
      <vt:lpstr>cbalCh1Prod3Slot1Promo2VolUplift</vt:lpstr>
      <vt:lpstr>cbalCh1Prod3Slot1Promo2Weeks</vt:lpstr>
      <vt:lpstr>cbalCh1Prod3Slot1SoldVol</vt:lpstr>
      <vt:lpstr>cbalCh1Prod3Slot1WD</vt:lpstr>
      <vt:lpstr>cbalCh1Prod3Slot2Active</vt:lpstr>
      <vt:lpstr>cbalCh1Prod3Slot2AvgPrice</vt:lpstr>
      <vt:lpstr>cbalCh1Prod3Slot2AvgPromoPrice</vt:lpstr>
      <vt:lpstr>cbalCh1Prod3Slot2COGS</vt:lpstr>
      <vt:lpstr>cbalCh1Prod3Slot2COGSpL</vt:lpstr>
      <vt:lpstr>cbalCh1Prod3Slot2CustPrice</vt:lpstr>
      <vt:lpstr>cbalCh1Prod3Slot2GPaL</vt:lpstr>
      <vt:lpstr>cbalCh1Prod3Slot2GPaLPerLitre</vt:lpstr>
      <vt:lpstr>cbalCh1Prod3Slot2NetRev</vt:lpstr>
      <vt:lpstr>cbalCh1Prod3Slot2NetRevPerLtr</vt:lpstr>
      <vt:lpstr>cbalCh1Prod3Slot2Pack</vt:lpstr>
      <vt:lpstr>cbalCh1Prod3Slot2Promo1</vt:lpstr>
      <vt:lpstr>cbalCh1Prod3Slot2Promo1CustUplift</vt:lpstr>
      <vt:lpstr>cbalCh1Prod3Slot2Promo1GPaLUplift</vt:lpstr>
      <vt:lpstr>cbalCh1Prod3Slot2Promo1Price</vt:lpstr>
      <vt:lpstr>cbalCh1Prod3Slot2Promo1ROI</vt:lpstr>
      <vt:lpstr>cbalCh1Prod3Slot2Promo1Share</vt:lpstr>
      <vt:lpstr>cbalCh1Prod3Slot2Promo1VolUplift</vt:lpstr>
      <vt:lpstr>cbalCh1Prod3Slot2Promo1Weeks</vt:lpstr>
      <vt:lpstr>cbalCh1Prod3Slot2Promo2</vt:lpstr>
      <vt:lpstr>cbalCh1Prod3Slot2Promo2CustUplift</vt:lpstr>
      <vt:lpstr>cbalCh1Prod3Slot2Promo2GPaLUplift</vt:lpstr>
      <vt:lpstr>cbalCh1Prod3Slot2Promo2Price</vt:lpstr>
      <vt:lpstr>cbalCh1Prod3Slot2Promo2ROI</vt:lpstr>
      <vt:lpstr>cbalCh1Prod3Slot2Promo2Share</vt:lpstr>
      <vt:lpstr>cbalCh1Prod3Slot2Promo2VolUplift</vt:lpstr>
      <vt:lpstr>cbalCh1Prod3Slot2Promo2Weeks</vt:lpstr>
      <vt:lpstr>cbalCh1Prod3Slot2SoldVol</vt:lpstr>
      <vt:lpstr>cbalCh1Prod3Slot2WD</vt:lpstr>
      <vt:lpstr>cbalCh1Prod3Slot3Active</vt:lpstr>
      <vt:lpstr>cbalCh1Prod3Slot3AvgPrice</vt:lpstr>
      <vt:lpstr>cbalCh1Prod3Slot3AvgPromoPrice</vt:lpstr>
      <vt:lpstr>cbalCh1Prod3Slot3COGS</vt:lpstr>
      <vt:lpstr>cbalCh1Prod3Slot3COGSpL</vt:lpstr>
      <vt:lpstr>cbalCh1Prod3Slot3CustPrice</vt:lpstr>
      <vt:lpstr>cbalCh1Prod3Slot3GPaL</vt:lpstr>
      <vt:lpstr>cbalCh1Prod3Slot3GPaLPerLitre</vt:lpstr>
      <vt:lpstr>cbalCh1Prod3Slot3NetRev</vt:lpstr>
      <vt:lpstr>cbalCh1Prod3Slot3NetRevPerLtr</vt:lpstr>
      <vt:lpstr>cbalCh1Prod3Slot3Pack</vt:lpstr>
      <vt:lpstr>cbalCh1Prod3Slot3Promo1</vt:lpstr>
      <vt:lpstr>cbalCh1Prod3Slot3Promo1CustUplift</vt:lpstr>
      <vt:lpstr>cbalCh1Prod3Slot3Promo1GPaLUplift</vt:lpstr>
      <vt:lpstr>cbalCh1Prod3Slot3Promo1Price</vt:lpstr>
      <vt:lpstr>cbalCh1Prod3Slot3Promo1ROI</vt:lpstr>
      <vt:lpstr>cbalCh1Prod3Slot3Promo1Share</vt:lpstr>
      <vt:lpstr>cbalCh1Prod3Slot3Promo1VolUplift</vt:lpstr>
      <vt:lpstr>cbalCh1Prod3Slot3Promo1Weeks</vt:lpstr>
      <vt:lpstr>cbalCh1Prod3Slot3Promo2</vt:lpstr>
      <vt:lpstr>cbalCh1Prod3Slot3Promo2CustUplift</vt:lpstr>
      <vt:lpstr>cbalCh1Prod3Slot3Promo2GPaLUplift</vt:lpstr>
      <vt:lpstr>cbalCh1Prod3Slot3Promo2Price</vt:lpstr>
      <vt:lpstr>cbalCh1Prod3Slot3Promo2ROI</vt:lpstr>
      <vt:lpstr>cbalCh1Prod3Slot3Promo2Share</vt:lpstr>
      <vt:lpstr>cbalCh1Prod3Slot3Promo2VolUplift</vt:lpstr>
      <vt:lpstr>cbalCh1Prod3Slot3Promo2Weeks</vt:lpstr>
      <vt:lpstr>cbalCh1Prod3Slot3SoldVol</vt:lpstr>
      <vt:lpstr>cbalCh1Prod3Slot3WD</vt:lpstr>
      <vt:lpstr>cbalCh1Prod3SlotTotActive</vt:lpstr>
      <vt:lpstr>cbalCh1Prod4Slot1Active</vt:lpstr>
      <vt:lpstr>cbalCh1Prod4Slot1AvgPrice</vt:lpstr>
      <vt:lpstr>cbalCh1Prod4Slot1AvgPromoPrice</vt:lpstr>
      <vt:lpstr>cbalCh1Prod4Slot1COGS</vt:lpstr>
      <vt:lpstr>cbalCh1Prod4Slot1COGSpL</vt:lpstr>
      <vt:lpstr>cbalCh1Prod4Slot1CustPrice</vt:lpstr>
      <vt:lpstr>cbalCh1Prod4Slot1GPaL</vt:lpstr>
      <vt:lpstr>cbalCh1Prod4Slot1GPaLPerLitre</vt:lpstr>
      <vt:lpstr>cbalCh1Prod4Slot1NetRev</vt:lpstr>
      <vt:lpstr>cbalCh1Prod4Slot1NetRevPerLtr</vt:lpstr>
      <vt:lpstr>cbalCh1Prod4Slot1Pack</vt:lpstr>
      <vt:lpstr>cbalCh1Prod4Slot1Promo1</vt:lpstr>
      <vt:lpstr>cbalCh1Prod4Slot1Promo1CustUplift</vt:lpstr>
      <vt:lpstr>cbalCh1Prod4Slot1Promo1GPaLUplift</vt:lpstr>
      <vt:lpstr>cbalCh1Prod4Slot1Promo1Price</vt:lpstr>
      <vt:lpstr>cbalCh1Prod4Slot1Promo1ROI</vt:lpstr>
      <vt:lpstr>cbalCh1Prod4Slot1Promo1Share</vt:lpstr>
      <vt:lpstr>cbalCh1Prod4Slot1Promo1VolUplift</vt:lpstr>
      <vt:lpstr>cbalCh1Prod4Slot1Promo1Weeks</vt:lpstr>
      <vt:lpstr>cbalCh1Prod4Slot1Promo2</vt:lpstr>
      <vt:lpstr>cbalCh1Prod4Slot1Promo2CustUplift</vt:lpstr>
      <vt:lpstr>cbalCh1Prod4Slot1Promo2GPaLUplift</vt:lpstr>
      <vt:lpstr>cbalCh1Prod4Slot1Promo2Price</vt:lpstr>
      <vt:lpstr>cbalCh1Prod4Slot1Promo2ROI</vt:lpstr>
      <vt:lpstr>cbalCh1Prod4Slot1Promo2Share</vt:lpstr>
      <vt:lpstr>cbalCh1Prod4Slot1Promo2VolUplift</vt:lpstr>
      <vt:lpstr>cbalCh1Prod4Slot1Promo2Weeks</vt:lpstr>
      <vt:lpstr>cbalCh1Prod4Slot1SoldVol</vt:lpstr>
      <vt:lpstr>cbalCh1Prod4Slot1WD</vt:lpstr>
      <vt:lpstr>cbalCh1Prod4Slot2Active</vt:lpstr>
      <vt:lpstr>cbalCh1Prod4Slot2AvgPrice</vt:lpstr>
      <vt:lpstr>cbalCh1Prod4Slot2AvgPromoPrice</vt:lpstr>
      <vt:lpstr>cbalCh1Prod4Slot2COGS</vt:lpstr>
      <vt:lpstr>cbalCh1Prod4Slot2COGSpL</vt:lpstr>
      <vt:lpstr>cbalCh1Prod4Slot2CustPrice</vt:lpstr>
      <vt:lpstr>cbalCh1Prod4Slot2GPaL</vt:lpstr>
      <vt:lpstr>cbalCh1Prod4Slot2GPaLPerLitre</vt:lpstr>
      <vt:lpstr>cbalCh1Prod4Slot2NetRev</vt:lpstr>
      <vt:lpstr>cbalCh1Prod4Slot2NetRevPerLtr</vt:lpstr>
      <vt:lpstr>cbalCh1Prod4Slot2Pack</vt:lpstr>
      <vt:lpstr>cbalCh1Prod4Slot2Promo1</vt:lpstr>
      <vt:lpstr>cbalCh1Prod4Slot2Promo1CustUplift</vt:lpstr>
      <vt:lpstr>cbalCh1Prod4Slot2Promo1GPaLUplift</vt:lpstr>
      <vt:lpstr>cbalCh1Prod4Slot2Promo1Price</vt:lpstr>
      <vt:lpstr>cbalCh1Prod4Slot2Promo1ROI</vt:lpstr>
      <vt:lpstr>cbalCh1Prod4Slot2Promo1Share</vt:lpstr>
      <vt:lpstr>cbalCh1Prod4Slot2Promo1VolUplift</vt:lpstr>
      <vt:lpstr>cbalCh1Prod4Slot2Promo1Weeks</vt:lpstr>
      <vt:lpstr>cbalCh1Prod4Slot2Promo2</vt:lpstr>
      <vt:lpstr>cbalCh1Prod4Slot2Promo2CustUplift</vt:lpstr>
      <vt:lpstr>cbalCh1Prod4Slot2Promo2GPaLUplift</vt:lpstr>
      <vt:lpstr>cbalCh1Prod4Slot2Promo2Price</vt:lpstr>
      <vt:lpstr>cbalCh1Prod4Slot2Promo2ROI</vt:lpstr>
      <vt:lpstr>cbalCh1Prod4Slot2Promo2Share</vt:lpstr>
      <vt:lpstr>cbalCh1Prod4Slot2Promo2VolUplift</vt:lpstr>
      <vt:lpstr>cbalCh1Prod4Slot2Promo2Weeks</vt:lpstr>
      <vt:lpstr>cbalCh1Prod4Slot2SoldVol</vt:lpstr>
      <vt:lpstr>cbalCh1Prod4Slot2WD</vt:lpstr>
      <vt:lpstr>cbalCh1Prod4Slot3Active</vt:lpstr>
      <vt:lpstr>cbalCh1Prod4Slot3AvgPrice</vt:lpstr>
      <vt:lpstr>cbalCh1Prod4Slot3AvgPromoPrice</vt:lpstr>
      <vt:lpstr>cbalCh1Prod4Slot3COGS</vt:lpstr>
      <vt:lpstr>cbalCh1Prod4Slot3COGSpL</vt:lpstr>
      <vt:lpstr>cbalCh1Prod4Slot3CustPrice</vt:lpstr>
      <vt:lpstr>cbalCh1Prod4Slot3GPaL</vt:lpstr>
      <vt:lpstr>cbalCh1Prod4Slot3GPaLPerLitre</vt:lpstr>
      <vt:lpstr>cbalCh1Prod4Slot3NetRev</vt:lpstr>
      <vt:lpstr>cbalCh1Prod4Slot3NetRevPerLtr</vt:lpstr>
      <vt:lpstr>cbalCh1Prod4Slot3Pack</vt:lpstr>
      <vt:lpstr>cbalCh1Prod4Slot3Promo1</vt:lpstr>
      <vt:lpstr>cbalCh1Prod4Slot3Promo1CustUplift</vt:lpstr>
      <vt:lpstr>cbalCh1Prod4Slot3Promo1GPaLUplift</vt:lpstr>
      <vt:lpstr>cbalCh1Prod4Slot3Promo1Price</vt:lpstr>
      <vt:lpstr>cbalCh1Prod4Slot3Promo1ROI</vt:lpstr>
      <vt:lpstr>cbalCh1Prod4Slot3Promo1Share</vt:lpstr>
      <vt:lpstr>cbalCh1Prod4Slot3Promo1VolUplift</vt:lpstr>
      <vt:lpstr>cbalCh1Prod4Slot3Promo1Weeks</vt:lpstr>
      <vt:lpstr>cbalCh1Prod4Slot3Promo2</vt:lpstr>
      <vt:lpstr>cbalCh1Prod4Slot3Promo2CustUplift</vt:lpstr>
      <vt:lpstr>cbalCh1Prod4Slot3Promo2GPaLUplift</vt:lpstr>
      <vt:lpstr>cbalCh1Prod4Slot3Promo2Price</vt:lpstr>
      <vt:lpstr>cbalCh1Prod4Slot3Promo2ROI</vt:lpstr>
      <vt:lpstr>cbalCh1Prod4Slot3Promo2Share</vt:lpstr>
      <vt:lpstr>cbalCh1Prod4Slot3Promo2VolUplift</vt:lpstr>
      <vt:lpstr>cbalCh1Prod4Slot3Promo2Weeks</vt:lpstr>
      <vt:lpstr>cbalCh1Prod4Slot3SoldVol</vt:lpstr>
      <vt:lpstr>cbalCh1Prod4Slot3WD</vt:lpstr>
      <vt:lpstr>cbalCh1Prod4SlotTotActive</vt:lpstr>
      <vt:lpstr>cbalCh1RevenueTot</vt:lpstr>
      <vt:lpstr>cbalCh1Slots</vt:lpstr>
      <vt:lpstr>cbalCh1SlotTotActive</vt:lpstr>
      <vt:lpstr>cbalCh1ValDriv1</vt:lpstr>
      <vt:lpstr>cbalCh1ValDriv2</vt:lpstr>
      <vt:lpstr>cbalCh1ValDriv3</vt:lpstr>
      <vt:lpstr>cbalCh1ValDriv4</vt:lpstr>
      <vt:lpstr>cbalCh1ValDriv5</vt:lpstr>
      <vt:lpstr>cbalCh1ValDrivCond</vt:lpstr>
      <vt:lpstr>cbalCh2CustomerProfitTot</vt:lpstr>
      <vt:lpstr>cbalCh2GCCTot</vt:lpstr>
      <vt:lpstr>cbalCh2GPaLTot</vt:lpstr>
      <vt:lpstr>cbalCh2Prod1Slot1Active</vt:lpstr>
      <vt:lpstr>cbalCh2Prod1Slot1AvgPrice</vt:lpstr>
      <vt:lpstr>cbalCh2Prod1Slot1COGS</vt:lpstr>
      <vt:lpstr>cbalCh2Prod1Slot1COGSpL</vt:lpstr>
      <vt:lpstr>cbalCh2Prod1Slot1CustPrice</vt:lpstr>
      <vt:lpstr>cbalCh2Prod1Slot1GPaL</vt:lpstr>
      <vt:lpstr>cbalCh2Prod1Slot1GPaLPerLitre</vt:lpstr>
      <vt:lpstr>cbalCh2Prod1Slot1NetRev</vt:lpstr>
      <vt:lpstr>cbalCh2Prod1Slot1NetRevPerLtr</vt:lpstr>
      <vt:lpstr>cbalCh2Prod1Slot1Pack</vt:lpstr>
      <vt:lpstr>cbalCh2Prod1Slot1SoldVol</vt:lpstr>
      <vt:lpstr>cbalCh2Prod1Slot1WD</vt:lpstr>
      <vt:lpstr>cbalCh2Prod1Slot2Active</vt:lpstr>
      <vt:lpstr>cbalCh2Prod1Slot2AvgPrice</vt:lpstr>
      <vt:lpstr>cbalCh2Prod1Slot2COGS</vt:lpstr>
      <vt:lpstr>cbalCh2Prod1Slot2COGSpL</vt:lpstr>
      <vt:lpstr>cbalCh2Prod1Slot2CustPrice</vt:lpstr>
      <vt:lpstr>cbalCh2Prod1Slot2GPaL</vt:lpstr>
      <vt:lpstr>cbalCh2Prod1Slot2GPaLPerLitre</vt:lpstr>
      <vt:lpstr>cbalCh2Prod1Slot2NetRev</vt:lpstr>
      <vt:lpstr>cbalCh2Prod1Slot2NetRevPerLtr</vt:lpstr>
      <vt:lpstr>cbalCh2Prod1Slot2Pack</vt:lpstr>
      <vt:lpstr>cbalCh2Prod1Slot2SoldVol</vt:lpstr>
      <vt:lpstr>cbalCh2Prod1Slot2WD</vt:lpstr>
      <vt:lpstr>cbalCh2Prod1Slot3Active</vt:lpstr>
      <vt:lpstr>cbalCh2Prod1Slot3AvgPrice</vt:lpstr>
      <vt:lpstr>cbalCh2Prod1Slot3COGS</vt:lpstr>
      <vt:lpstr>cbalCh2Prod1Slot3COGSpL</vt:lpstr>
      <vt:lpstr>cbalCh2Prod1Slot3CustPrice</vt:lpstr>
      <vt:lpstr>cbalCh2Prod1Slot3GPaL</vt:lpstr>
      <vt:lpstr>cbalCh2Prod1Slot3GPaLPerLitre</vt:lpstr>
      <vt:lpstr>cbalCh2Prod1Slot3NetRev</vt:lpstr>
      <vt:lpstr>cbalCh2Prod1Slot3NetRevPerLtr</vt:lpstr>
      <vt:lpstr>cbalCh2Prod1Slot3Pack</vt:lpstr>
      <vt:lpstr>cbalCh2Prod1Slot3SoldVol</vt:lpstr>
      <vt:lpstr>cbalCh2Prod1Slot3WD</vt:lpstr>
      <vt:lpstr>cbalCh2Prod1SlotTotActive</vt:lpstr>
      <vt:lpstr>cbalCh2Prod2Slot1Active</vt:lpstr>
      <vt:lpstr>cbalCh2Prod2Slot1AvgPrice</vt:lpstr>
      <vt:lpstr>cbalCh2Prod2Slot1COGS</vt:lpstr>
      <vt:lpstr>cbalCh2Prod2Slot1COGSpL</vt:lpstr>
      <vt:lpstr>cbalCh2Prod2Slot1CustPrice</vt:lpstr>
      <vt:lpstr>cbalCh2Prod2Slot1GPaL</vt:lpstr>
      <vt:lpstr>cbalCh2Prod2Slot1GPaLPerLitre</vt:lpstr>
      <vt:lpstr>cbalCh2Prod2Slot1NetRev</vt:lpstr>
      <vt:lpstr>cbalCh2Prod2Slot1NetRevPerLtr</vt:lpstr>
      <vt:lpstr>cbalCh2Prod2Slot1Pack</vt:lpstr>
      <vt:lpstr>cbalCh2Prod2Slot1SoldVol</vt:lpstr>
      <vt:lpstr>cbalCh2Prod2Slot1WD</vt:lpstr>
      <vt:lpstr>cbalCh2Prod2Slot2Active</vt:lpstr>
      <vt:lpstr>cbalCh2Prod2Slot2AvgPrice</vt:lpstr>
      <vt:lpstr>cbalCh2Prod2Slot2COGS</vt:lpstr>
      <vt:lpstr>cbalCh2Prod2Slot2COGSpL</vt:lpstr>
      <vt:lpstr>cbalCh2Prod2Slot2CustPrice</vt:lpstr>
      <vt:lpstr>cbalCh2Prod2Slot2GPaL</vt:lpstr>
      <vt:lpstr>cbalCh2Prod2Slot2GPaLPerLitre</vt:lpstr>
      <vt:lpstr>cbalCh2Prod2Slot2NetRev</vt:lpstr>
      <vt:lpstr>cbalCh2Prod2Slot2NetRevPerLtr</vt:lpstr>
      <vt:lpstr>cbalCh2Prod2Slot2Pack</vt:lpstr>
      <vt:lpstr>cbalCh2Prod2Slot2SoldVol</vt:lpstr>
      <vt:lpstr>cbalCh2Prod2Slot2WD</vt:lpstr>
      <vt:lpstr>cbalCh2Prod2Slot3Active</vt:lpstr>
      <vt:lpstr>cbalCh2Prod2Slot3AvgPrice</vt:lpstr>
      <vt:lpstr>cbalCh2Prod2Slot3COGS</vt:lpstr>
      <vt:lpstr>cbalCh2Prod2Slot3COGSpL</vt:lpstr>
      <vt:lpstr>cbalCh2Prod2Slot3CustPrice</vt:lpstr>
      <vt:lpstr>cbalCh2Prod2Slot3GPaL</vt:lpstr>
      <vt:lpstr>cbalCh2Prod2Slot3GPaLPerLitre</vt:lpstr>
      <vt:lpstr>cbalCh2Prod2Slot3NetRev</vt:lpstr>
      <vt:lpstr>cbalCh2Prod2Slot3NetRevPerLtr</vt:lpstr>
      <vt:lpstr>cbalCh2Prod2Slot3Pack</vt:lpstr>
      <vt:lpstr>cbalCh2Prod2Slot3SoldVol</vt:lpstr>
      <vt:lpstr>cbalCh2Prod2Slot3WD</vt:lpstr>
      <vt:lpstr>cbalCh2Prod2SlotTotActive</vt:lpstr>
      <vt:lpstr>cbalCh2Prod3Slot1Active</vt:lpstr>
      <vt:lpstr>cbalCh2Prod3Slot1AvgPrice</vt:lpstr>
      <vt:lpstr>cbalCh2Prod3Slot1COGS</vt:lpstr>
      <vt:lpstr>cbalCh2Prod3Slot1COGSpL</vt:lpstr>
      <vt:lpstr>cbalCh2Prod3Slot1CustPrice</vt:lpstr>
      <vt:lpstr>cbalCh2Prod3Slot1GPaL</vt:lpstr>
      <vt:lpstr>cbalCh2Prod3Slot1GPaLPerLitre</vt:lpstr>
      <vt:lpstr>cbalCh2Prod3Slot1NetRev</vt:lpstr>
      <vt:lpstr>cbalCh2Prod3Slot1NetRevPerLtr</vt:lpstr>
      <vt:lpstr>cbalCh2Prod3Slot1Pack</vt:lpstr>
      <vt:lpstr>cbalCh2Prod3Slot1SoldVol</vt:lpstr>
      <vt:lpstr>cbalCh2Prod3Slot1WD</vt:lpstr>
      <vt:lpstr>cbalCh2Prod3Slot2Active</vt:lpstr>
      <vt:lpstr>cbalCh2Prod3Slot2AvgPrice</vt:lpstr>
      <vt:lpstr>cbalCh2Prod3Slot2COGS</vt:lpstr>
      <vt:lpstr>cbalCh2Prod3Slot2COGSpL</vt:lpstr>
      <vt:lpstr>cbalCh2Prod3Slot2CustPrice</vt:lpstr>
      <vt:lpstr>cbalCh2Prod3Slot2GPaL</vt:lpstr>
      <vt:lpstr>cbalCh2Prod3Slot2GPaLPerLitre</vt:lpstr>
      <vt:lpstr>cbalCh2Prod3Slot2NetRev</vt:lpstr>
      <vt:lpstr>cbalCh2Prod3Slot2NetRevPerLtr</vt:lpstr>
      <vt:lpstr>cbalCh2Prod3Slot2Pack</vt:lpstr>
      <vt:lpstr>cbalCh2Prod3Slot2SoldVol</vt:lpstr>
      <vt:lpstr>cbalCh2Prod3Slot2WD</vt:lpstr>
      <vt:lpstr>cbalCh2Prod3Slot3Active</vt:lpstr>
      <vt:lpstr>cbalCh2Prod3Slot3AvgPrice</vt:lpstr>
      <vt:lpstr>cbalCh2Prod3Slot3COGS</vt:lpstr>
      <vt:lpstr>cbalCh2Prod3Slot3COGSpL</vt:lpstr>
      <vt:lpstr>cbalCh2Prod3Slot3CustPrice</vt:lpstr>
      <vt:lpstr>cbalCh2Prod3Slot3GPaL</vt:lpstr>
      <vt:lpstr>cbalCh2Prod3Slot3GPaLPerLitre</vt:lpstr>
      <vt:lpstr>cbalCh2Prod3Slot3NetRev</vt:lpstr>
      <vt:lpstr>cbalCh2Prod3Slot3NetRevPerLtr</vt:lpstr>
      <vt:lpstr>cbalCh2Prod3Slot3Pack</vt:lpstr>
      <vt:lpstr>cbalCh2Prod3Slot3SoldVol</vt:lpstr>
      <vt:lpstr>cbalCh2Prod3Slot3WD</vt:lpstr>
      <vt:lpstr>cbalCh2Prod3SlotTotActive</vt:lpstr>
      <vt:lpstr>cbalCh2Prod4Slot1Active</vt:lpstr>
      <vt:lpstr>cbalCh2Prod4Slot1AvgPrice</vt:lpstr>
      <vt:lpstr>cbalCh2Prod4Slot1COGS</vt:lpstr>
      <vt:lpstr>cbalCh2Prod4Slot1COGSpL</vt:lpstr>
      <vt:lpstr>cbalCh2Prod4Slot1CustPrice</vt:lpstr>
      <vt:lpstr>cbalCh2Prod4Slot1GPaL</vt:lpstr>
      <vt:lpstr>cbalCh2Prod4Slot1GPaLPerLitre</vt:lpstr>
      <vt:lpstr>cbalCh2Prod4Slot1NetRev</vt:lpstr>
      <vt:lpstr>cbalCh2Prod4Slot1NetRevPerLtr</vt:lpstr>
      <vt:lpstr>cbalCh2Prod4Slot1Pack</vt:lpstr>
      <vt:lpstr>cbalCh2Prod4Slot1SoldVol</vt:lpstr>
      <vt:lpstr>cbalCh2Prod4Slot1WD</vt:lpstr>
      <vt:lpstr>cbalCh2Prod4Slot2Active</vt:lpstr>
      <vt:lpstr>cbalCh2Prod4Slot2AvgPrice</vt:lpstr>
      <vt:lpstr>cbalCh2Prod4Slot2COGS</vt:lpstr>
      <vt:lpstr>cbalCh2Prod4Slot2COGSpL</vt:lpstr>
      <vt:lpstr>cbalCh2Prod4Slot2CustPrice</vt:lpstr>
      <vt:lpstr>cbalCh2Prod4Slot2GPaL</vt:lpstr>
      <vt:lpstr>cbalCh2Prod4Slot2GPaLPerLitre</vt:lpstr>
      <vt:lpstr>cbalCh2Prod4Slot2NetRev</vt:lpstr>
      <vt:lpstr>cbalCh2Prod4Slot2NetRevPerLtr</vt:lpstr>
      <vt:lpstr>cbalCh2Prod4Slot2Pack</vt:lpstr>
      <vt:lpstr>cbalCh2Prod4Slot2SoldVol</vt:lpstr>
      <vt:lpstr>cbalCh2Prod4Slot2WD</vt:lpstr>
      <vt:lpstr>cbalCh2Prod4Slot3Active</vt:lpstr>
      <vt:lpstr>cbalCh2Prod4Slot3AvgPrice</vt:lpstr>
      <vt:lpstr>cbalCh2Prod4Slot3COGS</vt:lpstr>
      <vt:lpstr>cbalCh2Prod4Slot3COGSpL</vt:lpstr>
      <vt:lpstr>cbalCh2Prod4Slot3CustPrice</vt:lpstr>
      <vt:lpstr>cbalCh2Prod4Slot3GPaL</vt:lpstr>
      <vt:lpstr>cbalCh2Prod4Slot3GPaLPerLitre</vt:lpstr>
      <vt:lpstr>cbalCh2Prod4Slot3NetRev</vt:lpstr>
      <vt:lpstr>cbalCh2Prod4Slot3NetRevPerLtr</vt:lpstr>
      <vt:lpstr>cbalCh2Prod4Slot3Pack</vt:lpstr>
      <vt:lpstr>cbalCh2Prod4Slot3SoldVol</vt:lpstr>
      <vt:lpstr>cbalCh2Prod4Slot3WD</vt:lpstr>
      <vt:lpstr>cbalCh2Prod4SlotTotActive</vt:lpstr>
      <vt:lpstr>cbalCh2RevenueTot</vt:lpstr>
      <vt:lpstr>cbalCh2Slots</vt:lpstr>
      <vt:lpstr>cbalCh2SlotTotActive</vt:lpstr>
      <vt:lpstr>cbalCh2ValDriv1</vt:lpstr>
      <vt:lpstr>cbalCh2ValDriv2</vt:lpstr>
      <vt:lpstr>cbalCh2ValDriv3</vt:lpstr>
      <vt:lpstr>cbalCh2ValDriv4</vt:lpstr>
      <vt:lpstr>cbalCh2ValDriv5</vt:lpstr>
      <vt:lpstr>cbalCh2ValDrivCond</vt:lpstr>
      <vt:lpstr>cbalCh3CustomerProfitTot</vt:lpstr>
      <vt:lpstr>cbalCh3GCCTot</vt:lpstr>
      <vt:lpstr>cbalCh3GPaLTot</vt:lpstr>
      <vt:lpstr>cbalCh3Prod1Slot1Active</vt:lpstr>
      <vt:lpstr>cbalCh3Prod1Slot1AvgPrice</vt:lpstr>
      <vt:lpstr>cbalCh3Prod1Slot1COGS</vt:lpstr>
      <vt:lpstr>cbalCh3Prod1Slot1COGSpL</vt:lpstr>
      <vt:lpstr>cbalCh3Prod1Slot1CustPrice</vt:lpstr>
      <vt:lpstr>cbalCh3Prod1Slot1GPaL</vt:lpstr>
      <vt:lpstr>cbalCh3Prod1Slot1GPaLPerLitre</vt:lpstr>
      <vt:lpstr>cbalCh3Prod1Slot1NetRev</vt:lpstr>
      <vt:lpstr>cbalCh3Prod1Slot1NetRevPerLtr</vt:lpstr>
      <vt:lpstr>cbalCh3Prod1Slot1Pack</vt:lpstr>
      <vt:lpstr>cbalCh3Prod1Slot1Promo1</vt:lpstr>
      <vt:lpstr>cbalCh3Prod1Slot1Promo1CustUplift</vt:lpstr>
      <vt:lpstr>cbalCh3Prod1Slot1Promo1GPaLUplift</vt:lpstr>
      <vt:lpstr>cbalCh3Prod1Slot1Promo1Price</vt:lpstr>
      <vt:lpstr>cbalCh3Prod1Slot1Promo1ROI</vt:lpstr>
      <vt:lpstr>cbalCh3Prod1Slot1Promo1Share</vt:lpstr>
      <vt:lpstr>cbalCh3Prod1Slot1Promo1VolUplift</vt:lpstr>
      <vt:lpstr>cbalCh3Prod1Slot1Promo1Weeks</vt:lpstr>
      <vt:lpstr>cbalCh3Prod1Slot1SoldVol</vt:lpstr>
      <vt:lpstr>cbalCh3Prod1Slot1WD</vt:lpstr>
      <vt:lpstr>cbalCh3Prod1Slot2Active</vt:lpstr>
      <vt:lpstr>cbalCh3Prod1Slot2AvgPrice</vt:lpstr>
      <vt:lpstr>cbalCh3Prod1Slot2COGS</vt:lpstr>
      <vt:lpstr>cbalCh3Prod1Slot2COGSpL</vt:lpstr>
      <vt:lpstr>cbalCh3Prod1Slot2CustPrice</vt:lpstr>
      <vt:lpstr>cbalCh3Prod1Slot2GPaL</vt:lpstr>
      <vt:lpstr>cbalCh3Prod1Slot2GPaLPerLitre</vt:lpstr>
      <vt:lpstr>cbalCh3Prod1Slot2NetRev</vt:lpstr>
      <vt:lpstr>cbalCh3Prod1Slot2NetRevPerLtr</vt:lpstr>
      <vt:lpstr>cbalCh3Prod1Slot2Pack</vt:lpstr>
      <vt:lpstr>cbalCh3Prod1Slot2Promo1</vt:lpstr>
      <vt:lpstr>cbalCh3Prod1Slot2Promo1CustUplift</vt:lpstr>
      <vt:lpstr>cbalCh3Prod1Slot2Promo1GPaLUplift</vt:lpstr>
      <vt:lpstr>cbalCh3Prod1Slot2Promo1Price</vt:lpstr>
      <vt:lpstr>cbalCh3Prod1Slot2Promo1ROI</vt:lpstr>
      <vt:lpstr>cbalCh3Prod1Slot2Promo1Share</vt:lpstr>
      <vt:lpstr>cbalCh3Prod1Slot2Promo1VolUplift</vt:lpstr>
      <vt:lpstr>cbalCh3Prod1Slot2Promo1Weeks</vt:lpstr>
      <vt:lpstr>cbalCh3Prod1Slot2SoldVol</vt:lpstr>
      <vt:lpstr>cbalCh3Prod1Slot2WD</vt:lpstr>
      <vt:lpstr>cbalCh3Prod1Slot3Active</vt:lpstr>
      <vt:lpstr>cbalCh3Prod1Slot3AvgPrice</vt:lpstr>
      <vt:lpstr>cbalCh3Prod1Slot3COGS</vt:lpstr>
      <vt:lpstr>cbalCh3Prod1Slot3COGSpL</vt:lpstr>
      <vt:lpstr>cbalCh3Prod1Slot3CustPrice</vt:lpstr>
      <vt:lpstr>cbalCh3Prod1Slot3GPaL</vt:lpstr>
      <vt:lpstr>cbalCh3Prod1Slot3GPaLPerLitre</vt:lpstr>
      <vt:lpstr>cbalCh3Prod1Slot3NetRev</vt:lpstr>
      <vt:lpstr>cbalCh3Prod1Slot3NetRevPerLtr</vt:lpstr>
      <vt:lpstr>cbalCh3Prod1Slot3Pack</vt:lpstr>
      <vt:lpstr>cbalCh3Prod1Slot3Promo1</vt:lpstr>
      <vt:lpstr>cbalCh3Prod1Slot3Promo1CustUplift</vt:lpstr>
      <vt:lpstr>cbalCh3Prod1Slot3Promo1GPaLUplift</vt:lpstr>
      <vt:lpstr>cbalCh3Prod1Slot3Promo1Price</vt:lpstr>
      <vt:lpstr>cbalCh3Prod1Slot3Promo1ROI</vt:lpstr>
      <vt:lpstr>cbalCh3Prod1Slot3Promo1Share</vt:lpstr>
      <vt:lpstr>cbalCh3Prod1Slot3Promo1VolUplift</vt:lpstr>
      <vt:lpstr>cbalCh3Prod1Slot3Promo1Weeks</vt:lpstr>
      <vt:lpstr>cbalCh3Prod1Slot3SoldVol</vt:lpstr>
      <vt:lpstr>cbalCh3Prod1Slot3WD</vt:lpstr>
      <vt:lpstr>cbalCh3Prod1SlotTotActive</vt:lpstr>
      <vt:lpstr>cbalCh3Prod2Slot1Active</vt:lpstr>
      <vt:lpstr>cbalCh3Prod2Slot1AvgPrice</vt:lpstr>
      <vt:lpstr>cbalCh3Prod2Slot1COGS</vt:lpstr>
      <vt:lpstr>cbalCh3Prod2Slot1COGSpL</vt:lpstr>
      <vt:lpstr>cbalCh3Prod2Slot1CustPrice</vt:lpstr>
      <vt:lpstr>cbalCh3Prod2Slot1GPaL</vt:lpstr>
      <vt:lpstr>cbalCh3Prod2Slot1GPaLPerLitre</vt:lpstr>
      <vt:lpstr>cbalCh3Prod2Slot1NetRev</vt:lpstr>
      <vt:lpstr>cbalCh3Prod2Slot1NetRevPerLtr</vt:lpstr>
      <vt:lpstr>cbalCh3Prod2Slot1Pack</vt:lpstr>
      <vt:lpstr>cbalCh3Prod2Slot1Promo1</vt:lpstr>
      <vt:lpstr>cbalCh3Prod2Slot1Promo1CustUplift</vt:lpstr>
      <vt:lpstr>cbalCh3Prod2Slot1Promo1GPaLUplift</vt:lpstr>
      <vt:lpstr>cbalCh3Prod2Slot1Promo1Price</vt:lpstr>
      <vt:lpstr>cbalCh3Prod2Slot1Promo1ROI</vt:lpstr>
      <vt:lpstr>cbalCh3Prod2Slot1Promo1Share</vt:lpstr>
      <vt:lpstr>cbalCh3Prod2Slot1Promo1VolUplift</vt:lpstr>
      <vt:lpstr>cbalCh3Prod2Slot1Promo1Weeks</vt:lpstr>
      <vt:lpstr>cbalCh3Prod2Slot1SoldVol</vt:lpstr>
      <vt:lpstr>cbalCh3Prod2Slot1WD</vt:lpstr>
      <vt:lpstr>cbalCh3Prod2Slot2Active</vt:lpstr>
      <vt:lpstr>cbalCh3Prod2Slot2AvgPrice</vt:lpstr>
      <vt:lpstr>cbalCh3Prod2Slot2COGS</vt:lpstr>
      <vt:lpstr>cbalCh3Prod2Slot2COGSpL</vt:lpstr>
      <vt:lpstr>cbalCh3Prod2Slot2CustPrice</vt:lpstr>
      <vt:lpstr>cbalCh3Prod2Slot2GPaL</vt:lpstr>
      <vt:lpstr>cbalCh3Prod2Slot2GPaLPerLitre</vt:lpstr>
      <vt:lpstr>cbalCh3Prod2Slot2NetRev</vt:lpstr>
      <vt:lpstr>cbalCh3Prod2Slot2NetRevPerLtr</vt:lpstr>
      <vt:lpstr>cbalCh3Prod2Slot2Pack</vt:lpstr>
      <vt:lpstr>cbalCh3Prod2Slot2Promo1</vt:lpstr>
      <vt:lpstr>cbalCh3Prod2Slot2Promo1CustUplift</vt:lpstr>
      <vt:lpstr>cbalCh3Prod2Slot2Promo1GPaLUplift</vt:lpstr>
      <vt:lpstr>cbalCh3Prod2Slot2Promo1Price</vt:lpstr>
      <vt:lpstr>cbalCh3Prod2Slot2Promo1ROI</vt:lpstr>
      <vt:lpstr>cbalCh3Prod2Slot2Promo1Share</vt:lpstr>
      <vt:lpstr>cbalCh3Prod2Slot2Promo1VolUplift</vt:lpstr>
      <vt:lpstr>cbalCh3Prod2Slot2Promo1Weeks</vt:lpstr>
      <vt:lpstr>cbalCh3Prod2Slot2SoldVol</vt:lpstr>
      <vt:lpstr>cbalCh3Prod2Slot2WD</vt:lpstr>
      <vt:lpstr>cbalCh3Prod2Slot3Active</vt:lpstr>
      <vt:lpstr>cbalCh3Prod2Slot3AvgPrice</vt:lpstr>
      <vt:lpstr>cbalCh3Prod2Slot3COGS</vt:lpstr>
      <vt:lpstr>cbalCh3Prod2Slot3COGSpL</vt:lpstr>
      <vt:lpstr>cbalCh3Prod2Slot3CustPrice</vt:lpstr>
      <vt:lpstr>cbalCh3Prod2Slot3GPaL</vt:lpstr>
      <vt:lpstr>cbalCh3Prod2Slot3GPaLPerLitre</vt:lpstr>
      <vt:lpstr>cbalCh3Prod2Slot3NetRev</vt:lpstr>
      <vt:lpstr>cbalCh3Prod2Slot3NetRevPerLtr</vt:lpstr>
      <vt:lpstr>cbalCh3Prod2Slot3Pack</vt:lpstr>
      <vt:lpstr>cbalCh3Prod2Slot3Promo1</vt:lpstr>
      <vt:lpstr>cbalCh3Prod2Slot3Promo1CustUplift</vt:lpstr>
      <vt:lpstr>cbalCh3Prod2Slot3Promo1GPaLUplift</vt:lpstr>
      <vt:lpstr>cbalCh3Prod2Slot3Promo1Price</vt:lpstr>
      <vt:lpstr>cbalCh3Prod2Slot3Promo1ROI</vt:lpstr>
      <vt:lpstr>cbalCh3Prod2Slot3Promo1Share</vt:lpstr>
      <vt:lpstr>cbalCh3Prod2Slot3Promo1VolUplift</vt:lpstr>
      <vt:lpstr>cbalCh3Prod2Slot3Promo1Weeks</vt:lpstr>
      <vt:lpstr>cbalCh3Prod2Slot3SoldVol</vt:lpstr>
      <vt:lpstr>cbalCh3Prod2Slot3WD</vt:lpstr>
      <vt:lpstr>cbalCh3Prod2SlotTotActive</vt:lpstr>
      <vt:lpstr>cbalCh3Prod3Slot1Active</vt:lpstr>
      <vt:lpstr>cbalCh3Prod3Slot1AvgPrice</vt:lpstr>
      <vt:lpstr>cbalCh3Prod3Slot1COGS</vt:lpstr>
      <vt:lpstr>cbalCh3Prod3Slot1COGSpL</vt:lpstr>
      <vt:lpstr>cbalCh3Prod3Slot1CustPrice</vt:lpstr>
      <vt:lpstr>cbalCh3Prod3Slot1GPaL</vt:lpstr>
      <vt:lpstr>cbalCh3Prod3Slot1GPaLPerLitre</vt:lpstr>
      <vt:lpstr>cbalCh3Prod3Slot1NetRev</vt:lpstr>
      <vt:lpstr>cbalCh3Prod3Slot1NetRevPerLtr</vt:lpstr>
      <vt:lpstr>cbalCh3Prod3Slot1Pack</vt:lpstr>
      <vt:lpstr>cbalCh3Prod3Slot1Promo1</vt:lpstr>
      <vt:lpstr>cbalCh3Prod3Slot1Promo1CustUplift</vt:lpstr>
      <vt:lpstr>cbalCh3Prod3Slot1Promo1GPaLUplift</vt:lpstr>
      <vt:lpstr>cbalCh3Prod3Slot1Promo1Price</vt:lpstr>
      <vt:lpstr>cbalCh3Prod3Slot1Promo1ROI</vt:lpstr>
      <vt:lpstr>cbalCh3Prod3Slot1Promo1Share</vt:lpstr>
      <vt:lpstr>cbalCh3Prod3Slot1Promo1VolUplift</vt:lpstr>
      <vt:lpstr>cbalCh3Prod3Slot1Promo1Weeks</vt:lpstr>
      <vt:lpstr>cbalCh3Prod3Slot1SoldVol</vt:lpstr>
      <vt:lpstr>cbalCh3Prod3Slot1WD</vt:lpstr>
      <vt:lpstr>cbalCh3Prod3Slot2Active</vt:lpstr>
      <vt:lpstr>cbalCh3Prod3Slot2AvgPrice</vt:lpstr>
      <vt:lpstr>cbalCh3Prod3Slot2COGS</vt:lpstr>
      <vt:lpstr>cbalCh3Prod3Slot2COGSpL</vt:lpstr>
      <vt:lpstr>cbalCh3Prod3Slot2CustPrice</vt:lpstr>
      <vt:lpstr>cbalCh3Prod3Slot2GPaL</vt:lpstr>
      <vt:lpstr>cbalCh3Prod3Slot2GPaLPerLitre</vt:lpstr>
      <vt:lpstr>cbalCh3Prod3Slot2NetRev</vt:lpstr>
      <vt:lpstr>cbalCh3Prod3Slot2NetRevPerLtr</vt:lpstr>
      <vt:lpstr>cbalCh3Prod3Slot2Pack</vt:lpstr>
      <vt:lpstr>cbalCh3Prod3Slot2Promo1</vt:lpstr>
      <vt:lpstr>cbalCh3Prod3Slot2Promo1CustUplift</vt:lpstr>
      <vt:lpstr>cbalCh3Prod3Slot2Promo1GPaLUplift</vt:lpstr>
      <vt:lpstr>cbalCh3Prod3Slot2Promo1Price</vt:lpstr>
      <vt:lpstr>cbalCh3Prod3Slot2Promo1ROI</vt:lpstr>
      <vt:lpstr>cbalCh3Prod3Slot2Promo1Share</vt:lpstr>
      <vt:lpstr>cbalCh3Prod3Slot2Promo1VolUplift</vt:lpstr>
      <vt:lpstr>cbalCh3Prod3Slot2Promo1Weeks</vt:lpstr>
      <vt:lpstr>cbalCh3Prod3Slot2SoldVol</vt:lpstr>
      <vt:lpstr>cbalCh3Prod3Slot2WD</vt:lpstr>
      <vt:lpstr>cbalCh3Prod3Slot3Active</vt:lpstr>
      <vt:lpstr>cbalCh3Prod3Slot3AvgPrice</vt:lpstr>
      <vt:lpstr>cbalCh3Prod3Slot3COGS</vt:lpstr>
      <vt:lpstr>cbalCh3Prod3Slot3COGSpL</vt:lpstr>
      <vt:lpstr>cbalCh3Prod3Slot3CustPrice</vt:lpstr>
      <vt:lpstr>cbalCh3Prod3Slot3GPaL</vt:lpstr>
      <vt:lpstr>cbalCh3Prod3Slot3GPaLPerLitre</vt:lpstr>
      <vt:lpstr>cbalCh3Prod3Slot3NetRev</vt:lpstr>
      <vt:lpstr>cbalCh3Prod3Slot3NetRevPerLtr</vt:lpstr>
      <vt:lpstr>cbalCh3Prod3Slot3Pack</vt:lpstr>
      <vt:lpstr>cbalCh3Prod3Slot3Promo1</vt:lpstr>
      <vt:lpstr>cbalCh3Prod3Slot3Promo1CustUplift</vt:lpstr>
      <vt:lpstr>cbalCh3Prod3Slot3Promo1GPaLUplift</vt:lpstr>
      <vt:lpstr>cbalCh3Prod3Slot3Promo1Price</vt:lpstr>
      <vt:lpstr>cbalCh3Prod3Slot3Promo1ROI</vt:lpstr>
      <vt:lpstr>cbalCh3Prod3Slot3Promo1Share</vt:lpstr>
      <vt:lpstr>cbalCh3Prod3Slot3Promo1VolUplift</vt:lpstr>
      <vt:lpstr>cbalCh3Prod3Slot3Promo1Weeks</vt:lpstr>
      <vt:lpstr>cbalCh3Prod3Slot3SoldVol</vt:lpstr>
      <vt:lpstr>cbalCh3Prod3Slot3WD</vt:lpstr>
      <vt:lpstr>cbalCh3Prod3SlotTotActive</vt:lpstr>
      <vt:lpstr>cbalCh3Prod4Slot1Active</vt:lpstr>
      <vt:lpstr>cbalCh3Prod4Slot1AvgPrice</vt:lpstr>
      <vt:lpstr>cbalCh3Prod4Slot1COGS</vt:lpstr>
      <vt:lpstr>cbalCh3Prod4Slot1COGSpL</vt:lpstr>
      <vt:lpstr>cbalCh3Prod4Slot1CustPrice</vt:lpstr>
      <vt:lpstr>cbalCh3Prod4Slot1GPaL</vt:lpstr>
      <vt:lpstr>cbalCh3Prod4Slot1GPaLPerLitre</vt:lpstr>
      <vt:lpstr>cbalCh3Prod4Slot1NetRev</vt:lpstr>
      <vt:lpstr>cbalCh3Prod4Slot1NetRevPerLtr</vt:lpstr>
      <vt:lpstr>cbalCh3Prod4Slot1Pack</vt:lpstr>
      <vt:lpstr>cbalCh3Prod4Slot1Promo1</vt:lpstr>
      <vt:lpstr>cbalCh3Prod4Slot1Promo1CustUplift</vt:lpstr>
      <vt:lpstr>cbalCh3Prod4Slot1Promo1GPaLUplift</vt:lpstr>
      <vt:lpstr>cbalCh3Prod4Slot1Promo1Price</vt:lpstr>
      <vt:lpstr>cbalCh3Prod4Slot1Promo1ROI</vt:lpstr>
      <vt:lpstr>cbalCh3Prod4Slot1Promo1Share</vt:lpstr>
      <vt:lpstr>cbalCh3Prod4Slot1Promo1VolUplift</vt:lpstr>
      <vt:lpstr>cbalCh3Prod4Slot1Promo1Weeks</vt:lpstr>
      <vt:lpstr>cbalCh3Prod4Slot1SoldVol</vt:lpstr>
      <vt:lpstr>cbalCh3Prod4Slot1WD</vt:lpstr>
      <vt:lpstr>cbalCh3Prod4Slot2Active</vt:lpstr>
      <vt:lpstr>cbalCh3Prod4Slot2AvgPrice</vt:lpstr>
      <vt:lpstr>cbalCh3Prod4Slot2COGS</vt:lpstr>
      <vt:lpstr>cbalCh3Prod4Slot2COGSpL</vt:lpstr>
      <vt:lpstr>cbalCh3Prod4Slot2CustPrice</vt:lpstr>
      <vt:lpstr>cbalCh3Prod4Slot2GPaL</vt:lpstr>
      <vt:lpstr>cbalCh3Prod4Slot2GPaLPerLitre</vt:lpstr>
      <vt:lpstr>cbalCh3Prod4Slot2NetRev</vt:lpstr>
      <vt:lpstr>cbalCh3Prod4Slot2NetRevPerLtr</vt:lpstr>
      <vt:lpstr>cbalCh3Prod4Slot2Pack</vt:lpstr>
      <vt:lpstr>cbalCh3Prod4Slot2Promo1</vt:lpstr>
      <vt:lpstr>cbalCh3Prod4Slot2Promo1CustUplift</vt:lpstr>
      <vt:lpstr>cbalCh3Prod4Slot2Promo1GPaLUplift</vt:lpstr>
      <vt:lpstr>cbalCh3Prod4Slot2Promo1Price</vt:lpstr>
      <vt:lpstr>cbalCh3Prod4Slot2Promo1ROI</vt:lpstr>
      <vt:lpstr>cbalCh3Prod4Slot2Promo1Share</vt:lpstr>
      <vt:lpstr>cbalCh3Prod4Slot2Promo1VolUplift</vt:lpstr>
      <vt:lpstr>cbalCh3Prod4Slot2Promo1Weeks</vt:lpstr>
      <vt:lpstr>cbalCh3Prod4Slot2SoldVol</vt:lpstr>
      <vt:lpstr>cbalCh3Prod4Slot2WD</vt:lpstr>
      <vt:lpstr>cbalCh3Prod4Slot3Active</vt:lpstr>
      <vt:lpstr>cbalCh3Prod4Slot3AvgPrice</vt:lpstr>
      <vt:lpstr>cbalCh3Prod4Slot3COGS</vt:lpstr>
      <vt:lpstr>cbalCh3Prod4Slot3COGSpL</vt:lpstr>
      <vt:lpstr>cbalCh3Prod4Slot3CustPrice</vt:lpstr>
      <vt:lpstr>cbalCh3Prod4Slot3GPaL</vt:lpstr>
      <vt:lpstr>cbalCh3Prod4Slot3GPaLPerLitre</vt:lpstr>
      <vt:lpstr>cbalCh3Prod4Slot3NetRev</vt:lpstr>
      <vt:lpstr>cbalCh3Prod4Slot3NetRevPerLtr</vt:lpstr>
      <vt:lpstr>cbalCh3Prod4Slot3Pack</vt:lpstr>
      <vt:lpstr>cbalCh3Prod4Slot3Promo1</vt:lpstr>
      <vt:lpstr>cbalCh3Prod4Slot3Promo1CustUplift</vt:lpstr>
      <vt:lpstr>cbalCh3Prod4Slot3Promo1GPaLUplift</vt:lpstr>
      <vt:lpstr>cbalCh3Prod4Slot3Promo1Price</vt:lpstr>
      <vt:lpstr>cbalCh3Prod4Slot3Promo1ROI</vt:lpstr>
      <vt:lpstr>cbalCh3Prod4Slot3Promo1Share</vt:lpstr>
      <vt:lpstr>cbalCh3Prod4Slot3Promo1VolUplift</vt:lpstr>
      <vt:lpstr>cbalCh3Prod4Slot3Promo1Weeks</vt:lpstr>
      <vt:lpstr>cbalCh3Prod4Slot3SoldVol</vt:lpstr>
      <vt:lpstr>cbalCh3Prod4Slot3WD</vt:lpstr>
      <vt:lpstr>cbalCh3Prod4SlotTotActive</vt:lpstr>
      <vt:lpstr>cbalCh3RevenueTot</vt:lpstr>
      <vt:lpstr>cbalCh3Slots</vt:lpstr>
      <vt:lpstr>cbalCh3SlotTotActive</vt:lpstr>
      <vt:lpstr>cbalCh3ValDriv1</vt:lpstr>
      <vt:lpstr>cbalCh3ValDriv2</vt:lpstr>
      <vt:lpstr>cbalCh3ValDriv3</vt:lpstr>
      <vt:lpstr>cbalCh3ValDriv4</vt:lpstr>
      <vt:lpstr>cbalCh3ValDriv5</vt:lpstr>
      <vt:lpstr>cbalCh3ValDrivCond</vt:lpstr>
      <vt:lpstr>cbalCh4CustomerProfitTot</vt:lpstr>
      <vt:lpstr>cbalCh4GCCTot</vt:lpstr>
      <vt:lpstr>cbalCh4GPaLTot</vt:lpstr>
      <vt:lpstr>cbalCh4Prod1Slot1Active</vt:lpstr>
      <vt:lpstr>cbalCh4Prod1Slot1AvgPrice</vt:lpstr>
      <vt:lpstr>cbalCh4Prod1Slot1COGS</vt:lpstr>
      <vt:lpstr>cbalCh4Prod1Slot1COGSpL</vt:lpstr>
      <vt:lpstr>cbalCh4Prod1Slot1CustPrice</vt:lpstr>
      <vt:lpstr>cbalCh4Prod1Slot1GPaL</vt:lpstr>
      <vt:lpstr>cbalCh4Prod1Slot1GPaLPerLitre</vt:lpstr>
      <vt:lpstr>cbalCh4Prod1Slot1NetRev</vt:lpstr>
      <vt:lpstr>cbalCh4Prod1Slot1NetRevPerLtr</vt:lpstr>
      <vt:lpstr>cbalCh4Prod1Slot1Pack</vt:lpstr>
      <vt:lpstr>cbalCh4Prod1Slot1Promo1</vt:lpstr>
      <vt:lpstr>cbalCh4Prod1Slot1Promo1CustUplift</vt:lpstr>
      <vt:lpstr>cbalCh4Prod1Slot1Promo1GPaLUplift</vt:lpstr>
      <vt:lpstr>cbalCh4Prod1Slot1Promo1Price</vt:lpstr>
      <vt:lpstr>cbalCh4Prod1Slot1Promo1ROI</vt:lpstr>
      <vt:lpstr>cbalCh4Prod1Slot1Promo1Share</vt:lpstr>
      <vt:lpstr>cbalCh4Prod1Slot1Promo1VolUplift</vt:lpstr>
      <vt:lpstr>cbalCh4Prod1Slot1Promo1Weeks</vt:lpstr>
      <vt:lpstr>cbalCh4Prod1Slot1SoldVol</vt:lpstr>
      <vt:lpstr>cbalCh4Prod1Slot1WD</vt:lpstr>
      <vt:lpstr>cbalCh4Prod1Slot2Active</vt:lpstr>
      <vt:lpstr>cbalCh4Prod1Slot2AvgPrice</vt:lpstr>
      <vt:lpstr>cbalCh4Prod1Slot2COGS</vt:lpstr>
      <vt:lpstr>cbalCh4Prod1Slot2COGSpL</vt:lpstr>
      <vt:lpstr>cbalCh4Prod1Slot2CustPrice</vt:lpstr>
      <vt:lpstr>cbalCh4Prod1Slot2GPaL</vt:lpstr>
      <vt:lpstr>cbalCh4Prod1Slot2GPaLPerLitre</vt:lpstr>
      <vt:lpstr>cbalCh4Prod1Slot2NetRev</vt:lpstr>
      <vt:lpstr>cbalCh4Prod1Slot2NetRevPerLtr</vt:lpstr>
      <vt:lpstr>cbalCh4Prod1Slot2Pack</vt:lpstr>
      <vt:lpstr>cbalCh4Prod1Slot2Promo1</vt:lpstr>
      <vt:lpstr>cbalCh4Prod1Slot2Promo1CustUplift</vt:lpstr>
      <vt:lpstr>cbalCh4Prod1Slot2Promo1GPaLUplift</vt:lpstr>
      <vt:lpstr>cbalCh4Prod1Slot2Promo1Price</vt:lpstr>
      <vt:lpstr>cbalCh4Prod1Slot2Promo1ROI</vt:lpstr>
      <vt:lpstr>cbalCh4Prod1Slot2Promo1Share</vt:lpstr>
      <vt:lpstr>cbalCh4Prod1Slot2Promo1VolUplift</vt:lpstr>
      <vt:lpstr>cbalCh4Prod1Slot2Promo1Weeks</vt:lpstr>
      <vt:lpstr>cbalCh4Prod1Slot2SoldVol</vt:lpstr>
      <vt:lpstr>cbalCh4Prod1Slot2WD</vt:lpstr>
      <vt:lpstr>cbalCh4Prod1Slot3Active</vt:lpstr>
      <vt:lpstr>cbalCh4Prod1Slot3AvgPrice</vt:lpstr>
      <vt:lpstr>cbalCh4Prod1Slot3COGS</vt:lpstr>
      <vt:lpstr>cbalCh4Prod1Slot3COGSpL</vt:lpstr>
      <vt:lpstr>cbalCh4Prod1Slot3CustPrice</vt:lpstr>
      <vt:lpstr>cbalCh4Prod1Slot3GPaL</vt:lpstr>
      <vt:lpstr>cbalCh4Prod1Slot3GPaLPerLitre</vt:lpstr>
      <vt:lpstr>cbalCh4Prod1Slot3NetRev</vt:lpstr>
      <vt:lpstr>cbalCh4Prod1Slot3NetRevPerLtr</vt:lpstr>
      <vt:lpstr>cbalCh4Prod1Slot3Pack</vt:lpstr>
      <vt:lpstr>cbalCh4Prod1Slot3Promo1</vt:lpstr>
      <vt:lpstr>cbalCh4Prod1Slot3Promo1CustUplift</vt:lpstr>
      <vt:lpstr>cbalCh4Prod1Slot3Promo1GPaLUplift</vt:lpstr>
      <vt:lpstr>cbalCh4Prod1Slot3Promo1Price</vt:lpstr>
      <vt:lpstr>cbalCh4Prod1Slot3Promo1ROI</vt:lpstr>
      <vt:lpstr>cbalCh4Prod1Slot3Promo1Share</vt:lpstr>
      <vt:lpstr>cbalCh4Prod1Slot3Promo1VolUplift</vt:lpstr>
      <vt:lpstr>cbalCh4Prod1Slot3Promo1Weeks</vt:lpstr>
      <vt:lpstr>cbalCh4Prod1Slot3SoldVol</vt:lpstr>
      <vt:lpstr>cbalCh4Prod1Slot3WD</vt:lpstr>
      <vt:lpstr>cbalCh4Prod1SlotTotActive</vt:lpstr>
      <vt:lpstr>cbalCh4Prod2Slot1Active</vt:lpstr>
      <vt:lpstr>cbalCh4Prod2Slot1AvgPrice</vt:lpstr>
      <vt:lpstr>cbalCh4Prod2Slot1COGS</vt:lpstr>
      <vt:lpstr>cbalCh4Prod2Slot1COGSpL</vt:lpstr>
      <vt:lpstr>cbalCh4Prod2Slot1CustPrice</vt:lpstr>
      <vt:lpstr>cbalCh4Prod2Slot1GPaL</vt:lpstr>
      <vt:lpstr>cbalCh4Prod2Slot1GPaLPerLitre</vt:lpstr>
      <vt:lpstr>cbalCh4Prod2Slot1NetRev</vt:lpstr>
      <vt:lpstr>cbalCh4Prod2Slot1NetRevPerLtr</vt:lpstr>
      <vt:lpstr>cbalCh4Prod2Slot1Pack</vt:lpstr>
      <vt:lpstr>cbalCh4Prod2Slot1Promo1</vt:lpstr>
      <vt:lpstr>cbalCh4Prod2Slot1Promo1CustUplift</vt:lpstr>
      <vt:lpstr>cbalCh4Prod2Slot1Promo1GPaLUplift</vt:lpstr>
      <vt:lpstr>cbalCh4Prod2Slot1Promo1Price</vt:lpstr>
      <vt:lpstr>cbalCh4Prod2Slot1Promo1ROI</vt:lpstr>
      <vt:lpstr>cbalCh4Prod2Slot1Promo1Share</vt:lpstr>
      <vt:lpstr>cbalCh4Prod2Slot1Promo1VolUplift</vt:lpstr>
      <vt:lpstr>cbalCh4Prod2Slot1Promo1Weeks</vt:lpstr>
      <vt:lpstr>cbalCh4Prod2Slot1SoldVol</vt:lpstr>
      <vt:lpstr>cbalCh4Prod2Slot1WD</vt:lpstr>
      <vt:lpstr>cbalCh4Prod2Slot2Active</vt:lpstr>
      <vt:lpstr>cbalCh4Prod2Slot2AvgPrice</vt:lpstr>
      <vt:lpstr>cbalCh4Prod2Slot2COGS</vt:lpstr>
      <vt:lpstr>cbalCh4Prod2Slot2COGSpL</vt:lpstr>
      <vt:lpstr>cbalCh4Prod2Slot2CustPrice</vt:lpstr>
      <vt:lpstr>cbalCh4Prod2Slot2GPaL</vt:lpstr>
      <vt:lpstr>cbalCh4Prod2Slot2GPaLPerLitre</vt:lpstr>
      <vt:lpstr>cbalCh4Prod2Slot2NetRev</vt:lpstr>
      <vt:lpstr>cbalCh4Prod2Slot2NetRevPerLtr</vt:lpstr>
      <vt:lpstr>cbalCh4Prod2Slot2Pack</vt:lpstr>
      <vt:lpstr>cbalCh4Prod2Slot2Promo1</vt:lpstr>
      <vt:lpstr>cbalCh4Prod2Slot2Promo1CustUplift</vt:lpstr>
      <vt:lpstr>cbalCh4Prod2Slot2Promo1GPaLUplift</vt:lpstr>
      <vt:lpstr>cbalCh4Prod2Slot2Promo1Price</vt:lpstr>
      <vt:lpstr>cbalCh4Prod2Slot2Promo1ROI</vt:lpstr>
      <vt:lpstr>cbalCh4Prod2Slot2Promo1Share</vt:lpstr>
      <vt:lpstr>cbalCh4Prod2Slot2Promo1VolUplift</vt:lpstr>
      <vt:lpstr>cbalCh4Prod2Slot2Promo1Weeks</vt:lpstr>
      <vt:lpstr>cbalCh4Prod2Slot2SoldVol</vt:lpstr>
      <vt:lpstr>cbalCh4Prod2Slot2WD</vt:lpstr>
      <vt:lpstr>cbalCh4Prod2Slot3Active</vt:lpstr>
      <vt:lpstr>cbalCh4Prod2Slot3AvgPrice</vt:lpstr>
      <vt:lpstr>cbalCh4Prod2Slot3COGS</vt:lpstr>
      <vt:lpstr>cbalCh4Prod2Slot3COGSpL</vt:lpstr>
      <vt:lpstr>cbalCh4Prod2Slot3CustPrice</vt:lpstr>
      <vt:lpstr>cbalCh4Prod2Slot3GPaL</vt:lpstr>
      <vt:lpstr>cbalCh4Prod2Slot3GPaLPerLitre</vt:lpstr>
      <vt:lpstr>cbalCh4Prod2Slot3NetRev</vt:lpstr>
      <vt:lpstr>cbalCh4Prod2Slot3NetRevPerLtr</vt:lpstr>
      <vt:lpstr>cbalCh4Prod2Slot3Pack</vt:lpstr>
      <vt:lpstr>cbalCh4Prod2Slot3Promo1</vt:lpstr>
      <vt:lpstr>cbalCh4Prod2Slot3Promo1CustUplift</vt:lpstr>
      <vt:lpstr>cbalCh4Prod2Slot3Promo1GPaLUplift</vt:lpstr>
      <vt:lpstr>cbalCh4Prod2Slot3Promo1Price</vt:lpstr>
      <vt:lpstr>cbalCh4Prod2Slot3Promo1ROI</vt:lpstr>
      <vt:lpstr>cbalCh4Prod2Slot3Promo1Share</vt:lpstr>
      <vt:lpstr>cbalCh4Prod2Slot3Promo1VolUplift</vt:lpstr>
      <vt:lpstr>cbalCh4Prod2Slot3Promo1Weeks</vt:lpstr>
      <vt:lpstr>cbalCh4Prod2Slot3SoldVol</vt:lpstr>
      <vt:lpstr>cbalCh4Prod2Slot3WD</vt:lpstr>
      <vt:lpstr>cbalCh4Prod2SlotTotActive</vt:lpstr>
      <vt:lpstr>cbalCh4Prod3Slot1Active</vt:lpstr>
      <vt:lpstr>cbalCh4Prod3Slot1AvgPrice</vt:lpstr>
      <vt:lpstr>cbalCh4Prod3Slot1COGS</vt:lpstr>
      <vt:lpstr>cbalCh4Prod3Slot1COGSpL</vt:lpstr>
      <vt:lpstr>cbalCh4Prod3Slot1CustPrice</vt:lpstr>
      <vt:lpstr>cbalCh4Prod3Slot1GPaL</vt:lpstr>
      <vt:lpstr>cbalCh4Prod3Slot1GPaLPerLitre</vt:lpstr>
      <vt:lpstr>cbalCh4Prod3Slot1NetRev</vt:lpstr>
      <vt:lpstr>cbalCh4Prod3Slot1NetRevPerLtr</vt:lpstr>
      <vt:lpstr>cbalCh4Prod3Slot1Pack</vt:lpstr>
      <vt:lpstr>cbalCh4Prod3Slot1Promo1</vt:lpstr>
      <vt:lpstr>cbalCh4Prod3Slot1Promo1CustUplift</vt:lpstr>
      <vt:lpstr>cbalCh4Prod3Slot1Promo1GPaLUplift</vt:lpstr>
      <vt:lpstr>cbalCh4Prod3Slot1Promo1Price</vt:lpstr>
      <vt:lpstr>cbalCh4Prod3Slot1Promo1ROI</vt:lpstr>
      <vt:lpstr>cbalCh4Prod3Slot1Promo1Share</vt:lpstr>
      <vt:lpstr>cbalCh4Prod3Slot1Promo1VolUplift</vt:lpstr>
      <vt:lpstr>cbalCh4Prod3Slot1Promo1Weeks</vt:lpstr>
      <vt:lpstr>cbalCh4Prod3Slot1SoldVol</vt:lpstr>
      <vt:lpstr>cbalCh4Prod3Slot1WD</vt:lpstr>
      <vt:lpstr>cbalCh4Prod3Slot2Active</vt:lpstr>
      <vt:lpstr>cbalCh4Prod3Slot2AvgPrice</vt:lpstr>
      <vt:lpstr>cbalCh4Prod3Slot2COGS</vt:lpstr>
      <vt:lpstr>cbalCh4Prod3Slot2COGSpL</vt:lpstr>
      <vt:lpstr>cbalCh4Prod3Slot2CustPrice</vt:lpstr>
      <vt:lpstr>cbalCh4Prod3Slot2GPaL</vt:lpstr>
      <vt:lpstr>cbalCh4Prod3Slot2GPaLPerLitre</vt:lpstr>
      <vt:lpstr>cbalCh4Prod3Slot2NetRev</vt:lpstr>
      <vt:lpstr>cbalCh4Prod3Slot2NetRevPerLtr</vt:lpstr>
      <vt:lpstr>cbalCh4Prod3Slot2Pack</vt:lpstr>
      <vt:lpstr>cbalCh4Prod3Slot2Promo1</vt:lpstr>
      <vt:lpstr>cbalCh4Prod3Slot2Promo1CustUplift</vt:lpstr>
      <vt:lpstr>cbalCh4Prod3Slot2Promo1GPaLUplift</vt:lpstr>
      <vt:lpstr>cbalCh4Prod3Slot2Promo1Price</vt:lpstr>
      <vt:lpstr>cbalCh4Prod3Slot2Promo1ROI</vt:lpstr>
      <vt:lpstr>cbalCh4Prod3Slot2Promo1Share</vt:lpstr>
      <vt:lpstr>cbalCh4Prod3Slot2Promo1VolUplift</vt:lpstr>
      <vt:lpstr>cbalCh4Prod3Slot2Promo1Weeks</vt:lpstr>
      <vt:lpstr>cbalCh4Prod3Slot2SoldVol</vt:lpstr>
      <vt:lpstr>cbalCh4Prod3Slot2WD</vt:lpstr>
      <vt:lpstr>cbalCh4Prod3Slot3Active</vt:lpstr>
      <vt:lpstr>cbalCh4Prod3Slot3AvgPrice</vt:lpstr>
      <vt:lpstr>cbalCh4Prod3Slot3COGS</vt:lpstr>
      <vt:lpstr>cbalCh4Prod3Slot3COGSpL</vt:lpstr>
      <vt:lpstr>cbalCh4Prod3Slot3CustPrice</vt:lpstr>
      <vt:lpstr>cbalCh4Prod3Slot3GPaL</vt:lpstr>
      <vt:lpstr>cbalCh4Prod3Slot3GPaLPerLitre</vt:lpstr>
      <vt:lpstr>cbalCh4Prod3Slot3NetRev</vt:lpstr>
      <vt:lpstr>cbalCh4Prod3Slot3NetRevPerLtr</vt:lpstr>
      <vt:lpstr>cbalCh4Prod3Slot3Pack</vt:lpstr>
      <vt:lpstr>cbalCh4Prod3Slot3Promo1</vt:lpstr>
      <vt:lpstr>cbalCh4Prod3Slot3Promo1CustUplift</vt:lpstr>
      <vt:lpstr>cbalCh4Prod3Slot3Promo1GPaLUplift</vt:lpstr>
      <vt:lpstr>cbalCh4Prod3Slot3Promo1Price</vt:lpstr>
      <vt:lpstr>cbalCh4Prod3Slot3Promo1ROI</vt:lpstr>
      <vt:lpstr>cbalCh4Prod3Slot3Promo1Share</vt:lpstr>
      <vt:lpstr>cbalCh4Prod3Slot3Promo1VolUplift</vt:lpstr>
      <vt:lpstr>cbalCh4Prod3Slot3Promo1Weeks</vt:lpstr>
      <vt:lpstr>cbalCh4Prod3Slot3SoldVol</vt:lpstr>
      <vt:lpstr>cbalCh4Prod3Slot3WD</vt:lpstr>
      <vt:lpstr>cbalCh4Prod3SlotTotActive</vt:lpstr>
      <vt:lpstr>cbalCh4Prod4Slot1Active</vt:lpstr>
      <vt:lpstr>cbalCh4Prod4Slot1AvgPrice</vt:lpstr>
      <vt:lpstr>cbalCh4Prod4Slot1COGS</vt:lpstr>
      <vt:lpstr>cbalCh4Prod4Slot1COGSpL</vt:lpstr>
      <vt:lpstr>cbalCh4Prod4Slot1CustPrice</vt:lpstr>
      <vt:lpstr>cbalCh4Prod4Slot1GPaL</vt:lpstr>
      <vt:lpstr>cbalCh4Prod4Slot1GPaLPerLitre</vt:lpstr>
      <vt:lpstr>cbalCh4Prod4Slot1NetRev</vt:lpstr>
      <vt:lpstr>cbalCh4Prod4Slot1NetRevPerLtr</vt:lpstr>
      <vt:lpstr>cbalCh4Prod4Slot1Pack</vt:lpstr>
      <vt:lpstr>cbalCh4Prod4Slot1Promo1</vt:lpstr>
      <vt:lpstr>cbalCh4Prod4Slot1Promo1CustUplift</vt:lpstr>
      <vt:lpstr>cbalCh4Prod4Slot1Promo1GPaLUplift</vt:lpstr>
      <vt:lpstr>cbalCh4Prod4Slot1Promo1Price</vt:lpstr>
      <vt:lpstr>cbalCh4Prod4Slot1Promo1ROI</vt:lpstr>
      <vt:lpstr>cbalCh4Prod4Slot1Promo1Share</vt:lpstr>
      <vt:lpstr>cbalCh4Prod4Slot1Promo1VolUplift</vt:lpstr>
      <vt:lpstr>cbalCh4Prod4Slot1Promo1Weeks</vt:lpstr>
      <vt:lpstr>cbalCh4Prod4Slot1SoldVol</vt:lpstr>
      <vt:lpstr>cbalCh4Prod4Slot1WD</vt:lpstr>
      <vt:lpstr>cbalCh4Prod4Slot2Active</vt:lpstr>
      <vt:lpstr>cbalCh4Prod4Slot2AvgPrice</vt:lpstr>
      <vt:lpstr>cbalCh4Prod4Slot2COGS</vt:lpstr>
      <vt:lpstr>cbalCh4Prod4Slot2COGSpL</vt:lpstr>
      <vt:lpstr>cbalCh4Prod4Slot2CustPrice</vt:lpstr>
      <vt:lpstr>cbalCh4Prod4Slot2GPaL</vt:lpstr>
      <vt:lpstr>cbalCh4Prod4Slot2GPaLPerLitre</vt:lpstr>
      <vt:lpstr>cbalCh4Prod4Slot2NetRev</vt:lpstr>
      <vt:lpstr>cbalCh4Prod4Slot2NetRevPerLtr</vt:lpstr>
      <vt:lpstr>cbalCh4Prod4Slot2Pack</vt:lpstr>
      <vt:lpstr>cbalCh4Prod4Slot2Promo1</vt:lpstr>
      <vt:lpstr>cbalCh4Prod4Slot2Promo1CustUplift</vt:lpstr>
      <vt:lpstr>cbalCh4Prod4Slot2Promo1GPaLUplift</vt:lpstr>
      <vt:lpstr>cbalCh4Prod4Slot2Promo1Price</vt:lpstr>
      <vt:lpstr>cbalCh4Prod4Slot2Promo1ROI</vt:lpstr>
      <vt:lpstr>cbalCh4Prod4Slot2Promo1Share</vt:lpstr>
      <vt:lpstr>cbalCh4Prod4Slot2Promo1VolUplift</vt:lpstr>
      <vt:lpstr>cbalCh4Prod4Slot2Promo1Weeks</vt:lpstr>
      <vt:lpstr>cbalCh4Prod4Slot2SoldVol</vt:lpstr>
      <vt:lpstr>cbalCh4Prod4Slot2WD</vt:lpstr>
      <vt:lpstr>cbalCh4Prod4Slot3Active</vt:lpstr>
      <vt:lpstr>cbalCh4Prod4Slot3AvgPrice</vt:lpstr>
      <vt:lpstr>cbalCh4Prod4Slot3COGS</vt:lpstr>
      <vt:lpstr>cbalCh4Prod4Slot3COGSpL</vt:lpstr>
      <vt:lpstr>cbalCh4Prod4Slot3CustPrice</vt:lpstr>
      <vt:lpstr>cbalCh4Prod4Slot3GPaL</vt:lpstr>
      <vt:lpstr>cbalCh4Prod4Slot3GPaLPerLitre</vt:lpstr>
      <vt:lpstr>cbalCh4Prod4Slot3NetRev</vt:lpstr>
      <vt:lpstr>cbalCh4Prod4Slot3NetRevPerLtr</vt:lpstr>
      <vt:lpstr>cbalCh4Prod4Slot3Pack</vt:lpstr>
      <vt:lpstr>cbalCh4Prod4Slot3Promo1</vt:lpstr>
      <vt:lpstr>cbalCh4Prod4Slot3Promo1CustUplift</vt:lpstr>
      <vt:lpstr>cbalCh4Prod4Slot3Promo1GPaLUplift</vt:lpstr>
      <vt:lpstr>cbalCh4Prod4Slot3Promo1Price</vt:lpstr>
      <vt:lpstr>cbalCh4Prod4Slot3Promo1ROI</vt:lpstr>
      <vt:lpstr>cbalCh4Prod4Slot3Promo1Share</vt:lpstr>
      <vt:lpstr>cbalCh4Prod4Slot3Promo1VolUplift</vt:lpstr>
      <vt:lpstr>cbalCh4Prod4Slot3Promo1Weeks</vt:lpstr>
      <vt:lpstr>cbalCh4Prod4Slot3SoldVol</vt:lpstr>
      <vt:lpstr>cbalCh4Prod4Slot3WD</vt:lpstr>
      <vt:lpstr>cbalCh4Prod4SlotTotActive</vt:lpstr>
      <vt:lpstr>cbalCh4RevenueTot</vt:lpstr>
      <vt:lpstr>cbalCh4Slots</vt:lpstr>
      <vt:lpstr>cbalCh4SlotTotActive</vt:lpstr>
      <vt:lpstr>cbalCh4ValDriv1</vt:lpstr>
      <vt:lpstr>cbalCh4ValDriv2</vt:lpstr>
      <vt:lpstr>cbalCh4ValDriv3</vt:lpstr>
      <vt:lpstr>cbalCh4ValDriv4</vt:lpstr>
      <vt:lpstr>cbalCh4ValDriv5</vt:lpstr>
      <vt:lpstr>cbalCh4ValDrivCond</vt:lpstr>
      <vt:lpstr>cbalCompanyCustomerProfitTot</vt:lpstr>
      <vt:lpstr>cbalCompanyEBIT</vt:lpstr>
      <vt:lpstr>cbalCompanyGPaLTot</vt:lpstr>
      <vt:lpstr>cbalCompanyRevenueTot</vt:lpstr>
      <vt:lpstr>cbalCompanyVolSold</vt:lpstr>
      <vt:lpstr>cbalEmp1</vt:lpstr>
      <vt:lpstr>cbalPack10Avail</vt:lpstr>
      <vt:lpstr>cbalPack11Avail</vt:lpstr>
      <vt:lpstr>cbalPack12Avail</vt:lpstr>
      <vt:lpstr>cbalPack13Avail</vt:lpstr>
      <vt:lpstr>cbalPack14Avail</vt:lpstr>
      <vt:lpstr>cbalPack15Avail</vt:lpstr>
      <vt:lpstr>cbalPack16Avail</vt:lpstr>
      <vt:lpstr>cbalPack17Avail</vt:lpstr>
      <vt:lpstr>cbalPack18Avail</vt:lpstr>
      <vt:lpstr>cbalPack19Avail</vt:lpstr>
      <vt:lpstr>cbalPack1Avail</vt:lpstr>
      <vt:lpstr>cbalPack20Avail</vt:lpstr>
      <vt:lpstr>cbalPack21Avail</vt:lpstr>
      <vt:lpstr>cbalPack22Avail</vt:lpstr>
      <vt:lpstr>cbalPack23Avail</vt:lpstr>
      <vt:lpstr>cbalPack24Avail</vt:lpstr>
      <vt:lpstr>cbalPack25Avail</vt:lpstr>
      <vt:lpstr>cbalPack26Avail</vt:lpstr>
      <vt:lpstr>cbalPack27Avail</vt:lpstr>
      <vt:lpstr>cbalPack28Avail</vt:lpstr>
      <vt:lpstr>cbalPack29Avail</vt:lpstr>
      <vt:lpstr>cbalPack2Avail</vt:lpstr>
      <vt:lpstr>cbalPack30Avail</vt:lpstr>
      <vt:lpstr>cbalPack3Avail</vt:lpstr>
      <vt:lpstr>cbalPack4Avail</vt:lpstr>
      <vt:lpstr>cbalPack5Avail</vt:lpstr>
      <vt:lpstr>cbalPack6Avail</vt:lpstr>
      <vt:lpstr>cbalPack7Avail</vt:lpstr>
      <vt:lpstr>cbalPack8Avail</vt:lpstr>
      <vt:lpstr>cbalPack9Avail</vt:lpstr>
      <vt:lpstr>cbalPlant1Units</vt:lpstr>
      <vt:lpstr>cbalProd1SlotTotActive</vt:lpstr>
      <vt:lpstr>cbalProd2SlotTotActive</vt:lpstr>
      <vt:lpstr>cbalProd3SlotTotActive</vt:lpstr>
      <vt:lpstr>cbalProd4SlotTotActive</vt:lpstr>
      <vt:lpstr>cbalReport1</vt:lpstr>
      <vt:lpstr>cbalReport2</vt:lpstr>
      <vt:lpstr>cbalReport3</vt:lpstr>
      <vt:lpstr>cbalReport4</vt:lpstr>
      <vt:lpstr>cbalReport5</vt:lpstr>
      <vt:lpstr>cbalReport6</vt:lpstr>
      <vt:lpstr>cbalSI1CodeR1</vt:lpstr>
      <vt:lpstr>cbalSI1CodeR2</vt:lpstr>
      <vt:lpstr>cbalSI1CodeR3</vt:lpstr>
      <vt:lpstr>cbalSI2CodeR1</vt:lpstr>
      <vt:lpstr>cbalSI2CodeR2</vt:lpstr>
      <vt:lpstr>cbalSI2CodeR3</vt:lpstr>
      <vt:lpstr>cbalSI3CodeR1</vt:lpstr>
      <vt:lpstr>cbalSI3CodeR2</vt:lpstr>
      <vt:lpstr>cbalSI3CodeR3</vt:lpstr>
      <vt:lpstr>cbalSI4CodeR1</vt:lpstr>
      <vt:lpstr>cbalSI4CodeR2</vt:lpstr>
      <vt:lpstr>cbalSI4CodeR3</vt:lpstr>
      <vt:lpstr>cbalSI5CodeR1</vt:lpstr>
      <vt:lpstr>cbalSI5CodeR2</vt:lpstr>
      <vt:lpstr>cbalSI5CodeR3</vt:lpstr>
      <vt:lpstr>cnstDaysPYear</vt:lpstr>
      <vt:lpstr>cnstMillion</vt:lpstr>
      <vt:lpstr>cnstWeeksPYear</vt:lpstr>
      <vt:lpstr>core_FilePrefix</vt:lpstr>
      <vt:lpstr>Cuhlia_Plant_Units_Available</vt:lpstr>
      <vt:lpstr>dataBrandNames</vt:lpstr>
      <vt:lpstr>dataCanBrand</vt:lpstr>
      <vt:lpstr>dataCanPack</vt:lpstr>
      <vt:lpstr>dataCh1Prod1MarketVolume</vt:lpstr>
      <vt:lpstr>dataCh1Prod1NewSlotsExp</vt:lpstr>
      <vt:lpstr>dataCh1Prod1Seg1MarketVolBase</vt:lpstr>
      <vt:lpstr>dataCh1Prod1Seg2MarketVolBase</vt:lpstr>
      <vt:lpstr>dataCh1Prod1Seg3MarketVolBase</vt:lpstr>
      <vt:lpstr>dataCh1Prod1Seg4MarketVolBase</vt:lpstr>
      <vt:lpstr>dataCh1Prod1Volume</vt:lpstr>
      <vt:lpstr>dataCh1Prod23Seg1MarketVolBase</vt:lpstr>
      <vt:lpstr>dataCh1Prod23Seg2MarketVolBase</vt:lpstr>
      <vt:lpstr>dataCh1Prod23Seg3MarketVolBase</vt:lpstr>
      <vt:lpstr>dataCh1Prod23Seg4MarketVolBase</vt:lpstr>
      <vt:lpstr>dataCh1Prod2n3MarketVolume</vt:lpstr>
      <vt:lpstr>dataCh1Prod2n3Volume</vt:lpstr>
      <vt:lpstr>dataCh1Prod2NewSlotsExp</vt:lpstr>
      <vt:lpstr>dataCh1Prod3NewSlotsExp</vt:lpstr>
      <vt:lpstr>dataCh1Prod4MarketVolume</vt:lpstr>
      <vt:lpstr>dataCh1Prod4NewSlotsExp</vt:lpstr>
      <vt:lpstr>dataCh1Prod4Seg1MarketVolBase</vt:lpstr>
      <vt:lpstr>dataCh1Prod4Seg1MarketVolShare</vt:lpstr>
      <vt:lpstr>dataCh1Prod4Seg2MarketVolBase</vt:lpstr>
      <vt:lpstr>dataCh1Prod4Seg2MarketVolShare</vt:lpstr>
      <vt:lpstr>dataCh1Prod4Seg3MarketVolBase</vt:lpstr>
      <vt:lpstr>dataCh1Prod4Seg3MarketVolShare</vt:lpstr>
      <vt:lpstr>dataCh1Prod4Seg4MarketVolBase</vt:lpstr>
      <vt:lpstr>dataCh1Prod4Seg4MarketVolShare</vt:lpstr>
      <vt:lpstr>dataCh1Prod4Volume</vt:lpstr>
      <vt:lpstr>dataCh1PromoPlansExp</vt:lpstr>
      <vt:lpstr>dataCh1PromoType</vt:lpstr>
      <vt:lpstr>dataCh1PromoWeeks</vt:lpstr>
      <vt:lpstr>dataCh1SlotsAvailable</vt:lpstr>
      <vt:lpstr>dataCh1WdBaseline</vt:lpstr>
      <vt:lpstr>dataCh1WdDecImpacts</vt:lpstr>
      <vt:lpstr>dataCh2Prod1MarketVolume</vt:lpstr>
      <vt:lpstr>dataCh2Prod1NewSlotsExp</vt:lpstr>
      <vt:lpstr>dataCh2Prod1Seg1MarketVolBase</vt:lpstr>
      <vt:lpstr>dataCh2Prod1Seg2MarketVolBase</vt:lpstr>
      <vt:lpstr>dataCh2Prod1Seg3MarketVolBase</vt:lpstr>
      <vt:lpstr>dataCh2Prod1Seg4MarketVolBase</vt:lpstr>
      <vt:lpstr>dataCh2Prod1Volume</vt:lpstr>
      <vt:lpstr>dataCh2Prod23Seg1MarketVolBase</vt:lpstr>
      <vt:lpstr>dataCh2Prod23Seg2MarketVolBase</vt:lpstr>
      <vt:lpstr>dataCh2Prod23Seg3MarketVolBase</vt:lpstr>
      <vt:lpstr>dataCh2Prod23Seg4MarketVolBase</vt:lpstr>
      <vt:lpstr>dataCh2Prod2n3MarketVolume</vt:lpstr>
      <vt:lpstr>dataCh2Prod2n3Volume</vt:lpstr>
      <vt:lpstr>dataCh2Prod2NewSlotsExp</vt:lpstr>
      <vt:lpstr>dataCh2Prod3NewSlotsExp</vt:lpstr>
      <vt:lpstr>dataCh2Prod4MarketVolume</vt:lpstr>
      <vt:lpstr>dataCh2Prod4NewSlotsExp</vt:lpstr>
      <vt:lpstr>dataCh2Prod4Seg1MarketVolBase</vt:lpstr>
      <vt:lpstr>dataCh2Prod4Seg1MarketVolShare</vt:lpstr>
      <vt:lpstr>dataCh2Prod4Seg2MarketVolBase</vt:lpstr>
      <vt:lpstr>dataCh2Prod4Seg2MarketVolShare</vt:lpstr>
      <vt:lpstr>dataCh2Prod4Seg3MarketVolBase</vt:lpstr>
      <vt:lpstr>dataCh2Prod4Seg3MarketVolShare</vt:lpstr>
      <vt:lpstr>dataCh2Prod4Seg4MarketVolBase</vt:lpstr>
      <vt:lpstr>dataCh2Prod4Seg4MarketVolShare</vt:lpstr>
      <vt:lpstr>dataCh2Prod4Volume</vt:lpstr>
      <vt:lpstr>dataCh2PromoType</vt:lpstr>
      <vt:lpstr>dataCh2PromoWeeks</vt:lpstr>
      <vt:lpstr>dataCh2SlotsAvailable</vt:lpstr>
      <vt:lpstr>dataCh2WdBaseline</vt:lpstr>
      <vt:lpstr>dataCh2WdDecImpacts</vt:lpstr>
      <vt:lpstr>dataCh3Prod1MarketVolume</vt:lpstr>
      <vt:lpstr>dataCh3Prod1NewSlotsExp</vt:lpstr>
      <vt:lpstr>dataCh3Prod1Seg1MarketVolBase</vt:lpstr>
      <vt:lpstr>dataCh3Prod1Seg2MarketVolBase</vt:lpstr>
      <vt:lpstr>dataCh3Prod1Seg3MarketVolBase</vt:lpstr>
      <vt:lpstr>dataCh3Prod1Seg4MarketVolBase</vt:lpstr>
      <vt:lpstr>dataCh3Prod1Volume</vt:lpstr>
      <vt:lpstr>dataCh3Prod23Seg1MarketVolBase</vt:lpstr>
      <vt:lpstr>dataCh3Prod23Seg2MarketVolBase</vt:lpstr>
      <vt:lpstr>dataCh3Prod23Seg3MarketVolBase</vt:lpstr>
      <vt:lpstr>dataCh3Prod23Seg4MarketVolBase</vt:lpstr>
      <vt:lpstr>dataCh3Prod2n3MarketVolume</vt:lpstr>
      <vt:lpstr>dataCh3Prod2n3Volume</vt:lpstr>
      <vt:lpstr>dataCh3Prod2NewSlotsExp</vt:lpstr>
      <vt:lpstr>dataCh3Prod3NewSlotsExp</vt:lpstr>
      <vt:lpstr>dataCh3Prod4MarketVolume</vt:lpstr>
      <vt:lpstr>dataCh3Prod4NewSlotsExp</vt:lpstr>
      <vt:lpstr>dataCh3Prod4Seg1MarketVolBase</vt:lpstr>
      <vt:lpstr>dataCh3Prod4Seg1MarketVolShare</vt:lpstr>
      <vt:lpstr>dataCh3Prod4Seg2MarketVolBase</vt:lpstr>
      <vt:lpstr>dataCh3Prod4Seg2MarketVolShare</vt:lpstr>
      <vt:lpstr>dataCh3Prod4Seg3MarketVolBase</vt:lpstr>
      <vt:lpstr>dataCh3Prod4Seg3MarketVolShare</vt:lpstr>
      <vt:lpstr>dataCh3Prod4Seg4MarketVolBase</vt:lpstr>
      <vt:lpstr>dataCh3Prod4Seg4MarketVolShare</vt:lpstr>
      <vt:lpstr>dataCh3Prod4Volume</vt:lpstr>
      <vt:lpstr>dataCh3PromoPlansExp</vt:lpstr>
      <vt:lpstr>dataCh3PromoType</vt:lpstr>
      <vt:lpstr>dataCh3PromoWeeks</vt:lpstr>
      <vt:lpstr>dataCh3SlotsAvailable</vt:lpstr>
      <vt:lpstr>dataCh3WdBaseline</vt:lpstr>
      <vt:lpstr>dataCh3WdDecImpacts</vt:lpstr>
      <vt:lpstr>dataCh4Prod1MarketVolume</vt:lpstr>
      <vt:lpstr>dataCh4Prod1NewSlotsExp</vt:lpstr>
      <vt:lpstr>dataCh4Prod1Seg1MarketVolBase</vt:lpstr>
      <vt:lpstr>dataCh4Prod1Seg2MarketVolBase</vt:lpstr>
      <vt:lpstr>dataCh4Prod1Seg3MarketVolBase</vt:lpstr>
      <vt:lpstr>dataCh4Prod1Seg4MarketVolBase</vt:lpstr>
      <vt:lpstr>dataCh4Prod1Volume</vt:lpstr>
      <vt:lpstr>dataCh4Prod23Seg1MarketVolBase</vt:lpstr>
      <vt:lpstr>dataCh4Prod23Seg2MarketVolBase</vt:lpstr>
      <vt:lpstr>dataCh4Prod23Seg3MarketVolBase</vt:lpstr>
      <vt:lpstr>dataCh4Prod23Seg4MarketVolBase</vt:lpstr>
      <vt:lpstr>dataCh4Prod2n3MarketVolume</vt:lpstr>
      <vt:lpstr>dataCh4Prod2n3Volume</vt:lpstr>
      <vt:lpstr>dataCh4Prod2NewSlotsExp</vt:lpstr>
      <vt:lpstr>dataCh4Prod3NewSlotsExp</vt:lpstr>
      <vt:lpstr>dataCh4Prod4MarketVolume</vt:lpstr>
      <vt:lpstr>dataCh4Prod4NewSlotsExp</vt:lpstr>
      <vt:lpstr>dataCh4Prod4Seg1MarketVolBase</vt:lpstr>
      <vt:lpstr>dataCh4Prod4Seg2MarketVolBase</vt:lpstr>
      <vt:lpstr>dataCh4Prod4Seg3MarketVolBase</vt:lpstr>
      <vt:lpstr>dataCh4Prod4Seg4MarketVolBase</vt:lpstr>
      <vt:lpstr>dataCh4Prod4Volume</vt:lpstr>
      <vt:lpstr>dataCh4PromoPlansExp</vt:lpstr>
      <vt:lpstr>dataCh4PromoType</vt:lpstr>
      <vt:lpstr>dataCh4PromoWeeks</vt:lpstr>
      <vt:lpstr>dataCh4SlotsAvailable</vt:lpstr>
      <vt:lpstr>dataCh4WdBaseline</vt:lpstr>
      <vt:lpstr>dataCh4WdDecImpacts</vt:lpstr>
      <vt:lpstr>dataCustomerMargin</vt:lpstr>
      <vt:lpstr>dataFixedGAExp</vt:lpstr>
      <vt:lpstr>dataFixedMSExp</vt:lpstr>
      <vt:lpstr>dataFixedRDExp</vt:lpstr>
      <vt:lpstr>dataForecastImpactLabCost</vt:lpstr>
      <vt:lpstr>dataForecastImpactLogisticsCost</vt:lpstr>
      <vt:lpstr>dataForecastImpactMatCost</vt:lpstr>
      <vt:lpstr>dataLevels1to5</vt:lpstr>
      <vt:lpstr>dataMarketingPlansExp</vt:lpstr>
      <vt:lpstr>dataMarketingPlansFit</vt:lpstr>
      <vt:lpstr>dataMarketingPlansList</vt:lpstr>
      <vt:lpstr>dataMMCh1Prod1Seg1</vt:lpstr>
      <vt:lpstr>dataMMCh1Prod1Seg2</vt:lpstr>
      <vt:lpstr>dataMMCh1Prod1Seg3</vt:lpstr>
      <vt:lpstr>dataMMCh1Prod1Seg4</vt:lpstr>
      <vt:lpstr>dataMMCh1Prod23Seg1</vt:lpstr>
      <vt:lpstr>dataMMCh1Prod23Seg2</vt:lpstr>
      <vt:lpstr>dataMMCh1Prod23Seg3</vt:lpstr>
      <vt:lpstr>dataMMCh1Prod23Seg4</vt:lpstr>
      <vt:lpstr>dataMMCh1Prod4Seg1</vt:lpstr>
      <vt:lpstr>dataMMCh1Prod4Seg2</vt:lpstr>
      <vt:lpstr>dataMMCh1Prod4Seg3</vt:lpstr>
      <vt:lpstr>dataMMCh1Prod4Seg4</vt:lpstr>
      <vt:lpstr>dataMMCh2Prod1Seg1</vt:lpstr>
      <vt:lpstr>dataMMCh2Prod1Seg2</vt:lpstr>
      <vt:lpstr>dataMMCh2Prod1Seg3</vt:lpstr>
      <vt:lpstr>dataMMCh2Prod1Seg4</vt:lpstr>
      <vt:lpstr>dataMMCh2Prod23Seg1</vt:lpstr>
      <vt:lpstr>dataMMCh2Prod23Seg2</vt:lpstr>
      <vt:lpstr>dataMMCh2Prod23Seg3</vt:lpstr>
      <vt:lpstr>dataMMCh2Prod23Seg4</vt:lpstr>
      <vt:lpstr>dataMMCh2Prod4Seg1</vt:lpstr>
      <vt:lpstr>dataMMCh2Prod4Seg2</vt:lpstr>
      <vt:lpstr>dataMMCh2Prod4Seg3</vt:lpstr>
      <vt:lpstr>dataMMCh2Prod4Seg4</vt:lpstr>
      <vt:lpstr>dataMMCh3Prod1Seg1</vt:lpstr>
      <vt:lpstr>dataMMCh3Prod1Seg2</vt:lpstr>
      <vt:lpstr>dataMMCh3Prod1Seg3</vt:lpstr>
      <vt:lpstr>dataMMCh3Prod1Seg4</vt:lpstr>
      <vt:lpstr>dataMMCh3Prod23Seg1</vt:lpstr>
      <vt:lpstr>dataMMCh3Prod23Seg2</vt:lpstr>
      <vt:lpstr>dataMMCh3Prod23Seg3</vt:lpstr>
      <vt:lpstr>dataMMCh3Prod23Seg4</vt:lpstr>
      <vt:lpstr>dataMMCh3Prod4Seg1</vt:lpstr>
      <vt:lpstr>dataMMCh3Prod4Seg2</vt:lpstr>
      <vt:lpstr>dataMMCh3Prod4Seg3</vt:lpstr>
      <vt:lpstr>dataMMCh3Prod4Seg4</vt:lpstr>
      <vt:lpstr>dataMMCh4Prod1Seg1</vt:lpstr>
      <vt:lpstr>dataMMCh4Prod1Seg2</vt:lpstr>
      <vt:lpstr>dataMMCh4Prod1Seg3</vt:lpstr>
      <vt:lpstr>dataMMCh4Prod1Seg4</vt:lpstr>
      <vt:lpstr>dataMMCh4Prod23Seg1</vt:lpstr>
      <vt:lpstr>dataMMCh4Prod23Seg2</vt:lpstr>
      <vt:lpstr>dataMMCh4Prod23Seg3</vt:lpstr>
      <vt:lpstr>dataMMCh4Prod23Seg4</vt:lpstr>
      <vt:lpstr>dataMMCh4Prod4Seg1</vt:lpstr>
      <vt:lpstr>dataMMCh4Prod4Seg2</vt:lpstr>
      <vt:lpstr>dataMMCh4Prod4Seg3</vt:lpstr>
      <vt:lpstr>dataMMCh4Prod4Seg4</vt:lpstr>
      <vt:lpstr>dataNewSlots</vt:lpstr>
      <vt:lpstr>dataNumTeams</vt:lpstr>
      <vt:lpstr>dataPackChFit</vt:lpstr>
      <vt:lpstr>dataPackInnovation</vt:lpstr>
      <vt:lpstr>dataPackLabourHrs</vt:lpstr>
      <vt:lpstr>dataPackLogisticsCost</vt:lpstr>
      <vt:lpstr>dataPackMaterialExp</vt:lpstr>
      <vt:lpstr>dataPackMatExp</vt:lpstr>
      <vt:lpstr>dataPackNames</vt:lpstr>
      <vt:lpstr>dataPackPrice</vt:lpstr>
      <vt:lpstr>dataPackProdFit</vt:lpstr>
      <vt:lpstr>dataPackSegFit</vt:lpstr>
      <vt:lpstr>dataPackSize</vt:lpstr>
      <vt:lpstr>dataProd1MarketVolume</vt:lpstr>
      <vt:lpstr>dataProd1Volume</vt:lpstr>
      <vt:lpstr>dataPromoPlanDisc</vt:lpstr>
      <vt:lpstr>dataPromoSeg1</vt:lpstr>
      <vt:lpstr>dataPromoSeg2</vt:lpstr>
      <vt:lpstr>dataPromoSeg3</vt:lpstr>
      <vt:lpstr>dataPromoSeg4</vt:lpstr>
      <vt:lpstr>dataPromoWeeksEffect</vt:lpstr>
      <vt:lpstr>dataPromoWeeksShareEffect</vt:lpstr>
      <vt:lpstr>dataRevenueFactor</vt:lpstr>
      <vt:lpstr>dataValDrivCond</vt:lpstr>
      <vt:lpstr>dataValDrivExp</vt:lpstr>
      <vt:lpstr>DB_ArrayDash1Names</vt:lpstr>
      <vt:lpstr>DB_ArrayDash1Values</vt:lpstr>
      <vt:lpstr>DB_ArrayDash2Names</vt:lpstr>
      <vt:lpstr>DB_ArrayDash2Values</vt:lpstr>
      <vt:lpstr>DB_ArrayDash3Names</vt:lpstr>
      <vt:lpstr>DB_ArrayDash3Values</vt:lpstr>
      <vt:lpstr>DB_ArrayDash4Names</vt:lpstr>
      <vt:lpstr>DB_ArrayDash4Values</vt:lpstr>
      <vt:lpstr>DB_ArrayDash5Names</vt:lpstr>
      <vt:lpstr>DB_ArrayDash5Values</vt:lpstr>
      <vt:lpstr>DB_ArrayDash6Names</vt:lpstr>
      <vt:lpstr>DB_ArrayDash6Values</vt:lpstr>
      <vt:lpstr>DB_ArrayDash7Names</vt:lpstr>
      <vt:lpstr>DB_ArrayDash7Values</vt:lpstr>
      <vt:lpstr>DB_Dashboard1</vt:lpstr>
      <vt:lpstr>DB_Dashboard2</vt:lpstr>
      <vt:lpstr>DB_Dashboard3</vt:lpstr>
      <vt:lpstr>DB_Dashboard4</vt:lpstr>
      <vt:lpstr>DB_Dashboard5</vt:lpstr>
      <vt:lpstr>DB_Dashboard6</vt:lpstr>
      <vt:lpstr>DB_Dashboard7</vt:lpstr>
      <vt:lpstr>DB_LargeWhiteSpace</vt:lpstr>
      <vt:lpstr>DB_LargeWhiteSpaceLength</vt:lpstr>
      <vt:lpstr>DB_SubWhiteSpace</vt:lpstr>
      <vt:lpstr>DB_SubWhiteSpaceLength</vt:lpstr>
      <vt:lpstr>DB_WhiteSpace</vt:lpstr>
      <vt:lpstr>DB_WhiteSpaceLength</vt:lpstr>
      <vt:lpstr>dec_End</vt:lpstr>
      <vt:lpstr>dec_Names</vt:lpstr>
      <vt:lpstr>dec_Paste</vt:lpstr>
      <vt:lpstr>dec_Round</vt:lpstr>
      <vt:lpstr>dec_TeamName</vt:lpstr>
      <vt:lpstr>dec_TeamNumber</vt:lpstr>
      <vt:lpstr>dec_ToolInputPrefix</vt:lpstr>
      <vt:lpstr>decCh1MarkPlan</vt:lpstr>
      <vt:lpstr>decCh1Prod1Forecast</vt:lpstr>
      <vt:lpstr>decCh1Prod1Slot1Active</vt:lpstr>
      <vt:lpstr>decCh1Prod1Slot1CustPrice</vt:lpstr>
      <vt:lpstr>decCh1Prod1Slot1Forecast</vt:lpstr>
      <vt:lpstr>decCh1Prod1Slot1Pack</vt:lpstr>
      <vt:lpstr>decCh1Prod1Slot1Promo1</vt:lpstr>
      <vt:lpstr>decCh1Prod1Slot1Promo1ShareFrc</vt:lpstr>
      <vt:lpstr>decCh1Prod1Slot1Promo1Weeks</vt:lpstr>
      <vt:lpstr>decCh1Prod1Slot1Promo2</vt:lpstr>
      <vt:lpstr>decCh1Prod1Slot1Promo2ShareFrc</vt:lpstr>
      <vt:lpstr>decCh1Prod1Slot1Promo2Weeks</vt:lpstr>
      <vt:lpstr>decCh1Prod1Slot2Active</vt:lpstr>
      <vt:lpstr>decCh1Prod1Slot2CustPrice</vt:lpstr>
      <vt:lpstr>decCh1Prod1Slot2Forecast</vt:lpstr>
      <vt:lpstr>decCh1Prod1Slot2Pack</vt:lpstr>
      <vt:lpstr>decCh1Prod1Slot2Promo1</vt:lpstr>
      <vt:lpstr>decCh1Prod1Slot2Promo1ShareFrc</vt:lpstr>
      <vt:lpstr>decCh1Prod1Slot2Promo1Weeks</vt:lpstr>
      <vt:lpstr>decCh1Prod1Slot2Promo2</vt:lpstr>
      <vt:lpstr>decCh1Prod1Slot2Promo2ShareFrc</vt:lpstr>
      <vt:lpstr>decCh1Prod1Slot2Promo2Weeks</vt:lpstr>
      <vt:lpstr>decCh1Prod1Slot3Active</vt:lpstr>
      <vt:lpstr>decCh1Prod1Slot3CustPrice</vt:lpstr>
      <vt:lpstr>decCh1Prod1Slot3Forecast</vt:lpstr>
      <vt:lpstr>decCh1Prod1Slot3Pack</vt:lpstr>
      <vt:lpstr>decCh1Prod1Slot3Promo1</vt:lpstr>
      <vt:lpstr>decCh1Prod1Slot3Promo1ShareFrc</vt:lpstr>
      <vt:lpstr>decCh1Prod1Slot3Promo1Weeks</vt:lpstr>
      <vt:lpstr>decCh1Prod1Slot3Promo2</vt:lpstr>
      <vt:lpstr>decCh1Prod1Slot3Promo2ShareFrc</vt:lpstr>
      <vt:lpstr>decCh1Prod1Slot3Promo2Weeks</vt:lpstr>
      <vt:lpstr>decCh1Prod2Forecast</vt:lpstr>
      <vt:lpstr>decCh1Prod2Slot1Active</vt:lpstr>
      <vt:lpstr>decCh1Prod2Slot1CustPrice</vt:lpstr>
      <vt:lpstr>decCh1Prod2Slot1Forecast</vt:lpstr>
      <vt:lpstr>decCh1Prod2Slot1Pack</vt:lpstr>
      <vt:lpstr>decCh1Prod2Slot1Promo1</vt:lpstr>
      <vt:lpstr>decCh1Prod2Slot1Promo1ShareFrc</vt:lpstr>
      <vt:lpstr>decCh1Prod2Slot1Promo1Weeks</vt:lpstr>
      <vt:lpstr>decCh1Prod2Slot1Promo2</vt:lpstr>
      <vt:lpstr>decCh1Prod2Slot1Promo2ShareFrc</vt:lpstr>
      <vt:lpstr>decCh1Prod2Slot1Promo2Weeks</vt:lpstr>
      <vt:lpstr>decCh1Prod2Slot2Active</vt:lpstr>
      <vt:lpstr>decCh1Prod2Slot2CustPrice</vt:lpstr>
      <vt:lpstr>decCh1Prod2Slot2Forecast</vt:lpstr>
      <vt:lpstr>decCh1Prod2Slot2Pack</vt:lpstr>
      <vt:lpstr>decCh1Prod2Slot2Promo1</vt:lpstr>
      <vt:lpstr>decCh1Prod2Slot2Promo1ShareFrc</vt:lpstr>
      <vt:lpstr>decCh1Prod2Slot2Promo1Weeks</vt:lpstr>
      <vt:lpstr>decCh1Prod2Slot2Promo2</vt:lpstr>
      <vt:lpstr>decCh1Prod2Slot2Promo2ShareFrc</vt:lpstr>
      <vt:lpstr>decCh1Prod2Slot2Promo2Weeks</vt:lpstr>
      <vt:lpstr>decCh1Prod2Slot3Active</vt:lpstr>
      <vt:lpstr>decCh1Prod2Slot3CustPrice</vt:lpstr>
      <vt:lpstr>decCh1Prod2Slot3Forecast</vt:lpstr>
      <vt:lpstr>decCh1Prod2Slot3Pack</vt:lpstr>
      <vt:lpstr>decCh1Prod2Slot3Promo1</vt:lpstr>
      <vt:lpstr>decCh1Prod2Slot3Promo1ShareFrc</vt:lpstr>
      <vt:lpstr>decCh1Prod2Slot3Promo1Weeks</vt:lpstr>
      <vt:lpstr>decCh1Prod2Slot3Promo2</vt:lpstr>
      <vt:lpstr>decCh1Prod2Slot3Promo2ShareFrc</vt:lpstr>
      <vt:lpstr>decCh1Prod2Slot3Promo2Weeks</vt:lpstr>
      <vt:lpstr>decCh1Prod3Forecast</vt:lpstr>
      <vt:lpstr>decCh1Prod3Slot1Active</vt:lpstr>
      <vt:lpstr>decCh1Prod3Slot1CustPrice</vt:lpstr>
      <vt:lpstr>decCh1Prod3Slot1Forecast</vt:lpstr>
      <vt:lpstr>decCh1Prod3Slot1Pack</vt:lpstr>
      <vt:lpstr>decCh1Prod3Slot1Promo1</vt:lpstr>
      <vt:lpstr>decCh1Prod3Slot1Promo1ShareFrc</vt:lpstr>
      <vt:lpstr>decCh1Prod3Slot1Promo1Weeks</vt:lpstr>
      <vt:lpstr>decCh1Prod3Slot1Promo2</vt:lpstr>
      <vt:lpstr>decCh1Prod3Slot1Promo2ShareFrc</vt:lpstr>
      <vt:lpstr>decCh1Prod3Slot1Promo2Weeks</vt:lpstr>
      <vt:lpstr>decCh1Prod3Slot2Active</vt:lpstr>
      <vt:lpstr>decCh1Prod3Slot2CustPrice</vt:lpstr>
      <vt:lpstr>decCh1Prod3Slot2Forecast</vt:lpstr>
      <vt:lpstr>decCh1Prod3Slot2Pack</vt:lpstr>
      <vt:lpstr>decCh1Prod3Slot2Promo1</vt:lpstr>
      <vt:lpstr>decCh1Prod3Slot2Promo1ShareFrc</vt:lpstr>
      <vt:lpstr>decCh1Prod3Slot2Promo1Weeks</vt:lpstr>
      <vt:lpstr>decCh1Prod3Slot2Promo2</vt:lpstr>
      <vt:lpstr>decCh1Prod3Slot2Promo2ShareFrc</vt:lpstr>
      <vt:lpstr>decCh1Prod3Slot2Promo2Weeks</vt:lpstr>
      <vt:lpstr>decCh1Prod3Slot3Active</vt:lpstr>
      <vt:lpstr>decCh1Prod3Slot3CustPrice</vt:lpstr>
      <vt:lpstr>decCh1Prod3Slot3Forecast</vt:lpstr>
      <vt:lpstr>decCh1Prod3Slot3Pack</vt:lpstr>
      <vt:lpstr>decCh1Prod3Slot3Promo1</vt:lpstr>
      <vt:lpstr>decCh1Prod3Slot3Promo1ShareFrc</vt:lpstr>
      <vt:lpstr>decCh1Prod3Slot3Promo1Weeks</vt:lpstr>
      <vt:lpstr>decCh1Prod3Slot3Promo2</vt:lpstr>
      <vt:lpstr>decCh1Prod3Slot3Promo2ShareFrc</vt:lpstr>
      <vt:lpstr>decCh1Prod3Slot3Promo2Weeks</vt:lpstr>
      <vt:lpstr>decCh1Prod4Forecast</vt:lpstr>
      <vt:lpstr>decCh1Prod4Slot1Active</vt:lpstr>
      <vt:lpstr>decCh1Prod4Slot1CustPrice</vt:lpstr>
      <vt:lpstr>decCh1Prod4Slot1Forecast</vt:lpstr>
      <vt:lpstr>decCh1Prod4Slot1Pack</vt:lpstr>
      <vt:lpstr>decCh1Prod4Slot1Promo1</vt:lpstr>
      <vt:lpstr>decCh1Prod4Slot1Promo1ShareFrc</vt:lpstr>
      <vt:lpstr>decCh1Prod4Slot1Promo1Weeks</vt:lpstr>
      <vt:lpstr>decCh1Prod4Slot1Promo2</vt:lpstr>
      <vt:lpstr>decCh1Prod4Slot1Promo2ShareFrc</vt:lpstr>
      <vt:lpstr>decCh1Prod4Slot1Promo2Weeks</vt:lpstr>
      <vt:lpstr>decCh1Prod4Slot2Active</vt:lpstr>
      <vt:lpstr>decCh1Prod4Slot2CustPrice</vt:lpstr>
      <vt:lpstr>decCh1Prod4Slot2Forecast</vt:lpstr>
      <vt:lpstr>decCh1Prod4Slot2Pack</vt:lpstr>
      <vt:lpstr>decCh1Prod4Slot2Promo1</vt:lpstr>
      <vt:lpstr>decCh1Prod4Slot2Promo1ShareFrc</vt:lpstr>
      <vt:lpstr>decCh1Prod4Slot2Promo1Weeks</vt:lpstr>
      <vt:lpstr>decCh1Prod4Slot2Promo2</vt:lpstr>
      <vt:lpstr>decCh1Prod4Slot2Promo2ShareFrc</vt:lpstr>
      <vt:lpstr>decCh1Prod4Slot2Promo2Weeks</vt:lpstr>
      <vt:lpstr>decCh1Prod4Slot3Active</vt:lpstr>
      <vt:lpstr>decCh1Prod4Slot3CustPrice</vt:lpstr>
      <vt:lpstr>decCh1Prod4Slot3Forecast</vt:lpstr>
      <vt:lpstr>decCh1Prod4Slot3Pack</vt:lpstr>
      <vt:lpstr>decCh1Prod4Slot3Promo1</vt:lpstr>
      <vt:lpstr>decCh1Prod4Slot3Promo1ShareFrc</vt:lpstr>
      <vt:lpstr>decCh1Prod4Slot3Promo1Weeks</vt:lpstr>
      <vt:lpstr>decCh1Prod4Slot3Promo2</vt:lpstr>
      <vt:lpstr>decCh1Prod4Slot3Promo2ShareFrc</vt:lpstr>
      <vt:lpstr>decCh1Prod4Slot3Promo2Weeks</vt:lpstr>
      <vt:lpstr>decCh1R1Report1</vt:lpstr>
      <vt:lpstr>decCh1R1Report2</vt:lpstr>
      <vt:lpstr>decCh1R2Report3</vt:lpstr>
      <vt:lpstr>decCh1R2Report4</vt:lpstr>
      <vt:lpstr>decCh1R3Report5</vt:lpstr>
      <vt:lpstr>decCh1R3Report6</vt:lpstr>
      <vt:lpstr>decCh1ValDriv1</vt:lpstr>
      <vt:lpstr>decCh1ValDriv2</vt:lpstr>
      <vt:lpstr>decCh1ValDriv3</vt:lpstr>
      <vt:lpstr>decCh1ValDriv4</vt:lpstr>
      <vt:lpstr>decCh1ValDriv5</vt:lpstr>
      <vt:lpstr>decCh1ValDrivCond</vt:lpstr>
      <vt:lpstr>decCh1VT</vt:lpstr>
      <vt:lpstr>decCh2MarkPlan</vt:lpstr>
      <vt:lpstr>decCh2Prod1Forecast</vt:lpstr>
      <vt:lpstr>decCh2Prod1Slot1Active</vt:lpstr>
      <vt:lpstr>decCh2Prod1Slot1CustPrice</vt:lpstr>
      <vt:lpstr>decCh2Prod1Slot1Forecast</vt:lpstr>
      <vt:lpstr>decCh2Prod1Slot1Pack</vt:lpstr>
      <vt:lpstr>decCh2Prod1Slot2Active</vt:lpstr>
      <vt:lpstr>decCh2Prod1Slot2CustPrice</vt:lpstr>
      <vt:lpstr>decCh2Prod1Slot2Forecast</vt:lpstr>
      <vt:lpstr>decCh2Prod1Slot2Pack</vt:lpstr>
      <vt:lpstr>decCh2Prod1Slot3Active</vt:lpstr>
      <vt:lpstr>decCh2Prod1Slot3CustPrice</vt:lpstr>
      <vt:lpstr>decCh2Prod1Slot3Forecast</vt:lpstr>
      <vt:lpstr>decCh2Prod1Slot3Pack</vt:lpstr>
      <vt:lpstr>decCh2Prod2Forecast</vt:lpstr>
      <vt:lpstr>decCh2Prod2Slot1Active</vt:lpstr>
      <vt:lpstr>decCh2Prod2Slot1CustPrice</vt:lpstr>
      <vt:lpstr>decCh2Prod2Slot1Forecast</vt:lpstr>
      <vt:lpstr>decCh2Prod2Slot1Pack</vt:lpstr>
      <vt:lpstr>decCh2Prod2Slot2Active</vt:lpstr>
      <vt:lpstr>decCh2Prod2Slot2CustPrice</vt:lpstr>
      <vt:lpstr>decCh2Prod2Slot2Forecast</vt:lpstr>
      <vt:lpstr>decCh2Prod2Slot2Pack</vt:lpstr>
      <vt:lpstr>decCh2Prod2Slot3Active</vt:lpstr>
      <vt:lpstr>decCh2Prod2Slot3CustPrice</vt:lpstr>
      <vt:lpstr>decCh2Prod2Slot3Forecast</vt:lpstr>
      <vt:lpstr>decCh2Prod2Slot3Pack</vt:lpstr>
      <vt:lpstr>decCh2Prod3Forecast</vt:lpstr>
      <vt:lpstr>decCh2Prod3Slot1Active</vt:lpstr>
      <vt:lpstr>decCh2Prod3Slot1CustPrice</vt:lpstr>
      <vt:lpstr>decCh2Prod3Slot1Forecast</vt:lpstr>
      <vt:lpstr>decCh2Prod3Slot1Pack</vt:lpstr>
      <vt:lpstr>decCh2Prod3Slot2Active</vt:lpstr>
      <vt:lpstr>decCh2Prod3Slot2CustPrice</vt:lpstr>
      <vt:lpstr>decCh2Prod3Slot2Forecast</vt:lpstr>
      <vt:lpstr>decCh2Prod3Slot2Pack</vt:lpstr>
      <vt:lpstr>decCh2Prod3Slot3Active</vt:lpstr>
      <vt:lpstr>decCh2Prod3Slot3CustPrice</vt:lpstr>
      <vt:lpstr>decCh2Prod3Slot3Forecast</vt:lpstr>
      <vt:lpstr>decCh2Prod3Slot3Pack</vt:lpstr>
      <vt:lpstr>decCh2Prod4Forecast</vt:lpstr>
      <vt:lpstr>decCh2Prod4Slot1Active</vt:lpstr>
      <vt:lpstr>decCh2Prod4Slot1CustPrice</vt:lpstr>
      <vt:lpstr>decCh2Prod4Slot1Forecast</vt:lpstr>
      <vt:lpstr>decCh2Prod4Slot1Pack</vt:lpstr>
      <vt:lpstr>decCh2Prod4Slot2Active</vt:lpstr>
      <vt:lpstr>decCh2Prod4Slot2CustPrice</vt:lpstr>
      <vt:lpstr>decCh2Prod4Slot2Forecast</vt:lpstr>
      <vt:lpstr>decCh2Prod4Slot2Pack</vt:lpstr>
      <vt:lpstr>decCh2Prod4Slot3Active</vt:lpstr>
      <vt:lpstr>decCh2Prod4Slot3CustPrice</vt:lpstr>
      <vt:lpstr>decCh2Prod4Slot3Forecast</vt:lpstr>
      <vt:lpstr>decCh2Prod4Slot3Pack</vt:lpstr>
      <vt:lpstr>decCh2R1Report1</vt:lpstr>
      <vt:lpstr>decCh2R1Report2</vt:lpstr>
      <vt:lpstr>decCh2R2Report3</vt:lpstr>
      <vt:lpstr>decCh2R2Report4</vt:lpstr>
      <vt:lpstr>decCh2R3Report5</vt:lpstr>
      <vt:lpstr>decCh2R3Report6</vt:lpstr>
      <vt:lpstr>decCh2ValDriv1</vt:lpstr>
      <vt:lpstr>decCh2ValDriv2</vt:lpstr>
      <vt:lpstr>decCh2ValDriv3</vt:lpstr>
      <vt:lpstr>decCh2ValDriv4</vt:lpstr>
      <vt:lpstr>decCh2ValDriv5</vt:lpstr>
      <vt:lpstr>decCh2ValDrivCond</vt:lpstr>
      <vt:lpstr>decCh2VT</vt:lpstr>
      <vt:lpstr>decCh3MarkPlan</vt:lpstr>
      <vt:lpstr>decCh3Prod1Forecast</vt:lpstr>
      <vt:lpstr>decCh3Prod1Slot1Active</vt:lpstr>
      <vt:lpstr>decCh3Prod1Slot1CustPrice</vt:lpstr>
      <vt:lpstr>decCh3Prod1Slot1Forecast</vt:lpstr>
      <vt:lpstr>decCh3Prod1Slot1Pack</vt:lpstr>
      <vt:lpstr>decCh3Prod1Slot1Promo1</vt:lpstr>
      <vt:lpstr>decCh3Prod1Slot1Promo1ShareFrc</vt:lpstr>
      <vt:lpstr>decCh3Prod1Slot1Promo1Weeks</vt:lpstr>
      <vt:lpstr>decCh3Prod1Slot2Active</vt:lpstr>
      <vt:lpstr>decCh3Prod1Slot2CustPrice</vt:lpstr>
      <vt:lpstr>decCh3Prod1Slot2Forecast</vt:lpstr>
      <vt:lpstr>decCh3Prod1Slot2Pack</vt:lpstr>
      <vt:lpstr>decCh3Prod1Slot2Promo1</vt:lpstr>
      <vt:lpstr>decCh3Prod1Slot2Promo1ShareFrc</vt:lpstr>
      <vt:lpstr>decCh3Prod1Slot2Promo1Weeks</vt:lpstr>
      <vt:lpstr>decCh3Prod1Slot3Active</vt:lpstr>
      <vt:lpstr>decCh3Prod1Slot3CustPrice</vt:lpstr>
      <vt:lpstr>decCh3Prod1Slot3Forecast</vt:lpstr>
      <vt:lpstr>decCh3Prod1Slot3Pack</vt:lpstr>
      <vt:lpstr>decCh3Prod1Slot3Promo1</vt:lpstr>
      <vt:lpstr>decCh3Prod1Slot3Promo1ShareFrc</vt:lpstr>
      <vt:lpstr>decCh3Prod1Slot3Promo1Weeks</vt:lpstr>
      <vt:lpstr>decCh3Prod2Forecast</vt:lpstr>
      <vt:lpstr>decCh3Prod2Slot1Active</vt:lpstr>
      <vt:lpstr>decCh3Prod2Slot1CustPrice</vt:lpstr>
      <vt:lpstr>decCh3Prod2Slot1Forecast</vt:lpstr>
      <vt:lpstr>decCh3Prod2Slot1Pack</vt:lpstr>
      <vt:lpstr>decCh3Prod2Slot1Promo1</vt:lpstr>
      <vt:lpstr>decCh3Prod2Slot1Promo1ShareFrc</vt:lpstr>
      <vt:lpstr>decCh3Prod2Slot1Promo1Weeks</vt:lpstr>
      <vt:lpstr>decCh3Prod2Slot2Active</vt:lpstr>
      <vt:lpstr>decCh3Prod2Slot2CustPrice</vt:lpstr>
      <vt:lpstr>decCh3Prod2Slot2Forecast</vt:lpstr>
      <vt:lpstr>decCh3Prod2Slot2Pack</vt:lpstr>
      <vt:lpstr>decCh3Prod2Slot2Promo1</vt:lpstr>
      <vt:lpstr>decCh3Prod2Slot2Promo1ShareFrc</vt:lpstr>
      <vt:lpstr>decCh3Prod2Slot2Promo1Weeks</vt:lpstr>
      <vt:lpstr>decCh3Prod2Slot3Active</vt:lpstr>
      <vt:lpstr>decCh3Prod2Slot3CustPrice</vt:lpstr>
      <vt:lpstr>decCh3Prod2Slot3Forecast</vt:lpstr>
      <vt:lpstr>decCh3Prod2Slot3Pack</vt:lpstr>
      <vt:lpstr>decCh3Prod2Slot3Promo1</vt:lpstr>
      <vt:lpstr>decCh3Prod2Slot3Promo1ShareFrc</vt:lpstr>
      <vt:lpstr>decCh3Prod2Slot3Promo1Weeks</vt:lpstr>
      <vt:lpstr>decCh3Prod3Forecast</vt:lpstr>
      <vt:lpstr>decCh3Prod3Slot1Active</vt:lpstr>
      <vt:lpstr>decCh3Prod3Slot1CustPrice</vt:lpstr>
      <vt:lpstr>decCh3Prod3Slot1Forecast</vt:lpstr>
      <vt:lpstr>decCh3Prod3Slot1Pack</vt:lpstr>
      <vt:lpstr>decCh3Prod3Slot1Promo1</vt:lpstr>
      <vt:lpstr>decCh3Prod3Slot1Promo1ShareFrc</vt:lpstr>
      <vt:lpstr>decCh3Prod3Slot1Promo1Weeks</vt:lpstr>
      <vt:lpstr>decCh3Prod3Slot2Active</vt:lpstr>
      <vt:lpstr>decCh3Prod3Slot2CustPrice</vt:lpstr>
      <vt:lpstr>decCh3Prod3Slot2Forecast</vt:lpstr>
      <vt:lpstr>decCh3Prod3Slot2Pack</vt:lpstr>
      <vt:lpstr>decCh3Prod3Slot2Promo1</vt:lpstr>
      <vt:lpstr>decCh3Prod3Slot2Promo1ShareFrc</vt:lpstr>
      <vt:lpstr>decCh3Prod3Slot2Promo1Weeks</vt:lpstr>
      <vt:lpstr>decCh3Prod3Slot3Active</vt:lpstr>
      <vt:lpstr>decCh3Prod3Slot3CustPrice</vt:lpstr>
      <vt:lpstr>decCh3Prod3Slot3Forecast</vt:lpstr>
      <vt:lpstr>decCh3Prod3Slot3Pack</vt:lpstr>
      <vt:lpstr>decCh3Prod3Slot3Promo1</vt:lpstr>
      <vt:lpstr>decCh3Prod3Slot3Promo1ShareFrc</vt:lpstr>
      <vt:lpstr>decCh3Prod3Slot3Promo1Weeks</vt:lpstr>
      <vt:lpstr>decCh3Prod4Forecast</vt:lpstr>
      <vt:lpstr>decCh3Prod4Slot1Active</vt:lpstr>
      <vt:lpstr>decCh3Prod4Slot1CustPrice</vt:lpstr>
      <vt:lpstr>decCh3Prod4Slot1Forecast</vt:lpstr>
      <vt:lpstr>decCh3Prod4Slot1Pack</vt:lpstr>
      <vt:lpstr>decCh3Prod4Slot1Promo1</vt:lpstr>
      <vt:lpstr>decCh3Prod4Slot1Promo1ShareFrc</vt:lpstr>
      <vt:lpstr>decCh3Prod4Slot1Promo1Weeks</vt:lpstr>
      <vt:lpstr>decCh3Prod4Slot2Active</vt:lpstr>
      <vt:lpstr>decCh3Prod4Slot2CustPrice</vt:lpstr>
      <vt:lpstr>decCh3Prod4Slot2Forecast</vt:lpstr>
      <vt:lpstr>decCh3Prod4Slot2Pack</vt:lpstr>
      <vt:lpstr>decCh3Prod4Slot2Promo1</vt:lpstr>
      <vt:lpstr>decCh3Prod4Slot2Promo1ShareFrc</vt:lpstr>
      <vt:lpstr>decCh3Prod4Slot2Promo1Weeks</vt:lpstr>
      <vt:lpstr>decCh3Prod4Slot3Active</vt:lpstr>
      <vt:lpstr>decCh3Prod4Slot3CustPrice</vt:lpstr>
      <vt:lpstr>decCh3Prod4Slot3Forecast</vt:lpstr>
      <vt:lpstr>decCh3Prod4Slot3Pack</vt:lpstr>
      <vt:lpstr>decCh3Prod4Slot3Promo1</vt:lpstr>
      <vt:lpstr>decCh3Prod4Slot3Promo1ShareFrc</vt:lpstr>
      <vt:lpstr>decCh3Prod4Slot3Promo1Weeks</vt:lpstr>
      <vt:lpstr>decCh3R1Report1</vt:lpstr>
      <vt:lpstr>decCh3R1Report2</vt:lpstr>
      <vt:lpstr>decCh3R2Report3</vt:lpstr>
      <vt:lpstr>decCh3R2Report4</vt:lpstr>
      <vt:lpstr>decCh3R3Report5</vt:lpstr>
      <vt:lpstr>decCh3R3Report6</vt:lpstr>
      <vt:lpstr>decCh3ValDriv1</vt:lpstr>
      <vt:lpstr>decCh3ValDriv2</vt:lpstr>
      <vt:lpstr>decCh3ValDriv3</vt:lpstr>
      <vt:lpstr>decCh3ValDriv4</vt:lpstr>
      <vt:lpstr>decCh3ValDriv5</vt:lpstr>
      <vt:lpstr>decCh3ValDrivCond</vt:lpstr>
      <vt:lpstr>decCh3VT</vt:lpstr>
      <vt:lpstr>decCh4MarkPlan</vt:lpstr>
      <vt:lpstr>decCh4Prod1Forecast</vt:lpstr>
      <vt:lpstr>decCh4Prod1Slot1Active</vt:lpstr>
      <vt:lpstr>decCh4Prod1Slot1CustPrice</vt:lpstr>
      <vt:lpstr>decCh4Prod1Slot1Forecast</vt:lpstr>
      <vt:lpstr>decCh4Prod1Slot1Pack</vt:lpstr>
      <vt:lpstr>decCh4Prod1Slot1Promo1</vt:lpstr>
      <vt:lpstr>decCh4Prod1Slot1Promo1ShareFrc</vt:lpstr>
      <vt:lpstr>decCh4Prod1Slot1Promo1Weeks</vt:lpstr>
      <vt:lpstr>decCh4Prod1Slot2Active</vt:lpstr>
      <vt:lpstr>decCh4Prod1Slot2CustPrice</vt:lpstr>
      <vt:lpstr>decCh4Prod1Slot2Forecast</vt:lpstr>
      <vt:lpstr>decCh4Prod1Slot2Pack</vt:lpstr>
      <vt:lpstr>decCh4Prod1Slot2Promo1</vt:lpstr>
      <vt:lpstr>decCh4Prod1Slot2Promo1ShareFrc</vt:lpstr>
      <vt:lpstr>decCh4Prod1Slot2Promo1Weeks</vt:lpstr>
      <vt:lpstr>decCh4Prod1Slot3Active</vt:lpstr>
      <vt:lpstr>decCh4Prod1Slot3CustPrice</vt:lpstr>
      <vt:lpstr>decCh4Prod1Slot3Forecast</vt:lpstr>
      <vt:lpstr>decCh4Prod1Slot3Pack</vt:lpstr>
      <vt:lpstr>decCh4Prod1Slot3Promo1</vt:lpstr>
      <vt:lpstr>decCh4Prod1Slot3Promo1ShareFrc</vt:lpstr>
      <vt:lpstr>decCh4Prod1Slot3Promo1Weeks</vt:lpstr>
      <vt:lpstr>decCh4Prod2Forecast</vt:lpstr>
      <vt:lpstr>decCh4Prod2Slot1Active</vt:lpstr>
      <vt:lpstr>decCh4Prod2Slot1CustPrice</vt:lpstr>
      <vt:lpstr>decCh4Prod2Slot1Forecast</vt:lpstr>
      <vt:lpstr>decCh4Prod2Slot1Pack</vt:lpstr>
      <vt:lpstr>decCh4Prod2Slot1Promo1</vt:lpstr>
      <vt:lpstr>decCh4Prod2Slot1Promo1ShareFrc</vt:lpstr>
      <vt:lpstr>decCh4Prod2Slot1Promo1Weeks</vt:lpstr>
      <vt:lpstr>decCh4Prod2Slot2Active</vt:lpstr>
      <vt:lpstr>decCh4Prod2Slot2CustPrice</vt:lpstr>
      <vt:lpstr>decCh4Prod2Slot2Forecast</vt:lpstr>
      <vt:lpstr>decCh4Prod2Slot2Pack</vt:lpstr>
      <vt:lpstr>decCh4Prod2Slot2Promo1</vt:lpstr>
      <vt:lpstr>decCh4Prod2Slot2Promo1ShareFrc</vt:lpstr>
      <vt:lpstr>decCh4Prod2Slot2Promo1Weeks</vt:lpstr>
      <vt:lpstr>decCh4Prod2Slot3Active</vt:lpstr>
      <vt:lpstr>decCh4Prod2Slot3CustPrice</vt:lpstr>
      <vt:lpstr>decCh4Prod2Slot3Forecast</vt:lpstr>
      <vt:lpstr>decCh4Prod2Slot3Pack</vt:lpstr>
      <vt:lpstr>decCh4Prod2Slot3Promo1</vt:lpstr>
      <vt:lpstr>decCh4Prod2Slot3Promo1ShareFrc</vt:lpstr>
      <vt:lpstr>decCh4Prod2Slot3Promo1Weeks</vt:lpstr>
      <vt:lpstr>decCh4Prod3Forecast</vt:lpstr>
      <vt:lpstr>decCh4Prod3Slot1Active</vt:lpstr>
      <vt:lpstr>decCh4Prod3Slot1CustPrice</vt:lpstr>
      <vt:lpstr>decCh4Prod3Slot1Forecast</vt:lpstr>
      <vt:lpstr>decCh4Prod3Slot1Pack</vt:lpstr>
      <vt:lpstr>decCh4Prod3Slot1Promo1</vt:lpstr>
      <vt:lpstr>decCh4Prod3Slot1Promo1ShareFrc</vt:lpstr>
      <vt:lpstr>decCh4Prod3Slot1Promo1Weeks</vt:lpstr>
      <vt:lpstr>decCh4Prod3Slot2Active</vt:lpstr>
      <vt:lpstr>decCh4Prod3Slot2CustPrice</vt:lpstr>
      <vt:lpstr>decCh4Prod3Slot2Forecast</vt:lpstr>
      <vt:lpstr>decCh4Prod3Slot2Pack</vt:lpstr>
      <vt:lpstr>decCh4Prod3Slot2Promo1</vt:lpstr>
      <vt:lpstr>decCh4Prod3Slot2Promo1ShareFrc</vt:lpstr>
      <vt:lpstr>decCh4Prod3Slot2Promo1Weeks</vt:lpstr>
      <vt:lpstr>decCh4Prod3Slot3Active</vt:lpstr>
      <vt:lpstr>decCh4Prod3Slot3CustPrice</vt:lpstr>
      <vt:lpstr>decCh4Prod3Slot3Forecast</vt:lpstr>
      <vt:lpstr>decCh4Prod3Slot3Pack</vt:lpstr>
      <vt:lpstr>decCh4Prod3Slot3Promo1</vt:lpstr>
      <vt:lpstr>decCh4Prod3Slot3Promo1ShareFrc</vt:lpstr>
      <vt:lpstr>decCh4Prod3Slot3Promo1Weeks</vt:lpstr>
      <vt:lpstr>decCh4Prod4Forecast</vt:lpstr>
      <vt:lpstr>decCh4Prod4Slot1Active</vt:lpstr>
      <vt:lpstr>decCh4Prod4Slot1CustPrice</vt:lpstr>
      <vt:lpstr>decCh4Prod4Slot1Forecast</vt:lpstr>
      <vt:lpstr>decCh4Prod4Slot1Pack</vt:lpstr>
      <vt:lpstr>decCh4Prod4Slot1Promo1</vt:lpstr>
      <vt:lpstr>decCh4Prod4Slot1Promo1ShareFrc</vt:lpstr>
      <vt:lpstr>decCh4Prod4Slot1Promo1Weeks</vt:lpstr>
      <vt:lpstr>decCh4Prod4Slot2Active</vt:lpstr>
      <vt:lpstr>decCh4Prod4Slot2CustPrice</vt:lpstr>
      <vt:lpstr>decCh4Prod4Slot2Forecast</vt:lpstr>
      <vt:lpstr>decCh4Prod4Slot2Pack</vt:lpstr>
      <vt:lpstr>decCh4Prod4Slot2Promo1</vt:lpstr>
      <vt:lpstr>decCh4Prod4Slot2Promo1ShareFrc</vt:lpstr>
      <vt:lpstr>decCh4Prod4Slot2Promo1Weeks</vt:lpstr>
      <vt:lpstr>decCh4Prod4Slot3Active</vt:lpstr>
      <vt:lpstr>decCh4Prod4Slot3CustPrice</vt:lpstr>
      <vt:lpstr>decCh4Prod4Slot3Forecast</vt:lpstr>
      <vt:lpstr>decCh4Prod4Slot3Pack</vt:lpstr>
      <vt:lpstr>decCh4Prod4Slot3Promo1</vt:lpstr>
      <vt:lpstr>decCh4Prod4Slot3Promo1ShareFrc</vt:lpstr>
      <vt:lpstr>decCh4Prod4Slot3Promo1Weeks</vt:lpstr>
      <vt:lpstr>decCh4R1Report1</vt:lpstr>
      <vt:lpstr>decCh4R1Report2</vt:lpstr>
      <vt:lpstr>decCh4R2Report3</vt:lpstr>
      <vt:lpstr>decCh4R2Report4</vt:lpstr>
      <vt:lpstr>decCh4R3Report5</vt:lpstr>
      <vt:lpstr>decCh4R3Report6</vt:lpstr>
      <vt:lpstr>decCh4ValDriv1</vt:lpstr>
      <vt:lpstr>decCh4ValDriv2</vt:lpstr>
      <vt:lpstr>decCh4ValDriv3</vt:lpstr>
      <vt:lpstr>decCh4ValDriv4</vt:lpstr>
      <vt:lpstr>decCh4ValDriv5</vt:lpstr>
      <vt:lpstr>decCh4ValDrivCond</vt:lpstr>
      <vt:lpstr>decCh4VT</vt:lpstr>
      <vt:lpstr>decPackInnovation1</vt:lpstr>
      <vt:lpstr>decPackInnovation2</vt:lpstr>
      <vt:lpstr>decReport1</vt:lpstr>
      <vt:lpstr>decReport2</vt:lpstr>
      <vt:lpstr>decReport3</vt:lpstr>
      <vt:lpstr>decReport4</vt:lpstr>
      <vt:lpstr>decReport5</vt:lpstr>
      <vt:lpstr>decReport6</vt:lpstr>
      <vt:lpstr>decSI01</vt:lpstr>
      <vt:lpstr>decSI1</vt:lpstr>
      <vt:lpstr>decSI2</vt:lpstr>
      <vt:lpstr>decSI3</vt:lpstr>
      <vt:lpstr>decSI4</vt:lpstr>
      <vt:lpstr>decSI5</vt:lpstr>
      <vt:lpstr>decTeamName</vt:lpstr>
      <vt:lpstr>decTeamNumber</vt:lpstr>
      <vt:lpstr>decTeamRound</vt:lpstr>
      <vt:lpstr>feedback_FeedbackFileName</vt:lpstr>
      <vt:lpstr>feedback_FeedbackSheetName</vt:lpstr>
      <vt:lpstr>feedback_TimeSeriesFeedbackSheetName</vt:lpstr>
      <vt:lpstr>finBSClose_Paste</vt:lpstr>
      <vt:lpstr>finBSCloseAP</vt:lpstr>
      <vt:lpstr>finBSCloseAssets</vt:lpstr>
      <vt:lpstr>finBSCloseCash</vt:lpstr>
      <vt:lpstr>finBSCloseCurrentAssets</vt:lpstr>
      <vt:lpstr>finBSCloseCurrentLiab</vt:lpstr>
      <vt:lpstr>finBSCloseEquity</vt:lpstr>
      <vt:lpstr>finBSCloseGoodwill</vt:lpstr>
      <vt:lpstr>finBSCloseLiab</vt:lpstr>
      <vt:lpstr>finBSCloseLongTermLiab</vt:lpstr>
      <vt:lpstr>finBSCloseNetEarnings</vt:lpstr>
      <vt:lpstr>finBSCloseOtherCurrLiab</vt:lpstr>
      <vt:lpstr>finBSClosePlantValue</vt:lpstr>
      <vt:lpstr>finBSClosePPEValue</vt:lpstr>
      <vt:lpstr>finBSCloseProd1AR</vt:lpstr>
      <vt:lpstr>finBSCloseProd1FG</vt:lpstr>
      <vt:lpstr>finBSCloseProd1Mat</vt:lpstr>
      <vt:lpstr>finBSCloseProd1WIP</vt:lpstr>
      <vt:lpstr>finBSCloseRetainedEarnings</vt:lpstr>
      <vt:lpstr>finBSCloseSpecialLoans</vt:lpstr>
      <vt:lpstr>finBSCloseStock</vt:lpstr>
      <vt:lpstr>FinBSOpen_End</vt:lpstr>
      <vt:lpstr>finBSOpen_Paste</vt:lpstr>
      <vt:lpstr>finBSOpenAP</vt:lpstr>
      <vt:lpstr>finBSOpenAssets</vt:lpstr>
      <vt:lpstr>finBSOpenCash</vt:lpstr>
      <vt:lpstr>finBSOpenCurrentAssets</vt:lpstr>
      <vt:lpstr>finBSOpenCurrentLiab</vt:lpstr>
      <vt:lpstr>finBSOpenEquity</vt:lpstr>
      <vt:lpstr>finBSOpenGoodwill</vt:lpstr>
      <vt:lpstr>finBSOpenLiab</vt:lpstr>
      <vt:lpstr>finBSOpenLongTermLiab</vt:lpstr>
      <vt:lpstr>finBSOpenNetEarnings</vt:lpstr>
      <vt:lpstr>finBSOpenOtherCurrLiab</vt:lpstr>
      <vt:lpstr>finBSOpenPlantValue</vt:lpstr>
      <vt:lpstr>finBSOpenPPEValue</vt:lpstr>
      <vt:lpstr>finBSOpenProd1AR</vt:lpstr>
      <vt:lpstr>finBSOpenProd1FG</vt:lpstr>
      <vt:lpstr>finBSOpenProd1Mat</vt:lpstr>
      <vt:lpstr>finBSOpenProd1WIP</vt:lpstr>
      <vt:lpstr>finBSOpenRetainedEarnings</vt:lpstr>
      <vt:lpstr>finBSOpenSpecialLoans</vt:lpstr>
      <vt:lpstr>finBSOpenStock</vt:lpstr>
      <vt:lpstr>finCalcCh1Prod1Slot1COGSPUnit</vt:lpstr>
      <vt:lpstr>finCalcCh1Prod1Slot1DepExp</vt:lpstr>
      <vt:lpstr>finCalcCh1Prod1Slot1ForcastAcc</vt:lpstr>
      <vt:lpstr>finCalcCh1Prod1Slot1LabourCostPerHour</vt:lpstr>
      <vt:lpstr>finCalcCh1Prod1Slot1LabourExp</vt:lpstr>
      <vt:lpstr>finCalcCh1Prod1Slot1LabourHrsReqPVolBase</vt:lpstr>
      <vt:lpstr>finCalcCh1Prod1Slot1LabourHrsReqPVolFrcAdj</vt:lpstr>
      <vt:lpstr>finCalcCh1Prod1Slot1LabourHrsReqPVolSIAdj</vt:lpstr>
      <vt:lpstr>finCalcCh1Prod1Slot1LabourHrsReqPVolTot</vt:lpstr>
      <vt:lpstr>finCalcCh1Prod1Slot1LogExpAdjPUnit</vt:lpstr>
      <vt:lpstr>finCalcCh1Prod1Slot1LogExpFrcAdj</vt:lpstr>
      <vt:lpstr>finCalcCh1Prod1Slot1LogExpPerUnit</vt:lpstr>
      <vt:lpstr>finCalcCh1Prod1Slot1LogExpSIAdj</vt:lpstr>
      <vt:lpstr>finCalcCh1Prod1Slot1LogisticsCost</vt:lpstr>
      <vt:lpstr>finCalcCh1Prod1Slot1MachCost</vt:lpstr>
      <vt:lpstr>finCalcCh1Prod1Slot1MatExp</vt:lpstr>
      <vt:lpstr>finCalcCh1Prod1Slot1MatExpFrcAdj</vt:lpstr>
      <vt:lpstr>finCalcCh1Prod1Slot1MatExpPerUnitBase</vt:lpstr>
      <vt:lpstr>finCalcCh1Prod1Slot1MatExpPUnitTot</vt:lpstr>
      <vt:lpstr>finCalcCh1Prod1Slot1MatExpSIAdj</vt:lpstr>
      <vt:lpstr>finCalcCh1Prod1Slot1UnitSold</vt:lpstr>
      <vt:lpstr>finCalcCh1Prod1Slot1VolSold</vt:lpstr>
      <vt:lpstr>finCalcCh1Prod1Slot2COGSPUnit</vt:lpstr>
      <vt:lpstr>finCalcCh1Prod1Slot2DepExp</vt:lpstr>
      <vt:lpstr>finCalcCh1Prod1Slot2ForcastAcc</vt:lpstr>
      <vt:lpstr>finCalcCh1Prod1Slot2LabourCostPerHour</vt:lpstr>
      <vt:lpstr>finCalcCh1Prod1Slot2LabourExp</vt:lpstr>
      <vt:lpstr>finCalcCh1Prod1Slot2LabourHrsReqPVolBase</vt:lpstr>
      <vt:lpstr>finCalcCh1Prod1Slot2LabourHrsReqPVolFrcAdj</vt:lpstr>
      <vt:lpstr>finCalcCh1Prod1Slot2LabourHrsReqPVolSIAdj</vt:lpstr>
      <vt:lpstr>finCalcCh1Prod1Slot2LabourHrsReqPVolTot</vt:lpstr>
      <vt:lpstr>finCalcCh1Prod1Slot2LogExpAdjPUnit</vt:lpstr>
      <vt:lpstr>finCalcCh1Prod1Slot2LogExpFrcAdj</vt:lpstr>
      <vt:lpstr>finCalcCh1Prod1Slot2LogExpPerUnit</vt:lpstr>
      <vt:lpstr>finCalcCh1Prod1Slot2LogExpSIAdj</vt:lpstr>
      <vt:lpstr>finCalcCh1Prod1Slot2LogisticsCost</vt:lpstr>
      <vt:lpstr>finCalcCh1Prod1Slot2MachCost</vt:lpstr>
      <vt:lpstr>finCalcCh1Prod1Slot2MatExp</vt:lpstr>
      <vt:lpstr>finCalcCh1Prod1Slot2MatExpFrcAdj</vt:lpstr>
      <vt:lpstr>finCalcCh1Prod1Slot2MatExpPerUnitBase</vt:lpstr>
      <vt:lpstr>finCalcCh1Prod1Slot2MatExpPUnitTot</vt:lpstr>
      <vt:lpstr>finCalcCh1Prod1Slot2MatExpSIAdj</vt:lpstr>
      <vt:lpstr>finCalcCh1Prod1Slot2UnitSold</vt:lpstr>
      <vt:lpstr>finCalcCh1Prod1Slot2VolSold</vt:lpstr>
      <vt:lpstr>finCalcCh1Prod1Slot3COGSPUnit</vt:lpstr>
      <vt:lpstr>finCalcCh1Prod1Slot3DepExp</vt:lpstr>
      <vt:lpstr>finCalcCh1Prod1Slot3ForcastAcc</vt:lpstr>
      <vt:lpstr>finCalcCh1Prod1Slot3LabourCostPerHour</vt:lpstr>
      <vt:lpstr>finCalcCh1Prod1Slot3LabourExp</vt:lpstr>
      <vt:lpstr>finCalcCh1Prod1Slot3LabourHrsReqPVolBase</vt:lpstr>
      <vt:lpstr>finCalcCh1Prod1Slot3LabourHrsReqPVolFrcAdj</vt:lpstr>
      <vt:lpstr>finCalcCh1Prod1Slot3LabourHrsReqPVolSIAdj</vt:lpstr>
      <vt:lpstr>finCalcCh1Prod1Slot3LabourHrsReqPVolTot</vt:lpstr>
      <vt:lpstr>finCalcCh1Prod1Slot3LogExpAdjPUnit</vt:lpstr>
      <vt:lpstr>finCalcCh1Prod1Slot3LogExpFrcAdj</vt:lpstr>
      <vt:lpstr>finCalcCh1Prod1Slot3LogExpPerUnit</vt:lpstr>
      <vt:lpstr>finCalcCh1Prod1Slot3LogExpSIAdj</vt:lpstr>
      <vt:lpstr>finCalcCh1Prod1Slot3LogisticsCost</vt:lpstr>
      <vt:lpstr>finCalcCh1Prod1Slot3MachCost</vt:lpstr>
      <vt:lpstr>finCalcCh1Prod1Slot3MatExp</vt:lpstr>
      <vt:lpstr>finCalcCh1Prod1Slot3MatExpFrcAdj</vt:lpstr>
      <vt:lpstr>finCalcCh1Prod1Slot3MatExpPerUnitBase</vt:lpstr>
      <vt:lpstr>finCalcCh1Prod1Slot3MatExpPUnitTot</vt:lpstr>
      <vt:lpstr>finCalcCh1Prod1Slot3MatExpSIAdj</vt:lpstr>
      <vt:lpstr>finCalcCh1Prod1Slot3UnitSold</vt:lpstr>
      <vt:lpstr>finCalcCh1Prod1Slot3VolSold</vt:lpstr>
      <vt:lpstr>finCalcCh1Prod1VolSold</vt:lpstr>
      <vt:lpstr>finCalcCh1Prod2Slot1COGSPUnit</vt:lpstr>
      <vt:lpstr>finCalcCh1Prod2Slot1DepExp</vt:lpstr>
      <vt:lpstr>finCalcCh1Prod2Slot1ForcastAcc</vt:lpstr>
      <vt:lpstr>finCalcCh1Prod2Slot1LabourCostPerHour</vt:lpstr>
      <vt:lpstr>finCalcCh1Prod2Slot1LabourExp</vt:lpstr>
      <vt:lpstr>finCalcCh1Prod2Slot1LabourHrsReqPVolBase</vt:lpstr>
      <vt:lpstr>finCalcCh1Prod2Slot1LabourHrsReqPVolFrcAdj</vt:lpstr>
      <vt:lpstr>finCalcCh1Prod2Slot1LabourHrsReqPVolSIAdj</vt:lpstr>
      <vt:lpstr>finCalcCh1Prod2Slot1LabourHrsReqPVolTot</vt:lpstr>
      <vt:lpstr>finCalcCh1Prod2Slot1LogExpAdjPUnit</vt:lpstr>
      <vt:lpstr>finCalcCh1Prod2Slot1LogExpFrcAdj</vt:lpstr>
      <vt:lpstr>finCalcCh1Prod2Slot1LogExpPerUnit</vt:lpstr>
      <vt:lpstr>finCalcCh1Prod2Slot1LogExpSIAdj</vt:lpstr>
      <vt:lpstr>finCalcCh1Prod2Slot1LogisticsCost</vt:lpstr>
      <vt:lpstr>finCalcCh1Prod2Slot1MachCost</vt:lpstr>
      <vt:lpstr>finCalcCh1Prod2Slot1MatExp</vt:lpstr>
      <vt:lpstr>finCalcCh1Prod2Slot1MatExpFrcAdj</vt:lpstr>
      <vt:lpstr>finCalcCh1Prod2Slot1MatExpPerUnitBase</vt:lpstr>
      <vt:lpstr>finCalcCh1Prod2Slot1MatExpPUnitTot</vt:lpstr>
      <vt:lpstr>finCalcCh1Prod2Slot1MatExpSIAdj</vt:lpstr>
      <vt:lpstr>finCalcCh1Prod2Slot1UnitSold</vt:lpstr>
      <vt:lpstr>finCalcCh1Prod2Slot1VolSold</vt:lpstr>
      <vt:lpstr>finCalcCh1Prod2Slot2COGSPUnit</vt:lpstr>
      <vt:lpstr>finCalcCh1Prod2Slot2DepExp</vt:lpstr>
      <vt:lpstr>finCalcCh1Prod2Slot2ForcastAcc</vt:lpstr>
      <vt:lpstr>finCalcCh1Prod2Slot2LabourCostPerHour</vt:lpstr>
      <vt:lpstr>finCalcCh1Prod2Slot2LabourExp</vt:lpstr>
      <vt:lpstr>finCalcCh1Prod2Slot2LabourHrsReqPVolBase</vt:lpstr>
      <vt:lpstr>finCalcCh1Prod2Slot2LabourHrsReqPVolFrcAdj</vt:lpstr>
      <vt:lpstr>finCalcCh1Prod2Slot2LabourHrsReqPVolSIAdj</vt:lpstr>
      <vt:lpstr>finCalcCh1Prod2Slot2LabourHrsReqPVolTot</vt:lpstr>
      <vt:lpstr>finCalcCh1Prod2Slot2LogExpAdjPUnit</vt:lpstr>
      <vt:lpstr>finCalcCh1Prod2Slot2LogExpFrcAdj</vt:lpstr>
      <vt:lpstr>finCalcCh1Prod2Slot2LogExpPerUnit</vt:lpstr>
      <vt:lpstr>finCalcCh1Prod2Slot2LogExpSIAdj</vt:lpstr>
      <vt:lpstr>finCalcCh1Prod2Slot2LogisticsCost</vt:lpstr>
      <vt:lpstr>finCalcCh1Prod2Slot2MachCost</vt:lpstr>
      <vt:lpstr>finCalcCh1Prod2Slot2MatExp</vt:lpstr>
      <vt:lpstr>finCalcCh1Prod2Slot2MatExpFrcAdj</vt:lpstr>
      <vt:lpstr>finCalcCh1Prod2Slot2MatExpPerUnitBase</vt:lpstr>
      <vt:lpstr>finCalcCh1Prod2Slot2MatExpPUnitTot</vt:lpstr>
      <vt:lpstr>finCalcCh1Prod2Slot2MatExpSIAdj</vt:lpstr>
      <vt:lpstr>finCalcCh1Prod2Slot2UnitSold</vt:lpstr>
      <vt:lpstr>finCalcCh1Prod2Slot2VolSold</vt:lpstr>
      <vt:lpstr>finCalcCh1Prod2Slot3COGSPUnit</vt:lpstr>
      <vt:lpstr>finCalcCh1Prod2Slot3DepExp</vt:lpstr>
      <vt:lpstr>finCalcCh1Prod2Slot3ForcastAcc</vt:lpstr>
      <vt:lpstr>finCalcCh1Prod2Slot3LabourCostPerHour</vt:lpstr>
      <vt:lpstr>finCalcCh1Prod2Slot3LabourExp</vt:lpstr>
      <vt:lpstr>finCalcCh1Prod2Slot3LabourHrsReqPVolBase</vt:lpstr>
      <vt:lpstr>finCalcCh1Prod2Slot3LabourHrsReqPVolFrcAdj</vt:lpstr>
      <vt:lpstr>finCalcCh1Prod2Slot3LabourHrsReqPVolSIAdj</vt:lpstr>
      <vt:lpstr>finCalcCh1Prod2Slot3LabourHrsReqPVolTot</vt:lpstr>
      <vt:lpstr>finCalcCh1Prod2Slot3LogExpAdjPUnit</vt:lpstr>
      <vt:lpstr>finCalcCh1Prod2Slot3LogExpFrcAdj</vt:lpstr>
      <vt:lpstr>finCalcCh1Prod2Slot3LogExpPerUnit</vt:lpstr>
      <vt:lpstr>finCalcCh1Prod2Slot3LogExpSIAdj</vt:lpstr>
      <vt:lpstr>finCalcCh1Prod2Slot3LogisticsCost</vt:lpstr>
      <vt:lpstr>finCalcCh1Prod2Slot3MachCost</vt:lpstr>
      <vt:lpstr>finCalcCh1Prod2Slot3MatExp</vt:lpstr>
      <vt:lpstr>finCalcCh1Prod2Slot3MatExpFrcAdj</vt:lpstr>
      <vt:lpstr>finCalcCh1Prod2Slot3MatExpPerUnitBase</vt:lpstr>
      <vt:lpstr>finCalcCh1Prod2Slot3MatExpPUnitTot</vt:lpstr>
      <vt:lpstr>finCalcCh1Prod2Slot3MatExpSIAdj</vt:lpstr>
      <vt:lpstr>finCalcCh1Prod2Slot3UnitSold</vt:lpstr>
      <vt:lpstr>finCalcCh1Prod2Slot3VolSold</vt:lpstr>
      <vt:lpstr>finCalcCh1Prod2VolSold</vt:lpstr>
      <vt:lpstr>finCalcCh1Prod3Slot1COGSPUnit</vt:lpstr>
      <vt:lpstr>finCalcCh1Prod3Slot1DepExp</vt:lpstr>
      <vt:lpstr>finCalcCh1Prod3Slot1ForcastAcc</vt:lpstr>
      <vt:lpstr>finCalcCh1Prod3Slot1LabourCostPerHour</vt:lpstr>
      <vt:lpstr>finCalcCh1Prod3Slot1LabourExp</vt:lpstr>
      <vt:lpstr>finCalcCh1Prod3Slot1LabourHrsReqPVolBase</vt:lpstr>
      <vt:lpstr>finCalcCh1Prod3Slot1LabourHrsReqPVolFrcAdj</vt:lpstr>
      <vt:lpstr>finCalcCh1Prod3Slot1LabourHrsReqPVolSIAdj</vt:lpstr>
      <vt:lpstr>finCalcCh1Prod3Slot1LabourHrsReqPVolTot</vt:lpstr>
      <vt:lpstr>finCalcCh1Prod3Slot1LogExpAdjPUnit</vt:lpstr>
      <vt:lpstr>finCalcCh1Prod3Slot1LogExpFrcAdj</vt:lpstr>
      <vt:lpstr>finCalcCh1Prod3Slot1LogExpPerUnit</vt:lpstr>
      <vt:lpstr>finCalcCh1Prod3Slot1LogExpSIAdj</vt:lpstr>
      <vt:lpstr>finCalcCh1Prod3Slot1LogisticsCost</vt:lpstr>
      <vt:lpstr>finCalcCh1Prod3Slot1MachCost</vt:lpstr>
      <vt:lpstr>finCalcCh1Prod3Slot1MatExp</vt:lpstr>
      <vt:lpstr>finCalcCh1Prod3Slot1MatExpFrcAdj</vt:lpstr>
      <vt:lpstr>finCalcCh1Prod3Slot1MatExpPerUnitBase</vt:lpstr>
      <vt:lpstr>finCalcCh1Prod3Slot1MatExpPUnitTot</vt:lpstr>
      <vt:lpstr>finCalcCh1Prod3Slot1MatExpSIAdj</vt:lpstr>
      <vt:lpstr>finCalcCh1Prod3Slot1UnitSold</vt:lpstr>
      <vt:lpstr>finCalcCh1Prod3Slot1VolSold</vt:lpstr>
      <vt:lpstr>finCalcCh1Prod3Slot2COGSPUnit</vt:lpstr>
      <vt:lpstr>finCalcCh1Prod3Slot2DepExp</vt:lpstr>
      <vt:lpstr>finCalcCh1Prod3Slot2ForcastAcc</vt:lpstr>
      <vt:lpstr>finCalcCh1Prod3Slot2LabourCostPerHour</vt:lpstr>
      <vt:lpstr>finCalcCh1Prod3Slot2LabourExp</vt:lpstr>
      <vt:lpstr>finCalcCh1Prod3Slot2LabourHrsReqPVolBase</vt:lpstr>
      <vt:lpstr>finCalcCh1Prod3Slot2LabourHrsReqPVolFrcAdj</vt:lpstr>
      <vt:lpstr>finCalcCh1Prod3Slot2LabourHrsReqPVolSIAdj</vt:lpstr>
      <vt:lpstr>finCalcCh1Prod3Slot2LabourHrsReqPVolTot</vt:lpstr>
      <vt:lpstr>finCalcCh1Prod3Slot2LogExpAdjPUnit</vt:lpstr>
      <vt:lpstr>finCalcCh1Prod3Slot2LogExpFrcAdj</vt:lpstr>
      <vt:lpstr>finCalcCh1Prod3Slot2LogExpPerUnit</vt:lpstr>
      <vt:lpstr>finCalcCh1Prod3Slot2LogExpSIAdj</vt:lpstr>
      <vt:lpstr>finCalcCh1Prod3Slot2LogisticsCost</vt:lpstr>
      <vt:lpstr>finCalcCh1Prod3Slot2MachCost</vt:lpstr>
      <vt:lpstr>finCalcCh1Prod3Slot2MatExp</vt:lpstr>
      <vt:lpstr>finCalcCh1Prod3Slot2MatExpFrcAdj</vt:lpstr>
      <vt:lpstr>finCalcCh1Prod3Slot2MatExpPerUnitBase</vt:lpstr>
      <vt:lpstr>finCalcCh1Prod3Slot2MatExpPUnitTot</vt:lpstr>
      <vt:lpstr>finCalcCh1Prod3Slot2MatExpSIAdj</vt:lpstr>
      <vt:lpstr>finCalcCh1Prod3Slot2UnitSold</vt:lpstr>
      <vt:lpstr>finCalcCh1Prod3Slot2VolSold</vt:lpstr>
      <vt:lpstr>finCalcCh1Prod3Slot3COGSPUnit</vt:lpstr>
      <vt:lpstr>finCalcCh1Prod3Slot3DepExp</vt:lpstr>
      <vt:lpstr>finCalcCh1Prod3Slot3ForcastAcc</vt:lpstr>
      <vt:lpstr>finCalcCh1Prod3Slot3LabourCostPerHour</vt:lpstr>
      <vt:lpstr>finCalcCh1Prod3Slot3LabourExp</vt:lpstr>
      <vt:lpstr>finCalcCh1Prod3Slot3LabourHrsReqPVolBase</vt:lpstr>
      <vt:lpstr>finCalcCh1Prod3Slot3LabourHrsReqPVolFrcAdj</vt:lpstr>
      <vt:lpstr>finCalcCh1Prod3Slot3LabourHrsReqPVolSIAdj</vt:lpstr>
      <vt:lpstr>finCalcCh1Prod3Slot3LabourHrsReqPVolTot</vt:lpstr>
      <vt:lpstr>finCalcCh1Prod3Slot3LogExpAdjPUnit</vt:lpstr>
      <vt:lpstr>finCalcCh1Prod3Slot3LogExpFrcAdj</vt:lpstr>
      <vt:lpstr>finCalcCh1Prod3Slot3LogExpPerUnit</vt:lpstr>
      <vt:lpstr>finCalcCh1Prod3Slot3LogExpSIAdj</vt:lpstr>
      <vt:lpstr>finCalcCh1Prod3Slot3LogisticsCost</vt:lpstr>
      <vt:lpstr>finCalcCh1Prod3Slot3MachCost</vt:lpstr>
      <vt:lpstr>finCalcCh1Prod3Slot3MatExp</vt:lpstr>
      <vt:lpstr>finCalcCh1Prod3Slot3MatExpFrcAdj</vt:lpstr>
      <vt:lpstr>finCalcCh1Prod3Slot3MatExpPerUnitBase</vt:lpstr>
      <vt:lpstr>finCalcCh1Prod3Slot3MatExpPUnitTot</vt:lpstr>
      <vt:lpstr>finCalcCh1Prod3Slot3MatExpSIAdj</vt:lpstr>
      <vt:lpstr>finCalcCh1Prod3Slot3UnitSold</vt:lpstr>
      <vt:lpstr>finCalcCh1Prod3Slot3VolSold</vt:lpstr>
      <vt:lpstr>finCalcCh1Prod3VolSold</vt:lpstr>
      <vt:lpstr>finCalcCh1Prod4Slot1COGSPUnit</vt:lpstr>
      <vt:lpstr>finCalcCh1Prod4Slot1DepExp</vt:lpstr>
      <vt:lpstr>finCalcCh1Prod4Slot1ForcastAcc</vt:lpstr>
      <vt:lpstr>finCalcCh1Prod4Slot1LabourCostPerHour</vt:lpstr>
      <vt:lpstr>finCalcCh1Prod4Slot1LabourExp</vt:lpstr>
      <vt:lpstr>finCalcCh1Prod4Slot1LabourHrsReqPVolBase</vt:lpstr>
      <vt:lpstr>finCalcCh1Prod4Slot1LabourHrsReqPVolFrcAdj</vt:lpstr>
      <vt:lpstr>finCalcCh1Prod4Slot1LabourHrsReqPVolSIAdj</vt:lpstr>
      <vt:lpstr>finCalcCh1Prod4Slot1LabourHrsReqPVolTot</vt:lpstr>
      <vt:lpstr>finCalcCh1Prod4Slot1LogExpAdjPUnit</vt:lpstr>
      <vt:lpstr>finCalcCh1Prod4Slot1LogExpFrcAdj</vt:lpstr>
      <vt:lpstr>finCalcCh1Prod4Slot1LogExpPerUnit</vt:lpstr>
      <vt:lpstr>finCalcCh1Prod4Slot1LogExpSIAdj</vt:lpstr>
      <vt:lpstr>finCalcCh1Prod4Slot1LogisticsCost</vt:lpstr>
      <vt:lpstr>finCalcCh1Prod4Slot1MachCost</vt:lpstr>
      <vt:lpstr>finCalcCh1Prod4Slot1MatExp</vt:lpstr>
      <vt:lpstr>finCalcCh1Prod4Slot1MatExpFrcAdj</vt:lpstr>
      <vt:lpstr>finCalcCh1Prod4Slot1MatExpPerUnitBase</vt:lpstr>
      <vt:lpstr>finCalcCh1Prod4Slot1MatExpPUnitTot</vt:lpstr>
      <vt:lpstr>finCalcCh1Prod4Slot1MatExpSIAdj</vt:lpstr>
      <vt:lpstr>finCalcCh1Prod4Slot1UnitSold</vt:lpstr>
      <vt:lpstr>finCalcCh1Prod4Slot1VolSold</vt:lpstr>
      <vt:lpstr>finCalcCh1Prod4Slot2COGSPUnit</vt:lpstr>
      <vt:lpstr>finCalcCh1Prod4Slot2DepExp</vt:lpstr>
      <vt:lpstr>finCalcCh1Prod4Slot2ForcastAcc</vt:lpstr>
      <vt:lpstr>finCalcCh1Prod4Slot2LabourCostPerHour</vt:lpstr>
      <vt:lpstr>finCalcCh1Prod4Slot2LabourExp</vt:lpstr>
      <vt:lpstr>finCalcCh1Prod4Slot2LabourHrsReqPVolBase</vt:lpstr>
      <vt:lpstr>finCalcCh1Prod4Slot2LabourHrsReqPVolFrcAdj</vt:lpstr>
      <vt:lpstr>finCalcCh1Prod4Slot2LabourHrsReqPVolSIAdj</vt:lpstr>
      <vt:lpstr>finCalcCh1Prod4Slot2LabourHrsReqPVolTot</vt:lpstr>
      <vt:lpstr>finCalcCh1Prod4Slot2LogExpAdjPUnit</vt:lpstr>
      <vt:lpstr>finCalcCh1Prod4Slot2LogExpFrcAdj</vt:lpstr>
      <vt:lpstr>finCalcCh1Prod4Slot2LogExpPerUnit</vt:lpstr>
      <vt:lpstr>finCalcCh1Prod4Slot2LogExpSIAdj</vt:lpstr>
      <vt:lpstr>finCalcCh1Prod4Slot2LogisticsCost</vt:lpstr>
      <vt:lpstr>finCalcCh1Prod4Slot2MachCost</vt:lpstr>
      <vt:lpstr>finCalcCh1Prod4Slot2MatExp</vt:lpstr>
      <vt:lpstr>finCalcCh1Prod4Slot2MatExpFrcAdj</vt:lpstr>
      <vt:lpstr>finCalcCh1Prod4Slot2MatExpPerUnitBase</vt:lpstr>
      <vt:lpstr>finCalcCh1Prod4Slot2MatExpPUnitTot</vt:lpstr>
      <vt:lpstr>finCalcCh1Prod4Slot2MatExpSIAdj</vt:lpstr>
      <vt:lpstr>finCalcCh1Prod4Slot2UnitSold</vt:lpstr>
      <vt:lpstr>finCalcCh1Prod4Slot2VolSold</vt:lpstr>
      <vt:lpstr>finCalcCh1Prod4Slot3COGSPUnit</vt:lpstr>
      <vt:lpstr>finCalcCh1Prod4Slot3DepExp</vt:lpstr>
      <vt:lpstr>finCalcCh1Prod4Slot3ForcastAcc</vt:lpstr>
      <vt:lpstr>finCalcCh1Prod4Slot3LabourCostPerHour</vt:lpstr>
      <vt:lpstr>finCalcCh1Prod4Slot3LabourExp</vt:lpstr>
      <vt:lpstr>finCalcCh1Prod4Slot3LabourHrsReqPVolBase</vt:lpstr>
      <vt:lpstr>finCalcCh1Prod4Slot3LabourHrsReqPVolFrcAdj</vt:lpstr>
      <vt:lpstr>finCalcCh1Prod4Slot3LabourHrsReqPVolSIAdj</vt:lpstr>
      <vt:lpstr>finCalcCh1Prod4Slot3LabourHrsReqPVolTot</vt:lpstr>
      <vt:lpstr>finCalcCh1Prod4Slot3LogExpAdjPUnit</vt:lpstr>
      <vt:lpstr>finCalcCh1Prod4Slot3LogExpFrcAdj</vt:lpstr>
      <vt:lpstr>finCalcCh1Prod4Slot3LogExpPerUnit</vt:lpstr>
      <vt:lpstr>finCalcCh1Prod4Slot3LogExpSIAdj</vt:lpstr>
      <vt:lpstr>finCalcCh1Prod4Slot3LogisticsCost</vt:lpstr>
      <vt:lpstr>finCalcCh1Prod4Slot3MachCost</vt:lpstr>
      <vt:lpstr>finCalcCh1Prod4Slot3MatExp</vt:lpstr>
      <vt:lpstr>finCalcCh1Prod4Slot3MatExpFrcAdj</vt:lpstr>
      <vt:lpstr>finCalcCh1Prod4Slot3MatExpPerUnitBase</vt:lpstr>
      <vt:lpstr>finCalcCh1Prod4Slot3MatExpPUnitTot</vt:lpstr>
      <vt:lpstr>finCalcCh1Prod4Slot3MatExpSIAdj</vt:lpstr>
      <vt:lpstr>finCalcCh1Prod4Slot3UnitSold</vt:lpstr>
      <vt:lpstr>finCalcCh1Prod4Slot3VolSold</vt:lpstr>
      <vt:lpstr>finCalcCh1Prod4VolSold</vt:lpstr>
      <vt:lpstr>finCalcCh1VolSold</vt:lpstr>
      <vt:lpstr>finCalcCh2Prod1Slot1COGSPUnit</vt:lpstr>
      <vt:lpstr>finCalcCh2Prod1Slot1DepExp</vt:lpstr>
      <vt:lpstr>finCalcCh2Prod1Slot1ForcastAcc</vt:lpstr>
      <vt:lpstr>finCalcCh2Prod1Slot1LabourCostPerHour</vt:lpstr>
      <vt:lpstr>finCalcCh2Prod1Slot1LabourExp</vt:lpstr>
      <vt:lpstr>finCalcCh2Prod1Slot1LabourHrsReqPVolBase</vt:lpstr>
      <vt:lpstr>finCalcCh2Prod1Slot1LabourHrsReqPVolFrcAdj</vt:lpstr>
      <vt:lpstr>finCalcCh2Prod1Slot1LabourHrsReqPVolSIAdj</vt:lpstr>
      <vt:lpstr>finCalcCh2Prod1Slot1LabourHrsReqPVolTot</vt:lpstr>
      <vt:lpstr>finCalcCh2Prod1Slot1LogExpAdjPUnit</vt:lpstr>
      <vt:lpstr>finCalcCh2Prod1Slot1LogExpFrcAdj</vt:lpstr>
      <vt:lpstr>finCalcCh2Prod1Slot1LogExpPerUnit</vt:lpstr>
      <vt:lpstr>finCalcCh2Prod1Slot1LogExpSIAdj</vt:lpstr>
      <vt:lpstr>finCalcCh2Prod1Slot1LogisticsCost</vt:lpstr>
      <vt:lpstr>finCalcCh2Prod1Slot1MachCost</vt:lpstr>
      <vt:lpstr>finCalcCh2Prod1Slot1MatExp</vt:lpstr>
      <vt:lpstr>finCalcCh2Prod1Slot1MatExpFrcAdj</vt:lpstr>
      <vt:lpstr>finCalcCh2Prod1Slot1MatExpPerUnitBase</vt:lpstr>
      <vt:lpstr>finCalcCh2Prod1Slot1MatExpPUnitTot</vt:lpstr>
      <vt:lpstr>finCalcCh2Prod1Slot1MatExpSIAdj</vt:lpstr>
      <vt:lpstr>finCalcCh2Prod1Slot1UnitSold</vt:lpstr>
      <vt:lpstr>finCalcCh2Prod1Slot1VolSold</vt:lpstr>
      <vt:lpstr>finCalcCh2Prod1Slot2COGSPUnit</vt:lpstr>
      <vt:lpstr>finCalcCh2Prod1Slot2DepExp</vt:lpstr>
      <vt:lpstr>finCalcCh2Prod1Slot2ForcastAcc</vt:lpstr>
      <vt:lpstr>finCalcCh2Prod1Slot2LabourCostPerHour</vt:lpstr>
      <vt:lpstr>finCalcCh2Prod1Slot2LabourExp</vt:lpstr>
      <vt:lpstr>finCalcCh2Prod1Slot2LabourHrsReqPVolBase</vt:lpstr>
      <vt:lpstr>finCalcCh2Prod1Slot2LabourHrsReqPVolFrcAdj</vt:lpstr>
      <vt:lpstr>finCalcCh2Prod1Slot2LabourHrsReqPVolSIAdj</vt:lpstr>
      <vt:lpstr>finCalcCh2Prod1Slot2LabourHrsReqPVolTot</vt:lpstr>
      <vt:lpstr>finCalcCh2Prod1Slot2LogExpAdjPUnit</vt:lpstr>
      <vt:lpstr>finCalcCh2Prod1Slot2LogExpFrcAdj</vt:lpstr>
      <vt:lpstr>finCalcCh2Prod1Slot2LogExpPerUnit</vt:lpstr>
      <vt:lpstr>finCalcCh2Prod1Slot2LogExpSIAdj</vt:lpstr>
      <vt:lpstr>finCalcCh2Prod1Slot2LogisticsCost</vt:lpstr>
      <vt:lpstr>finCalcCh2Prod1Slot2MachCost</vt:lpstr>
      <vt:lpstr>finCalcCh2Prod1Slot2MatExp</vt:lpstr>
      <vt:lpstr>finCalcCh2Prod1Slot2MatExpFrcAdj</vt:lpstr>
      <vt:lpstr>finCalcCh2Prod1Slot2MatExpPerUnitBase</vt:lpstr>
      <vt:lpstr>finCalcCh2Prod1Slot2MatExpPUnitTot</vt:lpstr>
      <vt:lpstr>finCalcCh2Prod1Slot2MatExpSIAdj</vt:lpstr>
      <vt:lpstr>finCalcCh2Prod1Slot2UnitSold</vt:lpstr>
      <vt:lpstr>finCalcCh2Prod1Slot2VolSold</vt:lpstr>
      <vt:lpstr>finCalcCh2Prod1Slot3COGSPUnit</vt:lpstr>
      <vt:lpstr>finCalcCh2Prod1Slot3DepExp</vt:lpstr>
      <vt:lpstr>finCalcCh2Prod1Slot3ForcastAcc</vt:lpstr>
      <vt:lpstr>finCalcCh2Prod1Slot3LabourCostPerHour</vt:lpstr>
      <vt:lpstr>finCalcCh2Prod1Slot3LabourExp</vt:lpstr>
      <vt:lpstr>finCalcCh2Prod1Slot3LabourHrsReqPVolBase</vt:lpstr>
      <vt:lpstr>finCalcCh2Prod1Slot3LabourHrsReqPVolFrcAdj</vt:lpstr>
      <vt:lpstr>finCalcCh2Prod1Slot3LabourHrsReqPVolSIAdj</vt:lpstr>
      <vt:lpstr>finCalcCh2Prod1Slot3LabourHrsReqPVolTot</vt:lpstr>
      <vt:lpstr>finCalcCh2Prod1Slot3LogExpAdjPUnit</vt:lpstr>
      <vt:lpstr>finCalcCh2Prod1Slot3LogExpFrcAdj</vt:lpstr>
      <vt:lpstr>finCalcCh2Prod1Slot3LogExpPerUnit</vt:lpstr>
      <vt:lpstr>finCalcCh2Prod1Slot3LogExpSIAdj</vt:lpstr>
      <vt:lpstr>finCalcCh2Prod1Slot3LogisticsCost</vt:lpstr>
      <vt:lpstr>finCalcCh2Prod1Slot3MachCost</vt:lpstr>
      <vt:lpstr>finCalcCh2Prod1Slot3MatExp</vt:lpstr>
      <vt:lpstr>finCalcCh2Prod1Slot3MatExpFrcAdj</vt:lpstr>
      <vt:lpstr>finCalcCh2Prod1Slot3MatExpPerUnitBase</vt:lpstr>
      <vt:lpstr>finCalcCh2Prod1Slot3MatExpPUnitTot</vt:lpstr>
      <vt:lpstr>finCalcCh2Prod1Slot3MatExpSIAdj</vt:lpstr>
      <vt:lpstr>finCalcCh2Prod1Slot3UnitSold</vt:lpstr>
      <vt:lpstr>finCalcCh2Prod1Slot3VolSold</vt:lpstr>
      <vt:lpstr>finCalcCh2Prod1VolSold</vt:lpstr>
      <vt:lpstr>finCalcCh2Prod2Slot1COGSPUnit</vt:lpstr>
      <vt:lpstr>finCalcCh2Prod2Slot1DepExp</vt:lpstr>
      <vt:lpstr>finCalcCh2Prod2Slot1ForcastAcc</vt:lpstr>
      <vt:lpstr>finCalcCh2Prod2Slot1LabourCostPerHour</vt:lpstr>
      <vt:lpstr>finCalcCh2Prod2Slot1LabourExp</vt:lpstr>
      <vt:lpstr>finCalcCh2Prod2Slot1LabourHrsReqPVolBase</vt:lpstr>
      <vt:lpstr>finCalcCh2Prod2Slot1LabourHrsReqPVolFrcAdj</vt:lpstr>
      <vt:lpstr>finCalcCh2Prod2Slot1LabourHrsReqPVolSIAdj</vt:lpstr>
      <vt:lpstr>finCalcCh2Prod2Slot1LabourHrsReqPVolTot</vt:lpstr>
      <vt:lpstr>finCalcCh2Prod2Slot1LogExpAdjPUnit</vt:lpstr>
      <vt:lpstr>finCalcCh2Prod2Slot1LogExpFrcAdj</vt:lpstr>
      <vt:lpstr>finCalcCh2Prod2Slot1LogExpPerUnit</vt:lpstr>
      <vt:lpstr>finCalcCh2Prod2Slot1LogExpSIAdj</vt:lpstr>
      <vt:lpstr>finCalcCh2Prod2Slot1LogisticsCost</vt:lpstr>
      <vt:lpstr>finCalcCh2Prod2Slot1MachCost</vt:lpstr>
      <vt:lpstr>finCalcCh2Prod2Slot1MatExp</vt:lpstr>
      <vt:lpstr>finCalcCh2Prod2Slot1MatExpFrcAdj</vt:lpstr>
      <vt:lpstr>finCalcCh2Prod2Slot1MatExpPerUnitBase</vt:lpstr>
      <vt:lpstr>finCalcCh2Prod2Slot1MatExpPUnitTot</vt:lpstr>
      <vt:lpstr>finCalcCh2Prod2Slot1MatExpSIAdj</vt:lpstr>
      <vt:lpstr>finCalcCh2Prod2Slot1UnitSold</vt:lpstr>
      <vt:lpstr>finCalcCh2Prod2Slot1VolSold</vt:lpstr>
      <vt:lpstr>finCalcCh2Prod2Slot2COGSPUnit</vt:lpstr>
      <vt:lpstr>finCalcCh2Prod2Slot2DepExp</vt:lpstr>
      <vt:lpstr>finCalcCh2Prod2Slot2ForcastAcc</vt:lpstr>
      <vt:lpstr>finCalcCh2Prod2Slot2LabourCostPerHour</vt:lpstr>
      <vt:lpstr>finCalcCh2Prod2Slot2LabourExp</vt:lpstr>
      <vt:lpstr>finCalcCh2Prod2Slot2LabourHrsReqPVolBase</vt:lpstr>
      <vt:lpstr>finCalcCh2Prod2Slot2LabourHrsReqPVolFrcAdj</vt:lpstr>
      <vt:lpstr>finCalcCh2Prod2Slot2LabourHrsReqPVolSIAdj</vt:lpstr>
      <vt:lpstr>finCalcCh2Prod2Slot2LabourHrsReqPVolTot</vt:lpstr>
      <vt:lpstr>finCalcCh2Prod2Slot2LogExpAdjPUnit</vt:lpstr>
      <vt:lpstr>finCalcCh2Prod2Slot2LogExpFrcAdj</vt:lpstr>
      <vt:lpstr>finCalcCh2Prod2Slot2LogExpPerUnit</vt:lpstr>
      <vt:lpstr>finCalcCh2Prod2Slot2LogExpSIAdj</vt:lpstr>
      <vt:lpstr>finCalcCh2Prod2Slot2LogisticsCost</vt:lpstr>
      <vt:lpstr>finCalcCh2Prod2Slot2MachCost</vt:lpstr>
      <vt:lpstr>finCalcCh2Prod2Slot2MatExp</vt:lpstr>
      <vt:lpstr>finCalcCh2Prod2Slot2MatExpFrcAdj</vt:lpstr>
      <vt:lpstr>finCalcCh2Prod2Slot2MatExpPerUnitBase</vt:lpstr>
      <vt:lpstr>finCalcCh2Prod2Slot2MatExpPUnitTot</vt:lpstr>
      <vt:lpstr>finCalcCh2Prod2Slot2MatExpSIAdj</vt:lpstr>
      <vt:lpstr>finCalcCh2Prod2Slot2UnitSold</vt:lpstr>
      <vt:lpstr>finCalcCh2Prod2Slot2VolSold</vt:lpstr>
      <vt:lpstr>finCalcCh2Prod2Slot3COGSPUnit</vt:lpstr>
      <vt:lpstr>finCalcCh2Prod2Slot3DepExp</vt:lpstr>
      <vt:lpstr>finCalcCh2Prod2Slot3ForcastAcc</vt:lpstr>
      <vt:lpstr>finCalcCh2Prod2Slot3LabourCostPerHour</vt:lpstr>
      <vt:lpstr>finCalcCh2Prod2Slot3LabourExp</vt:lpstr>
      <vt:lpstr>finCalcCh2Prod2Slot3LabourHrsReqPVolBase</vt:lpstr>
      <vt:lpstr>finCalcCh2Prod2Slot3LabourHrsReqPVolFrcAdj</vt:lpstr>
      <vt:lpstr>finCalcCh2Prod2Slot3LabourHrsReqPVolSIAdj</vt:lpstr>
      <vt:lpstr>finCalcCh2Prod2Slot3LabourHrsReqPVolTot</vt:lpstr>
      <vt:lpstr>finCalcCh2Prod2Slot3LogExpAdjPUnit</vt:lpstr>
      <vt:lpstr>finCalcCh2Prod2Slot3LogExpFrcAdj</vt:lpstr>
      <vt:lpstr>finCalcCh2Prod2Slot3LogExpPerUnit</vt:lpstr>
      <vt:lpstr>finCalcCh2Prod2Slot3LogExpSIAdj</vt:lpstr>
      <vt:lpstr>finCalcCh2Prod2Slot3LogisticsCost</vt:lpstr>
      <vt:lpstr>finCalcCh2Prod2Slot3MachCost</vt:lpstr>
      <vt:lpstr>finCalcCh2Prod2Slot3MatExp</vt:lpstr>
      <vt:lpstr>finCalcCh2Prod2Slot3MatExpFrcAdj</vt:lpstr>
      <vt:lpstr>finCalcCh2Prod2Slot3MatExpPerUnitBase</vt:lpstr>
      <vt:lpstr>finCalcCh2Prod2Slot3MatExpPUnitTot</vt:lpstr>
      <vt:lpstr>finCalcCh2Prod2Slot3MatExpSIAdj</vt:lpstr>
      <vt:lpstr>finCalcCh2Prod2Slot3UnitSold</vt:lpstr>
      <vt:lpstr>finCalcCh2Prod2Slot3VolSold</vt:lpstr>
      <vt:lpstr>finCalcCh2Prod2VolSold</vt:lpstr>
      <vt:lpstr>finCalcCh2Prod3Slot1COGSPUnit</vt:lpstr>
      <vt:lpstr>finCalcCh2Prod3Slot1DepExp</vt:lpstr>
      <vt:lpstr>finCalcCh2Prod3Slot1ForcastAcc</vt:lpstr>
      <vt:lpstr>finCalcCh2Prod3Slot1LabourCostPerHour</vt:lpstr>
      <vt:lpstr>finCalcCh2Prod3Slot1LabourExp</vt:lpstr>
      <vt:lpstr>finCalcCh2Prod3Slot1LabourHrsReqPVolBase</vt:lpstr>
      <vt:lpstr>finCalcCh2Prod3Slot1LabourHrsReqPVolFrcAdj</vt:lpstr>
      <vt:lpstr>finCalcCh2Prod3Slot1LabourHrsReqPVolSIAdj</vt:lpstr>
      <vt:lpstr>finCalcCh2Prod3Slot1LabourHrsReqPVolTot</vt:lpstr>
      <vt:lpstr>finCalcCh2Prod3Slot1LogExpAdjPUnit</vt:lpstr>
      <vt:lpstr>finCalcCh2Prod3Slot1LogExpFrcAdj</vt:lpstr>
      <vt:lpstr>finCalcCh2Prod3Slot1LogExpPerUnit</vt:lpstr>
      <vt:lpstr>finCalcCh2Prod3Slot1LogExpSIAdj</vt:lpstr>
      <vt:lpstr>finCalcCh2Prod3Slot1LogisticsCost</vt:lpstr>
      <vt:lpstr>finCalcCh2Prod3Slot1MachCost</vt:lpstr>
      <vt:lpstr>finCalcCh2Prod3Slot1MatExp</vt:lpstr>
      <vt:lpstr>finCalcCh2Prod3Slot1MatExpFrcAdj</vt:lpstr>
      <vt:lpstr>finCalcCh2Prod3Slot1MatExpPerUnitBase</vt:lpstr>
      <vt:lpstr>finCalcCh2Prod3Slot1MatExpPUnitTot</vt:lpstr>
      <vt:lpstr>finCalcCh2Prod3Slot1MatExpSIAdj</vt:lpstr>
      <vt:lpstr>finCalcCh2Prod3Slot1UnitSold</vt:lpstr>
      <vt:lpstr>finCalcCh2Prod3Slot1VolSold</vt:lpstr>
      <vt:lpstr>finCalcCh2Prod3Slot2COGSPUnit</vt:lpstr>
      <vt:lpstr>finCalcCh2Prod3Slot2DepExp</vt:lpstr>
      <vt:lpstr>finCalcCh2Prod3Slot2ForcastAcc</vt:lpstr>
      <vt:lpstr>finCalcCh2Prod3Slot2LabourCostPerHour</vt:lpstr>
      <vt:lpstr>finCalcCh2Prod3Slot2LabourExp</vt:lpstr>
      <vt:lpstr>finCalcCh2Prod3Slot2LabourHrsReqPVolBase</vt:lpstr>
      <vt:lpstr>finCalcCh2Prod3Slot2LabourHrsReqPVolFrcAdj</vt:lpstr>
      <vt:lpstr>finCalcCh2Prod3Slot2LabourHrsReqPVolSIAdj</vt:lpstr>
      <vt:lpstr>finCalcCh2Prod3Slot2LabourHrsReqPVolTot</vt:lpstr>
      <vt:lpstr>finCalcCh2Prod3Slot2LogExpAdjPUnit</vt:lpstr>
      <vt:lpstr>finCalcCh2Prod3Slot2LogExpFrcAdj</vt:lpstr>
      <vt:lpstr>finCalcCh2Prod3Slot2LogExpPerUnit</vt:lpstr>
      <vt:lpstr>finCalcCh2Prod3Slot2LogExpSIAdj</vt:lpstr>
      <vt:lpstr>finCalcCh2Prod3Slot2LogisticsCost</vt:lpstr>
      <vt:lpstr>finCalcCh2Prod3Slot2MachCost</vt:lpstr>
      <vt:lpstr>finCalcCh2Prod3Slot2MatExp</vt:lpstr>
      <vt:lpstr>finCalcCh2Prod3Slot2MatExpFrcAdj</vt:lpstr>
      <vt:lpstr>finCalcCh2Prod3Slot2MatExpPerUnitBase</vt:lpstr>
      <vt:lpstr>finCalcCh2Prod3Slot2MatExpPUnitTot</vt:lpstr>
      <vt:lpstr>finCalcCh2Prod3Slot2MatExpSIAdj</vt:lpstr>
      <vt:lpstr>finCalcCh2Prod3Slot2UnitSold</vt:lpstr>
      <vt:lpstr>finCalcCh2Prod3Slot2VolSold</vt:lpstr>
      <vt:lpstr>finCalcCh2Prod3Slot3COGSPUnit</vt:lpstr>
      <vt:lpstr>finCalcCh2Prod3Slot3DepExp</vt:lpstr>
      <vt:lpstr>finCalcCh2Prod3Slot3ForcastAcc</vt:lpstr>
      <vt:lpstr>finCalcCh2Prod3Slot3LabourCostPerHour</vt:lpstr>
      <vt:lpstr>finCalcCh2Prod3Slot3LabourExp</vt:lpstr>
      <vt:lpstr>finCalcCh2Prod3Slot3LabourHrsReqPVolBase</vt:lpstr>
      <vt:lpstr>finCalcCh2Prod3Slot3LabourHrsReqPVolFrcAdj</vt:lpstr>
      <vt:lpstr>finCalcCh2Prod3Slot3LabourHrsReqPVolSIAdj</vt:lpstr>
      <vt:lpstr>finCalcCh2Prod3Slot3LabourHrsReqPVolTot</vt:lpstr>
      <vt:lpstr>finCalcCh2Prod3Slot3LogExpAdjPUnit</vt:lpstr>
      <vt:lpstr>finCalcCh2Prod3Slot3LogExpFrcAdj</vt:lpstr>
      <vt:lpstr>finCalcCh2Prod3Slot3LogExpPerUnit</vt:lpstr>
      <vt:lpstr>finCalcCh2Prod3Slot3LogExpSIAdj</vt:lpstr>
      <vt:lpstr>finCalcCh2Prod3Slot3LogisticsCost</vt:lpstr>
      <vt:lpstr>finCalcCh2Prod3Slot3MachCost</vt:lpstr>
      <vt:lpstr>finCalcCh2Prod3Slot3MatExp</vt:lpstr>
      <vt:lpstr>finCalcCh2Prod3Slot3MatExpFrcAdj</vt:lpstr>
      <vt:lpstr>finCalcCh2Prod3Slot3MatExpPerUnitBase</vt:lpstr>
      <vt:lpstr>finCalcCh2Prod3Slot3MatExpPUnitTot</vt:lpstr>
      <vt:lpstr>finCalcCh2Prod3Slot3MatExpSIAdj</vt:lpstr>
      <vt:lpstr>finCalcCh2Prod3Slot3UnitSold</vt:lpstr>
      <vt:lpstr>finCalcCh2Prod3Slot3VolSold</vt:lpstr>
      <vt:lpstr>finCalcCh2Prod3VolSold</vt:lpstr>
      <vt:lpstr>finCalcCh2Prod4Slot1COGSPUnit</vt:lpstr>
      <vt:lpstr>finCalcCh2Prod4Slot1DepExp</vt:lpstr>
      <vt:lpstr>finCalcCh2Prod4Slot1ForcastAcc</vt:lpstr>
      <vt:lpstr>finCalcCh2Prod4Slot1LabourCostPerHour</vt:lpstr>
      <vt:lpstr>finCalcCh2Prod4Slot1LabourExp</vt:lpstr>
      <vt:lpstr>finCalcCh2Prod4Slot1LabourHrsReqPVolBase</vt:lpstr>
      <vt:lpstr>finCalcCh2Prod4Slot1LabourHrsReqPVolFrcAdj</vt:lpstr>
      <vt:lpstr>finCalcCh2Prod4Slot1LabourHrsReqPVolSIAdj</vt:lpstr>
      <vt:lpstr>finCalcCh2Prod4Slot1LabourHrsReqPVolTot</vt:lpstr>
      <vt:lpstr>finCalcCh2Prod4Slot1LogExpAdjPUnit</vt:lpstr>
      <vt:lpstr>finCalcCh2Prod4Slot1LogExpFrcAdj</vt:lpstr>
      <vt:lpstr>finCalcCh2Prod4Slot1LogExpPerUnit</vt:lpstr>
      <vt:lpstr>finCalcCh2Prod4Slot1LogExpSIAdj</vt:lpstr>
      <vt:lpstr>finCalcCh2Prod4Slot1LogisticsCost</vt:lpstr>
      <vt:lpstr>finCalcCh2Prod4Slot1MachCost</vt:lpstr>
      <vt:lpstr>finCalcCh2Prod4Slot1MatExp</vt:lpstr>
      <vt:lpstr>finCalcCh2Prod4Slot1MatExpFrcAdj</vt:lpstr>
      <vt:lpstr>finCalcCh2Prod4Slot1MatExpPerUnitBase</vt:lpstr>
      <vt:lpstr>finCalcCh2Prod4Slot1MatExpPUnitTot</vt:lpstr>
      <vt:lpstr>finCalcCh2Prod4Slot1MatExpSIAdj</vt:lpstr>
      <vt:lpstr>finCalcCh2Prod4Slot1UnitSold</vt:lpstr>
      <vt:lpstr>finCalcCh2Prod4Slot1VolSold</vt:lpstr>
      <vt:lpstr>finCalcCh2Prod4Slot2COGSPUnit</vt:lpstr>
      <vt:lpstr>finCalcCh2Prod4Slot2DepExp</vt:lpstr>
      <vt:lpstr>finCalcCh2Prod4Slot2ForcastAcc</vt:lpstr>
      <vt:lpstr>finCalcCh2Prod4Slot2LabourCostPerHour</vt:lpstr>
      <vt:lpstr>finCalcCh2Prod4Slot2LabourExp</vt:lpstr>
      <vt:lpstr>finCalcCh2Prod4Slot2LabourHrsReqPVolBase</vt:lpstr>
      <vt:lpstr>finCalcCh2Prod4Slot2LabourHrsReqPVolFrcAdj</vt:lpstr>
      <vt:lpstr>finCalcCh2Prod4Slot2LabourHrsReqPVolSIAdj</vt:lpstr>
      <vt:lpstr>finCalcCh2Prod4Slot2LabourHrsReqPVolTot</vt:lpstr>
      <vt:lpstr>finCalcCh2Prod4Slot2LogExpAdjPUnit</vt:lpstr>
      <vt:lpstr>finCalcCh2Prod4Slot2LogExpFrcAdj</vt:lpstr>
      <vt:lpstr>finCalcCh2Prod4Slot2LogExpPerUnit</vt:lpstr>
      <vt:lpstr>finCalcCh2Prod4Slot2LogExpSIAdj</vt:lpstr>
      <vt:lpstr>finCalcCh2Prod4Slot2LogisticsCost</vt:lpstr>
      <vt:lpstr>finCalcCh2Prod4Slot2MachCost</vt:lpstr>
      <vt:lpstr>finCalcCh2Prod4Slot2MatExp</vt:lpstr>
      <vt:lpstr>finCalcCh2Prod4Slot2MatExpFrcAdj</vt:lpstr>
      <vt:lpstr>finCalcCh2Prod4Slot2MatExpPerUnitBase</vt:lpstr>
      <vt:lpstr>finCalcCh2Prod4Slot2MatExpPUnitTot</vt:lpstr>
      <vt:lpstr>finCalcCh2Prod4Slot2MatExpSIAdj</vt:lpstr>
      <vt:lpstr>finCalcCh2Prod4Slot2UnitSold</vt:lpstr>
      <vt:lpstr>finCalcCh2Prod4Slot2VolSold</vt:lpstr>
      <vt:lpstr>finCalcCh2Prod4Slot3COGSPUnit</vt:lpstr>
      <vt:lpstr>finCalcCh2Prod4Slot3DepExp</vt:lpstr>
      <vt:lpstr>finCalcCh2Prod4Slot3ForcastAcc</vt:lpstr>
      <vt:lpstr>finCalcCh2Prod4Slot3LabourCostPerHour</vt:lpstr>
      <vt:lpstr>finCalcCh2Prod4Slot3LabourExp</vt:lpstr>
      <vt:lpstr>finCalcCh2Prod4Slot3LabourHrsReqPVolBase</vt:lpstr>
      <vt:lpstr>finCalcCh2Prod4Slot3LabourHrsReqPVolFrcAdj</vt:lpstr>
      <vt:lpstr>finCalcCh2Prod4Slot3LabourHrsReqPVolSIAdj</vt:lpstr>
      <vt:lpstr>finCalcCh2Prod4Slot3LabourHrsReqPVolTot</vt:lpstr>
      <vt:lpstr>finCalcCh2Prod4Slot3LogExpAdjPUnit</vt:lpstr>
      <vt:lpstr>finCalcCh2Prod4Slot3LogExpFrcAdj</vt:lpstr>
      <vt:lpstr>finCalcCh2Prod4Slot3LogExpPerUnit</vt:lpstr>
      <vt:lpstr>finCalcCh2Prod4Slot3LogExpSIAdj</vt:lpstr>
      <vt:lpstr>finCalcCh2Prod4Slot3LogisticsCost</vt:lpstr>
      <vt:lpstr>finCalcCh2Prod4Slot3MachCost</vt:lpstr>
      <vt:lpstr>finCalcCh2Prod4Slot3MatExp</vt:lpstr>
      <vt:lpstr>finCalcCh2Prod4Slot3MatExpFrcAdj</vt:lpstr>
      <vt:lpstr>finCalcCh2Prod4Slot3MatExpPerUnitBase</vt:lpstr>
      <vt:lpstr>finCalcCh2Prod4Slot3MatExpPUnitTot</vt:lpstr>
      <vt:lpstr>finCalcCh2Prod4Slot3MatExpSIAdj</vt:lpstr>
      <vt:lpstr>finCalcCh2Prod4Slot3UnitSold</vt:lpstr>
      <vt:lpstr>finCalcCh2Prod4Slot3VolSold</vt:lpstr>
      <vt:lpstr>finCalcCh2Prod4VolSold</vt:lpstr>
      <vt:lpstr>finCalcCh2VolSold</vt:lpstr>
      <vt:lpstr>finCalcCh3Prod1Slot1COGSPUnit</vt:lpstr>
      <vt:lpstr>finCalcCh3Prod1Slot1DepExp</vt:lpstr>
      <vt:lpstr>finCalcCh3Prod1Slot1ForcastAcc</vt:lpstr>
      <vt:lpstr>finCalcCh3Prod1Slot1LabourCostPerHour</vt:lpstr>
      <vt:lpstr>finCalcCh3Prod1Slot1LabourExp</vt:lpstr>
      <vt:lpstr>finCalcCh3Prod1Slot1LabourHrsReqPVolBase</vt:lpstr>
      <vt:lpstr>finCalcCh3Prod1Slot1LabourHrsReqPVolFrcAdj</vt:lpstr>
      <vt:lpstr>finCalcCh3Prod1Slot1LabourHrsReqPVolSIAdj</vt:lpstr>
      <vt:lpstr>finCalcCh3Prod1Slot1LabourHrsReqPVolTot</vt:lpstr>
      <vt:lpstr>finCalcCh3Prod1Slot1LogExpAdjPUnit</vt:lpstr>
      <vt:lpstr>finCalcCh3Prod1Slot1LogExpFrcAdj</vt:lpstr>
      <vt:lpstr>finCalcCh3Prod1Slot1LogExpPerUnit</vt:lpstr>
      <vt:lpstr>finCalcCh3Prod1Slot1LogExpSIAdj</vt:lpstr>
      <vt:lpstr>finCalcCh3Prod1Slot1LogisticsCost</vt:lpstr>
      <vt:lpstr>finCalcCh3Prod1Slot1MachCost</vt:lpstr>
      <vt:lpstr>finCalcCh3Prod1Slot1MatExp</vt:lpstr>
      <vt:lpstr>finCalcCh3Prod1Slot1MatExpFrcAdj</vt:lpstr>
      <vt:lpstr>finCalcCh3Prod1Slot1MatExpPerUnitBase</vt:lpstr>
      <vt:lpstr>finCalcCh3Prod1Slot1MatExpPUnitTot</vt:lpstr>
      <vt:lpstr>finCalcCh3Prod1Slot1MatExpSIAdj</vt:lpstr>
      <vt:lpstr>finCalcCh3Prod1Slot1UnitSold</vt:lpstr>
      <vt:lpstr>finCalcCh3Prod1Slot1VolSold</vt:lpstr>
      <vt:lpstr>finCalcCh3Prod1Slot2COGSPUnit</vt:lpstr>
      <vt:lpstr>finCalcCh3Prod1Slot2DepExp</vt:lpstr>
      <vt:lpstr>finCalcCh3Prod1Slot2ForcastAcc</vt:lpstr>
      <vt:lpstr>finCalcCh3Prod1Slot2LabourCostPerHour</vt:lpstr>
      <vt:lpstr>finCalcCh3Prod1Slot2LabourExp</vt:lpstr>
      <vt:lpstr>finCalcCh3Prod1Slot2LabourHrsReqPVolBase</vt:lpstr>
      <vt:lpstr>finCalcCh3Prod1Slot2LabourHrsReqPVolFrcAdj</vt:lpstr>
      <vt:lpstr>finCalcCh3Prod1Slot2LabourHrsReqPVolSIAdj</vt:lpstr>
      <vt:lpstr>finCalcCh3Prod1Slot2LabourHrsReqPVolTot</vt:lpstr>
      <vt:lpstr>finCalcCh3Prod1Slot2LogExpAdjPUnit</vt:lpstr>
      <vt:lpstr>finCalcCh3Prod1Slot2LogExpFrcAdj</vt:lpstr>
      <vt:lpstr>finCalcCh3Prod1Slot2LogExpPerUnit</vt:lpstr>
      <vt:lpstr>finCalcCh3Prod1Slot2LogExpSIAdj</vt:lpstr>
      <vt:lpstr>finCalcCh3Prod1Slot2LogisticsCost</vt:lpstr>
      <vt:lpstr>finCalcCh3Prod1Slot2MachCost</vt:lpstr>
      <vt:lpstr>finCalcCh3Prod1Slot2MatExp</vt:lpstr>
      <vt:lpstr>finCalcCh3Prod1Slot2MatExpFrcAdj</vt:lpstr>
      <vt:lpstr>finCalcCh3Prod1Slot2MatExpPerUnitBase</vt:lpstr>
      <vt:lpstr>finCalcCh3Prod1Slot2MatExpPUnitTot</vt:lpstr>
      <vt:lpstr>finCalcCh3Prod1Slot2MatExpSIAdj</vt:lpstr>
      <vt:lpstr>finCalcCh3Prod1Slot2UnitSold</vt:lpstr>
      <vt:lpstr>finCalcCh3Prod1Slot2VolSold</vt:lpstr>
      <vt:lpstr>finCalcCh3Prod1Slot3COGSPUnit</vt:lpstr>
      <vt:lpstr>finCalcCh3Prod1Slot3DepExp</vt:lpstr>
      <vt:lpstr>finCalcCh3Prod1Slot3ForcastAcc</vt:lpstr>
      <vt:lpstr>finCalcCh3Prod1Slot3LabourCostPerHour</vt:lpstr>
      <vt:lpstr>finCalcCh3Prod1Slot3LabourExp</vt:lpstr>
      <vt:lpstr>finCalcCh3Prod1Slot3LabourHrsReqPVolBase</vt:lpstr>
      <vt:lpstr>finCalcCh3Prod1Slot3LabourHrsReqPVolFrcAdj</vt:lpstr>
      <vt:lpstr>finCalcCh3Prod1Slot3LabourHrsReqPVolSIAdj</vt:lpstr>
      <vt:lpstr>finCalcCh3Prod1Slot3LabourHrsReqPVolTot</vt:lpstr>
      <vt:lpstr>finCalcCh3Prod1Slot3LogExpAdjPUnit</vt:lpstr>
      <vt:lpstr>finCalcCh3Prod1Slot3LogExpFrcAdj</vt:lpstr>
      <vt:lpstr>finCalcCh3Prod1Slot3LogExpPerUnit</vt:lpstr>
      <vt:lpstr>finCalcCh3Prod1Slot3LogExpSIAdj</vt:lpstr>
      <vt:lpstr>finCalcCh3Prod1Slot3LogisticsCost</vt:lpstr>
      <vt:lpstr>finCalcCh3Prod1Slot3MachCost</vt:lpstr>
      <vt:lpstr>finCalcCh3Prod1Slot3MatExp</vt:lpstr>
      <vt:lpstr>finCalcCh3Prod1Slot3MatExpFrcAdj</vt:lpstr>
      <vt:lpstr>finCalcCh3Prod1Slot3MatExpPerUnitBase</vt:lpstr>
      <vt:lpstr>finCalcCh3Prod1Slot3MatExpPUnitTot</vt:lpstr>
      <vt:lpstr>finCalcCh3Prod1Slot3MatExpSIAdj</vt:lpstr>
      <vt:lpstr>finCalcCh3Prod1Slot3UnitSold</vt:lpstr>
      <vt:lpstr>finCalcCh3Prod1Slot3VolSold</vt:lpstr>
      <vt:lpstr>finCalcCh3Prod1VolSold</vt:lpstr>
      <vt:lpstr>finCalcCh3Prod2Slot1COGSPUnit</vt:lpstr>
      <vt:lpstr>finCalcCh3Prod2Slot1DepExp</vt:lpstr>
      <vt:lpstr>finCalcCh3Prod2Slot1ForcastAcc</vt:lpstr>
      <vt:lpstr>finCalcCh3Prod2Slot1LabourCostPerHour</vt:lpstr>
      <vt:lpstr>finCalcCh3Prod2Slot1LabourExp</vt:lpstr>
      <vt:lpstr>finCalcCh3Prod2Slot1LabourHrsReqPVolBase</vt:lpstr>
      <vt:lpstr>finCalcCh3Prod2Slot1LabourHrsReqPVolFrcAdj</vt:lpstr>
      <vt:lpstr>finCalcCh3Prod2Slot1LabourHrsReqPVolSIAdj</vt:lpstr>
      <vt:lpstr>finCalcCh3Prod2Slot1LabourHrsReqPVolTot</vt:lpstr>
      <vt:lpstr>finCalcCh3Prod2Slot1LogExpAdjPUnit</vt:lpstr>
      <vt:lpstr>finCalcCh3Prod2Slot1LogExpFrcAdj</vt:lpstr>
      <vt:lpstr>finCalcCh3Prod2Slot1LogExpPerUnit</vt:lpstr>
      <vt:lpstr>finCalcCh3Prod2Slot1LogExpSIAdj</vt:lpstr>
      <vt:lpstr>finCalcCh3Prod2Slot1LogisticsCost</vt:lpstr>
      <vt:lpstr>finCalcCh3Prod2Slot1MachCost</vt:lpstr>
      <vt:lpstr>finCalcCh3Prod2Slot1MatExp</vt:lpstr>
      <vt:lpstr>finCalcCh3Prod2Slot1MatExpFrcAdj</vt:lpstr>
      <vt:lpstr>finCalcCh3Prod2Slot1MatExpPerUnitBase</vt:lpstr>
      <vt:lpstr>finCalcCh3Prod2Slot1MatExpPUnitTot</vt:lpstr>
      <vt:lpstr>finCalcCh3Prod2Slot1MatExpSIAdj</vt:lpstr>
      <vt:lpstr>finCalcCh3Prod2Slot1UnitSold</vt:lpstr>
      <vt:lpstr>finCalcCh3Prod2Slot1VolSold</vt:lpstr>
      <vt:lpstr>finCalcCh3Prod2Slot2COGSPUnit</vt:lpstr>
      <vt:lpstr>finCalcCh3Prod2Slot2DepExp</vt:lpstr>
      <vt:lpstr>finCalcCh3Prod2Slot2ForcastAcc</vt:lpstr>
      <vt:lpstr>finCalcCh3Prod2Slot2LabourCostPerHour</vt:lpstr>
      <vt:lpstr>finCalcCh3Prod2Slot2LabourExp</vt:lpstr>
      <vt:lpstr>finCalcCh3Prod2Slot2LabourHrsReqPVolBase</vt:lpstr>
      <vt:lpstr>finCalcCh3Prod2Slot2LabourHrsReqPVolFrcAdj</vt:lpstr>
      <vt:lpstr>finCalcCh3Prod2Slot2LabourHrsReqPVolSIAdj</vt:lpstr>
      <vt:lpstr>finCalcCh3Prod2Slot2LabourHrsReqPVolTot</vt:lpstr>
      <vt:lpstr>finCalcCh3Prod2Slot2LogExpAdjPUnit</vt:lpstr>
      <vt:lpstr>finCalcCh3Prod2Slot2LogExpFrcAdj</vt:lpstr>
      <vt:lpstr>finCalcCh3Prod2Slot2LogExpPerUnit</vt:lpstr>
      <vt:lpstr>finCalcCh3Prod2Slot2LogExpSIAdj</vt:lpstr>
      <vt:lpstr>finCalcCh3Prod2Slot2LogisticsCost</vt:lpstr>
      <vt:lpstr>finCalcCh3Prod2Slot2MachCost</vt:lpstr>
      <vt:lpstr>finCalcCh3Prod2Slot2MatExp</vt:lpstr>
      <vt:lpstr>finCalcCh3Prod2Slot2MatExpFrcAdj</vt:lpstr>
      <vt:lpstr>finCalcCh3Prod2Slot2MatExpPerUnitBase</vt:lpstr>
      <vt:lpstr>finCalcCh3Prod2Slot2MatExpPUnitTot</vt:lpstr>
      <vt:lpstr>finCalcCh3Prod2Slot2MatExpSIAdj</vt:lpstr>
      <vt:lpstr>finCalcCh3Prod2Slot2UnitSold</vt:lpstr>
      <vt:lpstr>finCalcCh3Prod2Slot2VolSold</vt:lpstr>
      <vt:lpstr>finCalcCh3Prod2Slot3COGSPUnit</vt:lpstr>
      <vt:lpstr>finCalcCh3Prod2Slot3DepExp</vt:lpstr>
      <vt:lpstr>finCalcCh3Prod2Slot3ForcastAcc</vt:lpstr>
      <vt:lpstr>finCalcCh3Prod2Slot3LabourCostPerHour</vt:lpstr>
      <vt:lpstr>finCalcCh3Prod2Slot3LabourExp</vt:lpstr>
      <vt:lpstr>finCalcCh3Prod2Slot3LabourHrsReqPVolBase</vt:lpstr>
      <vt:lpstr>finCalcCh3Prod2Slot3LabourHrsReqPVolFrcAdj</vt:lpstr>
      <vt:lpstr>finCalcCh3Prod2Slot3LabourHrsReqPVolSIAdj</vt:lpstr>
      <vt:lpstr>finCalcCh3Prod2Slot3LabourHrsReqPVolTot</vt:lpstr>
      <vt:lpstr>finCalcCh3Prod2Slot3LogExpAdjPUnit</vt:lpstr>
      <vt:lpstr>finCalcCh3Prod2Slot3LogExpFrcAdj</vt:lpstr>
      <vt:lpstr>finCalcCh3Prod2Slot3LogExpPerUnit</vt:lpstr>
      <vt:lpstr>finCalcCh3Prod2Slot3LogExpSIAdj</vt:lpstr>
      <vt:lpstr>finCalcCh3Prod2Slot3LogisticsCost</vt:lpstr>
      <vt:lpstr>finCalcCh3Prod2Slot3MachCost</vt:lpstr>
      <vt:lpstr>finCalcCh3Prod2Slot3MatExp</vt:lpstr>
      <vt:lpstr>finCalcCh3Prod2Slot3MatExpFrcAdj</vt:lpstr>
      <vt:lpstr>finCalcCh3Prod2Slot3MatExpPerUnitBase</vt:lpstr>
      <vt:lpstr>finCalcCh3Prod2Slot3MatExpPUnitTot</vt:lpstr>
      <vt:lpstr>finCalcCh3Prod2Slot3MatExpSIAdj</vt:lpstr>
      <vt:lpstr>finCalcCh3Prod2Slot3UnitSold</vt:lpstr>
      <vt:lpstr>finCalcCh3Prod2Slot3VolSold</vt:lpstr>
      <vt:lpstr>finCalcCh3Prod2VolSold</vt:lpstr>
      <vt:lpstr>finCalcCh3Prod3Slot1COGSPUnit</vt:lpstr>
      <vt:lpstr>finCalcCh3Prod3Slot1DepExp</vt:lpstr>
      <vt:lpstr>finCalcCh3Prod3Slot1ForcastAcc</vt:lpstr>
      <vt:lpstr>finCalcCh3Prod3Slot1LabourCostPerHour</vt:lpstr>
      <vt:lpstr>finCalcCh3Prod3Slot1LabourExp</vt:lpstr>
      <vt:lpstr>finCalcCh3Prod3Slot1LabourHrsReqPVolBase</vt:lpstr>
      <vt:lpstr>finCalcCh3Prod3Slot1LabourHrsReqPVolFrcAdj</vt:lpstr>
      <vt:lpstr>finCalcCh3Prod3Slot1LabourHrsReqPVolSIAdj</vt:lpstr>
      <vt:lpstr>finCalcCh3Prod3Slot1LabourHrsReqPVolTot</vt:lpstr>
      <vt:lpstr>finCalcCh3Prod3Slot1LogExpAdjPUnit</vt:lpstr>
      <vt:lpstr>finCalcCh3Prod3Slot1LogExpFrcAdj</vt:lpstr>
      <vt:lpstr>finCalcCh3Prod3Slot1LogExpPerUnit</vt:lpstr>
      <vt:lpstr>finCalcCh3Prod3Slot1LogExpSIAdj</vt:lpstr>
      <vt:lpstr>finCalcCh3Prod3Slot1LogisticsCost</vt:lpstr>
      <vt:lpstr>finCalcCh3Prod3Slot1MachCost</vt:lpstr>
      <vt:lpstr>finCalcCh3Prod3Slot1MatExp</vt:lpstr>
      <vt:lpstr>finCalcCh3Prod3Slot1MatExpFrcAdj</vt:lpstr>
      <vt:lpstr>finCalcCh3Prod3Slot1MatExpPerUnitBase</vt:lpstr>
      <vt:lpstr>finCalcCh3Prod3Slot1MatExpPUnitTot</vt:lpstr>
      <vt:lpstr>finCalcCh3Prod3Slot1MatExpSIAdj</vt:lpstr>
      <vt:lpstr>finCalcCh3Prod3Slot1UnitSold</vt:lpstr>
      <vt:lpstr>finCalcCh3Prod3Slot1VolSold</vt:lpstr>
      <vt:lpstr>finCalcCh3Prod3Slot2COGSPUnit</vt:lpstr>
      <vt:lpstr>finCalcCh3Prod3Slot2DepExp</vt:lpstr>
      <vt:lpstr>finCalcCh3Prod3Slot2ForcastAcc</vt:lpstr>
      <vt:lpstr>finCalcCh3Prod3Slot2LabourCostPerHour</vt:lpstr>
      <vt:lpstr>finCalcCh3Prod3Slot2LabourExp</vt:lpstr>
      <vt:lpstr>finCalcCh3Prod3Slot2LabourHrsReqPVolBase</vt:lpstr>
      <vt:lpstr>finCalcCh3Prod3Slot2LabourHrsReqPVolFrcAdj</vt:lpstr>
      <vt:lpstr>finCalcCh3Prod3Slot2LabourHrsReqPVolSIAdj</vt:lpstr>
      <vt:lpstr>finCalcCh3Prod3Slot2LabourHrsReqPVolTot</vt:lpstr>
      <vt:lpstr>finCalcCh3Prod3Slot2LogExpAdjPUnit</vt:lpstr>
      <vt:lpstr>finCalcCh3Prod3Slot2LogExpFrcAdj</vt:lpstr>
      <vt:lpstr>finCalcCh3Prod3Slot2LogExpPerUnit</vt:lpstr>
      <vt:lpstr>finCalcCh3Prod3Slot2LogExpSIAdj</vt:lpstr>
      <vt:lpstr>finCalcCh3Prod3Slot2LogisticsCost</vt:lpstr>
      <vt:lpstr>finCalcCh3Prod3Slot2MachCost</vt:lpstr>
      <vt:lpstr>finCalcCh3Prod3Slot2MatExp</vt:lpstr>
      <vt:lpstr>finCalcCh3Prod3Slot2MatExpFrcAdj</vt:lpstr>
      <vt:lpstr>finCalcCh3Prod3Slot2MatExpPerUnitBase</vt:lpstr>
      <vt:lpstr>finCalcCh3Prod3Slot2MatExpPUnitTot</vt:lpstr>
      <vt:lpstr>finCalcCh3Prod3Slot2MatExpSIAdj</vt:lpstr>
      <vt:lpstr>finCalcCh3Prod3Slot2UnitSold</vt:lpstr>
      <vt:lpstr>finCalcCh3Prod3Slot2VolSold</vt:lpstr>
      <vt:lpstr>finCalcCh3Prod3Slot3COGSPUnit</vt:lpstr>
      <vt:lpstr>finCalcCh3Prod3Slot3DepExp</vt:lpstr>
      <vt:lpstr>finCalcCh3Prod3Slot3ForcastAcc</vt:lpstr>
      <vt:lpstr>finCalcCh3Prod3Slot3LabourCostPerHour</vt:lpstr>
      <vt:lpstr>finCalcCh3Prod3Slot3LabourExp</vt:lpstr>
      <vt:lpstr>finCalcCh3Prod3Slot3LabourHrsReqPVolBase</vt:lpstr>
      <vt:lpstr>finCalcCh3Prod3Slot3LabourHrsReqPVolFrcAdj</vt:lpstr>
      <vt:lpstr>finCalcCh3Prod3Slot3LabourHrsReqPVolSIAdj</vt:lpstr>
      <vt:lpstr>finCalcCh3Prod3Slot3LabourHrsReqPVolTot</vt:lpstr>
      <vt:lpstr>finCalcCh3Prod3Slot3LogExpAdjPUnit</vt:lpstr>
      <vt:lpstr>finCalcCh3Prod3Slot3LogExpFrcAdj</vt:lpstr>
      <vt:lpstr>finCalcCh3Prod3Slot3LogExpPerUnit</vt:lpstr>
      <vt:lpstr>finCalcCh3Prod3Slot3LogExpSIAdj</vt:lpstr>
      <vt:lpstr>finCalcCh3Prod3Slot3LogisticsCost</vt:lpstr>
      <vt:lpstr>finCalcCh3Prod3Slot3MachCost</vt:lpstr>
      <vt:lpstr>finCalcCh3Prod3Slot3MatExp</vt:lpstr>
      <vt:lpstr>finCalcCh3Prod3Slot3MatExpFrcAdj</vt:lpstr>
      <vt:lpstr>finCalcCh3Prod3Slot3MatExpPerUnitBase</vt:lpstr>
      <vt:lpstr>finCalcCh3Prod3Slot3MatExpPUnitTot</vt:lpstr>
      <vt:lpstr>finCalcCh3Prod3Slot3MatExpSIAdj</vt:lpstr>
      <vt:lpstr>finCalcCh3Prod3Slot3UnitSold</vt:lpstr>
      <vt:lpstr>finCalcCh3Prod3Slot3VolSold</vt:lpstr>
      <vt:lpstr>finCalcCh3Prod3VolSold</vt:lpstr>
      <vt:lpstr>finCalcCh3Prod4Slot1COGSPUnit</vt:lpstr>
      <vt:lpstr>finCalcCh3Prod4Slot1DepExp</vt:lpstr>
      <vt:lpstr>finCalcCh3Prod4Slot1ForcastAcc</vt:lpstr>
      <vt:lpstr>finCalcCh3Prod4Slot1LabourCostPerHour</vt:lpstr>
      <vt:lpstr>finCalcCh3Prod4Slot1LabourExp</vt:lpstr>
      <vt:lpstr>finCalcCh3Prod4Slot1LabourHrsReqPVolBase</vt:lpstr>
      <vt:lpstr>finCalcCh3Prod4Slot1LabourHrsReqPVolFrcAdj</vt:lpstr>
      <vt:lpstr>finCalcCh3Prod4Slot1LabourHrsReqPVolSIAdj</vt:lpstr>
      <vt:lpstr>finCalcCh3Prod4Slot1LabourHrsReqPVolTot</vt:lpstr>
      <vt:lpstr>finCalcCh3Prod4Slot1LogExpAdjPUnit</vt:lpstr>
      <vt:lpstr>finCalcCh3Prod4Slot1LogExpFrcAdj</vt:lpstr>
      <vt:lpstr>finCalcCh3Prod4Slot1LogExpPerUnit</vt:lpstr>
      <vt:lpstr>finCalcCh3Prod4Slot1LogExpSIAdj</vt:lpstr>
      <vt:lpstr>finCalcCh3Prod4Slot1LogisticsCost</vt:lpstr>
      <vt:lpstr>finCalcCh3Prod4Slot1MachCost</vt:lpstr>
      <vt:lpstr>finCalcCh3Prod4Slot1MatExp</vt:lpstr>
      <vt:lpstr>finCalcCh3Prod4Slot1MatExpFrcAdj</vt:lpstr>
      <vt:lpstr>finCalcCh3Prod4Slot1MatExpPerUnitBase</vt:lpstr>
      <vt:lpstr>finCalcCh3Prod4Slot1MatExpPUnitTot</vt:lpstr>
      <vt:lpstr>finCalcCh3Prod4Slot1MatExpSIAdj</vt:lpstr>
      <vt:lpstr>finCalcCh3Prod4Slot1UnitSold</vt:lpstr>
      <vt:lpstr>finCalcCh3Prod4Slot1VolSold</vt:lpstr>
      <vt:lpstr>finCalcCh3Prod4Slot2COGSPUnit</vt:lpstr>
      <vt:lpstr>finCalcCh3Prod4Slot2DepExp</vt:lpstr>
      <vt:lpstr>finCalcCh3Prod4Slot2ForcastAcc</vt:lpstr>
      <vt:lpstr>finCalcCh3Prod4Slot2LabourCostPerHour</vt:lpstr>
      <vt:lpstr>finCalcCh3Prod4Slot2LabourExp</vt:lpstr>
      <vt:lpstr>finCalcCh3Prod4Slot2LabourHrsReqPVolBase</vt:lpstr>
      <vt:lpstr>finCalcCh3Prod4Slot2LabourHrsReqPVolFrcAdj</vt:lpstr>
      <vt:lpstr>finCalcCh3Prod4Slot2LabourHrsReqPVolSIAdj</vt:lpstr>
      <vt:lpstr>finCalcCh3Prod4Slot2LabourHrsReqPVolTot</vt:lpstr>
      <vt:lpstr>finCalcCh3Prod4Slot2LogExpAdjPUnit</vt:lpstr>
      <vt:lpstr>finCalcCh3Prod4Slot2LogExpFrcAdj</vt:lpstr>
      <vt:lpstr>finCalcCh3Prod4Slot2LogExpPerUnit</vt:lpstr>
      <vt:lpstr>finCalcCh3Prod4Slot2LogExpSIAdj</vt:lpstr>
      <vt:lpstr>finCalcCh3Prod4Slot2LogisticsCost</vt:lpstr>
      <vt:lpstr>finCalcCh3Prod4Slot2MachCost</vt:lpstr>
      <vt:lpstr>finCalcCh3Prod4Slot2MatExp</vt:lpstr>
      <vt:lpstr>finCalcCh3Prod4Slot2MatExpFrcAdj</vt:lpstr>
      <vt:lpstr>finCalcCh3Prod4Slot2MatExpPerUnitBase</vt:lpstr>
      <vt:lpstr>finCalcCh3Prod4Slot2MatExpPUnitTot</vt:lpstr>
      <vt:lpstr>finCalcCh3Prod4Slot2MatExpSIAdj</vt:lpstr>
      <vt:lpstr>finCalcCh3Prod4Slot2UnitSold</vt:lpstr>
      <vt:lpstr>finCalcCh3Prod4Slot2VolSold</vt:lpstr>
      <vt:lpstr>finCalcCh3Prod4Slot3COGSPUnit</vt:lpstr>
      <vt:lpstr>finCalcCh3Prod4Slot3DepExp</vt:lpstr>
      <vt:lpstr>finCalcCh3Prod4Slot3ForcastAcc</vt:lpstr>
      <vt:lpstr>finCalcCh3Prod4Slot3LabourCostPerHour</vt:lpstr>
      <vt:lpstr>finCalcCh3Prod4Slot3LabourExp</vt:lpstr>
      <vt:lpstr>finCalcCh3Prod4Slot3LabourHrsReqPVolBase</vt:lpstr>
      <vt:lpstr>finCalcCh3Prod4Slot3LabourHrsReqPVolFrcAdj</vt:lpstr>
      <vt:lpstr>finCalcCh3Prod4Slot3LabourHrsReqPVolSIAdj</vt:lpstr>
      <vt:lpstr>finCalcCh3Prod4Slot3LabourHrsReqPVolTot</vt:lpstr>
      <vt:lpstr>finCalcCh3Prod4Slot3LogExpAdjPUnit</vt:lpstr>
      <vt:lpstr>finCalcCh3Prod4Slot3LogExpFrcAdj</vt:lpstr>
      <vt:lpstr>finCalcCh3Prod4Slot3LogExpPerUnit</vt:lpstr>
      <vt:lpstr>finCalcCh3Prod4Slot3LogExpSIAdj</vt:lpstr>
      <vt:lpstr>finCalcCh3Prod4Slot3LogisticsCost</vt:lpstr>
      <vt:lpstr>finCalcCh3Prod4Slot3MachCost</vt:lpstr>
      <vt:lpstr>finCalcCh3Prod4Slot3MatExp</vt:lpstr>
      <vt:lpstr>finCalcCh3Prod4Slot3MatExpFrcAdj</vt:lpstr>
      <vt:lpstr>finCalcCh3Prod4Slot3MatExpPerUnitBase</vt:lpstr>
      <vt:lpstr>finCalcCh3Prod4Slot3MatExpPUnitTot</vt:lpstr>
      <vt:lpstr>finCalcCh3Prod4Slot3MatExpSIAdj</vt:lpstr>
      <vt:lpstr>finCalcCh3Prod4Slot3UnitSold</vt:lpstr>
      <vt:lpstr>finCalcCh3Prod4Slot3VolSold</vt:lpstr>
      <vt:lpstr>finCalcCh3Prod4VolSold</vt:lpstr>
      <vt:lpstr>finCalcCh3VolSold</vt:lpstr>
      <vt:lpstr>finCalcCh4Prod1Slot1COGSPUnit</vt:lpstr>
      <vt:lpstr>finCalcCh4Prod1Slot1DepExp</vt:lpstr>
      <vt:lpstr>finCalcCh4Prod1Slot1ForcastAcc</vt:lpstr>
      <vt:lpstr>finCalcCh4Prod1Slot1LabourCostPerHour</vt:lpstr>
      <vt:lpstr>finCalcCh4Prod1Slot1LabourExp</vt:lpstr>
      <vt:lpstr>finCalcCh4Prod1Slot1LabourHrsReqPVolBase</vt:lpstr>
      <vt:lpstr>finCalcCh4Prod1Slot1LabourHrsReqPVolFrcAdj</vt:lpstr>
      <vt:lpstr>finCalcCh4Prod1Slot1LabourHrsReqPVolSIAdj</vt:lpstr>
      <vt:lpstr>finCalcCh4Prod1Slot1LabourHrsReqPVolTot</vt:lpstr>
      <vt:lpstr>finCalcCh4Prod1Slot1LogExpAdjPUnit</vt:lpstr>
      <vt:lpstr>finCalcCh4Prod1Slot1LogExpFrcAdj</vt:lpstr>
      <vt:lpstr>finCalcCh4Prod1Slot1LogExpPerUnit</vt:lpstr>
      <vt:lpstr>finCalcCh4Prod1Slot1LogExpSIAdj</vt:lpstr>
      <vt:lpstr>finCalcCh4Prod1Slot1LogisticsCost</vt:lpstr>
      <vt:lpstr>finCalcCh4Prod1Slot1MachCost</vt:lpstr>
      <vt:lpstr>finCalcCh4Prod1Slot1MatExp</vt:lpstr>
      <vt:lpstr>finCalcCh4Prod1Slot1MatExpFrcAdj</vt:lpstr>
      <vt:lpstr>finCalcCh4Prod1Slot1MatExpPerUnitBase</vt:lpstr>
      <vt:lpstr>finCalcCh4Prod1Slot1MatExpPUnitTot</vt:lpstr>
      <vt:lpstr>finCalcCh4Prod1Slot1MatExpSIAdj</vt:lpstr>
      <vt:lpstr>finCalcCh4Prod1Slot1UnitSold</vt:lpstr>
      <vt:lpstr>finCalcCh4Prod1Slot1VolSold</vt:lpstr>
      <vt:lpstr>finCalcCh4Prod1Slot2COGSPUnit</vt:lpstr>
      <vt:lpstr>finCalcCh4Prod1Slot2DepExp</vt:lpstr>
      <vt:lpstr>finCalcCh4Prod1Slot2ForcastAcc</vt:lpstr>
      <vt:lpstr>finCalcCh4Prod1Slot2LabourCostPerHour</vt:lpstr>
      <vt:lpstr>finCalcCh4Prod1Slot2LabourExp</vt:lpstr>
      <vt:lpstr>finCalcCh4Prod1Slot2LabourHrsReqPVolBase</vt:lpstr>
      <vt:lpstr>finCalcCh4Prod1Slot2LabourHrsReqPVolFrcAdj</vt:lpstr>
      <vt:lpstr>finCalcCh4Prod1Slot2LabourHrsReqPVolSIAdj</vt:lpstr>
      <vt:lpstr>finCalcCh4Prod1Slot2LabourHrsReqPVolTot</vt:lpstr>
      <vt:lpstr>finCalcCh4Prod1Slot2LogExpAdjPUnit</vt:lpstr>
      <vt:lpstr>finCalcCh4Prod1Slot2LogExpFrcAdj</vt:lpstr>
      <vt:lpstr>finCalcCh4Prod1Slot2LogExpPerUnit</vt:lpstr>
      <vt:lpstr>finCalcCh4Prod1Slot2LogExpSIAdj</vt:lpstr>
      <vt:lpstr>finCalcCh4Prod1Slot2LogisticsCost</vt:lpstr>
      <vt:lpstr>finCalcCh4Prod1Slot2MachCost</vt:lpstr>
      <vt:lpstr>finCalcCh4Prod1Slot2MatExp</vt:lpstr>
      <vt:lpstr>finCalcCh4Prod1Slot2MatExpFrcAdj</vt:lpstr>
      <vt:lpstr>finCalcCh4Prod1Slot2MatExpPerUnitBase</vt:lpstr>
      <vt:lpstr>finCalcCh4Prod1Slot2MatExpPUnitTot</vt:lpstr>
      <vt:lpstr>finCalcCh4Prod1Slot2MatExpSIAdj</vt:lpstr>
      <vt:lpstr>finCalcCh4Prod1Slot2UnitSold</vt:lpstr>
      <vt:lpstr>finCalcCh4Prod1Slot2VolSold</vt:lpstr>
      <vt:lpstr>finCalcCh4Prod1Slot3COGSPUnit</vt:lpstr>
      <vt:lpstr>finCalcCh4Prod1Slot3DepExp</vt:lpstr>
      <vt:lpstr>finCalcCh4Prod1Slot3ForcastAcc</vt:lpstr>
      <vt:lpstr>finCalcCh4Prod1Slot3LabourCostPerHour</vt:lpstr>
      <vt:lpstr>finCalcCh4Prod1Slot3LabourExp</vt:lpstr>
      <vt:lpstr>finCalcCh4Prod1Slot3LabourHrsReqPVolBase</vt:lpstr>
      <vt:lpstr>finCalcCh4Prod1Slot3LabourHrsReqPVolFrcAdj</vt:lpstr>
      <vt:lpstr>finCalcCh4Prod1Slot3LabourHrsReqPVolSIAdj</vt:lpstr>
      <vt:lpstr>finCalcCh4Prod1Slot3LabourHrsReqPVolTot</vt:lpstr>
      <vt:lpstr>finCalcCh4Prod1Slot3LogExpAdjPUnit</vt:lpstr>
      <vt:lpstr>finCalcCh4Prod1Slot3LogExpFrcAdj</vt:lpstr>
      <vt:lpstr>finCalcCh4Prod1Slot3LogExpPerUnit</vt:lpstr>
      <vt:lpstr>finCalcCh4Prod1Slot3LogExpSIAdj</vt:lpstr>
      <vt:lpstr>finCalcCh4Prod1Slot3LogisticsCost</vt:lpstr>
      <vt:lpstr>finCalcCh4Prod1Slot3MachCost</vt:lpstr>
      <vt:lpstr>finCalcCh4Prod1Slot3MatExp</vt:lpstr>
      <vt:lpstr>finCalcCh4Prod1Slot3MatExpFrcAdj</vt:lpstr>
      <vt:lpstr>finCalcCh4Prod1Slot3MatExpPerUnitBase</vt:lpstr>
      <vt:lpstr>finCalcCh4Prod1Slot3MatExpPUnitTot</vt:lpstr>
      <vt:lpstr>finCalcCh4Prod1Slot3MatExpSIAdj</vt:lpstr>
      <vt:lpstr>finCalcCh4Prod1Slot3UnitSold</vt:lpstr>
      <vt:lpstr>finCalcCh4Prod1Slot3VolSold</vt:lpstr>
      <vt:lpstr>finCalcCh4Prod1VolSold</vt:lpstr>
      <vt:lpstr>finCalcCh4Prod2Slot1COGSPUnit</vt:lpstr>
      <vt:lpstr>finCalcCh4Prod2Slot1DepExp</vt:lpstr>
      <vt:lpstr>finCalcCh4Prod2Slot1ForcastAcc</vt:lpstr>
      <vt:lpstr>finCalcCh4Prod2Slot1LabourCostPerHour</vt:lpstr>
      <vt:lpstr>finCalcCh4Prod2Slot1LabourExp</vt:lpstr>
      <vt:lpstr>finCalcCh4Prod2Slot1LabourHrsReqPVolBase</vt:lpstr>
      <vt:lpstr>finCalcCh4Prod2Slot1LabourHrsReqPVolFrcAdj</vt:lpstr>
      <vt:lpstr>finCalcCh4Prod2Slot1LabourHrsReqPVolSIAdj</vt:lpstr>
      <vt:lpstr>finCalcCh4Prod2Slot1LabourHrsReqPVolTot</vt:lpstr>
      <vt:lpstr>finCalcCh4Prod2Slot1LogExpAdjPUnit</vt:lpstr>
      <vt:lpstr>finCalcCh4Prod2Slot1LogExpFrcAdj</vt:lpstr>
      <vt:lpstr>finCalcCh4Prod2Slot1LogExpPerUnit</vt:lpstr>
      <vt:lpstr>finCalcCh4Prod2Slot1LogExpSIAdj</vt:lpstr>
      <vt:lpstr>finCalcCh4Prod2Slot1LogisticsCost</vt:lpstr>
      <vt:lpstr>finCalcCh4Prod2Slot1MachCost</vt:lpstr>
      <vt:lpstr>finCalcCh4Prod2Slot1MatExp</vt:lpstr>
      <vt:lpstr>finCalcCh4Prod2Slot1MatExpFrcAdj</vt:lpstr>
      <vt:lpstr>finCalcCh4Prod2Slot1MatExpPerUnitBase</vt:lpstr>
      <vt:lpstr>finCalcCh4Prod2Slot1MatExpPUnitTot</vt:lpstr>
      <vt:lpstr>finCalcCh4Prod2Slot1MatExpSIAdj</vt:lpstr>
      <vt:lpstr>finCalcCh4Prod2Slot1UnitSold</vt:lpstr>
      <vt:lpstr>finCalcCh4Prod2Slot1VolSold</vt:lpstr>
      <vt:lpstr>finCalcCh4Prod2Slot2COGSPUnit</vt:lpstr>
      <vt:lpstr>finCalcCh4Prod2Slot2DepExp</vt:lpstr>
      <vt:lpstr>finCalcCh4Prod2Slot2ForcastAcc</vt:lpstr>
      <vt:lpstr>finCalcCh4Prod2Slot2LabourCostPerHour</vt:lpstr>
      <vt:lpstr>finCalcCh4Prod2Slot2LabourExp</vt:lpstr>
      <vt:lpstr>finCalcCh4Prod2Slot2LabourHrsReqPVolBase</vt:lpstr>
      <vt:lpstr>finCalcCh4Prod2Slot2LabourHrsReqPVolFrcAdj</vt:lpstr>
      <vt:lpstr>finCalcCh4Prod2Slot2LabourHrsReqPVolSIAdj</vt:lpstr>
      <vt:lpstr>finCalcCh4Prod2Slot2LabourHrsReqPVolTot</vt:lpstr>
      <vt:lpstr>finCalcCh4Prod2Slot2LogExpAdjPUnit</vt:lpstr>
      <vt:lpstr>finCalcCh4Prod2Slot2LogExpFrcAdj</vt:lpstr>
      <vt:lpstr>finCalcCh4Prod2Slot2LogExpPerUnit</vt:lpstr>
      <vt:lpstr>finCalcCh4Prod2Slot2LogExpSIAdj</vt:lpstr>
      <vt:lpstr>finCalcCh4Prod2Slot2LogisticsCost</vt:lpstr>
      <vt:lpstr>finCalcCh4Prod2Slot2MachCost</vt:lpstr>
      <vt:lpstr>finCalcCh4Prod2Slot2MatExp</vt:lpstr>
      <vt:lpstr>finCalcCh4Prod2Slot2MatExpFrcAdj</vt:lpstr>
      <vt:lpstr>finCalcCh4Prod2Slot2MatExpPerUnitBase</vt:lpstr>
      <vt:lpstr>finCalcCh4Prod2Slot2MatExpPUnitTot</vt:lpstr>
      <vt:lpstr>finCalcCh4Prod2Slot2MatExpSIAdj</vt:lpstr>
      <vt:lpstr>finCalcCh4Prod2Slot2UnitSold</vt:lpstr>
      <vt:lpstr>finCalcCh4Prod2Slot2VolSold</vt:lpstr>
      <vt:lpstr>finCalcCh4Prod2Slot3COGSPUnit</vt:lpstr>
      <vt:lpstr>finCalcCh4Prod2Slot3DepExp</vt:lpstr>
      <vt:lpstr>finCalcCh4Prod2Slot3ForcastAcc</vt:lpstr>
      <vt:lpstr>finCalcCh4Prod2Slot3LabourCostPerHour</vt:lpstr>
      <vt:lpstr>finCalcCh4Prod2Slot3LabourExp</vt:lpstr>
      <vt:lpstr>finCalcCh4Prod2Slot3LabourHrsReqPVolBase</vt:lpstr>
      <vt:lpstr>finCalcCh4Prod2Slot3LabourHrsReqPVolFrcAdj</vt:lpstr>
      <vt:lpstr>finCalcCh4Prod2Slot3LabourHrsReqPVolSIAdj</vt:lpstr>
      <vt:lpstr>finCalcCh4Prod2Slot3LabourHrsReqPVolTot</vt:lpstr>
      <vt:lpstr>finCalcCh4Prod2Slot3LogExpAdjPUnit</vt:lpstr>
      <vt:lpstr>finCalcCh4Prod2Slot3LogExpFrcAdj</vt:lpstr>
      <vt:lpstr>finCalcCh4Prod2Slot3LogExpPerUnit</vt:lpstr>
      <vt:lpstr>finCalcCh4Prod2Slot3LogExpSIAdj</vt:lpstr>
      <vt:lpstr>finCalcCh4Prod2Slot3LogisticsCost</vt:lpstr>
      <vt:lpstr>finCalcCh4Prod2Slot3MachCost</vt:lpstr>
      <vt:lpstr>finCalcCh4Prod2Slot3MatExp</vt:lpstr>
      <vt:lpstr>finCalcCh4Prod2Slot3MatExpFrcAdj</vt:lpstr>
      <vt:lpstr>finCalcCh4Prod2Slot3MatExpPerUnitBase</vt:lpstr>
      <vt:lpstr>finCalcCh4Prod2Slot3MatExpPUnitTot</vt:lpstr>
      <vt:lpstr>finCalcCh4Prod2Slot3MatExpSIAdj</vt:lpstr>
      <vt:lpstr>finCalcCh4Prod2Slot3UnitSold</vt:lpstr>
      <vt:lpstr>finCalcCh4Prod2Slot3VolSold</vt:lpstr>
      <vt:lpstr>finCalcCh4Prod2VolSold</vt:lpstr>
      <vt:lpstr>finCalcCh4Prod3Slot1COGSPUnit</vt:lpstr>
      <vt:lpstr>finCalcCh4Prod3Slot1DepExp</vt:lpstr>
      <vt:lpstr>finCalcCh4Prod3Slot1ForcastAcc</vt:lpstr>
      <vt:lpstr>finCalcCh4Prod3Slot1LabourCostPerHour</vt:lpstr>
      <vt:lpstr>finCalcCh4Prod3Slot1LabourExp</vt:lpstr>
      <vt:lpstr>finCalcCh4Prod3Slot1LabourHrsReqPVolBase</vt:lpstr>
      <vt:lpstr>finCalcCh4Prod3Slot1LabourHrsReqPVolFrcAdj</vt:lpstr>
      <vt:lpstr>finCalcCh4Prod3Slot1LabourHrsReqPVolSIAdj</vt:lpstr>
      <vt:lpstr>finCalcCh4Prod3Slot1LabourHrsReqPVolTot</vt:lpstr>
      <vt:lpstr>finCalcCh4Prod3Slot1LogExpAdjPUnit</vt:lpstr>
      <vt:lpstr>finCalcCh4Prod3Slot1LogExpFrcAdj</vt:lpstr>
      <vt:lpstr>finCalcCh4Prod3Slot1LogExpPerUnit</vt:lpstr>
      <vt:lpstr>finCalcCh4Prod3Slot1LogExpSIAdj</vt:lpstr>
      <vt:lpstr>finCalcCh4Prod3Slot1LogisticsCost</vt:lpstr>
      <vt:lpstr>finCalcCh4Prod3Slot1MachCost</vt:lpstr>
      <vt:lpstr>finCalcCh4Prod3Slot1MatExp</vt:lpstr>
      <vt:lpstr>finCalcCh4Prod3Slot1MatExpFrcAdj</vt:lpstr>
      <vt:lpstr>finCalcCh4Prod3Slot1MatExpPerUnitBase</vt:lpstr>
      <vt:lpstr>finCalcCh4Prod3Slot1MatExpPUnitTot</vt:lpstr>
      <vt:lpstr>finCalcCh4Prod3Slot1MatExpSIAdj</vt:lpstr>
      <vt:lpstr>finCalcCh4Prod3Slot1UnitSold</vt:lpstr>
      <vt:lpstr>finCalcCh4Prod3Slot1VolSold</vt:lpstr>
      <vt:lpstr>finCalcCh4Prod3Slot2COGSPUnit</vt:lpstr>
      <vt:lpstr>finCalcCh4Prod3Slot2DepExp</vt:lpstr>
      <vt:lpstr>finCalcCh4Prod3Slot2ForcastAcc</vt:lpstr>
      <vt:lpstr>finCalcCh4Prod3Slot2LabourCostPerHour</vt:lpstr>
      <vt:lpstr>finCalcCh4Prod3Slot2LabourExp</vt:lpstr>
      <vt:lpstr>finCalcCh4Prod3Slot2LabourHrsReqPVolBase</vt:lpstr>
      <vt:lpstr>finCalcCh4Prod3Slot2LabourHrsReqPVolFrcAdj</vt:lpstr>
      <vt:lpstr>finCalcCh4Prod3Slot2LabourHrsReqPVolSIAdj</vt:lpstr>
      <vt:lpstr>finCalcCh4Prod3Slot2LabourHrsReqPVolTot</vt:lpstr>
      <vt:lpstr>finCalcCh4Prod3Slot2LogExpAdjPUnit</vt:lpstr>
      <vt:lpstr>finCalcCh4Prod3Slot2LogExpFrcAdj</vt:lpstr>
      <vt:lpstr>finCalcCh4Prod3Slot2LogExpPerUnit</vt:lpstr>
      <vt:lpstr>finCalcCh4Prod3Slot2LogExpSIAdj</vt:lpstr>
      <vt:lpstr>finCalcCh4Prod3Slot2LogisticsCost</vt:lpstr>
      <vt:lpstr>finCalcCh4Prod3Slot2MachCost</vt:lpstr>
      <vt:lpstr>finCalcCh4Prod3Slot2MatExp</vt:lpstr>
      <vt:lpstr>finCalcCh4Prod3Slot2MatExpFrcAdj</vt:lpstr>
      <vt:lpstr>finCalcCh4Prod3Slot2MatExpPerUnitBase</vt:lpstr>
      <vt:lpstr>finCalcCh4Prod3Slot2MatExpPUnitTot</vt:lpstr>
      <vt:lpstr>finCalcCh4Prod3Slot2MatExpSIAdj</vt:lpstr>
      <vt:lpstr>finCalcCh4Prod3Slot2UnitSold</vt:lpstr>
      <vt:lpstr>finCalcCh4Prod3Slot2VolSold</vt:lpstr>
      <vt:lpstr>finCalcCh4Prod3Slot3COGSPUnit</vt:lpstr>
      <vt:lpstr>finCalcCh4Prod3Slot3DepExp</vt:lpstr>
      <vt:lpstr>finCalcCh4Prod3Slot3ForcastAcc</vt:lpstr>
      <vt:lpstr>finCalcCh4Prod3Slot3LabourCostPerHour</vt:lpstr>
      <vt:lpstr>finCalcCh4Prod3Slot3LabourExp</vt:lpstr>
      <vt:lpstr>finCalcCh4Prod3Slot3LabourHrsReqPVolBase</vt:lpstr>
      <vt:lpstr>finCalcCh4Prod3Slot3LabourHrsReqPVolFrcAdj</vt:lpstr>
      <vt:lpstr>finCalcCh4Prod3Slot3LabourHrsReqPVolSIAdj</vt:lpstr>
      <vt:lpstr>finCalcCh4Prod3Slot3LabourHrsReqPVolTot</vt:lpstr>
      <vt:lpstr>finCalcCh4Prod3Slot3LogExpAdjPUnit</vt:lpstr>
      <vt:lpstr>finCalcCh4Prod3Slot3LogExpFrcAdj</vt:lpstr>
      <vt:lpstr>finCalcCh4Prod3Slot3LogExpPerUnit</vt:lpstr>
      <vt:lpstr>finCalcCh4Prod3Slot3LogExpSIAdj</vt:lpstr>
      <vt:lpstr>finCalcCh4Prod3Slot3LogisticsCost</vt:lpstr>
      <vt:lpstr>finCalcCh4Prod3Slot3MachCost</vt:lpstr>
      <vt:lpstr>finCalcCh4Prod3Slot3MatExp</vt:lpstr>
      <vt:lpstr>finCalcCh4Prod3Slot3MatExpFrcAdj</vt:lpstr>
      <vt:lpstr>finCalcCh4Prod3Slot3MatExpPerUnitBase</vt:lpstr>
      <vt:lpstr>finCalcCh4Prod3Slot3MatExpPUnitTot</vt:lpstr>
      <vt:lpstr>finCalcCh4Prod3Slot3MatExpSIAdj</vt:lpstr>
      <vt:lpstr>finCalcCh4Prod3Slot3UnitSold</vt:lpstr>
      <vt:lpstr>finCalcCh4Prod3Slot3VolSold</vt:lpstr>
      <vt:lpstr>finCalcCh4Prod3VolSold</vt:lpstr>
      <vt:lpstr>finCalcCh4Prod4Slot1COGSPUnit</vt:lpstr>
      <vt:lpstr>finCalcCh4Prod4Slot1DepExp</vt:lpstr>
      <vt:lpstr>finCalcCh4Prod4Slot1ForcastAcc</vt:lpstr>
      <vt:lpstr>finCalcCh4Prod4Slot1LabourCostPerHour</vt:lpstr>
      <vt:lpstr>finCalcCh4Prod4Slot1LabourExp</vt:lpstr>
      <vt:lpstr>finCalcCh4Prod4Slot1LabourHrsReqPVolBase</vt:lpstr>
      <vt:lpstr>finCalcCh4Prod4Slot1LabourHrsReqPVolFrcAdj</vt:lpstr>
      <vt:lpstr>finCalcCh4Prod4Slot1LabourHrsReqPVolSIAdj</vt:lpstr>
      <vt:lpstr>finCalcCh4Prod4Slot1LabourHrsReqPVolTot</vt:lpstr>
      <vt:lpstr>finCalcCh4Prod4Slot1LogExpAdjPUnit</vt:lpstr>
      <vt:lpstr>finCalcCh4Prod4Slot1LogExpFrcAdj</vt:lpstr>
      <vt:lpstr>finCalcCh4Prod4Slot1LogExpPerUnit</vt:lpstr>
      <vt:lpstr>finCalcCh4Prod4Slot1LogExpSIAdj</vt:lpstr>
      <vt:lpstr>finCalcCh4Prod4Slot1LogisticsCost</vt:lpstr>
      <vt:lpstr>finCalcCh4Prod4Slot1MachCost</vt:lpstr>
      <vt:lpstr>finCalcCh4Prod4Slot1MatExp</vt:lpstr>
      <vt:lpstr>finCalcCh4Prod4Slot1MatExpFrcAdj</vt:lpstr>
      <vt:lpstr>finCalcCh4Prod4Slot1MatExpPerUnitBase</vt:lpstr>
      <vt:lpstr>finCalcCh4Prod4Slot1MatExpPUnitTot</vt:lpstr>
      <vt:lpstr>finCalcCh4Prod4Slot1MatExpSIAdj</vt:lpstr>
      <vt:lpstr>finCalcCh4Prod4Slot1UnitSold</vt:lpstr>
      <vt:lpstr>finCalcCh4Prod4Slot1VolSold</vt:lpstr>
      <vt:lpstr>finCalcCh4Prod4Slot2COGSPUnit</vt:lpstr>
      <vt:lpstr>finCalcCh4Prod4Slot2DepExp</vt:lpstr>
      <vt:lpstr>finCalcCh4Prod4Slot2ForcastAcc</vt:lpstr>
      <vt:lpstr>finCalcCh4Prod4Slot2LabourCostPerHour</vt:lpstr>
      <vt:lpstr>finCalcCh4Prod4Slot2LabourExp</vt:lpstr>
      <vt:lpstr>finCalcCh4Prod4Slot2LabourHrsReqPVolBase</vt:lpstr>
      <vt:lpstr>finCalcCh4Prod4Slot2LabourHrsReqPVolFrcAdj</vt:lpstr>
      <vt:lpstr>finCalcCh4Prod4Slot2LabourHrsReqPVolSIAdj</vt:lpstr>
      <vt:lpstr>finCalcCh4Prod4Slot2LabourHrsReqPVolTot</vt:lpstr>
      <vt:lpstr>finCalcCh4Prod4Slot2LogExpAdjPUnit</vt:lpstr>
      <vt:lpstr>finCalcCh4Prod4Slot2LogExpFrcAdj</vt:lpstr>
      <vt:lpstr>finCalcCh4Prod4Slot2LogExpPerUnit</vt:lpstr>
      <vt:lpstr>finCalcCh4Prod4Slot2LogExpSIAdj</vt:lpstr>
      <vt:lpstr>finCalcCh4Prod4Slot2LogisticsCost</vt:lpstr>
      <vt:lpstr>finCalcCh4Prod4Slot2MachCost</vt:lpstr>
      <vt:lpstr>finCalcCh4Prod4Slot2MatExp</vt:lpstr>
      <vt:lpstr>finCalcCh4Prod4Slot2MatExpFrcAdj</vt:lpstr>
      <vt:lpstr>finCalcCh4Prod4Slot2MatExpPerUnitBase</vt:lpstr>
      <vt:lpstr>finCalcCh4Prod4Slot2MatExpPUnitTot</vt:lpstr>
      <vt:lpstr>finCalcCh4Prod4Slot2MatExpSIAdj</vt:lpstr>
      <vt:lpstr>finCalcCh4Prod4Slot2UnitSold</vt:lpstr>
      <vt:lpstr>finCalcCh4Prod4Slot2VolSold</vt:lpstr>
      <vt:lpstr>finCalcCh4Prod4Slot3COGSPUnit</vt:lpstr>
      <vt:lpstr>finCalcCh4Prod4Slot3DepExp</vt:lpstr>
      <vt:lpstr>finCalcCh4Prod4Slot3ForcastAcc</vt:lpstr>
      <vt:lpstr>finCalcCh4Prod4Slot3LabourCostPerHour</vt:lpstr>
      <vt:lpstr>finCalcCh4Prod4Slot3LabourExp</vt:lpstr>
      <vt:lpstr>finCalcCh4Prod4Slot3LabourHrsReqPVolBase</vt:lpstr>
      <vt:lpstr>finCalcCh4Prod4Slot3LabourHrsReqPVolFrcAdj</vt:lpstr>
      <vt:lpstr>finCalcCh4Prod4Slot3LabourHrsReqPVolSIAdj</vt:lpstr>
      <vt:lpstr>finCalcCh4Prod4Slot3LabourHrsReqPVolTot</vt:lpstr>
      <vt:lpstr>finCalcCh4Prod4Slot3LogExpAdjPUnit</vt:lpstr>
      <vt:lpstr>finCalcCh4Prod4Slot3LogExpFrcAdj</vt:lpstr>
      <vt:lpstr>finCalcCh4Prod4Slot3LogExpPerUnit</vt:lpstr>
      <vt:lpstr>finCalcCh4Prod4Slot3LogExpSIAdj</vt:lpstr>
      <vt:lpstr>finCalcCh4Prod4Slot3LogisticsCost</vt:lpstr>
      <vt:lpstr>finCalcCh4Prod4Slot3MachCost</vt:lpstr>
      <vt:lpstr>finCalcCh4Prod4Slot3MatExp</vt:lpstr>
      <vt:lpstr>finCalcCh4Prod4Slot3MatExpFrcAdj</vt:lpstr>
      <vt:lpstr>finCalcCh4Prod4Slot3MatExpPerUnitBase</vt:lpstr>
      <vt:lpstr>finCalcCh4Prod4Slot3MatExpPUnitTot</vt:lpstr>
      <vt:lpstr>finCalcCh4Prod4Slot3MatExpSIAdj</vt:lpstr>
      <vt:lpstr>finCalcCh4Prod4Slot3UnitSold</vt:lpstr>
      <vt:lpstr>finCalcCh4Prod4Slot3VolSold</vt:lpstr>
      <vt:lpstr>finCalcCh4Prod4VolSold</vt:lpstr>
      <vt:lpstr>finCalcCh4VolSold</vt:lpstr>
      <vt:lpstr>finCalcProd1VolSold</vt:lpstr>
      <vt:lpstr>finCalcProd2VolSold</vt:lpstr>
      <vt:lpstr>finCalcProd3VolSold</vt:lpstr>
      <vt:lpstr>finCalcProd4VolSold</vt:lpstr>
      <vt:lpstr>finCalcVolSold</vt:lpstr>
      <vt:lpstr>finCFCashOperatingActivities</vt:lpstr>
      <vt:lpstr>finCFChangeAP</vt:lpstr>
      <vt:lpstr>finCFChangeAR</vt:lpstr>
      <vt:lpstr>finCFChangeFG</vt:lpstr>
      <vt:lpstr>finCFChangeMat</vt:lpstr>
      <vt:lpstr>finCFChangeWIP</vt:lpstr>
      <vt:lpstr>finCFClosing</vt:lpstr>
      <vt:lpstr>finCFDepreciation</vt:lpstr>
      <vt:lpstr>finCFFCF</vt:lpstr>
      <vt:lpstr>finCFFinancing</vt:lpstr>
      <vt:lpstr>finCFInvesting</vt:lpstr>
      <vt:lpstr>finCFLongTermDebt</vt:lpstr>
      <vt:lpstr>finCFNetCF</vt:lpstr>
      <vt:lpstr>finCFNetIncome</vt:lpstr>
      <vt:lpstr>finCFOpening</vt:lpstr>
      <vt:lpstr>finCFOperating</vt:lpstr>
      <vt:lpstr>finCFOtherCL</vt:lpstr>
      <vt:lpstr>finCFppeInvest</vt:lpstr>
      <vt:lpstr>finCFSpecialLoans</vt:lpstr>
      <vt:lpstr>finCFWorkingCap</vt:lpstr>
      <vt:lpstr>finPNLBMktExpTot</vt:lpstr>
      <vt:lpstr>finPNLCh1BOverheadTot</vt:lpstr>
      <vt:lpstr>finPNLCh1CostRev</vt:lpstr>
      <vt:lpstr>finPNLCh1DepExp</vt:lpstr>
      <vt:lpstr>finPNLCh1Discounts</vt:lpstr>
      <vt:lpstr>finPNLCh1Excise</vt:lpstr>
      <vt:lpstr>finPNLCh1GCC</vt:lpstr>
      <vt:lpstr>finPNLCh1GCCMargin</vt:lpstr>
      <vt:lpstr>finPNLCh1GM</vt:lpstr>
      <vt:lpstr>finPNLCh1GPaL</vt:lpstr>
      <vt:lpstr>finPNLCh1GPaLMargin</vt:lpstr>
      <vt:lpstr>finPNLCh1GroProfit</vt:lpstr>
      <vt:lpstr>finPNLCh1GrossSales</vt:lpstr>
      <vt:lpstr>finPNLCh1LabExp</vt:lpstr>
      <vt:lpstr>finPNLCh1LogExp</vt:lpstr>
      <vt:lpstr>finPNLCh1LogExpPct</vt:lpstr>
      <vt:lpstr>finPNLCh1MachExp</vt:lpstr>
      <vt:lpstr>finPNLCh1MatExp</vt:lpstr>
      <vt:lpstr>finPNLCh1NetRev</vt:lpstr>
      <vt:lpstr>finPNLCh1Prod1Slot1DeprExp</vt:lpstr>
      <vt:lpstr>finPNLCh1Prod1Slot1Discounts</vt:lpstr>
      <vt:lpstr>finPNLCh1Prod1Slot1Excise</vt:lpstr>
      <vt:lpstr>finPNLCh1Prod1Slot1GM</vt:lpstr>
      <vt:lpstr>finPNLCh1Prod1Slot1GP</vt:lpstr>
      <vt:lpstr>finPNLCh1Prod1Slot1GPaL</vt:lpstr>
      <vt:lpstr>finPNLCh1Prod1Slot1GPaLMargin</vt:lpstr>
      <vt:lpstr>finPNLCh1Prod1Slot1GrossSales</vt:lpstr>
      <vt:lpstr>finPNLCh1Prod1Slot1LabourExp</vt:lpstr>
      <vt:lpstr>finPNLCh1Prod1Slot1LogExp</vt:lpstr>
      <vt:lpstr>finPNLCh1Prod1Slot1MachExp</vt:lpstr>
      <vt:lpstr>finPNLCh1Prod1Slot1MatExp</vt:lpstr>
      <vt:lpstr>finPNLCh1Prod1Slot1TotalCOGs</vt:lpstr>
      <vt:lpstr>finPNLCh1Prod1Slot1TotalRev</vt:lpstr>
      <vt:lpstr>finPNLCh1Prod1Slot1Turn</vt:lpstr>
      <vt:lpstr>finPNLCh1Prod1Slot2DeprExp</vt:lpstr>
      <vt:lpstr>finPNLCh1Prod1Slot2Discounts</vt:lpstr>
      <vt:lpstr>finPNLCh1Prod1Slot2Excise</vt:lpstr>
      <vt:lpstr>finPNLCh1Prod1Slot2GM</vt:lpstr>
      <vt:lpstr>finPNLCh1Prod1Slot2GP</vt:lpstr>
      <vt:lpstr>finPNLCh1Prod1Slot2GPaL</vt:lpstr>
      <vt:lpstr>finPNLCh1Prod1Slot2GPaLMargin</vt:lpstr>
      <vt:lpstr>finPNLCh1Prod1Slot2GrossSales</vt:lpstr>
      <vt:lpstr>finPNLCh1Prod1Slot2LabourExp</vt:lpstr>
      <vt:lpstr>finPNLCh1Prod1Slot2LogExp</vt:lpstr>
      <vt:lpstr>finPNLCh1Prod1Slot2MachExp</vt:lpstr>
      <vt:lpstr>finPNLCh1Prod1Slot2MatExp</vt:lpstr>
      <vt:lpstr>finPNLCh1Prod1Slot2TotalCOGs</vt:lpstr>
      <vt:lpstr>finPNLCh1Prod1Slot2TotalRev</vt:lpstr>
      <vt:lpstr>finPNLCh1Prod1Slot2Turn</vt:lpstr>
      <vt:lpstr>finPNLCh1Prod1Slot3DeprExp</vt:lpstr>
      <vt:lpstr>finPNLCh1Prod1Slot3Discounts</vt:lpstr>
      <vt:lpstr>finPNLCh1Prod1Slot3Excise</vt:lpstr>
      <vt:lpstr>finPNLCh1Prod1Slot3GM</vt:lpstr>
      <vt:lpstr>finPNLCh1Prod1Slot3GP</vt:lpstr>
      <vt:lpstr>finPNLCh1Prod1Slot3GPaL</vt:lpstr>
      <vt:lpstr>finPNLCh1Prod1Slot3GPaLMargin</vt:lpstr>
      <vt:lpstr>finPNLCh1Prod1Slot3GrossSales</vt:lpstr>
      <vt:lpstr>finPNLCh1Prod1Slot3LabourExp</vt:lpstr>
      <vt:lpstr>finPNLCh1Prod1Slot3LogExp</vt:lpstr>
      <vt:lpstr>finPNLCh1Prod1Slot3MachExp</vt:lpstr>
      <vt:lpstr>finPNLCh1Prod1Slot3MatExp</vt:lpstr>
      <vt:lpstr>finPNLCh1Prod1Slot3TotalCOGs</vt:lpstr>
      <vt:lpstr>finPNLCh1Prod1Slot3TotalRev</vt:lpstr>
      <vt:lpstr>finPNLCh1Prod1Slot3Turn</vt:lpstr>
      <vt:lpstr>finPNLCh1Prod2Slot1DeprExp</vt:lpstr>
      <vt:lpstr>finPNLCh1Prod2Slot1Discounts</vt:lpstr>
      <vt:lpstr>finPNLCh1Prod2Slot1Excise</vt:lpstr>
      <vt:lpstr>finPNLCh1Prod2Slot1GM</vt:lpstr>
      <vt:lpstr>finPNLCh1Prod2Slot1GP</vt:lpstr>
      <vt:lpstr>finPNLCh1Prod2Slot1GPaL</vt:lpstr>
      <vt:lpstr>finPNLCh1Prod2Slot1GPaLMargin</vt:lpstr>
      <vt:lpstr>finPNLCh1Prod2Slot1GrossSales</vt:lpstr>
      <vt:lpstr>finPNLCh1Prod2Slot1LabourExp</vt:lpstr>
      <vt:lpstr>finPNLCh1Prod2Slot1LogExp</vt:lpstr>
      <vt:lpstr>finPNLCh1Prod2Slot1MachExp</vt:lpstr>
      <vt:lpstr>finPNLCh1Prod2Slot1MatExp</vt:lpstr>
      <vt:lpstr>finPNLCh1Prod2Slot1TotalCOGs</vt:lpstr>
      <vt:lpstr>finPNLCh1Prod2Slot1TotalRev</vt:lpstr>
      <vt:lpstr>finPNLCh1Prod2Slot1Turn</vt:lpstr>
      <vt:lpstr>finPNLCh1Prod2Slot2DeprExp</vt:lpstr>
      <vt:lpstr>finPNLCh1Prod2Slot2Discounts</vt:lpstr>
      <vt:lpstr>finPNLCh1Prod2Slot2Excise</vt:lpstr>
      <vt:lpstr>finPNLCh1Prod2Slot2GM</vt:lpstr>
      <vt:lpstr>finPNLCh1Prod2Slot2GP</vt:lpstr>
      <vt:lpstr>finPNLCh1Prod2Slot2GPaL</vt:lpstr>
      <vt:lpstr>finPNLCh1Prod2Slot2GPaLMargin</vt:lpstr>
      <vt:lpstr>finPNLCh1Prod2Slot2GrossSales</vt:lpstr>
      <vt:lpstr>finPNLCh1Prod2Slot2LabourExp</vt:lpstr>
      <vt:lpstr>finPNLCh1Prod2Slot2LogExp</vt:lpstr>
      <vt:lpstr>finPNLCh1Prod2Slot2MachExp</vt:lpstr>
      <vt:lpstr>finPNLCh1Prod2Slot2MatExp</vt:lpstr>
      <vt:lpstr>finPNLCh1Prod2Slot2TotalCOGs</vt:lpstr>
      <vt:lpstr>finPNLCh1Prod2Slot2TotalRev</vt:lpstr>
      <vt:lpstr>finPNLCh1Prod2Slot2Turn</vt:lpstr>
      <vt:lpstr>finPNLCh1Prod2Slot3DeprExp</vt:lpstr>
      <vt:lpstr>finPNLCh1Prod2Slot3Discounts</vt:lpstr>
      <vt:lpstr>finPNLCh1Prod2Slot3Excise</vt:lpstr>
      <vt:lpstr>finPNLCh1Prod2Slot3GM</vt:lpstr>
      <vt:lpstr>finPNLCh1Prod2Slot3GP</vt:lpstr>
      <vt:lpstr>finPNLCh1Prod2Slot3GPaL</vt:lpstr>
      <vt:lpstr>finPNLCh1Prod2Slot3GPaLMargin</vt:lpstr>
      <vt:lpstr>finPNLCh1Prod2Slot3GrossSales</vt:lpstr>
      <vt:lpstr>finPNLCh1Prod2Slot3LabourExp</vt:lpstr>
      <vt:lpstr>finPNLCh1Prod2Slot3LogExp</vt:lpstr>
      <vt:lpstr>finPNLCh1Prod2Slot3MachExp</vt:lpstr>
      <vt:lpstr>finPNLCh1Prod2Slot3MatExp</vt:lpstr>
      <vt:lpstr>finPNLCh1Prod2Slot3TotalCOGs</vt:lpstr>
      <vt:lpstr>finPNLCh1Prod2Slot3TotalRev</vt:lpstr>
      <vt:lpstr>finPNLCh1Prod2Slot3Turn</vt:lpstr>
      <vt:lpstr>finPNLCh1Prod3Slot1DeprExp</vt:lpstr>
      <vt:lpstr>finPNLCh1Prod3Slot1Discounts</vt:lpstr>
      <vt:lpstr>finPNLCh1Prod3Slot1Excise</vt:lpstr>
      <vt:lpstr>finPNLCh1Prod3Slot1GM</vt:lpstr>
      <vt:lpstr>finPNLCh1Prod3Slot1GP</vt:lpstr>
      <vt:lpstr>finPNLCh1Prod3Slot1GPaL</vt:lpstr>
      <vt:lpstr>finPNLCh1Prod3Slot1GPaLMargin</vt:lpstr>
      <vt:lpstr>finPNLCh1Prod3Slot1GrossSales</vt:lpstr>
      <vt:lpstr>finPNLCh1Prod3Slot1LabourExp</vt:lpstr>
      <vt:lpstr>finPNLCh1Prod3Slot1LogExp</vt:lpstr>
      <vt:lpstr>finPNLCh1Prod3Slot1MachExp</vt:lpstr>
      <vt:lpstr>finPNLCh1Prod3Slot1MatExp</vt:lpstr>
      <vt:lpstr>finPNLCh1Prod3Slot1TotalCOGs</vt:lpstr>
      <vt:lpstr>finPNLCh1Prod3Slot1TotalRev</vt:lpstr>
      <vt:lpstr>finPNLCh1Prod3Slot1Turn</vt:lpstr>
      <vt:lpstr>finPNLCh1Prod3Slot2DeprExp</vt:lpstr>
      <vt:lpstr>finPNLCh1Prod3Slot2Discounts</vt:lpstr>
      <vt:lpstr>finPNLCh1Prod3Slot2Excise</vt:lpstr>
      <vt:lpstr>finPNLCh1Prod3Slot2GM</vt:lpstr>
      <vt:lpstr>finPNLCh1Prod3Slot2GP</vt:lpstr>
      <vt:lpstr>finPNLCh1Prod3Slot2GPaL</vt:lpstr>
      <vt:lpstr>finPNLCh1Prod3Slot2GPaLMargin</vt:lpstr>
      <vt:lpstr>finPNLCh1Prod3Slot2GrossSales</vt:lpstr>
      <vt:lpstr>finPNLCh1Prod3Slot2LabourExp</vt:lpstr>
      <vt:lpstr>finPNLCh1Prod3Slot2LogExp</vt:lpstr>
      <vt:lpstr>finPNLCh1Prod3Slot2MachExp</vt:lpstr>
      <vt:lpstr>finPNLCh1Prod3Slot2MatExp</vt:lpstr>
      <vt:lpstr>finPNLCh1Prod3Slot2TotalCOGs</vt:lpstr>
      <vt:lpstr>finPNLCh1Prod3Slot2TotalRev</vt:lpstr>
      <vt:lpstr>finPNLCh1Prod3Slot2Turn</vt:lpstr>
      <vt:lpstr>finPNLCh1Prod3Slot3DeprExp</vt:lpstr>
      <vt:lpstr>finPNLCh1Prod3Slot3Discounts</vt:lpstr>
      <vt:lpstr>finPNLCh1Prod3Slot3Excise</vt:lpstr>
      <vt:lpstr>finPNLCh1Prod3Slot3GM</vt:lpstr>
      <vt:lpstr>finPNLCh1Prod3Slot3GP</vt:lpstr>
      <vt:lpstr>finPNLCh1Prod3Slot3GPaL</vt:lpstr>
      <vt:lpstr>finPNLCh1Prod3Slot3GPaLMargin</vt:lpstr>
      <vt:lpstr>finPNLCh1Prod3Slot3GrossSales</vt:lpstr>
      <vt:lpstr>finPNLCh1Prod3Slot3LabourExp</vt:lpstr>
      <vt:lpstr>finPNLCh1Prod3Slot3LogExp</vt:lpstr>
      <vt:lpstr>finPNLCh1Prod3Slot3MachExp</vt:lpstr>
      <vt:lpstr>finPNLCh1Prod3Slot3MatExp</vt:lpstr>
      <vt:lpstr>finPNLCh1Prod3Slot3TotalCOGs</vt:lpstr>
      <vt:lpstr>finPNLCh1Prod3Slot3TotalRev</vt:lpstr>
      <vt:lpstr>finPNLCh1Prod3Slot3Turn</vt:lpstr>
      <vt:lpstr>finPNLCh1Prod4Slot1DeprExp</vt:lpstr>
      <vt:lpstr>finPNLCh1Prod4Slot1Discounts</vt:lpstr>
      <vt:lpstr>finPNLCh1Prod4Slot1Excise</vt:lpstr>
      <vt:lpstr>finPNLCh1Prod4Slot1GM</vt:lpstr>
      <vt:lpstr>finPNLCh1Prod4Slot1GP</vt:lpstr>
      <vt:lpstr>finPNLCh1Prod4Slot1GPaL</vt:lpstr>
      <vt:lpstr>finPNLCh1Prod4Slot1GPaLMargin</vt:lpstr>
      <vt:lpstr>finPNLCh1Prod4Slot1GrossSales</vt:lpstr>
      <vt:lpstr>finPNLCh1Prod4Slot1LabourExp</vt:lpstr>
      <vt:lpstr>finPNLCh1Prod4Slot1LogExp</vt:lpstr>
      <vt:lpstr>finPNLCh1Prod4Slot1MachExp</vt:lpstr>
      <vt:lpstr>finPNLCh1Prod4Slot1MatExp</vt:lpstr>
      <vt:lpstr>finPNLCh1Prod4Slot1TotalCOGs</vt:lpstr>
      <vt:lpstr>finPNLCh1Prod4Slot1TotalRev</vt:lpstr>
      <vt:lpstr>finPNLCh1Prod4Slot1Turn</vt:lpstr>
      <vt:lpstr>finPNLCh1Prod4Slot2DeprExp</vt:lpstr>
      <vt:lpstr>finPNLCh1Prod4Slot2Discounts</vt:lpstr>
      <vt:lpstr>finPNLCh1Prod4Slot2Excise</vt:lpstr>
      <vt:lpstr>finPNLCh1Prod4Slot2GM</vt:lpstr>
      <vt:lpstr>finPNLCh1Prod4Slot2GP</vt:lpstr>
      <vt:lpstr>finPNLCh1Prod4Slot2GPaL</vt:lpstr>
      <vt:lpstr>finPNLCh1Prod4Slot2GPaLMargin</vt:lpstr>
      <vt:lpstr>finPNLCh1Prod4Slot2GrossSales</vt:lpstr>
      <vt:lpstr>finPNLCh1Prod4Slot2LabourExp</vt:lpstr>
      <vt:lpstr>finPNLCh1Prod4Slot2LogExp</vt:lpstr>
      <vt:lpstr>finPNLCh1Prod4Slot2MachExp</vt:lpstr>
      <vt:lpstr>finPNLCh1Prod4Slot2MatExp</vt:lpstr>
      <vt:lpstr>finPNLCh1Prod4Slot2TotalCOGs</vt:lpstr>
      <vt:lpstr>finPNLCh1Prod4Slot2TotalRev</vt:lpstr>
      <vt:lpstr>finPNLCh1Prod4Slot2Turn</vt:lpstr>
      <vt:lpstr>finPNLCh1Prod4Slot3DeprExp</vt:lpstr>
      <vt:lpstr>finPNLCh1Prod4Slot3Discounts</vt:lpstr>
      <vt:lpstr>finPNLCh1Prod4Slot3Excise</vt:lpstr>
      <vt:lpstr>finPNLCh1Prod4Slot3GM</vt:lpstr>
      <vt:lpstr>finPNLCh1Prod4Slot3GP</vt:lpstr>
      <vt:lpstr>finPNLCh1Prod4Slot3GPaL</vt:lpstr>
      <vt:lpstr>finPNLCh1Prod4Slot3GPaLMargin</vt:lpstr>
      <vt:lpstr>finPNLCh1Prod4Slot3GrossSales</vt:lpstr>
      <vt:lpstr>finPNLCh1Prod4Slot3LabourExp</vt:lpstr>
      <vt:lpstr>finPNLCh1Prod4Slot3LogExp</vt:lpstr>
      <vt:lpstr>finPNLCh1Prod4Slot3MachExp</vt:lpstr>
      <vt:lpstr>finPNLCh1Prod4Slot3MatExp</vt:lpstr>
      <vt:lpstr>finPNLCh1Prod4Slot3TotalCOGs</vt:lpstr>
      <vt:lpstr>finPNLCh1Prod4Slot3TotalRev</vt:lpstr>
      <vt:lpstr>finPNLCh1Prod4Slot3Turn</vt:lpstr>
      <vt:lpstr>finPNLCh1Sales</vt:lpstr>
      <vt:lpstr>finPNLCh1TMkt</vt:lpstr>
      <vt:lpstr>finPNLCh1Turn</vt:lpstr>
      <vt:lpstr>finPNLCh2BOverheadTot</vt:lpstr>
      <vt:lpstr>finPNLCh2CostRev</vt:lpstr>
      <vt:lpstr>finPNLCh2DepExp</vt:lpstr>
      <vt:lpstr>finPNLCh2Discounts</vt:lpstr>
      <vt:lpstr>finPNLCh2Excise</vt:lpstr>
      <vt:lpstr>finPNLCh2GCC</vt:lpstr>
      <vt:lpstr>finPNLCh2GCCMargin</vt:lpstr>
      <vt:lpstr>finPNLCh2GM</vt:lpstr>
      <vt:lpstr>finPNLCh2GPaL</vt:lpstr>
      <vt:lpstr>finPNLCh2GPaLMargin</vt:lpstr>
      <vt:lpstr>finPNLCh2GroProfit</vt:lpstr>
      <vt:lpstr>finPNLCh2GrossSales</vt:lpstr>
      <vt:lpstr>finPNLCh2LabExp</vt:lpstr>
      <vt:lpstr>finPNLCh2LogExp</vt:lpstr>
      <vt:lpstr>finPNLCh2LogExpPct</vt:lpstr>
      <vt:lpstr>finPNLCh2MachExp</vt:lpstr>
      <vt:lpstr>finPNLCh2MatExp</vt:lpstr>
      <vt:lpstr>finPNLCh2NetRev</vt:lpstr>
      <vt:lpstr>finPNLCh2Prod1Slot1DeprExp</vt:lpstr>
      <vt:lpstr>finPNLCh2Prod1Slot1Discounts</vt:lpstr>
      <vt:lpstr>finPNLCh2Prod1Slot1Excise</vt:lpstr>
      <vt:lpstr>finPNLCh2Prod1Slot1GM</vt:lpstr>
      <vt:lpstr>finPNLCh2Prod1Slot1GP</vt:lpstr>
      <vt:lpstr>finPNLCh2Prod1Slot1GPaL</vt:lpstr>
      <vt:lpstr>finPNLCh2Prod1Slot1GPaLMargin</vt:lpstr>
      <vt:lpstr>finPNLCh2Prod1Slot1GrossSales</vt:lpstr>
      <vt:lpstr>finPNLCh2Prod1Slot1LabourExp</vt:lpstr>
      <vt:lpstr>finPNLCh2Prod1Slot1LogExp</vt:lpstr>
      <vt:lpstr>finPNLCh2Prod1Slot1MachExp</vt:lpstr>
      <vt:lpstr>finPNLCh2Prod1Slot1MatExp</vt:lpstr>
      <vt:lpstr>finPNLCh2Prod1Slot1TotalCOGs</vt:lpstr>
      <vt:lpstr>finPNLCh2Prod1Slot1TotalRev</vt:lpstr>
      <vt:lpstr>finPNLCh2Prod1Slot1Turn</vt:lpstr>
      <vt:lpstr>finPNLCh2Prod1Slot2DeprExp</vt:lpstr>
      <vt:lpstr>finPNLCh2Prod1Slot2Discounts</vt:lpstr>
      <vt:lpstr>finPNLCh2Prod1Slot2Excise</vt:lpstr>
      <vt:lpstr>finPNLCh2Prod1Slot2GM</vt:lpstr>
      <vt:lpstr>finPNLCh2Prod1Slot2GP</vt:lpstr>
      <vt:lpstr>finPNLCh2Prod1Slot2GPaL</vt:lpstr>
      <vt:lpstr>finPNLCh2Prod1Slot2GPaLMargin</vt:lpstr>
      <vt:lpstr>finPNLCh2Prod1Slot2GrossSales</vt:lpstr>
      <vt:lpstr>finPNLCh2Prod1Slot2LabourExp</vt:lpstr>
      <vt:lpstr>finPNLCh2Prod1Slot2LogExp</vt:lpstr>
      <vt:lpstr>finPNLCh2Prod1Slot2MachExp</vt:lpstr>
      <vt:lpstr>finPNLCh2Prod1Slot2MatExp</vt:lpstr>
      <vt:lpstr>finPNLCh2Prod1Slot2TotalCOGs</vt:lpstr>
      <vt:lpstr>finPNLCh2Prod1Slot2TotalRev</vt:lpstr>
      <vt:lpstr>finPNLCh2Prod1Slot2Turn</vt:lpstr>
      <vt:lpstr>finPNLCh2Prod1Slot3DeprExp</vt:lpstr>
      <vt:lpstr>finPNLCh2Prod1Slot3Discounts</vt:lpstr>
      <vt:lpstr>finPNLCh2Prod1Slot3Excise</vt:lpstr>
      <vt:lpstr>finPNLCh2Prod1Slot3GM</vt:lpstr>
      <vt:lpstr>finPNLCh2Prod1Slot3GP</vt:lpstr>
      <vt:lpstr>finPNLCh2Prod1Slot3GPaL</vt:lpstr>
      <vt:lpstr>finPNLCh2Prod1Slot3GPaLMargin</vt:lpstr>
      <vt:lpstr>finPNLCh2Prod1Slot3GrossSales</vt:lpstr>
      <vt:lpstr>finPNLCh2Prod1Slot3LabourExp</vt:lpstr>
      <vt:lpstr>finPNLCh2Prod1Slot3LogExp</vt:lpstr>
      <vt:lpstr>finPNLCh2Prod1Slot3MachExp</vt:lpstr>
      <vt:lpstr>finPNLCh2Prod1Slot3MatExp</vt:lpstr>
      <vt:lpstr>finPNLCh2Prod1Slot3TotalCOGs</vt:lpstr>
      <vt:lpstr>finPNLCh2Prod1Slot3TotalRev</vt:lpstr>
      <vt:lpstr>finPNLCh2Prod1Slot3Turn</vt:lpstr>
      <vt:lpstr>finPNLCh2Prod2Slot1DeprExp</vt:lpstr>
      <vt:lpstr>finPNLCh2Prod2Slot1Discounts</vt:lpstr>
      <vt:lpstr>finPNLCh2Prod2Slot1Excise</vt:lpstr>
      <vt:lpstr>finPNLCh2Prod2Slot1GM</vt:lpstr>
      <vt:lpstr>finPNLCh2Prod2Slot1GP</vt:lpstr>
      <vt:lpstr>finPNLCh2Prod2Slot1GPaL</vt:lpstr>
      <vt:lpstr>finPNLCh2Prod2Slot1GPaLMargin</vt:lpstr>
      <vt:lpstr>finPNLCh2Prod2Slot1GrossSales</vt:lpstr>
      <vt:lpstr>finPNLCh2Prod2Slot1LabourExp</vt:lpstr>
      <vt:lpstr>finPNLCh2Prod2Slot1LogExp</vt:lpstr>
      <vt:lpstr>finPNLCh2Prod2Slot1MachExp</vt:lpstr>
      <vt:lpstr>finPNLCh2Prod2Slot1MatExp</vt:lpstr>
      <vt:lpstr>finPNLCh2Prod2Slot1TotalCOGs</vt:lpstr>
      <vt:lpstr>finPNLCh2Prod2Slot1TotalRev</vt:lpstr>
      <vt:lpstr>finPNLCh2Prod2Slot1Turn</vt:lpstr>
      <vt:lpstr>finPNLCh2Prod2Slot2DeprExp</vt:lpstr>
      <vt:lpstr>finPNLCh2Prod2Slot2Discounts</vt:lpstr>
      <vt:lpstr>finPNLCh2Prod2Slot2Excise</vt:lpstr>
      <vt:lpstr>finPNLCh2Prod2Slot2GM</vt:lpstr>
      <vt:lpstr>finPNLCh2Prod2Slot2GP</vt:lpstr>
      <vt:lpstr>finPNLCh2Prod2Slot2GPaL</vt:lpstr>
      <vt:lpstr>finPNLCh2Prod2Slot2GPaLMargin</vt:lpstr>
      <vt:lpstr>finPNLCh2Prod2Slot2GrossSales</vt:lpstr>
      <vt:lpstr>finPNLCh2Prod2Slot2LabourExp</vt:lpstr>
      <vt:lpstr>finPNLCh2Prod2Slot2LogExp</vt:lpstr>
      <vt:lpstr>finPNLCh2Prod2Slot2MachExp</vt:lpstr>
      <vt:lpstr>finPNLCh2Prod2Slot2MatExp</vt:lpstr>
      <vt:lpstr>finPNLCh2Prod2Slot2TotalCOGs</vt:lpstr>
      <vt:lpstr>finPNLCh2Prod2Slot2TotalRev</vt:lpstr>
      <vt:lpstr>finPNLCh2Prod2Slot2Turn</vt:lpstr>
      <vt:lpstr>finPNLCh2Prod2Slot3DeprExp</vt:lpstr>
      <vt:lpstr>finPNLCh2Prod2Slot3Discounts</vt:lpstr>
      <vt:lpstr>finPNLCh2Prod2Slot3Excise</vt:lpstr>
      <vt:lpstr>finPNLCh2Prod2Slot3GM</vt:lpstr>
      <vt:lpstr>finPNLCh2Prod2Slot3GP</vt:lpstr>
      <vt:lpstr>finPNLCh2Prod2Slot3GPaL</vt:lpstr>
      <vt:lpstr>finPNLCh2Prod2Slot3GPaLMargin</vt:lpstr>
      <vt:lpstr>finPNLCh2Prod2Slot3GrossSales</vt:lpstr>
      <vt:lpstr>finPNLCh2Prod2Slot3LabourExp</vt:lpstr>
      <vt:lpstr>finPNLCh2Prod2Slot3LogExp</vt:lpstr>
      <vt:lpstr>finPNLCh2Prod2Slot3MachExp</vt:lpstr>
      <vt:lpstr>finPNLCh2Prod2Slot3MatExp</vt:lpstr>
      <vt:lpstr>finPNLCh2Prod2Slot3TotalCOGs</vt:lpstr>
      <vt:lpstr>finPNLCh2Prod2Slot3TotalRev</vt:lpstr>
      <vt:lpstr>finPNLCh2Prod2Slot3Turn</vt:lpstr>
      <vt:lpstr>finPNLCh2Prod3Slot1DeprExp</vt:lpstr>
      <vt:lpstr>finPNLCh2Prod3Slot1Discounts</vt:lpstr>
      <vt:lpstr>finPNLCh2Prod3Slot1Excise</vt:lpstr>
      <vt:lpstr>finPNLCh2Prod3Slot1GM</vt:lpstr>
      <vt:lpstr>finPNLCh2Prod3Slot1GP</vt:lpstr>
      <vt:lpstr>finPNLCh2Prod3Slot1GPaL</vt:lpstr>
      <vt:lpstr>finPNLCh2Prod3Slot1GPaLMargin</vt:lpstr>
      <vt:lpstr>finPNLCh2Prod3Slot1GrossSales</vt:lpstr>
      <vt:lpstr>finPNLCh2Prod3Slot1LabourExp</vt:lpstr>
      <vt:lpstr>finPNLCh2Prod3Slot1LogExp</vt:lpstr>
      <vt:lpstr>finPNLCh2Prod3Slot1MachExp</vt:lpstr>
      <vt:lpstr>finPNLCh2Prod3Slot1MatExp</vt:lpstr>
      <vt:lpstr>finPNLCh2Prod3Slot1TotalCOGs</vt:lpstr>
      <vt:lpstr>finPNLCh2Prod3Slot1TotalRev</vt:lpstr>
      <vt:lpstr>finPNLCh2Prod3Slot1Turn</vt:lpstr>
      <vt:lpstr>finPNLCh2Prod3Slot2DeprExp</vt:lpstr>
      <vt:lpstr>finPNLCh2Prod3Slot2Discounts</vt:lpstr>
      <vt:lpstr>finPNLCh2Prod3Slot2Excise</vt:lpstr>
      <vt:lpstr>finPNLCh2Prod3Slot2GM</vt:lpstr>
      <vt:lpstr>finPNLCh2Prod3Slot2GP</vt:lpstr>
      <vt:lpstr>finPNLCh2Prod3Slot2GPaL</vt:lpstr>
      <vt:lpstr>finPNLCh2Prod3Slot2GPaLMargin</vt:lpstr>
      <vt:lpstr>finPNLCh2Prod3Slot2GrossSales</vt:lpstr>
      <vt:lpstr>finPNLCh2Prod3Slot2LabourExp</vt:lpstr>
      <vt:lpstr>finPNLCh2Prod3Slot2LogExp</vt:lpstr>
      <vt:lpstr>finPNLCh2Prod3Slot2MachExp</vt:lpstr>
      <vt:lpstr>finPNLCh2Prod3Slot2MatExp</vt:lpstr>
      <vt:lpstr>finPNLCh2Prod3Slot2TotalCOGs</vt:lpstr>
      <vt:lpstr>finPNLCh2Prod3Slot2TotalRev</vt:lpstr>
      <vt:lpstr>finPNLCh2Prod3Slot2Turn</vt:lpstr>
      <vt:lpstr>finPNLCh2Prod3Slot3DeprExp</vt:lpstr>
      <vt:lpstr>finPNLCh2Prod3Slot3Discounts</vt:lpstr>
      <vt:lpstr>finPNLCh2Prod3Slot3Excise</vt:lpstr>
      <vt:lpstr>finPNLCh2Prod3Slot3GM</vt:lpstr>
      <vt:lpstr>finPNLCh2Prod3Slot3GP</vt:lpstr>
      <vt:lpstr>finPNLCh2Prod3Slot3GPaL</vt:lpstr>
      <vt:lpstr>finPNLCh2Prod3Slot3GPaLMargin</vt:lpstr>
      <vt:lpstr>finPNLCh2Prod3Slot3GrossSales</vt:lpstr>
      <vt:lpstr>finPNLCh2Prod3Slot3LabourExp</vt:lpstr>
      <vt:lpstr>finPNLCh2Prod3Slot3LogExp</vt:lpstr>
      <vt:lpstr>finPNLCh2Prod3Slot3MachExp</vt:lpstr>
      <vt:lpstr>finPNLCh2Prod3Slot3MatExp</vt:lpstr>
      <vt:lpstr>finPNLCh2Prod3Slot3TotalCOGs</vt:lpstr>
      <vt:lpstr>finPNLCh2Prod3Slot3TotalRev</vt:lpstr>
      <vt:lpstr>finPNLCh2Prod3Slot3Turn</vt:lpstr>
      <vt:lpstr>finPNLCh2Prod4Slot1DeprExp</vt:lpstr>
      <vt:lpstr>finPNLCh2Prod4Slot1Discounts</vt:lpstr>
      <vt:lpstr>finPNLCh2Prod4Slot1Excise</vt:lpstr>
      <vt:lpstr>finPNLCh2Prod4Slot1GM</vt:lpstr>
      <vt:lpstr>finPNLCh2Prod4Slot1GP</vt:lpstr>
      <vt:lpstr>finPNLCh2Prod4Slot1GPaL</vt:lpstr>
      <vt:lpstr>finPNLCh2Prod4Slot1GPaLMargin</vt:lpstr>
      <vt:lpstr>finPNLCh2Prod4Slot1GrossSales</vt:lpstr>
      <vt:lpstr>finPNLCh2Prod4Slot1LabourExp</vt:lpstr>
      <vt:lpstr>finPNLCh2Prod4Slot1LogExp</vt:lpstr>
      <vt:lpstr>finPNLCh2Prod4Slot1MachExp</vt:lpstr>
      <vt:lpstr>finPNLCh2Prod4Slot1MatExp</vt:lpstr>
      <vt:lpstr>finPNLCh2Prod4Slot1TotalCOGs</vt:lpstr>
      <vt:lpstr>finPNLCh2Prod4Slot1TotalRev</vt:lpstr>
      <vt:lpstr>finPNLCh2Prod4Slot1Turn</vt:lpstr>
      <vt:lpstr>finPNLCh2Prod4Slot2DeprExp</vt:lpstr>
      <vt:lpstr>finPNLCh2Prod4Slot2Discounts</vt:lpstr>
      <vt:lpstr>finPNLCh2Prod4Slot2Excise</vt:lpstr>
      <vt:lpstr>finPNLCh2Prod4Slot2GM</vt:lpstr>
      <vt:lpstr>finPNLCh2Prod4Slot2GP</vt:lpstr>
      <vt:lpstr>finPNLCh2Prod4Slot2GPaL</vt:lpstr>
      <vt:lpstr>finPNLCh2Prod4Slot2GPaLMargin</vt:lpstr>
      <vt:lpstr>finPNLCh2Prod4Slot2GrossSales</vt:lpstr>
      <vt:lpstr>finPNLCh2Prod4Slot2LabourExp</vt:lpstr>
      <vt:lpstr>finPNLCh2Prod4Slot2LogExp</vt:lpstr>
      <vt:lpstr>finPNLCh2Prod4Slot2MachExp</vt:lpstr>
      <vt:lpstr>finPNLCh2Prod4Slot2MatExp</vt:lpstr>
      <vt:lpstr>finPNLCh2Prod4Slot2TotalCOGs</vt:lpstr>
      <vt:lpstr>finPNLCh2Prod4Slot2TotalRev</vt:lpstr>
      <vt:lpstr>finPNLCh2Prod4Slot2Turn</vt:lpstr>
      <vt:lpstr>finPNLCh2Prod4Slot3DeprExp</vt:lpstr>
      <vt:lpstr>finPNLCh2Prod4Slot3Discounts</vt:lpstr>
      <vt:lpstr>finPNLCh2Prod4Slot3Excise</vt:lpstr>
      <vt:lpstr>finPNLCh2Prod4Slot3GM</vt:lpstr>
      <vt:lpstr>finPNLCh2Prod4Slot3GP</vt:lpstr>
      <vt:lpstr>finPNLCh2Prod4Slot3GPaL</vt:lpstr>
      <vt:lpstr>finPNLCh2Prod4Slot3GPaLMargin</vt:lpstr>
      <vt:lpstr>finPNLCh2Prod4Slot3GrossSales</vt:lpstr>
      <vt:lpstr>finPNLCh2Prod4Slot3LabourExp</vt:lpstr>
      <vt:lpstr>finPNLCh2Prod4Slot3LogExp</vt:lpstr>
      <vt:lpstr>finPNLCh2Prod4Slot3MachExp</vt:lpstr>
      <vt:lpstr>finPNLCh2Prod4Slot3MatExp</vt:lpstr>
      <vt:lpstr>finPNLCh2Prod4Slot3TotalCOGs</vt:lpstr>
      <vt:lpstr>finPNLCh2Prod4Slot3TotalRev</vt:lpstr>
      <vt:lpstr>finPNLCh2Prod4Slot3Turn</vt:lpstr>
      <vt:lpstr>finPNLCh2Sales</vt:lpstr>
      <vt:lpstr>finPNLCh2TMkt</vt:lpstr>
      <vt:lpstr>finPNLCh2Turn</vt:lpstr>
      <vt:lpstr>finPNLCh3BOverheadTot</vt:lpstr>
      <vt:lpstr>finPNLCh3CostRev</vt:lpstr>
      <vt:lpstr>finPNLCh3DepExp</vt:lpstr>
      <vt:lpstr>finPNLCh3Discounts</vt:lpstr>
      <vt:lpstr>finPNLCh3Excise</vt:lpstr>
      <vt:lpstr>finPNLCh3GCC</vt:lpstr>
      <vt:lpstr>finPNLCh3GCCMargin</vt:lpstr>
      <vt:lpstr>finPNLCh3GM</vt:lpstr>
      <vt:lpstr>finPNLCh3GPaL</vt:lpstr>
      <vt:lpstr>finPNLCh3GPaLMargin</vt:lpstr>
      <vt:lpstr>finPNLCh3GroProfit</vt:lpstr>
      <vt:lpstr>finPNLCh3GrossSales</vt:lpstr>
      <vt:lpstr>finPNLCh3LabExp</vt:lpstr>
      <vt:lpstr>finPNLCh3LogExp</vt:lpstr>
      <vt:lpstr>finPNLCh3LogExpPct</vt:lpstr>
      <vt:lpstr>finPNLCh3MachExp</vt:lpstr>
      <vt:lpstr>finPNLCh3MatExp</vt:lpstr>
      <vt:lpstr>finPNLCh3NetRev</vt:lpstr>
      <vt:lpstr>finPNLCh3Prod1Slot1DeprExp</vt:lpstr>
      <vt:lpstr>finPNLCh3Prod1Slot1Discounts</vt:lpstr>
      <vt:lpstr>finPNLCh3Prod1Slot1Excise</vt:lpstr>
      <vt:lpstr>finPNLCh3Prod1Slot1GM</vt:lpstr>
      <vt:lpstr>finPNLCh3Prod1Slot1GP</vt:lpstr>
      <vt:lpstr>finPNLCh3Prod1Slot1GPaL</vt:lpstr>
      <vt:lpstr>finPNLCh3Prod1Slot1GPaLMargin</vt:lpstr>
      <vt:lpstr>finPNLCh3Prod1Slot1GrossSales</vt:lpstr>
      <vt:lpstr>finPNLCh3Prod1Slot1LabourExp</vt:lpstr>
      <vt:lpstr>finPNLCh3Prod1Slot1LogExp</vt:lpstr>
      <vt:lpstr>finPNLCh3Prod1Slot1MachExp</vt:lpstr>
      <vt:lpstr>finPNLCh3Prod1Slot1MatExp</vt:lpstr>
      <vt:lpstr>finPNLCh3Prod1Slot1TotalCOGs</vt:lpstr>
      <vt:lpstr>finPNLCh3Prod1Slot1TotalRev</vt:lpstr>
      <vt:lpstr>finPNLCh3Prod1Slot1Turn</vt:lpstr>
      <vt:lpstr>finPNLCh3Prod1Slot2DeprExp</vt:lpstr>
      <vt:lpstr>finPNLCh3Prod1Slot2Discounts</vt:lpstr>
      <vt:lpstr>finPNLCh3Prod1Slot2Excise</vt:lpstr>
      <vt:lpstr>finPNLCh3Prod1Slot2GM</vt:lpstr>
      <vt:lpstr>finPNLCh3Prod1Slot2GP</vt:lpstr>
      <vt:lpstr>finPNLCh3Prod1Slot2GPaL</vt:lpstr>
      <vt:lpstr>finPNLCh3Prod1Slot2GPaLMargin</vt:lpstr>
      <vt:lpstr>finPNLCh3Prod1Slot2GrossSales</vt:lpstr>
      <vt:lpstr>finPNLCh3Prod1Slot2LabourExp</vt:lpstr>
      <vt:lpstr>finPNLCh3Prod1Slot2LogExp</vt:lpstr>
      <vt:lpstr>finPNLCh3Prod1Slot2MachExp</vt:lpstr>
      <vt:lpstr>finPNLCh3Prod1Slot2MatExp</vt:lpstr>
      <vt:lpstr>finPNLCh3Prod1Slot2TotalCOGs</vt:lpstr>
      <vt:lpstr>finPNLCh3Prod1Slot2TotalRev</vt:lpstr>
      <vt:lpstr>finPNLCh3Prod1Slot2Turn</vt:lpstr>
      <vt:lpstr>finPNLCh3Prod1Slot3DeprExp</vt:lpstr>
      <vt:lpstr>finPNLCh3Prod1Slot3Discounts</vt:lpstr>
      <vt:lpstr>finPNLCh3Prod1Slot3Excise</vt:lpstr>
      <vt:lpstr>finPNLCh3Prod1Slot3GM</vt:lpstr>
      <vt:lpstr>finPNLCh3Prod1Slot3GP</vt:lpstr>
      <vt:lpstr>finPNLCh3Prod1Slot3GPaL</vt:lpstr>
      <vt:lpstr>finPNLCh3Prod1Slot3GPaLMargin</vt:lpstr>
      <vt:lpstr>finPNLCh3Prod1Slot3GrossSales</vt:lpstr>
      <vt:lpstr>finPNLCh3Prod1Slot3LabourExp</vt:lpstr>
      <vt:lpstr>finPNLCh3Prod1Slot3LogExp</vt:lpstr>
      <vt:lpstr>finPNLCh3Prod1Slot3MachExp</vt:lpstr>
      <vt:lpstr>finPNLCh3Prod1Slot3MatExp</vt:lpstr>
      <vt:lpstr>finPNLCh3Prod1Slot3TotalCOGs</vt:lpstr>
      <vt:lpstr>finPNLCh3Prod1Slot3TotalRev</vt:lpstr>
      <vt:lpstr>finPNLCh3Prod1Slot3Turn</vt:lpstr>
      <vt:lpstr>finPNLCh3Prod2Slot1DeprExp</vt:lpstr>
      <vt:lpstr>finPNLCh3Prod2Slot1Discounts</vt:lpstr>
      <vt:lpstr>finPNLCh3Prod2Slot1Excise</vt:lpstr>
      <vt:lpstr>finPNLCh3Prod2Slot1GM</vt:lpstr>
      <vt:lpstr>finPNLCh3Prod2Slot1GP</vt:lpstr>
      <vt:lpstr>finPNLCh3Prod2Slot1GPaL</vt:lpstr>
      <vt:lpstr>finPNLCh3Prod2Slot1GPaLMargin</vt:lpstr>
      <vt:lpstr>finPNLCh3Prod2Slot1GrossSales</vt:lpstr>
      <vt:lpstr>finPNLCh3Prod2Slot1LabourExp</vt:lpstr>
      <vt:lpstr>finPNLCh3Prod2Slot1LogExp</vt:lpstr>
      <vt:lpstr>finPNLCh3Prod2Slot1MachExp</vt:lpstr>
      <vt:lpstr>finPNLCh3Prod2Slot1MatExp</vt:lpstr>
      <vt:lpstr>finPNLCh3Prod2Slot1TotalCOGs</vt:lpstr>
      <vt:lpstr>finPNLCh3Prod2Slot1TotalRev</vt:lpstr>
      <vt:lpstr>finPNLCh3Prod2Slot1Turn</vt:lpstr>
      <vt:lpstr>finPNLCh3Prod2Slot2DeprExp</vt:lpstr>
      <vt:lpstr>finPNLCh3Prod2Slot2Discounts</vt:lpstr>
      <vt:lpstr>finPNLCh3Prod2Slot2Excise</vt:lpstr>
      <vt:lpstr>finPNLCh3Prod2Slot2GM</vt:lpstr>
      <vt:lpstr>finPNLCh3Prod2Slot2GP</vt:lpstr>
      <vt:lpstr>finPNLCh3Prod2Slot2GPaL</vt:lpstr>
      <vt:lpstr>finPNLCh3Prod2Slot2GPaLMargin</vt:lpstr>
      <vt:lpstr>finPNLCh3Prod2Slot2GrossSales</vt:lpstr>
      <vt:lpstr>finPNLCh3Prod2Slot2LabourExp</vt:lpstr>
      <vt:lpstr>finPNLCh3Prod2Slot2LogExp</vt:lpstr>
      <vt:lpstr>finPNLCh3Prod2Slot2MachExp</vt:lpstr>
      <vt:lpstr>finPNLCh3Prod2Slot2MatExp</vt:lpstr>
      <vt:lpstr>finPNLCh3Prod2Slot2TotalCOGs</vt:lpstr>
      <vt:lpstr>finPNLCh3Prod2Slot2TotalRev</vt:lpstr>
      <vt:lpstr>finPNLCh3Prod2Slot2Turn</vt:lpstr>
      <vt:lpstr>finPNLCh3Prod2Slot3DeprExp</vt:lpstr>
      <vt:lpstr>finPNLCh3Prod2Slot3Discounts</vt:lpstr>
      <vt:lpstr>finPNLCh3Prod2Slot3Excise</vt:lpstr>
      <vt:lpstr>finPNLCh3Prod2Slot3GM</vt:lpstr>
      <vt:lpstr>finPNLCh3Prod2Slot3GP</vt:lpstr>
      <vt:lpstr>finPNLCh3Prod2Slot3GPaL</vt:lpstr>
      <vt:lpstr>finPNLCh3Prod2Slot3GPaLMargin</vt:lpstr>
      <vt:lpstr>finPNLCh3Prod2Slot3GrossSales</vt:lpstr>
      <vt:lpstr>finPNLCh3Prod2Slot3LabourExp</vt:lpstr>
      <vt:lpstr>finPNLCh3Prod2Slot3LogExp</vt:lpstr>
      <vt:lpstr>finPNLCh3Prod2Slot3MachExp</vt:lpstr>
      <vt:lpstr>finPNLCh3Prod2Slot3MatExp</vt:lpstr>
      <vt:lpstr>finPNLCh3Prod2Slot3TotalCOGs</vt:lpstr>
      <vt:lpstr>finPNLCh3Prod2Slot3TotalRev</vt:lpstr>
      <vt:lpstr>finPNLCh3Prod2Slot3Turn</vt:lpstr>
      <vt:lpstr>finPNLCh3Prod3Slot1DeprExp</vt:lpstr>
      <vt:lpstr>finPNLCh3Prod3Slot1Discounts</vt:lpstr>
      <vt:lpstr>finPNLCh3Prod3Slot1Excise</vt:lpstr>
      <vt:lpstr>finPNLCh3Prod3Slot1GM</vt:lpstr>
      <vt:lpstr>finPNLCh3Prod3Slot1GP</vt:lpstr>
      <vt:lpstr>finPNLCh3Prod3Slot1GPaL</vt:lpstr>
      <vt:lpstr>finPNLCh3Prod3Slot1GPaLMargin</vt:lpstr>
      <vt:lpstr>finPNLCh3Prod3Slot1GrossSales</vt:lpstr>
      <vt:lpstr>finPNLCh3Prod3Slot1LabourExp</vt:lpstr>
      <vt:lpstr>finPNLCh3Prod3Slot1LogExp</vt:lpstr>
      <vt:lpstr>finPNLCh3Prod3Slot1MachExp</vt:lpstr>
      <vt:lpstr>finPNLCh3Prod3Slot1MatExp</vt:lpstr>
      <vt:lpstr>finPNLCh3Prod3Slot1TotalCOGs</vt:lpstr>
      <vt:lpstr>finPNLCh3Prod3Slot1TotalRev</vt:lpstr>
      <vt:lpstr>finPNLCh3Prod3Slot1Turn</vt:lpstr>
      <vt:lpstr>finPNLCh3Prod3Slot2DeprExp</vt:lpstr>
      <vt:lpstr>finPNLCh3Prod3Slot2Discounts</vt:lpstr>
      <vt:lpstr>finPNLCh3Prod3Slot2Excise</vt:lpstr>
      <vt:lpstr>finPNLCh3Prod3Slot2GM</vt:lpstr>
      <vt:lpstr>finPNLCh3Prod3Slot2GP</vt:lpstr>
      <vt:lpstr>finPNLCh3Prod3Slot2GPaL</vt:lpstr>
      <vt:lpstr>finPNLCh3Prod3Slot2GPaLMargin</vt:lpstr>
      <vt:lpstr>finPNLCh3Prod3Slot2GrossSales</vt:lpstr>
      <vt:lpstr>finPNLCh3Prod3Slot2LabourExp</vt:lpstr>
      <vt:lpstr>finPNLCh3Prod3Slot2LogExp</vt:lpstr>
      <vt:lpstr>finPNLCh3Prod3Slot2MachExp</vt:lpstr>
      <vt:lpstr>finPNLCh3Prod3Slot2MatExp</vt:lpstr>
      <vt:lpstr>finPNLCh3Prod3Slot2TotalCOGs</vt:lpstr>
      <vt:lpstr>finPNLCh3Prod3Slot2TotalRev</vt:lpstr>
      <vt:lpstr>finPNLCh3Prod3Slot2Turn</vt:lpstr>
      <vt:lpstr>finPNLCh3Prod3Slot3DeprExp</vt:lpstr>
      <vt:lpstr>finPNLCh3Prod3Slot3Discounts</vt:lpstr>
      <vt:lpstr>finPNLCh3Prod3Slot3Excise</vt:lpstr>
      <vt:lpstr>finPNLCh3Prod3Slot3GM</vt:lpstr>
      <vt:lpstr>finPNLCh3Prod3Slot3GP</vt:lpstr>
      <vt:lpstr>finPNLCh3Prod3Slot3GPaL</vt:lpstr>
      <vt:lpstr>finPNLCh3Prod3Slot3GPaLMargin</vt:lpstr>
      <vt:lpstr>finPNLCh3Prod3Slot3GrossSales</vt:lpstr>
      <vt:lpstr>finPNLCh3Prod3Slot3LabourExp</vt:lpstr>
      <vt:lpstr>finPNLCh3Prod3Slot3LogExp</vt:lpstr>
      <vt:lpstr>finPNLCh3Prod3Slot3MachExp</vt:lpstr>
      <vt:lpstr>finPNLCh3Prod3Slot3MatExp</vt:lpstr>
      <vt:lpstr>finPNLCh3Prod3Slot3TotalCOGs</vt:lpstr>
      <vt:lpstr>finPNLCh3Prod3Slot3TotalRev</vt:lpstr>
      <vt:lpstr>finPNLCh3Prod3Slot3Turn</vt:lpstr>
      <vt:lpstr>finPNLCh3Prod4Slot1DeprExp</vt:lpstr>
      <vt:lpstr>finPNLCh3Prod4Slot1Discounts</vt:lpstr>
      <vt:lpstr>finPNLCh3Prod4Slot1Excise</vt:lpstr>
      <vt:lpstr>finPNLCh3Prod4Slot1GM</vt:lpstr>
      <vt:lpstr>finPNLCh3Prod4Slot1GP</vt:lpstr>
      <vt:lpstr>finPNLCh3Prod4Slot1GPaL</vt:lpstr>
      <vt:lpstr>finPNLCh3Prod4Slot1GPaLMargin</vt:lpstr>
      <vt:lpstr>finPNLCh3Prod4Slot1GrossSales</vt:lpstr>
      <vt:lpstr>finPNLCh3Prod4Slot1LabourExp</vt:lpstr>
      <vt:lpstr>finPNLCh3Prod4Slot1LogExp</vt:lpstr>
      <vt:lpstr>finPNLCh3Prod4Slot1MachExp</vt:lpstr>
      <vt:lpstr>finPNLCh3Prod4Slot1MatExp</vt:lpstr>
      <vt:lpstr>finPNLCh3Prod4Slot1TotalCOGs</vt:lpstr>
      <vt:lpstr>finPNLCh3Prod4Slot1TotalRev</vt:lpstr>
      <vt:lpstr>finPNLCh3Prod4Slot1Turn</vt:lpstr>
      <vt:lpstr>finPNLCh3Prod4Slot2DeprExp</vt:lpstr>
      <vt:lpstr>finPNLCh3Prod4Slot2Discounts</vt:lpstr>
      <vt:lpstr>finPNLCh3Prod4Slot2Excise</vt:lpstr>
      <vt:lpstr>finPNLCh3Prod4Slot2GM</vt:lpstr>
      <vt:lpstr>finPNLCh3Prod4Slot2GP</vt:lpstr>
      <vt:lpstr>finPNLCh3Prod4Slot2GPaL</vt:lpstr>
      <vt:lpstr>finPNLCh3Prod4Slot2GPaLMargin</vt:lpstr>
      <vt:lpstr>finPNLCh3Prod4Slot2GrossSales</vt:lpstr>
      <vt:lpstr>finPNLCh3Prod4Slot2LabourExp</vt:lpstr>
      <vt:lpstr>finPNLCh3Prod4Slot2LogExp</vt:lpstr>
      <vt:lpstr>finPNLCh3Prod4Slot2MachExp</vt:lpstr>
      <vt:lpstr>finPNLCh3Prod4Slot2MatExp</vt:lpstr>
      <vt:lpstr>finPNLCh3Prod4Slot2TotalCOGs</vt:lpstr>
      <vt:lpstr>finPNLCh3Prod4Slot2TotalRev</vt:lpstr>
      <vt:lpstr>finPNLCh3Prod4Slot2Turn</vt:lpstr>
      <vt:lpstr>finPNLCh3Prod4Slot3DeprExp</vt:lpstr>
      <vt:lpstr>finPNLCh3Prod4Slot3Discounts</vt:lpstr>
      <vt:lpstr>finPNLCh3Prod4Slot3Excise</vt:lpstr>
      <vt:lpstr>finPNLCh3Prod4Slot3GM</vt:lpstr>
      <vt:lpstr>finPNLCh3Prod4Slot3GP</vt:lpstr>
      <vt:lpstr>finPNLCh3Prod4Slot3GPaL</vt:lpstr>
      <vt:lpstr>finPNLCh3Prod4Slot3GPaLMargin</vt:lpstr>
      <vt:lpstr>finPNLCh3Prod4Slot3GrossSales</vt:lpstr>
      <vt:lpstr>finPNLCh3Prod4Slot3LabourExp</vt:lpstr>
      <vt:lpstr>finPNLCh3Prod4Slot3LogExp</vt:lpstr>
      <vt:lpstr>finPNLCh3Prod4Slot3MachExp</vt:lpstr>
      <vt:lpstr>finPNLCh3Prod4Slot3MatExp</vt:lpstr>
      <vt:lpstr>finPNLCh3Prod4Slot3TotalCOGs</vt:lpstr>
      <vt:lpstr>finPNLCh3Prod4Slot3TotalRev</vt:lpstr>
      <vt:lpstr>finPNLCh3Prod4Slot3Turn</vt:lpstr>
      <vt:lpstr>finPNLCh3Sales</vt:lpstr>
      <vt:lpstr>finPNLCh3TMkt</vt:lpstr>
      <vt:lpstr>finPNLCh3Turn</vt:lpstr>
      <vt:lpstr>finPNLCh4BOverheadTot</vt:lpstr>
      <vt:lpstr>finPNLCh4CostRev</vt:lpstr>
      <vt:lpstr>finPNLCh4DepExp</vt:lpstr>
      <vt:lpstr>finPNLCh4Discounts</vt:lpstr>
      <vt:lpstr>finPNLCh4Excise</vt:lpstr>
      <vt:lpstr>finPNLCh4GCC</vt:lpstr>
      <vt:lpstr>finPNLCh4GCCMargin</vt:lpstr>
      <vt:lpstr>finPNLCh4GM</vt:lpstr>
      <vt:lpstr>finPNLCh4GPaL</vt:lpstr>
      <vt:lpstr>finPNLCh4GPaLMargin</vt:lpstr>
      <vt:lpstr>finPNLCh4GroProfit</vt:lpstr>
      <vt:lpstr>finPNLCh4GrossSales</vt:lpstr>
      <vt:lpstr>finPNLCh4LabExp</vt:lpstr>
      <vt:lpstr>finPNLCh4LogExp</vt:lpstr>
      <vt:lpstr>finPNLCh4LogExpPct</vt:lpstr>
      <vt:lpstr>finPNLCh4MachExp</vt:lpstr>
      <vt:lpstr>finPNLCh4MatExp</vt:lpstr>
      <vt:lpstr>finPNLCh4NetRev</vt:lpstr>
      <vt:lpstr>finPNLCh4Prod1Slot1DeprExp</vt:lpstr>
      <vt:lpstr>finPNLCh4Prod1Slot1Discounts</vt:lpstr>
      <vt:lpstr>finPNLCh4Prod1Slot1Excise</vt:lpstr>
      <vt:lpstr>finPNLCh4Prod1Slot1GM</vt:lpstr>
      <vt:lpstr>finPNLCh4Prod1Slot1GP</vt:lpstr>
      <vt:lpstr>finPNLCh4Prod1Slot1GPaL</vt:lpstr>
      <vt:lpstr>finPNLCh4Prod1Slot1GPaLMargin</vt:lpstr>
      <vt:lpstr>finPNLCh4Prod1Slot1GrossSales</vt:lpstr>
      <vt:lpstr>finPNLCh4Prod1Slot1LabourExp</vt:lpstr>
      <vt:lpstr>finPNLCh4Prod1Slot1LogExp</vt:lpstr>
      <vt:lpstr>finPNLCh4Prod1Slot1MachExp</vt:lpstr>
      <vt:lpstr>finPNLCh4Prod1Slot1MatExp</vt:lpstr>
      <vt:lpstr>finPNLCh4Prod1Slot1TotalCOGs</vt:lpstr>
      <vt:lpstr>finPNLCh4Prod1Slot1TotalRev</vt:lpstr>
      <vt:lpstr>finPNLCh4Prod1Slot1Turn</vt:lpstr>
      <vt:lpstr>finPNLCh4Prod1Slot2DeprExp</vt:lpstr>
      <vt:lpstr>finPNLCh4Prod1Slot2Discounts</vt:lpstr>
      <vt:lpstr>finPNLCh4Prod1Slot2Excise</vt:lpstr>
      <vt:lpstr>finPNLCh4Prod1Slot2GM</vt:lpstr>
      <vt:lpstr>finPNLCh4Prod1Slot2GP</vt:lpstr>
      <vt:lpstr>finPNLCh4Prod1Slot2GPaL</vt:lpstr>
      <vt:lpstr>finPNLCh4Prod1Slot2GPaLMargin</vt:lpstr>
      <vt:lpstr>finPNLCh4Prod1Slot2GrossSales</vt:lpstr>
      <vt:lpstr>finPNLCh4Prod1Slot2LabourExp</vt:lpstr>
      <vt:lpstr>finPNLCh4Prod1Slot2LogExp</vt:lpstr>
      <vt:lpstr>finPNLCh4Prod1Slot2MachExp</vt:lpstr>
      <vt:lpstr>finPNLCh4Prod1Slot2MatExp</vt:lpstr>
      <vt:lpstr>finPNLCh4Prod1Slot2TotalCOGs</vt:lpstr>
      <vt:lpstr>finPNLCh4Prod1Slot2TotalRev</vt:lpstr>
      <vt:lpstr>finPNLCh4Prod1Slot2Turn</vt:lpstr>
      <vt:lpstr>finPNLCh4Prod1Slot3DeprExp</vt:lpstr>
      <vt:lpstr>finPNLCh4Prod1Slot3Discounts</vt:lpstr>
      <vt:lpstr>finPNLCh4Prod1Slot3Excise</vt:lpstr>
      <vt:lpstr>finPNLCh4Prod1Slot3GM</vt:lpstr>
      <vt:lpstr>finPNLCh4Prod1Slot3GP</vt:lpstr>
      <vt:lpstr>finPNLCh4Prod1Slot3GPaL</vt:lpstr>
      <vt:lpstr>finPNLCh4Prod1Slot3GPaLMargin</vt:lpstr>
      <vt:lpstr>finPNLCh4Prod1Slot3GrossSales</vt:lpstr>
      <vt:lpstr>finPNLCh4Prod1Slot3LabourExp</vt:lpstr>
      <vt:lpstr>finPNLCh4Prod1Slot3LogExp</vt:lpstr>
      <vt:lpstr>finPNLCh4Prod1Slot3MachExp</vt:lpstr>
      <vt:lpstr>finPNLCh4Prod1Slot3MatExp</vt:lpstr>
      <vt:lpstr>finPNLCh4Prod1Slot3TotalCOGs</vt:lpstr>
      <vt:lpstr>finPNLCh4Prod1Slot3TotalRev</vt:lpstr>
      <vt:lpstr>finPNLCh4Prod1Slot3Turn</vt:lpstr>
      <vt:lpstr>finPNLCh4Prod2Slot1DeprExp</vt:lpstr>
      <vt:lpstr>finPNLCh4Prod2Slot1Discounts</vt:lpstr>
      <vt:lpstr>finPNLCh4Prod2Slot1Excise</vt:lpstr>
      <vt:lpstr>finPNLCh4Prod2Slot1GM</vt:lpstr>
      <vt:lpstr>finPNLCh4Prod2Slot1GP</vt:lpstr>
      <vt:lpstr>finPNLCh4Prod2Slot1GPaL</vt:lpstr>
      <vt:lpstr>finPNLCh4Prod2Slot1GPaLMargin</vt:lpstr>
      <vt:lpstr>finPNLCh4Prod2Slot1GrossSales</vt:lpstr>
      <vt:lpstr>finPNLCh4Prod2Slot1LabourExp</vt:lpstr>
      <vt:lpstr>finPNLCh4Prod2Slot1LogExp</vt:lpstr>
      <vt:lpstr>finPNLCh4Prod2Slot1MachExp</vt:lpstr>
      <vt:lpstr>finPNLCh4Prod2Slot1MatExp</vt:lpstr>
      <vt:lpstr>finPNLCh4Prod2Slot1TotalCOGs</vt:lpstr>
      <vt:lpstr>finPNLCh4Prod2Slot1TotalRev</vt:lpstr>
      <vt:lpstr>finPNLCh4Prod2Slot1Turn</vt:lpstr>
      <vt:lpstr>finPNLCh4Prod2Slot2DeprExp</vt:lpstr>
      <vt:lpstr>finPNLCh4Prod2Slot2Discounts</vt:lpstr>
      <vt:lpstr>finPNLCh4Prod2Slot2Excise</vt:lpstr>
      <vt:lpstr>finPNLCh4Prod2Slot2GM</vt:lpstr>
      <vt:lpstr>finPNLCh4Prod2Slot2GP</vt:lpstr>
      <vt:lpstr>finPNLCh4Prod2Slot2GPaL</vt:lpstr>
      <vt:lpstr>finPNLCh4Prod2Slot2GPaLMargin</vt:lpstr>
      <vt:lpstr>finPNLCh4Prod2Slot2GrossSales</vt:lpstr>
      <vt:lpstr>finPNLCh4Prod2Slot2LabourExp</vt:lpstr>
      <vt:lpstr>finPNLCh4Prod2Slot2LogExp</vt:lpstr>
      <vt:lpstr>finPNLCh4Prod2Slot2MachExp</vt:lpstr>
      <vt:lpstr>finPNLCh4Prod2Slot2MatExp</vt:lpstr>
      <vt:lpstr>finPNLCh4Prod2Slot2TotalCOGs</vt:lpstr>
      <vt:lpstr>finPNLCh4Prod2Slot2TotalRev</vt:lpstr>
      <vt:lpstr>finPNLCh4Prod2Slot2Turn</vt:lpstr>
      <vt:lpstr>finPNLCh4Prod2Slot3DeprExp</vt:lpstr>
      <vt:lpstr>finPNLCh4Prod2Slot3Discounts</vt:lpstr>
      <vt:lpstr>finPNLCh4Prod2Slot3Excise</vt:lpstr>
      <vt:lpstr>finPNLCh4Prod2Slot3GM</vt:lpstr>
      <vt:lpstr>finPNLCh4Prod2Slot3GP</vt:lpstr>
      <vt:lpstr>finPNLCh4Prod2Slot3GPaL</vt:lpstr>
      <vt:lpstr>finPNLCh4Prod2Slot3GPaLMargin</vt:lpstr>
      <vt:lpstr>finPNLCh4Prod2Slot3GrossSales</vt:lpstr>
      <vt:lpstr>finPNLCh4Prod2Slot3LabourExp</vt:lpstr>
      <vt:lpstr>finPNLCh4Prod2Slot3LogExp</vt:lpstr>
      <vt:lpstr>finPNLCh4Prod2Slot3MachExp</vt:lpstr>
      <vt:lpstr>finPNLCh4Prod2Slot3MatExp</vt:lpstr>
      <vt:lpstr>finPNLCh4Prod2Slot3TotalCOGs</vt:lpstr>
      <vt:lpstr>finPNLCh4Prod2Slot3TotalRev</vt:lpstr>
      <vt:lpstr>finPNLCh4Prod2Slot3Turn</vt:lpstr>
      <vt:lpstr>finPNLCh4Prod3Slot1DeprExp</vt:lpstr>
      <vt:lpstr>finPNLCh4Prod3Slot1Discounts</vt:lpstr>
      <vt:lpstr>finPNLCh4Prod3Slot1Excise</vt:lpstr>
      <vt:lpstr>finPNLCh4Prod3Slot1GM</vt:lpstr>
      <vt:lpstr>finPNLCh4Prod3Slot1GP</vt:lpstr>
      <vt:lpstr>finPNLCh4Prod3Slot1GPaL</vt:lpstr>
      <vt:lpstr>finPNLCh4Prod3Slot1GPaLMargin</vt:lpstr>
      <vt:lpstr>finPNLCh4Prod3Slot1GrossSales</vt:lpstr>
      <vt:lpstr>finPNLCh4Prod3Slot1LabourExp</vt:lpstr>
      <vt:lpstr>finPNLCh4Prod3Slot1LogExp</vt:lpstr>
      <vt:lpstr>finPNLCh4Prod3Slot1MachExp</vt:lpstr>
      <vt:lpstr>finPNLCh4Prod3Slot1MatExp</vt:lpstr>
      <vt:lpstr>finPNLCh4Prod3Slot1TotalCOGs</vt:lpstr>
      <vt:lpstr>finPNLCh4Prod3Slot1TotalRev</vt:lpstr>
      <vt:lpstr>finPNLCh4Prod3Slot1Turn</vt:lpstr>
      <vt:lpstr>finPNLCh4Prod3Slot2DeprExp</vt:lpstr>
      <vt:lpstr>finPNLCh4Prod3Slot2Discounts</vt:lpstr>
      <vt:lpstr>finPNLCh4Prod3Slot2Excise</vt:lpstr>
      <vt:lpstr>finPNLCh4Prod3Slot2GM</vt:lpstr>
      <vt:lpstr>finPNLCh4Prod3Slot2GP</vt:lpstr>
      <vt:lpstr>finPNLCh4Prod3Slot2GPaL</vt:lpstr>
      <vt:lpstr>finPNLCh4Prod3Slot2GPaLMargin</vt:lpstr>
      <vt:lpstr>finPNLCh4Prod3Slot2GrossSales</vt:lpstr>
      <vt:lpstr>finPNLCh4Prod3Slot2LabourExp</vt:lpstr>
      <vt:lpstr>finPNLCh4Prod3Slot2LogExp</vt:lpstr>
      <vt:lpstr>finPNLCh4Prod3Slot2MachExp</vt:lpstr>
      <vt:lpstr>finPNLCh4Prod3Slot2MatExp</vt:lpstr>
      <vt:lpstr>finPNLCh4Prod3Slot2TotalCOGs</vt:lpstr>
      <vt:lpstr>finPNLCh4Prod3Slot2TotalRev</vt:lpstr>
      <vt:lpstr>finPNLCh4Prod3Slot2Turn</vt:lpstr>
      <vt:lpstr>finPNLCh4Prod3Slot3DeprExp</vt:lpstr>
      <vt:lpstr>finPNLCh4Prod3Slot3Discounts</vt:lpstr>
      <vt:lpstr>finPNLCh4Prod3Slot3Excise</vt:lpstr>
      <vt:lpstr>finPNLCh4Prod3Slot3GM</vt:lpstr>
      <vt:lpstr>finPNLCh4Prod3Slot3GP</vt:lpstr>
      <vt:lpstr>finPNLCh4Prod3Slot3GPaL</vt:lpstr>
      <vt:lpstr>finPNLCh4Prod3Slot3GPaLMargin</vt:lpstr>
      <vt:lpstr>finPNLCh4Prod3Slot3GrossSales</vt:lpstr>
      <vt:lpstr>finPNLCh4Prod3Slot3LabourExp</vt:lpstr>
      <vt:lpstr>finPNLCh4Prod3Slot3LogExp</vt:lpstr>
      <vt:lpstr>finPNLCh4Prod3Slot3MachExp</vt:lpstr>
      <vt:lpstr>finPNLCh4Prod3Slot3MatExp</vt:lpstr>
      <vt:lpstr>finPNLCh4Prod3Slot3TotalCOGs</vt:lpstr>
      <vt:lpstr>finPNLCh4Prod3Slot3TotalRev</vt:lpstr>
      <vt:lpstr>finPNLCh4Prod3Slot3Turn</vt:lpstr>
      <vt:lpstr>finPNLCh4Prod4Slot1DeprExp</vt:lpstr>
      <vt:lpstr>finPNLCh4Prod4Slot1Discounts</vt:lpstr>
      <vt:lpstr>finPNLCh4Prod4Slot1Excise</vt:lpstr>
      <vt:lpstr>finPNLCh4Prod4Slot1GM</vt:lpstr>
      <vt:lpstr>finPNLCh4Prod4Slot1GP</vt:lpstr>
      <vt:lpstr>finPNLCh4Prod4Slot1GPaL</vt:lpstr>
      <vt:lpstr>finPNLCh4Prod4Slot1GPaLMargin</vt:lpstr>
      <vt:lpstr>finPNLCh4Prod4Slot1GrossSales</vt:lpstr>
      <vt:lpstr>finPNLCh4Prod4Slot1LabourExp</vt:lpstr>
      <vt:lpstr>finPNLCh4Prod4Slot1LogExp</vt:lpstr>
      <vt:lpstr>finPNLCh4Prod4Slot1MachExp</vt:lpstr>
      <vt:lpstr>finPNLCh4Prod4Slot1MatExp</vt:lpstr>
      <vt:lpstr>finPNLCh4Prod4Slot1TotalCOGs</vt:lpstr>
      <vt:lpstr>finPNLCh4Prod4Slot1TotalRev</vt:lpstr>
      <vt:lpstr>finPNLCh4Prod4Slot1Turn</vt:lpstr>
      <vt:lpstr>finPNLCh4Prod4Slot2DeprExp</vt:lpstr>
      <vt:lpstr>finPNLCh4Prod4Slot2Discounts</vt:lpstr>
      <vt:lpstr>finPNLCh4Prod4Slot2Excise</vt:lpstr>
      <vt:lpstr>finPNLCh4Prod4Slot2GM</vt:lpstr>
      <vt:lpstr>finPNLCh4Prod4Slot2GP</vt:lpstr>
      <vt:lpstr>finPNLCh4Prod4Slot2GPaL</vt:lpstr>
      <vt:lpstr>finPNLCh4Prod4Slot2GPaLMargin</vt:lpstr>
      <vt:lpstr>finPNLCh4Prod4Slot2GrossSales</vt:lpstr>
      <vt:lpstr>finPNLCh4Prod4Slot2LabourExp</vt:lpstr>
      <vt:lpstr>finPNLCh4Prod4Slot2LogExp</vt:lpstr>
      <vt:lpstr>finPNLCh4Prod4Slot2MachExp</vt:lpstr>
      <vt:lpstr>finPNLCh4Prod4Slot2MatExp</vt:lpstr>
      <vt:lpstr>finPNLCh4Prod4Slot2TotalCOGs</vt:lpstr>
      <vt:lpstr>finPNLCh4Prod4Slot2TotalRev</vt:lpstr>
      <vt:lpstr>finPNLCh4Prod4Slot2Turn</vt:lpstr>
      <vt:lpstr>finPNLCh4Prod4Slot3DeprExp</vt:lpstr>
      <vt:lpstr>finPNLCh4Prod4Slot3Discounts</vt:lpstr>
      <vt:lpstr>finPNLCh4Prod4Slot3Excise</vt:lpstr>
      <vt:lpstr>finPNLCh4Prod4Slot3GM</vt:lpstr>
      <vt:lpstr>finPNLCh4Prod4Slot3GP</vt:lpstr>
      <vt:lpstr>finPNLCh4Prod4Slot3GPaL</vt:lpstr>
      <vt:lpstr>finPNLCh4Prod4Slot3GPaLMargin</vt:lpstr>
      <vt:lpstr>finPNLCh4Prod4Slot3GrossSales</vt:lpstr>
      <vt:lpstr>finPNLCh4Prod4Slot3LabourExp</vt:lpstr>
      <vt:lpstr>finPNLCh4Prod4Slot3LogExp</vt:lpstr>
      <vt:lpstr>finPNLCh4Prod4Slot3MachExp</vt:lpstr>
      <vt:lpstr>finPNLCh4Prod4Slot3MatExp</vt:lpstr>
      <vt:lpstr>finPNLCh4Prod4Slot3TotalCOGs</vt:lpstr>
      <vt:lpstr>finPNLCh4Prod4Slot3TotalRev</vt:lpstr>
      <vt:lpstr>finPNLCh4Prod4Slot3Turn</vt:lpstr>
      <vt:lpstr>finPNLCh4Sales</vt:lpstr>
      <vt:lpstr>finPNLCh4TMkt</vt:lpstr>
      <vt:lpstr>finPNLCh4Turn</vt:lpstr>
      <vt:lpstr>finPNLCostRevTot</vt:lpstr>
      <vt:lpstr>finPNLCTaxTot</vt:lpstr>
      <vt:lpstr>finPNLDepExpTot</vt:lpstr>
      <vt:lpstr>finPNLDiscountsTot</vt:lpstr>
      <vt:lpstr>finPNLEbitMarginTot</vt:lpstr>
      <vt:lpstr>finPNLEbitTot</vt:lpstr>
      <vt:lpstr>finPNLEbtTot</vt:lpstr>
      <vt:lpstr>finPNLExciseTot</vt:lpstr>
      <vt:lpstr>finPNLFinNetTot</vt:lpstr>
      <vt:lpstr>finPNLFixBMktExp</vt:lpstr>
      <vt:lpstr>finPNLFixRnDExp</vt:lpstr>
      <vt:lpstr>finPNLFixSalesExp</vt:lpstr>
      <vt:lpstr>finPNLFixTMktExp</vt:lpstr>
      <vt:lpstr>finPNLGnAdminExp</vt:lpstr>
      <vt:lpstr>finPNLGPaLMarginTot</vt:lpstr>
      <vt:lpstr>finPNLGPaLTot</vt:lpstr>
      <vt:lpstr>finPNLGroProfitTot</vt:lpstr>
      <vt:lpstr>finPNLGrossSalesTot</vt:lpstr>
      <vt:lpstr>finPNLLabExpTot</vt:lpstr>
      <vt:lpstr>finPNLLogExpTot</vt:lpstr>
      <vt:lpstr>finPNLMachExpTot</vt:lpstr>
      <vt:lpstr>finPNLMatExpTot</vt:lpstr>
      <vt:lpstr>finPNLNetIncTot</vt:lpstr>
      <vt:lpstr>finPNLNetRevTot</vt:lpstr>
      <vt:lpstr>finPNLOverheadExpTot</vt:lpstr>
      <vt:lpstr>finPNLProd1BMkt</vt:lpstr>
      <vt:lpstr>finPNLProd1CostRev</vt:lpstr>
      <vt:lpstr>finPNLProd1DepExp</vt:lpstr>
      <vt:lpstr>finPNLProd1Discounts</vt:lpstr>
      <vt:lpstr>finPNLProd1Excise</vt:lpstr>
      <vt:lpstr>finPNLProd1GBC</vt:lpstr>
      <vt:lpstr>finPNLProd1GBCMargin</vt:lpstr>
      <vt:lpstr>finPNLProd1GM</vt:lpstr>
      <vt:lpstr>finPNLProd1GPaL</vt:lpstr>
      <vt:lpstr>finPNLProd1GPaLMargin</vt:lpstr>
      <vt:lpstr>finPNLProd1GroProfit</vt:lpstr>
      <vt:lpstr>finPNLProd1GrossSales</vt:lpstr>
      <vt:lpstr>finPNLProd1LabExp</vt:lpstr>
      <vt:lpstr>finPNLProd1LogExp</vt:lpstr>
      <vt:lpstr>finPNLProd1LogExpPct</vt:lpstr>
      <vt:lpstr>finPNLProd1MachExp</vt:lpstr>
      <vt:lpstr>finPNLProd1MatExp</vt:lpstr>
      <vt:lpstr>finPNLProd1NetRev</vt:lpstr>
      <vt:lpstr>finPNLProd1OverheadTot</vt:lpstr>
      <vt:lpstr>finPNLProd1TMkt</vt:lpstr>
      <vt:lpstr>finPNLProd1Turn</vt:lpstr>
      <vt:lpstr>finPNLProd2BMkt</vt:lpstr>
      <vt:lpstr>finPNLProd2CostRev</vt:lpstr>
      <vt:lpstr>finPNLProd2DepExp</vt:lpstr>
      <vt:lpstr>finPNLProd2Discounts</vt:lpstr>
      <vt:lpstr>finPNLProd2Excise</vt:lpstr>
      <vt:lpstr>finPNLProd2GBC</vt:lpstr>
      <vt:lpstr>finPNLProd2GBCMargin</vt:lpstr>
      <vt:lpstr>finPNLProd2GM</vt:lpstr>
      <vt:lpstr>finPNLProd2GPaL</vt:lpstr>
      <vt:lpstr>finPNLProd2GPaLMargin</vt:lpstr>
      <vt:lpstr>finPNLProd2GroProfit</vt:lpstr>
      <vt:lpstr>finPNLProd2GrossSales</vt:lpstr>
      <vt:lpstr>finPNLProd2LabExp</vt:lpstr>
      <vt:lpstr>finPNLProd2LogExp</vt:lpstr>
      <vt:lpstr>finPNLProd2LogExpPct</vt:lpstr>
      <vt:lpstr>finPNLProd2MachExp</vt:lpstr>
      <vt:lpstr>finPNLProd2MatExp</vt:lpstr>
      <vt:lpstr>finPNLProd2NetRev</vt:lpstr>
      <vt:lpstr>finPNLProd2OverheadTot</vt:lpstr>
      <vt:lpstr>finPNLProd2TMkt</vt:lpstr>
      <vt:lpstr>finPNLProd2Turn</vt:lpstr>
      <vt:lpstr>finPNLProd3BMkt</vt:lpstr>
      <vt:lpstr>finPNLProd3CostRev</vt:lpstr>
      <vt:lpstr>finPNLProd3DepExp</vt:lpstr>
      <vt:lpstr>finPNLProd3Discounts</vt:lpstr>
      <vt:lpstr>finPNLProd3Excise</vt:lpstr>
      <vt:lpstr>finPNLProd3GBC</vt:lpstr>
      <vt:lpstr>finPNLProd3GBCMargin</vt:lpstr>
      <vt:lpstr>finPNLProd3GM</vt:lpstr>
      <vt:lpstr>finPNLProd3GPaL</vt:lpstr>
      <vt:lpstr>finPNLProd3GPaLMargin</vt:lpstr>
      <vt:lpstr>finPNLProd3GroProfit</vt:lpstr>
      <vt:lpstr>finPNLProd3GrossSales</vt:lpstr>
      <vt:lpstr>finPNLProd3LabExp</vt:lpstr>
      <vt:lpstr>finPNLProd3LogExp</vt:lpstr>
      <vt:lpstr>finPNLProd3LogExpPct</vt:lpstr>
      <vt:lpstr>finPNLProd3MachExp</vt:lpstr>
      <vt:lpstr>finPNLProd3MatExp</vt:lpstr>
      <vt:lpstr>finPNLProd3NetRev</vt:lpstr>
      <vt:lpstr>finPNLProd3OverheadTot</vt:lpstr>
      <vt:lpstr>finPNLProd3TMkt</vt:lpstr>
      <vt:lpstr>finPNLProd3Turn</vt:lpstr>
      <vt:lpstr>finPNLProd4BMkt</vt:lpstr>
      <vt:lpstr>finPNLProd4CostRev</vt:lpstr>
      <vt:lpstr>finPNLProd4DepExp</vt:lpstr>
      <vt:lpstr>finPNLProd4Discounts</vt:lpstr>
      <vt:lpstr>finPNLProd4Excise</vt:lpstr>
      <vt:lpstr>finPNLProd4GBC</vt:lpstr>
      <vt:lpstr>finPNLProd4GBCMargin</vt:lpstr>
      <vt:lpstr>finPNLProd4GM</vt:lpstr>
      <vt:lpstr>finPNLProd4GPaL</vt:lpstr>
      <vt:lpstr>finPNLProd4GPaLMargin</vt:lpstr>
      <vt:lpstr>finPNLProd4GroProfit</vt:lpstr>
      <vt:lpstr>finPNLProd4GrossSales</vt:lpstr>
      <vt:lpstr>finPNLProd4LabExp</vt:lpstr>
      <vt:lpstr>finPNLProd4LogExp</vt:lpstr>
      <vt:lpstr>finPNLProd4LogExpPct</vt:lpstr>
      <vt:lpstr>finPNLProd4MachExp</vt:lpstr>
      <vt:lpstr>finPNLProd4MatExp</vt:lpstr>
      <vt:lpstr>finPNLProd4NetRev</vt:lpstr>
      <vt:lpstr>finPNLProd4OverheadTot</vt:lpstr>
      <vt:lpstr>finPNLProd4TMkt</vt:lpstr>
      <vt:lpstr>finPNLProd4Turn</vt:lpstr>
      <vt:lpstr>finPNLRnDExpTot</vt:lpstr>
      <vt:lpstr>finPNLSalesExpTot</vt:lpstr>
      <vt:lpstr>finPNLTMktExpTot</vt:lpstr>
      <vt:lpstr>finPNLTurnTot</vt:lpstr>
      <vt:lpstr>finPNLVarBMktExp</vt:lpstr>
      <vt:lpstr>finPNLVarRnDExp</vt:lpstr>
      <vt:lpstr>finPNLVarSalesExp</vt:lpstr>
      <vt:lpstr>finPNLVarTMktExp</vt:lpstr>
      <vt:lpstr>glossary_Language</vt:lpstr>
      <vt:lpstr>HideRows</vt:lpstr>
      <vt:lpstr>hood_OnHoodCloseGoTo</vt:lpstr>
      <vt:lpstr>hood_ToolPrefix</vt:lpstr>
      <vt:lpstr>nmCh1</vt:lpstr>
      <vt:lpstr>nmCh2</vt:lpstr>
      <vt:lpstr>nmCh3</vt:lpstr>
      <vt:lpstr>nmCh4</vt:lpstr>
      <vt:lpstr>nmCOGS</vt:lpstr>
      <vt:lpstr>nmEmp1</vt:lpstr>
      <vt:lpstr>nmForecast</vt:lpstr>
      <vt:lpstr>nmGrossMargin</vt:lpstr>
      <vt:lpstr>nmGrossProfit</vt:lpstr>
      <vt:lpstr>nmInitiatives</vt:lpstr>
      <vt:lpstr>nmMarketing</vt:lpstr>
      <vt:lpstr>nmMillion</vt:lpstr>
      <vt:lpstr>nmPack1</vt:lpstr>
      <vt:lpstr>nmPack10</vt:lpstr>
      <vt:lpstr>nmPack11</vt:lpstr>
      <vt:lpstr>nmPack12</vt:lpstr>
      <vt:lpstr>nmPack13</vt:lpstr>
      <vt:lpstr>nmPack14</vt:lpstr>
      <vt:lpstr>nmPack15</vt:lpstr>
      <vt:lpstr>nmPack16</vt:lpstr>
      <vt:lpstr>nmPack17</vt:lpstr>
      <vt:lpstr>nmPack18</vt:lpstr>
      <vt:lpstr>nmPack19</vt:lpstr>
      <vt:lpstr>nmPack2</vt:lpstr>
      <vt:lpstr>nmPack20</vt:lpstr>
      <vt:lpstr>nmPack21</vt:lpstr>
      <vt:lpstr>nmPack22</vt:lpstr>
      <vt:lpstr>nmPack23</vt:lpstr>
      <vt:lpstr>nmPack24</vt:lpstr>
      <vt:lpstr>nmPack25</vt:lpstr>
      <vt:lpstr>nmPack26</vt:lpstr>
      <vt:lpstr>nmPack27</vt:lpstr>
      <vt:lpstr>nmPack28</vt:lpstr>
      <vt:lpstr>nmPack29</vt:lpstr>
      <vt:lpstr>nmPack3</vt:lpstr>
      <vt:lpstr>nmPack30</vt:lpstr>
      <vt:lpstr>nmPack4</vt:lpstr>
      <vt:lpstr>nmPack5</vt:lpstr>
      <vt:lpstr>nmPack6</vt:lpstr>
      <vt:lpstr>nmPack7</vt:lpstr>
      <vt:lpstr>nmPack8</vt:lpstr>
      <vt:lpstr>nmPack9</vt:lpstr>
      <vt:lpstr>nmPlant1</vt:lpstr>
      <vt:lpstr>nmPrice</vt:lpstr>
      <vt:lpstr>nmProd1</vt:lpstr>
      <vt:lpstr>nmProd2</vt:lpstr>
      <vt:lpstr>nmProd23</vt:lpstr>
      <vt:lpstr>nmProd3</vt:lpstr>
      <vt:lpstr>nmProd4</vt:lpstr>
      <vt:lpstr>nmProgramSubtitle</vt:lpstr>
      <vt:lpstr>nmProgramTitle</vt:lpstr>
      <vt:lpstr>nmRevenue</vt:lpstr>
      <vt:lpstr>nmRound</vt:lpstr>
      <vt:lpstr>nmSeg1</vt:lpstr>
      <vt:lpstr>nmSeg2</vt:lpstr>
      <vt:lpstr>nmSeg3</vt:lpstr>
      <vt:lpstr>nmSeg4</vt:lpstr>
      <vt:lpstr>nmSi</vt:lpstr>
      <vt:lpstr>nmTeamName</vt:lpstr>
      <vt:lpstr>nmTeamNumber</vt:lpstr>
      <vt:lpstr>nmValDriv1</vt:lpstr>
      <vt:lpstr>nmValDriv2</vt:lpstr>
      <vt:lpstr>nmValDriv3</vt:lpstr>
      <vt:lpstr>nmValDriv4</vt:lpstr>
      <vt:lpstr>nmValDriv5</vt:lpstr>
      <vt:lpstr>nmValDrivCond</vt:lpstr>
      <vt:lpstr>obal_End</vt:lpstr>
      <vt:lpstr>Obal!obal_paste</vt:lpstr>
      <vt:lpstr>obal_Paste</vt:lpstr>
      <vt:lpstr>obalAP</vt:lpstr>
      <vt:lpstr>obalAssets</vt:lpstr>
      <vt:lpstr>obalCash</vt:lpstr>
      <vt:lpstr>obalCh1CustomerProfitTot</vt:lpstr>
      <vt:lpstr>obalCh1GCCTot</vt:lpstr>
      <vt:lpstr>obalCh1GPaLTot</vt:lpstr>
      <vt:lpstr>obalCh1Prod1Slot1Active</vt:lpstr>
      <vt:lpstr>obalCh1Prod1Slot1AvgPrice</vt:lpstr>
      <vt:lpstr>obalCh1Prod1Slot1AvgPromoPrice</vt:lpstr>
      <vt:lpstr>obalCh1Prod1Slot1COGS</vt:lpstr>
      <vt:lpstr>obalCh1Prod1Slot1COGSpL</vt:lpstr>
      <vt:lpstr>obalCh1Prod1Slot1CustPrice</vt:lpstr>
      <vt:lpstr>obalCh1Prod1Slot1GPaL</vt:lpstr>
      <vt:lpstr>obalCh1Prod1Slot1GPaLPerLitre</vt:lpstr>
      <vt:lpstr>obalCh1Prod1Slot1NetRev</vt:lpstr>
      <vt:lpstr>obalCh1Prod1Slot1NetRevPerLtr</vt:lpstr>
      <vt:lpstr>obalCh1Prod1Slot1Pack</vt:lpstr>
      <vt:lpstr>obalCh1Prod1Slot1Promo1</vt:lpstr>
      <vt:lpstr>obalCh1Prod1Slot1Promo1CustUplift</vt:lpstr>
      <vt:lpstr>obalCh1Prod1Slot1Promo1GPaLUplift</vt:lpstr>
      <vt:lpstr>obalCh1Prod1Slot1Promo1Price</vt:lpstr>
      <vt:lpstr>obalCh1Prod1Slot1Promo1ROI</vt:lpstr>
      <vt:lpstr>obalCh1Prod1Slot1Promo1Share</vt:lpstr>
      <vt:lpstr>obalCh1Prod1Slot1Promo1VolUplift</vt:lpstr>
      <vt:lpstr>obalCh1Prod1Slot1Promo1Weeks</vt:lpstr>
      <vt:lpstr>obalCh1Prod1Slot1Promo2</vt:lpstr>
      <vt:lpstr>obalCh1Prod1Slot1Promo2CustUplift</vt:lpstr>
      <vt:lpstr>obalCh1Prod1Slot1Promo2GPaLUplift</vt:lpstr>
      <vt:lpstr>obalCh1Prod1Slot1Promo2Price</vt:lpstr>
      <vt:lpstr>obalCh1Prod1Slot1Promo2ROI</vt:lpstr>
      <vt:lpstr>obalCh1Prod1Slot1Promo2Share</vt:lpstr>
      <vt:lpstr>obalCh1Prod1Slot1Promo2VolUplift</vt:lpstr>
      <vt:lpstr>obalCh1Prod1Slot1Promo2Weeks</vt:lpstr>
      <vt:lpstr>obalCh1Prod1Slot1SoldVol</vt:lpstr>
      <vt:lpstr>obalCh1Prod1Slot1WD</vt:lpstr>
      <vt:lpstr>obalCh1Prod1Slot2Active</vt:lpstr>
      <vt:lpstr>obalCh1Prod1Slot2AvgPrice</vt:lpstr>
      <vt:lpstr>obalCh1Prod1Slot2AvgPromoPrice</vt:lpstr>
      <vt:lpstr>obalCh1Prod1Slot2COGS</vt:lpstr>
      <vt:lpstr>obalCh1Prod1Slot2COGSpL</vt:lpstr>
      <vt:lpstr>obalCh1Prod1Slot2CustPrice</vt:lpstr>
      <vt:lpstr>obalCh1Prod1Slot2GPaL</vt:lpstr>
      <vt:lpstr>obalCh1Prod1Slot2GPaLPerLitre</vt:lpstr>
      <vt:lpstr>obalCh1Prod1Slot2NetRev</vt:lpstr>
      <vt:lpstr>obalCh1Prod1Slot2NetRevPerLtr</vt:lpstr>
      <vt:lpstr>obalCh1Prod1Slot2Pack</vt:lpstr>
      <vt:lpstr>obalCh1Prod1Slot2Promo1</vt:lpstr>
      <vt:lpstr>obalCh1Prod1Slot2Promo1CustUplift</vt:lpstr>
      <vt:lpstr>obalCh1Prod1Slot2Promo1GPaLUplift</vt:lpstr>
      <vt:lpstr>obalCh1Prod1Slot2Promo1Price</vt:lpstr>
      <vt:lpstr>obalCh1Prod1Slot2Promo1ROI</vt:lpstr>
      <vt:lpstr>obalCh1Prod1Slot2Promo1Share</vt:lpstr>
      <vt:lpstr>obalCh1Prod1Slot2Promo1VolUplift</vt:lpstr>
      <vt:lpstr>obalCh1Prod1Slot2Promo1Weeks</vt:lpstr>
      <vt:lpstr>obalCh1Prod1Slot2Promo2</vt:lpstr>
      <vt:lpstr>obalCh1Prod1Slot2Promo2CustUplift</vt:lpstr>
      <vt:lpstr>obalCh1Prod1Slot2Promo2GPaLUplift</vt:lpstr>
      <vt:lpstr>obalCh1Prod1Slot2Promo2Price</vt:lpstr>
      <vt:lpstr>obalCh1Prod1Slot2Promo2ROI</vt:lpstr>
      <vt:lpstr>obalCh1Prod1Slot2Promo2Share</vt:lpstr>
      <vt:lpstr>obalCh1Prod1Slot2Promo2VolUplift</vt:lpstr>
      <vt:lpstr>obalCh1Prod1Slot2Promo2Weeks</vt:lpstr>
      <vt:lpstr>obalCh1Prod1Slot2SoldVol</vt:lpstr>
      <vt:lpstr>obalCh1Prod1Slot2WD</vt:lpstr>
      <vt:lpstr>obalCh1Prod1Slot3Active</vt:lpstr>
      <vt:lpstr>obalCh1Prod1Slot3AvgPrice</vt:lpstr>
      <vt:lpstr>obalCh1Prod1Slot3AvgPromoPrice</vt:lpstr>
      <vt:lpstr>obalCh1Prod1Slot3COGS</vt:lpstr>
      <vt:lpstr>obalCh1Prod1Slot3COGSpL</vt:lpstr>
      <vt:lpstr>obalCh1Prod1Slot3CustPrice</vt:lpstr>
      <vt:lpstr>obalCh1Prod1Slot3GPaL</vt:lpstr>
      <vt:lpstr>obalCh1Prod1Slot3GPaLPerLitre</vt:lpstr>
      <vt:lpstr>obalCh1Prod1Slot3NetRev</vt:lpstr>
      <vt:lpstr>obalCh1Prod1Slot3NetRevPerLtr</vt:lpstr>
      <vt:lpstr>obalCh1Prod1Slot3Pack</vt:lpstr>
      <vt:lpstr>obalCh1Prod1Slot3Promo1</vt:lpstr>
      <vt:lpstr>obalCh1Prod1Slot3Promo1CustUplift</vt:lpstr>
      <vt:lpstr>obalCh1Prod1Slot3Promo1GPaLUplift</vt:lpstr>
      <vt:lpstr>obalCh1Prod1Slot3Promo1Price</vt:lpstr>
      <vt:lpstr>obalCh1Prod1Slot3Promo1ROI</vt:lpstr>
      <vt:lpstr>obalCh1Prod1Slot3Promo1Share</vt:lpstr>
      <vt:lpstr>obalCh1Prod1Slot3Promo1VolUplift</vt:lpstr>
      <vt:lpstr>obalCh1Prod1Slot3Promo1Weeks</vt:lpstr>
      <vt:lpstr>obalCh1Prod1Slot3Promo2</vt:lpstr>
      <vt:lpstr>obalCh1Prod1Slot3Promo2CustUplift</vt:lpstr>
      <vt:lpstr>obalCh1Prod1Slot3Promo2GPaLUplift</vt:lpstr>
      <vt:lpstr>obalCh1Prod1Slot3Promo2Price</vt:lpstr>
      <vt:lpstr>obalCh1Prod1Slot3Promo2ROI</vt:lpstr>
      <vt:lpstr>obalCh1Prod1Slot3Promo2Share</vt:lpstr>
      <vt:lpstr>obalCh1Prod1Slot3Promo2VolUplift</vt:lpstr>
      <vt:lpstr>obalCh1Prod1Slot3Promo2Weeks</vt:lpstr>
      <vt:lpstr>obalCh1Prod1Slot3SoldVol</vt:lpstr>
      <vt:lpstr>obalCh1Prod1Slot3WD</vt:lpstr>
      <vt:lpstr>obalCh1Prod1SlotTotActive</vt:lpstr>
      <vt:lpstr>obalCh1Prod2Slot1Active</vt:lpstr>
      <vt:lpstr>obalCh1Prod2Slot1AvgPrice</vt:lpstr>
      <vt:lpstr>obalCh1Prod2Slot1AvgPromoPrice</vt:lpstr>
      <vt:lpstr>obalCh1Prod2Slot1COGS</vt:lpstr>
      <vt:lpstr>obalCh1Prod2Slot1COGSpL</vt:lpstr>
      <vt:lpstr>obalCh1Prod2Slot1CustPrice</vt:lpstr>
      <vt:lpstr>obalCh1Prod2Slot1GPaL</vt:lpstr>
      <vt:lpstr>obalCh1Prod2Slot1GPaLPerLitre</vt:lpstr>
      <vt:lpstr>obalCh1Prod2Slot1NetRev</vt:lpstr>
      <vt:lpstr>obalCh1Prod2Slot1NetRevPerLtr</vt:lpstr>
      <vt:lpstr>obalCh1Prod2Slot1Pack</vt:lpstr>
      <vt:lpstr>obalCh1Prod2Slot1Promo1</vt:lpstr>
      <vt:lpstr>obalCh1Prod2Slot1Promo1CustUplift</vt:lpstr>
      <vt:lpstr>obalCh1Prod2Slot1Promo1GPaLUplift</vt:lpstr>
      <vt:lpstr>obalCh1Prod2Slot1Promo1Price</vt:lpstr>
      <vt:lpstr>obalCh1Prod2Slot1Promo1ROI</vt:lpstr>
      <vt:lpstr>obalCh1Prod2Slot1Promo1Share</vt:lpstr>
      <vt:lpstr>obalCh1Prod2Slot1Promo1VolUplift</vt:lpstr>
      <vt:lpstr>obalCh1Prod2Slot1Promo1Weeks</vt:lpstr>
      <vt:lpstr>obalCh1Prod2Slot1Promo2</vt:lpstr>
      <vt:lpstr>obalCh1Prod2Slot1Promo2CustUplift</vt:lpstr>
      <vt:lpstr>obalCh1Prod2Slot1Promo2GPaLUplift</vt:lpstr>
      <vt:lpstr>obalCh1Prod2Slot1Promo2Price</vt:lpstr>
      <vt:lpstr>obalCh1Prod2Slot1Promo2ROI</vt:lpstr>
      <vt:lpstr>obalCh1Prod2Slot1Promo2Share</vt:lpstr>
      <vt:lpstr>obalCh1Prod2Slot1Promo2VolUplift</vt:lpstr>
      <vt:lpstr>obalCh1Prod2Slot1Promo2Weeks</vt:lpstr>
      <vt:lpstr>obalCh1Prod2Slot1SoldVol</vt:lpstr>
      <vt:lpstr>obalCh1Prod2Slot1WD</vt:lpstr>
      <vt:lpstr>obalCh1Prod2Slot2Active</vt:lpstr>
      <vt:lpstr>obalCh1Prod2Slot2AvgPrice</vt:lpstr>
      <vt:lpstr>obalCh1Prod2Slot2AvgPromoPrice</vt:lpstr>
      <vt:lpstr>obalCh1Prod2Slot2COGS</vt:lpstr>
      <vt:lpstr>obalCh1Prod2Slot2COGSpL</vt:lpstr>
      <vt:lpstr>obalCh1Prod2Slot2CustPrice</vt:lpstr>
      <vt:lpstr>obalCh1Prod2Slot2GPaL</vt:lpstr>
      <vt:lpstr>obalCh1Prod2Slot2GPaLPerLitre</vt:lpstr>
      <vt:lpstr>obalCh1Prod2Slot2NetRev</vt:lpstr>
      <vt:lpstr>obalCh1Prod2Slot2NetRevPerLtr</vt:lpstr>
      <vt:lpstr>obalCh1Prod2Slot2Pack</vt:lpstr>
      <vt:lpstr>obalCh1Prod2Slot2Promo1</vt:lpstr>
      <vt:lpstr>obalCh1Prod2Slot2Promo1CustUplift</vt:lpstr>
      <vt:lpstr>obalCh1Prod2Slot2Promo1GPaLUplift</vt:lpstr>
      <vt:lpstr>obalCh1Prod2Slot2Promo1Price</vt:lpstr>
      <vt:lpstr>obalCh1Prod2Slot2Promo1ROI</vt:lpstr>
      <vt:lpstr>obalCh1Prod2Slot2Promo1Share</vt:lpstr>
      <vt:lpstr>obalCh1Prod2Slot2Promo1VolUplift</vt:lpstr>
      <vt:lpstr>obalCh1Prod2Slot2Promo1Weeks</vt:lpstr>
      <vt:lpstr>obalCh1Prod2Slot2Promo2</vt:lpstr>
      <vt:lpstr>obalCh1Prod2Slot2Promo2CustUplift</vt:lpstr>
      <vt:lpstr>obalCh1Prod2Slot2Promo2GPaLUplift</vt:lpstr>
      <vt:lpstr>obalCh1Prod2Slot2Promo2Price</vt:lpstr>
      <vt:lpstr>obalCh1Prod2Slot2Promo2ROI</vt:lpstr>
      <vt:lpstr>obalCh1Prod2Slot2Promo2Share</vt:lpstr>
      <vt:lpstr>obalCh1Prod2Slot2Promo2VolUplift</vt:lpstr>
      <vt:lpstr>obalCh1Prod2Slot2Promo2Weeks</vt:lpstr>
      <vt:lpstr>obalCh1Prod2Slot2SoldVol</vt:lpstr>
      <vt:lpstr>obalCh1Prod2Slot2WD</vt:lpstr>
      <vt:lpstr>obalCh1Prod2Slot3Active</vt:lpstr>
      <vt:lpstr>obalCh1Prod2Slot3AvgPrice</vt:lpstr>
      <vt:lpstr>obalCh1Prod2Slot3AvgPromoPrice</vt:lpstr>
      <vt:lpstr>obalCh1Prod2Slot3COGS</vt:lpstr>
      <vt:lpstr>obalCh1Prod2Slot3COGSpL</vt:lpstr>
      <vt:lpstr>obalCh1Prod2Slot3CustPrice</vt:lpstr>
      <vt:lpstr>obalCh1Prod2Slot3GPaL</vt:lpstr>
      <vt:lpstr>obalCh1Prod2Slot3GPaLPerLitre</vt:lpstr>
      <vt:lpstr>obalCh1Prod2Slot3NetRev</vt:lpstr>
      <vt:lpstr>obalCh1Prod2Slot3NetRevPerLtr</vt:lpstr>
      <vt:lpstr>obalCh1Prod2Slot3Pack</vt:lpstr>
      <vt:lpstr>obalCh1Prod2Slot3Promo1</vt:lpstr>
      <vt:lpstr>obalCh1Prod2Slot3Promo1CustUplift</vt:lpstr>
      <vt:lpstr>obalCh1Prod2Slot3Promo1GPaLUplift</vt:lpstr>
      <vt:lpstr>obalCh1Prod2Slot3Promo1Price</vt:lpstr>
      <vt:lpstr>obalCh1Prod2Slot3Promo1ROI</vt:lpstr>
      <vt:lpstr>obalCh1Prod2Slot3Promo1Share</vt:lpstr>
      <vt:lpstr>obalCh1Prod2Slot3Promo1VolUplift</vt:lpstr>
      <vt:lpstr>obalCh1Prod2Slot3Promo1Weeks</vt:lpstr>
      <vt:lpstr>obalCh1Prod2Slot3Promo2</vt:lpstr>
      <vt:lpstr>obalCh1Prod2Slot3Promo2CustUplift</vt:lpstr>
      <vt:lpstr>obalCh1Prod2Slot3Promo2GPaLUplift</vt:lpstr>
      <vt:lpstr>obalCh1Prod2Slot3Promo2Price</vt:lpstr>
      <vt:lpstr>obalCh1Prod2Slot3Promo2ROI</vt:lpstr>
      <vt:lpstr>obalCh1Prod2Slot3Promo2Share</vt:lpstr>
      <vt:lpstr>obalCh1Prod2Slot3Promo2VolUplift</vt:lpstr>
      <vt:lpstr>obalCh1Prod2Slot3Promo2Weeks</vt:lpstr>
      <vt:lpstr>obalCh1Prod2Slot3SoldVol</vt:lpstr>
      <vt:lpstr>obalCh1Prod2Slot3WD</vt:lpstr>
      <vt:lpstr>obalCh1Prod2SlotTotActive</vt:lpstr>
      <vt:lpstr>obalCh1Prod3Slot1Active</vt:lpstr>
      <vt:lpstr>obalCh1Prod3Slot1AvgPrice</vt:lpstr>
      <vt:lpstr>obalCh1Prod3Slot1AvgPromoPrice</vt:lpstr>
      <vt:lpstr>obalCh1Prod3Slot1COGS</vt:lpstr>
      <vt:lpstr>obalCh1Prod3Slot1COGSpL</vt:lpstr>
      <vt:lpstr>obalCh1Prod3Slot1CustPrice</vt:lpstr>
      <vt:lpstr>obalCh1Prod3Slot1GPaL</vt:lpstr>
      <vt:lpstr>obalCh1Prod3Slot1GPaLPerLitre</vt:lpstr>
      <vt:lpstr>obalCh1Prod3Slot1NetRev</vt:lpstr>
      <vt:lpstr>obalCh1Prod3Slot1NetRevPerLtr</vt:lpstr>
      <vt:lpstr>obalCh1Prod3Slot1Pack</vt:lpstr>
      <vt:lpstr>obalCh1Prod3Slot1Promo1</vt:lpstr>
      <vt:lpstr>obalCh1Prod3Slot1Promo1CustUplift</vt:lpstr>
      <vt:lpstr>obalCh1Prod3Slot1Promo1GPaLUplift</vt:lpstr>
      <vt:lpstr>obalCh1Prod3Slot1Promo1Price</vt:lpstr>
      <vt:lpstr>obalCh1Prod3Slot1Promo1ROI</vt:lpstr>
      <vt:lpstr>obalCh1Prod3Slot1Promo1Share</vt:lpstr>
      <vt:lpstr>obalCh1Prod3Slot1Promo1VolUplift</vt:lpstr>
      <vt:lpstr>obalCh1Prod3Slot1Promo1Weeks</vt:lpstr>
      <vt:lpstr>obalCh1Prod3Slot1Promo2</vt:lpstr>
      <vt:lpstr>obalCh1Prod3Slot1Promo2CustUplift</vt:lpstr>
      <vt:lpstr>obalCh1Prod3Slot1Promo2GPaLUplift</vt:lpstr>
      <vt:lpstr>obalCh1Prod3Slot1Promo2Price</vt:lpstr>
      <vt:lpstr>obalCh1Prod3Slot1Promo2ROI</vt:lpstr>
      <vt:lpstr>obalCh1Prod3Slot1Promo2Share</vt:lpstr>
      <vt:lpstr>obalCh1Prod3Slot1Promo2VolUplift</vt:lpstr>
      <vt:lpstr>obalCh1Prod3Slot1Promo2Weeks</vt:lpstr>
      <vt:lpstr>obalCh1Prod3Slot1SoldVol</vt:lpstr>
      <vt:lpstr>obalCh1Prod3Slot1WD</vt:lpstr>
      <vt:lpstr>obalCh1Prod3Slot2Active</vt:lpstr>
      <vt:lpstr>obalCh1Prod3Slot2AvgPrice</vt:lpstr>
      <vt:lpstr>obalCh1Prod3Slot2AvgPromoPrice</vt:lpstr>
      <vt:lpstr>obalCh1Prod3Slot2COGS</vt:lpstr>
      <vt:lpstr>obalCh1Prod3Slot2COGSpL</vt:lpstr>
      <vt:lpstr>obalCh1Prod3Slot2CustPrice</vt:lpstr>
      <vt:lpstr>obalCh1Prod3Slot2GPaL</vt:lpstr>
      <vt:lpstr>obalCh1Prod3Slot2GPaLPerLitre</vt:lpstr>
      <vt:lpstr>obalCh1Prod3Slot2NetRev</vt:lpstr>
      <vt:lpstr>obalCh1Prod3Slot2NetRevPerLtr</vt:lpstr>
      <vt:lpstr>obalCh1Prod3Slot2Pack</vt:lpstr>
      <vt:lpstr>obalCh1Prod3Slot2Promo1</vt:lpstr>
      <vt:lpstr>obalCh1Prod3Slot2Promo1CustUplift</vt:lpstr>
      <vt:lpstr>obalCh1Prod3Slot2Promo1GPaLUplift</vt:lpstr>
      <vt:lpstr>obalCh1Prod3Slot2Promo1Price</vt:lpstr>
      <vt:lpstr>obalCh1Prod3Slot2Promo1ROI</vt:lpstr>
      <vt:lpstr>obalCh1Prod3Slot2Promo1Share</vt:lpstr>
      <vt:lpstr>obalCh1Prod3Slot2Promo1VolUplift</vt:lpstr>
      <vt:lpstr>obalCh1Prod3Slot2Promo1Weeks</vt:lpstr>
      <vt:lpstr>obalCh1Prod3Slot2Promo2</vt:lpstr>
      <vt:lpstr>obalCh1Prod3Slot2Promo2CustUplift</vt:lpstr>
      <vt:lpstr>obalCh1Prod3Slot2Promo2GPaLUplift</vt:lpstr>
      <vt:lpstr>obalCh1Prod3Slot2Promo2Price</vt:lpstr>
      <vt:lpstr>obalCh1Prod3Slot2Promo2ROI</vt:lpstr>
      <vt:lpstr>obalCh1Prod3Slot2Promo2Share</vt:lpstr>
      <vt:lpstr>obalCh1Prod3Slot2Promo2VolUplift</vt:lpstr>
      <vt:lpstr>obalCh1Prod3Slot2Promo2Weeks</vt:lpstr>
      <vt:lpstr>obalCh1Prod3Slot2SoldVol</vt:lpstr>
      <vt:lpstr>obalCh1Prod3Slot2WD</vt:lpstr>
      <vt:lpstr>obalCh1Prod3Slot3Active</vt:lpstr>
      <vt:lpstr>obalCh1Prod3Slot3AvgPrice</vt:lpstr>
      <vt:lpstr>obalCh1Prod3Slot3AvgPromoPrice</vt:lpstr>
      <vt:lpstr>obalCh1Prod3Slot3COGS</vt:lpstr>
      <vt:lpstr>obalCh1Prod3Slot3COGSpL</vt:lpstr>
      <vt:lpstr>obalCh1Prod3Slot3CustPrice</vt:lpstr>
      <vt:lpstr>obalCh1Prod3Slot3GPaL</vt:lpstr>
      <vt:lpstr>obalCh1Prod3Slot3GPaLPerLitre</vt:lpstr>
      <vt:lpstr>obalCh1Prod3Slot3NetRev</vt:lpstr>
      <vt:lpstr>obalCh1Prod3Slot3NetRevPerLtr</vt:lpstr>
      <vt:lpstr>obalCh1Prod3Slot3Pack</vt:lpstr>
      <vt:lpstr>obalCh1Prod3Slot3Promo1</vt:lpstr>
      <vt:lpstr>obalCh1Prod3Slot3Promo1CustUplift</vt:lpstr>
      <vt:lpstr>obalCh1Prod3Slot3Promo1GPaLUplift</vt:lpstr>
      <vt:lpstr>obalCh1Prod3Slot3Promo1Price</vt:lpstr>
      <vt:lpstr>obalCh1Prod3Slot3Promo1ROI</vt:lpstr>
      <vt:lpstr>obalCh1Prod3Slot3Promo1Share</vt:lpstr>
      <vt:lpstr>obalCh1Prod3Slot3Promo1VolUplift</vt:lpstr>
      <vt:lpstr>obalCh1Prod3Slot3Promo1Weeks</vt:lpstr>
      <vt:lpstr>obalCh1Prod3Slot3Promo2</vt:lpstr>
      <vt:lpstr>obalCh1Prod3Slot3Promo2CustUplift</vt:lpstr>
      <vt:lpstr>obalCh1Prod3Slot3Promo2GPaLUplift</vt:lpstr>
      <vt:lpstr>obalCh1Prod3Slot3Promo2Price</vt:lpstr>
      <vt:lpstr>obalCh1Prod3Slot3Promo2ROI</vt:lpstr>
      <vt:lpstr>obalCh1Prod3Slot3Promo2Share</vt:lpstr>
      <vt:lpstr>obalCh1Prod3Slot3Promo2VolUplift</vt:lpstr>
      <vt:lpstr>obalCh1Prod3Slot3Promo2Weeks</vt:lpstr>
      <vt:lpstr>obalCh1Prod3Slot3SoldVol</vt:lpstr>
      <vt:lpstr>obalCh1Prod3Slot3WD</vt:lpstr>
      <vt:lpstr>obalCh1Prod3SlotTotActive</vt:lpstr>
      <vt:lpstr>obalCh1Prod4Slot1Active</vt:lpstr>
      <vt:lpstr>obalCh1Prod4Slot1AvgPrice</vt:lpstr>
      <vt:lpstr>obalCh1Prod4Slot1AvgPromoPrice</vt:lpstr>
      <vt:lpstr>obalCh1Prod4Slot1COGS</vt:lpstr>
      <vt:lpstr>obalCh1Prod4Slot1COGSpL</vt:lpstr>
      <vt:lpstr>obalCh1Prod4Slot1CustPrice</vt:lpstr>
      <vt:lpstr>obalCh1Prod4Slot1GPaL</vt:lpstr>
      <vt:lpstr>obalCh1Prod4Slot1GPaLPerLitre</vt:lpstr>
      <vt:lpstr>obalCh1Prod4Slot1NetRev</vt:lpstr>
      <vt:lpstr>obalCh1Prod4Slot1NetRevPerLtr</vt:lpstr>
      <vt:lpstr>obalCh1Prod4Slot1Pack</vt:lpstr>
      <vt:lpstr>obalCh1Prod4Slot1Promo1</vt:lpstr>
      <vt:lpstr>obalCh1Prod4Slot1Promo1CustUplift</vt:lpstr>
      <vt:lpstr>obalCh1Prod4Slot1Promo1GPaLUplift</vt:lpstr>
      <vt:lpstr>obalCh1Prod4Slot1Promo1Price</vt:lpstr>
      <vt:lpstr>obalCh1Prod4Slot1Promo1ROI</vt:lpstr>
      <vt:lpstr>obalCh1Prod4Slot1Promo1Share</vt:lpstr>
      <vt:lpstr>obalCh1Prod4Slot1Promo1VolUplift</vt:lpstr>
      <vt:lpstr>obalCh1Prod4Slot1Promo1Weeks</vt:lpstr>
      <vt:lpstr>obalCh1Prod4Slot1Promo2</vt:lpstr>
      <vt:lpstr>obalCh1Prod4Slot1Promo2CustUplift</vt:lpstr>
      <vt:lpstr>obalCh1Prod4Slot1Promo2GPaLUplift</vt:lpstr>
      <vt:lpstr>obalCh1Prod4Slot1Promo2Price</vt:lpstr>
      <vt:lpstr>obalCh1Prod4Slot1Promo2ROI</vt:lpstr>
      <vt:lpstr>obalCh1Prod4Slot1Promo2Share</vt:lpstr>
      <vt:lpstr>obalCh1Prod4Slot1Promo2VolUplift</vt:lpstr>
      <vt:lpstr>obalCh1Prod4Slot1Promo2Weeks</vt:lpstr>
      <vt:lpstr>obalCh1Prod4Slot1SoldVol</vt:lpstr>
      <vt:lpstr>obalCh1Prod4Slot1WD</vt:lpstr>
      <vt:lpstr>obalCh1Prod4Slot2Active</vt:lpstr>
      <vt:lpstr>obalCh1Prod4Slot2AvgPrice</vt:lpstr>
      <vt:lpstr>obalCh1Prod4Slot2AvgPromoPrice</vt:lpstr>
      <vt:lpstr>obalCh1Prod4Slot2COGS</vt:lpstr>
      <vt:lpstr>obalCh1Prod4Slot2COGSpL</vt:lpstr>
      <vt:lpstr>obalCh1Prod4Slot2CustPrice</vt:lpstr>
      <vt:lpstr>obalCh1Prod4Slot2GPaL</vt:lpstr>
      <vt:lpstr>obalCh1Prod4Slot2GPaLPerLitre</vt:lpstr>
      <vt:lpstr>obalCh1Prod4Slot2NetRev</vt:lpstr>
      <vt:lpstr>obalCh1Prod4Slot2NetRevPerLtr</vt:lpstr>
      <vt:lpstr>obalCh1Prod4Slot2Pack</vt:lpstr>
      <vt:lpstr>obalCh1Prod4Slot2Promo1</vt:lpstr>
      <vt:lpstr>obalCh1Prod4Slot2Promo1CustUplift</vt:lpstr>
      <vt:lpstr>obalCh1Prod4Slot2Promo1GPaLUplift</vt:lpstr>
      <vt:lpstr>obalCh1Prod4Slot2Promo1Price</vt:lpstr>
      <vt:lpstr>obalCh1Prod4Slot2Promo1ROI</vt:lpstr>
      <vt:lpstr>obalCh1Prod4Slot2Promo1Share</vt:lpstr>
      <vt:lpstr>obalCh1Prod4Slot2Promo1VolUplift</vt:lpstr>
      <vt:lpstr>obalCh1Prod4Slot2Promo1Weeks</vt:lpstr>
      <vt:lpstr>obalCh1Prod4Slot2Promo2</vt:lpstr>
      <vt:lpstr>obalCh1Prod4Slot2Promo2CustUplift</vt:lpstr>
      <vt:lpstr>obalCh1Prod4Slot2Promo2GPaLUplift</vt:lpstr>
      <vt:lpstr>obalCh1Prod4Slot2Promo2Price</vt:lpstr>
      <vt:lpstr>obalCh1Prod4Slot2Promo2ROI</vt:lpstr>
      <vt:lpstr>obalCh1Prod4Slot2Promo2Share</vt:lpstr>
      <vt:lpstr>obalCh1Prod4Slot2Promo2VolUplift</vt:lpstr>
      <vt:lpstr>obalCh1Prod4Slot2Promo2Weeks</vt:lpstr>
      <vt:lpstr>obalCh1Prod4Slot2SoldVol</vt:lpstr>
      <vt:lpstr>obalCh1Prod4Slot2WD</vt:lpstr>
      <vt:lpstr>obalCh1Prod4Slot3Active</vt:lpstr>
      <vt:lpstr>obalCh1Prod4Slot3AvgPrice</vt:lpstr>
      <vt:lpstr>obalCh1Prod4Slot3AvgPromoPrice</vt:lpstr>
      <vt:lpstr>obalCh1Prod4Slot3COGS</vt:lpstr>
      <vt:lpstr>obalCh1Prod4Slot3COGSpL</vt:lpstr>
      <vt:lpstr>obalCh1Prod4Slot3CustPrice</vt:lpstr>
      <vt:lpstr>obalCh1Prod4Slot3GPaL</vt:lpstr>
      <vt:lpstr>obalCh1Prod4Slot3GPaLPerLitre</vt:lpstr>
      <vt:lpstr>obalCh1Prod4Slot3NetRev</vt:lpstr>
      <vt:lpstr>obalCh1Prod4Slot3NetRevPerLtr</vt:lpstr>
      <vt:lpstr>obalCh1Prod4Slot3Pack</vt:lpstr>
      <vt:lpstr>obalCh1Prod4Slot3Promo1</vt:lpstr>
      <vt:lpstr>obalCh1Prod4Slot3Promo1CustUplift</vt:lpstr>
      <vt:lpstr>obalCh1Prod4Slot3Promo1GPaLUplift</vt:lpstr>
      <vt:lpstr>obalCh1Prod4Slot3Promo1Price</vt:lpstr>
      <vt:lpstr>obalCh1Prod4Slot3Promo1ROI</vt:lpstr>
      <vt:lpstr>obalCh1Prod4Slot3Promo1Share</vt:lpstr>
      <vt:lpstr>obalCh1Prod4Slot3Promo1VolUplift</vt:lpstr>
      <vt:lpstr>obalCh1Prod4Slot3Promo1Weeks</vt:lpstr>
      <vt:lpstr>obalCh1Prod4Slot3Promo2</vt:lpstr>
      <vt:lpstr>obalCh1Prod4Slot3Promo2CustUplift</vt:lpstr>
      <vt:lpstr>obalCh1Prod4Slot3Promo2GPaLUplift</vt:lpstr>
      <vt:lpstr>obalCh1Prod4Slot3Promo2Price</vt:lpstr>
      <vt:lpstr>obalCh1Prod4Slot3Promo2ROI</vt:lpstr>
      <vt:lpstr>obalCh1Prod4Slot3Promo2Share</vt:lpstr>
      <vt:lpstr>obalCh1Prod4Slot3Promo2VolUplift</vt:lpstr>
      <vt:lpstr>obalCh1Prod4Slot3Promo2Weeks</vt:lpstr>
      <vt:lpstr>obalCh1Prod4Slot3SoldVol</vt:lpstr>
      <vt:lpstr>obalCh1Prod4Slot3WD</vt:lpstr>
      <vt:lpstr>obalCh1Prod4SlotTotActive</vt:lpstr>
      <vt:lpstr>obalCh1RevenueTot</vt:lpstr>
      <vt:lpstr>obalCh1Slots</vt:lpstr>
      <vt:lpstr>obalCh1SlotTotActive</vt:lpstr>
      <vt:lpstr>obalCh1ValDriv1</vt:lpstr>
      <vt:lpstr>obalCh1ValDriv2</vt:lpstr>
      <vt:lpstr>obalCh1ValDriv3</vt:lpstr>
      <vt:lpstr>obalCh1ValDriv4</vt:lpstr>
      <vt:lpstr>obalCh1ValDriv5</vt:lpstr>
      <vt:lpstr>obalCh1ValDrivCond</vt:lpstr>
      <vt:lpstr>obalCh2CustomerProfitTot</vt:lpstr>
      <vt:lpstr>obalCh2GCCTot</vt:lpstr>
      <vt:lpstr>obalCh2GPaLTot</vt:lpstr>
      <vt:lpstr>obalCh2Prod1Slot1Active</vt:lpstr>
      <vt:lpstr>obalCh2Prod1Slot1AvgPrice</vt:lpstr>
      <vt:lpstr>obalCh2Prod1Slot1COGS</vt:lpstr>
      <vt:lpstr>obalCh2Prod1Slot1COGSpL</vt:lpstr>
      <vt:lpstr>obalCh2Prod1Slot1CustPrice</vt:lpstr>
      <vt:lpstr>obalCh2Prod1Slot1GPaL</vt:lpstr>
      <vt:lpstr>obalCh2Prod1Slot1GPaLPerLitre</vt:lpstr>
      <vt:lpstr>obalCh2Prod1Slot1NetRev</vt:lpstr>
      <vt:lpstr>obalCh2Prod1Slot1NetRevPerLtr</vt:lpstr>
      <vt:lpstr>obalCh2Prod1Slot1Pack</vt:lpstr>
      <vt:lpstr>obalCh2Prod1Slot1SoldVol</vt:lpstr>
      <vt:lpstr>obalCh2Prod1Slot1WD</vt:lpstr>
      <vt:lpstr>obalCh2Prod1Slot2Active</vt:lpstr>
      <vt:lpstr>obalCh2Prod1Slot2AvgPrice</vt:lpstr>
      <vt:lpstr>obalCh2Prod1Slot2COGS</vt:lpstr>
      <vt:lpstr>obalCh2Prod1Slot2COGSpL</vt:lpstr>
      <vt:lpstr>obalCh2Prod1Slot2CustPrice</vt:lpstr>
      <vt:lpstr>obalCh2Prod1Slot2GPaL</vt:lpstr>
      <vt:lpstr>obalCh2Prod1Slot2GPaLPerLitre</vt:lpstr>
      <vt:lpstr>obalCh2Prod1Slot2NetRev</vt:lpstr>
      <vt:lpstr>obalCh2Prod1Slot2NetRevPerLtr</vt:lpstr>
      <vt:lpstr>obalCh2Prod1Slot2Pack</vt:lpstr>
      <vt:lpstr>obalCh2Prod1Slot2SoldVol</vt:lpstr>
      <vt:lpstr>obalCh2Prod1Slot2WD</vt:lpstr>
      <vt:lpstr>obalCh2Prod1Slot3Active</vt:lpstr>
      <vt:lpstr>obalCh2Prod1Slot3AvgPrice</vt:lpstr>
      <vt:lpstr>obalCh2Prod1Slot3COGS</vt:lpstr>
      <vt:lpstr>obalCh2Prod1Slot3COGSpL</vt:lpstr>
      <vt:lpstr>obalCh2Prod1Slot3CustPrice</vt:lpstr>
      <vt:lpstr>obalCh2Prod1Slot3GPaL</vt:lpstr>
      <vt:lpstr>obalCh2Prod1Slot3GPaLPerLitre</vt:lpstr>
      <vt:lpstr>obalCh2Prod1Slot3NetRev</vt:lpstr>
      <vt:lpstr>obalCh2Prod1Slot3NetRevPerLtr</vt:lpstr>
      <vt:lpstr>obalCh2Prod1Slot3Pack</vt:lpstr>
      <vt:lpstr>obalCh2Prod1Slot3SoldVol</vt:lpstr>
      <vt:lpstr>obalCh2Prod1Slot3WD</vt:lpstr>
      <vt:lpstr>obalCh2Prod1SlotTotActive</vt:lpstr>
      <vt:lpstr>obalCh2Prod2Slot1Active</vt:lpstr>
      <vt:lpstr>obalCh2Prod2Slot1AvgPrice</vt:lpstr>
      <vt:lpstr>obalCh2Prod2Slot1COGS</vt:lpstr>
      <vt:lpstr>obalCh2Prod2Slot1COGSpL</vt:lpstr>
      <vt:lpstr>obalCh2Prod2Slot1CustPrice</vt:lpstr>
      <vt:lpstr>obalCh2Prod2Slot1GPaL</vt:lpstr>
      <vt:lpstr>obalCh2Prod2Slot1GPaLPerLitre</vt:lpstr>
      <vt:lpstr>obalCh2Prod2Slot1NetRev</vt:lpstr>
      <vt:lpstr>obalCh2Prod2Slot1NetRevPerLtr</vt:lpstr>
      <vt:lpstr>obalCh2Prod2Slot1Pack</vt:lpstr>
      <vt:lpstr>obalCh2Prod2Slot1SoldVol</vt:lpstr>
      <vt:lpstr>obalCh2Prod2Slot1WD</vt:lpstr>
      <vt:lpstr>obalCh2Prod2Slot2Active</vt:lpstr>
      <vt:lpstr>obalCh2Prod2Slot2AvgPrice</vt:lpstr>
      <vt:lpstr>obalCh2Prod2Slot2COGS</vt:lpstr>
      <vt:lpstr>obalCh2Prod2Slot2COGSpL</vt:lpstr>
      <vt:lpstr>obalCh2Prod2Slot2CustPrice</vt:lpstr>
      <vt:lpstr>obalCh2Prod2Slot2GPaL</vt:lpstr>
      <vt:lpstr>obalCh2Prod2Slot2GPaLPerLitre</vt:lpstr>
      <vt:lpstr>obalCh2Prod2Slot2NetRev</vt:lpstr>
      <vt:lpstr>obalCh2Prod2Slot2NetRevPerLtr</vt:lpstr>
      <vt:lpstr>obalCh2Prod2Slot2Pack</vt:lpstr>
      <vt:lpstr>obalCh2Prod2Slot2SoldVol</vt:lpstr>
      <vt:lpstr>obalCh2Prod2Slot2WD</vt:lpstr>
      <vt:lpstr>obalCh2Prod2Slot3Active</vt:lpstr>
      <vt:lpstr>obalCh2Prod2Slot3AvgPrice</vt:lpstr>
      <vt:lpstr>obalCh2Prod2Slot3COGS</vt:lpstr>
      <vt:lpstr>obalCh2Prod2Slot3COGSpL</vt:lpstr>
      <vt:lpstr>obalCh2Prod2Slot3CustPrice</vt:lpstr>
      <vt:lpstr>obalCh2Prod2Slot3GPaL</vt:lpstr>
      <vt:lpstr>obalCh2Prod2Slot3GPaLPerLitre</vt:lpstr>
      <vt:lpstr>obalCh2Prod2Slot3NetRev</vt:lpstr>
      <vt:lpstr>obalCh2Prod2Slot3NetRevPerLtr</vt:lpstr>
      <vt:lpstr>obalCh2Prod2Slot3Pack</vt:lpstr>
      <vt:lpstr>obalCh2Prod2Slot3SoldVol</vt:lpstr>
      <vt:lpstr>obalCh2Prod2Slot3WD</vt:lpstr>
      <vt:lpstr>obalCh2Prod2SlotTotActive</vt:lpstr>
      <vt:lpstr>obalCh2Prod3Slot1Active</vt:lpstr>
      <vt:lpstr>obalCh2Prod3Slot1AvgPrice</vt:lpstr>
      <vt:lpstr>obalCh2Prod3Slot1COGS</vt:lpstr>
      <vt:lpstr>obalCh2Prod3Slot1COGSpL</vt:lpstr>
      <vt:lpstr>obalCh2Prod3Slot1CustPrice</vt:lpstr>
      <vt:lpstr>obalCh2Prod3Slot1GPaL</vt:lpstr>
      <vt:lpstr>obalCh2Prod3Slot1GPaLPerLitre</vt:lpstr>
      <vt:lpstr>obalCh2Prod3Slot1NetRev</vt:lpstr>
      <vt:lpstr>obalCh2Prod3Slot1NetRevPerLtr</vt:lpstr>
      <vt:lpstr>obalCh2Prod3Slot1Pack</vt:lpstr>
      <vt:lpstr>obalCh2Prod3Slot1SoldVol</vt:lpstr>
      <vt:lpstr>obalCh2Prod3Slot1WD</vt:lpstr>
      <vt:lpstr>obalCh2Prod3Slot2Active</vt:lpstr>
      <vt:lpstr>obalCh2Prod3Slot2AvgPrice</vt:lpstr>
      <vt:lpstr>obalCh2Prod3Slot2COGS</vt:lpstr>
      <vt:lpstr>obalCh2Prod3Slot2COGSpL</vt:lpstr>
      <vt:lpstr>obalCh2Prod3Slot2CustPrice</vt:lpstr>
      <vt:lpstr>obalCh2Prod3Slot2GPaL</vt:lpstr>
      <vt:lpstr>obalCh2Prod3Slot2GPaLPerLitre</vt:lpstr>
      <vt:lpstr>obalCh2Prod3Slot2NetRev</vt:lpstr>
      <vt:lpstr>obalCh2Prod3Slot2NetRevPerLtr</vt:lpstr>
      <vt:lpstr>obalCh2Prod3Slot2Pack</vt:lpstr>
      <vt:lpstr>obalCh2Prod3Slot2SoldVol</vt:lpstr>
      <vt:lpstr>obalCh2Prod3Slot2WD</vt:lpstr>
      <vt:lpstr>obalCh2Prod3Slot3Active</vt:lpstr>
      <vt:lpstr>obalCh2Prod3Slot3AvgPrice</vt:lpstr>
      <vt:lpstr>obalCh2Prod3Slot3COGS</vt:lpstr>
      <vt:lpstr>obalCh2Prod3Slot3COGSpL</vt:lpstr>
      <vt:lpstr>obalCh2Prod3Slot3CustPrice</vt:lpstr>
      <vt:lpstr>obalCh2Prod3Slot3GPaL</vt:lpstr>
      <vt:lpstr>obalCh2Prod3Slot3GPaLPerLitre</vt:lpstr>
      <vt:lpstr>obalCh2Prod3Slot3NetRev</vt:lpstr>
      <vt:lpstr>obalCh2Prod3Slot3NetRevPerLtr</vt:lpstr>
      <vt:lpstr>obalCh2Prod3Slot3Pack</vt:lpstr>
      <vt:lpstr>obalCh2Prod3Slot3SoldVol</vt:lpstr>
      <vt:lpstr>obalCh2Prod3Slot3WD</vt:lpstr>
      <vt:lpstr>obalCh2Prod3SlotTotActive</vt:lpstr>
      <vt:lpstr>obalCh2Prod4Slot1Active</vt:lpstr>
      <vt:lpstr>obalCh2Prod4Slot1AvgPrice</vt:lpstr>
      <vt:lpstr>obalCh2Prod4Slot1COGS</vt:lpstr>
      <vt:lpstr>obalCh2Prod4Slot1COGSpL</vt:lpstr>
      <vt:lpstr>obalCh2Prod4Slot1CustPrice</vt:lpstr>
      <vt:lpstr>obalCh2Prod4Slot1GPaL</vt:lpstr>
      <vt:lpstr>obalCh2Prod4Slot1GPaLPerLitre</vt:lpstr>
      <vt:lpstr>obalCh2Prod4Slot1NetRev</vt:lpstr>
      <vt:lpstr>obalCh2Prod4Slot1NetRevPerLtr</vt:lpstr>
      <vt:lpstr>obalCh2Prod4Slot1Pack</vt:lpstr>
      <vt:lpstr>obalCh2Prod4Slot1SoldVol</vt:lpstr>
      <vt:lpstr>obalCh2Prod4Slot1WD</vt:lpstr>
      <vt:lpstr>obalCh2Prod4Slot2Active</vt:lpstr>
      <vt:lpstr>obalCh2Prod4Slot2AvgPrice</vt:lpstr>
      <vt:lpstr>obalCh2Prod4Slot2COGS</vt:lpstr>
      <vt:lpstr>obalCh2Prod4Slot2COGSpL</vt:lpstr>
      <vt:lpstr>obalCh2Prod4Slot2CustPrice</vt:lpstr>
      <vt:lpstr>obalCh2Prod4Slot2GPaL</vt:lpstr>
      <vt:lpstr>obalCh2Prod4Slot2GPaLPerLitre</vt:lpstr>
      <vt:lpstr>obalCh2Prod4Slot2NetRev</vt:lpstr>
      <vt:lpstr>obalCh2Prod4Slot2NetRevPerLtr</vt:lpstr>
      <vt:lpstr>obalCh2Prod4Slot2Pack</vt:lpstr>
      <vt:lpstr>obalCh2Prod4Slot2SoldVol</vt:lpstr>
      <vt:lpstr>obalCh2Prod4Slot2WD</vt:lpstr>
      <vt:lpstr>obalCh2Prod4Slot3Active</vt:lpstr>
      <vt:lpstr>obalCh2Prod4Slot3AvgPrice</vt:lpstr>
      <vt:lpstr>obalCh2Prod4Slot3COGS</vt:lpstr>
      <vt:lpstr>obalCh2Prod4Slot3COGSpL</vt:lpstr>
      <vt:lpstr>obalCh2Prod4Slot3CustPrice</vt:lpstr>
      <vt:lpstr>obalCh2Prod4Slot3GPaL</vt:lpstr>
      <vt:lpstr>obalCh2Prod4Slot3GPaLPerLitre</vt:lpstr>
      <vt:lpstr>obalCh2Prod4Slot3NetRev</vt:lpstr>
      <vt:lpstr>obalCh2Prod4Slot3NetRevPerLtr</vt:lpstr>
      <vt:lpstr>obalCh2Prod4Slot3Pack</vt:lpstr>
      <vt:lpstr>obalCh2Prod4Slot3SoldVol</vt:lpstr>
      <vt:lpstr>obalCh2Prod4Slot3WD</vt:lpstr>
      <vt:lpstr>obalCh2Prod4SlotTotActive</vt:lpstr>
      <vt:lpstr>obalCh2RevenueTot</vt:lpstr>
      <vt:lpstr>obalCh2Slots</vt:lpstr>
      <vt:lpstr>obalCh2SlotTotActive</vt:lpstr>
      <vt:lpstr>obalCh2ValDriv1</vt:lpstr>
      <vt:lpstr>obalCh2ValDriv2</vt:lpstr>
      <vt:lpstr>obalCh2ValDriv3</vt:lpstr>
      <vt:lpstr>obalCh2ValDriv4</vt:lpstr>
      <vt:lpstr>obalCh2ValDriv5</vt:lpstr>
      <vt:lpstr>obalCh2ValDrivCond</vt:lpstr>
      <vt:lpstr>obalCh3CustomerProfitTot</vt:lpstr>
      <vt:lpstr>obalCh3GCCTot</vt:lpstr>
      <vt:lpstr>obalCh3GPaLTot</vt:lpstr>
      <vt:lpstr>obalCh3Prod1Slot1Active</vt:lpstr>
      <vt:lpstr>obalCh3Prod1Slot1AvgPrice</vt:lpstr>
      <vt:lpstr>obalCh3Prod1Slot1COGS</vt:lpstr>
      <vt:lpstr>obalCh3Prod1Slot1COGSpL</vt:lpstr>
      <vt:lpstr>obalCh3Prod1Slot1CustPrice</vt:lpstr>
      <vt:lpstr>obalCh3Prod1Slot1GPaL</vt:lpstr>
      <vt:lpstr>obalCh3Prod1Slot1GPaLPerLitre</vt:lpstr>
      <vt:lpstr>obalCh3Prod1Slot1NetRev</vt:lpstr>
      <vt:lpstr>obalCh3Prod1Slot1NetRevPerLtr</vt:lpstr>
      <vt:lpstr>obalCh3Prod1Slot1Pack</vt:lpstr>
      <vt:lpstr>obalCh3Prod1Slot1Promo1</vt:lpstr>
      <vt:lpstr>obalCh3Prod1Slot1Promo1CustUplift</vt:lpstr>
      <vt:lpstr>obalCh3Prod1Slot1Promo1GPaLUplift</vt:lpstr>
      <vt:lpstr>obalCh3Prod1Slot1Promo1Price</vt:lpstr>
      <vt:lpstr>obalCh3Prod1Slot1Promo1ROI</vt:lpstr>
      <vt:lpstr>obalCh3Prod1Slot1Promo1Share</vt:lpstr>
      <vt:lpstr>obalCh3Prod1Slot1Promo1VolUplift</vt:lpstr>
      <vt:lpstr>obalCh3Prod1Slot1Promo1Weeks</vt:lpstr>
      <vt:lpstr>obalCh3Prod1Slot1SoldVol</vt:lpstr>
      <vt:lpstr>obalCh3Prod1Slot1WD</vt:lpstr>
      <vt:lpstr>obalCh3Prod1Slot2Active</vt:lpstr>
      <vt:lpstr>obalCh3Prod1Slot2AvgPrice</vt:lpstr>
      <vt:lpstr>obalCh3Prod1Slot2COGS</vt:lpstr>
      <vt:lpstr>obalCh3Prod1Slot2COGSpL</vt:lpstr>
      <vt:lpstr>obalCh3Prod1Slot2CustPrice</vt:lpstr>
      <vt:lpstr>obalCh3Prod1Slot2GPaL</vt:lpstr>
      <vt:lpstr>obalCh3Prod1Slot2GPaLPerLitre</vt:lpstr>
      <vt:lpstr>obalCh3Prod1Slot2NetRev</vt:lpstr>
      <vt:lpstr>obalCh3Prod1Slot2NetRevPerLtr</vt:lpstr>
      <vt:lpstr>obalCh3Prod1Slot2Pack</vt:lpstr>
      <vt:lpstr>obalCh3Prod1Slot2Promo1</vt:lpstr>
      <vt:lpstr>obalCh3Prod1Slot2Promo1CustUplift</vt:lpstr>
      <vt:lpstr>obalCh3Prod1Slot2Promo1GPaLUplift</vt:lpstr>
      <vt:lpstr>obalCh3Prod1Slot2Promo1Price</vt:lpstr>
      <vt:lpstr>obalCh3Prod1Slot2Promo1ROI</vt:lpstr>
      <vt:lpstr>obalCh3Prod1Slot2Promo1Share</vt:lpstr>
      <vt:lpstr>obalCh3Prod1Slot2Promo1VolUplift</vt:lpstr>
      <vt:lpstr>obalCh3Prod1Slot2Promo1Weeks</vt:lpstr>
      <vt:lpstr>obalCh3Prod1Slot2SoldVol</vt:lpstr>
      <vt:lpstr>obalCh3Prod1Slot2WD</vt:lpstr>
      <vt:lpstr>obalCh3Prod1Slot3Active</vt:lpstr>
      <vt:lpstr>obalCh3Prod1Slot3AvgPrice</vt:lpstr>
      <vt:lpstr>obalCh3Prod1Slot3COGS</vt:lpstr>
      <vt:lpstr>obalCh3Prod1Slot3COGSpL</vt:lpstr>
      <vt:lpstr>obalCh3Prod1Slot3CustPrice</vt:lpstr>
      <vt:lpstr>obalCh3Prod1Slot3GPaL</vt:lpstr>
      <vt:lpstr>obalCh3Prod1Slot3GPaLPerLitre</vt:lpstr>
      <vt:lpstr>obalCh3Prod1Slot3NetRev</vt:lpstr>
      <vt:lpstr>obalCh3Prod1Slot3NetRevPerLtr</vt:lpstr>
      <vt:lpstr>obalCh3Prod1Slot3Pack</vt:lpstr>
      <vt:lpstr>obalCh3Prod1Slot3Promo1</vt:lpstr>
      <vt:lpstr>obalCh3Prod1Slot3Promo1CustUplift</vt:lpstr>
      <vt:lpstr>obalCh3Prod1Slot3Promo1GPaLUplift</vt:lpstr>
      <vt:lpstr>obalCh3Prod1Slot3Promo1Price</vt:lpstr>
      <vt:lpstr>obalCh3Prod1Slot3Promo1ROI</vt:lpstr>
      <vt:lpstr>obalCh3Prod1Slot3Promo1Share</vt:lpstr>
      <vt:lpstr>obalCh3Prod1Slot3Promo1VolUplift</vt:lpstr>
      <vt:lpstr>obalCh3Prod1Slot3Promo1Weeks</vt:lpstr>
      <vt:lpstr>obalCh3Prod1Slot3SoldVol</vt:lpstr>
      <vt:lpstr>obalCh3Prod1Slot3WD</vt:lpstr>
      <vt:lpstr>obalCh3Prod1SlotTotActive</vt:lpstr>
      <vt:lpstr>obalCh3Prod2Slot1Active</vt:lpstr>
      <vt:lpstr>obalCh3Prod2Slot1AvgPrice</vt:lpstr>
      <vt:lpstr>obalCh3Prod2Slot1COGS</vt:lpstr>
      <vt:lpstr>obalCh3Prod2Slot1COGSpL</vt:lpstr>
      <vt:lpstr>obalCh3Prod2Slot1CustPrice</vt:lpstr>
      <vt:lpstr>obalCh3Prod2Slot1GPaL</vt:lpstr>
      <vt:lpstr>obalCh3Prod2Slot1GPaLPerLitre</vt:lpstr>
      <vt:lpstr>obalCh3Prod2Slot1NetRev</vt:lpstr>
      <vt:lpstr>obalCh3Prod2Slot1NetRevPerLtr</vt:lpstr>
      <vt:lpstr>obalCh3Prod2Slot1Pack</vt:lpstr>
      <vt:lpstr>obalCh3Prod2Slot1Promo1</vt:lpstr>
      <vt:lpstr>obalCh3Prod2Slot1Promo1CustUplift</vt:lpstr>
      <vt:lpstr>obalCh3Prod2Slot1Promo1GPaLUplift</vt:lpstr>
      <vt:lpstr>obalCh3Prod2Slot1Promo1Price</vt:lpstr>
      <vt:lpstr>obalCh3Prod2Slot1Promo1ROI</vt:lpstr>
      <vt:lpstr>obalCh3Prod2Slot1Promo1Share</vt:lpstr>
      <vt:lpstr>obalCh3Prod2Slot1Promo1VolUplift</vt:lpstr>
      <vt:lpstr>obalCh3Prod2Slot1Promo1Weeks</vt:lpstr>
      <vt:lpstr>obalCh3Prod2Slot1SoldVol</vt:lpstr>
      <vt:lpstr>obalCh3Prod2Slot1WD</vt:lpstr>
      <vt:lpstr>obalCh3Prod2Slot2Active</vt:lpstr>
      <vt:lpstr>obalCh3Prod2Slot2AvgPrice</vt:lpstr>
      <vt:lpstr>obalCh3Prod2Slot2COGS</vt:lpstr>
      <vt:lpstr>obalCh3Prod2Slot2COGSpL</vt:lpstr>
      <vt:lpstr>obalCh3Prod2Slot2CustPrice</vt:lpstr>
      <vt:lpstr>obalCh3Prod2Slot2GPaL</vt:lpstr>
      <vt:lpstr>obalCh3Prod2Slot2GPaLPerLitre</vt:lpstr>
      <vt:lpstr>obalCh3Prod2Slot2NetRev</vt:lpstr>
      <vt:lpstr>obalCh3Prod2Slot2NetRevPerLtr</vt:lpstr>
      <vt:lpstr>obalCh3Prod2Slot2Pack</vt:lpstr>
      <vt:lpstr>obalCh3Prod2Slot2Promo1</vt:lpstr>
      <vt:lpstr>obalCh3Prod2Slot2Promo1CustUplift</vt:lpstr>
      <vt:lpstr>obalCh3Prod2Slot2Promo1GPaLUplift</vt:lpstr>
      <vt:lpstr>obalCh3Prod2Slot2Promo1Price</vt:lpstr>
      <vt:lpstr>obalCh3Prod2Slot2Promo1ROI</vt:lpstr>
      <vt:lpstr>obalCh3Prod2Slot2Promo1Share</vt:lpstr>
      <vt:lpstr>obalCh3Prod2Slot2Promo1VolUplift</vt:lpstr>
      <vt:lpstr>obalCh3Prod2Slot2Promo1Weeks</vt:lpstr>
      <vt:lpstr>obalCh3Prod2Slot2SoldVol</vt:lpstr>
      <vt:lpstr>obalCh3Prod2Slot2WD</vt:lpstr>
      <vt:lpstr>obalCh3Prod2Slot3Active</vt:lpstr>
      <vt:lpstr>obalCh3Prod2Slot3AvgPrice</vt:lpstr>
      <vt:lpstr>obalCh3Prod2Slot3COGS</vt:lpstr>
      <vt:lpstr>obalCh3Prod2Slot3COGSpL</vt:lpstr>
      <vt:lpstr>obalCh3Prod2Slot3CustPrice</vt:lpstr>
      <vt:lpstr>obalCh3Prod2Slot3GPaL</vt:lpstr>
      <vt:lpstr>obalCh3Prod2Slot3GPaLPerLitre</vt:lpstr>
      <vt:lpstr>obalCh3Prod2Slot3NetRev</vt:lpstr>
      <vt:lpstr>obalCh3Prod2Slot3NetRevPerLtr</vt:lpstr>
      <vt:lpstr>obalCh3Prod2Slot3Pack</vt:lpstr>
      <vt:lpstr>obalCh3Prod2Slot3Promo1</vt:lpstr>
      <vt:lpstr>obalCh3Prod2Slot3Promo1CustUplift</vt:lpstr>
      <vt:lpstr>obalCh3Prod2Slot3Promo1GPaLUplift</vt:lpstr>
      <vt:lpstr>obalCh3Prod2Slot3Promo1Price</vt:lpstr>
      <vt:lpstr>obalCh3Prod2Slot3Promo1ROI</vt:lpstr>
      <vt:lpstr>obalCh3Prod2Slot3Promo1Share</vt:lpstr>
      <vt:lpstr>obalCh3Prod2Slot3Promo1VolUplift</vt:lpstr>
      <vt:lpstr>obalCh3Prod2Slot3Promo1Weeks</vt:lpstr>
      <vt:lpstr>obalCh3Prod2Slot3SoldVol</vt:lpstr>
      <vt:lpstr>obalCh3Prod2Slot3WD</vt:lpstr>
      <vt:lpstr>obalCh3Prod2SlotTotActive</vt:lpstr>
      <vt:lpstr>obalCh3Prod3Slot1Active</vt:lpstr>
      <vt:lpstr>obalCh3Prod3Slot1AvgPrice</vt:lpstr>
      <vt:lpstr>obalCh3Prod3Slot1COGS</vt:lpstr>
      <vt:lpstr>obalCh3Prod3Slot1COGSpL</vt:lpstr>
      <vt:lpstr>obalCh3Prod3Slot1CustPrice</vt:lpstr>
      <vt:lpstr>obalCh3Prod3Slot1GPaL</vt:lpstr>
      <vt:lpstr>obalCh3Prod3Slot1GPaLPerLitre</vt:lpstr>
      <vt:lpstr>obalCh3Prod3Slot1NetRev</vt:lpstr>
      <vt:lpstr>obalCh3Prod3Slot1NetRevPerLtr</vt:lpstr>
      <vt:lpstr>obalCh3Prod3Slot1Pack</vt:lpstr>
      <vt:lpstr>obalCh3Prod3Slot1Promo1</vt:lpstr>
      <vt:lpstr>obalCh3Prod3Slot1Promo1CustUplift</vt:lpstr>
      <vt:lpstr>obalCh3Prod3Slot1Promo1GPaLUplift</vt:lpstr>
      <vt:lpstr>obalCh3Prod3Slot1Promo1Price</vt:lpstr>
      <vt:lpstr>obalCh3Prod3Slot1Promo1ROI</vt:lpstr>
      <vt:lpstr>obalCh3Prod3Slot1Promo1Share</vt:lpstr>
      <vt:lpstr>obalCh3Prod3Slot1Promo1VolUplift</vt:lpstr>
      <vt:lpstr>obalCh3Prod3Slot1Promo1Weeks</vt:lpstr>
      <vt:lpstr>obalCh3Prod3Slot1SoldVol</vt:lpstr>
      <vt:lpstr>obalCh3Prod3Slot1WD</vt:lpstr>
      <vt:lpstr>obalCh3Prod3Slot2Active</vt:lpstr>
      <vt:lpstr>obalCh3Prod3Slot2AvgPrice</vt:lpstr>
      <vt:lpstr>obalCh3Prod3Slot2COGS</vt:lpstr>
      <vt:lpstr>obalCh3Prod3Slot2COGSpL</vt:lpstr>
      <vt:lpstr>obalCh3Prod3Slot2CustPrice</vt:lpstr>
      <vt:lpstr>obalCh3Prod3Slot2GPaL</vt:lpstr>
      <vt:lpstr>obalCh3Prod3Slot2GPaLPerLitre</vt:lpstr>
      <vt:lpstr>obalCh3Prod3Slot2NetRev</vt:lpstr>
      <vt:lpstr>obalCh3Prod3Slot2NetRevPerLtr</vt:lpstr>
      <vt:lpstr>obalCh3Prod3Slot2Pack</vt:lpstr>
      <vt:lpstr>obalCh3Prod3Slot2Promo1</vt:lpstr>
      <vt:lpstr>obalCh3Prod3Slot2Promo1CustUplift</vt:lpstr>
      <vt:lpstr>obalCh3Prod3Slot2Promo1GPaLUplift</vt:lpstr>
      <vt:lpstr>obalCh3Prod3Slot2Promo1Price</vt:lpstr>
      <vt:lpstr>obalCh3Prod3Slot2Promo1ROI</vt:lpstr>
      <vt:lpstr>obalCh3Prod3Slot2Promo1Share</vt:lpstr>
      <vt:lpstr>obalCh3Prod3Slot2Promo1VolUplift</vt:lpstr>
      <vt:lpstr>obalCh3Prod3Slot2Promo1Weeks</vt:lpstr>
      <vt:lpstr>obalCh3Prod3Slot2SoldVol</vt:lpstr>
      <vt:lpstr>obalCh3Prod3Slot2WD</vt:lpstr>
      <vt:lpstr>obalCh3Prod3Slot3Active</vt:lpstr>
      <vt:lpstr>obalCh3Prod3Slot3AvgPrice</vt:lpstr>
      <vt:lpstr>obalCh3Prod3Slot3COGS</vt:lpstr>
      <vt:lpstr>obalCh3Prod3Slot3COGSpL</vt:lpstr>
      <vt:lpstr>obalCh3Prod3Slot3CustPrice</vt:lpstr>
      <vt:lpstr>obalCh3Prod3Slot3GPaL</vt:lpstr>
      <vt:lpstr>obalCh3Prod3Slot3GPaLPerLitre</vt:lpstr>
      <vt:lpstr>obalCh3Prod3Slot3NetRev</vt:lpstr>
      <vt:lpstr>obalCh3Prod3Slot3NetRevPerLtr</vt:lpstr>
      <vt:lpstr>obalCh3Prod3Slot3Pack</vt:lpstr>
      <vt:lpstr>obalCh3Prod3Slot3Promo1</vt:lpstr>
      <vt:lpstr>obalCh3Prod3Slot3Promo1CustUplift</vt:lpstr>
      <vt:lpstr>obalCh3Prod3Slot3Promo1GPaLUplift</vt:lpstr>
      <vt:lpstr>obalCh3Prod3Slot3Promo1Price</vt:lpstr>
      <vt:lpstr>obalCh3Prod3Slot3Promo1ROI</vt:lpstr>
      <vt:lpstr>obalCh3Prod3Slot3Promo1Share</vt:lpstr>
      <vt:lpstr>obalCh3Prod3Slot3Promo1VolUplift</vt:lpstr>
      <vt:lpstr>obalCh3Prod3Slot3Promo1Weeks</vt:lpstr>
      <vt:lpstr>obalCh3Prod3Slot3SoldVol</vt:lpstr>
      <vt:lpstr>obalCh3Prod3Slot3WD</vt:lpstr>
      <vt:lpstr>obalCh3Prod3SlotTotActive</vt:lpstr>
      <vt:lpstr>obalCh3Prod4Slot1Active</vt:lpstr>
      <vt:lpstr>obalCh3Prod4Slot1AvgPrice</vt:lpstr>
      <vt:lpstr>obalCh3Prod4Slot1COGS</vt:lpstr>
      <vt:lpstr>obalCh3Prod4Slot1COGSpL</vt:lpstr>
      <vt:lpstr>obalCh3Prod4Slot1CustPrice</vt:lpstr>
      <vt:lpstr>obalCh3Prod4Slot1GPaL</vt:lpstr>
      <vt:lpstr>obalCh3Prod4Slot1GPaLPerLitre</vt:lpstr>
      <vt:lpstr>obalCh3Prod4Slot1NetRev</vt:lpstr>
      <vt:lpstr>obalCh3Prod4Slot1NetRevPerLtr</vt:lpstr>
      <vt:lpstr>obalCh3Prod4Slot1Pack</vt:lpstr>
      <vt:lpstr>obalCh3Prod4Slot1Promo1</vt:lpstr>
      <vt:lpstr>obalCh3Prod4Slot1Promo1CustUplift</vt:lpstr>
      <vt:lpstr>obalCh3Prod4Slot1Promo1GPaLUplift</vt:lpstr>
      <vt:lpstr>obalCh3Prod4Slot1Promo1Price</vt:lpstr>
      <vt:lpstr>obalCh3Prod4Slot1Promo1ROI</vt:lpstr>
      <vt:lpstr>obalCh3Prod4Slot1Promo1Share</vt:lpstr>
      <vt:lpstr>obalCh3Prod4Slot1Promo1VolUplift</vt:lpstr>
      <vt:lpstr>obalCh3Prod4Slot1Promo1Weeks</vt:lpstr>
      <vt:lpstr>obalCh3Prod4Slot1SoldVol</vt:lpstr>
      <vt:lpstr>obalCh3Prod4Slot1WD</vt:lpstr>
      <vt:lpstr>obalCh3Prod4Slot2Active</vt:lpstr>
      <vt:lpstr>obalCh3Prod4Slot2AvgPrice</vt:lpstr>
      <vt:lpstr>obalCh3Prod4Slot2COGS</vt:lpstr>
      <vt:lpstr>obalCh3Prod4Slot2COGSpL</vt:lpstr>
      <vt:lpstr>obalCh3Prod4Slot2CustPrice</vt:lpstr>
      <vt:lpstr>obalCh3Prod4Slot2GPaL</vt:lpstr>
      <vt:lpstr>obalCh3Prod4Slot2GPaLPerLitre</vt:lpstr>
      <vt:lpstr>obalCh3Prod4Slot2NetRev</vt:lpstr>
      <vt:lpstr>obalCh3Prod4Slot2NetRevPerLtr</vt:lpstr>
      <vt:lpstr>obalCh3Prod4Slot2Pack</vt:lpstr>
      <vt:lpstr>obalCh3Prod4Slot2Promo1</vt:lpstr>
      <vt:lpstr>obalCh3Prod4Slot2Promo1CustUplift</vt:lpstr>
      <vt:lpstr>obalCh3Prod4Slot2Promo1GPaLUplift</vt:lpstr>
      <vt:lpstr>obalCh3Prod4Slot2Promo1Price</vt:lpstr>
      <vt:lpstr>obalCh3Prod4Slot2Promo1ROI</vt:lpstr>
      <vt:lpstr>obalCh3Prod4Slot2Promo1Share</vt:lpstr>
      <vt:lpstr>obalCh3Prod4Slot2Promo1VolUplift</vt:lpstr>
      <vt:lpstr>obalCh3Prod4Slot2Promo1Weeks</vt:lpstr>
      <vt:lpstr>obalCh3Prod4Slot2SoldVol</vt:lpstr>
      <vt:lpstr>obalCh3Prod4Slot2WD</vt:lpstr>
      <vt:lpstr>obalCh3Prod4Slot3Active</vt:lpstr>
      <vt:lpstr>obalCh3Prod4Slot3AvgPrice</vt:lpstr>
      <vt:lpstr>obalCh3Prod4Slot3COGS</vt:lpstr>
      <vt:lpstr>obalCh3Prod4Slot3COGSpL</vt:lpstr>
      <vt:lpstr>obalCh3Prod4Slot3CustPrice</vt:lpstr>
      <vt:lpstr>obalCh3Prod4Slot3GPaL</vt:lpstr>
      <vt:lpstr>obalCh3Prod4Slot3GPaLPerLitre</vt:lpstr>
      <vt:lpstr>obalCh3Prod4Slot3NetRev</vt:lpstr>
      <vt:lpstr>obalCh3Prod4Slot3NetRevPerLtr</vt:lpstr>
      <vt:lpstr>obalCh3Prod4Slot3Pack</vt:lpstr>
      <vt:lpstr>obalCh3Prod4Slot3Promo1</vt:lpstr>
      <vt:lpstr>obalCh3Prod4Slot3Promo1CustUplift</vt:lpstr>
      <vt:lpstr>obalCh3Prod4Slot3Promo1GPaLUplift</vt:lpstr>
      <vt:lpstr>obalCh3Prod4Slot3Promo1Price</vt:lpstr>
      <vt:lpstr>obalCh3Prod4Slot3Promo1ROI</vt:lpstr>
      <vt:lpstr>obalCh3Prod4Slot3Promo1Share</vt:lpstr>
      <vt:lpstr>obalCh3Prod4Slot3Promo1VolUplift</vt:lpstr>
      <vt:lpstr>obalCh3Prod4Slot3Promo1Weeks</vt:lpstr>
      <vt:lpstr>obalCh3Prod4Slot3SoldVol</vt:lpstr>
      <vt:lpstr>obalCh3Prod4Slot3WD</vt:lpstr>
      <vt:lpstr>obalCh3Prod4SlotTotActive</vt:lpstr>
      <vt:lpstr>obalCh3RevenueTot</vt:lpstr>
      <vt:lpstr>obalCh3Slots</vt:lpstr>
      <vt:lpstr>obalCh3SlotTotActive</vt:lpstr>
      <vt:lpstr>obalCh3ValDriv1</vt:lpstr>
      <vt:lpstr>obalCh3ValDriv2</vt:lpstr>
      <vt:lpstr>obalCh3ValDriv3</vt:lpstr>
      <vt:lpstr>obalCh3ValDriv4</vt:lpstr>
      <vt:lpstr>obalCh3ValDriv5</vt:lpstr>
      <vt:lpstr>obalCh3ValDrivCond</vt:lpstr>
      <vt:lpstr>obalCh4CustomerProfitTot</vt:lpstr>
      <vt:lpstr>obalCh4GCCTot</vt:lpstr>
      <vt:lpstr>obalCh4GPaLTot</vt:lpstr>
      <vt:lpstr>obalCh4Prod1Slot1Active</vt:lpstr>
      <vt:lpstr>obalCh4Prod1Slot1AvgPrice</vt:lpstr>
      <vt:lpstr>obalCh4Prod1Slot1COGS</vt:lpstr>
      <vt:lpstr>obalCh4Prod1Slot1COGSpL</vt:lpstr>
      <vt:lpstr>obalCh4Prod1Slot1CustPrice</vt:lpstr>
      <vt:lpstr>obalCh4Prod1Slot1GPaL</vt:lpstr>
      <vt:lpstr>obalCh4Prod1Slot1GPaLPerLitre</vt:lpstr>
      <vt:lpstr>obalCh4Prod1Slot1NetRev</vt:lpstr>
      <vt:lpstr>obalCh4Prod1Slot1NetRevPerLtr</vt:lpstr>
      <vt:lpstr>obalCh4Prod1Slot1Pack</vt:lpstr>
      <vt:lpstr>obalCh4Prod1Slot1Promo1</vt:lpstr>
      <vt:lpstr>obalCh4Prod1Slot1Promo1CustUplift</vt:lpstr>
      <vt:lpstr>obalCh4Prod1Slot1Promo1GPaLUplift</vt:lpstr>
      <vt:lpstr>obalCh4Prod1Slot1Promo1Price</vt:lpstr>
      <vt:lpstr>obalCh4Prod1Slot1Promo1ROI</vt:lpstr>
      <vt:lpstr>obalCh4Prod1Slot1Promo1Share</vt:lpstr>
      <vt:lpstr>obalCh4Prod1Slot1Promo1VolUplift</vt:lpstr>
      <vt:lpstr>obalCh4Prod1Slot1Promo1Weeks</vt:lpstr>
      <vt:lpstr>obalCh4Prod1Slot1SoldVol</vt:lpstr>
      <vt:lpstr>obalCh4Prod1Slot1WD</vt:lpstr>
      <vt:lpstr>obalCh4Prod1Slot2Active</vt:lpstr>
      <vt:lpstr>obalCh4Prod1Slot2AvgPrice</vt:lpstr>
      <vt:lpstr>obalCh4Prod1Slot2COGS</vt:lpstr>
      <vt:lpstr>obalCh4Prod1Slot2COGSpL</vt:lpstr>
      <vt:lpstr>obalCh4Prod1Slot2CustPrice</vt:lpstr>
      <vt:lpstr>obalCh4Prod1Slot2GPaL</vt:lpstr>
      <vt:lpstr>obalCh4Prod1Slot2GPaLPerLitre</vt:lpstr>
      <vt:lpstr>obalCh4Prod1Slot2NetRev</vt:lpstr>
      <vt:lpstr>obalCh4Prod1Slot2NetRevPerLtr</vt:lpstr>
      <vt:lpstr>obalCh4Prod1Slot2Pack</vt:lpstr>
      <vt:lpstr>obalCh4Prod1Slot2Promo1</vt:lpstr>
      <vt:lpstr>obalCh4Prod1Slot2Promo1CustUplift</vt:lpstr>
      <vt:lpstr>obalCh4Prod1Slot2Promo1GPaLUplift</vt:lpstr>
      <vt:lpstr>obalCh4Prod1Slot2Promo1Price</vt:lpstr>
      <vt:lpstr>obalCh4Prod1Slot2Promo1ROI</vt:lpstr>
      <vt:lpstr>obalCh4Prod1Slot2Promo1Share</vt:lpstr>
      <vt:lpstr>obalCh4Prod1Slot2Promo1VolUplift</vt:lpstr>
      <vt:lpstr>obalCh4Prod1Slot2Promo1Weeks</vt:lpstr>
      <vt:lpstr>obalCh4Prod1Slot2SoldVol</vt:lpstr>
      <vt:lpstr>obalCh4Prod1Slot2WD</vt:lpstr>
      <vt:lpstr>obalCh4Prod1Slot3Active</vt:lpstr>
      <vt:lpstr>obalCh4Prod1Slot3AvgPrice</vt:lpstr>
      <vt:lpstr>obalCh4Prod1Slot3COGS</vt:lpstr>
      <vt:lpstr>obalCh4Prod1Slot3COGSpL</vt:lpstr>
      <vt:lpstr>obalCh4Prod1Slot3CustPrice</vt:lpstr>
      <vt:lpstr>obalCh4Prod1Slot3GPaL</vt:lpstr>
      <vt:lpstr>obalCh4Prod1Slot3GPaLPerLitre</vt:lpstr>
      <vt:lpstr>obalCh4Prod1Slot3NetRev</vt:lpstr>
      <vt:lpstr>obalCh4Prod1Slot3NetRevPerLtr</vt:lpstr>
      <vt:lpstr>obalCh4Prod1Slot3Pack</vt:lpstr>
      <vt:lpstr>obalCh4Prod1Slot3Promo1</vt:lpstr>
      <vt:lpstr>obalCh4Prod1Slot3Promo1CustUplift</vt:lpstr>
      <vt:lpstr>obalCh4Prod1Slot3Promo1GPaLUplift</vt:lpstr>
      <vt:lpstr>obalCh4Prod1Slot3Promo1Price</vt:lpstr>
      <vt:lpstr>obalCh4Prod1Slot3Promo1ROI</vt:lpstr>
      <vt:lpstr>obalCh4Prod1Slot3Promo1Share</vt:lpstr>
      <vt:lpstr>obalCh4Prod1Slot3Promo1VolUplift</vt:lpstr>
      <vt:lpstr>obalCh4Prod1Slot3Promo1Weeks</vt:lpstr>
      <vt:lpstr>obalCh4Prod1Slot3SoldVol</vt:lpstr>
      <vt:lpstr>obalCh4Prod1Slot3WD</vt:lpstr>
      <vt:lpstr>obalCh4Prod1SlotTotActive</vt:lpstr>
      <vt:lpstr>obalCh4Prod2Slot1Active</vt:lpstr>
      <vt:lpstr>obalCh4Prod2Slot1AvgPrice</vt:lpstr>
      <vt:lpstr>obalCh4Prod2Slot1COGS</vt:lpstr>
      <vt:lpstr>obalCh4Prod2Slot1COGSpL</vt:lpstr>
      <vt:lpstr>obalCh4Prod2Slot1CustPrice</vt:lpstr>
      <vt:lpstr>obalCh4Prod2Slot1GPaL</vt:lpstr>
      <vt:lpstr>obalCh4Prod2Slot1GPaLPerLitre</vt:lpstr>
      <vt:lpstr>obalCh4Prod2Slot1NetRev</vt:lpstr>
      <vt:lpstr>obalCh4Prod2Slot1NetRevPerLtr</vt:lpstr>
      <vt:lpstr>obalCh4Prod2Slot1Pack</vt:lpstr>
      <vt:lpstr>obalCh4Prod2Slot1Promo1</vt:lpstr>
      <vt:lpstr>obalCh4Prod2Slot1Promo1CustUplift</vt:lpstr>
      <vt:lpstr>obalCh4Prod2Slot1Promo1GPaLUplift</vt:lpstr>
      <vt:lpstr>obalCh4Prod2Slot1Promo1Price</vt:lpstr>
      <vt:lpstr>obalCh4Prod2Slot1Promo1ROI</vt:lpstr>
      <vt:lpstr>obalCh4Prod2Slot1Promo1Share</vt:lpstr>
      <vt:lpstr>obalCh4Prod2Slot1Promo1VolUplift</vt:lpstr>
      <vt:lpstr>obalCh4Prod2Slot1Promo1Weeks</vt:lpstr>
      <vt:lpstr>obalCh4Prod2Slot1SoldVol</vt:lpstr>
      <vt:lpstr>obalCh4Prod2Slot1WD</vt:lpstr>
      <vt:lpstr>obalCh4Prod2Slot2Active</vt:lpstr>
      <vt:lpstr>obalCh4Prod2Slot2AvgPrice</vt:lpstr>
      <vt:lpstr>obalCh4Prod2Slot2COGS</vt:lpstr>
      <vt:lpstr>obalCh4Prod2Slot2COGSpL</vt:lpstr>
      <vt:lpstr>obalCh4Prod2Slot2CustPrice</vt:lpstr>
      <vt:lpstr>obalCh4Prod2Slot2GPaL</vt:lpstr>
      <vt:lpstr>obalCh4Prod2Slot2GPaLPerLitre</vt:lpstr>
      <vt:lpstr>obalCh4Prod2Slot2NetRev</vt:lpstr>
      <vt:lpstr>obalCh4Prod2Slot2NetRevPerLtr</vt:lpstr>
      <vt:lpstr>obalCh4Prod2Slot2Pack</vt:lpstr>
      <vt:lpstr>obalCh4Prod2Slot2Promo1</vt:lpstr>
      <vt:lpstr>obalCh4Prod2Slot2Promo1CustUplift</vt:lpstr>
      <vt:lpstr>obalCh4Prod2Slot2Promo1GPaLUplift</vt:lpstr>
      <vt:lpstr>obalCh4Prod2Slot2Promo1Price</vt:lpstr>
      <vt:lpstr>obalCh4Prod2Slot2Promo1ROI</vt:lpstr>
      <vt:lpstr>obalCh4Prod2Slot2Promo1Share</vt:lpstr>
      <vt:lpstr>obalCh4Prod2Slot2Promo1VolUplift</vt:lpstr>
      <vt:lpstr>obalCh4Prod2Slot2Promo1Weeks</vt:lpstr>
      <vt:lpstr>obalCh4Prod2Slot2SoldVol</vt:lpstr>
      <vt:lpstr>obalCh4Prod2Slot2WD</vt:lpstr>
      <vt:lpstr>obalCh4Prod2Slot3Active</vt:lpstr>
      <vt:lpstr>obalCh4Prod2Slot3AvgPrice</vt:lpstr>
      <vt:lpstr>obalCh4Prod2Slot3COGS</vt:lpstr>
      <vt:lpstr>obalCh4Prod2Slot3COGSpL</vt:lpstr>
      <vt:lpstr>obalCh4Prod2Slot3CustPrice</vt:lpstr>
      <vt:lpstr>obalCh4Prod2Slot3GPaL</vt:lpstr>
      <vt:lpstr>obalCh4Prod2Slot3GPaLPerLitre</vt:lpstr>
      <vt:lpstr>obalCh4Prod2Slot3NetRev</vt:lpstr>
      <vt:lpstr>obalCh4Prod2Slot3NetRevPerLtr</vt:lpstr>
      <vt:lpstr>obalCh4Prod2Slot3Pack</vt:lpstr>
      <vt:lpstr>obalCh4Prod2Slot3Promo1</vt:lpstr>
      <vt:lpstr>obalCh4Prod2Slot3Promo1CustUplift</vt:lpstr>
      <vt:lpstr>obalCh4Prod2Slot3Promo1GPaLUplift</vt:lpstr>
      <vt:lpstr>obalCh4Prod2Slot3Promo1Price</vt:lpstr>
      <vt:lpstr>obalCh4Prod2Slot3Promo1ROI</vt:lpstr>
      <vt:lpstr>obalCh4Prod2Slot3Promo1Share</vt:lpstr>
      <vt:lpstr>obalCh4Prod2Slot3Promo1VolUplift</vt:lpstr>
      <vt:lpstr>obalCh4Prod2Slot3Promo1Weeks</vt:lpstr>
      <vt:lpstr>obalCh4Prod2Slot3SoldVol</vt:lpstr>
      <vt:lpstr>obalCh4Prod2Slot3WD</vt:lpstr>
      <vt:lpstr>obalCh4Prod2SlotTotActive</vt:lpstr>
      <vt:lpstr>obalCh4Prod3Slot1Active</vt:lpstr>
      <vt:lpstr>obalCh4Prod3Slot1AvgPrice</vt:lpstr>
      <vt:lpstr>obalCh4Prod3Slot1COGS</vt:lpstr>
      <vt:lpstr>obalCh4Prod3Slot1COGSpL</vt:lpstr>
      <vt:lpstr>obalCh4Prod3Slot1CustPrice</vt:lpstr>
      <vt:lpstr>obalCh4Prod3Slot1GPaL</vt:lpstr>
      <vt:lpstr>obalCh4Prod3Slot1GPaLPerLitre</vt:lpstr>
      <vt:lpstr>obalCh4Prod3Slot1NetRev</vt:lpstr>
      <vt:lpstr>obalCh4Prod3Slot1NetRevPerLtr</vt:lpstr>
      <vt:lpstr>obalCh4Prod3Slot1Pack</vt:lpstr>
      <vt:lpstr>obalCh4Prod3Slot1Promo1</vt:lpstr>
      <vt:lpstr>obalCh4Prod3Slot1Promo1CustUplift</vt:lpstr>
      <vt:lpstr>obalCh4Prod3Slot1Promo1GPaLUplift</vt:lpstr>
      <vt:lpstr>obalCh4Prod3Slot1Promo1Price</vt:lpstr>
      <vt:lpstr>obalCh4Prod3Slot1Promo1ROI</vt:lpstr>
      <vt:lpstr>obalCh4Prod3Slot1Promo1Share</vt:lpstr>
      <vt:lpstr>obalCh4Prod3Slot1Promo1VolUplift</vt:lpstr>
      <vt:lpstr>obalCh4Prod3Slot1Promo1Weeks</vt:lpstr>
      <vt:lpstr>obalCh4Prod3Slot1SoldVol</vt:lpstr>
      <vt:lpstr>obalCh4Prod3Slot1WD</vt:lpstr>
      <vt:lpstr>obalCh4Prod3Slot2Active</vt:lpstr>
      <vt:lpstr>obalCh4Prod3Slot2AvgPrice</vt:lpstr>
      <vt:lpstr>obalCh4Prod3Slot2COGS</vt:lpstr>
      <vt:lpstr>obalCh4Prod3Slot2COGSpL</vt:lpstr>
      <vt:lpstr>obalCh4Prod3Slot2CustPrice</vt:lpstr>
      <vt:lpstr>obalCh4Prod3Slot2GPaL</vt:lpstr>
      <vt:lpstr>obalCh4Prod3Slot2GPaLPerLitre</vt:lpstr>
      <vt:lpstr>obalCh4Prod3Slot2NetRev</vt:lpstr>
      <vt:lpstr>obalCh4Prod3Slot2NetRevPerLtr</vt:lpstr>
      <vt:lpstr>obalCh4Prod3Slot2Pack</vt:lpstr>
      <vt:lpstr>obalCh4Prod3Slot2Promo1</vt:lpstr>
      <vt:lpstr>obalCh4Prod3Slot2Promo1CustUplift</vt:lpstr>
      <vt:lpstr>obalCh4Prod3Slot2Promo1GPaLUplift</vt:lpstr>
      <vt:lpstr>obalCh4Prod3Slot2Promo1Price</vt:lpstr>
      <vt:lpstr>obalCh4Prod3Slot2Promo1ROI</vt:lpstr>
      <vt:lpstr>obalCh4Prod3Slot2Promo1Share</vt:lpstr>
      <vt:lpstr>obalCh4Prod3Slot2Promo1VolUplift</vt:lpstr>
      <vt:lpstr>obalCh4Prod3Slot2Promo1Weeks</vt:lpstr>
      <vt:lpstr>obalCh4Prod3Slot2SoldVol</vt:lpstr>
      <vt:lpstr>obalCh4Prod3Slot2WD</vt:lpstr>
      <vt:lpstr>obalCh4Prod3Slot3Active</vt:lpstr>
      <vt:lpstr>obalCh4Prod3Slot3AvgPrice</vt:lpstr>
      <vt:lpstr>obalCh4Prod3Slot3COGS</vt:lpstr>
      <vt:lpstr>obalCh4Prod3Slot3COGSpL</vt:lpstr>
      <vt:lpstr>obalCh4Prod3Slot3CustPrice</vt:lpstr>
      <vt:lpstr>obalCh4Prod3Slot3GPaL</vt:lpstr>
      <vt:lpstr>obalCh4Prod3Slot3GPaLPerLitre</vt:lpstr>
      <vt:lpstr>obalCh4Prod3Slot3NetRev</vt:lpstr>
      <vt:lpstr>obalCh4Prod3Slot3NetRevPerLtr</vt:lpstr>
      <vt:lpstr>obalCh4Prod3Slot3Pack</vt:lpstr>
      <vt:lpstr>obalCh4Prod3Slot3Promo1</vt:lpstr>
      <vt:lpstr>obalCh4Prod3Slot3Promo1CustUplift</vt:lpstr>
      <vt:lpstr>obalCh4Prod3Slot3Promo1GPaLUplift</vt:lpstr>
      <vt:lpstr>obalCh4Prod3Slot3Promo1Price</vt:lpstr>
      <vt:lpstr>obalCh4Prod3Slot3Promo1ROI</vt:lpstr>
      <vt:lpstr>obalCh4Prod3Slot3Promo1Share</vt:lpstr>
      <vt:lpstr>obalCh4Prod3Slot3Promo1VolUplift</vt:lpstr>
      <vt:lpstr>obalCh4Prod3Slot3Promo1Weeks</vt:lpstr>
      <vt:lpstr>obalCh4Prod3Slot3SoldVol</vt:lpstr>
      <vt:lpstr>obalCh4Prod3Slot3WD</vt:lpstr>
      <vt:lpstr>obalCh4Prod3SlotTotActive</vt:lpstr>
      <vt:lpstr>obalCh4Prod4Slot1Active</vt:lpstr>
      <vt:lpstr>obalCh4Prod4Slot1AvgPrice</vt:lpstr>
      <vt:lpstr>obalCh4Prod4Slot1COGS</vt:lpstr>
      <vt:lpstr>obalCh4Prod4Slot1COGSpL</vt:lpstr>
      <vt:lpstr>obalCh4Prod4Slot1CustPrice</vt:lpstr>
      <vt:lpstr>obalCh4Prod4Slot1GPaL</vt:lpstr>
      <vt:lpstr>obalCh4Prod4Slot1GPaLPerLitre</vt:lpstr>
      <vt:lpstr>obalCh4Prod4Slot1NetRev</vt:lpstr>
      <vt:lpstr>obalCh4Prod4Slot1NetRevPerLtr</vt:lpstr>
      <vt:lpstr>obalCh4Prod4Slot1Pack</vt:lpstr>
      <vt:lpstr>obalCh4Prod4Slot1Promo1</vt:lpstr>
      <vt:lpstr>obalCh4Prod4Slot1Promo1CustUplift</vt:lpstr>
      <vt:lpstr>obalCh4Prod4Slot1Promo1GPaLUplift</vt:lpstr>
      <vt:lpstr>obalCh4Prod4Slot1Promo1Price</vt:lpstr>
      <vt:lpstr>obalCh4Prod4Slot1Promo1ROI</vt:lpstr>
      <vt:lpstr>obalCh4Prod4Slot1Promo1Share</vt:lpstr>
      <vt:lpstr>obalCh4Prod4Slot1Promo1VolUplift</vt:lpstr>
      <vt:lpstr>obalCh4Prod4Slot1Promo1Weeks</vt:lpstr>
      <vt:lpstr>obalCh4Prod4Slot1SoldVol</vt:lpstr>
      <vt:lpstr>obalCh4Prod4Slot1WD</vt:lpstr>
      <vt:lpstr>obalCh4Prod4Slot2Active</vt:lpstr>
      <vt:lpstr>obalCh4Prod4Slot2AvgPrice</vt:lpstr>
      <vt:lpstr>obalCh4Prod4Slot2COGS</vt:lpstr>
      <vt:lpstr>obalCh4Prod4Slot2COGSpL</vt:lpstr>
      <vt:lpstr>obalCh4Prod4Slot2CustPrice</vt:lpstr>
      <vt:lpstr>obalCh4Prod4Slot2GPaL</vt:lpstr>
      <vt:lpstr>obalCh4Prod4Slot2GPaLPerLitre</vt:lpstr>
      <vt:lpstr>obalCh4Prod4Slot2NetRev</vt:lpstr>
      <vt:lpstr>obalCh4Prod4Slot2NetRevPerLtr</vt:lpstr>
      <vt:lpstr>obalCh4Prod4Slot2Pack</vt:lpstr>
      <vt:lpstr>obalCh4Prod4Slot2Promo1</vt:lpstr>
      <vt:lpstr>obalCh4Prod4Slot2Promo1CustUplift</vt:lpstr>
      <vt:lpstr>obalCh4Prod4Slot2Promo1GPaLUplift</vt:lpstr>
      <vt:lpstr>obalCh4Prod4Slot2Promo1Price</vt:lpstr>
      <vt:lpstr>obalCh4Prod4Slot2Promo1ROI</vt:lpstr>
      <vt:lpstr>obalCh4Prod4Slot2Promo1Share</vt:lpstr>
      <vt:lpstr>obalCh4Prod4Slot2Promo1VolUplift</vt:lpstr>
      <vt:lpstr>obalCh4Prod4Slot2Promo1Weeks</vt:lpstr>
      <vt:lpstr>obalCh4Prod4Slot2SoldVol</vt:lpstr>
      <vt:lpstr>obalCh4Prod4Slot2WD</vt:lpstr>
      <vt:lpstr>obalCh4Prod4Slot3Active</vt:lpstr>
      <vt:lpstr>obalCh4Prod4Slot3AvgPrice</vt:lpstr>
      <vt:lpstr>obalCh4Prod4Slot3COGS</vt:lpstr>
      <vt:lpstr>obalCh4Prod4Slot3COGSpL</vt:lpstr>
      <vt:lpstr>obalCh4Prod4Slot3CustPrice</vt:lpstr>
      <vt:lpstr>obalCh4Prod4Slot3GPaL</vt:lpstr>
      <vt:lpstr>obalCh4Prod4Slot3GPaLPerLitre</vt:lpstr>
      <vt:lpstr>obalCh4Prod4Slot3NetRev</vt:lpstr>
      <vt:lpstr>obalCh4Prod4Slot3NetRevPerLtr</vt:lpstr>
      <vt:lpstr>obalCh4Prod4Slot3Pack</vt:lpstr>
      <vt:lpstr>obalCh4Prod4Slot3Promo1</vt:lpstr>
      <vt:lpstr>obalCh4Prod4Slot3Promo1CustUplift</vt:lpstr>
      <vt:lpstr>obalCh4Prod4Slot3Promo1GPaLUplift</vt:lpstr>
      <vt:lpstr>obalCh4Prod4Slot3Promo1Price</vt:lpstr>
      <vt:lpstr>obalCh4Prod4Slot3Promo1ROI</vt:lpstr>
      <vt:lpstr>obalCh4Prod4Slot3Promo1Share</vt:lpstr>
      <vt:lpstr>obalCh4Prod4Slot3Promo1VolUplift</vt:lpstr>
      <vt:lpstr>obalCh4Prod4Slot3Promo1Weeks</vt:lpstr>
      <vt:lpstr>obalCh4Prod4Slot3SoldVol</vt:lpstr>
      <vt:lpstr>obalCh4Prod4Slot3WD</vt:lpstr>
      <vt:lpstr>obalCh4Prod4SlotTotActive</vt:lpstr>
      <vt:lpstr>obalCh4RevenueTot</vt:lpstr>
      <vt:lpstr>obalCh4Slots</vt:lpstr>
      <vt:lpstr>obalCh4SlotTotActive</vt:lpstr>
      <vt:lpstr>obalCh4ValDriv1</vt:lpstr>
      <vt:lpstr>obalCh4ValDriv2</vt:lpstr>
      <vt:lpstr>obalCh4ValDriv3</vt:lpstr>
      <vt:lpstr>obalCh4ValDriv4</vt:lpstr>
      <vt:lpstr>obalCh4ValDriv5</vt:lpstr>
      <vt:lpstr>obalCh4ValDrivCond</vt:lpstr>
      <vt:lpstr>obalCompanyCustomerProfitTot</vt:lpstr>
      <vt:lpstr>obalCompanyEBIT</vt:lpstr>
      <vt:lpstr>obalCompanyGPaLTot</vt:lpstr>
      <vt:lpstr>obalCompanyRevenueTot</vt:lpstr>
      <vt:lpstr>obalCompanyVolSold</vt:lpstr>
      <vt:lpstr>obalCurrentAssets</vt:lpstr>
      <vt:lpstr>obalCurrentLiab</vt:lpstr>
      <vt:lpstr>obalEmp1</vt:lpstr>
      <vt:lpstr>obalEquity</vt:lpstr>
      <vt:lpstr>obalGoodwill</vt:lpstr>
      <vt:lpstr>obalLiab</vt:lpstr>
      <vt:lpstr>obalLongTermLiab</vt:lpstr>
      <vt:lpstr>obalNetEarnings</vt:lpstr>
      <vt:lpstr>obalOtherCurrLiab</vt:lpstr>
      <vt:lpstr>obalPack10Avail</vt:lpstr>
      <vt:lpstr>obalPack11Avail</vt:lpstr>
      <vt:lpstr>obalPack12Avail</vt:lpstr>
      <vt:lpstr>obalPack13Avail</vt:lpstr>
      <vt:lpstr>obalPack14Avail</vt:lpstr>
      <vt:lpstr>obalPack15Avail</vt:lpstr>
      <vt:lpstr>obalPack16Avail</vt:lpstr>
      <vt:lpstr>obalPack17Avail</vt:lpstr>
      <vt:lpstr>obalPack18Avail</vt:lpstr>
      <vt:lpstr>obalPack19Avail</vt:lpstr>
      <vt:lpstr>obalPack1Avail</vt:lpstr>
      <vt:lpstr>obalPack20Avail</vt:lpstr>
      <vt:lpstr>obalPack21Avail</vt:lpstr>
      <vt:lpstr>obalPack22Avail</vt:lpstr>
      <vt:lpstr>obalPack23Avail</vt:lpstr>
      <vt:lpstr>obalPack24Avail</vt:lpstr>
      <vt:lpstr>obalPack25Avail</vt:lpstr>
      <vt:lpstr>obalPack26Avail</vt:lpstr>
      <vt:lpstr>obalPack27Avail</vt:lpstr>
      <vt:lpstr>obalPack28Avail</vt:lpstr>
      <vt:lpstr>obalPack29Avail</vt:lpstr>
      <vt:lpstr>obalPack2Avail</vt:lpstr>
      <vt:lpstr>obalPack30Avail</vt:lpstr>
      <vt:lpstr>obalPack3Avail</vt:lpstr>
      <vt:lpstr>obalPack4Avail</vt:lpstr>
      <vt:lpstr>obalPack5Avail</vt:lpstr>
      <vt:lpstr>obalPack6Avail</vt:lpstr>
      <vt:lpstr>obalPack7Avail</vt:lpstr>
      <vt:lpstr>obalPack8Avail</vt:lpstr>
      <vt:lpstr>obalPack9Avail</vt:lpstr>
      <vt:lpstr>obalPlant1Units</vt:lpstr>
      <vt:lpstr>obalPlantValue</vt:lpstr>
      <vt:lpstr>obalPPEValue</vt:lpstr>
      <vt:lpstr>obalProd1AR</vt:lpstr>
      <vt:lpstr>obalProd1FG</vt:lpstr>
      <vt:lpstr>obalProd1Mat</vt:lpstr>
      <vt:lpstr>obalProd1SlotTotActive</vt:lpstr>
      <vt:lpstr>obalProd1WIP</vt:lpstr>
      <vt:lpstr>obalProd2SlotTotActive</vt:lpstr>
      <vt:lpstr>obalProd3SlotTotActive</vt:lpstr>
      <vt:lpstr>obalProd4SlotTotActive</vt:lpstr>
      <vt:lpstr>obalReport1</vt:lpstr>
      <vt:lpstr>obalReport2</vt:lpstr>
      <vt:lpstr>obalReport3</vt:lpstr>
      <vt:lpstr>obalReport4</vt:lpstr>
      <vt:lpstr>obalReport5</vt:lpstr>
      <vt:lpstr>obalReport6</vt:lpstr>
      <vt:lpstr>obalRetainedEarnings</vt:lpstr>
      <vt:lpstr>obalSI1CodeR1</vt:lpstr>
      <vt:lpstr>obalSI1CodeR2</vt:lpstr>
      <vt:lpstr>obalSI1CodeR3</vt:lpstr>
      <vt:lpstr>obalSI2CodeR1</vt:lpstr>
      <vt:lpstr>obalSI2CodeR2</vt:lpstr>
      <vt:lpstr>obalSI2CodeR3</vt:lpstr>
      <vt:lpstr>obalSI3CodeR1</vt:lpstr>
      <vt:lpstr>obalSI3CodeR2</vt:lpstr>
      <vt:lpstr>obalSI3CodeR3</vt:lpstr>
      <vt:lpstr>obalSI4CodeR1</vt:lpstr>
      <vt:lpstr>obalSI4CodeR2</vt:lpstr>
      <vt:lpstr>obalSI4CodeR3</vt:lpstr>
      <vt:lpstr>obalSI5CodeR1</vt:lpstr>
      <vt:lpstr>obalSI5CodeR2</vt:lpstr>
      <vt:lpstr>obalSI5CodeR3</vt:lpstr>
      <vt:lpstr>obalSpecialLoans</vt:lpstr>
      <vt:lpstr>obalStock</vt:lpstr>
      <vt:lpstr>Pack_AvailableCount</vt:lpstr>
      <vt:lpstr>Pack_AvailableProgramDropDown</vt:lpstr>
      <vt:lpstr>Pack_Code</vt:lpstr>
      <vt:lpstr>Pack_currentRound</vt:lpstr>
      <vt:lpstr>Pack_DisplayedName</vt:lpstr>
      <vt:lpstr>Pack_Index</vt:lpstr>
      <vt:lpstr>Pack_Name</vt:lpstr>
      <vt:lpstr>Pack_selectedSeparator</vt:lpstr>
      <vt:lpstr>Pack_TotalAvailable</vt:lpstr>
      <vt:lpstr>Pack_WorksheetName</vt:lpstr>
      <vt:lpstr>PackAvailable_AvailableCount</vt:lpstr>
      <vt:lpstr>PackAvailable_AvailableProgramDropDown</vt:lpstr>
      <vt:lpstr>PackAvailable_Code</vt:lpstr>
      <vt:lpstr>PackAvailable_currentRound</vt:lpstr>
      <vt:lpstr>PackAvailable_DisplayedName</vt:lpstr>
      <vt:lpstr>PackAvailable_Index</vt:lpstr>
      <vt:lpstr>PackAvailable_Name</vt:lpstr>
      <vt:lpstr>PackAvailable_selectedSeparator</vt:lpstr>
      <vt:lpstr>PackAvailable_TotalAvailable</vt:lpstr>
      <vt:lpstr>PackAvailable_WorksheetName</vt:lpstr>
      <vt:lpstr>PackTestAvailable</vt:lpstr>
      <vt:lpstr>PackTestInnovation</vt:lpstr>
      <vt:lpstr>paramAPDays</vt:lpstr>
      <vt:lpstr>paramBorrowIntRate</vt:lpstr>
      <vt:lpstr>paramCh1CategoryGrowthSI</vt:lpstr>
      <vt:lpstr>paramCh1MarkPlanSI</vt:lpstr>
      <vt:lpstr>paramCh1ReportsEmp1Req</vt:lpstr>
      <vt:lpstr>paramCh1ReportsExp</vt:lpstr>
      <vt:lpstr>paramCh1ValDriv1SIFactor</vt:lpstr>
      <vt:lpstr>paramCh1ValDriv1UnCondFactor</vt:lpstr>
      <vt:lpstr>paramCh1ValDriv2SIFactor</vt:lpstr>
      <vt:lpstr>paramCh1ValDriv2UnCondFactor</vt:lpstr>
      <vt:lpstr>paramCh1ValDriv3SIFactor</vt:lpstr>
      <vt:lpstr>paramCh1ValDriv3UnCondFactor</vt:lpstr>
      <vt:lpstr>paramCh1ValDriv4SIFactor</vt:lpstr>
      <vt:lpstr>paramCh1ValDriv4UnCondFactor</vt:lpstr>
      <vt:lpstr>paramCh1ValDriv5SIFactor</vt:lpstr>
      <vt:lpstr>paramCh1ValDriv5UnCondFactor</vt:lpstr>
      <vt:lpstr>paramCh1ValDrivCondSI</vt:lpstr>
      <vt:lpstr>paramCh2CategoryGrowthSI</vt:lpstr>
      <vt:lpstr>paramCh2MarkPlanSI</vt:lpstr>
      <vt:lpstr>paramCh2ReportsEmp1Req</vt:lpstr>
      <vt:lpstr>paramCh2ReportsExp</vt:lpstr>
      <vt:lpstr>paramCh2ValDriv1SIFactor</vt:lpstr>
      <vt:lpstr>paramCh2ValDriv1UnCondFactor</vt:lpstr>
      <vt:lpstr>paramCh2ValDriv2SIFactor</vt:lpstr>
      <vt:lpstr>paramCh2ValDriv2UnCondFactor</vt:lpstr>
      <vt:lpstr>paramCh2ValDriv3SIFactor</vt:lpstr>
      <vt:lpstr>paramCh2ValDriv3UnCondFactor</vt:lpstr>
      <vt:lpstr>paramCh2ValDriv4SIFactor</vt:lpstr>
      <vt:lpstr>paramCh2ValDriv4UnCondFactor</vt:lpstr>
      <vt:lpstr>paramCh2ValDriv5SIFactor</vt:lpstr>
      <vt:lpstr>paramCh2ValDriv5UnCondFactor</vt:lpstr>
      <vt:lpstr>paramCh2ValDrivCondSI</vt:lpstr>
      <vt:lpstr>paramCh3CategoryGrowthSI</vt:lpstr>
      <vt:lpstr>paramCh3MarkPlanSI</vt:lpstr>
      <vt:lpstr>paramCh3ReportsEmp1Req</vt:lpstr>
      <vt:lpstr>paramCh3ReportsExp</vt:lpstr>
      <vt:lpstr>paramCh3ValDriv1SIFactor</vt:lpstr>
      <vt:lpstr>paramCh3ValDriv1UnCondFactor</vt:lpstr>
      <vt:lpstr>paramCh3ValDriv2SIFactor</vt:lpstr>
      <vt:lpstr>paramCh3ValDriv2UnCondFactor</vt:lpstr>
      <vt:lpstr>paramCh3ValDriv3SIFactor</vt:lpstr>
      <vt:lpstr>paramCh3ValDriv3UnCondFactor</vt:lpstr>
      <vt:lpstr>paramCh3ValDriv4SIFactor</vt:lpstr>
      <vt:lpstr>paramCh3ValDriv4UnCondFactor</vt:lpstr>
      <vt:lpstr>paramCh3ValDriv5SIFactor</vt:lpstr>
      <vt:lpstr>paramCh3ValDriv5UnCondFactor</vt:lpstr>
      <vt:lpstr>paramCh3ValDrivCondSI</vt:lpstr>
      <vt:lpstr>paramCh4CategoryGrowthSI</vt:lpstr>
      <vt:lpstr>paramCh4MarkPlanSI</vt:lpstr>
      <vt:lpstr>paramCh4ReportsEmp1Req</vt:lpstr>
      <vt:lpstr>paramCh4ReportsExp</vt:lpstr>
      <vt:lpstr>paramCh4ValDriv1SIFactor</vt:lpstr>
      <vt:lpstr>paramCh4ValDriv1UnCondFactor</vt:lpstr>
      <vt:lpstr>paramCh4ValDriv2SIFactor</vt:lpstr>
      <vt:lpstr>paramCh4ValDriv2UnCondFactor</vt:lpstr>
      <vt:lpstr>paramCh4ValDriv3SIFactor</vt:lpstr>
      <vt:lpstr>paramCh4ValDriv3UnCondFactor</vt:lpstr>
      <vt:lpstr>paramCh4ValDriv4SIFactor</vt:lpstr>
      <vt:lpstr>paramCh4ValDriv4UnCondFactor</vt:lpstr>
      <vt:lpstr>paramCh4ValDriv5SIFactor</vt:lpstr>
      <vt:lpstr>paramCh4ValDriv5UnCondFactor</vt:lpstr>
      <vt:lpstr>paramCh4ValDrivCondSI</vt:lpstr>
      <vt:lpstr>paramCorpTaxRate</vt:lpstr>
      <vt:lpstr>paramCreditDays</vt:lpstr>
      <vt:lpstr>paramemp1AdminCostPct</vt:lpstr>
      <vt:lpstr>paramemp1AttRate</vt:lpstr>
      <vt:lpstr>paramemp1Exp</vt:lpstr>
      <vt:lpstr>paramemp1RecDismCost</vt:lpstr>
      <vt:lpstr>paramemp1RecRate</vt:lpstr>
      <vt:lpstr>paramExciseProd1</vt:lpstr>
      <vt:lpstr>paramExciseProd2</vt:lpstr>
      <vt:lpstr>paramExciseProd3</vt:lpstr>
      <vt:lpstr>paramExciseProd4</vt:lpstr>
      <vt:lpstr>paramFixedAdminExp</vt:lpstr>
      <vt:lpstr>paramFixedBrandMktExp</vt:lpstr>
      <vt:lpstr>paramFixedRnDExp</vt:lpstr>
      <vt:lpstr>paramFixedSalesExp</vt:lpstr>
      <vt:lpstr>paramFixedTradeMktExp</vt:lpstr>
      <vt:lpstr>paramInnovationExpDisc</vt:lpstr>
      <vt:lpstr>paramLabourCostPerHr</vt:lpstr>
      <vt:lpstr>paramLendIntRate</vt:lpstr>
      <vt:lpstr>paramNewSlotExp</vt:lpstr>
      <vt:lpstr>paramPlant1DepRate</vt:lpstr>
      <vt:lpstr>paramPlant1DivRevenue</vt:lpstr>
      <vt:lpstr>paramPlant1Emp9Req</vt:lpstr>
      <vt:lpstr>paramPlant1InvCost</vt:lpstr>
      <vt:lpstr>paramPlant1LifecycleDays</vt:lpstr>
      <vt:lpstr>paramPlant1MachCostPHr</vt:lpstr>
      <vt:lpstr>paramPlant1MachHrsPUnit</vt:lpstr>
      <vt:lpstr>paramPlant1MaxUtiliz</vt:lpstr>
      <vt:lpstr>paramPlant1RampUpPct</vt:lpstr>
      <vt:lpstr>paramPlant1ResetTime</vt:lpstr>
      <vt:lpstr>paramPlant1toFG</vt:lpstr>
      <vt:lpstr>paramPlant1WIPLevComp</vt:lpstr>
      <vt:lpstr>paramProd1LabourExpSI</vt:lpstr>
      <vt:lpstr>paramProd1LogExpSI</vt:lpstr>
      <vt:lpstr>paramProd1MatExpSI</vt:lpstr>
      <vt:lpstr>paramProd2LabourExpSI</vt:lpstr>
      <vt:lpstr>paramProd2LogExpSI</vt:lpstr>
      <vt:lpstr>paramProd2MatExpSI</vt:lpstr>
      <vt:lpstr>paramProd3LabourExpSI</vt:lpstr>
      <vt:lpstr>paramProd3LogExpSI</vt:lpstr>
      <vt:lpstr>paramProd3MatExpSI</vt:lpstr>
      <vt:lpstr>paramProd4LabourExpSI</vt:lpstr>
      <vt:lpstr>paramProd4LogExpSI</vt:lpstr>
      <vt:lpstr>paramProd4MatExpSI</vt:lpstr>
      <vt:lpstr>paramRepEmp1</vt:lpstr>
      <vt:lpstr>paramRepExp</vt:lpstr>
      <vt:lpstr>paramSIEmp1</vt:lpstr>
      <vt:lpstr>paramSIExp</vt:lpstr>
      <vt:lpstr>paramTM</vt:lpstr>
      <vt:lpstr>paramValDriv2VisibilityShare</vt:lpstr>
      <vt:lpstr>paramValDriv3VisibilityShare</vt:lpstr>
      <vt:lpstr>paramVariableBrandMktExp</vt:lpstr>
      <vt:lpstr>paramVariableRnDExp</vt:lpstr>
      <vt:lpstr>paramVariableSalesExp</vt:lpstr>
      <vt:lpstr>SI_AvailableCount</vt:lpstr>
      <vt:lpstr>SI_AvailableProgramDropDown</vt:lpstr>
      <vt:lpstr>SI_Code</vt:lpstr>
      <vt:lpstr>SI_currentRound</vt:lpstr>
      <vt:lpstr>SI_DisplayedName</vt:lpstr>
      <vt:lpstr>SI_Index</vt:lpstr>
      <vt:lpstr>SI_Name</vt:lpstr>
      <vt:lpstr>SI_selectedSeparator</vt:lpstr>
      <vt:lpstr>SI_TotalAvailable</vt:lpstr>
      <vt:lpstr>SI_WorksheetName</vt:lpstr>
      <vt:lpstr>sim_OnResetGoTo</vt:lpstr>
      <vt:lpstr>SiTest</vt:lpstr>
      <vt:lpstr>tlInputCh1MarkPlan</vt:lpstr>
      <vt:lpstr>tlInputCh1Prod1Forecast</vt:lpstr>
      <vt:lpstr>tlInputCh1Prod1Slot1Active</vt:lpstr>
      <vt:lpstr>tlinputCh1Prod1Slot1CustPrice</vt:lpstr>
      <vt:lpstr>tlinputCh1Prod1Slot1Forecast</vt:lpstr>
      <vt:lpstr>tlinputCh1Prod1Slot1Pack</vt:lpstr>
      <vt:lpstr>tlinputCh1Prod1Slot1Promo1</vt:lpstr>
      <vt:lpstr>tlinputCh1Prod1Slot1Promo1ShareFrc</vt:lpstr>
      <vt:lpstr>tlinputCh1Prod1Slot1Promo1Weeks</vt:lpstr>
      <vt:lpstr>tlinputCh1Prod1Slot1Promo2</vt:lpstr>
      <vt:lpstr>tlinputCh1Prod1Slot1Promo2ShareFrc</vt:lpstr>
      <vt:lpstr>tlinputCh1Prod1Slot1Promo2Weeks</vt:lpstr>
      <vt:lpstr>tlInputCh1Prod1Slot2Active</vt:lpstr>
      <vt:lpstr>tlinputCh1Prod1Slot2CustPrice</vt:lpstr>
      <vt:lpstr>tlinputCh1Prod1Slot2Forecast</vt:lpstr>
      <vt:lpstr>tlinputCh1Prod1Slot2Pack</vt:lpstr>
      <vt:lpstr>tlinputCh1Prod1Slot2Promo1</vt:lpstr>
      <vt:lpstr>tlinputCh1Prod1Slot2Promo1ShareFrc</vt:lpstr>
      <vt:lpstr>tlinputCh1Prod1Slot2Promo1Weeks</vt:lpstr>
      <vt:lpstr>tlinputCh1Prod1Slot2Promo2</vt:lpstr>
      <vt:lpstr>tlinputCh1Prod1Slot2Promo2ShareFrc</vt:lpstr>
      <vt:lpstr>tlinputCh1Prod1Slot2Promo2Weeks</vt:lpstr>
      <vt:lpstr>tlInputCh1Prod1Slot3Active</vt:lpstr>
      <vt:lpstr>tlinputCh1Prod1Slot3CustPrice</vt:lpstr>
      <vt:lpstr>tlinputCh1Prod1Slot3Forecast</vt:lpstr>
      <vt:lpstr>tlinputCh1Prod1Slot3Pack</vt:lpstr>
      <vt:lpstr>tlinputCh1Prod1Slot3Promo1</vt:lpstr>
      <vt:lpstr>tlinputCh1Prod1Slot3Promo1ShareFrc</vt:lpstr>
      <vt:lpstr>tlinputCh1Prod1Slot3Promo1Weeks</vt:lpstr>
      <vt:lpstr>tlinputCh1Prod1Slot3Promo2</vt:lpstr>
      <vt:lpstr>tlinputCh1Prod1Slot3Promo2ShareFrc</vt:lpstr>
      <vt:lpstr>tlinputCh1Prod1Slot3Promo2Weeks</vt:lpstr>
      <vt:lpstr>tlInputCh1Prod2Forecast</vt:lpstr>
      <vt:lpstr>tlInputCh1Prod2Slot1Active</vt:lpstr>
      <vt:lpstr>tlinputCh1Prod2Slot1CustPrice</vt:lpstr>
      <vt:lpstr>tlinputCh1Prod2Slot1Forecast</vt:lpstr>
      <vt:lpstr>tlinputCh1Prod2Slot1Pack</vt:lpstr>
      <vt:lpstr>tlinputCh1Prod2Slot1Promo1</vt:lpstr>
      <vt:lpstr>tlinputCh1Prod2Slot1Promo1ShareFrc</vt:lpstr>
      <vt:lpstr>tlinputCh1Prod2Slot1Promo1Weeks</vt:lpstr>
      <vt:lpstr>tlinputCh1Prod2Slot1Promo2</vt:lpstr>
      <vt:lpstr>tlinputCh1Prod2Slot1Promo2ShareFrc</vt:lpstr>
      <vt:lpstr>tlinputCh1Prod2Slot1Promo2Weeks</vt:lpstr>
      <vt:lpstr>tlInputCh1Prod2Slot2Active</vt:lpstr>
      <vt:lpstr>tlinputCh1Prod2Slot2CustPrice</vt:lpstr>
      <vt:lpstr>tlinputCh1Prod2Slot2Forecast</vt:lpstr>
      <vt:lpstr>tlinputCh1Prod2Slot2Pack</vt:lpstr>
      <vt:lpstr>tlinputCh1Prod2Slot2Promo1</vt:lpstr>
      <vt:lpstr>tlinputCh1Prod2Slot2Promo1ShareFrc</vt:lpstr>
      <vt:lpstr>tlinputCh1Prod2Slot2Promo1Weeks</vt:lpstr>
      <vt:lpstr>tlinputCh1Prod2Slot2Promo2</vt:lpstr>
      <vt:lpstr>tlinputCh1Prod2Slot2Promo2ShareFrc</vt:lpstr>
      <vt:lpstr>tlinputCh1Prod2Slot2Promo2Weeks</vt:lpstr>
      <vt:lpstr>tlInputCh1Prod2Slot3Active</vt:lpstr>
      <vt:lpstr>tlinputCh1Prod2Slot3CustPrice</vt:lpstr>
      <vt:lpstr>tlinputCh1Prod2Slot3Forecast</vt:lpstr>
      <vt:lpstr>tlinputCh1Prod2Slot3Pack</vt:lpstr>
      <vt:lpstr>tlinputCh1Prod2Slot3Promo1</vt:lpstr>
      <vt:lpstr>tlinputCh1Prod2Slot3Promo1ShareFrc</vt:lpstr>
      <vt:lpstr>tlinputCh1Prod2Slot3Promo1Weeks</vt:lpstr>
      <vt:lpstr>tlinputCh1Prod2Slot3Promo2</vt:lpstr>
      <vt:lpstr>tlinputCh1Prod2Slot3Promo2ShareFrc</vt:lpstr>
      <vt:lpstr>tlinputCh1Prod2Slot3Promo2Weeks</vt:lpstr>
      <vt:lpstr>tlInputCh1Prod3Forecast</vt:lpstr>
      <vt:lpstr>tlInputCh1Prod3Slot1Active</vt:lpstr>
      <vt:lpstr>tlinputCh1Prod3Slot1CustPrice</vt:lpstr>
      <vt:lpstr>tlinputCh1Prod3Slot1Forecast</vt:lpstr>
      <vt:lpstr>tlinputCh1Prod3Slot1Pack</vt:lpstr>
      <vt:lpstr>tlinputCh1Prod3Slot1Promo1</vt:lpstr>
      <vt:lpstr>tlinputCh1Prod3Slot1Promo1ShareFrc</vt:lpstr>
      <vt:lpstr>tlinputCh1Prod3Slot1Promo1Weeks</vt:lpstr>
      <vt:lpstr>tlinputCh1Prod3Slot1Promo2</vt:lpstr>
      <vt:lpstr>tlinputCh1Prod3Slot1Promo2ShareFrc</vt:lpstr>
      <vt:lpstr>tlinputCh1Prod3Slot1Promo2Weeks</vt:lpstr>
      <vt:lpstr>tlInputCh1Prod3Slot2Active</vt:lpstr>
      <vt:lpstr>tlinputCh1Prod3Slot2CustPrice</vt:lpstr>
      <vt:lpstr>tlinputCh1Prod3Slot2Forecast</vt:lpstr>
      <vt:lpstr>tlinputCh1Prod3Slot2Pack</vt:lpstr>
      <vt:lpstr>tlinputCh1Prod3Slot2Promo1</vt:lpstr>
      <vt:lpstr>tlinputCh1Prod3Slot2Promo1ShareFrc</vt:lpstr>
      <vt:lpstr>tlinputCh1Prod3Slot2Promo1Weeks</vt:lpstr>
      <vt:lpstr>tlinputCh1Prod3Slot2Promo2</vt:lpstr>
      <vt:lpstr>tlinputCh1Prod3Slot2Promo2ShareFrc</vt:lpstr>
      <vt:lpstr>tlinputCh1Prod3Slot2Promo2Weeks</vt:lpstr>
      <vt:lpstr>tlInputCh1Prod3Slot3Active</vt:lpstr>
      <vt:lpstr>tlinputCh1Prod3Slot3CustPrice</vt:lpstr>
      <vt:lpstr>tlinputCh1Prod3Slot3Forecast</vt:lpstr>
      <vt:lpstr>tlinputCh1Prod3Slot3Pack</vt:lpstr>
      <vt:lpstr>tlinputCh1Prod3Slot3Promo1</vt:lpstr>
      <vt:lpstr>tlinputCh1Prod3Slot3Promo1ShareFrc</vt:lpstr>
      <vt:lpstr>tlinputCh1Prod3Slot3Promo1Weeks</vt:lpstr>
      <vt:lpstr>tlinputCh1Prod3Slot3Promo2</vt:lpstr>
      <vt:lpstr>tlinputCh1Prod3Slot3Promo2ShareFrc</vt:lpstr>
      <vt:lpstr>tlinputCh1Prod3Slot3Promo2Weeks</vt:lpstr>
      <vt:lpstr>tlInputCh1Prod4Forecast</vt:lpstr>
      <vt:lpstr>tlInputCh1Prod4Slot1Active</vt:lpstr>
      <vt:lpstr>tlinputCh1Prod4Slot1CustPrice</vt:lpstr>
      <vt:lpstr>tlinputCh1Prod4Slot1Forecast</vt:lpstr>
      <vt:lpstr>tlinputCh1Prod4Slot1Pack</vt:lpstr>
      <vt:lpstr>tlinputCh1Prod4Slot1Promo1</vt:lpstr>
      <vt:lpstr>tlinputCh1Prod4Slot1Promo1ShareFrc</vt:lpstr>
      <vt:lpstr>tlinputCh1Prod4Slot1Promo1Weeks</vt:lpstr>
      <vt:lpstr>tlinputCh1Prod4Slot1Promo2</vt:lpstr>
      <vt:lpstr>tlinputCh1Prod4Slot1Promo2ShareFrc</vt:lpstr>
      <vt:lpstr>tlinputCh1Prod4Slot1Promo2Weeks</vt:lpstr>
      <vt:lpstr>tlInputCh1Prod4Slot2Active</vt:lpstr>
      <vt:lpstr>tlinputCh1Prod4Slot2CustPrice</vt:lpstr>
      <vt:lpstr>tlinputCh1Prod4Slot2Forecast</vt:lpstr>
      <vt:lpstr>tlinputCh1Prod4Slot2Pack</vt:lpstr>
      <vt:lpstr>tlinputCh1Prod4Slot2Promo1</vt:lpstr>
      <vt:lpstr>tlinputCh1Prod4Slot2Promo1ShareFrc</vt:lpstr>
      <vt:lpstr>tlinputCh1Prod4Slot2Promo1Weeks</vt:lpstr>
      <vt:lpstr>tlinputCh1Prod4Slot2Promo2</vt:lpstr>
      <vt:lpstr>tlinputCh1Prod4Slot2Promo2ShareFrc</vt:lpstr>
      <vt:lpstr>tlinputCh1Prod4Slot2Promo2Weeks</vt:lpstr>
      <vt:lpstr>tlInputCh1Prod4Slot3Active</vt:lpstr>
      <vt:lpstr>tlinputCh1Prod4Slot3CustPrice</vt:lpstr>
      <vt:lpstr>tlinputCh1Prod4Slot3Forecast</vt:lpstr>
      <vt:lpstr>tlinputCh1Prod4Slot3Pack</vt:lpstr>
      <vt:lpstr>tlinputCh1Prod4Slot3Promo1</vt:lpstr>
      <vt:lpstr>tlinputCh1Prod4Slot3Promo1ShareFrc</vt:lpstr>
      <vt:lpstr>tlinputCh1Prod4Slot3Promo1Weeks</vt:lpstr>
      <vt:lpstr>tlinputCh1Prod4Slot3Promo2</vt:lpstr>
      <vt:lpstr>tlinputCh1Prod4Slot3Promo2ShareFrc</vt:lpstr>
      <vt:lpstr>tlinputCh1Prod4Slot3Promo2Weeks</vt:lpstr>
      <vt:lpstr>tlInputCh1R1Report1</vt:lpstr>
      <vt:lpstr>tlInputCh1R1Report2</vt:lpstr>
      <vt:lpstr>tlInputCh1R2Report3</vt:lpstr>
      <vt:lpstr>tlInputCh1R2Report4</vt:lpstr>
      <vt:lpstr>tlInputCh1R3Report5</vt:lpstr>
      <vt:lpstr>tlInputCh1R3Report6</vt:lpstr>
      <vt:lpstr>tlInputCh1ValDriv1</vt:lpstr>
      <vt:lpstr>tlInputCh1ValDriv2</vt:lpstr>
      <vt:lpstr>tlInputCh1ValDriv3</vt:lpstr>
      <vt:lpstr>tlInputCh1ValDriv4</vt:lpstr>
      <vt:lpstr>tlInputCh1ValDriv5</vt:lpstr>
      <vt:lpstr>tlInputCh1ValDrivCond</vt:lpstr>
      <vt:lpstr>tlInputCh1VT</vt:lpstr>
      <vt:lpstr>tlInputCh2MarkPlan</vt:lpstr>
      <vt:lpstr>tlInputCh2Prod1Forecast</vt:lpstr>
      <vt:lpstr>tlInputCh2Prod1Slot1Active</vt:lpstr>
      <vt:lpstr>tlinputCh2Prod1Slot1CustPrice</vt:lpstr>
      <vt:lpstr>tlinputCh2Prod1Slot1Forecast</vt:lpstr>
      <vt:lpstr>tlinputCh2Prod1Slot1Pack</vt:lpstr>
      <vt:lpstr>tlInputCh2Prod1Slot2Active</vt:lpstr>
      <vt:lpstr>tlinputCh2Prod1Slot2CustPrice</vt:lpstr>
      <vt:lpstr>tlinputCh2Prod1Slot2Forecast</vt:lpstr>
      <vt:lpstr>tlinputCh2Prod1Slot2Pack</vt:lpstr>
      <vt:lpstr>tlInputCh2Prod1Slot3Active</vt:lpstr>
      <vt:lpstr>tlinputCh2Prod1Slot3CustPrice</vt:lpstr>
      <vt:lpstr>tlinputCh2Prod1Slot3Forecast</vt:lpstr>
      <vt:lpstr>tlinputCh2Prod1Slot3Pack</vt:lpstr>
      <vt:lpstr>tlInputCh2Prod2Forecast</vt:lpstr>
      <vt:lpstr>tlInputCh2Prod2Slot1Active</vt:lpstr>
      <vt:lpstr>tlinputCh2Prod2Slot1CustPrice</vt:lpstr>
      <vt:lpstr>tlinputCh2Prod2Slot1Forecast</vt:lpstr>
      <vt:lpstr>tlinputCh2Prod2Slot1Pack</vt:lpstr>
      <vt:lpstr>tlInputCh2Prod2Slot2Active</vt:lpstr>
      <vt:lpstr>tlinputCh2Prod2Slot2CustPrice</vt:lpstr>
      <vt:lpstr>tlinputCh2Prod2Slot2Forecast</vt:lpstr>
      <vt:lpstr>tlinputCh2Prod2Slot2Pack</vt:lpstr>
      <vt:lpstr>tlInputCh2Prod2Slot3Active</vt:lpstr>
      <vt:lpstr>tlinputCh2Prod2Slot3CustPrice</vt:lpstr>
      <vt:lpstr>tlinputCh2Prod2Slot3Forecast</vt:lpstr>
      <vt:lpstr>tlinputCh2Prod2Slot3Pack</vt:lpstr>
      <vt:lpstr>tlInputCh2Prod3Forecast</vt:lpstr>
      <vt:lpstr>tlInputCh2Prod3Slot1Active</vt:lpstr>
      <vt:lpstr>tlinputCh2Prod3Slot1CustPrice</vt:lpstr>
      <vt:lpstr>tlinputCh2Prod3Slot1Forecast</vt:lpstr>
      <vt:lpstr>tlinputCh2Prod3Slot1Pack</vt:lpstr>
      <vt:lpstr>tlInputCh2Prod3Slot2Active</vt:lpstr>
      <vt:lpstr>tlinputCh2Prod3Slot2CustPrice</vt:lpstr>
      <vt:lpstr>tlinputCh2Prod3Slot2Forecast</vt:lpstr>
      <vt:lpstr>tlinputCh2Prod3Slot2Pack</vt:lpstr>
      <vt:lpstr>tlInputCh2Prod3Slot3Active</vt:lpstr>
      <vt:lpstr>tlinputCh2Prod3Slot3CustPrice</vt:lpstr>
      <vt:lpstr>tlinputCh2Prod3Slot3Forecast</vt:lpstr>
      <vt:lpstr>tlinputCh2Prod3Slot3Pack</vt:lpstr>
      <vt:lpstr>tlInputCh2Prod4Forecast</vt:lpstr>
      <vt:lpstr>tlInputCh2Prod4Slot1Active</vt:lpstr>
      <vt:lpstr>tlinputCh2Prod4Slot1CustPrice</vt:lpstr>
      <vt:lpstr>tlinputCh2Prod4Slot1Forecast</vt:lpstr>
      <vt:lpstr>tlinputCh2Prod4Slot1Pack</vt:lpstr>
      <vt:lpstr>tlInputCh2Prod4Slot2Active</vt:lpstr>
      <vt:lpstr>tlinputCh2Prod4Slot2CustPrice</vt:lpstr>
      <vt:lpstr>tlinputCh2Prod4Slot2Forecast</vt:lpstr>
      <vt:lpstr>tlinputCh2Prod4Slot2Pack</vt:lpstr>
      <vt:lpstr>tlInputCh2Prod4Slot3Active</vt:lpstr>
      <vt:lpstr>tlinputCh2Prod4Slot3CustPrice</vt:lpstr>
      <vt:lpstr>tlinputCh2Prod4Slot3Forecast</vt:lpstr>
      <vt:lpstr>tlinputCh2Prod4Slot3Pack</vt:lpstr>
      <vt:lpstr>tlInputCh2R1Report1</vt:lpstr>
      <vt:lpstr>tlInputCh2R1Report2</vt:lpstr>
      <vt:lpstr>tlInputCh2R2Report3</vt:lpstr>
      <vt:lpstr>tlInputCh2R2Report4</vt:lpstr>
      <vt:lpstr>tlInputCh2R3Report5</vt:lpstr>
      <vt:lpstr>tlInputCh2R3Report6</vt:lpstr>
      <vt:lpstr>tlInputCh2ValDriv1</vt:lpstr>
      <vt:lpstr>tlInputCh2ValDriv2</vt:lpstr>
      <vt:lpstr>tlInputCh2ValDriv3</vt:lpstr>
      <vt:lpstr>tlInputCh2ValDriv4</vt:lpstr>
      <vt:lpstr>tlInputCh2ValDriv5</vt:lpstr>
      <vt:lpstr>tlInputCh2ValDrivCond</vt:lpstr>
      <vt:lpstr>tlInputCh2VT</vt:lpstr>
      <vt:lpstr>tlInputCh3MarkPlan</vt:lpstr>
      <vt:lpstr>tlInputCh3Prod1Forecast</vt:lpstr>
      <vt:lpstr>tlInputCh3Prod1Slot1Active</vt:lpstr>
      <vt:lpstr>tlinputCh3Prod1Slot1CustPrice</vt:lpstr>
      <vt:lpstr>tlinputCh3Prod1Slot1Forecast</vt:lpstr>
      <vt:lpstr>tlinputCh3Prod1Slot1Pack</vt:lpstr>
      <vt:lpstr>tlinputCh3Prod1Slot1Promo1</vt:lpstr>
      <vt:lpstr>tlinputCh3Prod1Slot1Promo1ShareFrc</vt:lpstr>
      <vt:lpstr>tlinputCh3Prod1Slot1Promo1Weeks</vt:lpstr>
      <vt:lpstr>tlInputCh3Prod1Slot2Active</vt:lpstr>
      <vt:lpstr>tlinputCh3Prod1Slot2CustPrice</vt:lpstr>
      <vt:lpstr>tlinputCh3Prod1Slot2Forecast</vt:lpstr>
      <vt:lpstr>tlinputCh3Prod1Slot2Pack</vt:lpstr>
      <vt:lpstr>tlinputCh3Prod1Slot2Promo1</vt:lpstr>
      <vt:lpstr>tlinputCh3Prod1Slot2Promo1ShareFrc</vt:lpstr>
      <vt:lpstr>tlinputCh3Prod1Slot2Promo1Weeks</vt:lpstr>
      <vt:lpstr>tlInputCh3Prod1Slot3Active</vt:lpstr>
      <vt:lpstr>tlinputCh3Prod1Slot3CustPrice</vt:lpstr>
      <vt:lpstr>tlinputCh3Prod1Slot3Forecast</vt:lpstr>
      <vt:lpstr>tlinputCh3Prod1Slot3Pack</vt:lpstr>
      <vt:lpstr>tlinputCh3Prod1Slot3Promo1</vt:lpstr>
      <vt:lpstr>tlinputCh3Prod1Slot3Promo1ShareFrc</vt:lpstr>
      <vt:lpstr>tlinputCh3Prod1Slot3Promo1Weeks</vt:lpstr>
      <vt:lpstr>tlInputCh3Prod2Forecast</vt:lpstr>
      <vt:lpstr>tlInputCh3Prod2Slot1Active</vt:lpstr>
      <vt:lpstr>tlinputCh3Prod2Slot1CustPrice</vt:lpstr>
      <vt:lpstr>tlinputCh3Prod2Slot1Forecast</vt:lpstr>
      <vt:lpstr>tlinputCh3Prod2Slot1Pack</vt:lpstr>
      <vt:lpstr>tlinputCh3Prod2Slot1Promo1</vt:lpstr>
      <vt:lpstr>tlinputCh3Prod2Slot1Promo1ShareFrc</vt:lpstr>
      <vt:lpstr>tlinputCh3Prod2Slot1Promo1Weeks</vt:lpstr>
      <vt:lpstr>tlInputCh3Prod2Slot2Active</vt:lpstr>
      <vt:lpstr>tlinputCh3Prod2Slot2CustPrice</vt:lpstr>
      <vt:lpstr>tlinputCh3Prod2Slot2Forecast</vt:lpstr>
      <vt:lpstr>tlinputCh3Prod2Slot2Pack</vt:lpstr>
      <vt:lpstr>tlinputCh3Prod2Slot2Promo1</vt:lpstr>
      <vt:lpstr>tlinputCh3Prod2Slot2Promo1ShareFrc</vt:lpstr>
      <vt:lpstr>tlinputCh3Prod2Slot2Promo1Weeks</vt:lpstr>
      <vt:lpstr>tlInputCh3Prod2Slot3Active</vt:lpstr>
      <vt:lpstr>tlinputCh3Prod2Slot3CustPrice</vt:lpstr>
      <vt:lpstr>tlinputCh3Prod2Slot3Forecast</vt:lpstr>
      <vt:lpstr>tlinputCh3Prod2Slot3Pack</vt:lpstr>
      <vt:lpstr>tlinputCh3Prod2Slot3Promo1</vt:lpstr>
      <vt:lpstr>tlinputCh3Prod2Slot3Promo1ShareFrc</vt:lpstr>
      <vt:lpstr>tlinputCh3Prod2Slot3Promo1Weeks</vt:lpstr>
      <vt:lpstr>tlInputCh3Prod3Forecast</vt:lpstr>
      <vt:lpstr>tlInputCh3Prod3Slot1Active</vt:lpstr>
      <vt:lpstr>tlinputCh3Prod3Slot1CustPrice</vt:lpstr>
      <vt:lpstr>tlinputCh3Prod3Slot1Forecast</vt:lpstr>
      <vt:lpstr>tlinputCh3Prod3Slot1Pack</vt:lpstr>
      <vt:lpstr>tlinputCh3Prod3Slot1Promo1</vt:lpstr>
      <vt:lpstr>tlinputCh3Prod3Slot1Promo1ShareFrc</vt:lpstr>
      <vt:lpstr>tlinputCh3Prod3Slot1Promo1Weeks</vt:lpstr>
      <vt:lpstr>tlInputCh3Prod3Slot2Active</vt:lpstr>
      <vt:lpstr>tlinputCh3Prod3Slot2CustPrice</vt:lpstr>
      <vt:lpstr>tlinputCh3Prod3Slot2Forecast</vt:lpstr>
      <vt:lpstr>tlinputCh3Prod3Slot2Pack</vt:lpstr>
      <vt:lpstr>tlinputCh3Prod3Slot2Promo1</vt:lpstr>
      <vt:lpstr>tlinputCh3Prod3Slot2Promo1ShareFrc</vt:lpstr>
      <vt:lpstr>tlinputCh3Prod3Slot2Promo1Weeks</vt:lpstr>
      <vt:lpstr>tlInputCh3Prod3Slot3Active</vt:lpstr>
      <vt:lpstr>tlinputCh3Prod3Slot3CustPrice</vt:lpstr>
      <vt:lpstr>tlinputCh3Prod3Slot3Forecast</vt:lpstr>
      <vt:lpstr>tlinputCh3Prod3Slot3Pack</vt:lpstr>
      <vt:lpstr>tlinputCh3Prod3Slot3Promo1</vt:lpstr>
      <vt:lpstr>tlinputCh3Prod3Slot3Promo1ShareFrc</vt:lpstr>
      <vt:lpstr>tlinputCh3Prod3Slot3Promo1Weeks</vt:lpstr>
      <vt:lpstr>tlInputCh3Prod4Forecast</vt:lpstr>
      <vt:lpstr>tlInputCh3Prod4Slot1Active</vt:lpstr>
      <vt:lpstr>tlinputCh3Prod4Slot1CustPrice</vt:lpstr>
      <vt:lpstr>tlinputCh3Prod4Slot1Forecast</vt:lpstr>
      <vt:lpstr>tlinputCh3Prod4Slot1Pack</vt:lpstr>
      <vt:lpstr>tlinputCh3Prod4Slot1Promo1</vt:lpstr>
      <vt:lpstr>tlinputCh3Prod4Slot1Promo1ShareFrc</vt:lpstr>
      <vt:lpstr>tlinputCh3Prod4Slot1Promo1Weeks</vt:lpstr>
      <vt:lpstr>tlInputCh3Prod4Slot2Active</vt:lpstr>
      <vt:lpstr>tlinputCh3Prod4Slot2CustPrice</vt:lpstr>
      <vt:lpstr>tlinputCh3Prod4Slot2Forecast</vt:lpstr>
      <vt:lpstr>tlinputCh3Prod4Slot2Pack</vt:lpstr>
      <vt:lpstr>tlinputCh3Prod4Slot2Promo1</vt:lpstr>
      <vt:lpstr>tlinputCh3Prod4Slot2Promo1ShareFrc</vt:lpstr>
      <vt:lpstr>tlinputCh3Prod4Slot2Promo1Weeks</vt:lpstr>
      <vt:lpstr>tlInputCh3Prod4Slot3Active</vt:lpstr>
      <vt:lpstr>tlinputCh3Prod4Slot3CustPrice</vt:lpstr>
      <vt:lpstr>tlinputCh3Prod4Slot3Forecast</vt:lpstr>
      <vt:lpstr>tlinputCh3Prod4Slot3Pack</vt:lpstr>
      <vt:lpstr>tlinputCh3Prod4Slot3Promo1</vt:lpstr>
      <vt:lpstr>tlinputCh3Prod4Slot3Promo1ShareFrc</vt:lpstr>
      <vt:lpstr>tlinputCh3Prod4Slot3Promo1Weeks</vt:lpstr>
      <vt:lpstr>tlInputCh3R1Report1</vt:lpstr>
      <vt:lpstr>tlInputCh3R1Report2</vt:lpstr>
      <vt:lpstr>tlInputCh3R2Report3</vt:lpstr>
      <vt:lpstr>tlInputCh3R2Report4</vt:lpstr>
      <vt:lpstr>tlInputCh3R3Report5</vt:lpstr>
      <vt:lpstr>tlInputCh3R3Report6</vt:lpstr>
      <vt:lpstr>tlInputCh3ValDriv1</vt:lpstr>
      <vt:lpstr>tlInputCh3ValDriv2</vt:lpstr>
      <vt:lpstr>tlInputCh3ValDriv3</vt:lpstr>
      <vt:lpstr>tlInputCh3ValDriv4</vt:lpstr>
      <vt:lpstr>tlInputCh3ValDriv5</vt:lpstr>
      <vt:lpstr>tlInputCh3ValDrivCond</vt:lpstr>
      <vt:lpstr>tlInputCh3VT</vt:lpstr>
      <vt:lpstr>tlInputCh4MarkPlan</vt:lpstr>
      <vt:lpstr>tlInputCh4Prod1Forecast</vt:lpstr>
      <vt:lpstr>tlInputCh4Prod1Slot1Active</vt:lpstr>
      <vt:lpstr>tlinputCh4Prod1Slot1CustPrice</vt:lpstr>
      <vt:lpstr>tlinputCh4Prod1Slot1Forecast</vt:lpstr>
      <vt:lpstr>tlinputCh4Prod1Slot1Pack</vt:lpstr>
      <vt:lpstr>tlinputCh4Prod1Slot1Promo1</vt:lpstr>
      <vt:lpstr>tlinputCh4Prod1Slot1Promo1ShareFrc</vt:lpstr>
      <vt:lpstr>tlinputCh4Prod1Slot1Promo1Weeks</vt:lpstr>
      <vt:lpstr>tlinputCh4Prod1Slot1Promo2ShareFrc</vt:lpstr>
      <vt:lpstr>tlInputCh4Prod1Slot2Active</vt:lpstr>
      <vt:lpstr>tlinputCh4Prod1Slot2CustPrice</vt:lpstr>
      <vt:lpstr>tlinputCh4Prod1Slot2Forecast</vt:lpstr>
      <vt:lpstr>tlinputCh4Prod1Slot2Pack</vt:lpstr>
      <vt:lpstr>tlinputCh4Prod1Slot2Promo1</vt:lpstr>
      <vt:lpstr>tlinputCh4Prod1Slot2Promo1ShareFrc</vt:lpstr>
      <vt:lpstr>tlinputCh4Prod1Slot2Promo1Weeks</vt:lpstr>
      <vt:lpstr>tlinputCh4Prod1Slot2Promo2ShareFrc</vt:lpstr>
      <vt:lpstr>tlInputCh4Prod1Slot3Active</vt:lpstr>
      <vt:lpstr>tlinputCh4Prod1Slot3CustPrice</vt:lpstr>
      <vt:lpstr>tlinputCh4Prod1Slot3Forecast</vt:lpstr>
      <vt:lpstr>tlinputCh4Prod1Slot3Pack</vt:lpstr>
      <vt:lpstr>tlinputCh4Prod1Slot3Promo1</vt:lpstr>
      <vt:lpstr>tlinputCh4Prod1Slot3Promo1ShareFrc</vt:lpstr>
      <vt:lpstr>tlinputCh4Prod1Slot3Promo1Weeks</vt:lpstr>
      <vt:lpstr>tlinputCh4Prod1Slot3Promo2ShareFrc</vt:lpstr>
      <vt:lpstr>tlInputCh4Prod2Forecast</vt:lpstr>
      <vt:lpstr>tlInputCh4Prod2Slot1Active</vt:lpstr>
      <vt:lpstr>tlinputCh4Prod2Slot1CustPrice</vt:lpstr>
      <vt:lpstr>tlinputCh4Prod2Slot1Forecast</vt:lpstr>
      <vt:lpstr>tlinputCh4Prod2Slot1Pack</vt:lpstr>
      <vt:lpstr>tlinputCh4Prod2Slot1Promo1</vt:lpstr>
      <vt:lpstr>tlinputCh4Prod2Slot1Promo1ShareFrc</vt:lpstr>
      <vt:lpstr>tlinputCh4Prod2Slot1Promo1Weeks</vt:lpstr>
      <vt:lpstr>tlinputCh4Prod2Slot1Promo2ShareFrc</vt:lpstr>
      <vt:lpstr>tlInputCh4Prod2Slot2Active</vt:lpstr>
      <vt:lpstr>tlinputCh4Prod2Slot2CustPrice</vt:lpstr>
      <vt:lpstr>tlinputCh4Prod2Slot2Forecast</vt:lpstr>
      <vt:lpstr>tlinputCh4Prod2Slot2Pack</vt:lpstr>
      <vt:lpstr>tlinputCh4Prod2Slot2Promo1</vt:lpstr>
      <vt:lpstr>tlinputCh4Prod2Slot2Promo1ShareFrc</vt:lpstr>
      <vt:lpstr>tlinputCh4Prod2Slot2Promo1Weeks</vt:lpstr>
      <vt:lpstr>tlinputCh4Prod2Slot2Promo2ShareFrc</vt:lpstr>
      <vt:lpstr>tlInputCh4Prod2Slot3Active</vt:lpstr>
      <vt:lpstr>tlinputCh4Prod2Slot3CustPrice</vt:lpstr>
      <vt:lpstr>tlinputCh4Prod2Slot3Forecast</vt:lpstr>
      <vt:lpstr>tlinputCh4Prod2Slot3Pack</vt:lpstr>
      <vt:lpstr>tlinputCh4Prod2Slot3Promo1</vt:lpstr>
      <vt:lpstr>tlinputCh4Prod2Slot3Promo1ShareFrc</vt:lpstr>
      <vt:lpstr>tlinputCh4Prod2Slot3Promo1Weeks</vt:lpstr>
      <vt:lpstr>tlinputCh4Prod2Slot3Promo2ShareFrc</vt:lpstr>
      <vt:lpstr>tlInputCh4Prod3Forecast</vt:lpstr>
      <vt:lpstr>tlInputCh4Prod3Slot1Active</vt:lpstr>
      <vt:lpstr>tlinputCh4Prod3Slot1CustPrice</vt:lpstr>
      <vt:lpstr>tlinputCh4Prod3Slot1Forecast</vt:lpstr>
      <vt:lpstr>tlinputCh4Prod3Slot1Pack</vt:lpstr>
      <vt:lpstr>tlinputCh4Prod3Slot1Promo1</vt:lpstr>
      <vt:lpstr>tlinputCh4Prod3Slot1Promo1ShareFrc</vt:lpstr>
      <vt:lpstr>tlinputCh4Prod3Slot1Promo1Weeks</vt:lpstr>
      <vt:lpstr>tlinputCh4Prod3Slot1Promo2ShareFrc</vt:lpstr>
      <vt:lpstr>tlInputCh4Prod3Slot2Active</vt:lpstr>
      <vt:lpstr>tlinputCh4Prod3Slot2CustPrice</vt:lpstr>
      <vt:lpstr>tlinputCh4Prod3Slot2Forecast</vt:lpstr>
      <vt:lpstr>tlinputCh4Prod3Slot2Pack</vt:lpstr>
      <vt:lpstr>tlinputCh4Prod3Slot2Promo1</vt:lpstr>
      <vt:lpstr>tlinputCh4Prod3Slot2Promo1ShareFrc</vt:lpstr>
      <vt:lpstr>tlinputCh4Prod3Slot2Promo1Weeks</vt:lpstr>
      <vt:lpstr>tlinputCh4Prod3Slot2Promo2ShareFrc</vt:lpstr>
      <vt:lpstr>tlInputCh4Prod3Slot3Active</vt:lpstr>
      <vt:lpstr>tlinputCh4Prod3Slot3CustPrice</vt:lpstr>
      <vt:lpstr>tlinputCh4Prod3Slot3Forecast</vt:lpstr>
      <vt:lpstr>tlinputCh4Prod3Slot3Pack</vt:lpstr>
      <vt:lpstr>tlinputCh4Prod3Slot3Promo1</vt:lpstr>
      <vt:lpstr>tlinputCh4Prod3Slot3Promo1ShareFrc</vt:lpstr>
      <vt:lpstr>tlinputCh4Prod3Slot3Promo1Weeks</vt:lpstr>
      <vt:lpstr>tlinputCh4Prod3Slot3Promo2ShareFrc</vt:lpstr>
      <vt:lpstr>tlInputCh4Prod4Forecast</vt:lpstr>
      <vt:lpstr>tlInputCh4Prod4Slot1Active</vt:lpstr>
      <vt:lpstr>tlinputCh4Prod4Slot1CustPrice</vt:lpstr>
      <vt:lpstr>tlinputCh4Prod4Slot1Forecast</vt:lpstr>
      <vt:lpstr>tlinputCh4Prod4Slot1Pack</vt:lpstr>
      <vt:lpstr>tlinputCh4Prod4Slot1Promo1</vt:lpstr>
      <vt:lpstr>tlinputCh4Prod4Slot1Promo1ShareFrc</vt:lpstr>
      <vt:lpstr>tlinputCh4Prod4Slot1Promo1Weeks</vt:lpstr>
      <vt:lpstr>tlinputCh4Prod4Slot1Promo2ShareFrc</vt:lpstr>
      <vt:lpstr>tlInputCh4Prod4Slot2Active</vt:lpstr>
      <vt:lpstr>tlinputCh4Prod4Slot2CustPrice</vt:lpstr>
      <vt:lpstr>tlinputCh4Prod4Slot2Forecast</vt:lpstr>
      <vt:lpstr>tlinputCh4Prod4Slot2Pack</vt:lpstr>
      <vt:lpstr>tlinputCh4Prod4Slot2Promo1</vt:lpstr>
      <vt:lpstr>tlinputCh4Prod4Slot2Promo1ShareFrc</vt:lpstr>
      <vt:lpstr>tlinputCh4Prod4Slot2Promo1Weeks</vt:lpstr>
      <vt:lpstr>tlinputCh4Prod4Slot2Promo2ShareFrc</vt:lpstr>
      <vt:lpstr>tlInputCh4Prod4Slot3Active</vt:lpstr>
      <vt:lpstr>tlinputCh4Prod4Slot3CustPrice</vt:lpstr>
      <vt:lpstr>tlinputCh4Prod4Slot3Forecast</vt:lpstr>
      <vt:lpstr>tlinputCh4Prod4Slot3Pack</vt:lpstr>
      <vt:lpstr>tlinputCh4Prod4Slot3Promo1</vt:lpstr>
      <vt:lpstr>tlinputCh4Prod4Slot3Promo1ShareFrc</vt:lpstr>
      <vt:lpstr>tlinputCh4Prod4Slot3Promo1Weeks</vt:lpstr>
      <vt:lpstr>tlinputCh4Prod4Slot3Promo2ShareFrc</vt:lpstr>
      <vt:lpstr>tlInputCh4R1Report1</vt:lpstr>
      <vt:lpstr>tlInputCh4R1Report2</vt:lpstr>
      <vt:lpstr>tlInputCh4R2Report3</vt:lpstr>
      <vt:lpstr>tlInputCh4R2Report4</vt:lpstr>
      <vt:lpstr>tlInputCh4R3Report5</vt:lpstr>
      <vt:lpstr>tlInputCh4R3Report6</vt:lpstr>
      <vt:lpstr>tlInputCh4ValDriv1</vt:lpstr>
      <vt:lpstr>tlInputCh4ValDriv2</vt:lpstr>
      <vt:lpstr>tlInputCh4ValDriv3</vt:lpstr>
      <vt:lpstr>tlInputCh4ValDriv4</vt:lpstr>
      <vt:lpstr>tlInputCh4ValDriv5</vt:lpstr>
      <vt:lpstr>tlInputCh4ValDrivCond</vt:lpstr>
      <vt:lpstr>tlInputCh4VT</vt:lpstr>
      <vt:lpstr>tlInputPackInnovation1</vt:lpstr>
      <vt:lpstr>tlInputPackInnovation2</vt:lpstr>
      <vt:lpstr>tlInputReport1</vt:lpstr>
      <vt:lpstr>tlInputReport2</vt:lpstr>
      <vt:lpstr>tlInputReport3</vt:lpstr>
      <vt:lpstr>tlInputReport4</vt:lpstr>
      <vt:lpstr>tlInputReport5</vt:lpstr>
      <vt:lpstr>tlInputReport6</vt:lpstr>
      <vt:lpstr>tlInputSi1</vt:lpstr>
      <vt:lpstr>tlInputSi2</vt:lpstr>
      <vt:lpstr>tlInputSi3</vt:lpstr>
      <vt:lpstr>tlInputTeamName</vt:lpstr>
      <vt:lpstr>tlInputTeamNumber</vt:lpstr>
      <vt:lpstr>tlobal_Paste</vt:lpstr>
      <vt:lpstr>tlobalAP</vt:lpstr>
      <vt:lpstr>tlobalAssets</vt:lpstr>
      <vt:lpstr>tlobalCash</vt:lpstr>
      <vt:lpstr>tlobalCh1CustomerProfitTot</vt:lpstr>
      <vt:lpstr>tlobalCh1GCCTot</vt:lpstr>
      <vt:lpstr>tlobalCh1GPaLTot</vt:lpstr>
      <vt:lpstr>tlobalCh1Prod1Slot1Active</vt:lpstr>
      <vt:lpstr>tlobalCh1Prod1Slot1AvgPrice</vt:lpstr>
      <vt:lpstr>tlobalCh1Prod1Slot1COGS</vt:lpstr>
      <vt:lpstr>tlobalCh1Prod1Slot1COGSpL</vt:lpstr>
      <vt:lpstr>tlobalCh1Prod1Slot1CustPrice</vt:lpstr>
      <vt:lpstr>tlobalCh1Prod1Slot1CustUplift</vt:lpstr>
      <vt:lpstr>tlobalCh1Prod1Slot1GPaL</vt:lpstr>
      <vt:lpstr>tlobalCh1Prod1Slot1GPaLPerLitre</vt:lpstr>
      <vt:lpstr>tlobalCh1Prod1Slot1GPaLUplift</vt:lpstr>
      <vt:lpstr>tlobalCh1Prod1Slot1NetRev</vt:lpstr>
      <vt:lpstr>tlobalCh1Prod1Slot1NetRevPerLtr</vt:lpstr>
      <vt:lpstr>tlobalCh1Prod1Slot1Pack</vt:lpstr>
      <vt:lpstr>tlobalCh1Prod1Slot1PromoPrice</vt:lpstr>
      <vt:lpstr>tlobalCh1Prod1Slot1PromoROI</vt:lpstr>
      <vt:lpstr>tlobalCh1Prod1Slot1PromoShare</vt:lpstr>
      <vt:lpstr>tlobalCh1Prod1Slot1SoldVol</vt:lpstr>
      <vt:lpstr>tlobalCh1Prod1Slot1WD</vt:lpstr>
      <vt:lpstr>tlobalCh1Prod1Slot2Active</vt:lpstr>
      <vt:lpstr>tlobalCh1Prod1Slot2AvgPrice</vt:lpstr>
      <vt:lpstr>tlobalCh1Prod1Slot2COGS</vt:lpstr>
      <vt:lpstr>tlobalCh1Prod1Slot2COGSpL</vt:lpstr>
      <vt:lpstr>tlobalCh1Prod1Slot2CustPrice</vt:lpstr>
      <vt:lpstr>tlobalCh1Prod1Slot2CustUplift</vt:lpstr>
      <vt:lpstr>tlobalCh1Prod1Slot2GPaL</vt:lpstr>
      <vt:lpstr>tlobalCh1Prod1Slot2GPaLPerLitre</vt:lpstr>
      <vt:lpstr>tlobalCh1Prod1Slot2GPaLUplift</vt:lpstr>
      <vt:lpstr>tlobalCh1Prod1Slot2NetRev</vt:lpstr>
      <vt:lpstr>tlobalCh1Prod1Slot2NetRevPerLtr</vt:lpstr>
      <vt:lpstr>tlobalCh1Prod1Slot2Pack</vt:lpstr>
      <vt:lpstr>tlobalCh1Prod1Slot2PromoPrice</vt:lpstr>
      <vt:lpstr>tlobalCh1Prod1Slot2PromoROI</vt:lpstr>
      <vt:lpstr>tlobalCh1Prod1Slot2PromoShare</vt:lpstr>
      <vt:lpstr>tlobalCh1Prod1Slot2SoldVol</vt:lpstr>
      <vt:lpstr>tlobalCh1Prod1Slot2WD</vt:lpstr>
      <vt:lpstr>tlobalCh1Prod1Slot3Active</vt:lpstr>
      <vt:lpstr>tlobalCh1Prod1Slot3AvgPrice</vt:lpstr>
      <vt:lpstr>tlobalCh1Prod1Slot3COGS</vt:lpstr>
      <vt:lpstr>tlobalCh1Prod1Slot3COGSpL</vt:lpstr>
      <vt:lpstr>tlobalCh1Prod1Slot3CustPrice</vt:lpstr>
      <vt:lpstr>tlobalCh1Prod1Slot3CustUplift</vt:lpstr>
      <vt:lpstr>tlobalCh1Prod1Slot3GPaL</vt:lpstr>
      <vt:lpstr>tlobalCh1Prod1Slot3GPaLPerLitre</vt:lpstr>
      <vt:lpstr>tlobalCh1Prod1Slot3GPaLUplift</vt:lpstr>
      <vt:lpstr>tlobalCh1Prod1Slot3NetRev</vt:lpstr>
      <vt:lpstr>tlobalCh1Prod1Slot3NetRevPerLtr</vt:lpstr>
      <vt:lpstr>tlobalCh1Prod1Slot3Pack</vt:lpstr>
      <vt:lpstr>tlobalCh1Prod1Slot3PromoPrice</vt:lpstr>
      <vt:lpstr>tlobalCh1Prod1Slot3PromoROI</vt:lpstr>
      <vt:lpstr>tlobalCh1Prod1Slot3PromoShare</vt:lpstr>
      <vt:lpstr>tlobalCh1Prod1Slot3SoldVol</vt:lpstr>
      <vt:lpstr>tlobalCh1Prod1Slot3WD</vt:lpstr>
      <vt:lpstr>tlobalCh1Prod1SlotTotActive</vt:lpstr>
      <vt:lpstr>tlobalCh1Prod2Slot1Active</vt:lpstr>
      <vt:lpstr>tlobalCh1Prod2Slot1AvgPrice</vt:lpstr>
      <vt:lpstr>tlobalCh1Prod2Slot1COGS</vt:lpstr>
      <vt:lpstr>tlobalCh1Prod2Slot1COGSpL</vt:lpstr>
      <vt:lpstr>tlobalCh1Prod2Slot1CustPrice</vt:lpstr>
      <vt:lpstr>tlobalCh1Prod2Slot1CustUplift</vt:lpstr>
      <vt:lpstr>tlobalCh1Prod2Slot1GPaL</vt:lpstr>
      <vt:lpstr>tlobalCh1Prod2Slot1GPaLPerLitre</vt:lpstr>
      <vt:lpstr>tlobalCh1Prod2Slot1GPaLUplift</vt:lpstr>
      <vt:lpstr>tlobalCh1Prod2Slot1NetRev</vt:lpstr>
      <vt:lpstr>tlobalCh1Prod2Slot1NetRevPerLtr</vt:lpstr>
      <vt:lpstr>tlobalCh1Prod2Slot1Pack</vt:lpstr>
      <vt:lpstr>tlobalCh1Prod2Slot1PromoPrice</vt:lpstr>
      <vt:lpstr>tlobalCh1Prod2Slot1PromoROI</vt:lpstr>
      <vt:lpstr>tlobalCh1Prod2Slot1PromoShare</vt:lpstr>
      <vt:lpstr>tlobalCh1Prod2Slot1SoldVol</vt:lpstr>
      <vt:lpstr>tlobalCh1Prod2Slot1WD</vt:lpstr>
      <vt:lpstr>tlobalCh1Prod2Slot2Active</vt:lpstr>
      <vt:lpstr>tlobalCh1Prod2Slot2AvgPrice</vt:lpstr>
      <vt:lpstr>tlobalCh1Prod2Slot2COGS</vt:lpstr>
      <vt:lpstr>tlobalCh1Prod2Slot2COGSpL</vt:lpstr>
      <vt:lpstr>tlobalCh1Prod2Slot2CustPrice</vt:lpstr>
      <vt:lpstr>tlobalCh1Prod2Slot2CustUplift</vt:lpstr>
      <vt:lpstr>tlobalCh1Prod2Slot2GPaL</vt:lpstr>
      <vt:lpstr>tlobalCh1Prod2Slot2GPaLPerLitre</vt:lpstr>
      <vt:lpstr>tlobalCh1Prod2Slot2GPaLUplift</vt:lpstr>
      <vt:lpstr>tlobalCh1Prod2Slot2NetRev</vt:lpstr>
      <vt:lpstr>tlobalCh1Prod2Slot2NetRevPerLtr</vt:lpstr>
      <vt:lpstr>tlobalCh1Prod2Slot2Pack</vt:lpstr>
      <vt:lpstr>tlobalCh1Prod2Slot2PromoPrice</vt:lpstr>
      <vt:lpstr>tlobalCh1Prod2Slot2PromoROI</vt:lpstr>
      <vt:lpstr>tlobalCh1Prod2Slot2PromoShare</vt:lpstr>
      <vt:lpstr>tlobalCh1Prod2Slot2SoldVol</vt:lpstr>
      <vt:lpstr>tlobalCh1Prod2Slot2WD</vt:lpstr>
      <vt:lpstr>tlobalCh1Prod2Slot3Active</vt:lpstr>
      <vt:lpstr>tlobalCh1Prod2Slot3AvgPrice</vt:lpstr>
      <vt:lpstr>tlobalCh1Prod2Slot3COGS</vt:lpstr>
      <vt:lpstr>tlobalCh1Prod2Slot3COGSpL</vt:lpstr>
      <vt:lpstr>tlobalCh1Prod2Slot3CustPrice</vt:lpstr>
      <vt:lpstr>tlobalCh1Prod2Slot3CustUplift</vt:lpstr>
      <vt:lpstr>tlobalCh1Prod2Slot3GPaL</vt:lpstr>
      <vt:lpstr>tlobalCh1Prod2Slot3GPaLPerLitre</vt:lpstr>
      <vt:lpstr>tlobalCh1Prod2Slot3GPaLUplift</vt:lpstr>
      <vt:lpstr>tlobalCh1Prod2Slot3NetRev</vt:lpstr>
      <vt:lpstr>tlobalCh1Prod2Slot3NetRevPerLtr</vt:lpstr>
      <vt:lpstr>tlobalCh1Prod2Slot3Pack</vt:lpstr>
      <vt:lpstr>tlobalCh1Prod2Slot3PromoPrice</vt:lpstr>
      <vt:lpstr>tlobalCh1Prod2Slot3PromoROI</vt:lpstr>
      <vt:lpstr>tlobalCh1Prod2Slot3PromoShare</vt:lpstr>
      <vt:lpstr>tlobalCh1Prod2Slot3SoldVol</vt:lpstr>
      <vt:lpstr>tlobalCh1Prod2Slot3WD</vt:lpstr>
      <vt:lpstr>tlobalCh1Prod2SlotTotActive</vt:lpstr>
      <vt:lpstr>tlobalCh1Prod3Slot1Active</vt:lpstr>
      <vt:lpstr>tlobalCh1Prod3Slot1AvgPrice</vt:lpstr>
      <vt:lpstr>tlobalCh1Prod3Slot1COGS</vt:lpstr>
      <vt:lpstr>tlobalCh1Prod3Slot1COGSpL</vt:lpstr>
      <vt:lpstr>tlobalCh1Prod3Slot1CustPrice</vt:lpstr>
      <vt:lpstr>tlobalCh1Prod3Slot1CustUplift</vt:lpstr>
      <vt:lpstr>tlobalCh1Prod3Slot1GPaL</vt:lpstr>
      <vt:lpstr>tlobalCh1Prod3Slot1GPaLPerLitre</vt:lpstr>
      <vt:lpstr>tlobalCh1Prod3Slot1GPaLUplift</vt:lpstr>
      <vt:lpstr>tlobalCh1Prod3Slot1NetRev</vt:lpstr>
      <vt:lpstr>tlobalCh1Prod3Slot1NetRevPerLtr</vt:lpstr>
      <vt:lpstr>tlobalCh1Prod3Slot1Pack</vt:lpstr>
      <vt:lpstr>tlobalCh1Prod3Slot1PromoPrice</vt:lpstr>
      <vt:lpstr>tlobalCh1Prod3Slot1PromoROI</vt:lpstr>
      <vt:lpstr>tlobalCh1Prod3Slot1PromoShare</vt:lpstr>
      <vt:lpstr>tlobalCh1Prod3Slot1SoldVol</vt:lpstr>
      <vt:lpstr>tlobalCh1Prod3Slot1WD</vt:lpstr>
      <vt:lpstr>tlobalCh1Prod3Slot2Active</vt:lpstr>
      <vt:lpstr>tlobalCh1Prod3Slot2AvgPrice</vt:lpstr>
      <vt:lpstr>tlobalCh1Prod3Slot2COGS</vt:lpstr>
      <vt:lpstr>tlobalCh1Prod3Slot2COGSpL</vt:lpstr>
      <vt:lpstr>tlobalCh1Prod3Slot2CustPrice</vt:lpstr>
      <vt:lpstr>tlobalCh1Prod3Slot2CustUplift</vt:lpstr>
      <vt:lpstr>tlobalCh1Prod3Slot2GPaL</vt:lpstr>
      <vt:lpstr>tlobalCh1Prod3Slot2GPaLPerLitre</vt:lpstr>
      <vt:lpstr>tlobalCh1Prod3Slot2GPaLUplift</vt:lpstr>
      <vt:lpstr>tlobalCh1Prod3Slot2NetRev</vt:lpstr>
      <vt:lpstr>tlobalCh1Prod3Slot2NetRevPerLtr</vt:lpstr>
      <vt:lpstr>tlobalCh1Prod3Slot2Pack</vt:lpstr>
      <vt:lpstr>tlobalCh1Prod3Slot2PromoPrice</vt:lpstr>
      <vt:lpstr>tlobalCh1Prod3Slot2PromoROI</vt:lpstr>
      <vt:lpstr>tlobalCh1Prod3Slot2PromoShare</vt:lpstr>
      <vt:lpstr>tlobalCh1Prod3Slot2SoldVol</vt:lpstr>
      <vt:lpstr>tlobalCh1Prod3Slot2WD</vt:lpstr>
      <vt:lpstr>tlobalCh1Prod3Slot3Active</vt:lpstr>
      <vt:lpstr>tlobalCh1Prod3Slot3AvgPrice</vt:lpstr>
      <vt:lpstr>tlobalCh1Prod3Slot3COGS</vt:lpstr>
      <vt:lpstr>tlobalCh1Prod3Slot3COGSpL</vt:lpstr>
      <vt:lpstr>tlobalCh1Prod3Slot3CustPrice</vt:lpstr>
      <vt:lpstr>tlobalCh1Prod3Slot3CustUplift</vt:lpstr>
      <vt:lpstr>tlobalCh1Prod3Slot3GPaL</vt:lpstr>
      <vt:lpstr>tlobalCh1Prod3Slot3GPaLPerLitre</vt:lpstr>
      <vt:lpstr>tlobalCh1Prod3Slot3GPaLUplift</vt:lpstr>
      <vt:lpstr>tlobalCh1Prod3Slot3NetRev</vt:lpstr>
      <vt:lpstr>tlobalCh1Prod3Slot3NetRevPerLtr</vt:lpstr>
      <vt:lpstr>tlobalCh1Prod3Slot3Pack</vt:lpstr>
      <vt:lpstr>tlobalCh1Prod3Slot3PromoPrice</vt:lpstr>
      <vt:lpstr>tlobalCh1Prod3Slot3PromoROI</vt:lpstr>
      <vt:lpstr>tlobalCh1Prod3Slot3PromoShare</vt:lpstr>
      <vt:lpstr>tlobalCh1Prod3Slot3SoldVol</vt:lpstr>
      <vt:lpstr>tlobalCh1Prod3Slot3WD</vt:lpstr>
      <vt:lpstr>tlobalCh1Prod3SlotTotActive</vt:lpstr>
      <vt:lpstr>tlobalCh1Prod4Slot1Active</vt:lpstr>
      <vt:lpstr>tlobalCh1Prod4Slot1AvgPrice</vt:lpstr>
      <vt:lpstr>tlobalCh1Prod4Slot1COGS</vt:lpstr>
      <vt:lpstr>tlobalCh1Prod4Slot1COGSpL</vt:lpstr>
      <vt:lpstr>tlobalCh1Prod4Slot1CustPrice</vt:lpstr>
      <vt:lpstr>tlobalCh1Prod4Slot1CustUplift</vt:lpstr>
      <vt:lpstr>tlobalCh1Prod4Slot1GPaL</vt:lpstr>
      <vt:lpstr>tlobalCh1Prod4Slot1GPaLPerLitre</vt:lpstr>
      <vt:lpstr>tlobalCh1Prod4Slot1GPaLUplift</vt:lpstr>
      <vt:lpstr>tlobalCh1Prod4Slot1NetRev</vt:lpstr>
      <vt:lpstr>tlobalCh1Prod4Slot1NetRevPerLtr</vt:lpstr>
      <vt:lpstr>tlobalCh1Prod4Slot1Pack</vt:lpstr>
      <vt:lpstr>tlobalCh1Prod4Slot1PromoPrice</vt:lpstr>
      <vt:lpstr>tlobalCh1Prod4Slot1PromoROI</vt:lpstr>
      <vt:lpstr>tlobalCh1Prod4Slot1PromoShare</vt:lpstr>
      <vt:lpstr>tlobalCh1Prod4Slot1SoldVol</vt:lpstr>
      <vt:lpstr>tlobalCh1Prod4Slot1WD</vt:lpstr>
      <vt:lpstr>tlobalCh1Prod4Slot2Active</vt:lpstr>
      <vt:lpstr>tlobalCh1Prod4Slot2AvgPrice</vt:lpstr>
      <vt:lpstr>tlobalCh1Prod4Slot2COGS</vt:lpstr>
      <vt:lpstr>tlobalCh1Prod4Slot2COGSpL</vt:lpstr>
      <vt:lpstr>tlobalCh1Prod4Slot2CustPrice</vt:lpstr>
      <vt:lpstr>tlobalCh1Prod4Slot2CustUplift</vt:lpstr>
      <vt:lpstr>tlobalCh1Prod4Slot2GPaL</vt:lpstr>
      <vt:lpstr>tlobalCh1Prod4Slot2GPaLPerLitre</vt:lpstr>
      <vt:lpstr>tlobalCh1Prod4Slot2GPaLUplift</vt:lpstr>
      <vt:lpstr>tlobalCh1Prod4Slot2NetRev</vt:lpstr>
      <vt:lpstr>tlobalCh1Prod4Slot2NetRevPerLtr</vt:lpstr>
      <vt:lpstr>tlobalCh1Prod4Slot2Pack</vt:lpstr>
      <vt:lpstr>tlobalCh1Prod4Slot2PromoPrice</vt:lpstr>
      <vt:lpstr>tlobalCh1Prod4Slot2PromoROI</vt:lpstr>
      <vt:lpstr>tlobalCh1Prod4Slot2PromoShare</vt:lpstr>
      <vt:lpstr>tlobalCh1Prod4Slot2SoldVol</vt:lpstr>
      <vt:lpstr>tlobalCh1Prod4Slot2WD</vt:lpstr>
      <vt:lpstr>tlobalCh1Prod4Slot3Active</vt:lpstr>
      <vt:lpstr>tlobalCh1Prod4Slot3CustPrice</vt:lpstr>
      <vt:lpstr>tlobalCh1Prod4Slot3GPaL</vt:lpstr>
      <vt:lpstr>tlobalCh1Prod4Slot3GPaLPerLitre</vt:lpstr>
      <vt:lpstr>tlobalCh1Prod4Slot3NetRev</vt:lpstr>
      <vt:lpstr>tlobalCh1Prod4Slot3NetRevPerLtr</vt:lpstr>
      <vt:lpstr>tlobalCh1Prod4Slot3PromoPrice</vt:lpstr>
      <vt:lpstr>tlobalCh1Prod4Slot3SoldVol</vt:lpstr>
      <vt:lpstr>tlobalCh1Prod4SlotTotActive</vt:lpstr>
      <vt:lpstr>tlobalCh1RevenueTot</vt:lpstr>
      <vt:lpstr>tlobalCh1SlotTotActive</vt:lpstr>
      <vt:lpstr>tlobalCh1ValDriv1</vt:lpstr>
      <vt:lpstr>tlobalCh1ValDriv2</vt:lpstr>
      <vt:lpstr>tlobalCh1ValDriv3</vt:lpstr>
      <vt:lpstr>tlobalCh1ValDriv4</vt:lpstr>
      <vt:lpstr>tlobalCh1ValDriv5</vt:lpstr>
      <vt:lpstr>tlobalCh1ValDrivCond</vt:lpstr>
      <vt:lpstr>tlobalCh2CustomerProfitTot</vt:lpstr>
      <vt:lpstr>tlobalCh2GCCTot</vt:lpstr>
      <vt:lpstr>tlobalCh2GPaLTot</vt:lpstr>
      <vt:lpstr>tlobalCh2Prod1Slot1Active</vt:lpstr>
      <vt:lpstr>tlobalCh2Prod1Slot2Active</vt:lpstr>
      <vt:lpstr>tlobalCh2Prod1Slot3Active</vt:lpstr>
      <vt:lpstr>tlobalCh2Prod1SlotTotActive</vt:lpstr>
      <vt:lpstr>tlobalCh2Prod2Slot1Active</vt:lpstr>
      <vt:lpstr>tlobalCh2Prod2Slot2Active</vt:lpstr>
      <vt:lpstr>tlobalCh2Prod2Slot3Active</vt:lpstr>
      <vt:lpstr>tlobalCh2Prod2SlotTotActive</vt:lpstr>
      <vt:lpstr>tlobalCh2Prod3Slot1Active</vt:lpstr>
      <vt:lpstr>tlobalCh2Prod3Slot2Active</vt:lpstr>
      <vt:lpstr>tlobalCh2Prod3Slot3Active</vt:lpstr>
      <vt:lpstr>tlobalCh2Prod3SlotTotActive</vt:lpstr>
      <vt:lpstr>tlobalCh2Prod4Slot1Active</vt:lpstr>
      <vt:lpstr>tlobalCh2Prod4Slot2Active</vt:lpstr>
      <vt:lpstr>tlobalCh2Prod4Slot3Active</vt:lpstr>
      <vt:lpstr>tlobalCh2Prod4SlotTotActive</vt:lpstr>
      <vt:lpstr>tlobalCh2RevenueTot</vt:lpstr>
      <vt:lpstr>tlobalCh2SlotTotActive</vt:lpstr>
      <vt:lpstr>tlobalCh2ValDriv1</vt:lpstr>
      <vt:lpstr>tlobalCh2ValDriv2</vt:lpstr>
      <vt:lpstr>tlobalCh2ValDriv3</vt:lpstr>
      <vt:lpstr>tlobalCh2ValDriv4</vt:lpstr>
      <vt:lpstr>tlobalCh2ValDriv5</vt:lpstr>
      <vt:lpstr>tlobalCh2ValDrivCond</vt:lpstr>
      <vt:lpstr>tlobalCh3CustomerProfitTot</vt:lpstr>
      <vt:lpstr>tlobalCh3GCCTot</vt:lpstr>
      <vt:lpstr>tlobalCh3GPaLTot</vt:lpstr>
      <vt:lpstr>tlobalCh3Prod1Slot1Active</vt:lpstr>
      <vt:lpstr>tlobalCh3Prod1Slot2Active</vt:lpstr>
      <vt:lpstr>tlobalCh3Prod1Slot3Active</vt:lpstr>
      <vt:lpstr>tlobalCh3Prod1SlotTotActive</vt:lpstr>
      <vt:lpstr>tlobalCh3Prod2Slot1Active</vt:lpstr>
      <vt:lpstr>tlobalCh3Prod2Slot2Active</vt:lpstr>
      <vt:lpstr>tlobalCh3Prod2Slot3Active</vt:lpstr>
      <vt:lpstr>tlobalCh3Prod2SlotTotActive</vt:lpstr>
      <vt:lpstr>tlobalCh3Prod3Slot1Active</vt:lpstr>
      <vt:lpstr>tlobalCh3Prod3Slot2Active</vt:lpstr>
      <vt:lpstr>tlobalCh3Prod3Slot3Active</vt:lpstr>
      <vt:lpstr>tlobalCh3Prod3SlotTotActive</vt:lpstr>
      <vt:lpstr>tlobalCh3Prod4Slot1Active</vt:lpstr>
      <vt:lpstr>tlobalCh3Prod4Slot2Active</vt:lpstr>
      <vt:lpstr>tlobalCh3Prod4Slot3Active</vt:lpstr>
      <vt:lpstr>tlobalCh3Prod4SlotTotActive</vt:lpstr>
      <vt:lpstr>tlobalCh3RevenueTot</vt:lpstr>
      <vt:lpstr>tlobalCh3SlotTotActive</vt:lpstr>
      <vt:lpstr>tlobalCh3ValDriv1</vt:lpstr>
      <vt:lpstr>tlobalCh3ValDriv2</vt:lpstr>
      <vt:lpstr>tlobalCh3ValDriv3</vt:lpstr>
      <vt:lpstr>tlobalCh3ValDriv4</vt:lpstr>
      <vt:lpstr>tlobalCh3ValDriv5</vt:lpstr>
      <vt:lpstr>tlobalCh3ValDrivCond</vt:lpstr>
      <vt:lpstr>tlobalCh4CustomerProfitTot</vt:lpstr>
      <vt:lpstr>tlobalCh4GCCTot</vt:lpstr>
      <vt:lpstr>tlobalCh4GPaLTot</vt:lpstr>
      <vt:lpstr>tlobalCh4Prod1Slot1Active</vt:lpstr>
      <vt:lpstr>tlobalCh4Prod1Slot2Active</vt:lpstr>
      <vt:lpstr>tlobalCh4Prod1Slot3Active</vt:lpstr>
      <vt:lpstr>tlobalCh4Prod1SlotTotActive</vt:lpstr>
      <vt:lpstr>tlobalCh4Prod2Slot1Active</vt:lpstr>
      <vt:lpstr>tlobalCh4Prod2Slot2Active</vt:lpstr>
      <vt:lpstr>tlobalCh4Prod2Slot3Active</vt:lpstr>
      <vt:lpstr>tlobalCh4Prod2SlotTotActive</vt:lpstr>
      <vt:lpstr>tlobalCh4Prod3Slot1Active</vt:lpstr>
      <vt:lpstr>tlobalCh4Prod3Slot2Active</vt:lpstr>
      <vt:lpstr>tlobalCh4Prod3Slot3Active</vt:lpstr>
      <vt:lpstr>tlobalCh4Prod3SlotTotActive</vt:lpstr>
      <vt:lpstr>tlobalCh4Prod4Slot1Active</vt:lpstr>
      <vt:lpstr>tlobalCh4Prod4Slot2Active</vt:lpstr>
      <vt:lpstr>tlobalCh4Prod4Slot3Active</vt:lpstr>
      <vt:lpstr>tlobalCh4Prod4SlotTotActive</vt:lpstr>
      <vt:lpstr>tlobalCh4RevenueTot</vt:lpstr>
      <vt:lpstr>tlobalCh4SlotTotActive</vt:lpstr>
      <vt:lpstr>tlobalCh4ValDriv1</vt:lpstr>
      <vt:lpstr>tlobalCh4ValDriv2</vt:lpstr>
      <vt:lpstr>tlobalCh4ValDriv3</vt:lpstr>
      <vt:lpstr>tlobalCh4ValDriv4</vt:lpstr>
      <vt:lpstr>tlobalCh4ValDriv5</vt:lpstr>
      <vt:lpstr>tlobalCh4ValDrivCond</vt:lpstr>
      <vt:lpstr>tlobalCompanyCustomerProfitTot</vt:lpstr>
      <vt:lpstr>tlobalCompanyEBIT</vt:lpstr>
      <vt:lpstr>tlobalCompanyGPaLTot</vt:lpstr>
      <vt:lpstr>tlobalCompanyRevenueTot</vt:lpstr>
      <vt:lpstr>tlobalCurrentAssets</vt:lpstr>
      <vt:lpstr>tlobalCurrentLiab</vt:lpstr>
      <vt:lpstr>tlobalEmp1</vt:lpstr>
      <vt:lpstr>tlobalEquity</vt:lpstr>
      <vt:lpstr>tlobalGoodwill</vt:lpstr>
      <vt:lpstr>tlobalLiab</vt:lpstr>
      <vt:lpstr>tlobalLongTermLiab</vt:lpstr>
      <vt:lpstr>tlobalNetEarnings</vt:lpstr>
      <vt:lpstr>tlobalOtherCurrLiab</vt:lpstr>
      <vt:lpstr>tlobalPack10Avail</vt:lpstr>
      <vt:lpstr>tlobalPack11Avail</vt:lpstr>
      <vt:lpstr>tlobalPack12Avail</vt:lpstr>
      <vt:lpstr>tlobalPack13Avail</vt:lpstr>
      <vt:lpstr>tlobalPack14Avail</vt:lpstr>
      <vt:lpstr>tlobalPack15Avail</vt:lpstr>
      <vt:lpstr>tlobalPack16Avail</vt:lpstr>
      <vt:lpstr>tlobalPack17Avail</vt:lpstr>
      <vt:lpstr>tlobalPack18Avail</vt:lpstr>
      <vt:lpstr>tlobalPack19Avail</vt:lpstr>
      <vt:lpstr>tlobalPack1Avail</vt:lpstr>
      <vt:lpstr>tlobalPack20Avail</vt:lpstr>
      <vt:lpstr>tlobalPack21Avail</vt:lpstr>
      <vt:lpstr>tlobalPack22Avail</vt:lpstr>
      <vt:lpstr>tlobalPack23Avail</vt:lpstr>
      <vt:lpstr>tlobalPack24Avail</vt:lpstr>
      <vt:lpstr>tlobalPack25Avail</vt:lpstr>
      <vt:lpstr>tlobalPack26Avail</vt:lpstr>
      <vt:lpstr>tlobalPack27Avail</vt:lpstr>
      <vt:lpstr>tlobalPack28Avail</vt:lpstr>
      <vt:lpstr>tlobalPack29Avail</vt:lpstr>
      <vt:lpstr>tlobalPack2Avail</vt:lpstr>
      <vt:lpstr>tlobalPack30Avail</vt:lpstr>
      <vt:lpstr>tlobalPack3Avail</vt:lpstr>
      <vt:lpstr>tlobalPack4Avail</vt:lpstr>
      <vt:lpstr>tlobalPack5Avail</vt:lpstr>
      <vt:lpstr>tlobalPack6Avail</vt:lpstr>
      <vt:lpstr>tlobalPack7Avail</vt:lpstr>
      <vt:lpstr>tlobalPack8Avail</vt:lpstr>
      <vt:lpstr>tlobalPack9Avail</vt:lpstr>
      <vt:lpstr>tlobalPlant1Units</vt:lpstr>
      <vt:lpstr>tlobalPlantValue</vt:lpstr>
      <vt:lpstr>tlobalPPEValue</vt:lpstr>
      <vt:lpstr>tlobalProd1AR</vt:lpstr>
      <vt:lpstr>tlobalProd1FG</vt:lpstr>
      <vt:lpstr>tlobalProd1Mat</vt:lpstr>
      <vt:lpstr>tlobalProd1SlotTotActive</vt:lpstr>
      <vt:lpstr>tlobalProd1WIP</vt:lpstr>
      <vt:lpstr>tlobalProd2SlotTotActive</vt:lpstr>
      <vt:lpstr>tlobalProd3SlotTotActive</vt:lpstr>
      <vt:lpstr>tlobalProd4SlotTotActive</vt:lpstr>
      <vt:lpstr>tlobalRetainedEarnings</vt:lpstr>
      <vt:lpstr>tlobalSI1CodeR1</vt:lpstr>
      <vt:lpstr>tlobalSI1CodeR2</vt:lpstr>
      <vt:lpstr>tlobalSI1CodeR3</vt:lpstr>
      <vt:lpstr>tlobalSI2CodeR1</vt:lpstr>
      <vt:lpstr>tlobalSI2CodeR2</vt:lpstr>
      <vt:lpstr>tlobalSI2CodeR3</vt:lpstr>
      <vt:lpstr>tlobalSI3CodeR1</vt:lpstr>
      <vt:lpstr>tlobalSI3CodeR2</vt:lpstr>
      <vt:lpstr>tlobalSI3CodeR3</vt:lpstr>
      <vt:lpstr>tlobalSI4CodeR1</vt:lpstr>
      <vt:lpstr>tlobalSI4CodeR2</vt:lpstr>
      <vt:lpstr>tlobalSI4CodeR3</vt:lpstr>
      <vt:lpstr>tlobalSI5CodeR1</vt:lpstr>
      <vt:lpstr>tlobalSI5CodeR2</vt:lpstr>
      <vt:lpstr>tlobalSI5CodeR3</vt:lpstr>
      <vt:lpstr>tlobalSpecialLoans</vt:lpstr>
      <vt:lpstr>tlobalStock</vt:lpstr>
      <vt:lpstr>tlOutputCh1</vt:lpstr>
      <vt:lpstr>tlOutputCh1Analytic1Chart1BubbleSize1</vt:lpstr>
      <vt:lpstr>tlOutputCh1Analytic1Chart1BubbleSize10</vt:lpstr>
      <vt:lpstr>tlOutputCh1Analytic1Chart1BubbleSize11</vt:lpstr>
      <vt:lpstr>tlOutputCh1Analytic1Chart1BubbleSize12</vt:lpstr>
      <vt:lpstr>tlOutputCh1Analytic1Chart1BubbleSize2</vt:lpstr>
      <vt:lpstr>tlOutputCh1Analytic1Chart1BubbleSize3</vt:lpstr>
      <vt:lpstr>tlOutputCh1Analytic1Chart1BubbleSize4</vt:lpstr>
      <vt:lpstr>tlOutputCh1Analytic1Chart1BubbleSize5</vt:lpstr>
      <vt:lpstr>tlOutputCh1Analytic1Chart1BubbleSize6</vt:lpstr>
      <vt:lpstr>tlOutputCh1Analytic1Chart1BubbleSize7</vt:lpstr>
      <vt:lpstr>tlOutputCh1Analytic1Chart1BubbleSize8</vt:lpstr>
      <vt:lpstr>tlOutputCh1Analytic1Chart1BubbleSize9</vt:lpstr>
      <vt:lpstr>tlOutputCh1Analytic1Chart1Heading</vt:lpstr>
      <vt:lpstr>tlOutputCh1Analytic1Chart1Label1</vt:lpstr>
      <vt:lpstr>tlOutputCh1Analytic1Chart1Label10</vt:lpstr>
      <vt:lpstr>tlOutputCh1Analytic1Chart1Label11</vt:lpstr>
      <vt:lpstr>tlOutputCh1Analytic1Chart1Label12</vt:lpstr>
      <vt:lpstr>tlOutputCh1Analytic1Chart1Label2</vt:lpstr>
      <vt:lpstr>tlOutputCh1Analytic1Chart1Label3</vt:lpstr>
      <vt:lpstr>tlOutputCh1Analytic1Chart1Label4</vt:lpstr>
      <vt:lpstr>tlOutputCh1Analytic1Chart1Label5</vt:lpstr>
      <vt:lpstr>tlOutputCh1Analytic1Chart1Label6</vt:lpstr>
      <vt:lpstr>tlOutputCh1Analytic1Chart1Label7</vt:lpstr>
      <vt:lpstr>tlOutputCh1Analytic1Chart1Label8</vt:lpstr>
      <vt:lpstr>tlOutputCh1Analytic1Chart1Label9</vt:lpstr>
      <vt:lpstr>tlOutputCh1Analytic1Chart1Type1</vt:lpstr>
      <vt:lpstr>tlOutputCh1Analytic1Chart1Type2</vt:lpstr>
      <vt:lpstr>tlOutputCh1Analytic1Chart1Type3</vt:lpstr>
      <vt:lpstr>tlOutputCh1Analytic1Chart1Type4</vt:lpstr>
      <vt:lpstr>tlOutputCh1Analytic1Chart1XaxisTitle</vt:lpstr>
      <vt:lpstr>tlOutputCh1Analytic1Chart1XValue1</vt:lpstr>
      <vt:lpstr>tlOutputCh1Analytic1Chart1XValue10</vt:lpstr>
      <vt:lpstr>tlOutputCh1Analytic1Chart1XValue11</vt:lpstr>
      <vt:lpstr>tlOutputCh1Analytic1Chart1XValue12</vt:lpstr>
      <vt:lpstr>tlOutputCh1Analytic1Chart1XValue2</vt:lpstr>
      <vt:lpstr>tlOutputCh1Analytic1Chart1XValue3</vt:lpstr>
      <vt:lpstr>tlOutputCh1Analytic1Chart1XValue4</vt:lpstr>
      <vt:lpstr>tlOutputCh1Analytic1Chart1XValue5</vt:lpstr>
      <vt:lpstr>tlOutputCh1Analytic1Chart1XValue6</vt:lpstr>
      <vt:lpstr>tlOutputCh1Analytic1Chart1XValue7</vt:lpstr>
      <vt:lpstr>tlOutputCh1Analytic1Chart1XValue8</vt:lpstr>
      <vt:lpstr>tlOutputCh1Analytic1Chart1XValue9</vt:lpstr>
      <vt:lpstr>tlOutputCh1Analytic1Chart1YaxisTitle</vt:lpstr>
      <vt:lpstr>tlOutputCh1Analytic1Chart1YValue1</vt:lpstr>
      <vt:lpstr>tlOutputCh1Analytic1Chart1YValue10</vt:lpstr>
      <vt:lpstr>tlOutputCh1Analytic1Chart1YValue11</vt:lpstr>
      <vt:lpstr>tlOutputCh1Analytic1Chart1YValue12</vt:lpstr>
      <vt:lpstr>tlOutputCh1Analytic1Chart1YValue2</vt:lpstr>
      <vt:lpstr>tlOutputCh1Analytic1Chart1YValue3</vt:lpstr>
      <vt:lpstr>tlOutputCh1Analytic1Chart1YValue4</vt:lpstr>
      <vt:lpstr>tlOutputCh1Analytic1Chart1YValue5</vt:lpstr>
      <vt:lpstr>tlOutputCh1Analytic1Chart1YValue6</vt:lpstr>
      <vt:lpstr>tlOutputCh1Analytic1Chart1YValue7</vt:lpstr>
      <vt:lpstr>tlOutputCh1Analytic1Chart1YValue8</vt:lpstr>
      <vt:lpstr>tlOutputCh1Analytic1Chart1YValue9</vt:lpstr>
      <vt:lpstr>tlOutputCh1Analytic1Chart2BubbleSize1</vt:lpstr>
      <vt:lpstr>tlOutputCh1Analytic1Chart2BubbleSize10</vt:lpstr>
      <vt:lpstr>tlOutputCh1Analytic1Chart2BubbleSize11</vt:lpstr>
      <vt:lpstr>tlOutputCh1Analytic1Chart2BubbleSize12</vt:lpstr>
      <vt:lpstr>tlOutputCh1Analytic1Chart2BubbleSize2</vt:lpstr>
      <vt:lpstr>tlOutputCh1Analytic1Chart2BubbleSize3</vt:lpstr>
      <vt:lpstr>tlOutputCh1Analytic1Chart2BubbleSize4</vt:lpstr>
      <vt:lpstr>tlOutputCh1Analytic1Chart2BubbleSize5</vt:lpstr>
      <vt:lpstr>tlOutputCh1Analytic1Chart2BubbleSize6</vt:lpstr>
      <vt:lpstr>tlOutputCh1Analytic1Chart2BubbleSize7</vt:lpstr>
      <vt:lpstr>tlOutputCh1Analytic1Chart2BubbleSize8</vt:lpstr>
      <vt:lpstr>tlOutputCh1Analytic1Chart2BubbleSize9</vt:lpstr>
      <vt:lpstr>tlOutputCh1Analytic1Chart2Heading</vt:lpstr>
      <vt:lpstr>tlOutputCh1Analytic1Chart2Label1</vt:lpstr>
      <vt:lpstr>tlOutputCh1Analytic1Chart2Label10</vt:lpstr>
      <vt:lpstr>tlOutputCh1Analytic1Chart2Label11</vt:lpstr>
      <vt:lpstr>tlOutputCh1Analytic1Chart2Label12</vt:lpstr>
      <vt:lpstr>tlOutputCh1Analytic1Chart2Label2</vt:lpstr>
      <vt:lpstr>tlOutputCh1Analytic1Chart2Label3</vt:lpstr>
      <vt:lpstr>tlOutputCh1Analytic1Chart2Label4</vt:lpstr>
      <vt:lpstr>tlOutputCh1Analytic1Chart2Label5</vt:lpstr>
      <vt:lpstr>tlOutputCh1Analytic1Chart2Label6</vt:lpstr>
      <vt:lpstr>tlOutputCh1Analytic1Chart2Label7</vt:lpstr>
      <vt:lpstr>tlOutputCh1Analytic1Chart2Label8</vt:lpstr>
      <vt:lpstr>tlOutputCh1Analytic1Chart2Label9</vt:lpstr>
      <vt:lpstr>tlOutputCh1Analytic1Chart2Type1</vt:lpstr>
      <vt:lpstr>tlOutputCh1Analytic1Chart2Type2</vt:lpstr>
      <vt:lpstr>tlOutputCh1Analytic1Chart2Type3</vt:lpstr>
      <vt:lpstr>tlOutputCh1Analytic1Chart2Type4</vt:lpstr>
      <vt:lpstr>tlOutputCh1Analytic1Chart2XaxisTitle</vt:lpstr>
      <vt:lpstr>tlOutputCh1Analytic1Chart2XValue1</vt:lpstr>
      <vt:lpstr>tlOutputCh1Analytic1Chart2XValue10</vt:lpstr>
      <vt:lpstr>tlOutputCh1Analytic1Chart2XValue11</vt:lpstr>
      <vt:lpstr>tlOutputCh1Analytic1Chart2XValue12</vt:lpstr>
      <vt:lpstr>tlOutputCh1Analytic1Chart2XValue2</vt:lpstr>
      <vt:lpstr>tlOutputCh1Analytic1Chart2XValue3</vt:lpstr>
      <vt:lpstr>tlOutputCh1Analytic1Chart2XValue4</vt:lpstr>
      <vt:lpstr>tlOutputCh1Analytic1Chart2XValue5</vt:lpstr>
      <vt:lpstr>tlOutputCh1Analytic1Chart2XValue6</vt:lpstr>
      <vt:lpstr>tlOutputCh1Analytic1Chart2XValue7</vt:lpstr>
      <vt:lpstr>tlOutputCh1Analytic1Chart2XValue8</vt:lpstr>
      <vt:lpstr>tlOutputCh1Analytic1Chart2XValue9</vt:lpstr>
      <vt:lpstr>tlOutputCh1Analytic1Chart2YaxisTitle</vt:lpstr>
      <vt:lpstr>tlOutputCh1Analytic1Chart2YValue1</vt:lpstr>
      <vt:lpstr>tlOutputCh1Analytic1Chart2YValue10</vt:lpstr>
      <vt:lpstr>tlOutputCh1Analytic1Chart2YValue11</vt:lpstr>
      <vt:lpstr>tlOutputCh1Analytic1Chart2YValue12</vt:lpstr>
      <vt:lpstr>tlOutputCh1Analytic1Chart2YValue2</vt:lpstr>
      <vt:lpstr>tlOutputCh1Analytic1Chart2YValue3</vt:lpstr>
      <vt:lpstr>tlOutputCh1Analytic1Chart2YValue4</vt:lpstr>
      <vt:lpstr>tlOutputCh1Analytic1Chart2YValue5</vt:lpstr>
      <vt:lpstr>tlOutputCh1Analytic1Chart2YValue6</vt:lpstr>
      <vt:lpstr>tlOutputCh1Analytic1Chart2YValue7</vt:lpstr>
      <vt:lpstr>tlOutputCh1Analytic1Chart2YValue8</vt:lpstr>
      <vt:lpstr>tlOutputCh1Analytic1Chart2YValue9</vt:lpstr>
      <vt:lpstr>tlOutputCh1Analytic1Table1Col1Row1</vt:lpstr>
      <vt:lpstr>tlOutputCh1Analytic1Table1Col1Row2</vt:lpstr>
      <vt:lpstr>tlOutputCh1Analytic1Table1Col1Row3</vt:lpstr>
      <vt:lpstr>tlOutputCh1Analytic1Table1Col1Row4</vt:lpstr>
      <vt:lpstr>tlOutputCh1Analytic1Table1Col1Row5</vt:lpstr>
      <vt:lpstr>tlOutputCh1Analytic1Table1Col1Row6</vt:lpstr>
      <vt:lpstr>tlOutputCh1Analytic1Table1Col1Row7</vt:lpstr>
      <vt:lpstr>tlOutputCh1Analytic1Table1Col1Row8</vt:lpstr>
      <vt:lpstr>tlOutputCh1Analytic1Table1Col2Row1</vt:lpstr>
      <vt:lpstr>tlOutputCh1Analytic1Table1Col2Row2</vt:lpstr>
      <vt:lpstr>tlOutputCh1Analytic1Table1Col2Row3</vt:lpstr>
      <vt:lpstr>tlOutputCh1Analytic1Table1Col2Row4</vt:lpstr>
      <vt:lpstr>tlOutputCh1Analytic1Table1Col2Row5</vt:lpstr>
      <vt:lpstr>tlOutputCh1Analytic1Table1Col2Row6</vt:lpstr>
      <vt:lpstr>tlOutputCh1Analytic1Table1Col2Row7</vt:lpstr>
      <vt:lpstr>tlOutputCh1Analytic1Table1Col2Row8</vt:lpstr>
      <vt:lpstr>tlOutputCh1Analytic1Table1Col3Row1</vt:lpstr>
      <vt:lpstr>tlOutputCh1Analytic1Table1Col3Row2</vt:lpstr>
      <vt:lpstr>tlOutputCh1Analytic1Table1Col3Row3</vt:lpstr>
      <vt:lpstr>tlOutputCh1Analytic1Table1Col3Row4</vt:lpstr>
      <vt:lpstr>tlOutputCh1Analytic1Table1Col3Row5</vt:lpstr>
      <vt:lpstr>tlOutputCh1Analytic1Table1Col3Row6</vt:lpstr>
      <vt:lpstr>tlOutputCh1Analytic1Table1Col3Row7</vt:lpstr>
      <vt:lpstr>tlOutputCh1Analytic1Table1Col3Row8</vt:lpstr>
      <vt:lpstr>tlOutputCh1Analytic1Table1Col4Row1</vt:lpstr>
      <vt:lpstr>tlOutputCh1Analytic1Table1Col4Row2</vt:lpstr>
      <vt:lpstr>tlOutputCh1Analytic1Table1Col4Row3</vt:lpstr>
      <vt:lpstr>tlOutputCh1Analytic1Table1Col4Row4</vt:lpstr>
      <vt:lpstr>tlOutputCh1Analytic1Table1Col4Row5</vt:lpstr>
      <vt:lpstr>tlOutputCh1Analytic1Table1Col4Row6</vt:lpstr>
      <vt:lpstr>tlOutputCh1Analytic1Table1Col4Row7</vt:lpstr>
      <vt:lpstr>tlOutputCh1Analytic1Table1Col4Row8</vt:lpstr>
      <vt:lpstr>tlOutputCh1Analytic1Table1Col5Row1</vt:lpstr>
      <vt:lpstr>tlOutputCh1Analytic1Table1Col5Row2</vt:lpstr>
      <vt:lpstr>tlOutputCh1Analytic1Table1Col5Row3</vt:lpstr>
      <vt:lpstr>tlOutputCh1Analytic1Table1Col5Row4</vt:lpstr>
      <vt:lpstr>tlOutputCh1Analytic1Table1Col5Row5</vt:lpstr>
      <vt:lpstr>tlOutputCh1Analytic1Table1Col5Row6</vt:lpstr>
      <vt:lpstr>tlOutputCh1Analytic1Table1Col5Row7</vt:lpstr>
      <vt:lpstr>tlOutputCh1Analytic1Table1Col5Row8</vt:lpstr>
      <vt:lpstr>tlOutputCh1Analytic1Table1Col6Row1</vt:lpstr>
      <vt:lpstr>tlOutputCh1Analytic1Table1Col6Row2</vt:lpstr>
      <vt:lpstr>tlOutputCh1Analytic1Table1Col6Row3</vt:lpstr>
      <vt:lpstr>tlOutputCh1Analytic1Table1Col6Row4</vt:lpstr>
      <vt:lpstr>tlOutputCh1Analytic1Table1Col6Row5</vt:lpstr>
      <vt:lpstr>tlOutputCh1Analytic1Table1Col6Row6</vt:lpstr>
      <vt:lpstr>tlOutputCh1Analytic1Table1Col6Row7</vt:lpstr>
      <vt:lpstr>tlOutputCh1Analytic1Table1Col6Row8</vt:lpstr>
      <vt:lpstr>tlOutputCh1Analytic1Table1Col7Row1</vt:lpstr>
      <vt:lpstr>tlOutputCh1Analytic1Table1Col7Row2</vt:lpstr>
      <vt:lpstr>tlOutputCh1Analytic1Table1Col7Row3</vt:lpstr>
      <vt:lpstr>tlOutputCh1Analytic1Table1Col7Row4</vt:lpstr>
      <vt:lpstr>tlOutputCh1Analytic1Table1Col7Row5</vt:lpstr>
      <vt:lpstr>tlOutputCh1Analytic1Table1Col7Row6</vt:lpstr>
      <vt:lpstr>tlOutputCh1Analytic1Table1Col7Row7</vt:lpstr>
      <vt:lpstr>tlOutputCh1Analytic1Table1Col7Row8</vt:lpstr>
      <vt:lpstr>tlOutputCh1Analytic1Table1Col8Row1</vt:lpstr>
      <vt:lpstr>tlOutputCh1Analytic1Table1Col8Row2</vt:lpstr>
      <vt:lpstr>tlOutputCh1Analytic1Table1Col8Row3</vt:lpstr>
      <vt:lpstr>tlOutputCh1Analytic1Table1Col8Row4</vt:lpstr>
      <vt:lpstr>tlOutputCh1Analytic1Table1Col8Row5</vt:lpstr>
      <vt:lpstr>tlOutputCh1Analytic1Table1Col8Row6</vt:lpstr>
      <vt:lpstr>tlOutputCh1Analytic1Table1Col8Row7</vt:lpstr>
      <vt:lpstr>tlOutputCh1Analytic1Table1Col8Row8</vt:lpstr>
      <vt:lpstr>tlOutputCh1Analytic2Chart1Heading</vt:lpstr>
      <vt:lpstr>tlOutputCh1Analytic2Chart1Serie10Label1</vt:lpstr>
      <vt:lpstr>tlOutputCh1Analytic2Chart1Serie10Point1</vt:lpstr>
      <vt:lpstr>tlOutputCh1Analytic2Chart1Serie10Point2</vt:lpstr>
      <vt:lpstr>tlOutputCh1Analytic2Chart1Serie10Point3</vt:lpstr>
      <vt:lpstr>tlOutputCh1Analytic2Chart1Serie11Label1</vt:lpstr>
      <vt:lpstr>tlOutputCh1Analytic2Chart1Serie11Point1</vt:lpstr>
      <vt:lpstr>tlOutputCh1Analytic2Chart1Serie11Point2</vt:lpstr>
      <vt:lpstr>tlOutputCh1Analytic2Chart1Serie11Point3</vt:lpstr>
      <vt:lpstr>tlOutputCh1Analytic2Chart1Serie12Label1</vt:lpstr>
      <vt:lpstr>tlOutputCh1Analytic2Chart1Serie12Point1</vt:lpstr>
      <vt:lpstr>tlOutputCh1Analytic2Chart1Serie12Point2</vt:lpstr>
      <vt:lpstr>tlOutputCh1Analytic2Chart1Serie12Point3</vt:lpstr>
      <vt:lpstr>tlOutputCh1Analytic2Chart1Serie1Label1</vt:lpstr>
      <vt:lpstr>tlOutputCh1Analytic2Chart1Serie1Point1</vt:lpstr>
      <vt:lpstr>tlOutputCh1Analytic2Chart1Serie1Point2</vt:lpstr>
      <vt:lpstr>tlOutputCh1Analytic2Chart1Serie1Point3</vt:lpstr>
      <vt:lpstr>tlOutputCh1Analytic2Chart1Serie2Label1</vt:lpstr>
      <vt:lpstr>tlOutputCh1Analytic2Chart1Serie2Point1</vt:lpstr>
      <vt:lpstr>tlOutputCh1Analytic2Chart1Serie2Point2</vt:lpstr>
      <vt:lpstr>tlOutputCh1Analytic2Chart1Serie2Point3</vt:lpstr>
      <vt:lpstr>tlOutputCh1Analytic2Chart1Serie3Label1</vt:lpstr>
      <vt:lpstr>tlOutputCh1Analytic2Chart1Serie3Point1</vt:lpstr>
      <vt:lpstr>tlOutputCh1Analytic2Chart1Serie3Point2</vt:lpstr>
      <vt:lpstr>tlOutputCh1Analytic2Chart1Serie3Point3</vt:lpstr>
      <vt:lpstr>tlOutputCh1Analytic2Chart1Serie4Label1</vt:lpstr>
      <vt:lpstr>tlOutputCh1Analytic2Chart1Serie4Point1</vt:lpstr>
      <vt:lpstr>tlOutputCh1Analytic2Chart1Serie4Point2</vt:lpstr>
      <vt:lpstr>tlOutputCh1Analytic2Chart1Serie4Point3</vt:lpstr>
      <vt:lpstr>tlOutputCh1Analytic2Chart1Serie5Label1</vt:lpstr>
      <vt:lpstr>tlOutputCh1Analytic2Chart1Serie5Point1</vt:lpstr>
      <vt:lpstr>tlOutputCh1Analytic2Chart1Serie5Point2</vt:lpstr>
      <vt:lpstr>tlOutputCh1Analytic2Chart1Serie5Point3</vt:lpstr>
      <vt:lpstr>tlOutputCh1Analytic2Chart1Serie6Label1</vt:lpstr>
      <vt:lpstr>tlOutputCh1Analytic2Chart1Serie6Point1</vt:lpstr>
      <vt:lpstr>tlOutputCh1Analytic2Chart1Serie6Point2</vt:lpstr>
      <vt:lpstr>tlOutputCh1Analytic2Chart1Serie6Point3</vt:lpstr>
      <vt:lpstr>tlOutputCh1Analytic2Chart1Serie7Label1</vt:lpstr>
      <vt:lpstr>tlOutputCh1Analytic2Chart1Serie7Point1</vt:lpstr>
      <vt:lpstr>tlOutputCh1Analytic2Chart1Serie7Point2</vt:lpstr>
      <vt:lpstr>tlOutputCh1Analytic2Chart1Serie7Point3</vt:lpstr>
      <vt:lpstr>tlOutputCh1Analytic2Chart1Serie8Label1</vt:lpstr>
      <vt:lpstr>tlOutputCh1Analytic2Chart1Serie8Point1</vt:lpstr>
      <vt:lpstr>tlOutputCh1Analytic2Chart1Serie8Point2</vt:lpstr>
      <vt:lpstr>tlOutputCh1Analytic2Chart1Serie8Point3</vt:lpstr>
      <vt:lpstr>tlOutputCh1Analytic2Chart1Serie9Label1</vt:lpstr>
      <vt:lpstr>tlOutputCh1Analytic2Chart1Serie9Point1</vt:lpstr>
      <vt:lpstr>tlOutputCh1Analytic2Chart1Serie9Point2</vt:lpstr>
      <vt:lpstr>tlOutputCh1Analytic2Chart1Serie9Point3</vt:lpstr>
      <vt:lpstr>tlOutputCh1Analytic2Chart2Heading</vt:lpstr>
      <vt:lpstr>tlOutputCh1Analytic2Chart2Label1</vt:lpstr>
      <vt:lpstr>tlOutputCh1Analytic2Chart2Label10</vt:lpstr>
      <vt:lpstr>tlOutputCh1Analytic2Chart2Label11</vt:lpstr>
      <vt:lpstr>tlOutputCh1Analytic2Chart2Label12</vt:lpstr>
      <vt:lpstr>tlOutputCh1Analytic2Chart2Label2</vt:lpstr>
      <vt:lpstr>tlOutputCh1Analytic2Chart2Label3</vt:lpstr>
      <vt:lpstr>tlOutputCh1Analytic2Chart2Label4</vt:lpstr>
      <vt:lpstr>tlOutputCh1Analytic2Chart2Label5</vt:lpstr>
      <vt:lpstr>tlOutputCh1Analytic2Chart2Label6</vt:lpstr>
      <vt:lpstr>tlOutputCh1Analytic2Chart2Label7</vt:lpstr>
      <vt:lpstr>tlOutputCh1Analytic2Chart2Label8</vt:lpstr>
      <vt:lpstr>tlOutputCh1Analytic2Chart2Label9</vt:lpstr>
      <vt:lpstr>tlOutputCh1Analytic2Chart2Serie1Item1</vt:lpstr>
      <vt:lpstr>tlOutputCh1Analytic2Chart2Serie1Item10</vt:lpstr>
      <vt:lpstr>tlOutputCh1Analytic2Chart2Serie1Item11</vt:lpstr>
      <vt:lpstr>tlOutputCh1Analytic2Chart2Serie1Item12</vt:lpstr>
      <vt:lpstr>tlOutputCh1Analytic2Chart2Serie1Item2</vt:lpstr>
      <vt:lpstr>tlOutputCh1Analytic2Chart2Serie1Item3</vt:lpstr>
      <vt:lpstr>tlOutputCh1Analytic2Chart2Serie1Item4</vt:lpstr>
      <vt:lpstr>tlOutputCh1Analytic2Chart2Serie1Item5</vt:lpstr>
      <vt:lpstr>tlOutputCh1Analytic2Chart2Serie1Item6</vt:lpstr>
      <vt:lpstr>tlOutputCh1Analytic2Chart2Serie1Item7</vt:lpstr>
      <vt:lpstr>tlOutputCh1Analytic2Chart2Serie1Item8</vt:lpstr>
      <vt:lpstr>tlOutputCh1Analytic2Chart2Serie1Item9</vt:lpstr>
      <vt:lpstr>tlOutputCh1Analytic2Chart2Serie1Title</vt:lpstr>
      <vt:lpstr>tlOutputCh1Analytic2Chart2Serie2Item1</vt:lpstr>
      <vt:lpstr>tlOutputCh1Analytic2Chart2Serie2Item10</vt:lpstr>
      <vt:lpstr>tlOutputCh1Analytic2Chart2Serie2Item11</vt:lpstr>
      <vt:lpstr>tlOutputCh1Analytic2Chart2Serie2Item12</vt:lpstr>
      <vt:lpstr>tlOutputCh1Analytic2Chart2Serie2Item2</vt:lpstr>
      <vt:lpstr>tlOutputCh1Analytic2Chart2Serie2Item3</vt:lpstr>
      <vt:lpstr>tlOutputCh1Analytic2Chart2Serie2Item4</vt:lpstr>
      <vt:lpstr>tlOutputCh1Analytic2Chart2Serie2Item5</vt:lpstr>
      <vt:lpstr>tlOutputCh1Analytic2Chart2Serie2Item6</vt:lpstr>
      <vt:lpstr>tlOutputCh1Analytic2Chart2Serie2Item7</vt:lpstr>
      <vt:lpstr>tlOutputCh1Analytic2Chart2Serie2Item8</vt:lpstr>
      <vt:lpstr>tlOutputCh1Analytic2Chart2Serie2Item9</vt:lpstr>
      <vt:lpstr>tlOutputCh1Analytic2Chart2Serie2Title</vt:lpstr>
      <vt:lpstr>tlOutputCh1Analytic2Chart3BubbleSize1</vt:lpstr>
      <vt:lpstr>tlOutputCh1Analytic2Chart3BubbleSize10</vt:lpstr>
      <vt:lpstr>tlOutputCh1Analytic2Chart3BubbleSize11</vt:lpstr>
      <vt:lpstr>tlOutputCh1Analytic2Chart3BubbleSize12</vt:lpstr>
      <vt:lpstr>tlOutputCh1Analytic2Chart3BubbleSize13</vt:lpstr>
      <vt:lpstr>tlOutputCh1Analytic2Chart3BubbleSize14</vt:lpstr>
      <vt:lpstr>tlOutputCh1Analytic2Chart3BubbleSize15</vt:lpstr>
      <vt:lpstr>tlOutputCh1Analytic2Chart3BubbleSize16</vt:lpstr>
      <vt:lpstr>tlOutputCh1Analytic2Chart3BubbleSize17</vt:lpstr>
      <vt:lpstr>tlOutputCh1Analytic2Chart3BubbleSize18</vt:lpstr>
      <vt:lpstr>tlOutputCh1Analytic2Chart3BubbleSize19</vt:lpstr>
      <vt:lpstr>tlOutputCh1Analytic2Chart3BubbleSize2</vt:lpstr>
      <vt:lpstr>tlOutputCh1Analytic2Chart3BubbleSize20</vt:lpstr>
      <vt:lpstr>tlOutputCh1Analytic2Chart3BubbleSize21</vt:lpstr>
      <vt:lpstr>tlOutputCh1Analytic2Chart3BubbleSize22</vt:lpstr>
      <vt:lpstr>tlOutputCh1Analytic2Chart3BubbleSize23</vt:lpstr>
      <vt:lpstr>tlOutputCh1Analytic2Chart3BubbleSize24</vt:lpstr>
      <vt:lpstr>tlOutputCh1Analytic2Chart3BubbleSize3</vt:lpstr>
      <vt:lpstr>tlOutputCh1Analytic2Chart3BubbleSize4</vt:lpstr>
      <vt:lpstr>tlOutputCh1Analytic2Chart3BubbleSize5</vt:lpstr>
      <vt:lpstr>tlOutputCh1Analytic2Chart3BubbleSize6</vt:lpstr>
      <vt:lpstr>tlOutputCh1Analytic2Chart3BubbleSize7</vt:lpstr>
      <vt:lpstr>tlOutputCh1Analytic2Chart3BubbleSize8</vt:lpstr>
      <vt:lpstr>tlOutputCh1Analytic2Chart3BubbleSize9</vt:lpstr>
      <vt:lpstr>tlOutputCh1Analytic2Chart3Heading</vt:lpstr>
      <vt:lpstr>tlOutputCh1Analytic2Chart3Label1</vt:lpstr>
      <vt:lpstr>tlOutputCh1Analytic2Chart3Label10</vt:lpstr>
      <vt:lpstr>tlOutputCh1Analytic2Chart3Label11</vt:lpstr>
      <vt:lpstr>tlOutputCh1Analytic2Chart3Label12</vt:lpstr>
      <vt:lpstr>tlOutputCh1Analytic2Chart3Label13</vt:lpstr>
      <vt:lpstr>tlOutputCh1Analytic2Chart3Label14</vt:lpstr>
      <vt:lpstr>tlOutputCh1Analytic2Chart3Label15</vt:lpstr>
      <vt:lpstr>tlOutputCh1Analytic2Chart3Label16</vt:lpstr>
      <vt:lpstr>tlOutputCh1Analytic2Chart3Label17</vt:lpstr>
      <vt:lpstr>tlOutputCh1Analytic2Chart3Label18</vt:lpstr>
      <vt:lpstr>tlOutputCh1Analytic2Chart3Label19</vt:lpstr>
      <vt:lpstr>tlOutputCh1Analytic2Chart3Label2</vt:lpstr>
      <vt:lpstr>tlOutputCh1Analytic2Chart3Label20</vt:lpstr>
      <vt:lpstr>tlOutputCh1Analytic2Chart3Label21</vt:lpstr>
      <vt:lpstr>tlOutputCh1Analytic2Chart3Label22</vt:lpstr>
      <vt:lpstr>tlOutputCh1Analytic2Chart3Label23</vt:lpstr>
      <vt:lpstr>tlOutputCh1Analytic2Chart3Label24</vt:lpstr>
      <vt:lpstr>tlOutputCh1Analytic2Chart3Label3</vt:lpstr>
      <vt:lpstr>tlOutputCh1Analytic2Chart3Label4</vt:lpstr>
      <vt:lpstr>tlOutputCh1Analytic2Chart3Label5</vt:lpstr>
      <vt:lpstr>tlOutputCh1Analytic2Chart3Label6</vt:lpstr>
      <vt:lpstr>tlOutputCh1Analytic2Chart3Label7</vt:lpstr>
      <vt:lpstr>tlOutputCh1Analytic2Chart3Label8</vt:lpstr>
      <vt:lpstr>tlOutputCh1Analytic2Chart3Label9</vt:lpstr>
      <vt:lpstr>tlOutputCh1Analytic2Chart3Type1</vt:lpstr>
      <vt:lpstr>tlOutputCh1Analytic2Chart3Type2</vt:lpstr>
      <vt:lpstr>tlOutputCh1Analytic2Chart3Type3</vt:lpstr>
      <vt:lpstr>tlOutputCh1Analytic2Chart3Type4</vt:lpstr>
      <vt:lpstr>tlOutputCh1Analytic2Chart3XaxisTitle</vt:lpstr>
      <vt:lpstr>tlOutputCh1Analytic2Chart3XValue1</vt:lpstr>
      <vt:lpstr>tlOutputCh1Analytic2Chart3XValue10</vt:lpstr>
      <vt:lpstr>tlOutputCh1Analytic2Chart3XValue11</vt:lpstr>
      <vt:lpstr>tlOutputCh1Analytic2Chart3XValue12</vt:lpstr>
      <vt:lpstr>tlOutputCh1Analytic2Chart3XValue13</vt:lpstr>
      <vt:lpstr>tlOutputCh1Analytic2Chart3XValue14</vt:lpstr>
      <vt:lpstr>tlOutputCh1Analytic2Chart3XValue15</vt:lpstr>
      <vt:lpstr>tlOutputCh1Analytic2Chart3XValue16</vt:lpstr>
      <vt:lpstr>tlOutputCh1Analytic2Chart3XValue17</vt:lpstr>
      <vt:lpstr>tlOutputCh1Analytic2Chart3XValue18</vt:lpstr>
      <vt:lpstr>tlOutputCh1Analytic2Chart3XValue19</vt:lpstr>
      <vt:lpstr>tlOutputCh1Analytic2Chart3XValue2</vt:lpstr>
      <vt:lpstr>tlOutputCh1Analytic2Chart3XValue20</vt:lpstr>
      <vt:lpstr>tlOutputCh1Analytic2Chart3XValue21</vt:lpstr>
      <vt:lpstr>tlOutputCh1Analytic2Chart3XValue22</vt:lpstr>
      <vt:lpstr>tlOutputCh1Analytic2Chart3XValue23</vt:lpstr>
      <vt:lpstr>tlOutputCh1Analytic2Chart3XValue24</vt:lpstr>
      <vt:lpstr>tlOutputCh1Analytic2Chart3XValue3</vt:lpstr>
      <vt:lpstr>tlOutputCh1Analytic2Chart3XValue4</vt:lpstr>
      <vt:lpstr>tlOutputCh1Analytic2Chart3XValue5</vt:lpstr>
      <vt:lpstr>tlOutputCh1Analytic2Chart3XValue6</vt:lpstr>
      <vt:lpstr>tlOutputCh1Analytic2Chart3XValue7</vt:lpstr>
      <vt:lpstr>tlOutputCh1Analytic2Chart3XValue8</vt:lpstr>
      <vt:lpstr>tlOutputCh1Analytic2Chart3XValue9</vt:lpstr>
      <vt:lpstr>tlOutputCh1Analytic2Chart3YaxisTitle</vt:lpstr>
      <vt:lpstr>tlOutputCh1Analytic2Chart3YValue1</vt:lpstr>
      <vt:lpstr>tlOutputCh1Analytic2Chart3YValue10</vt:lpstr>
      <vt:lpstr>tlOutputCh1Analytic2Chart3YValue11</vt:lpstr>
      <vt:lpstr>tlOutputCh1Analytic2Chart3YValue12</vt:lpstr>
      <vt:lpstr>tlOutputCh1Analytic2Chart3YValue13</vt:lpstr>
      <vt:lpstr>tlOutputCh1Analytic2Chart3YValue14</vt:lpstr>
      <vt:lpstr>tlOutputCh1Analytic2Chart3YValue15</vt:lpstr>
      <vt:lpstr>tlOutputCh1Analytic2Chart3YValue16</vt:lpstr>
      <vt:lpstr>tlOutputCh1Analytic2Chart3YValue17</vt:lpstr>
      <vt:lpstr>tlOutputCh1Analytic2Chart3YValue18</vt:lpstr>
      <vt:lpstr>tlOutputCh1Analytic2Chart3YValue19</vt:lpstr>
      <vt:lpstr>tlOutputCh1Analytic2Chart3YValue2</vt:lpstr>
      <vt:lpstr>tlOutputCh1Analytic2Chart3YValue20</vt:lpstr>
      <vt:lpstr>tlOutputCh1Analytic2Chart3YValue21</vt:lpstr>
      <vt:lpstr>tlOutputCh1Analytic2Chart3YValue22</vt:lpstr>
      <vt:lpstr>tlOutputCh1Analytic2Chart3YValue23</vt:lpstr>
      <vt:lpstr>tlOutputCh1Analytic2Chart3YValue24</vt:lpstr>
      <vt:lpstr>tlOutputCh1Analytic2Chart3YValue3</vt:lpstr>
      <vt:lpstr>tlOutputCh1Analytic2Chart3YValue4</vt:lpstr>
      <vt:lpstr>tlOutputCh1Analytic2Chart3YValue5</vt:lpstr>
      <vt:lpstr>tlOutputCh1Analytic2Chart3YValue6</vt:lpstr>
      <vt:lpstr>tlOutputCh1Analytic2Chart3YValue7</vt:lpstr>
      <vt:lpstr>tlOutputCh1Analytic2Chart3YValue8</vt:lpstr>
      <vt:lpstr>tlOutputCh1Analytic2Chart3YValue9</vt:lpstr>
      <vt:lpstr>tlOutputCh1Analytic2Chart4BubbleSize1</vt:lpstr>
      <vt:lpstr>tlOutputCh1Analytic2Chart4BubbleSize10</vt:lpstr>
      <vt:lpstr>tlOutputCh1Analytic2Chart4BubbleSize11</vt:lpstr>
      <vt:lpstr>tlOutputCh1Analytic2Chart4BubbleSize12</vt:lpstr>
      <vt:lpstr>tlOutputCh1Analytic2Chart4BubbleSize13</vt:lpstr>
      <vt:lpstr>tlOutputCh1Analytic2Chart4BubbleSize14</vt:lpstr>
      <vt:lpstr>tlOutputCh1Analytic2Chart4BubbleSize15</vt:lpstr>
      <vt:lpstr>tlOutputCh1Analytic2Chart4BubbleSize16</vt:lpstr>
      <vt:lpstr>tlOutputCh1Analytic2Chart4BubbleSize17</vt:lpstr>
      <vt:lpstr>tlOutputCh1Analytic2Chart4BubbleSize18</vt:lpstr>
      <vt:lpstr>tlOutputCh1Analytic2Chart4BubbleSize19</vt:lpstr>
      <vt:lpstr>tlOutputCh1Analytic2Chart4BubbleSize2</vt:lpstr>
      <vt:lpstr>tlOutputCh1Analytic2Chart4BubbleSize20</vt:lpstr>
      <vt:lpstr>tlOutputCh1Analytic2Chart4BubbleSize21</vt:lpstr>
      <vt:lpstr>tlOutputCh1Analytic2Chart4BubbleSize22</vt:lpstr>
      <vt:lpstr>tlOutputCh1Analytic2Chart4BubbleSize23</vt:lpstr>
      <vt:lpstr>tlOutputCh1Analytic2Chart4BubbleSize24</vt:lpstr>
      <vt:lpstr>tlOutputCh1Analytic2Chart4BubbleSize3</vt:lpstr>
      <vt:lpstr>tlOutputCh1Analytic2Chart4BubbleSize4</vt:lpstr>
      <vt:lpstr>tlOutputCh1Analytic2Chart4BubbleSize5</vt:lpstr>
      <vt:lpstr>tlOutputCh1Analytic2Chart4BubbleSize6</vt:lpstr>
      <vt:lpstr>tlOutputCh1Analytic2Chart4BubbleSize7</vt:lpstr>
      <vt:lpstr>tlOutputCh1Analytic2Chart4BubbleSize8</vt:lpstr>
      <vt:lpstr>tlOutputCh1Analytic2Chart4BubbleSize9</vt:lpstr>
      <vt:lpstr>tlOutputCh1Analytic2Chart4Heading</vt:lpstr>
      <vt:lpstr>tlOutputCh1Analytic2Chart4Label1</vt:lpstr>
      <vt:lpstr>tlOutputCh1Analytic2Chart4Label10</vt:lpstr>
      <vt:lpstr>tlOutputCh1Analytic2Chart4Label11</vt:lpstr>
      <vt:lpstr>tlOutputCh1Analytic2Chart4Label12</vt:lpstr>
      <vt:lpstr>tlOutputCh1Analytic2Chart4Label13</vt:lpstr>
      <vt:lpstr>tlOutputCh1Analytic2Chart4Label14</vt:lpstr>
      <vt:lpstr>tlOutputCh1Analytic2Chart4Label15</vt:lpstr>
      <vt:lpstr>tlOutputCh1Analytic2Chart4Label16</vt:lpstr>
      <vt:lpstr>tlOutputCh1Analytic2Chart4Label17</vt:lpstr>
      <vt:lpstr>tlOutputCh1Analytic2Chart4Label18</vt:lpstr>
      <vt:lpstr>tlOutputCh1Analytic2Chart4Label19</vt:lpstr>
      <vt:lpstr>tlOutputCh1Analytic2Chart4Label2</vt:lpstr>
      <vt:lpstr>tlOutputCh1Analytic2Chart4Label20</vt:lpstr>
      <vt:lpstr>tlOutputCh1Analytic2Chart4Label21</vt:lpstr>
      <vt:lpstr>tlOutputCh1Analytic2Chart4Label22</vt:lpstr>
      <vt:lpstr>tlOutputCh1Analytic2Chart4Label23</vt:lpstr>
      <vt:lpstr>tlOutputCh1Analytic2Chart4Label24</vt:lpstr>
      <vt:lpstr>tlOutputCh1Analytic2Chart4Label3</vt:lpstr>
      <vt:lpstr>tlOutputCh1Analytic2Chart4Label4</vt:lpstr>
      <vt:lpstr>tlOutputCh1Analytic2Chart4Label5</vt:lpstr>
      <vt:lpstr>tlOutputCh1Analytic2Chart4Label6</vt:lpstr>
      <vt:lpstr>tlOutputCh1Analytic2Chart4Label7</vt:lpstr>
      <vt:lpstr>tlOutputCh1Analytic2Chart4Label8</vt:lpstr>
      <vt:lpstr>tlOutputCh1Analytic2Chart4Label9</vt:lpstr>
      <vt:lpstr>tlOutputCh1Analytic2Chart4Type1</vt:lpstr>
      <vt:lpstr>tlOutputCh1Analytic2Chart4Type2</vt:lpstr>
      <vt:lpstr>tlOutputCh1Analytic2Chart4Type3</vt:lpstr>
      <vt:lpstr>tlOutputCh1Analytic2Chart4Type4</vt:lpstr>
      <vt:lpstr>tlOutputCh1Analytic2Chart4XaxisTitle</vt:lpstr>
      <vt:lpstr>tlOutputCh1Analytic2Chart4XValue1</vt:lpstr>
      <vt:lpstr>tlOutputCh1Analytic2Chart4XValue10</vt:lpstr>
      <vt:lpstr>tlOutputCh1Analytic2Chart4XValue11</vt:lpstr>
      <vt:lpstr>tlOutputCh1Analytic2Chart4XValue12</vt:lpstr>
      <vt:lpstr>tlOutputCh1Analytic2Chart4XValue13</vt:lpstr>
      <vt:lpstr>tlOutputCh1Analytic2Chart4XValue14</vt:lpstr>
      <vt:lpstr>tlOutputCh1Analytic2Chart4XValue15</vt:lpstr>
      <vt:lpstr>tlOutputCh1Analytic2Chart4XValue16</vt:lpstr>
      <vt:lpstr>tlOutputCh1Analytic2Chart4XValue17</vt:lpstr>
      <vt:lpstr>tlOutputCh1Analytic2Chart4XValue18</vt:lpstr>
      <vt:lpstr>tlOutputCh1Analytic2Chart4XValue19</vt:lpstr>
      <vt:lpstr>tlOutputCh1Analytic2Chart4XValue2</vt:lpstr>
      <vt:lpstr>tlOutputCh1Analytic2Chart4XValue20</vt:lpstr>
      <vt:lpstr>tlOutputCh1Analytic2Chart4XValue21</vt:lpstr>
      <vt:lpstr>tlOutputCh1Analytic2Chart4XValue22</vt:lpstr>
      <vt:lpstr>tlOutputCh1Analytic2Chart4XValue23</vt:lpstr>
      <vt:lpstr>tlOutputCh1Analytic2Chart4XValue24</vt:lpstr>
      <vt:lpstr>tlOutputCh1Analytic2Chart4XValue3</vt:lpstr>
      <vt:lpstr>tlOutputCh1Analytic2Chart4XValue4</vt:lpstr>
      <vt:lpstr>tlOutputCh1Analytic2Chart4XValue5</vt:lpstr>
      <vt:lpstr>tlOutputCh1Analytic2Chart4XValue6</vt:lpstr>
      <vt:lpstr>tlOutputCh1Analytic2Chart4XValue7</vt:lpstr>
      <vt:lpstr>tlOutputCh1Analytic2Chart4XValue8</vt:lpstr>
      <vt:lpstr>tlOutputCh1Analytic2Chart4XValue9</vt:lpstr>
      <vt:lpstr>tlOutputCh1Analytic2Chart4YaxisTitle</vt:lpstr>
      <vt:lpstr>tlOutputCh1Analytic2Chart4YValue1</vt:lpstr>
      <vt:lpstr>tlOutputCh1Analytic2Chart4YValue10</vt:lpstr>
      <vt:lpstr>tlOutputCh1Analytic2Chart4YValue11</vt:lpstr>
      <vt:lpstr>tlOutputCh1Analytic2Chart4YValue12</vt:lpstr>
      <vt:lpstr>tlOutputCh1Analytic2Chart4YValue13</vt:lpstr>
      <vt:lpstr>tlOutputCh1Analytic2Chart4YValue14</vt:lpstr>
      <vt:lpstr>tlOutputCh1Analytic2Chart4YValue15</vt:lpstr>
      <vt:lpstr>tlOutputCh1Analytic2Chart4YValue16</vt:lpstr>
      <vt:lpstr>tlOutputCh1Analytic2Chart4YValue17</vt:lpstr>
      <vt:lpstr>tlOutputCh1Analytic2Chart4YValue18</vt:lpstr>
      <vt:lpstr>tlOutputCh1Analytic2Chart4YValue19</vt:lpstr>
      <vt:lpstr>tlOutputCh1Analytic2Chart4YValue2</vt:lpstr>
      <vt:lpstr>tlOutputCh1Analytic2Chart4YValue20</vt:lpstr>
      <vt:lpstr>tlOutputCh1Analytic2Chart4YValue21</vt:lpstr>
      <vt:lpstr>tlOutputCh1Analytic2Chart4YValue22</vt:lpstr>
      <vt:lpstr>tlOutputCh1Analytic2Chart4YValue23</vt:lpstr>
      <vt:lpstr>tlOutputCh1Analytic2Chart4YValue24</vt:lpstr>
      <vt:lpstr>tlOutputCh1Analytic2Chart4YValue3</vt:lpstr>
      <vt:lpstr>tlOutputCh1Analytic2Chart4YValue4</vt:lpstr>
      <vt:lpstr>tlOutputCh1Analytic2Chart4YValue5</vt:lpstr>
      <vt:lpstr>tlOutputCh1Analytic2Chart4YValue6</vt:lpstr>
      <vt:lpstr>tlOutputCh1Analytic2Chart4YValue7</vt:lpstr>
      <vt:lpstr>tlOutputCh1Analytic2Chart4YValue8</vt:lpstr>
      <vt:lpstr>tlOutputCh1Analytic2Chart4YValue9</vt:lpstr>
      <vt:lpstr>tlOutputCh1Analytic2Chart5BubbleSize1</vt:lpstr>
      <vt:lpstr>tlOutputCh1Analytic2Chart5BubbleSize10</vt:lpstr>
      <vt:lpstr>tlOutputCh1Analytic2Chart5BubbleSize11</vt:lpstr>
      <vt:lpstr>tlOutputCh1Analytic2Chart5BubbleSize12</vt:lpstr>
      <vt:lpstr>tlOutputCh1Analytic2Chart5BubbleSize13</vt:lpstr>
      <vt:lpstr>tlOutputCh1Analytic2Chart5BubbleSize14</vt:lpstr>
      <vt:lpstr>tlOutputCh1Analytic2Chart5BubbleSize15</vt:lpstr>
      <vt:lpstr>tlOutputCh1Analytic2Chart5BubbleSize16</vt:lpstr>
      <vt:lpstr>tlOutputCh1Analytic2Chart5BubbleSize17</vt:lpstr>
      <vt:lpstr>tlOutputCh1Analytic2Chart5BubbleSize18</vt:lpstr>
      <vt:lpstr>tlOutputCh1Analytic2Chart5BubbleSize19</vt:lpstr>
      <vt:lpstr>tlOutputCh1Analytic2Chart5BubbleSize2</vt:lpstr>
      <vt:lpstr>tlOutputCh1Analytic2Chart5BubbleSize20</vt:lpstr>
      <vt:lpstr>tlOutputCh1Analytic2Chart5BubbleSize21</vt:lpstr>
      <vt:lpstr>tlOutputCh1Analytic2Chart5BubbleSize22</vt:lpstr>
      <vt:lpstr>tlOutputCh1Analytic2Chart5BubbleSize23</vt:lpstr>
      <vt:lpstr>tlOutputCh1Analytic2Chart5BubbleSize24</vt:lpstr>
      <vt:lpstr>tlOutputCh1Analytic2Chart5BubbleSize3</vt:lpstr>
      <vt:lpstr>tlOutputCh1Analytic2Chart5BubbleSize4</vt:lpstr>
      <vt:lpstr>tlOutputCh1Analytic2Chart5BubbleSize5</vt:lpstr>
      <vt:lpstr>tlOutputCh1Analytic2Chart5BubbleSize6</vt:lpstr>
      <vt:lpstr>tlOutputCh1Analytic2Chart5BubbleSize7</vt:lpstr>
      <vt:lpstr>tlOutputCh1Analytic2Chart5BubbleSize8</vt:lpstr>
      <vt:lpstr>tlOutputCh1Analytic2Chart5BubbleSize9</vt:lpstr>
      <vt:lpstr>tlOutputCh1Analytic2Chart5Heading</vt:lpstr>
      <vt:lpstr>tlOutputCh1Analytic2Chart5Label1</vt:lpstr>
      <vt:lpstr>tlOutputCh1Analytic2Chart5Label10</vt:lpstr>
      <vt:lpstr>tlOutputCh1Analytic2Chart5Label11</vt:lpstr>
      <vt:lpstr>tlOutputCh1Analytic2Chart5Label12</vt:lpstr>
      <vt:lpstr>tlOutputCh1Analytic2Chart5Label13</vt:lpstr>
      <vt:lpstr>tlOutputCh1Analytic2Chart5Label14</vt:lpstr>
      <vt:lpstr>tlOutputCh1Analytic2Chart5Label15</vt:lpstr>
      <vt:lpstr>tlOutputCh1Analytic2Chart5Label16</vt:lpstr>
      <vt:lpstr>tlOutputCh1Analytic2Chart5Label17</vt:lpstr>
      <vt:lpstr>tlOutputCh1Analytic2Chart5Label18</vt:lpstr>
      <vt:lpstr>tlOutputCh1Analytic2Chart5Label19</vt:lpstr>
      <vt:lpstr>tlOutputCh1Analytic2Chart5Label2</vt:lpstr>
      <vt:lpstr>tlOutputCh1Analytic2Chart5Label20</vt:lpstr>
      <vt:lpstr>tlOutputCh1Analytic2Chart5Label21</vt:lpstr>
      <vt:lpstr>tlOutputCh1Analytic2Chart5Label22</vt:lpstr>
      <vt:lpstr>tlOutputCh1Analytic2Chart5Label23</vt:lpstr>
      <vt:lpstr>tlOutputCh1Analytic2Chart5Label24</vt:lpstr>
      <vt:lpstr>tlOutputCh1Analytic2Chart5Label3</vt:lpstr>
      <vt:lpstr>tlOutputCh1Analytic2Chart5Label4</vt:lpstr>
      <vt:lpstr>tlOutputCh1Analytic2Chart5Label5</vt:lpstr>
      <vt:lpstr>tlOutputCh1Analytic2Chart5Label6</vt:lpstr>
      <vt:lpstr>tlOutputCh1Analytic2Chart5Label7</vt:lpstr>
      <vt:lpstr>tlOutputCh1Analytic2Chart5Label8</vt:lpstr>
      <vt:lpstr>tlOutputCh1Analytic2Chart5Label9</vt:lpstr>
      <vt:lpstr>tlOutputCh1Analytic2Chart5Type1</vt:lpstr>
      <vt:lpstr>tlOutputCh1Analytic2Chart5Type2</vt:lpstr>
      <vt:lpstr>tlOutputCh1Analytic2Chart5Type3</vt:lpstr>
      <vt:lpstr>tlOutputCh1Analytic2Chart5Type4</vt:lpstr>
      <vt:lpstr>tlOutputCh1Analytic2Chart5XaxisTitle</vt:lpstr>
      <vt:lpstr>tlOutputCh1Analytic2Chart5XValue1</vt:lpstr>
      <vt:lpstr>tlOutputCh1Analytic2Chart5XValue10</vt:lpstr>
      <vt:lpstr>tlOutputCh1Analytic2Chart5XValue11</vt:lpstr>
      <vt:lpstr>tlOutputCh1Analytic2Chart5XValue12</vt:lpstr>
      <vt:lpstr>tlOutputCh1Analytic2Chart5XValue13</vt:lpstr>
      <vt:lpstr>tlOutputCh1Analytic2Chart5XValue14</vt:lpstr>
      <vt:lpstr>tlOutputCh1Analytic2Chart5XValue15</vt:lpstr>
      <vt:lpstr>tlOutputCh1Analytic2Chart5XValue16</vt:lpstr>
      <vt:lpstr>tlOutputCh1Analytic2Chart5XValue17</vt:lpstr>
      <vt:lpstr>tlOutputCh1Analytic2Chart5XValue18</vt:lpstr>
      <vt:lpstr>tlOutputCh1Analytic2Chart5XValue19</vt:lpstr>
      <vt:lpstr>tlOutputCh1Analytic2Chart5XValue2</vt:lpstr>
      <vt:lpstr>tlOutputCh1Analytic2Chart5XValue20</vt:lpstr>
      <vt:lpstr>tlOutputCh1Analytic2Chart5XValue21</vt:lpstr>
      <vt:lpstr>tlOutputCh1Analytic2Chart5XValue22</vt:lpstr>
      <vt:lpstr>tlOutputCh1Analytic2Chart5XValue23</vt:lpstr>
      <vt:lpstr>tlOutputCh1Analytic2Chart5XValue24</vt:lpstr>
      <vt:lpstr>tlOutputCh1Analytic2Chart5XValue3</vt:lpstr>
      <vt:lpstr>tlOutputCh1Analytic2Chart5XValue4</vt:lpstr>
      <vt:lpstr>tlOutputCh1Analytic2Chart5XValue5</vt:lpstr>
      <vt:lpstr>tlOutputCh1Analytic2Chart5XValue6</vt:lpstr>
      <vt:lpstr>tlOutputCh1Analytic2Chart5XValue7</vt:lpstr>
      <vt:lpstr>tlOutputCh1Analytic2Chart5XValue8</vt:lpstr>
      <vt:lpstr>tlOutputCh1Analytic2Chart5XValue9</vt:lpstr>
      <vt:lpstr>tlOutputCh1Analytic2Chart5YaxisTitle</vt:lpstr>
      <vt:lpstr>tlOutputCh1Analytic2Chart5YValue1</vt:lpstr>
      <vt:lpstr>tlOutputCh1Analytic2Chart5YValue10</vt:lpstr>
      <vt:lpstr>tlOutputCh1Analytic2Chart5YValue11</vt:lpstr>
      <vt:lpstr>tlOutputCh1Analytic2Chart5YValue12</vt:lpstr>
      <vt:lpstr>tlOutputCh1Analytic2Chart5YValue13</vt:lpstr>
      <vt:lpstr>tlOutputCh1Analytic2Chart5YValue14</vt:lpstr>
      <vt:lpstr>tlOutputCh1Analytic2Chart5YValue15</vt:lpstr>
      <vt:lpstr>tlOutputCh1Analytic2Chart5YValue16</vt:lpstr>
      <vt:lpstr>tlOutputCh1Analytic2Chart5YValue17</vt:lpstr>
      <vt:lpstr>tlOutputCh1Analytic2Chart5YValue18</vt:lpstr>
      <vt:lpstr>tlOutputCh1Analytic2Chart5YValue19</vt:lpstr>
      <vt:lpstr>tlOutputCh1Analytic2Chart5YValue2</vt:lpstr>
      <vt:lpstr>tlOutputCh1Analytic2Chart5YValue20</vt:lpstr>
      <vt:lpstr>tlOutputCh1Analytic2Chart5YValue21</vt:lpstr>
      <vt:lpstr>tlOutputCh1Analytic2Chart5YValue22</vt:lpstr>
      <vt:lpstr>tlOutputCh1Analytic2Chart5YValue23</vt:lpstr>
      <vt:lpstr>tlOutputCh1Analytic2Chart5YValue24</vt:lpstr>
      <vt:lpstr>tlOutputCh1Analytic2Chart5YValue3</vt:lpstr>
      <vt:lpstr>tlOutputCh1Analytic2Chart5YValue4</vt:lpstr>
      <vt:lpstr>tlOutputCh1Analytic2Chart5YValue5</vt:lpstr>
      <vt:lpstr>tlOutputCh1Analytic2Chart5YValue6</vt:lpstr>
      <vt:lpstr>tlOutputCh1Analytic2Chart5YValue7</vt:lpstr>
      <vt:lpstr>tlOutputCh1Analytic2Chart5YValue8</vt:lpstr>
      <vt:lpstr>tlOutputCh1Analytic2Chart5YValue9</vt:lpstr>
      <vt:lpstr>tlOutputCh1AnalyticsEmp1Req</vt:lpstr>
      <vt:lpstr>tlOutputCh1AnalyticsExp</vt:lpstr>
      <vt:lpstr>tlOutputCh1CustProfitTot</vt:lpstr>
      <vt:lpstr>tlOutputCh1Emp1GaugeMax</vt:lpstr>
      <vt:lpstr>tlOutputCh1Emp1GaugeMin</vt:lpstr>
      <vt:lpstr>tlOutputCh1Emp1GaugeValue</vt:lpstr>
      <vt:lpstr>tlOutputCh1GPaLTot</vt:lpstr>
      <vt:lpstr>tlOutputCh1MarketDemandTot</vt:lpstr>
      <vt:lpstr>tlOutputCh1MarkPlanEmp1Req</vt:lpstr>
      <vt:lpstr>tlOutputCh1MarkPlanExp</vt:lpstr>
      <vt:lpstr>tlOutputCh1NetSalesTot</vt:lpstr>
      <vt:lpstr>tlOutputCh1NewSlotAvailGaugeMax</vt:lpstr>
      <vt:lpstr>tlOutputCh1NewSlotAvailGaugeMin</vt:lpstr>
      <vt:lpstr>tlOutputCh1NewSlotAvailGaugeValue</vt:lpstr>
      <vt:lpstr>tlOutputCh1Prod1Close</vt:lpstr>
      <vt:lpstr>tlOutputCh1Prod1CustProfit</vt:lpstr>
      <vt:lpstr>tlOutputCh1Prod1CustProfitTot</vt:lpstr>
      <vt:lpstr>tlOutputCh1Prod1GPaL</vt:lpstr>
      <vt:lpstr>tlOutputCh1Prod1GPaLpBrandCogs</vt:lpstr>
      <vt:lpstr>tlOutputCh1Prod1GPaLpGPaL</vt:lpstr>
      <vt:lpstr>tlOutputCh1Prod1GPaLpGPaLmar</vt:lpstr>
      <vt:lpstr>tlOutputCh1Prod1GPaLpLog</vt:lpstr>
      <vt:lpstr>tlOutputCh1Prod1MktSize</vt:lpstr>
      <vt:lpstr>tlOutputCh1Prod1NetSales</vt:lpstr>
      <vt:lpstr>tlOutputCh1Prod1NewSlotEmp1</vt:lpstr>
      <vt:lpstr>tlOutputCh1Prod1NewSlotExp</vt:lpstr>
      <vt:lpstr>tlOutputCh1Prod1Open</vt:lpstr>
      <vt:lpstr>tlOutputCh1Prod1PromoEmp1</vt:lpstr>
      <vt:lpstr>tlOutputCh1Prod1PromoExp</vt:lpstr>
      <vt:lpstr>tloutputCh1Prod1Slot1AvgPromoDis</vt:lpstr>
      <vt:lpstr>tloutputCh1Prod1Slot1AvgPromoPrice</vt:lpstr>
      <vt:lpstr>tloutputCh1Prod1Slot1AvgSellPrice</vt:lpstr>
      <vt:lpstr>tloutputCh1Prod1Slot1CM</vt:lpstr>
      <vt:lpstr>tlOutputCh1Prod1Slot1CustProfitTot</vt:lpstr>
      <vt:lpstr>tloutputCh1Prod1Slot1RSPHigh</vt:lpstr>
      <vt:lpstr>tloutputCh1Prod1Slot1RSPLow</vt:lpstr>
      <vt:lpstr>tlOutputCh1Prod1Slot1SP</vt:lpstr>
      <vt:lpstr>tloutputCh1Prod1Slot2AvgPromoDis</vt:lpstr>
      <vt:lpstr>tloutputCh1Prod1Slot2AvgPromoPrice</vt:lpstr>
      <vt:lpstr>tloutputCh1Prod1Slot2AvgSellPrice</vt:lpstr>
      <vt:lpstr>tloutputCh1Prod1Slot2CM</vt:lpstr>
      <vt:lpstr>tlOutputCh1Prod1Slot2CustProfitTot</vt:lpstr>
      <vt:lpstr>tloutputCh1Prod1Slot2RSPHigh</vt:lpstr>
      <vt:lpstr>tloutputCh1Prod1Slot2RSPLow</vt:lpstr>
      <vt:lpstr>tlOutputCh1Prod1Slot2SP</vt:lpstr>
      <vt:lpstr>tloutputCh1Prod1Slot3AvgPromoDis</vt:lpstr>
      <vt:lpstr>tloutputCh1Prod1Slot3AvgPromoPrice</vt:lpstr>
      <vt:lpstr>tloutputCh1Prod1Slot3AvgSellPrice</vt:lpstr>
      <vt:lpstr>tloutputCh1Prod1Slot3CM</vt:lpstr>
      <vt:lpstr>tlOutputCh1Prod1Slot3CustProfitTot</vt:lpstr>
      <vt:lpstr>tloutputCh1Prod1Slot3RSPHigh</vt:lpstr>
      <vt:lpstr>tloutputCh1Prod1Slot3RSPLow</vt:lpstr>
      <vt:lpstr>tlOutputCh1Prod1Slot3SP</vt:lpstr>
      <vt:lpstr>tlOutputCh1Prod1VolForcast</vt:lpstr>
      <vt:lpstr>tlOutputCh1Prod2Close</vt:lpstr>
      <vt:lpstr>tlOutputCh1Prod2CustProfit</vt:lpstr>
      <vt:lpstr>tlOutputCh1Prod2CustProfitTot</vt:lpstr>
      <vt:lpstr>tlOutputCh1Prod2GPaL</vt:lpstr>
      <vt:lpstr>tlOutputCh1Prod2GPaLpBrandCogs</vt:lpstr>
      <vt:lpstr>tlOutputCh1Prod2GPaLpGPaL</vt:lpstr>
      <vt:lpstr>tlOutputCh1Prod2GPaLpGPaLmar</vt:lpstr>
      <vt:lpstr>tlOutputCh1Prod2GPaLpLog</vt:lpstr>
      <vt:lpstr>tlOutputCh1Prod2n3MktSize</vt:lpstr>
      <vt:lpstr>tlOutputCh1Prod2NetSales</vt:lpstr>
      <vt:lpstr>tlOutputCh1Prod2NewSlotEmp1</vt:lpstr>
      <vt:lpstr>tlOutputCh1Prod2NewSlotExp</vt:lpstr>
      <vt:lpstr>tlOutputCh1Prod2Open</vt:lpstr>
      <vt:lpstr>tlOutputCh1Prod2PromoEmp1</vt:lpstr>
      <vt:lpstr>tlOutputCh1Prod2PromoExp</vt:lpstr>
      <vt:lpstr>tloutputCh1Prod2Slot1AvgPromoDis</vt:lpstr>
      <vt:lpstr>tloutputCh1Prod2Slot1AvgPromoPrice</vt:lpstr>
      <vt:lpstr>tloutputCh1Prod2Slot1AvgSellPrice</vt:lpstr>
      <vt:lpstr>tloutputCh1Prod2Slot1CM</vt:lpstr>
      <vt:lpstr>tlOutputCh1Prod2Slot1CustProfitTot</vt:lpstr>
      <vt:lpstr>tloutputCh1Prod2Slot1RSPHigh</vt:lpstr>
      <vt:lpstr>tloutputCh1Prod2Slot1RSPLow</vt:lpstr>
      <vt:lpstr>tlOutputCh1Prod2Slot1SP</vt:lpstr>
      <vt:lpstr>tloutputCh1Prod2Slot2AvgPromoDis</vt:lpstr>
      <vt:lpstr>tloutputCh1Prod2Slot2AvgPromoPrice</vt:lpstr>
      <vt:lpstr>tloutputCh1Prod2Slot2AvgSellPrice</vt:lpstr>
      <vt:lpstr>tloutputCh1Prod2Slot2CM</vt:lpstr>
      <vt:lpstr>tlOutputCh1Prod2Slot2CustProfitTot</vt:lpstr>
      <vt:lpstr>tloutputCh1Prod2Slot2RSPHigh</vt:lpstr>
      <vt:lpstr>tloutputCh1Prod2Slot2RSPLow</vt:lpstr>
      <vt:lpstr>tlOutputCh1Prod2Slot2SP</vt:lpstr>
      <vt:lpstr>tloutputCh1Prod2Slot3AvgPromoDis</vt:lpstr>
      <vt:lpstr>tloutputCh1Prod2Slot3AvgPromoPrice</vt:lpstr>
      <vt:lpstr>tloutputCh1Prod2Slot3AvgSellPrice</vt:lpstr>
      <vt:lpstr>tloutputCh1Prod2Slot3CM</vt:lpstr>
      <vt:lpstr>tlOutputCh1Prod2Slot3CustProfitTot</vt:lpstr>
      <vt:lpstr>tloutputCh1Prod2Slot3RSPHigh</vt:lpstr>
      <vt:lpstr>tloutputCh1Prod2Slot3RSPLow</vt:lpstr>
      <vt:lpstr>tlOutputCh1Prod2Slot3SP</vt:lpstr>
      <vt:lpstr>tlOutputCh1Prod2VolForcast</vt:lpstr>
      <vt:lpstr>tlOutputCh1Prod3Close</vt:lpstr>
      <vt:lpstr>tlOutputCh1Prod3CustProfit</vt:lpstr>
      <vt:lpstr>tlOutputCh1Prod3CustProfitTot</vt:lpstr>
      <vt:lpstr>tlOutputCh1Prod3GPaL</vt:lpstr>
      <vt:lpstr>tlOutputCh1Prod3GPaLpBrandCogs</vt:lpstr>
      <vt:lpstr>tlOutputCh1Prod3GPaLpGPaL</vt:lpstr>
      <vt:lpstr>tlOutputCh1Prod3GPaLpGPaLmar</vt:lpstr>
      <vt:lpstr>tlOutputCh1Prod3GPaLpLog</vt:lpstr>
      <vt:lpstr>tlOutputCh1Prod3NetSales</vt:lpstr>
      <vt:lpstr>tlOutputCh1Prod3NewSlotEmp1</vt:lpstr>
      <vt:lpstr>tlOutputCh1Prod3NewSlotExp</vt:lpstr>
      <vt:lpstr>tlOutputCh1Prod3Open</vt:lpstr>
      <vt:lpstr>tlOutputCh1Prod3PromoEmp1</vt:lpstr>
      <vt:lpstr>tlOutputCh1Prod3PromoExp</vt:lpstr>
      <vt:lpstr>tloutputCh1Prod3Slot1AvgPromoDis</vt:lpstr>
      <vt:lpstr>tloutputCh1Prod3Slot1AvgPromoPrice</vt:lpstr>
      <vt:lpstr>tloutputCh1Prod3Slot1AvgSellPrice</vt:lpstr>
      <vt:lpstr>tloutputCh1Prod3Slot1CM</vt:lpstr>
      <vt:lpstr>tlOutputCh1Prod3Slot1CustProfitTot</vt:lpstr>
      <vt:lpstr>tloutputCh1Prod3Slot1RSPHigh</vt:lpstr>
      <vt:lpstr>tloutputCh1Prod3Slot1RSPLow</vt:lpstr>
      <vt:lpstr>tlOutputCh1Prod3Slot1SP</vt:lpstr>
      <vt:lpstr>tloutputCh1Prod3Slot2AvgPromoDis</vt:lpstr>
      <vt:lpstr>tloutputCh1Prod3Slot2AvgPromoPrice</vt:lpstr>
      <vt:lpstr>tloutputCh1Prod3Slot2AvgSellPrice</vt:lpstr>
      <vt:lpstr>tloutputCh1Prod3Slot2CM</vt:lpstr>
      <vt:lpstr>tlOutputCh1Prod3Slot2CustProfitTot</vt:lpstr>
      <vt:lpstr>tloutputCh1Prod3Slot2RSPHigh</vt:lpstr>
      <vt:lpstr>tloutputCh1Prod3Slot2RSPLow</vt:lpstr>
      <vt:lpstr>tlOutputCh1Prod3Slot2SP</vt:lpstr>
      <vt:lpstr>tloutputCh1Prod3Slot3AvgPromoDis</vt:lpstr>
      <vt:lpstr>tloutputCh1Prod3Slot3AvgPromoPrice</vt:lpstr>
      <vt:lpstr>tloutputCh1Prod3Slot3AvgSellPrice</vt:lpstr>
      <vt:lpstr>tloutputCh1Prod3Slot3CM</vt:lpstr>
      <vt:lpstr>tlOutputCh1Prod3Slot3CustProfitTot</vt:lpstr>
      <vt:lpstr>tloutputCh1Prod3Slot3RSPHigh</vt:lpstr>
      <vt:lpstr>tloutputCh1Prod3Slot3RSPLow</vt:lpstr>
      <vt:lpstr>tlOutputCh1Prod3Slot3SP</vt:lpstr>
      <vt:lpstr>tlOutputCh1Prod3VolForcast</vt:lpstr>
      <vt:lpstr>tlOutputCh1Prod4Close</vt:lpstr>
      <vt:lpstr>tlOutputCh1Prod4CustProfit</vt:lpstr>
      <vt:lpstr>tlOutputCh1Prod4CustProfitTot</vt:lpstr>
      <vt:lpstr>tlOutputCh1Prod4GPaL</vt:lpstr>
      <vt:lpstr>tlOutputCh1Prod4GPaLpBrandCogs</vt:lpstr>
      <vt:lpstr>tlOutputCh1Prod4GPaLpGPaL</vt:lpstr>
      <vt:lpstr>tlOutputCh1Prod4GPaLpGPaLmar</vt:lpstr>
      <vt:lpstr>tlOutputCh1Prod4GPaLpLog</vt:lpstr>
      <vt:lpstr>tlOutputCh1Prod4MktSize</vt:lpstr>
      <vt:lpstr>tlOutputCh1Prod4NetSales</vt:lpstr>
      <vt:lpstr>tlOutputCh1Prod4NewSlotEmp1</vt:lpstr>
      <vt:lpstr>tlOutputCh1Prod4NewSlotExp</vt:lpstr>
      <vt:lpstr>tlOutputCh1Prod4Open</vt:lpstr>
      <vt:lpstr>tlOutputCh1Prod4PromoEmp1</vt:lpstr>
      <vt:lpstr>tlOutputCh1Prod4PromoExp</vt:lpstr>
      <vt:lpstr>tloutputCh1Prod4Slot1AvgPromoDis</vt:lpstr>
      <vt:lpstr>tloutputCh1Prod4Slot1AvgPromoPrice</vt:lpstr>
      <vt:lpstr>tloutputCh1Prod4Slot1AvgSellPrice</vt:lpstr>
      <vt:lpstr>tloutputCh1Prod4Slot1CM</vt:lpstr>
      <vt:lpstr>tlOutputCh1Prod4Slot1CustProfitTot</vt:lpstr>
      <vt:lpstr>tloutputCh1Prod4Slot1RSPHigh</vt:lpstr>
      <vt:lpstr>tloutputCh1Prod4Slot1RSPLow</vt:lpstr>
      <vt:lpstr>tlOutputCh1Prod4Slot1SP</vt:lpstr>
      <vt:lpstr>tloutputCh1Prod4Slot2AvgPromoDis</vt:lpstr>
      <vt:lpstr>tloutputCh1Prod4Slot2AvgPromoPrice</vt:lpstr>
      <vt:lpstr>tloutputCh1Prod4Slot2AvgSellPrice</vt:lpstr>
      <vt:lpstr>tloutputCh1Prod4Slot2CM</vt:lpstr>
      <vt:lpstr>tlOutputCh1Prod4Slot2CustProfitTot</vt:lpstr>
      <vt:lpstr>tloutputCh1Prod4Slot2RSPHigh</vt:lpstr>
      <vt:lpstr>tloutputCh1Prod4Slot2RSPLow</vt:lpstr>
      <vt:lpstr>tlOutputCh1Prod4Slot2SP</vt:lpstr>
      <vt:lpstr>tloutputCh1Prod4Slot3AvgPromoDis</vt:lpstr>
      <vt:lpstr>tloutputCh1Prod4Slot3AvgPromoPrice</vt:lpstr>
      <vt:lpstr>tloutputCh1Prod4Slot3AvgSellPrice</vt:lpstr>
      <vt:lpstr>tloutputCh1Prod4Slot3CM</vt:lpstr>
      <vt:lpstr>tlOutputCh1Prod4Slot3CustProfitTot</vt:lpstr>
      <vt:lpstr>tloutputCh1Prod4Slot3RSPHigh</vt:lpstr>
      <vt:lpstr>tloutputCh1Prod4Slot3RSPLow</vt:lpstr>
      <vt:lpstr>tlOutputCh1Prod4Slot3SP</vt:lpstr>
      <vt:lpstr>tlOutputCh1Prod4VolForcast</vt:lpstr>
      <vt:lpstr>tlOutputCh1PromoWeeksAvailGaugeMax</vt:lpstr>
      <vt:lpstr>tlOutputCh1PromoWeeksAvailGaugeMin</vt:lpstr>
      <vt:lpstr>tlOutputCh1PromoWeeksAvailGaugeValue</vt:lpstr>
      <vt:lpstr>tlOutputCh1TTCondition</vt:lpstr>
      <vt:lpstr>tlOutputCh1TTHeading</vt:lpstr>
      <vt:lpstr>tlOutputCh1TTUnCondition</vt:lpstr>
      <vt:lpstr>tlOutputCh1ValDriv1Emp1</vt:lpstr>
      <vt:lpstr>tlOutputCh1ValDriv1Exp</vt:lpstr>
      <vt:lpstr>tlOutputCh1ValDriv2Emp1</vt:lpstr>
      <vt:lpstr>tlOutputCh1ValDriv2Exp</vt:lpstr>
      <vt:lpstr>tlOutputCh1ValDriv3Emp1</vt:lpstr>
      <vt:lpstr>tlOutputCh1ValDriv3Exp</vt:lpstr>
      <vt:lpstr>tlOutputCh1ValDriv4Emp1</vt:lpstr>
      <vt:lpstr>tlOutputCh1ValDriv4Exp</vt:lpstr>
      <vt:lpstr>tlOutputCh1ValDriv5Emp1</vt:lpstr>
      <vt:lpstr>tlOutputCh1ValDriv5Exp</vt:lpstr>
      <vt:lpstr>tlOutputCh1ValDrivCondEmp1</vt:lpstr>
      <vt:lpstr>tlOutputCh1ValDrivCondExp</vt:lpstr>
      <vt:lpstr>tlOutputCh1ValDrivEmp1Tot</vt:lpstr>
      <vt:lpstr>tlOutputCh1ValDrivExpTot</vt:lpstr>
      <vt:lpstr>tlOutputCh1VolForecastTot</vt:lpstr>
      <vt:lpstr>tlOutputCh1VtCp</vt:lpstr>
      <vt:lpstr>tlOutputCh1VtDeprExp</vt:lpstr>
      <vt:lpstr>tlOutputCh1VtDeprExpPct</vt:lpstr>
      <vt:lpstr>tlOutputCh1VtDeprExpPctPVol</vt:lpstr>
      <vt:lpstr>tlOutputCh1VtDeprExpPVol</vt:lpstr>
      <vt:lpstr>tlOutputCh1VtDiscounts</vt:lpstr>
      <vt:lpstr>tlOutputCh1VtDiscountsPct</vt:lpstr>
      <vt:lpstr>tlOutputCh1VtDiscountsPctPVol</vt:lpstr>
      <vt:lpstr>tlOutputCh1VtDiscountsPVol</vt:lpstr>
      <vt:lpstr>tlOutputCh1VtExcise</vt:lpstr>
      <vt:lpstr>tlOutputCh1VtExcisePct</vt:lpstr>
      <vt:lpstr>tlOutputCh1VtExcisePctPVol</vt:lpstr>
      <vt:lpstr>tlOutputCh1VtExcisePVol</vt:lpstr>
      <vt:lpstr>tlOutputCh1VtGP</vt:lpstr>
      <vt:lpstr>tlOutputCh1VtGPaL</vt:lpstr>
      <vt:lpstr>tlOutputCh1VtGPaLPct</vt:lpstr>
      <vt:lpstr>tlOutputCh1VtGPaLPctPVol</vt:lpstr>
      <vt:lpstr>tlOutputCh1VtGPaLPVol</vt:lpstr>
      <vt:lpstr>tlOutputCh1VtGPPct</vt:lpstr>
      <vt:lpstr>tlOutputCh1VtGPPctPVol</vt:lpstr>
      <vt:lpstr>tlOutputCh1VtGPPVol</vt:lpstr>
      <vt:lpstr>tlOutputCh1VtGrossSales</vt:lpstr>
      <vt:lpstr>tlOutputCh1VtGrossSalesPct</vt:lpstr>
      <vt:lpstr>tlOutputCh1VtGrossSalesPctPVol</vt:lpstr>
      <vt:lpstr>tlOutputCh1VtGrossSalesPVol</vt:lpstr>
      <vt:lpstr>tlOutputCh1VtLabourExp</vt:lpstr>
      <vt:lpstr>tlOutputCh1VtLabourExpPct</vt:lpstr>
      <vt:lpstr>tlOutputCh1VtLabourExpPctPVol</vt:lpstr>
      <vt:lpstr>tlOutputCh1VtLabourExpPVol</vt:lpstr>
      <vt:lpstr>tlOutputCh1VtLogExp</vt:lpstr>
      <vt:lpstr>tlOutputCh1VtLogExpPct</vt:lpstr>
      <vt:lpstr>tlOutputCh1VtLogExpPctPVol</vt:lpstr>
      <vt:lpstr>tlOutputCh1VtLogExpPVol</vt:lpstr>
      <vt:lpstr>tlOutputCh1VtMachExp</vt:lpstr>
      <vt:lpstr>tlOutputCh1VtMachExpPct</vt:lpstr>
      <vt:lpstr>tlOutputCh1VtMachExpPctPVol</vt:lpstr>
      <vt:lpstr>tlOutputCh1VtMachExpPVol</vt:lpstr>
      <vt:lpstr>tlOutputCh1VtMatExp</vt:lpstr>
      <vt:lpstr>tlOutputCh1VtMatExpPct</vt:lpstr>
      <vt:lpstr>tlOutputCh1VtMatExpPctPVol</vt:lpstr>
      <vt:lpstr>tlOutputCh1VtMatExpPVol</vt:lpstr>
      <vt:lpstr>tlOutputCh1Vtstaple1</vt:lpstr>
      <vt:lpstr>tlOutputCh1Vtstaple2</vt:lpstr>
      <vt:lpstr>tlOutputCh1Vtstaple3</vt:lpstr>
      <vt:lpstr>tlOutputCh1Vtstaple4</vt:lpstr>
      <vt:lpstr>tlOutputCh1VtstapleEnd</vt:lpstr>
      <vt:lpstr>tlOutputCh1VtStapleStart</vt:lpstr>
      <vt:lpstr>tlOutputCh1VtTotalCOGs</vt:lpstr>
      <vt:lpstr>tlOutputCh1VtTotalCOGsPct</vt:lpstr>
      <vt:lpstr>tlOutputCh1VtTotalCOGsPctPVol</vt:lpstr>
      <vt:lpstr>tlOutputCh1VtTotalCOGsPVol</vt:lpstr>
      <vt:lpstr>tlOutputCh1VtTotalRev</vt:lpstr>
      <vt:lpstr>tlOutputCh1VtTotalRevPct</vt:lpstr>
      <vt:lpstr>tlOutputCh1VtTotalRevPctPVol</vt:lpstr>
      <vt:lpstr>tlOutputCh1VtTotalRevPVol</vt:lpstr>
      <vt:lpstr>tlOutputCh1VtTurn</vt:lpstr>
      <vt:lpstr>tlOutputCh1VtTurnPct</vt:lpstr>
      <vt:lpstr>tlOutputCh1VtTurnPctPVol</vt:lpstr>
      <vt:lpstr>tlOutputCh1VtTurnPVol</vt:lpstr>
      <vt:lpstr>tlOutputCh1VtUnitsSold</vt:lpstr>
      <vt:lpstr>tlOutputCh1VtVolSold</vt:lpstr>
      <vt:lpstr>tlOutputCh1VtWd</vt:lpstr>
      <vt:lpstr>tlOutputCh1WaterfallDelta1</vt:lpstr>
      <vt:lpstr>tlOutputCh1WaterfallDelta2</vt:lpstr>
      <vt:lpstr>tlOutputCh1WaterfallDelta3</vt:lpstr>
      <vt:lpstr>tlOutputCh1WaterfallDelta4</vt:lpstr>
      <vt:lpstr>tlOutputCh1WaterfallEnd</vt:lpstr>
      <vt:lpstr>tlOutputCh1WaterfallInvisible1</vt:lpstr>
      <vt:lpstr>tlOutputCh1WaterfallInvisible2</vt:lpstr>
      <vt:lpstr>tlOutputCh1WaterfallInvisible3</vt:lpstr>
      <vt:lpstr>tlOutputCh1WaterfallInvisible4</vt:lpstr>
      <vt:lpstr>tlOutputCh1WaterfallInvisible5</vt:lpstr>
      <vt:lpstr>tlOutputCh1WaterfallInvisible6</vt:lpstr>
      <vt:lpstr>tlOutputCh1WaterfallInvisible7</vt:lpstr>
      <vt:lpstr>tlOutputCh1WaterfallStart</vt:lpstr>
      <vt:lpstr>tlOutputCh1WaterfallVisible1</vt:lpstr>
      <vt:lpstr>tlOutputCh1WaterfallVisible2</vt:lpstr>
      <vt:lpstr>tlOutputCh1WaterfallVisible3</vt:lpstr>
      <vt:lpstr>tlOutputCh1WaterfallVisible4</vt:lpstr>
      <vt:lpstr>tlOutputCh1WaterfallVisible5</vt:lpstr>
      <vt:lpstr>tlOutputCh1WaterfallVisible6</vt:lpstr>
      <vt:lpstr>tlOutputCh1WaterfallVisible7</vt:lpstr>
      <vt:lpstr>tlOutputCh1WaterfallxLabel1</vt:lpstr>
      <vt:lpstr>tlOutputCh1WaterfallxLabel2</vt:lpstr>
      <vt:lpstr>tlOutputCh1WaterfallxLabel3</vt:lpstr>
      <vt:lpstr>tlOutputCh1WaterfallxLabel4</vt:lpstr>
      <vt:lpstr>tlOutputCh1WaterfallxLabel5</vt:lpstr>
      <vt:lpstr>tlOutputCh1WaterfallxLabel6</vt:lpstr>
      <vt:lpstr>tlOutputCh2</vt:lpstr>
      <vt:lpstr>tlOutputCh2Analytic1Chart1BubbleSize1</vt:lpstr>
      <vt:lpstr>tlOutputCh2Analytic1Chart1BubbleSize10</vt:lpstr>
      <vt:lpstr>tlOutputCh2Analytic1Chart1BubbleSize11</vt:lpstr>
      <vt:lpstr>tlOutputCh2Analytic1Chart1BubbleSize12</vt:lpstr>
      <vt:lpstr>tlOutputCh2Analytic1Chart1BubbleSize2</vt:lpstr>
      <vt:lpstr>tlOutputCh2Analytic1Chart1BubbleSize3</vt:lpstr>
      <vt:lpstr>tlOutputCh2Analytic1Chart1BubbleSize4</vt:lpstr>
      <vt:lpstr>tlOutputCh2Analytic1Chart1BubbleSize5</vt:lpstr>
      <vt:lpstr>tlOutputCh2Analytic1Chart1BubbleSize6</vt:lpstr>
      <vt:lpstr>tlOutputCh2Analytic1Chart1BubbleSize7</vt:lpstr>
      <vt:lpstr>tlOutputCh2Analytic1Chart1BubbleSize8</vt:lpstr>
      <vt:lpstr>tlOutputCh2Analytic1Chart1BubbleSize9</vt:lpstr>
      <vt:lpstr>tlOutputCh2Analytic1Chart1Heading</vt:lpstr>
      <vt:lpstr>tlOutputCh2Analytic1Chart1Label1</vt:lpstr>
      <vt:lpstr>tlOutputCh2Analytic1Chart1Label10</vt:lpstr>
      <vt:lpstr>tlOutputCh2Analytic1Chart1Label11</vt:lpstr>
      <vt:lpstr>tlOutputCh2Analytic1Chart1Label12</vt:lpstr>
      <vt:lpstr>tlOutputCh2Analytic1Chart1Label2</vt:lpstr>
      <vt:lpstr>tlOutputCh2Analytic1Chart1Label3</vt:lpstr>
      <vt:lpstr>tlOutputCh2Analytic1Chart1Label4</vt:lpstr>
      <vt:lpstr>tlOutputCh2Analytic1Chart1Label5</vt:lpstr>
      <vt:lpstr>tlOutputCh2Analytic1Chart1Label6</vt:lpstr>
      <vt:lpstr>tlOutputCh2Analytic1Chart1Label7</vt:lpstr>
      <vt:lpstr>tlOutputCh2Analytic1Chart1Label8</vt:lpstr>
      <vt:lpstr>tlOutputCh2Analytic1Chart1Label9</vt:lpstr>
      <vt:lpstr>tlOutputCh2Analytic1Chart1Type1</vt:lpstr>
      <vt:lpstr>tlOutputCh2Analytic1Chart1Type2</vt:lpstr>
      <vt:lpstr>tlOutputCh2Analytic1Chart1Type3</vt:lpstr>
      <vt:lpstr>tlOutputCh2Analytic1Chart1Type4</vt:lpstr>
      <vt:lpstr>tlOutputCh2Analytic1Chart1XaxisTitle</vt:lpstr>
      <vt:lpstr>tlOutputCh2Analytic1Chart1XValue1</vt:lpstr>
      <vt:lpstr>tlOutputCh2Analytic1Chart1XValue10</vt:lpstr>
      <vt:lpstr>tlOutputCh2Analytic1Chart1XValue11</vt:lpstr>
      <vt:lpstr>tlOutputCh2Analytic1Chart1XValue12</vt:lpstr>
      <vt:lpstr>tlOutputCh2Analytic1Chart1XValue2</vt:lpstr>
      <vt:lpstr>tlOutputCh2Analytic1Chart1XValue3</vt:lpstr>
      <vt:lpstr>tlOutputCh2Analytic1Chart1XValue4</vt:lpstr>
      <vt:lpstr>tlOutputCh2Analytic1Chart1XValue5</vt:lpstr>
      <vt:lpstr>tlOutputCh2Analytic1Chart1XValue6</vt:lpstr>
      <vt:lpstr>tlOutputCh2Analytic1Chart1XValue7</vt:lpstr>
      <vt:lpstr>tlOutputCh2Analytic1Chart1XValue8</vt:lpstr>
      <vt:lpstr>tlOutputCh2Analytic1Chart1XValue9</vt:lpstr>
      <vt:lpstr>tlOutputCh2Analytic1Chart1YaxisTitle</vt:lpstr>
      <vt:lpstr>tlOutputCh2Analytic1Chart1YValue1</vt:lpstr>
      <vt:lpstr>tlOutputCh2Analytic1Chart1YValue10</vt:lpstr>
      <vt:lpstr>tlOutputCh2Analytic1Chart1YValue11</vt:lpstr>
      <vt:lpstr>tlOutputCh2Analytic1Chart1YValue12</vt:lpstr>
      <vt:lpstr>tlOutputCh2Analytic1Chart1YValue2</vt:lpstr>
      <vt:lpstr>tlOutputCh2Analytic1Chart1YValue3</vt:lpstr>
      <vt:lpstr>tlOutputCh2Analytic1Chart1YValue4</vt:lpstr>
      <vt:lpstr>tlOutputCh2Analytic1Chart1YValue5</vt:lpstr>
      <vt:lpstr>tlOutputCh2Analytic1Chart1YValue6</vt:lpstr>
      <vt:lpstr>tlOutputCh2Analytic1Chart1YValue7</vt:lpstr>
      <vt:lpstr>tlOutputCh2Analytic1Chart1YValue8</vt:lpstr>
      <vt:lpstr>tlOutputCh2Analytic1Chart1YValue9</vt:lpstr>
      <vt:lpstr>tlOutputCh2Analytic1Chart2BubbleSize1</vt:lpstr>
      <vt:lpstr>tlOutputCh2Analytic1Chart2BubbleSize10</vt:lpstr>
      <vt:lpstr>tlOutputCh2Analytic1Chart2BubbleSize11</vt:lpstr>
      <vt:lpstr>tlOutputCh2Analytic1Chart2BubbleSize12</vt:lpstr>
      <vt:lpstr>tlOutputCh2Analytic1Chart2BubbleSize2</vt:lpstr>
      <vt:lpstr>tlOutputCh2Analytic1Chart2BubbleSize3</vt:lpstr>
      <vt:lpstr>tlOutputCh2Analytic1Chart2BubbleSize4</vt:lpstr>
      <vt:lpstr>tlOutputCh2Analytic1Chart2BubbleSize5</vt:lpstr>
      <vt:lpstr>tlOutputCh2Analytic1Chart2BubbleSize6</vt:lpstr>
      <vt:lpstr>tlOutputCh2Analytic1Chart2BubbleSize7</vt:lpstr>
      <vt:lpstr>tlOutputCh2Analytic1Chart2BubbleSize8</vt:lpstr>
      <vt:lpstr>tlOutputCh2Analytic1Chart2BubbleSize9</vt:lpstr>
      <vt:lpstr>tlOutputCh2Analytic1Chart2Heading</vt:lpstr>
      <vt:lpstr>tlOutputCh2Analytic1Chart2Label1</vt:lpstr>
      <vt:lpstr>tlOutputCh2Analytic1Chart2Label10</vt:lpstr>
      <vt:lpstr>tlOutputCh2Analytic1Chart2Label11</vt:lpstr>
      <vt:lpstr>tlOutputCh2Analytic1Chart2Label12</vt:lpstr>
      <vt:lpstr>tlOutputCh2Analytic1Chart2Label2</vt:lpstr>
      <vt:lpstr>tlOutputCh2Analytic1Chart2Label3</vt:lpstr>
      <vt:lpstr>tlOutputCh2Analytic1Chart2Label4</vt:lpstr>
      <vt:lpstr>tlOutputCh2Analytic1Chart2Label5</vt:lpstr>
      <vt:lpstr>tlOutputCh2Analytic1Chart2Label6</vt:lpstr>
      <vt:lpstr>tlOutputCh2Analytic1Chart2Label7</vt:lpstr>
      <vt:lpstr>tlOutputCh2Analytic1Chart2Label8</vt:lpstr>
      <vt:lpstr>tlOutputCh2Analytic1Chart2Label9</vt:lpstr>
      <vt:lpstr>tlOutputCh2Analytic1Chart2Type1</vt:lpstr>
      <vt:lpstr>tlOutputCh2Analytic1Chart2Type2</vt:lpstr>
      <vt:lpstr>tlOutputCh2Analytic1Chart2Type3</vt:lpstr>
      <vt:lpstr>tlOutputCh2Analytic1Chart2Type4</vt:lpstr>
      <vt:lpstr>tlOutputCh2Analytic1Chart2XaxisTitle</vt:lpstr>
      <vt:lpstr>tlOutputCh2Analytic1Chart2XValue1</vt:lpstr>
      <vt:lpstr>tlOutputCh2Analytic1Chart2XValue10</vt:lpstr>
      <vt:lpstr>tlOutputCh2Analytic1Chart2XValue11</vt:lpstr>
      <vt:lpstr>tlOutputCh2Analytic1Chart2XValue12</vt:lpstr>
      <vt:lpstr>tlOutputCh2Analytic1Chart2XValue2</vt:lpstr>
      <vt:lpstr>tlOutputCh2Analytic1Chart2XValue3</vt:lpstr>
      <vt:lpstr>tlOutputCh2Analytic1Chart2XValue4</vt:lpstr>
      <vt:lpstr>tlOutputCh2Analytic1Chart2XValue5</vt:lpstr>
      <vt:lpstr>tlOutputCh2Analytic1Chart2XValue6</vt:lpstr>
      <vt:lpstr>tlOutputCh2Analytic1Chart2XValue7</vt:lpstr>
      <vt:lpstr>tlOutputCh2Analytic1Chart2XValue8</vt:lpstr>
      <vt:lpstr>tlOutputCh2Analytic1Chart2XValue9</vt:lpstr>
      <vt:lpstr>tlOutputCh2Analytic1Chart2YaxisTitle</vt:lpstr>
      <vt:lpstr>tlOutputCh2Analytic1Chart2YValue1</vt:lpstr>
      <vt:lpstr>tlOutputCh2Analytic1Chart2YValue10</vt:lpstr>
      <vt:lpstr>tlOutputCh2Analytic1Chart2YValue11</vt:lpstr>
      <vt:lpstr>tlOutputCh2Analytic1Chart2YValue12</vt:lpstr>
      <vt:lpstr>tlOutputCh2Analytic1Chart2YValue2</vt:lpstr>
      <vt:lpstr>tlOutputCh2Analytic1Chart2YValue3</vt:lpstr>
      <vt:lpstr>tlOutputCh2Analytic1Chart2YValue4</vt:lpstr>
      <vt:lpstr>tlOutputCh2Analytic1Chart2YValue5</vt:lpstr>
      <vt:lpstr>tlOutputCh2Analytic1Chart2YValue6</vt:lpstr>
      <vt:lpstr>tlOutputCh2Analytic1Chart2YValue7</vt:lpstr>
      <vt:lpstr>tlOutputCh2Analytic1Chart2YValue8</vt:lpstr>
      <vt:lpstr>tlOutputCh2Analytic1Chart2YValue9</vt:lpstr>
      <vt:lpstr>tlOutputCh2Analytic1Table1Col1Row1</vt:lpstr>
      <vt:lpstr>tlOutputCh2Analytic1Table1Col1Row2</vt:lpstr>
      <vt:lpstr>tlOutputCh2Analytic1Table1Col1Row3</vt:lpstr>
      <vt:lpstr>tlOutputCh2Analytic1Table1Col1Row4</vt:lpstr>
      <vt:lpstr>tlOutputCh2Analytic1Table1Col1Row5</vt:lpstr>
      <vt:lpstr>tlOutputCh2Analytic1Table1Col1Row6</vt:lpstr>
      <vt:lpstr>tlOutputCh2Analytic1Table1Col1Row7</vt:lpstr>
      <vt:lpstr>tlOutputCh2Analytic1Table1Col1Row8</vt:lpstr>
      <vt:lpstr>tlOutputCh2Analytic1Table1Col2Row1</vt:lpstr>
      <vt:lpstr>tlOutputCh2Analytic1Table1Col2Row2</vt:lpstr>
      <vt:lpstr>tlOutputCh2Analytic1Table1Col2Row3</vt:lpstr>
      <vt:lpstr>tlOutputCh2Analytic1Table1Col2Row4</vt:lpstr>
      <vt:lpstr>tlOutputCh2Analytic1Table1Col2Row5</vt:lpstr>
      <vt:lpstr>tlOutputCh2Analytic1Table1Col2Row6</vt:lpstr>
      <vt:lpstr>tlOutputCh2Analytic1Table1Col2Row7</vt:lpstr>
      <vt:lpstr>tlOutputCh2Analytic1Table1Col2Row8</vt:lpstr>
      <vt:lpstr>tlOutputCh2Analytic1Table1Col3Row1</vt:lpstr>
      <vt:lpstr>tlOutputCh2Analytic1Table1Col3Row2</vt:lpstr>
      <vt:lpstr>tlOutputCh2Analytic1Table1Col3Row3</vt:lpstr>
      <vt:lpstr>tlOutputCh2Analytic1Table1Col3Row4</vt:lpstr>
      <vt:lpstr>tlOutputCh2Analytic1Table1Col3Row5</vt:lpstr>
      <vt:lpstr>tlOutputCh2Analytic1Table1Col3Row6</vt:lpstr>
      <vt:lpstr>tlOutputCh2Analytic1Table1Col3Row7</vt:lpstr>
      <vt:lpstr>tlOutputCh2Analytic1Table1Col3Row8</vt:lpstr>
      <vt:lpstr>tlOutputCh2Analytic1Table1Col4Row1</vt:lpstr>
      <vt:lpstr>tlOutputCh2Analytic1Table1Col4Row2</vt:lpstr>
      <vt:lpstr>tlOutputCh2Analytic1Table1Col4Row3</vt:lpstr>
      <vt:lpstr>tlOutputCh2Analytic1Table1Col4Row4</vt:lpstr>
      <vt:lpstr>tlOutputCh2Analytic1Table1Col4Row5</vt:lpstr>
      <vt:lpstr>tlOutputCh2Analytic1Table1Col4Row6</vt:lpstr>
      <vt:lpstr>tlOutputCh2Analytic1Table1Col4Row7</vt:lpstr>
      <vt:lpstr>tlOutputCh2Analytic1Table1Col4Row8</vt:lpstr>
      <vt:lpstr>tlOutputCh2Analytic1Table1Col5Row1</vt:lpstr>
      <vt:lpstr>tlOutputCh2Analytic1Table1Col5Row2</vt:lpstr>
      <vt:lpstr>tlOutputCh2Analytic1Table1Col5Row3</vt:lpstr>
      <vt:lpstr>tlOutputCh2Analytic1Table1Col5Row4</vt:lpstr>
      <vt:lpstr>tlOutputCh2Analytic1Table1Col5Row5</vt:lpstr>
      <vt:lpstr>tlOutputCh2Analytic1Table1Col5Row6</vt:lpstr>
      <vt:lpstr>tlOutputCh2Analytic1Table1Col5Row7</vt:lpstr>
      <vt:lpstr>tlOutputCh2Analytic1Table1Col5Row8</vt:lpstr>
      <vt:lpstr>tlOutputCh2Analytic1Table1Col6Row1</vt:lpstr>
      <vt:lpstr>tlOutputCh2Analytic1Table1Col6Row2</vt:lpstr>
      <vt:lpstr>tlOutputCh2Analytic1Table1Col6Row3</vt:lpstr>
      <vt:lpstr>tlOutputCh2Analytic1Table1Col6Row4</vt:lpstr>
      <vt:lpstr>tlOutputCh2Analytic1Table1Col6Row5</vt:lpstr>
      <vt:lpstr>tlOutputCh2Analytic1Table1Col6Row6</vt:lpstr>
      <vt:lpstr>tlOutputCh2Analytic1Table1Col6Row7</vt:lpstr>
      <vt:lpstr>tlOutputCh2Analytic1Table1Col6Row8</vt:lpstr>
      <vt:lpstr>tlOutputCh2Analytic1Table1Col7Row1</vt:lpstr>
      <vt:lpstr>tlOutputCh2Analytic1Table1Col7Row2</vt:lpstr>
      <vt:lpstr>tlOutputCh2Analytic1Table1Col7Row3</vt:lpstr>
      <vt:lpstr>tlOutputCh2Analytic1Table1Col7Row4</vt:lpstr>
      <vt:lpstr>tlOutputCh2Analytic1Table1Col7Row5</vt:lpstr>
      <vt:lpstr>tlOutputCh2Analytic1Table1Col7Row6</vt:lpstr>
      <vt:lpstr>tlOutputCh2Analytic1Table1Col7Row7</vt:lpstr>
      <vt:lpstr>tlOutputCh2Analytic1Table1Col7Row8</vt:lpstr>
      <vt:lpstr>tlOutputCh2Analytic1Table1Col8Row1</vt:lpstr>
      <vt:lpstr>tlOutputCh2Analytic1Table1Col8Row2</vt:lpstr>
      <vt:lpstr>tlOutputCh2Analytic1Table1Col8Row3</vt:lpstr>
      <vt:lpstr>tlOutputCh2Analytic1Table1Col8Row4</vt:lpstr>
      <vt:lpstr>tlOutputCh2Analytic1Table1Col8Row5</vt:lpstr>
      <vt:lpstr>tlOutputCh2Analytic1Table1Col8Row6</vt:lpstr>
      <vt:lpstr>tlOutputCh2Analytic1Table1Col8Row7</vt:lpstr>
      <vt:lpstr>tlOutputCh2Analytic1Table1Col8Row8</vt:lpstr>
      <vt:lpstr>tlOutputCh2Analytic2Chart3Heading</vt:lpstr>
      <vt:lpstr>tlOutputCh2Analytic2Chart3Serie10Label1</vt:lpstr>
      <vt:lpstr>tlOutputCh2Analytic2Chart3Serie10Point1</vt:lpstr>
      <vt:lpstr>tlOutputCh2Analytic2Chart3Serie10Point2</vt:lpstr>
      <vt:lpstr>tlOutputCh2Analytic2Chart3Serie10Point3</vt:lpstr>
      <vt:lpstr>tlOutputCh2Analytic2Chart3Serie11Label1</vt:lpstr>
      <vt:lpstr>tlOutputCh2Analytic2Chart3Serie11Point1</vt:lpstr>
      <vt:lpstr>tlOutputCh2Analytic2Chart3Serie11Point2</vt:lpstr>
      <vt:lpstr>tlOutputCh2Analytic2Chart3Serie11Point3</vt:lpstr>
      <vt:lpstr>tlOutputCh2Analytic2Chart3Serie12Label1</vt:lpstr>
      <vt:lpstr>tlOutputCh2Analytic2Chart3Serie12Point1</vt:lpstr>
      <vt:lpstr>tlOutputCh2Analytic2Chart3Serie12Point2</vt:lpstr>
      <vt:lpstr>tlOutputCh2Analytic2Chart3Serie12Point3</vt:lpstr>
      <vt:lpstr>tlOutputCh2Analytic2Chart3Serie1Label1</vt:lpstr>
      <vt:lpstr>tlOutputCh2Analytic2Chart3Serie1Point1</vt:lpstr>
      <vt:lpstr>tlOutputCh2Analytic2Chart3Serie1Point2</vt:lpstr>
      <vt:lpstr>tlOutputCh2Analytic2Chart3Serie1Point3</vt:lpstr>
      <vt:lpstr>tlOutputCh2Analytic2Chart3Serie2Label1</vt:lpstr>
      <vt:lpstr>tlOutputCh2Analytic2Chart3Serie2Point1</vt:lpstr>
      <vt:lpstr>tlOutputCh2Analytic2Chart3Serie2Point2</vt:lpstr>
      <vt:lpstr>tlOutputCh2Analytic2Chart3Serie2Point3</vt:lpstr>
      <vt:lpstr>tlOutputCh2Analytic2Chart3Serie3Label1</vt:lpstr>
      <vt:lpstr>tlOutputCh2Analytic2Chart3Serie3Point1</vt:lpstr>
      <vt:lpstr>tlOutputCh2Analytic2Chart3Serie3Point2</vt:lpstr>
      <vt:lpstr>tlOutputCh2Analytic2Chart3Serie3Point3</vt:lpstr>
      <vt:lpstr>tlOutputCh2Analytic2Chart3Serie4Label1</vt:lpstr>
      <vt:lpstr>tlOutputCh2Analytic2Chart3Serie4Point1</vt:lpstr>
      <vt:lpstr>tlOutputCh2Analytic2Chart3Serie4Point2</vt:lpstr>
      <vt:lpstr>tlOutputCh2Analytic2Chart3Serie4Point3</vt:lpstr>
      <vt:lpstr>tlOutputCh2Analytic2Chart3Serie5Label1</vt:lpstr>
      <vt:lpstr>tlOutputCh2Analytic2Chart3Serie5Point1</vt:lpstr>
      <vt:lpstr>tlOutputCh2Analytic2Chart3Serie5Point2</vt:lpstr>
      <vt:lpstr>tlOutputCh2Analytic2Chart3Serie5Point3</vt:lpstr>
      <vt:lpstr>tlOutputCh2Analytic2Chart3Serie6Label1</vt:lpstr>
      <vt:lpstr>tlOutputCh2Analytic2Chart3Serie6Point1</vt:lpstr>
      <vt:lpstr>tlOutputCh2Analytic2Chart3Serie6Point2</vt:lpstr>
      <vt:lpstr>tlOutputCh2Analytic2Chart3Serie6Point3</vt:lpstr>
      <vt:lpstr>tlOutputCh2Analytic2Chart3Serie7Label1</vt:lpstr>
      <vt:lpstr>tlOutputCh2Analytic2Chart3Serie7Point1</vt:lpstr>
      <vt:lpstr>tlOutputCh2Analytic2Chart3Serie7Point2</vt:lpstr>
      <vt:lpstr>tlOutputCh2Analytic2Chart3Serie7Point3</vt:lpstr>
      <vt:lpstr>tlOutputCh2Analytic2Chart3Serie8Label1</vt:lpstr>
      <vt:lpstr>tlOutputCh2Analytic2Chart3Serie8Point1</vt:lpstr>
      <vt:lpstr>tlOutputCh2Analytic2Chart3Serie8Point2</vt:lpstr>
      <vt:lpstr>tlOutputCh2Analytic2Chart3Serie8Point3</vt:lpstr>
      <vt:lpstr>tlOutputCh2Analytic2Chart3Serie9Label1</vt:lpstr>
      <vt:lpstr>tlOutputCh2Analytic2Chart3Serie9Point1</vt:lpstr>
      <vt:lpstr>tlOutputCh2Analytic2Chart3Serie9Point2</vt:lpstr>
      <vt:lpstr>tlOutputCh2Analytic2Chart3Serie9Point3</vt:lpstr>
      <vt:lpstr>tlOutputCh2AnalyticsEmp1Req</vt:lpstr>
      <vt:lpstr>tlOutputCh2AnalyticsExp</vt:lpstr>
      <vt:lpstr>tlOutputCh2CustProfitTot</vt:lpstr>
      <vt:lpstr>tlOutputCh2Emp1GaugeMax</vt:lpstr>
      <vt:lpstr>tlOutputCh2Emp1GaugeMin</vt:lpstr>
      <vt:lpstr>tlOutputCh2Emp1GaugeValue</vt:lpstr>
      <vt:lpstr>tlOutputCh2GPaLTot</vt:lpstr>
      <vt:lpstr>tlOutputCh2MarketDemandTot</vt:lpstr>
      <vt:lpstr>tlOutputCh2MarkPlanEmp1Req</vt:lpstr>
      <vt:lpstr>tlOutputCh2MarkPlanExp</vt:lpstr>
      <vt:lpstr>tlOutputCh2NetSalesTot</vt:lpstr>
      <vt:lpstr>tlOutputCh2NewSlotAvailGaugeMax</vt:lpstr>
      <vt:lpstr>tlOutputCh2NewSlotAvailGaugeMin</vt:lpstr>
      <vt:lpstr>tlOutputCh2NewSlotAvailGaugeValue</vt:lpstr>
      <vt:lpstr>tlOutputCh2Prod1Close</vt:lpstr>
      <vt:lpstr>tlOutputCh2Prod1CustProfit</vt:lpstr>
      <vt:lpstr>tlOutputCh2Prod1CustProfitTot</vt:lpstr>
      <vt:lpstr>tlOutputCh2Prod1GPaL</vt:lpstr>
      <vt:lpstr>tlOutputCh2Prod1GPaLpBrandCogs</vt:lpstr>
      <vt:lpstr>tlOutputCh2Prod1GPaLpGPaL</vt:lpstr>
      <vt:lpstr>tlOutputCh2Prod1GPaLpGPaLmar</vt:lpstr>
      <vt:lpstr>tlOutputCh2Prod1GPaLpLog</vt:lpstr>
      <vt:lpstr>tlOutputCh2Prod1MktSize</vt:lpstr>
      <vt:lpstr>tlOutputCh2Prod1NetSales</vt:lpstr>
      <vt:lpstr>tlOutputCh2Prod1NewSlotEmp1</vt:lpstr>
      <vt:lpstr>tlOutputCh2Prod1NewSlotExp</vt:lpstr>
      <vt:lpstr>tlOutputCh2Prod1Open</vt:lpstr>
      <vt:lpstr>tloutputCh2Prod1Slot1AvgPromoDis</vt:lpstr>
      <vt:lpstr>tloutputCh2Prod1Slot1AvgPromoPrice</vt:lpstr>
      <vt:lpstr>tloutputCh2Prod1Slot1AvgSellPrice</vt:lpstr>
      <vt:lpstr>tloutputCh2Prod1Slot1CM</vt:lpstr>
      <vt:lpstr>tlOutputCh2Prod1Slot1CustProfitBase</vt:lpstr>
      <vt:lpstr>tloutputCh2Prod1Slot1RSPHigh</vt:lpstr>
      <vt:lpstr>tloutputCh2Prod1Slot1RSPLow</vt:lpstr>
      <vt:lpstr>tlOutputCh2Prod1Slot1SP</vt:lpstr>
      <vt:lpstr>tloutputCh2Prod1Slot2AvgPromoDis</vt:lpstr>
      <vt:lpstr>tloutputCh2Prod1Slot2AvgPromoPrice</vt:lpstr>
      <vt:lpstr>tloutputCh2Prod1Slot2AvgSellPrice</vt:lpstr>
      <vt:lpstr>tloutputCh2Prod1Slot2CM</vt:lpstr>
      <vt:lpstr>tlOutputCh2Prod1Slot2CustProfitBase</vt:lpstr>
      <vt:lpstr>tloutputCh2Prod1Slot2RSPHigh</vt:lpstr>
      <vt:lpstr>tloutputCh2Prod1Slot2RSPLow</vt:lpstr>
      <vt:lpstr>tlOutputCh2Prod1Slot2SP</vt:lpstr>
      <vt:lpstr>tloutputCh2Prod1Slot3AvgPromoDis</vt:lpstr>
      <vt:lpstr>tloutputCh2Prod1Slot3AvgPromoPrice</vt:lpstr>
      <vt:lpstr>tloutputCh2Prod1Slot3AvgSellPrice</vt:lpstr>
      <vt:lpstr>tloutputCh2Prod1Slot3CM</vt:lpstr>
      <vt:lpstr>tlOutputCh2Prod1Slot3CustProfitBase</vt:lpstr>
      <vt:lpstr>tloutputCh2Prod1Slot3RSPHigh</vt:lpstr>
      <vt:lpstr>tloutputCh2Prod1Slot3RSPLow</vt:lpstr>
      <vt:lpstr>tlOutputCh2Prod1Slot3SP</vt:lpstr>
      <vt:lpstr>tlOutputCh2Prod1VolForcast</vt:lpstr>
      <vt:lpstr>tlOutputCh2Prod2Close</vt:lpstr>
      <vt:lpstr>tlOutputCh2Prod2CustProfit</vt:lpstr>
      <vt:lpstr>tlOutputCh2Prod2CustProfitTot</vt:lpstr>
      <vt:lpstr>tlOutputCh2Prod2GPaL</vt:lpstr>
      <vt:lpstr>tlOutputCh2Prod2GPaLpBrandCogs</vt:lpstr>
      <vt:lpstr>tlOutputCh2Prod2GPaLpGPaL</vt:lpstr>
      <vt:lpstr>tlOutputCh2Prod2GPaLpGPaLmar</vt:lpstr>
      <vt:lpstr>tlOutputCh2Prod2GPaLpLog</vt:lpstr>
      <vt:lpstr>tlOutputCh2Prod2n3MktSize</vt:lpstr>
      <vt:lpstr>tlOutputCh2Prod2NetSales</vt:lpstr>
      <vt:lpstr>tlOutputCh2Prod2NewSlotEmp1</vt:lpstr>
      <vt:lpstr>tlOutputCh2Prod2NewSlotExp</vt:lpstr>
      <vt:lpstr>tlOutputCh2Prod2Open</vt:lpstr>
      <vt:lpstr>tloutputCh2Prod2Slot1AvgPromoDis</vt:lpstr>
      <vt:lpstr>tloutputCh2Prod2Slot1AvgPromoPrice</vt:lpstr>
      <vt:lpstr>tloutputCh2Prod2Slot1AvgSellPrice</vt:lpstr>
      <vt:lpstr>tloutputCh2Prod2Slot1CM</vt:lpstr>
      <vt:lpstr>tlOutputCh2Prod2Slot1CustProfitBase</vt:lpstr>
      <vt:lpstr>tloutputCh2Prod2Slot1RSPHigh</vt:lpstr>
      <vt:lpstr>tloutputCh2Prod2Slot1RSPLow</vt:lpstr>
      <vt:lpstr>tlOutputCh2Prod2Slot1SP</vt:lpstr>
      <vt:lpstr>tloutputCh2Prod2Slot2AvgPromoDis</vt:lpstr>
      <vt:lpstr>tloutputCh2Prod2Slot2AvgPromoPrice</vt:lpstr>
      <vt:lpstr>tloutputCh2Prod2Slot2AvgSellPrice</vt:lpstr>
      <vt:lpstr>tloutputCh2Prod2Slot2CM</vt:lpstr>
      <vt:lpstr>tlOutputCh2Prod2Slot2CustProfitBase</vt:lpstr>
      <vt:lpstr>tloutputCh2Prod2Slot2RSPHigh</vt:lpstr>
      <vt:lpstr>tloutputCh2Prod2Slot2RSPLow</vt:lpstr>
      <vt:lpstr>tlOutputCh2Prod2Slot2SP</vt:lpstr>
      <vt:lpstr>tloutputCh2Prod2Slot3AvgPromoDis</vt:lpstr>
      <vt:lpstr>tloutputCh2Prod2Slot3AvgPromoPrice</vt:lpstr>
      <vt:lpstr>tloutputCh2Prod2Slot3AvgSellPrice</vt:lpstr>
      <vt:lpstr>tloutputCh2Prod2Slot3CM</vt:lpstr>
      <vt:lpstr>tlOutputCh2Prod2Slot3CustProfitBase</vt:lpstr>
      <vt:lpstr>tloutputCh2Prod2Slot3RSPHigh</vt:lpstr>
      <vt:lpstr>tloutputCh2Prod2Slot3RSPLow</vt:lpstr>
      <vt:lpstr>tlOutputCh2Prod2Slot3SP</vt:lpstr>
      <vt:lpstr>tlOutputCh2Prod2VolForcast</vt:lpstr>
      <vt:lpstr>tlOutputCh2Prod3Close</vt:lpstr>
      <vt:lpstr>tlOutputCh2Prod3CustProfit</vt:lpstr>
      <vt:lpstr>tlOutputCh2Prod3CustProfitTot</vt:lpstr>
      <vt:lpstr>tlOutputCh2Prod3GPaL</vt:lpstr>
      <vt:lpstr>tlOutputCh2Prod3GPaLpBrandCogs</vt:lpstr>
      <vt:lpstr>tlOutputCh2Prod3GPaLpGPaL</vt:lpstr>
      <vt:lpstr>tlOutputCh2Prod3GPaLpGPaLmar</vt:lpstr>
      <vt:lpstr>tlOutputCh2Prod3GPaLpLog</vt:lpstr>
      <vt:lpstr>tlOutputCh2Prod3NetSales</vt:lpstr>
      <vt:lpstr>tlOutputCh2Prod3NewSlotEmp1</vt:lpstr>
      <vt:lpstr>tlOutputCh2Prod3NewSlotExp</vt:lpstr>
      <vt:lpstr>tlOutputCh2Prod3Open</vt:lpstr>
      <vt:lpstr>tloutputCh2Prod3Slot1AvgPromoDis</vt:lpstr>
      <vt:lpstr>tloutputCh2Prod3Slot1AvgPromoPrice</vt:lpstr>
      <vt:lpstr>tloutputCh2Prod3Slot1AvgSellPrice</vt:lpstr>
      <vt:lpstr>tloutputCh2Prod3Slot1CM</vt:lpstr>
      <vt:lpstr>tlOutputCh2Prod3Slot1CustProfitBase</vt:lpstr>
      <vt:lpstr>tloutputCh2Prod3Slot1RSPHigh</vt:lpstr>
      <vt:lpstr>tloutputCh2Prod3Slot1RSPLow</vt:lpstr>
      <vt:lpstr>tlOutputCh2Prod3Slot1SP</vt:lpstr>
      <vt:lpstr>tloutputCh2Prod3Slot2AvgPromoDis</vt:lpstr>
      <vt:lpstr>tloutputCh2Prod3Slot2AvgPromoPrice</vt:lpstr>
      <vt:lpstr>tloutputCh2Prod3Slot2AvgSellPrice</vt:lpstr>
      <vt:lpstr>tloutputCh2Prod3Slot2CM</vt:lpstr>
      <vt:lpstr>tlOutputCh2Prod3Slot2CustProfitBase</vt:lpstr>
      <vt:lpstr>tloutputCh2Prod3Slot2RSPHigh</vt:lpstr>
      <vt:lpstr>tloutputCh2Prod3Slot2RSPLow</vt:lpstr>
      <vt:lpstr>tlOutputCh2Prod3Slot2SP</vt:lpstr>
      <vt:lpstr>tloutputCh2Prod3Slot3AvgPromoDis</vt:lpstr>
      <vt:lpstr>tloutputCh2Prod3Slot3AvgPromoPrice</vt:lpstr>
      <vt:lpstr>tloutputCh2Prod3Slot3AvgSellPrice</vt:lpstr>
      <vt:lpstr>tloutputCh2Prod3Slot3CM</vt:lpstr>
      <vt:lpstr>tlOutputCh2Prod3Slot3CustProfitBase</vt:lpstr>
      <vt:lpstr>tloutputCh2Prod3Slot3RSPHigh</vt:lpstr>
      <vt:lpstr>tloutputCh2Prod3Slot3RSPLow</vt:lpstr>
      <vt:lpstr>tlOutputCh2Prod3Slot3SP</vt:lpstr>
      <vt:lpstr>tlOutputCh2Prod3VolForcast</vt:lpstr>
      <vt:lpstr>tlOutputCh2Prod4Close</vt:lpstr>
      <vt:lpstr>tlOutputCh2Prod4CustProfit</vt:lpstr>
      <vt:lpstr>tlOutputCh2Prod4CustProfitTot</vt:lpstr>
      <vt:lpstr>tlOutputCh2Prod4GPaL</vt:lpstr>
      <vt:lpstr>tlOutputCh2Prod4GPaLpBrandCogs</vt:lpstr>
      <vt:lpstr>tlOutputCh2Prod4GPaLpGPaL</vt:lpstr>
      <vt:lpstr>tlOutputCh2Prod4GPaLpGPaLmar</vt:lpstr>
      <vt:lpstr>tlOutputCh2Prod4GPaLpLog</vt:lpstr>
      <vt:lpstr>tlOutputCh2Prod4MktSize</vt:lpstr>
      <vt:lpstr>tlOutputCh2Prod4NetSales</vt:lpstr>
      <vt:lpstr>tlOutputCh2Prod4NewSlotEmp1</vt:lpstr>
      <vt:lpstr>tlOutputCh2Prod4NewSlotExp</vt:lpstr>
      <vt:lpstr>tlOutputCh2Prod4Open</vt:lpstr>
      <vt:lpstr>tloutputCh2Prod4Slot1AvgPromoDis</vt:lpstr>
      <vt:lpstr>tloutputCh2Prod4Slot1AvgPromoPrice</vt:lpstr>
      <vt:lpstr>tloutputCh2Prod4Slot1AvgSellPrice</vt:lpstr>
      <vt:lpstr>tloutputCh2Prod4Slot1CM</vt:lpstr>
      <vt:lpstr>tlOutputCh2Prod4Slot1CustProfitBase</vt:lpstr>
      <vt:lpstr>tloutputCh2Prod4Slot1RSPHigh</vt:lpstr>
      <vt:lpstr>tloutputCh2Prod4Slot1RSPLow</vt:lpstr>
      <vt:lpstr>tlOutputCh2Prod4Slot1SP</vt:lpstr>
      <vt:lpstr>tloutputCh2Prod4Slot2AvgPromoDis</vt:lpstr>
      <vt:lpstr>tloutputCh2Prod4Slot2AvgPromoPrice</vt:lpstr>
      <vt:lpstr>tloutputCh2Prod4Slot2AvgSellPrice</vt:lpstr>
      <vt:lpstr>tloutputCh2Prod4Slot2CM</vt:lpstr>
      <vt:lpstr>tlOutputCh2Prod4Slot2CustProfitBase</vt:lpstr>
      <vt:lpstr>tloutputCh2Prod4Slot2RSPHigh</vt:lpstr>
      <vt:lpstr>tloutputCh2Prod4Slot2RSPLow</vt:lpstr>
      <vt:lpstr>tlOutputCh2Prod4Slot2SP</vt:lpstr>
      <vt:lpstr>tloutputCh2Prod4Slot3AvgPromoDis</vt:lpstr>
      <vt:lpstr>tloutputCh2Prod4Slot3AvgPromoPrice</vt:lpstr>
      <vt:lpstr>tloutputCh2Prod4Slot3AvgSellPrice</vt:lpstr>
      <vt:lpstr>tloutputCh2Prod4Slot3CM</vt:lpstr>
      <vt:lpstr>tlOutputCh2Prod4Slot3CustProfitBase</vt:lpstr>
      <vt:lpstr>tloutputCh2Prod4Slot3RSPHigh</vt:lpstr>
      <vt:lpstr>tloutputCh2Prod4Slot3RSPLow</vt:lpstr>
      <vt:lpstr>tlOutputCh2Prod4Slot3SP</vt:lpstr>
      <vt:lpstr>tlOutputCh2Prod4VolForcast</vt:lpstr>
      <vt:lpstr>tlOutputCh2TTCondition</vt:lpstr>
      <vt:lpstr>tlOutputCh2TTHeading</vt:lpstr>
      <vt:lpstr>tlOutputCh2TTUnCondition</vt:lpstr>
      <vt:lpstr>tlOutputCh2ValDriv1Emp1</vt:lpstr>
      <vt:lpstr>tlOutputCh2ValDriv1Exp</vt:lpstr>
      <vt:lpstr>tlOutputCh2ValDriv2Emp1</vt:lpstr>
      <vt:lpstr>tlOutputCh2ValDriv2Exp</vt:lpstr>
      <vt:lpstr>tlOutputCh2ValDriv3Emp1</vt:lpstr>
      <vt:lpstr>tlOutputCh2ValDriv3Exp</vt:lpstr>
      <vt:lpstr>tlOutputCh2ValDriv4Emp1</vt:lpstr>
      <vt:lpstr>tlOutputCh2ValDriv4Exp</vt:lpstr>
      <vt:lpstr>tlOutputCh2ValDriv5Emp1</vt:lpstr>
      <vt:lpstr>tlOutputCh2ValDriv5Exp</vt:lpstr>
      <vt:lpstr>tlOutputCh2ValDrivCondEmp1</vt:lpstr>
      <vt:lpstr>tlOutputCh2ValDrivCondExp</vt:lpstr>
      <vt:lpstr>tlOutputCh2ValDrivEmp1Tot</vt:lpstr>
      <vt:lpstr>tlOutputCh2ValDrivExpTot</vt:lpstr>
      <vt:lpstr>tlOutputCh2VolForecastTot</vt:lpstr>
      <vt:lpstr>tlOutputCh2VtCp</vt:lpstr>
      <vt:lpstr>tlOutputCh2VtDeprExp</vt:lpstr>
      <vt:lpstr>tlOutputCh2VtDeprExpPct</vt:lpstr>
      <vt:lpstr>tlOutputCh2VtDeprExpPctPVol</vt:lpstr>
      <vt:lpstr>tlOutputCh2VtDeprExpPVol</vt:lpstr>
      <vt:lpstr>tlOutputCh2VtDiscounts</vt:lpstr>
      <vt:lpstr>tlOutputCh2VtDiscountsPct</vt:lpstr>
      <vt:lpstr>tlOutputCh2VtDiscountsPctPVol</vt:lpstr>
      <vt:lpstr>tlOutputCh2VtDiscountsPVol</vt:lpstr>
      <vt:lpstr>tlOutputCh2VtExcise</vt:lpstr>
      <vt:lpstr>tlOutputCh2VtExcisePct</vt:lpstr>
      <vt:lpstr>tlOutputCh2VtExcisePctPVol</vt:lpstr>
      <vt:lpstr>tlOutputCh2VtExcisePVol</vt:lpstr>
      <vt:lpstr>tlOutputCh2VtGP</vt:lpstr>
      <vt:lpstr>tlOutputCh2VtGPaL</vt:lpstr>
      <vt:lpstr>tlOutputCh2VtGPaLPct</vt:lpstr>
      <vt:lpstr>tlOutputCh2VtGPaLPctPVol</vt:lpstr>
      <vt:lpstr>tlOutputCh2VtGPaLPVol</vt:lpstr>
      <vt:lpstr>tlOutputCh2VtGPPct</vt:lpstr>
      <vt:lpstr>tlOutputCh2VtGPPctPVol</vt:lpstr>
      <vt:lpstr>tlOutputCh2VtGPPVol</vt:lpstr>
      <vt:lpstr>tlOutputCh2VtGrossSales</vt:lpstr>
      <vt:lpstr>tlOutputCh2VtGrossSalesPct</vt:lpstr>
      <vt:lpstr>tlOutputCh2VtGrossSalesPctPVol</vt:lpstr>
      <vt:lpstr>tlOutputCh2VtGrossSalesPVol</vt:lpstr>
      <vt:lpstr>tlOutputCh2VtLabourExp</vt:lpstr>
      <vt:lpstr>tlOutputCh2VtLabourExpPct</vt:lpstr>
      <vt:lpstr>tlOutputCh2VtLabourExpPctPVol</vt:lpstr>
      <vt:lpstr>tlOutputCh2VtLabourExpPVol</vt:lpstr>
      <vt:lpstr>tlOutputCh2VtLogExp</vt:lpstr>
      <vt:lpstr>tlOutputCh2VtLogExpPct</vt:lpstr>
      <vt:lpstr>tlOutputCh2VtLogExpPctPVol</vt:lpstr>
      <vt:lpstr>tlOutputCh2VtLogExpPVol</vt:lpstr>
      <vt:lpstr>tlOutputCh2VtMachExp</vt:lpstr>
      <vt:lpstr>tlOutputCh2VtMachExpPct</vt:lpstr>
      <vt:lpstr>tlOutputCh2VtMachExpPctPVol</vt:lpstr>
      <vt:lpstr>tlOutputCh2VtMachExpPVol</vt:lpstr>
      <vt:lpstr>tlOutputCh2VtMatExp</vt:lpstr>
      <vt:lpstr>tlOutputCh2VtMatExpPct</vt:lpstr>
      <vt:lpstr>tlOutputCh2VtMatExpPctPVol</vt:lpstr>
      <vt:lpstr>tlOutputCh2VtMatExpPVol</vt:lpstr>
      <vt:lpstr>tlOutputCh2Vtstaple1</vt:lpstr>
      <vt:lpstr>tlOutputCh2Vtstaple2</vt:lpstr>
      <vt:lpstr>tlOutputCh2Vtstaple3</vt:lpstr>
      <vt:lpstr>tlOutputCh2Vtstaple4</vt:lpstr>
      <vt:lpstr>tlOutputCh2VtTotalCOGs</vt:lpstr>
      <vt:lpstr>tlOutputCh2VtTotalCOGsPct</vt:lpstr>
      <vt:lpstr>tlOutputCh2VtTotalCOGsPctPVol</vt:lpstr>
      <vt:lpstr>tlOutputCh2VtTotalCOGsPVol</vt:lpstr>
      <vt:lpstr>tlOutputCh2VtTotalRev</vt:lpstr>
      <vt:lpstr>tlOutputCh2VtTotalRevPct</vt:lpstr>
      <vt:lpstr>tlOutputCh2VtTotalRevPctPVol</vt:lpstr>
      <vt:lpstr>tlOutputCh2VtTotalRevPVol</vt:lpstr>
      <vt:lpstr>tlOutputCh2VtTurn</vt:lpstr>
      <vt:lpstr>tlOutputCh2VtTurnPct</vt:lpstr>
      <vt:lpstr>tlOutputCh2VtTurnPctPVol</vt:lpstr>
      <vt:lpstr>tlOutputCh2VtTurnPVol</vt:lpstr>
      <vt:lpstr>tlOutputCh2VtUnitsSold</vt:lpstr>
      <vt:lpstr>tlOutputCh2VtVolSold</vt:lpstr>
      <vt:lpstr>tlOutputCh2VtWd</vt:lpstr>
      <vt:lpstr>tlOutputCh2WaterfallDelta1</vt:lpstr>
      <vt:lpstr>tlOutputCh2WaterfallDelta2</vt:lpstr>
      <vt:lpstr>tlOutputCh2WaterfallDelta3</vt:lpstr>
      <vt:lpstr>tlOutputCh2WaterfallDelta4</vt:lpstr>
      <vt:lpstr>tlOutputCh2WaterfallEnd</vt:lpstr>
      <vt:lpstr>tlOutputCh2WaterfallInvisible1</vt:lpstr>
      <vt:lpstr>tlOutputCh2WaterfallInvisible2</vt:lpstr>
      <vt:lpstr>tlOutputCh2WaterfallInvisible3</vt:lpstr>
      <vt:lpstr>tlOutputCh2WaterfallInvisible4</vt:lpstr>
      <vt:lpstr>tlOutputCh2WaterfallInvisible5</vt:lpstr>
      <vt:lpstr>tlOutputCh2WaterfallInvisible6</vt:lpstr>
      <vt:lpstr>tlOutputCh2WaterfallStart</vt:lpstr>
      <vt:lpstr>tlOutputCh2WaterfallVisible1</vt:lpstr>
      <vt:lpstr>tlOutputCh2WaterfallVisible2</vt:lpstr>
      <vt:lpstr>tlOutputCh2WaterfallVisible3</vt:lpstr>
      <vt:lpstr>tlOutputCh2WaterfallVisible4</vt:lpstr>
      <vt:lpstr>tlOutputCh2WaterfallVisible5</vt:lpstr>
      <vt:lpstr>tlOutputCh2WaterfallVisible6</vt:lpstr>
      <vt:lpstr>tlOutputCh2WaterfallxLabel1</vt:lpstr>
      <vt:lpstr>tlOutputCh2WaterfallxLabel2</vt:lpstr>
      <vt:lpstr>tlOutputCh2WaterfallxLabel3</vt:lpstr>
      <vt:lpstr>tlOutputCh2WaterfallxLabel4</vt:lpstr>
      <vt:lpstr>tlOutputCh2WaterfallxLabel5</vt:lpstr>
      <vt:lpstr>tlOutputCh2WaterfallxLabel6</vt:lpstr>
      <vt:lpstr>tlOutputCh3</vt:lpstr>
      <vt:lpstr>tlOutputCh3Analytic1Chart1BubbleSize1</vt:lpstr>
      <vt:lpstr>tlOutputCh3Analytic1Chart1BubbleSize10</vt:lpstr>
      <vt:lpstr>tlOutputCh3Analytic1Chart1BubbleSize11</vt:lpstr>
      <vt:lpstr>tlOutputCh3Analytic1Chart1BubbleSize12</vt:lpstr>
      <vt:lpstr>tlOutputCh3Analytic1Chart1BubbleSize2</vt:lpstr>
      <vt:lpstr>tlOutputCh3Analytic1Chart1BubbleSize3</vt:lpstr>
      <vt:lpstr>tlOutputCh3Analytic1Chart1BubbleSize4</vt:lpstr>
      <vt:lpstr>tlOutputCh3Analytic1Chart1BubbleSize5</vt:lpstr>
      <vt:lpstr>tlOutputCh3Analytic1Chart1BubbleSize6</vt:lpstr>
      <vt:lpstr>tlOutputCh3Analytic1Chart1BubbleSize7</vt:lpstr>
      <vt:lpstr>tlOutputCh3Analytic1Chart1BubbleSize8</vt:lpstr>
      <vt:lpstr>tlOutputCh3Analytic1Chart1BubbleSize9</vt:lpstr>
      <vt:lpstr>tlOutputCh3Analytic1Chart1Heading</vt:lpstr>
      <vt:lpstr>tlOutputCh3Analytic1Chart1Label1</vt:lpstr>
      <vt:lpstr>tlOutputCh3Analytic1Chart1Label10</vt:lpstr>
      <vt:lpstr>tlOutputCh3Analytic1Chart1Label11</vt:lpstr>
      <vt:lpstr>tlOutputCh3Analytic1Chart1Label12</vt:lpstr>
      <vt:lpstr>tlOutputCh3Analytic1Chart1Label2</vt:lpstr>
      <vt:lpstr>tlOutputCh3Analytic1Chart1Label3</vt:lpstr>
      <vt:lpstr>tlOutputCh3Analytic1Chart1Label4</vt:lpstr>
      <vt:lpstr>tlOutputCh3Analytic1Chart1Label5</vt:lpstr>
      <vt:lpstr>tlOutputCh3Analytic1Chart1Label6</vt:lpstr>
      <vt:lpstr>tlOutputCh3Analytic1Chart1Label7</vt:lpstr>
      <vt:lpstr>tlOutputCh3Analytic1Chart1Label8</vt:lpstr>
      <vt:lpstr>tlOutputCh3Analytic1Chart1Label9</vt:lpstr>
      <vt:lpstr>tlOutputCh3Analytic1Chart1Type1</vt:lpstr>
      <vt:lpstr>tlOutputCh3Analytic1Chart1Type2</vt:lpstr>
      <vt:lpstr>tlOutputCh3Analytic1Chart1Type3</vt:lpstr>
      <vt:lpstr>tlOutputCh3Analytic1Chart1Type4</vt:lpstr>
      <vt:lpstr>tlOutputCh3Analytic1Chart1XaxisTitle</vt:lpstr>
      <vt:lpstr>tlOutputCh3Analytic1Chart1XValue1</vt:lpstr>
      <vt:lpstr>tlOutputCh3Analytic1Chart1XValue10</vt:lpstr>
      <vt:lpstr>tlOutputCh3Analytic1Chart1XValue11</vt:lpstr>
      <vt:lpstr>tlOutputCh3Analytic1Chart1XValue12</vt:lpstr>
      <vt:lpstr>tlOutputCh3Analytic1Chart1XValue2</vt:lpstr>
      <vt:lpstr>tlOutputCh3Analytic1Chart1XValue3</vt:lpstr>
      <vt:lpstr>tlOutputCh3Analytic1Chart1XValue4</vt:lpstr>
      <vt:lpstr>tlOutputCh3Analytic1Chart1XValue5</vt:lpstr>
      <vt:lpstr>tlOutputCh3Analytic1Chart1XValue6</vt:lpstr>
      <vt:lpstr>tlOutputCh3Analytic1Chart1XValue7</vt:lpstr>
      <vt:lpstr>tlOutputCh3Analytic1Chart1XValue8</vt:lpstr>
      <vt:lpstr>tlOutputCh3Analytic1Chart1XValue9</vt:lpstr>
      <vt:lpstr>tlOutputCh3Analytic1Chart1YaxisTitle</vt:lpstr>
      <vt:lpstr>tlOutputCh3Analytic1Chart1YValue1</vt:lpstr>
      <vt:lpstr>tlOutputCh3Analytic1Chart1YValue10</vt:lpstr>
      <vt:lpstr>tlOutputCh3Analytic1Chart1YValue11</vt:lpstr>
      <vt:lpstr>tlOutputCh3Analytic1Chart1YValue12</vt:lpstr>
      <vt:lpstr>tlOutputCh3Analytic1Chart1YValue2</vt:lpstr>
      <vt:lpstr>tlOutputCh3Analytic1Chart1YValue3</vt:lpstr>
      <vt:lpstr>tlOutputCh3Analytic1Chart1YValue4</vt:lpstr>
      <vt:lpstr>tlOutputCh3Analytic1Chart1YValue5</vt:lpstr>
      <vt:lpstr>tlOutputCh3Analytic1Chart1YValue6</vt:lpstr>
      <vt:lpstr>tlOutputCh3Analytic1Chart1YValue7</vt:lpstr>
      <vt:lpstr>tlOutputCh3Analytic1Chart1YValue8</vt:lpstr>
      <vt:lpstr>tlOutputCh3Analytic1Chart1YValue9</vt:lpstr>
      <vt:lpstr>tlOutputCh3Analytic1Chart2BubbleSize1</vt:lpstr>
      <vt:lpstr>tlOutputCh3Analytic1Chart2BubbleSize10</vt:lpstr>
      <vt:lpstr>tlOutputCh3Analytic1Chart2BubbleSize11</vt:lpstr>
      <vt:lpstr>tlOutputCh3Analytic1Chart2BubbleSize12</vt:lpstr>
      <vt:lpstr>tlOutputCh3Analytic1Chart2BubbleSize2</vt:lpstr>
      <vt:lpstr>tlOutputCh3Analytic1Chart2BubbleSize3</vt:lpstr>
      <vt:lpstr>tlOutputCh3Analytic1Chart2BubbleSize4</vt:lpstr>
      <vt:lpstr>tlOutputCh3Analytic1Chart2BubbleSize5</vt:lpstr>
      <vt:lpstr>tlOutputCh3Analytic1Chart2BubbleSize6</vt:lpstr>
      <vt:lpstr>tlOutputCh3Analytic1Chart2BubbleSize7</vt:lpstr>
      <vt:lpstr>tlOutputCh3Analytic1Chart2BubbleSize8</vt:lpstr>
      <vt:lpstr>tlOutputCh3Analytic1Chart2BubbleSize9</vt:lpstr>
      <vt:lpstr>tlOutputCh3Analytic1Chart2Heading</vt:lpstr>
      <vt:lpstr>tlOutputCh3Analytic1Chart2Label1</vt:lpstr>
      <vt:lpstr>tlOutputCh3Analytic1Chart2Label10</vt:lpstr>
      <vt:lpstr>tlOutputCh3Analytic1Chart2Label11</vt:lpstr>
      <vt:lpstr>tlOutputCh3Analytic1Chart2Label12</vt:lpstr>
      <vt:lpstr>tlOutputCh3Analytic1Chart2Label2</vt:lpstr>
      <vt:lpstr>tlOutputCh3Analytic1Chart2Label3</vt:lpstr>
      <vt:lpstr>tlOutputCh3Analytic1Chart2Label4</vt:lpstr>
      <vt:lpstr>tlOutputCh3Analytic1Chart2Label5</vt:lpstr>
      <vt:lpstr>tlOutputCh3Analytic1Chart2Label6</vt:lpstr>
      <vt:lpstr>tlOutputCh3Analytic1Chart2Label7</vt:lpstr>
      <vt:lpstr>tlOutputCh3Analytic1Chart2Label8</vt:lpstr>
      <vt:lpstr>tlOutputCh3Analytic1Chart2Label9</vt:lpstr>
      <vt:lpstr>tlOutputCh3Analytic1Chart2Type1</vt:lpstr>
      <vt:lpstr>tlOutputCh3Analytic1Chart2Type2</vt:lpstr>
      <vt:lpstr>tlOutputCh3Analytic1Chart2Type3</vt:lpstr>
      <vt:lpstr>tlOutputCh3Analytic1Chart2Type4</vt:lpstr>
      <vt:lpstr>tlOutputCh3Analytic1Chart2XaxisTitle</vt:lpstr>
      <vt:lpstr>tlOutputCh3Analytic1Chart2XValue1</vt:lpstr>
      <vt:lpstr>tlOutputCh3Analytic1Chart2XValue10</vt:lpstr>
      <vt:lpstr>tlOutputCh3Analytic1Chart2XValue11</vt:lpstr>
      <vt:lpstr>tlOutputCh3Analytic1Chart2XValue12</vt:lpstr>
      <vt:lpstr>tlOutputCh3Analytic1Chart2XValue2</vt:lpstr>
      <vt:lpstr>tlOutputCh3Analytic1Chart2XValue3</vt:lpstr>
      <vt:lpstr>tlOutputCh3Analytic1Chart2XValue4</vt:lpstr>
      <vt:lpstr>tlOutputCh3Analytic1Chart2XValue5</vt:lpstr>
      <vt:lpstr>tlOutputCh3Analytic1Chart2XValue6</vt:lpstr>
      <vt:lpstr>tlOutputCh3Analytic1Chart2XValue7</vt:lpstr>
      <vt:lpstr>tlOutputCh3Analytic1Chart2XValue8</vt:lpstr>
      <vt:lpstr>tlOutputCh3Analytic1Chart2XValue9</vt:lpstr>
      <vt:lpstr>tlOutputCh3Analytic1Chart2YaxisTitle</vt:lpstr>
      <vt:lpstr>tlOutputCh3Analytic1Chart2YValue1</vt:lpstr>
      <vt:lpstr>tlOutputCh3Analytic1Chart2YValue10</vt:lpstr>
      <vt:lpstr>tlOutputCh3Analytic1Chart2YValue11</vt:lpstr>
      <vt:lpstr>tlOutputCh3Analytic1Chart2YValue12</vt:lpstr>
      <vt:lpstr>tlOutputCh3Analytic1Chart2YValue2</vt:lpstr>
      <vt:lpstr>tlOutputCh3Analytic1Chart2YValue3</vt:lpstr>
      <vt:lpstr>tlOutputCh3Analytic1Chart2YValue4</vt:lpstr>
      <vt:lpstr>tlOutputCh3Analytic1Chart2YValue5</vt:lpstr>
      <vt:lpstr>tlOutputCh3Analytic1Chart2YValue6</vt:lpstr>
      <vt:lpstr>tlOutputCh3Analytic1Chart2YValue7</vt:lpstr>
      <vt:lpstr>tlOutputCh3Analytic1Chart2YValue8</vt:lpstr>
      <vt:lpstr>tlOutputCh3Analytic1Chart2YValue9</vt:lpstr>
      <vt:lpstr>tlOutputCh3Analytic1Table1Col1Row1</vt:lpstr>
      <vt:lpstr>tlOutputCh3Analytic1Table1Col1Row2</vt:lpstr>
      <vt:lpstr>tlOutputCh3Analytic1Table1Col1Row3</vt:lpstr>
      <vt:lpstr>tlOutputCh3Analytic1Table1Col1Row4</vt:lpstr>
      <vt:lpstr>tlOutputCh3Analytic1Table1Col1Row5</vt:lpstr>
      <vt:lpstr>tlOutputCh3Analytic1Table1Col1Row6</vt:lpstr>
      <vt:lpstr>tlOutputCh3Analytic1Table1Col1Row7</vt:lpstr>
      <vt:lpstr>tlOutputCh3Analytic1Table1Col1Row8</vt:lpstr>
      <vt:lpstr>tlOutputCh3Analytic1Table1Col2Row1</vt:lpstr>
      <vt:lpstr>tlOutputCh3Analytic1Table1Col2Row2</vt:lpstr>
      <vt:lpstr>tlOutputCh3Analytic1Table1Col2Row3</vt:lpstr>
      <vt:lpstr>tlOutputCh3Analytic1Table1Col2Row4</vt:lpstr>
      <vt:lpstr>tlOutputCh3Analytic1Table1Col2Row5</vt:lpstr>
      <vt:lpstr>tlOutputCh3Analytic1Table1Col2Row6</vt:lpstr>
      <vt:lpstr>tlOutputCh3Analytic1Table1Col2Row7</vt:lpstr>
      <vt:lpstr>tlOutputCh3Analytic1Table1Col2Row8</vt:lpstr>
      <vt:lpstr>tlOutputCh3Analytic1Table1Col3Row1</vt:lpstr>
      <vt:lpstr>tlOutputCh3Analytic1Table1Col3Row2</vt:lpstr>
      <vt:lpstr>tlOutputCh3Analytic1Table1Col3Row3</vt:lpstr>
      <vt:lpstr>tlOutputCh3Analytic1Table1Col3Row4</vt:lpstr>
      <vt:lpstr>tlOutputCh3Analytic1Table1Col3Row5</vt:lpstr>
      <vt:lpstr>tlOutputCh3Analytic1Table1Col3Row6</vt:lpstr>
      <vt:lpstr>tlOutputCh3Analytic1Table1Col3Row7</vt:lpstr>
      <vt:lpstr>tlOutputCh3Analytic1Table1Col3Row8</vt:lpstr>
      <vt:lpstr>tlOutputCh3Analytic1Table1Col4Row1</vt:lpstr>
      <vt:lpstr>tlOutputCh3Analytic1Table1Col4Row2</vt:lpstr>
      <vt:lpstr>tlOutputCh3Analytic1Table1Col4Row3</vt:lpstr>
      <vt:lpstr>tlOutputCh3Analytic1Table1Col4Row4</vt:lpstr>
      <vt:lpstr>tlOutputCh3Analytic1Table1Col4Row5</vt:lpstr>
      <vt:lpstr>tlOutputCh3Analytic1Table1Col4Row6</vt:lpstr>
      <vt:lpstr>tlOutputCh3Analytic1Table1Col4Row7</vt:lpstr>
      <vt:lpstr>tlOutputCh3Analytic1Table1Col4Row8</vt:lpstr>
      <vt:lpstr>tlOutputCh3Analytic1Table1Col5Row1</vt:lpstr>
      <vt:lpstr>tlOutputCh3Analytic1Table1Col5Row2</vt:lpstr>
      <vt:lpstr>tlOutputCh3Analytic1Table1Col5Row3</vt:lpstr>
      <vt:lpstr>tlOutputCh3Analytic1Table1Col5Row4</vt:lpstr>
      <vt:lpstr>tlOutputCh3Analytic1Table1Col5Row5</vt:lpstr>
      <vt:lpstr>tlOutputCh3Analytic1Table1Col5Row6</vt:lpstr>
      <vt:lpstr>tlOutputCh3Analytic1Table1Col5Row7</vt:lpstr>
      <vt:lpstr>tlOutputCh3Analytic1Table1Col5Row8</vt:lpstr>
      <vt:lpstr>tlOutputCh3Analytic1Table1Col6Row1</vt:lpstr>
      <vt:lpstr>tlOutputCh3Analytic1Table1Col6Row2</vt:lpstr>
      <vt:lpstr>tlOutputCh3Analytic1Table1Col6Row3</vt:lpstr>
      <vt:lpstr>tlOutputCh3Analytic1Table1Col6Row4</vt:lpstr>
      <vt:lpstr>tlOutputCh3Analytic1Table1Col6Row5</vt:lpstr>
      <vt:lpstr>tlOutputCh3Analytic1Table1Col6Row6</vt:lpstr>
      <vt:lpstr>tlOutputCh3Analytic1Table1Col6Row7</vt:lpstr>
      <vt:lpstr>tlOutputCh3Analytic1Table1Col6Row8</vt:lpstr>
      <vt:lpstr>tlOutputCh3Analytic1Table1Col7Row1</vt:lpstr>
      <vt:lpstr>tlOutputCh3Analytic1Table1Col7Row2</vt:lpstr>
      <vt:lpstr>tlOutputCh3Analytic1Table1Col7Row3</vt:lpstr>
      <vt:lpstr>tlOutputCh3Analytic1Table1Col7Row4</vt:lpstr>
      <vt:lpstr>tlOutputCh3Analytic1Table1Col7Row5</vt:lpstr>
      <vt:lpstr>tlOutputCh3Analytic1Table1Col7Row6</vt:lpstr>
      <vt:lpstr>tlOutputCh3Analytic1Table1Col7Row7</vt:lpstr>
      <vt:lpstr>tlOutputCh3Analytic1Table1Col7Row8</vt:lpstr>
      <vt:lpstr>tlOutputCh3Analytic1Table1Col8Row1</vt:lpstr>
      <vt:lpstr>tlOutputCh3Analytic1Table1Col8Row2</vt:lpstr>
      <vt:lpstr>tlOutputCh3Analytic1Table1Col8Row3</vt:lpstr>
      <vt:lpstr>tlOutputCh3Analytic1Table1Col8Row4</vt:lpstr>
      <vt:lpstr>tlOutputCh3Analytic1Table1Col8Row5</vt:lpstr>
      <vt:lpstr>tlOutputCh3Analytic1Table1Col8Row6</vt:lpstr>
      <vt:lpstr>tlOutputCh3Analytic1Table1Col8Row7</vt:lpstr>
      <vt:lpstr>tlOutputCh3Analytic1Table1Col8Row8</vt:lpstr>
      <vt:lpstr>tlOutputCh3Analytic2Chart1Heading</vt:lpstr>
      <vt:lpstr>tlOutputCh3Analytic2Chart1Serie10Label1</vt:lpstr>
      <vt:lpstr>tlOutputCh3Analytic2Chart1Serie10Point1</vt:lpstr>
      <vt:lpstr>tlOutputCh3Analytic2Chart1Serie10Point2</vt:lpstr>
      <vt:lpstr>tlOutputCh3Analytic2Chart1Serie10Point3</vt:lpstr>
      <vt:lpstr>tlOutputCh3Analytic2Chart1Serie11Label1</vt:lpstr>
      <vt:lpstr>tlOutputCh3Analytic2Chart1Serie11Point1</vt:lpstr>
      <vt:lpstr>tlOutputCh3Analytic2Chart1Serie11Point2</vt:lpstr>
      <vt:lpstr>tlOutputCh3Analytic2Chart1Serie11Point3</vt:lpstr>
      <vt:lpstr>tlOutputCh3Analytic2Chart1Serie12Label1</vt:lpstr>
      <vt:lpstr>tlOutputCh3Analytic2Chart1Serie12Point1</vt:lpstr>
      <vt:lpstr>tlOutputCh3Analytic2Chart1Serie12Point2</vt:lpstr>
      <vt:lpstr>tlOutputCh3Analytic2Chart1Serie12Point3</vt:lpstr>
      <vt:lpstr>tlOutputCh3Analytic2Chart1Serie1Label1</vt:lpstr>
      <vt:lpstr>tlOutputCh3Analytic2Chart1Serie1Point1</vt:lpstr>
      <vt:lpstr>tlOutputCh3Analytic2Chart1Serie1Point2</vt:lpstr>
      <vt:lpstr>tlOutputCh3Analytic2Chart1Serie1Point3</vt:lpstr>
      <vt:lpstr>tlOutputCh3Analytic2Chart1Serie2Label1</vt:lpstr>
      <vt:lpstr>tlOutputCh3Analytic2Chart1Serie2Point1</vt:lpstr>
      <vt:lpstr>tlOutputCh3Analytic2Chart1Serie2Point2</vt:lpstr>
      <vt:lpstr>tlOutputCh3Analytic2Chart1Serie2Point3</vt:lpstr>
      <vt:lpstr>tlOutputCh3Analytic2Chart1Serie3Label1</vt:lpstr>
      <vt:lpstr>tlOutputCh3Analytic2Chart1Serie3Point1</vt:lpstr>
      <vt:lpstr>tlOutputCh3Analytic2Chart1Serie3Point2</vt:lpstr>
      <vt:lpstr>tlOutputCh3Analytic2Chart1Serie3Point3</vt:lpstr>
      <vt:lpstr>tlOutputCh3Analytic2Chart1Serie4Label1</vt:lpstr>
      <vt:lpstr>tlOutputCh3Analytic2Chart1Serie4Point1</vt:lpstr>
      <vt:lpstr>tlOutputCh3Analytic2Chart1Serie4Point2</vt:lpstr>
      <vt:lpstr>tlOutputCh3Analytic2Chart1Serie4Point3</vt:lpstr>
      <vt:lpstr>tlOutputCh3Analytic2Chart1Serie5Label1</vt:lpstr>
      <vt:lpstr>tlOutputCh3Analytic2Chart1Serie5Point1</vt:lpstr>
      <vt:lpstr>tlOutputCh3Analytic2Chart1Serie5Point2</vt:lpstr>
      <vt:lpstr>tlOutputCh3Analytic2Chart1Serie5Point3</vt:lpstr>
      <vt:lpstr>tlOutputCh3Analytic2Chart1Serie6Label1</vt:lpstr>
      <vt:lpstr>tlOutputCh3Analytic2Chart1Serie6Point1</vt:lpstr>
      <vt:lpstr>tlOutputCh3Analytic2Chart1Serie6Point2</vt:lpstr>
      <vt:lpstr>tlOutputCh3Analytic2Chart1Serie6Point3</vt:lpstr>
      <vt:lpstr>tlOutputCh3Analytic2Chart1Serie7Label1</vt:lpstr>
      <vt:lpstr>tlOutputCh3Analytic2Chart1Serie7Point1</vt:lpstr>
      <vt:lpstr>tlOutputCh3Analytic2Chart1Serie7Point2</vt:lpstr>
      <vt:lpstr>tlOutputCh3Analytic2Chart1Serie7Point3</vt:lpstr>
      <vt:lpstr>tlOutputCh3Analytic2Chart1Serie8Label1</vt:lpstr>
      <vt:lpstr>tlOutputCh3Analytic2Chart1Serie8Point1</vt:lpstr>
      <vt:lpstr>tlOutputCh3Analytic2Chart1Serie8Point2</vt:lpstr>
      <vt:lpstr>tlOutputCh3Analytic2Chart1Serie8Point3</vt:lpstr>
      <vt:lpstr>tlOutputCh3Analytic2Chart1Serie9Label1</vt:lpstr>
      <vt:lpstr>tlOutputCh3Analytic2Chart1Serie9Point1</vt:lpstr>
      <vt:lpstr>tlOutputCh3Analytic2Chart1Serie9Point2</vt:lpstr>
      <vt:lpstr>tlOutputCh3Analytic2Chart1Serie9Point3</vt:lpstr>
      <vt:lpstr>tlOutputCh3Analytic2Chart2Heading</vt:lpstr>
      <vt:lpstr>tlOutputCh3Analytic2Chart2Label1</vt:lpstr>
      <vt:lpstr>tlOutputCh3Analytic2Chart2Label10</vt:lpstr>
      <vt:lpstr>tlOutputCh3Analytic2Chart2Label11</vt:lpstr>
      <vt:lpstr>tlOutputCh3Analytic2Chart2Label12</vt:lpstr>
      <vt:lpstr>tlOutputCh3Analytic2Chart2Label2</vt:lpstr>
      <vt:lpstr>tlOutputCh3Analytic2Chart2Label3</vt:lpstr>
      <vt:lpstr>tlOutputCh3Analytic2Chart2Label4</vt:lpstr>
      <vt:lpstr>tlOutputCh3Analytic2Chart2Label5</vt:lpstr>
      <vt:lpstr>tlOutputCh3Analytic2Chart2Label6</vt:lpstr>
      <vt:lpstr>tlOutputCh3Analytic2Chart2Label7</vt:lpstr>
      <vt:lpstr>tlOutputCh3Analytic2Chart2Label8</vt:lpstr>
      <vt:lpstr>tlOutputCh3Analytic2Chart2Label9</vt:lpstr>
      <vt:lpstr>tlOutputCh3Analytic2Chart2Serie1Item1</vt:lpstr>
      <vt:lpstr>tlOutputCh3Analytic2Chart2Serie1Item10</vt:lpstr>
      <vt:lpstr>tlOutputCh3Analytic2Chart2Serie1Item11</vt:lpstr>
      <vt:lpstr>tlOutputCh3Analytic2Chart2Serie1Item12</vt:lpstr>
      <vt:lpstr>tlOutputCh3Analytic2Chart2Serie1Item2</vt:lpstr>
      <vt:lpstr>tlOutputCh3Analytic2Chart2Serie1Item3</vt:lpstr>
      <vt:lpstr>tlOutputCh3Analytic2Chart2Serie1Item4</vt:lpstr>
      <vt:lpstr>tlOutputCh3Analytic2Chart2Serie1Item5</vt:lpstr>
      <vt:lpstr>tlOutputCh3Analytic2Chart2Serie1Item6</vt:lpstr>
      <vt:lpstr>tlOutputCh3Analytic2Chart2Serie1Item7</vt:lpstr>
      <vt:lpstr>tlOutputCh3Analytic2Chart2Serie1Item8</vt:lpstr>
      <vt:lpstr>tlOutputCh3Analytic2Chart2Serie1Item9</vt:lpstr>
      <vt:lpstr>tlOutputCh3Analytic2Chart2Serie1Title</vt:lpstr>
      <vt:lpstr>tlOutputCh3Analytic2Chart2Serie2Item1</vt:lpstr>
      <vt:lpstr>tlOutputCh3Analytic2Chart2Serie2Item10</vt:lpstr>
      <vt:lpstr>tlOutputCh3Analytic2Chart2Serie2Item11</vt:lpstr>
      <vt:lpstr>tlOutputCh3Analytic2Chart2Serie2Item12</vt:lpstr>
      <vt:lpstr>tlOutputCh3Analytic2Chart2Serie2Item2</vt:lpstr>
      <vt:lpstr>tlOutputCh3Analytic2Chart2Serie2Item3</vt:lpstr>
      <vt:lpstr>tlOutputCh3Analytic2Chart2Serie2Item4</vt:lpstr>
      <vt:lpstr>tlOutputCh3Analytic2Chart2Serie2Item5</vt:lpstr>
      <vt:lpstr>tlOutputCh3Analytic2Chart2Serie2Item6</vt:lpstr>
      <vt:lpstr>tlOutputCh3Analytic2Chart2Serie2Item7</vt:lpstr>
      <vt:lpstr>tlOutputCh3Analytic2Chart2Serie2Item8</vt:lpstr>
      <vt:lpstr>tlOutputCh3Analytic2Chart2Serie2Item9</vt:lpstr>
      <vt:lpstr>tlOutputCh3Analytic2Chart2Serie2Title</vt:lpstr>
      <vt:lpstr>tlOutputCh3Analytic2Chart3BubbleSize1</vt:lpstr>
      <vt:lpstr>tlOutputCh3Analytic2Chart3BubbleSize10</vt:lpstr>
      <vt:lpstr>tlOutputCh3Analytic2Chart3BubbleSize11</vt:lpstr>
      <vt:lpstr>tlOutputCh3Analytic2Chart3BubbleSize12</vt:lpstr>
      <vt:lpstr>tlOutputCh3Analytic2Chart3BubbleSize2</vt:lpstr>
      <vt:lpstr>tlOutputCh3Analytic2Chart3BubbleSize3</vt:lpstr>
      <vt:lpstr>tlOutputCh3Analytic2Chart3BubbleSize4</vt:lpstr>
      <vt:lpstr>tlOutputCh3Analytic2Chart3BubbleSize5</vt:lpstr>
      <vt:lpstr>tlOutputCh3Analytic2Chart3BubbleSize6</vt:lpstr>
      <vt:lpstr>tlOutputCh3Analytic2Chart3BubbleSize7</vt:lpstr>
      <vt:lpstr>tlOutputCh3Analytic2Chart3BubbleSize8</vt:lpstr>
      <vt:lpstr>tlOutputCh3Analytic2Chart3BubbleSize9</vt:lpstr>
      <vt:lpstr>tlOutputCh3Analytic2Chart3Heading</vt:lpstr>
      <vt:lpstr>tlOutputCh3Analytic2Chart3Label1</vt:lpstr>
      <vt:lpstr>tlOutputCh3Analytic2Chart3Label10</vt:lpstr>
      <vt:lpstr>tlOutputCh3Analytic2Chart3Label11</vt:lpstr>
      <vt:lpstr>tlOutputCh3Analytic2Chart3Label12</vt:lpstr>
      <vt:lpstr>tlOutputCh3Analytic2Chart3Label2</vt:lpstr>
      <vt:lpstr>tlOutputCh3Analytic2Chart3Label3</vt:lpstr>
      <vt:lpstr>tlOutputCh3Analytic2Chart3Label4</vt:lpstr>
      <vt:lpstr>tlOutputCh3Analytic2Chart3Label5</vt:lpstr>
      <vt:lpstr>tlOutputCh3Analytic2Chart3Label6</vt:lpstr>
      <vt:lpstr>tlOutputCh3Analytic2Chart3Label7</vt:lpstr>
      <vt:lpstr>tlOutputCh3Analytic2Chart3Label8</vt:lpstr>
      <vt:lpstr>tlOutputCh3Analytic2Chart3Label9</vt:lpstr>
      <vt:lpstr>tlOutputCh3Analytic2Chart3Type1</vt:lpstr>
      <vt:lpstr>tlOutputCh3Analytic2Chart3Type2</vt:lpstr>
      <vt:lpstr>tlOutputCh3Analytic2Chart3Type3</vt:lpstr>
      <vt:lpstr>tlOutputCh3Analytic2Chart3Type4</vt:lpstr>
      <vt:lpstr>tlOutputCh3Analytic2Chart3XaxisTitle</vt:lpstr>
      <vt:lpstr>tlOutputCh3Analytic2Chart3XValue1</vt:lpstr>
      <vt:lpstr>tlOutputCh3Analytic2Chart3XValue10</vt:lpstr>
      <vt:lpstr>tlOutputCh3Analytic2Chart3XValue11</vt:lpstr>
      <vt:lpstr>tlOutputCh3Analytic2Chart3XValue12</vt:lpstr>
      <vt:lpstr>tlOutputCh3Analytic2Chart3XValue2</vt:lpstr>
      <vt:lpstr>tlOutputCh3Analytic2Chart3XValue3</vt:lpstr>
      <vt:lpstr>tlOutputCh3Analytic2Chart3XValue4</vt:lpstr>
      <vt:lpstr>tlOutputCh3Analytic2Chart3XValue5</vt:lpstr>
      <vt:lpstr>tlOutputCh3Analytic2Chart3XValue6</vt:lpstr>
      <vt:lpstr>tlOutputCh3Analytic2Chart3XValue7</vt:lpstr>
      <vt:lpstr>tlOutputCh3Analytic2Chart3XValue8</vt:lpstr>
      <vt:lpstr>tlOutputCh3Analytic2Chart3XValue9</vt:lpstr>
      <vt:lpstr>tlOutputCh3Analytic2Chart3YaxisTitle</vt:lpstr>
      <vt:lpstr>tlOutputCh3Analytic2Chart3YValue1</vt:lpstr>
      <vt:lpstr>tlOutputCh3Analytic2Chart3YValue10</vt:lpstr>
      <vt:lpstr>tlOutputCh3Analytic2Chart3YValue11</vt:lpstr>
      <vt:lpstr>tlOutputCh3Analytic2Chart3YValue12</vt:lpstr>
      <vt:lpstr>tlOutputCh3Analytic2Chart3YValue2</vt:lpstr>
      <vt:lpstr>tlOutputCh3Analytic2Chart3YValue3</vt:lpstr>
      <vt:lpstr>tlOutputCh3Analytic2Chart3YValue4</vt:lpstr>
      <vt:lpstr>tlOutputCh3Analytic2Chart3YValue5</vt:lpstr>
      <vt:lpstr>tlOutputCh3Analytic2Chart3YValue6</vt:lpstr>
      <vt:lpstr>tlOutputCh3Analytic2Chart3YValue7</vt:lpstr>
      <vt:lpstr>tlOutputCh3Analytic2Chart3YValue8</vt:lpstr>
      <vt:lpstr>tlOutputCh3Analytic2Chart3YValue9</vt:lpstr>
      <vt:lpstr>tlOutputCh3Analytic2Chart4BubbleSize1</vt:lpstr>
      <vt:lpstr>tlOutputCh3Analytic2Chart4BubbleSize10</vt:lpstr>
      <vt:lpstr>tlOutputCh3Analytic2Chart4BubbleSize11</vt:lpstr>
      <vt:lpstr>tlOutputCh3Analytic2Chart4BubbleSize12</vt:lpstr>
      <vt:lpstr>tlOutputCh3Analytic2Chart4BubbleSize2</vt:lpstr>
      <vt:lpstr>tlOutputCh3Analytic2Chart4BubbleSize3</vt:lpstr>
      <vt:lpstr>tlOutputCh3Analytic2Chart4BubbleSize4</vt:lpstr>
      <vt:lpstr>tlOutputCh3Analytic2Chart4BubbleSize5</vt:lpstr>
      <vt:lpstr>tlOutputCh3Analytic2Chart4BubbleSize6</vt:lpstr>
      <vt:lpstr>tlOutputCh3Analytic2Chart4BubbleSize7</vt:lpstr>
      <vt:lpstr>tlOutputCh3Analytic2Chart4BubbleSize8</vt:lpstr>
      <vt:lpstr>tlOutputCh3Analytic2Chart4BubbleSize9</vt:lpstr>
      <vt:lpstr>tlOutputCh3Analytic2Chart4Heading</vt:lpstr>
      <vt:lpstr>tlOutputCh3Analytic2Chart4Label1</vt:lpstr>
      <vt:lpstr>tlOutputCh3Analytic2Chart4Label10</vt:lpstr>
      <vt:lpstr>tlOutputCh3Analytic2Chart4Label11</vt:lpstr>
      <vt:lpstr>tlOutputCh3Analytic2Chart4Label12</vt:lpstr>
      <vt:lpstr>tlOutputCh3Analytic2Chart4Label2</vt:lpstr>
      <vt:lpstr>tlOutputCh3Analytic2Chart4Label3</vt:lpstr>
      <vt:lpstr>tlOutputCh3Analytic2Chart4Label4</vt:lpstr>
      <vt:lpstr>tlOutputCh3Analytic2Chart4Label5</vt:lpstr>
      <vt:lpstr>tlOutputCh3Analytic2Chart4Label6</vt:lpstr>
      <vt:lpstr>tlOutputCh3Analytic2Chart4Label7</vt:lpstr>
      <vt:lpstr>tlOutputCh3Analytic2Chart4Label8</vt:lpstr>
      <vt:lpstr>tlOutputCh3Analytic2Chart4Label9</vt:lpstr>
      <vt:lpstr>tlOutputCh3Analytic2Chart4Type1</vt:lpstr>
      <vt:lpstr>tlOutputCh3Analytic2Chart4Type2</vt:lpstr>
      <vt:lpstr>tlOutputCh3Analytic2Chart4Type3</vt:lpstr>
      <vt:lpstr>tlOutputCh3Analytic2Chart4Type4</vt:lpstr>
      <vt:lpstr>tlOutputCh3Analytic2Chart4XaxisTitle</vt:lpstr>
      <vt:lpstr>tlOutputCh3Analytic2Chart4XValue1</vt:lpstr>
      <vt:lpstr>tlOutputCh3Analytic2Chart4XValue10</vt:lpstr>
      <vt:lpstr>tlOutputCh3Analytic2Chart4XValue11</vt:lpstr>
      <vt:lpstr>tlOutputCh3Analytic2Chart4XValue12</vt:lpstr>
      <vt:lpstr>tlOutputCh3Analytic2Chart4XValue2</vt:lpstr>
      <vt:lpstr>tlOutputCh3Analytic2Chart4XValue3</vt:lpstr>
      <vt:lpstr>tlOutputCh3Analytic2Chart4XValue4</vt:lpstr>
      <vt:lpstr>tlOutputCh3Analytic2Chart4XValue5</vt:lpstr>
      <vt:lpstr>tlOutputCh3Analytic2Chart4XValue6</vt:lpstr>
      <vt:lpstr>tlOutputCh3Analytic2Chart4XValue7</vt:lpstr>
      <vt:lpstr>tlOutputCh3Analytic2Chart4XValue8</vt:lpstr>
      <vt:lpstr>tlOutputCh3Analytic2Chart4XValue9</vt:lpstr>
      <vt:lpstr>tlOutputCh3Analytic2Chart4YaxisTitle</vt:lpstr>
      <vt:lpstr>tlOutputCh3Analytic2Chart4YValue1</vt:lpstr>
      <vt:lpstr>tlOutputCh3Analytic2Chart4YValue10</vt:lpstr>
      <vt:lpstr>tlOutputCh3Analytic2Chart4YValue11</vt:lpstr>
      <vt:lpstr>tlOutputCh3Analytic2Chart4YValue12</vt:lpstr>
      <vt:lpstr>tlOutputCh3Analytic2Chart4YValue2</vt:lpstr>
      <vt:lpstr>tlOutputCh3Analytic2Chart4YValue3</vt:lpstr>
      <vt:lpstr>tlOutputCh3Analytic2Chart4YValue4</vt:lpstr>
      <vt:lpstr>tlOutputCh3Analytic2Chart4YValue5</vt:lpstr>
      <vt:lpstr>tlOutputCh3Analytic2Chart4YValue6</vt:lpstr>
      <vt:lpstr>tlOutputCh3Analytic2Chart4YValue7</vt:lpstr>
      <vt:lpstr>tlOutputCh3Analytic2Chart4YValue8</vt:lpstr>
      <vt:lpstr>tlOutputCh3Analytic2Chart4YValue9</vt:lpstr>
      <vt:lpstr>tlOutputCh3Analytic2Chart5BubbleSize1</vt:lpstr>
      <vt:lpstr>tlOutputCh3Analytic2Chart5BubbleSize10</vt:lpstr>
      <vt:lpstr>tlOutputCh3Analytic2Chart5BubbleSize11</vt:lpstr>
      <vt:lpstr>tlOutputCh3Analytic2Chart5BubbleSize12</vt:lpstr>
      <vt:lpstr>tlOutputCh3Analytic2Chart5BubbleSize2</vt:lpstr>
      <vt:lpstr>tlOutputCh3Analytic2Chart5BubbleSize3</vt:lpstr>
      <vt:lpstr>tlOutputCh3Analytic2Chart5BubbleSize4</vt:lpstr>
      <vt:lpstr>tlOutputCh3Analytic2Chart5BubbleSize5</vt:lpstr>
      <vt:lpstr>tlOutputCh3Analytic2Chart5BubbleSize6</vt:lpstr>
      <vt:lpstr>tlOutputCh3Analytic2Chart5BubbleSize7</vt:lpstr>
      <vt:lpstr>tlOutputCh3Analytic2Chart5BubbleSize8</vt:lpstr>
      <vt:lpstr>tlOutputCh3Analytic2Chart5BubbleSize9</vt:lpstr>
      <vt:lpstr>tlOutputCh3Analytic2Chart5Heading</vt:lpstr>
      <vt:lpstr>tlOutputCh3Analytic2Chart5Label1</vt:lpstr>
      <vt:lpstr>tlOutputCh3Analytic2Chart5Label10</vt:lpstr>
      <vt:lpstr>tlOutputCh3Analytic2Chart5Label11</vt:lpstr>
      <vt:lpstr>tlOutputCh3Analytic2Chart5Label12</vt:lpstr>
      <vt:lpstr>tlOutputCh3Analytic2Chart5Label2</vt:lpstr>
      <vt:lpstr>tlOutputCh3Analytic2Chart5Label3</vt:lpstr>
      <vt:lpstr>tlOutputCh3Analytic2Chart5Label4</vt:lpstr>
      <vt:lpstr>tlOutputCh3Analytic2Chart5Label5</vt:lpstr>
      <vt:lpstr>tlOutputCh3Analytic2Chart5Label6</vt:lpstr>
      <vt:lpstr>tlOutputCh3Analytic2Chart5Label7</vt:lpstr>
      <vt:lpstr>tlOutputCh3Analytic2Chart5Label8</vt:lpstr>
      <vt:lpstr>tlOutputCh3Analytic2Chart5Label9</vt:lpstr>
      <vt:lpstr>tlOutputCh3Analytic2Chart5Type1</vt:lpstr>
      <vt:lpstr>tlOutputCh3Analytic2Chart5Type2</vt:lpstr>
      <vt:lpstr>tlOutputCh3Analytic2Chart5Type3</vt:lpstr>
      <vt:lpstr>tlOutputCh3Analytic2Chart5Type4</vt:lpstr>
      <vt:lpstr>tlOutputCh3Analytic2Chart5XaxisTitle</vt:lpstr>
      <vt:lpstr>tlOutputCh3Analytic2Chart5XValue1</vt:lpstr>
      <vt:lpstr>tlOutputCh3Analytic2Chart5XValue10</vt:lpstr>
      <vt:lpstr>tlOutputCh3Analytic2Chart5XValue11</vt:lpstr>
      <vt:lpstr>tlOutputCh3Analytic2Chart5XValue12</vt:lpstr>
      <vt:lpstr>tlOutputCh3Analytic2Chart5XValue2</vt:lpstr>
      <vt:lpstr>tlOutputCh3Analytic2Chart5XValue3</vt:lpstr>
      <vt:lpstr>tlOutputCh3Analytic2Chart5XValue4</vt:lpstr>
      <vt:lpstr>tlOutputCh3Analytic2Chart5XValue5</vt:lpstr>
      <vt:lpstr>tlOutputCh3Analytic2Chart5XValue6</vt:lpstr>
      <vt:lpstr>tlOutputCh3Analytic2Chart5XValue7</vt:lpstr>
      <vt:lpstr>tlOutputCh3Analytic2Chart5XValue8</vt:lpstr>
      <vt:lpstr>tlOutputCh3Analytic2Chart5XValue9</vt:lpstr>
      <vt:lpstr>tlOutputCh3Analytic2Chart5YaxisTitle</vt:lpstr>
      <vt:lpstr>tlOutputCh3Analytic2Chart5YValue1</vt:lpstr>
      <vt:lpstr>tlOutputCh3Analytic2Chart5YValue10</vt:lpstr>
      <vt:lpstr>tlOutputCh3Analytic2Chart5YValue11</vt:lpstr>
      <vt:lpstr>tlOutputCh3Analytic2Chart5YValue12</vt:lpstr>
      <vt:lpstr>tlOutputCh3Analytic2Chart5YValue2</vt:lpstr>
      <vt:lpstr>tlOutputCh3Analytic2Chart5YValue3</vt:lpstr>
      <vt:lpstr>tlOutputCh3Analytic2Chart5YValue4</vt:lpstr>
      <vt:lpstr>tlOutputCh3Analytic2Chart5YValue5</vt:lpstr>
      <vt:lpstr>tlOutputCh3Analytic2Chart5YValue6</vt:lpstr>
      <vt:lpstr>tlOutputCh3Analytic2Chart5YValue7</vt:lpstr>
      <vt:lpstr>tlOutputCh3Analytic2Chart5YValue8</vt:lpstr>
      <vt:lpstr>tlOutputCh3Analytic2Chart5YValue9</vt:lpstr>
      <vt:lpstr>tlOutputCh3AnalyticsEmp1Req</vt:lpstr>
      <vt:lpstr>tlOutputCh3AnalyticsExp</vt:lpstr>
      <vt:lpstr>tlOutputCh3CustProfitTot</vt:lpstr>
      <vt:lpstr>tlOutputCh3Emp1GaugeMax</vt:lpstr>
      <vt:lpstr>tlOutputCh3Emp1GaugeMin</vt:lpstr>
      <vt:lpstr>tlOutputCh3Emp1GaugeValue</vt:lpstr>
      <vt:lpstr>tlOutputCh3GPaLTot</vt:lpstr>
      <vt:lpstr>tlOutputCh3MarketDemandTot</vt:lpstr>
      <vt:lpstr>tlOutputCh3MarkPlanEmp1Req</vt:lpstr>
      <vt:lpstr>tlOutputCh3MarkPlanExp</vt:lpstr>
      <vt:lpstr>tlOutputCh3NetSalesTot</vt:lpstr>
      <vt:lpstr>tlOutputCh3NewSlotAvailGaugeMax</vt:lpstr>
      <vt:lpstr>tlOutputCh3NewSlotAvailGaugeMin</vt:lpstr>
      <vt:lpstr>tlOutputCh3NewSlotAvailGaugeValue</vt:lpstr>
      <vt:lpstr>tlOutputCh3Prod1Close</vt:lpstr>
      <vt:lpstr>tlOutputCh3Prod1CustProfit</vt:lpstr>
      <vt:lpstr>tlOutputCh3Prod1CustProfitTot</vt:lpstr>
      <vt:lpstr>tlOutputCh3Prod1GPaL</vt:lpstr>
      <vt:lpstr>tlOutputCh3Prod1GPaLpBrandCogs</vt:lpstr>
      <vt:lpstr>tlOutputCh3Prod1GPaLpGPaL</vt:lpstr>
      <vt:lpstr>tlOutputCh3Prod1GPaLpGPaLmar</vt:lpstr>
      <vt:lpstr>tlOutputCh3Prod1GPaLpLog</vt:lpstr>
      <vt:lpstr>tlOutputCh3Prod1MktSize</vt:lpstr>
      <vt:lpstr>tlOutputCh3Prod1NetSales</vt:lpstr>
      <vt:lpstr>tlOutputCh3Prod1NewSlotEmp1</vt:lpstr>
      <vt:lpstr>tlOutputCh3Prod1NewSlotExp</vt:lpstr>
      <vt:lpstr>tlOutputCh3Prod1Open</vt:lpstr>
      <vt:lpstr>tlOutputCh3Prod1PromoEmp1</vt:lpstr>
      <vt:lpstr>tlOutputCh3Prod1PromoExp</vt:lpstr>
      <vt:lpstr>tloutputCh3Prod1Slot1AvgPromoDis</vt:lpstr>
      <vt:lpstr>tloutputCh3Prod1Slot1AvgPromoPrice</vt:lpstr>
      <vt:lpstr>tloutputCh3Prod1Slot1AvgSellPrice</vt:lpstr>
      <vt:lpstr>tloutputCh3Prod1Slot1CM</vt:lpstr>
      <vt:lpstr>tlOutputCh3Prod1Slot1CustProfitTot</vt:lpstr>
      <vt:lpstr>tloutputCh3Prod1Slot1RSPHigh</vt:lpstr>
      <vt:lpstr>tloutputCh3Prod1Slot1RSPLow</vt:lpstr>
      <vt:lpstr>tlOutputCh3Prod1Slot1SP</vt:lpstr>
      <vt:lpstr>tloutputCh3Prod1Slot2AvgPromoDis</vt:lpstr>
      <vt:lpstr>tloutputCh3Prod1Slot2AvgPromoPrice</vt:lpstr>
      <vt:lpstr>tloutputCh3Prod1Slot2AvgSellPrice</vt:lpstr>
      <vt:lpstr>tloutputCh3Prod1Slot2CM</vt:lpstr>
      <vt:lpstr>tlOutputCh3Prod1Slot2CustProfitTot</vt:lpstr>
      <vt:lpstr>tloutputCh3Prod1Slot2RSPHigh</vt:lpstr>
      <vt:lpstr>tloutputCh3Prod1Slot2RSPLow</vt:lpstr>
      <vt:lpstr>tlOutputCh3Prod1Slot2SP</vt:lpstr>
      <vt:lpstr>tloutputCh3Prod1Slot3AvgPromoDis</vt:lpstr>
      <vt:lpstr>tloutputCh3Prod1Slot3AvgPromoPrice</vt:lpstr>
      <vt:lpstr>tloutputCh3Prod1Slot3AvgSellPrice</vt:lpstr>
      <vt:lpstr>tloutputCh3Prod1Slot3CM</vt:lpstr>
      <vt:lpstr>tlOutputCh3Prod1Slot3CustProfitTot</vt:lpstr>
      <vt:lpstr>tloutputCh3Prod1Slot3RSPHigh</vt:lpstr>
      <vt:lpstr>tloutputCh3Prod1Slot3RSPLow</vt:lpstr>
      <vt:lpstr>tlOutputCh3Prod1Slot3SP</vt:lpstr>
      <vt:lpstr>tlOutputCh3Prod1VolForcast</vt:lpstr>
      <vt:lpstr>tlOutputCh3Prod2Close</vt:lpstr>
      <vt:lpstr>tlOutputCh3Prod2CustProfit</vt:lpstr>
      <vt:lpstr>tlOutputCh3Prod2CustProfitTot</vt:lpstr>
      <vt:lpstr>tlOutputCh3Prod2GPaL</vt:lpstr>
      <vt:lpstr>tlOutputCh3Prod2GPaLpBrandCogs</vt:lpstr>
      <vt:lpstr>tlOutputCh3Prod2GPaLpGPaL</vt:lpstr>
      <vt:lpstr>tlOutputCh3Prod2GPaLpGPaLmar</vt:lpstr>
      <vt:lpstr>tlOutputCh3Prod2GPaLpLog</vt:lpstr>
      <vt:lpstr>tlOutputCh3Prod2n3MktSize</vt:lpstr>
      <vt:lpstr>tlOutputCh3Prod2NetSales</vt:lpstr>
      <vt:lpstr>tlOutputCh3Prod2NewSlotEmp1</vt:lpstr>
      <vt:lpstr>tlOutputCh3Prod2NewSlotExp</vt:lpstr>
      <vt:lpstr>tlOutputCh3Prod2Open</vt:lpstr>
      <vt:lpstr>tlOutputCh3Prod2PromoEmp1</vt:lpstr>
      <vt:lpstr>tlOutputCh3Prod2PromoExp</vt:lpstr>
      <vt:lpstr>tloutputCh3Prod2Slot1AvgPromoDis</vt:lpstr>
      <vt:lpstr>tloutputCh3Prod2Slot1AvgPromoPrice</vt:lpstr>
      <vt:lpstr>tloutputCh3Prod2Slot1AvgSellPrice</vt:lpstr>
      <vt:lpstr>tloutputCh3Prod2Slot1CM</vt:lpstr>
      <vt:lpstr>tlOutputCh3Prod2Slot1CustProfitTot</vt:lpstr>
      <vt:lpstr>tloutputCh3Prod2Slot1RSPHigh</vt:lpstr>
      <vt:lpstr>tloutputCh3Prod2Slot1RSPLow</vt:lpstr>
      <vt:lpstr>tlOutputCh3Prod2Slot1SP</vt:lpstr>
      <vt:lpstr>tloutputCh3Prod2Slot2AvgPromoDis</vt:lpstr>
      <vt:lpstr>tloutputCh3Prod2Slot2AvgPromoPrice</vt:lpstr>
      <vt:lpstr>tloutputCh3Prod2Slot2AvgSellPrice</vt:lpstr>
      <vt:lpstr>tloutputCh3Prod2Slot2CM</vt:lpstr>
      <vt:lpstr>tlOutputCh3Prod2Slot2CustProfitTot</vt:lpstr>
      <vt:lpstr>tloutputCh3Prod2Slot2RSPHigh</vt:lpstr>
      <vt:lpstr>tloutputCh3Prod2Slot2RSPLow</vt:lpstr>
      <vt:lpstr>tlOutputCh3Prod2Slot2SP</vt:lpstr>
      <vt:lpstr>tloutputCh3Prod2Slot3AvgPromoDis</vt:lpstr>
      <vt:lpstr>tloutputCh3Prod2Slot3AvgPromoPrice</vt:lpstr>
      <vt:lpstr>tloutputCh3Prod2Slot3AvgSellPrice</vt:lpstr>
      <vt:lpstr>tloutputCh3Prod2Slot3CM</vt:lpstr>
      <vt:lpstr>tlOutputCh3Prod2Slot3CustProfitTot</vt:lpstr>
      <vt:lpstr>tloutputCh3Prod2Slot3RSPHigh</vt:lpstr>
      <vt:lpstr>tloutputCh3Prod2Slot3RSPLow</vt:lpstr>
      <vt:lpstr>tlOutputCh3Prod2Slot3SP</vt:lpstr>
      <vt:lpstr>tlOutputCh3Prod2VolForcast</vt:lpstr>
      <vt:lpstr>tlOutputCh3Prod3Close</vt:lpstr>
      <vt:lpstr>tlOutputCh3Prod3CustProfit</vt:lpstr>
      <vt:lpstr>tlOutputCh3Prod3CustProfitTot</vt:lpstr>
      <vt:lpstr>tlOutputCh3Prod3GPaL</vt:lpstr>
      <vt:lpstr>tlOutputCh3Prod3GPaLpBrandCogs</vt:lpstr>
      <vt:lpstr>tlOutputCh3Prod3GPaLpGPaL</vt:lpstr>
      <vt:lpstr>tlOutputCh3Prod3GPaLpGPaLmar</vt:lpstr>
      <vt:lpstr>tlOutputCh3Prod3GPaLpLog</vt:lpstr>
      <vt:lpstr>tlOutputCh3Prod3NetSales</vt:lpstr>
      <vt:lpstr>tlOutputCh3Prod3NewSlotEmp1</vt:lpstr>
      <vt:lpstr>tlOutputCh3Prod3NewSlotExp</vt:lpstr>
      <vt:lpstr>tlOutputCh3Prod3Open</vt:lpstr>
      <vt:lpstr>tlOutputCh3Prod3PromoEmp1</vt:lpstr>
      <vt:lpstr>tlOutputCh3Prod3PromoExp</vt:lpstr>
      <vt:lpstr>tloutputCh3Prod3Slot1AvgPromoDis</vt:lpstr>
      <vt:lpstr>tloutputCh3Prod3Slot1AvgPromoPrice</vt:lpstr>
      <vt:lpstr>tloutputCh3Prod3Slot1AvgSellPrice</vt:lpstr>
      <vt:lpstr>tloutputCh3Prod3Slot1CM</vt:lpstr>
      <vt:lpstr>tlOutputCh3Prod3Slot1CustProfitTot</vt:lpstr>
      <vt:lpstr>tloutputCh3Prod3Slot1RSPHigh</vt:lpstr>
      <vt:lpstr>tloutputCh3Prod3Slot1RSPLow</vt:lpstr>
      <vt:lpstr>tlOutputCh3Prod3Slot1SP</vt:lpstr>
      <vt:lpstr>tloutputCh3Prod3Slot2AvgPromoDis</vt:lpstr>
      <vt:lpstr>tloutputCh3Prod3Slot2AvgPromoPrice</vt:lpstr>
      <vt:lpstr>tloutputCh3Prod3Slot2AvgSellPrice</vt:lpstr>
      <vt:lpstr>tloutputCh3Prod3Slot2CM</vt:lpstr>
      <vt:lpstr>tlOutputCh3Prod3Slot2CustProfitTot</vt:lpstr>
      <vt:lpstr>tloutputCh3Prod3Slot2RSPHigh</vt:lpstr>
      <vt:lpstr>tloutputCh3Prod3Slot2RSPLow</vt:lpstr>
      <vt:lpstr>tlOutputCh3Prod3Slot2SP</vt:lpstr>
      <vt:lpstr>tloutputCh3Prod3Slot3AvgPromoDis</vt:lpstr>
      <vt:lpstr>tloutputCh3Prod3Slot3AvgPromoPrice</vt:lpstr>
      <vt:lpstr>tloutputCh3Prod3Slot3AvgSellPrice</vt:lpstr>
      <vt:lpstr>tloutputCh3Prod3Slot3CM</vt:lpstr>
      <vt:lpstr>tlOutputCh3Prod3Slot3CustProfitTot</vt:lpstr>
      <vt:lpstr>tloutputCh3Prod3Slot3RSPHigh</vt:lpstr>
      <vt:lpstr>tloutputCh3Prod3Slot3RSPLow</vt:lpstr>
      <vt:lpstr>tlOutputCh3Prod3Slot3SP</vt:lpstr>
      <vt:lpstr>tlOutputCh3Prod3VolForcast</vt:lpstr>
      <vt:lpstr>tlOutputCh3Prod4Close</vt:lpstr>
      <vt:lpstr>tlOutputCh3Prod4CustProfit</vt:lpstr>
      <vt:lpstr>tlOutputCh3Prod4CustProfitTot</vt:lpstr>
      <vt:lpstr>tlOutputCh3Prod4GPaL</vt:lpstr>
      <vt:lpstr>tlOutputCh3Prod4GPaLpBrandCogs</vt:lpstr>
      <vt:lpstr>tlOutputCh3Prod4GPaLpGPaL</vt:lpstr>
      <vt:lpstr>tlOutputCh3Prod4GPaLpGPaLmar</vt:lpstr>
      <vt:lpstr>tlOutputCh3Prod4GPaLpLog</vt:lpstr>
      <vt:lpstr>tlOutputCh3Prod4MktSize</vt:lpstr>
      <vt:lpstr>tlOutputCh3Prod4NetSales</vt:lpstr>
      <vt:lpstr>tlOutputCh3Prod4NewSlotEmp1</vt:lpstr>
      <vt:lpstr>tlOutputCh3Prod4NewSlotExp</vt:lpstr>
      <vt:lpstr>tlOutputCh3Prod4Open</vt:lpstr>
      <vt:lpstr>tlOutputCh3Prod4PromoEmp1</vt:lpstr>
      <vt:lpstr>tlOutputCh3Prod4PromoExp</vt:lpstr>
      <vt:lpstr>tloutputCh3Prod4Slot1AvgPromoDis</vt:lpstr>
      <vt:lpstr>tloutputCh3Prod4Slot1AvgPromoPrice</vt:lpstr>
      <vt:lpstr>tloutputCh3Prod4Slot1AvgSellPrice</vt:lpstr>
      <vt:lpstr>tloutputCh3Prod4Slot1CM</vt:lpstr>
      <vt:lpstr>tlOutputCh3Prod4Slot1CustProfitTot</vt:lpstr>
      <vt:lpstr>tloutputCh3Prod4Slot1RSPHigh</vt:lpstr>
      <vt:lpstr>tloutputCh3Prod4Slot1RSPLow</vt:lpstr>
      <vt:lpstr>tlOutputCh3Prod4Slot1SP</vt:lpstr>
      <vt:lpstr>tloutputCh3Prod4Slot2AvgPromoDis</vt:lpstr>
      <vt:lpstr>tloutputCh3Prod4Slot2AvgPromoPrice</vt:lpstr>
      <vt:lpstr>tloutputCh3Prod4Slot2AvgSellPrice</vt:lpstr>
      <vt:lpstr>tloutputCh3Prod4Slot2CM</vt:lpstr>
      <vt:lpstr>tlOutputCh3Prod4Slot2CustProfitTot</vt:lpstr>
      <vt:lpstr>tloutputCh3Prod4Slot2RSPHigh</vt:lpstr>
      <vt:lpstr>tloutputCh3Prod4Slot2RSPLow</vt:lpstr>
      <vt:lpstr>tlOutputCh3Prod4Slot2SP</vt:lpstr>
      <vt:lpstr>tloutputCh3Prod4Slot3AvgPromoDis</vt:lpstr>
      <vt:lpstr>tloutputCh3Prod4Slot3AvgPromoPrice</vt:lpstr>
      <vt:lpstr>tloutputCh3Prod4Slot3AvgSellPrice</vt:lpstr>
      <vt:lpstr>tloutputCh3Prod4Slot3CM</vt:lpstr>
      <vt:lpstr>tlOutputCh3Prod4Slot3CustProfitTot</vt:lpstr>
      <vt:lpstr>tloutputCh3Prod4Slot3RSPHigh</vt:lpstr>
      <vt:lpstr>tloutputCh3Prod4Slot3RSPLow</vt:lpstr>
      <vt:lpstr>tlOutputCh3Prod4Slot3SP</vt:lpstr>
      <vt:lpstr>tlOutputCh3Prod4VolForcast</vt:lpstr>
      <vt:lpstr>tlOutputCh3PromoWeeksAvailGaugeMax</vt:lpstr>
      <vt:lpstr>tlOutputCh3PromoWeeksAvailGaugeMin</vt:lpstr>
      <vt:lpstr>tlOutputCh3PromoWeeksAvailGaugeValue</vt:lpstr>
      <vt:lpstr>tlOutputCh3TTCondition</vt:lpstr>
      <vt:lpstr>tlOutputCh3TTHeading</vt:lpstr>
      <vt:lpstr>tlOutputCh3TTUnCondition</vt:lpstr>
      <vt:lpstr>tlOutputCh3ValDriv1Emp1</vt:lpstr>
      <vt:lpstr>tlOutputCh3ValDriv1Exp</vt:lpstr>
      <vt:lpstr>tlOutputCh3ValDriv2Emp1</vt:lpstr>
      <vt:lpstr>tlOutputCh3ValDriv2Exp</vt:lpstr>
      <vt:lpstr>tlOutputCh3ValDriv3Emp1</vt:lpstr>
      <vt:lpstr>tlOutputCh3ValDriv3Exp</vt:lpstr>
      <vt:lpstr>tlOutputCh3ValDriv4Emp1</vt:lpstr>
      <vt:lpstr>tlOutputCh3ValDriv4Exp</vt:lpstr>
      <vt:lpstr>tlOutputCh3ValDriv5Emp1</vt:lpstr>
      <vt:lpstr>tlOutputCh3ValDriv5Exp</vt:lpstr>
      <vt:lpstr>tlOutputCh3ValDrivCondEmp1</vt:lpstr>
      <vt:lpstr>tlOutputCh3ValDrivCondExp</vt:lpstr>
      <vt:lpstr>tlOutputCh3ValDrivEmp1Tot</vt:lpstr>
      <vt:lpstr>tlOutputCh3ValDrivExpTot</vt:lpstr>
      <vt:lpstr>tlOutputCh3VolForecastTot</vt:lpstr>
      <vt:lpstr>tlOutputCh3VtCp</vt:lpstr>
      <vt:lpstr>tlOutputCh3VtDeprExp</vt:lpstr>
      <vt:lpstr>tlOutputCh3VtDeprExpPct</vt:lpstr>
      <vt:lpstr>tlOutputCh3VtDeprExpPctPVol</vt:lpstr>
      <vt:lpstr>tlOutputCh3VtDeprExpPVol</vt:lpstr>
      <vt:lpstr>tlOutputCh3VtDiscounts</vt:lpstr>
      <vt:lpstr>tlOutputCh3VtDiscountsPct</vt:lpstr>
      <vt:lpstr>tlOutputCh3VtDiscountsPctPVol</vt:lpstr>
      <vt:lpstr>tlOutputCh3VtDiscountsPVol</vt:lpstr>
      <vt:lpstr>tlOutputCh3VtExcise</vt:lpstr>
      <vt:lpstr>tlOutputCh3VtExcisePct</vt:lpstr>
      <vt:lpstr>tlOutputCh3VtExcisePctPVol</vt:lpstr>
      <vt:lpstr>tlOutputCh3VtExcisePVol</vt:lpstr>
      <vt:lpstr>tlOutputCh3VtGP</vt:lpstr>
      <vt:lpstr>tlOutputCh3VtGPaL</vt:lpstr>
      <vt:lpstr>tlOutputCh3VtGPaLPct</vt:lpstr>
      <vt:lpstr>tlOutputCh3VtGPaLPctPVol</vt:lpstr>
      <vt:lpstr>tlOutputCh3VtGPaLPVol</vt:lpstr>
      <vt:lpstr>tlOutputCh3VtGPPct</vt:lpstr>
      <vt:lpstr>tlOutputCh3VtGPPctPVol</vt:lpstr>
      <vt:lpstr>tlOutputCh3VtGPPVol</vt:lpstr>
      <vt:lpstr>tlOutputCh3VtGrossSales</vt:lpstr>
      <vt:lpstr>tlOutputCh3VtGrossSalesPct</vt:lpstr>
      <vt:lpstr>tlOutputCh3VtGrossSalesPctPVol</vt:lpstr>
      <vt:lpstr>tlOutputCh3VtGrossSalesPVol</vt:lpstr>
      <vt:lpstr>tlOutputCh3VtLabourExp</vt:lpstr>
      <vt:lpstr>tlOutputCh3VtLabourExpPct</vt:lpstr>
      <vt:lpstr>tlOutputCh3VtLabourExpPctPVol</vt:lpstr>
      <vt:lpstr>tlOutputCh3VtLabourExpPVol</vt:lpstr>
      <vt:lpstr>tlOutputCh3VtLogExp</vt:lpstr>
      <vt:lpstr>tlOutputCh3VtLogExpPct</vt:lpstr>
      <vt:lpstr>tlOutputCh3VtLogExpPctPVol</vt:lpstr>
      <vt:lpstr>tlOutputCh3VtLogExpPVol</vt:lpstr>
      <vt:lpstr>tlOutputCh3VtMachExp</vt:lpstr>
      <vt:lpstr>tlOutputCh3VtMachExpPct</vt:lpstr>
      <vt:lpstr>tlOutputCh3VtMachExpPctPVol</vt:lpstr>
      <vt:lpstr>tlOutputCh3VtMachExpPVol</vt:lpstr>
      <vt:lpstr>tlOutputCh3VtMatExp</vt:lpstr>
      <vt:lpstr>tlOutputCh3VtMatExpPct</vt:lpstr>
      <vt:lpstr>tlOutputCh3VtMatExpPctPVol</vt:lpstr>
      <vt:lpstr>tlOutputCh3VtMatExpPVol</vt:lpstr>
      <vt:lpstr>tlOutputCh3Vtstaple1</vt:lpstr>
      <vt:lpstr>tlOutputCh3Vtstaple2</vt:lpstr>
      <vt:lpstr>tlOutputCh3Vtstaple3</vt:lpstr>
      <vt:lpstr>tlOutputCh3Vtstaple4</vt:lpstr>
      <vt:lpstr>tlOutputCh3VtTotalCOGs</vt:lpstr>
      <vt:lpstr>tlOutputCh3VtTotalCOGsPct</vt:lpstr>
      <vt:lpstr>tlOutputCh3VtTotalCOGsPctPVol</vt:lpstr>
      <vt:lpstr>tlOutputCh3VtTotalCOGsPVol</vt:lpstr>
      <vt:lpstr>tlOutputCh3VtTotalRev</vt:lpstr>
      <vt:lpstr>tlOutputCh3VtTotalRevPct</vt:lpstr>
      <vt:lpstr>tlOutputCh3VtTotalRevPctPVol</vt:lpstr>
      <vt:lpstr>tlOutputCh3VtTotalRevPVol</vt:lpstr>
      <vt:lpstr>tlOutputCh3VtTurn</vt:lpstr>
      <vt:lpstr>tlOutputCh3VtTurnPct</vt:lpstr>
      <vt:lpstr>tlOutputCh3VtTurnPctPVol</vt:lpstr>
      <vt:lpstr>tlOutputCh3VtTurnPVol</vt:lpstr>
      <vt:lpstr>tlOutputCh3VtUnitsSold</vt:lpstr>
      <vt:lpstr>tlOutputCh3VtVolSold</vt:lpstr>
      <vt:lpstr>tlOutputCh3VtWd</vt:lpstr>
      <vt:lpstr>tlOutputCh3WaterfallDelta1</vt:lpstr>
      <vt:lpstr>tlOutputCh3WaterfallDelta2</vt:lpstr>
      <vt:lpstr>tlOutputCh3WaterfallDelta3</vt:lpstr>
      <vt:lpstr>tlOutputCh3WaterfallDelta4</vt:lpstr>
      <vt:lpstr>tlOutputCh3WaterfallEnd</vt:lpstr>
      <vt:lpstr>tlOutputCh3WaterfallInvisible1</vt:lpstr>
      <vt:lpstr>tlOutputCh3WaterfallInvisible2</vt:lpstr>
      <vt:lpstr>tlOutputCh3WaterfallInvisible3</vt:lpstr>
      <vt:lpstr>tlOutputCh3WaterfallInvisible4</vt:lpstr>
      <vt:lpstr>tlOutputCh3WaterfallInvisible5</vt:lpstr>
      <vt:lpstr>tlOutputCh3WaterfallInvisible6</vt:lpstr>
      <vt:lpstr>tlOutputCh3WaterfallStart</vt:lpstr>
      <vt:lpstr>tlOutputCh3WaterfallVisible1</vt:lpstr>
      <vt:lpstr>tlOutputCh3WaterfallVisible2</vt:lpstr>
      <vt:lpstr>tlOutputCh3WaterfallVisible3</vt:lpstr>
      <vt:lpstr>tlOutputCh3WaterfallVisible4</vt:lpstr>
      <vt:lpstr>tlOutputCh3WaterfallVisible5</vt:lpstr>
      <vt:lpstr>tlOutputCh3WaterfallVisible6</vt:lpstr>
      <vt:lpstr>tlOutputCh3WaterfallxLabel1</vt:lpstr>
      <vt:lpstr>tlOutputCh3WaterfallxLabel2</vt:lpstr>
      <vt:lpstr>tlOutputCh3WaterfallxLabel3</vt:lpstr>
      <vt:lpstr>tlOutputCh3WaterfallxLabel4</vt:lpstr>
      <vt:lpstr>tlOutputCh3WaterfallxLabel5</vt:lpstr>
      <vt:lpstr>tlOutputCh3WaterfallxLabel6</vt:lpstr>
      <vt:lpstr>tlOutputCh4</vt:lpstr>
      <vt:lpstr>tlOutputCh4Analytic1Chart1BubbleSize1</vt:lpstr>
      <vt:lpstr>tlOutputCh4Analytic1Chart1BubbleSize10</vt:lpstr>
      <vt:lpstr>tlOutputCh4Analytic1Chart1BubbleSize11</vt:lpstr>
      <vt:lpstr>tlOutputCh4Analytic1Chart1BubbleSize12</vt:lpstr>
      <vt:lpstr>tlOutputCh4Analytic1Chart1BubbleSize2</vt:lpstr>
      <vt:lpstr>tlOutputCh4Analytic1Chart1BubbleSize3</vt:lpstr>
      <vt:lpstr>tlOutputCh4Analytic1Chart1BubbleSize4</vt:lpstr>
      <vt:lpstr>tlOutputCh4Analytic1Chart1BubbleSize5</vt:lpstr>
      <vt:lpstr>tlOutputCh4Analytic1Chart1BubbleSize6</vt:lpstr>
      <vt:lpstr>tlOutputCh4Analytic1Chart1BubbleSize7</vt:lpstr>
      <vt:lpstr>tlOutputCh4Analytic1Chart1BubbleSize8</vt:lpstr>
      <vt:lpstr>tlOutputCh4Analytic1Chart1BubbleSize9</vt:lpstr>
      <vt:lpstr>tlOutputCh4Analytic1Chart1Heading</vt:lpstr>
      <vt:lpstr>tlOutputCh4Analytic1Chart1Label1</vt:lpstr>
      <vt:lpstr>tlOutputCh4Analytic1Chart1Label10</vt:lpstr>
      <vt:lpstr>tlOutputCh4Analytic1Chart1Label11</vt:lpstr>
      <vt:lpstr>tlOutputCh4Analytic1Chart1Label12</vt:lpstr>
      <vt:lpstr>tlOutputCh4Analytic1Chart1Label2</vt:lpstr>
      <vt:lpstr>tlOutputCh4Analytic1Chart1Label3</vt:lpstr>
      <vt:lpstr>tlOutputCh4Analytic1Chart1Label4</vt:lpstr>
      <vt:lpstr>tlOutputCh4Analytic1Chart1Label5</vt:lpstr>
      <vt:lpstr>tlOutputCh4Analytic1Chart1Label6</vt:lpstr>
      <vt:lpstr>tlOutputCh4Analytic1Chart1Label7</vt:lpstr>
      <vt:lpstr>tlOutputCh4Analytic1Chart1Label8</vt:lpstr>
      <vt:lpstr>tlOutputCh4Analytic1Chart1Label9</vt:lpstr>
      <vt:lpstr>tlOutputCh4Analytic1Chart1Type1</vt:lpstr>
      <vt:lpstr>tlOutputCh4Analytic1Chart1Type2</vt:lpstr>
      <vt:lpstr>tlOutputCh4Analytic1Chart1Type3</vt:lpstr>
      <vt:lpstr>tlOutputCh4Analytic1Chart1Type4</vt:lpstr>
      <vt:lpstr>tlOutputCh4Analytic1Chart1XaxisTitle</vt:lpstr>
      <vt:lpstr>tlOutputCh4Analytic1Chart1XValue1</vt:lpstr>
      <vt:lpstr>tlOutputCh4Analytic1Chart1XValue10</vt:lpstr>
      <vt:lpstr>tlOutputCh4Analytic1Chart1XValue11</vt:lpstr>
      <vt:lpstr>tlOutputCh4Analytic1Chart1XValue12</vt:lpstr>
      <vt:lpstr>tlOutputCh4Analytic1Chart1XValue2</vt:lpstr>
      <vt:lpstr>tlOutputCh4Analytic1Chart1XValue3</vt:lpstr>
      <vt:lpstr>tlOutputCh4Analytic1Chart1XValue4</vt:lpstr>
      <vt:lpstr>tlOutputCh4Analytic1Chart1XValue5</vt:lpstr>
      <vt:lpstr>tlOutputCh4Analytic1Chart1XValue6</vt:lpstr>
      <vt:lpstr>tlOutputCh4Analytic1Chart1XValue7</vt:lpstr>
      <vt:lpstr>tlOutputCh4Analytic1Chart1XValue8</vt:lpstr>
      <vt:lpstr>tlOutputCh4Analytic1Chart1XValue9</vt:lpstr>
      <vt:lpstr>tlOutputCh4Analytic1Chart1YaxisTitle</vt:lpstr>
      <vt:lpstr>tlOutputCh4Analytic1Chart1YValue1</vt:lpstr>
      <vt:lpstr>tlOutputCh4Analytic1Chart1YValue10</vt:lpstr>
      <vt:lpstr>tlOutputCh4Analytic1Chart1YValue11</vt:lpstr>
      <vt:lpstr>tlOutputCh4Analytic1Chart1YValue12</vt:lpstr>
      <vt:lpstr>tlOutputCh4Analytic1Chart1YValue2</vt:lpstr>
      <vt:lpstr>tlOutputCh4Analytic1Chart1YValue3</vt:lpstr>
      <vt:lpstr>tlOutputCh4Analytic1Chart1YValue4</vt:lpstr>
      <vt:lpstr>tlOutputCh4Analytic1Chart1YValue5</vt:lpstr>
      <vt:lpstr>tlOutputCh4Analytic1Chart1YValue6</vt:lpstr>
      <vt:lpstr>tlOutputCh4Analytic1Chart1YValue7</vt:lpstr>
      <vt:lpstr>tlOutputCh4Analytic1Chart1YValue8</vt:lpstr>
      <vt:lpstr>tlOutputCh4Analytic1Chart1YValue9</vt:lpstr>
      <vt:lpstr>tlOutputCh4Analytic1Chart2BubbleSize1</vt:lpstr>
      <vt:lpstr>tlOutputCh4Analytic1Chart2BubbleSize10</vt:lpstr>
      <vt:lpstr>tlOutputCh4Analytic1Chart2BubbleSize11</vt:lpstr>
      <vt:lpstr>tlOutputCh4Analytic1Chart2BubbleSize12</vt:lpstr>
      <vt:lpstr>tlOutputCh4Analytic1Chart2BubbleSize2</vt:lpstr>
      <vt:lpstr>tlOutputCh4Analytic1Chart2BubbleSize3</vt:lpstr>
      <vt:lpstr>tlOutputCh4Analytic1Chart2BubbleSize4</vt:lpstr>
      <vt:lpstr>tlOutputCh4Analytic1Chart2BubbleSize5</vt:lpstr>
      <vt:lpstr>tlOutputCh4Analytic1Chart2BubbleSize6</vt:lpstr>
      <vt:lpstr>tlOutputCh4Analytic1Chart2BubbleSize7</vt:lpstr>
      <vt:lpstr>tlOutputCh4Analytic1Chart2BubbleSize8</vt:lpstr>
      <vt:lpstr>tlOutputCh4Analytic1Chart2BubbleSize9</vt:lpstr>
      <vt:lpstr>tlOutputCh4Analytic1Chart2Heading</vt:lpstr>
      <vt:lpstr>tlOutputCh4Analytic1Chart2Label1</vt:lpstr>
      <vt:lpstr>tlOutputCh4Analytic1Chart2Label10</vt:lpstr>
      <vt:lpstr>tlOutputCh4Analytic1Chart2Label11</vt:lpstr>
      <vt:lpstr>tlOutputCh4Analytic1Chart2Label12</vt:lpstr>
      <vt:lpstr>tlOutputCh4Analytic1Chart2Label2</vt:lpstr>
      <vt:lpstr>tlOutputCh4Analytic1Chart2Label3</vt:lpstr>
      <vt:lpstr>tlOutputCh4Analytic1Chart2Label4</vt:lpstr>
      <vt:lpstr>tlOutputCh4Analytic1Chart2Label5</vt:lpstr>
      <vt:lpstr>tlOutputCh4Analytic1Chart2Label6</vt:lpstr>
      <vt:lpstr>tlOutputCh4Analytic1Chart2Label7</vt:lpstr>
      <vt:lpstr>tlOutputCh4Analytic1Chart2Label8</vt:lpstr>
      <vt:lpstr>tlOutputCh4Analytic1Chart2Label9</vt:lpstr>
      <vt:lpstr>tlOutputCh4Analytic1Chart2Type1</vt:lpstr>
      <vt:lpstr>tlOutputCh4Analytic1Chart2Type2</vt:lpstr>
      <vt:lpstr>tlOutputCh4Analytic1Chart2Type3</vt:lpstr>
      <vt:lpstr>tlOutputCh4Analytic1Chart2Type4</vt:lpstr>
      <vt:lpstr>tlOutputCh4Analytic1Chart2XaxisTitle</vt:lpstr>
      <vt:lpstr>tlOutputCh4Analytic1Chart2XValue1</vt:lpstr>
      <vt:lpstr>tlOutputCh4Analytic1Chart2XValue10</vt:lpstr>
      <vt:lpstr>tlOutputCh4Analytic1Chart2XValue11</vt:lpstr>
      <vt:lpstr>tlOutputCh4Analytic1Chart2XValue12</vt:lpstr>
      <vt:lpstr>tlOutputCh4Analytic1Chart2XValue2</vt:lpstr>
      <vt:lpstr>tlOutputCh4Analytic1Chart2XValue3</vt:lpstr>
      <vt:lpstr>tlOutputCh4Analytic1Chart2XValue4</vt:lpstr>
      <vt:lpstr>tlOutputCh4Analytic1Chart2XValue5</vt:lpstr>
      <vt:lpstr>tlOutputCh4Analytic1Chart2XValue6</vt:lpstr>
      <vt:lpstr>tlOutputCh4Analytic1Chart2XValue7</vt:lpstr>
      <vt:lpstr>tlOutputCh4Analytic1Chart2XValue8</vt:lpstr>
      <vt:lpstr>tlOutputCh4Analytic1Chart2XValue9</vt:lpstr>
      <vt:lpstr>tlOutputCh4Analytic1Chart2YaxisTitle</vt:lpstr>
      <vt:lpstr>tlOutputCh4Analytic1Chart2YValue1</vt:lpstr>
      <vt:lpstr>tlOutputCh4Analytic1Chart2YValue10</vt:lpstr>
      <vt:lpstr>tlOutputCh4Analytic1Chart2YValue11</vt:lpstr>
      <vt:lpstr>tlOutputCh4Analytic1Chart2YValue12</vt:lpstr>
      <vt:lpstr>tlOutputCh4Analytic1Chart2YValue2</vt:lpstr>
      <vt:lpstr>tlOutputCh4Analytic1Chart2YValue3</vt:lpstr>
      <vt:lpstr>tlOutputCh4Analytic1Chart2YValue4</vt:lpstr>
      <vt:lpstr>tlOutputCh4Analytic1Chart2YValue5</vt:lpstr>
      <vt:lpstr>tlOutputCh4Analytic1Chart2YValue6</vt:lpstr>
      <vt:lpstr>tlOutputCh4Analytic1Chart2YValue7</vt:lpstr>
      <vt:lpstr>tlOutputCh4Analytic1Chart2YValue8</vt:lpstr>
      <vt:lpstr>tlOutputCh4Analytic1Chart2YValue9</vt:lpstr>
      <vt:lpstr>tlOutputCh4Analytic1Table1Col1Row1</vt:lpstr>
      <vt:lpstr>tlOutputCh4Analytic1Table1Col1Row2</vt:lpstr>
      <vt:lpstr>tlOutputCh4Analytic1Table1Col1Row3</vt:lpstr>
      <vt:lpstr>tlOutputCh4Analytic1Table1Col1Row4</vt:lpstr>
      <vt:lpstr>tlOutputCh4Analytic1Table1Col1Row5</vt:lpstr>
      <vt:lpstr>tlOutputCh4Analytic1Table1Col1Row6</vt:lpstr>
      <vt:lpstr>tlOutputCh4Analytic1Table1Col1Row7</vt:lpstr>
      <vt:lpstr>tlOutputCh4Analytic1Table1Col1Row8</vt:lpstr>
      <vt:lpstr>tlOutputCh4Analytic1Table1Col2Row1</vt:lpstr>
      <vt:lpstr>tlOutputCh4Analytic1Table1Col2Row2</vt:lpstr>
      <vt:lpstr>tlOutputCh4Analytic1Table1Col2Row3</vt:lpstr>
      <vt:lpstr>tlOutputCh4Analytic1Table1Col2Row4</vt:lpstr>
      <vt:lpstr>tlOutputCh4Analytic1Table1Col2Row5</vt:lpstr>
      <vt:lpstr>tlOutputCh4Analytic1Table1Col2Row6</vt:lpstr>
      <vt:lpstr>tlOutputCh4Analytic1Table1Col2Row7</vt:lpstr>
      <vt:lpstr>tlOutputCh4Analytic1Table1Col2Row8</vt:lpstr>
      <vt:lpstr>tlOutputCh4Analytic1Table1Col3Row1</vt:lpstr>
      <vt:lpstr>tlOutputCh4Analytic1Table1Col3Row2</vt:lpstr>
      <vt:lpstr>tlOutputCh4Analytic1Table1Col3Row3</vt:lpstr>
      <vt:lpstr>tlOutputCh4Analytic1Table1Col3Row4</vt:lpstr>
      <vt:lpstr>tlOutputCh4Analytic1Table1Col3Row5</vt:lpstr>
      <vt:lpstr>tlOutputCh4Analytic1Table1Col3Row6</vt:lpstr>
      <vt:lpstr>tlOutputCh4Analytic1Table1Col3Row7</vt:lpstr>
      <vt:lpstr>tlOutputCh4Analytic1Table1Col3Row8</vt:lpstr>
      <vt:lpstr>tlOutputCh4Analytic1Table1Col4Row1</vt:lpstr>
      <vt:lpstr>tlOutputCh4Analytic1Table1Col4Row2</vt:lpstr>
      <vt:lpstr>tlOutputCh4Analytic1Table1Col4Row3</vt:lpstr>
      <vt:lpstr>tlOutputCh4Analytic1Table1Col4Row4</vt:lpstr>
      <vt:lpstr>tlOutputCh4Analytic1Table1Col4Row5</vt:lpstr>
      <vt:lpstr>tlOutputCh4Analytic1Table1Col4Row6</vt:lpstr>
      <vt:lpstr>tlOutputCh4Analytic1Table1Col4Row7</vt:lpstr>
      <vt:lpstr>tlOutputCh4Analytic1Table1Col4Row8</vt:lpstr>
      <vt:lpstr>tlOutputCh4Analytic1Table1Col5Row1</vt:lpstr>
      <vt:lpstr>tlOutputCh4Analytic1Table1Col5Row2</vt:lpstr>
      <vt:lpstr>tlOutputCh4Analytic1Table1Col5Row3</vt:lpstr>
      <vt:lpstr>tlOutputCh4Analytic1Table1Col5Row4</vt:lpstr>
      <vt:lpstr>tlOutputCh4Analytic1Table1Col5Row5</vt:lpstr>
      <vt:lpstr>tlOutputCh4Analytic1Table1Col5Row6</vt:lpstr>
      <vt:lpstr>tlOutputCh4Analytic1Table1Col5Row7</vt:lpstr>
      <vt:lpstr>tlOutputCh4Analytic1Table1Col5Row8</vt:lpstr>
      <vt:lpstr>tlOutputCh4Analytic1Table1Col6Row1</vt:lpstr>
      <vt:lpstr>tlOutputCh4Analytic1Table1Col6Row2</vt:lpstr>
      <vt:lpstr>tlOutputCh4Analytic1Table1Col6Row3</vt:lpstr>
      <vt:lpstr>tlOutputCh4Analytic1Table1Col6Row4</vt:lpstr>
      <vt:lpstr>tlOutputCh4Analytic1Table1Col6Row5</vt:lpstr>
      <vt:lpstr>tlOutputCh4Analytic1Table1Col6Row6</vt:lpstr>
      <vt:lpstr>tlOutputCh4Analytic1Table1Col6Row7</vt:lpstr>
      <vt:lpstr>tlOutputCh4Analytic1Table1Col6Row8</vt:lpstr>
      <vt:lpstr>tlOutputCh4Analytic1Table1Col7Row1</vt:lpstr>
      <vt:lpstr>tlOutputCh4Analytic1Table1Col7Row2</vt:lpstr>
      <vt:lpstr>tlOutputCh4Analytic1Table1Col7Row3</vt:lpstr>
      <vt:lpstr>tlOutputCh4Analytic1Table1Col7Row4</vt:lpstr>
      <vt:lpstr>tlOutputCh4Analytic1Table1Col7Row5</vt:lpstr>
      <vt:lpstr>tlOutputCh4Analytic1Table1Col7Row6</vt:lpstr>
      <vt:lpstr>tlOutputCh4Analytic1Table1Col7Row7</vt:lpstr>
      <vt:lpstr>tlOutputCh4Analytic1Table1Col7Row8</vt:lpstr>
      <vt:lpstr>tlOutputCh4Analytic1Table1Col8Row1</vt:lpstr>
      <vt:lpstr>tlOutputCh4Analytic1Table1Col8Row2</vt:lpstr>
      <vt:lpstr>tlOutputCh4Analytic1Table1Col8Row3</vt:lpstr>
      <vt:lpstr>tlOutputCh4Analytic1Table1Col8Row4</vt:lpstr>
      <vt:lpstr>tlOutputCh4Analytic1Table1Col8Row5</vt:lpstr>
      <vt:lpstr>tlOutputCh4Analytic1Table1Col8Row6</vt:lpstr>
      <vt:lpstr>tlOutputCh4Analytic1Table1Col8Row7</vt:lpstr>
      <vt:lpstr>tlOutputCh4Analytic1Table1Col8Row8</vt:lpstr>
      <vt:lpstr>tlOutputCh4Analytic2Chart1Heading</vt:lpstr>
      <vt:lpstr>tlOutputCh4Analytic2Chart1Serie10Label1</vt:lpstr>
      <vt:lpstr>tlOutputCh4Analytic2Chart1Serie10Point1</vt:lpstr>
      <vt:lpstr>tlOutputCh4Analytic2Chart1Serie10Point2</vt:lpstr>
      <vt:lpstr>tlOutputCh4Analytic2Chart1Serie10Point3</vt:lpstr>
      <vt:lpstr>tlOutputCh4Analytic2Chart1Serie11Label1</vt:lpstr>
      <vt:lpstr>tlOutputCh4Analytic2Chart1Serie11Point1</vt:lpstr>
      <vt:lpstr>tlOutputCh4Analytic2Chart1Serie11Point2</vt:lpstr>
      <vt:lpstr>tlOutputCh4Analytic2Chart1Serie11Point3</vt:lpstr>
      <vt:lpstr>tlOutputCh4Analytic2Chart1Serie12Label1</vt:lpstr>
      <vt:lpstr>tlOutputCh4Analytic2Chart1Serie12Point1</vt:lpstr>
      <vt:lpstr>tlOutputCh4Analytic2Chart1Serie12Point2</vt:lpstr>
      <vt:lpstr>tlOutputCh4Analytic2Chart1Serie12Point3</vt:lpstr>
      <vt:lpstr>tlOutputCh4Analytic2Chart1Serie1Label1</vt:lpstr>
      <vt:lpstr>tlOutputCh4Analytic2Chart1Serie1Point1</vt:lpstr>
      <vt:lpstr>tlOutputCh4Analytic2Chart1Serie1Point2</vt:lpstr>
      <vt:lpstr>tlOutputCh4Analytic2Chart1Serie1Point3</vt:lpstr>
      <vt:lpstr>tlOutputCh4Analytic2Chart1Serie2Label1</vt:lpstr>
      <vt:lpstr>tlOutputCh4Analytic2Chart1Serie2Point1</vt:lpstr>
      <vt:lpstr>tlOutputCh4Analytic2Chart1Serie2Point2</vt:lpstr>
      <vt:lpstr>tlOutputCh4Analytic2Chart1Serie2Point3</vt:lpstr>
      <vt:lpstr>tlOutputCh4Analytic2Chart1Serie3Label1</vt:lpstr>
      <vt:lpstr>tlOutputCh4Analytic2Chart1Serie3Point1</vt:lpstr>
      <vt:lpstr>tlOutputCh4Analytic2Chart1Serie3Point2</vt:lpstr>
      <vt:lpstr>tlOutputCh4Analytic2Chart1Serie3Point3</vt:lpstr>
      <vt:lpstr>tlOutputCh4Analytic2Chart1Serie4Label1</vt:lpstr>
      <vt:lpstr>tlOutputCh4Analytic2Chart1Serie4Point1</vt:lpstr>
      <vt:lpstr>tlOutputCh4Analytic2Chart1Serie4Point2</vt:lpstr>
      <vt:lpstr>tlOutputCh4Analytic2Chart1Serie4Point3</vt:lpstr>
      <vt:lpstr>tlOutputCh4Analytic2Chart1Serie5Label1</vt:lpstr>
      <vt:lpstr>tlOutputCh4Analytic2Chart1Serie5Point1</vt:lpstr>
      <vt:lpstr>tlOutputCh4Analytic2Chart1Serie5Point2</vt:lpstr>
      <vt:lpstr>tlOutputCh4Analytic2Chart1Serie5Point3</vt:lpstr>
      <vt:lpstr>tlOutputCh4Analytic2Chart1Serie6Label1</vt:lpstr>
      <vt:lpstr>tlOutputCh4Analytic2Chart1Serie6Point1</vt:lpstr>
      <vt:lpstr>tlOutputCh4Analytic2Chart1Serie6Point2</vt:lpstr>
      <vt:lpstr>tlOutputCh4Analytic2Chart1Serie6Point3</vt:lpstr>
      <vt:lpstr>tlOutputCh4Analytic2Chart1Serie7Label1</vt:lpstr>
      <vt:lpstr>tlOutputCh4Analytic2Chart1Serie7Point1</vt:lpstr>
      <vt:lpstr>tlOutputCh4Analytic2Chart1Serie7Point2</vt:lpstr>
      <vt:lpstr>tlOutputCh4Analytic2Chart1Serie7Point3</vt:lpstr>
      <vt:lpstr>tlOutputCh4Analytic2Chart1Serie8Label1</vt:lpstr>
      <vt:lpstr>tlOutputCh4Analytic2Chart1Serie8Point1</vt:lpstr>
      <vt:lpstr>tlOutputCh4Analytic2Chart1Serie8Point2</vt:lpstr>
      <vt:lpstr>tlOutputCh4Analytic2Chart1Serie8Point3</vt:lpstr>
      <vt:lpstr>tlOutputCh4Analytic2Chart1Serie9Label1</vt:lpstr>
      <vt:lpstr>tlOutputCh4Analytic2Chart1Serie9Point1</vt:lpstr>
      <vt:lpstr>tlOutputCh4Analytic2Chart1Serie9Point2</vt:lpstr>
      <vt:lpstr>tlOutputCh4Analytic2Chart1Serie9Point3</vt:lpstr>
      <vt:lpstr>tlOutputCh4Analytic2Chart2Heading</vt:lpstr>
      <vt:lpstr>tlOutputCh4Analytic2Chart2Label1</vt:lpstr>
      <vt:lpstr>tlOutputCh4Analytic2Chart2Label10</vt:lpstr>
      <vt:lpstr>tlOutputCh4Analytic2Chart2Label11</vt:lpstr>
      <vt:lpstr>tlOutputCh4Analytic2Chart2Label12</vt:lpstr>
      <vt:lpstr>tlOutputCh4Analytic2Chart2Label2</vt:lpstr>
      <vt:lpstr>tlOutputCh4Analytic2Chart2Label3</vt:lpstr>
      <vt:lpstr>tlOutputCh4Analytic2Chart2Label4</vt:lpstr>
      <vt:lpstr>tlOutputCh4Analytic2Chart2Label5</vt:lpstr>
      <vt:lpstr>tlOutputCh4Analytic2Chart2Label6</vt:lpstr>
      <vt:lpstr>tlOutputCh4Analytic2Chart2Label7</vt:lpstr>
      <vt:lpstr>tlOutputCh4Analytic2Chart2Label8</vt:lpstr>
      <vt:lpstr>tlOutputCh4Analytic2Chart2Label9</vt:lpstr>
      <vt:lpstr>tlOutputCh4Analytic2Chart2Serie1Item1</vt:lpstr>
      <vt:lpstr>tlOutputCh4Analytic2Chart2Serie1Item10</vt:lpstr>
      <vt:lpstr>tlOutputCh4Analytic2Chart2Serie1Item11</vt:lpstr>
      <vt:lpstr>tlOutputCh4Analytic2Chart2Serie1Item12</vt:lpstr>
      <vt:lpstr>tlOutputCh4Analytic2Chart2Serie1Item2</vt:lpstr>
      <vt:lpstr>tlOutputCh4Analytic2Chart2Serie1Item3</vt:lpstr>
      <vt:lpstr>tlOutputCh4Analytic2Chart2Serie1Item4</vt:lpstr>
      <vt:lpstr>tlOutputCh4Analytic2Chart2Serie1Item5</vt:lpstr>
      <vt:lpstr>tlOutputCh4Analytic2Chart2Serie1Item6</vt:lpstr>
      <vt:lpstr>tlOutputCh4Analytic2Chart2Serie1Item7</vt:lpstr>
      <vt:lpstr>tlOutputCh4Analytic2Chart2Serie1Item8</vt:lpstr>
      <vt:lpstr>tlOutputCh4Analytic2Chart2Serie1Item9</vt:lpstr>
      <vt:lpstr>tlOutputCh4Analytic2Chart2Serie1Title</vt:lpstr>
      <vt:lpstr>tlOutputCh4Analytic2Chart2Serie2Item1</vt:lpstr>
      <vt:lpstr>tlOutputCh4Analytic2Chart2Serie2Item10</vt:lpstr>
      <vt:lpstr>tlOutputCh4Analytic2Chart2Serie2Item11</vt:lpstr>
      <vt:lpstr>tlOutputCh4Analytic2Chart2Serie2Item12</vt:lpstr>
      <vt:lpstr>tlOutputCh4Analytic2Chart2Serie2Item2</vt:lpstr>
      <vt:lpstr>tlOutputCh4Analytic2Chart2Serie2Item3</vt:lpstr>
      <vt:lpstr>tlOutputCh4Analytic2Chart2Serie2Item4</vt:lpstr>
      <vt:lpstr>tlOutputCh4Analytic2Chart2Serie2Item5</vt:lpstr>
      <vt:lpstr>tlOutputCh4Analytic2Chart2Serie2Item6</vt:lpstr>
      <vt:lpstr>tlOutputCh4Analytic2Chart2Serie2Item7</vt:lpstr>
      <vt:lpstr>tlOutputCh4Analytic2Chart2Serie2Item8</vt:lpstr>
      <vt:lpstr>tlOutputCh4Analytic2Chart2Serie2Item9</vt:lpstr>
      <vt:lpstr>tlOutputCh4Analytic2Chart2Serie2Title</vt:lpstr>
      <vt:lpstr>tlOutputCh4Analytic2Chart3BubbleSize1</vt:lpstr>
      <vt:lpstr>tlOutputCh4Analytic2Chart3BubbleSize10</vt:lpstr>
      <vt:lpstr>tlOutputCh4Analytic2Chart3BubbleSize11</vt:lpstr>
      <vt:lpstr>tlOutputCh4Analytic2Chart3BubbleSize12</vt:lpstr>
      <vt:lpstr>tlOutputCh4Analytic2Chart3BubbleSize2</vt:lpstr>
      <vt:lpstr>tlOutputCh4Analytic2Chart3BubbleSize3</vt:lpstr>
      <vt:lpstr>tlOutputCh4Analytic2Chart3BubbleSize4</vt:lpstr>
      <vt:lpstr>tlOutputCh4Analytic2Chart3BubbleSize5</vt:lpstr>
      <vt:lpstr>tlOutputCh4Analytic2Chart3BubbleSize6</vt:lpstr>
      <vt:lpstr>tlOutputCh4Analytic2Chart3BubbleSize7</vt:lpstr>
      <vt:lpstr>tlOutputCh4Analytic2Chart3BubbleSize8</vt:lpstr>
      <vt:lpstr>tlOutputCh4Analytic2Chart3BubbleSize9</vt:lpstr>
      <vt:lpstr>tlOutputCh4Analytic2Chart3Heading</vt:lpstr>
      <vt:lpstr>tlOutputCh4Analytic2Chart3Label1</vt:lpstr>
      <vt:lpstr>tlOutputCh4Analytic2Chart3Label10</vt:lpstr>
      <vt:lpstr>tlOutputCh4Analytic2Chart3Label11</vt:lpstr>
      <vt:lpstr>tlOutputCh4Analytic2Chart3Label12</vt:lpstr>
      <vt:lpstr>tlOutputCh4Analytic2Chart3Label2</vt:lpstr>
      <vt:lpstr>tlOutputCh4Analytic2Chart3Label3</vt:lpstr>
      <vt:lpstr>tlOutputCh4Analytic2Chart3Label4</vt:lpstr>
      <vt:lpstr>tlOutputCh4Analytic2Chart3Label5</vt:lpstr>
      <vt:lpstr>tlOutputCh4Analytic2Chart3Label6</vt:lpstr>
      <vt:lpstr>tlOutputCh4Analytic2Chart3Label7</vt:lpstr>
      <vt:lpstr>tlOutputCh4Analytic2Chart3Label8</vt:lpstr>
      <vt:lpstr>tlOutputCh4Analytic2Chart3Label9</vt:lpstr>
      <vt:lpstr>tlOutputCh4Analytic2Chart3Type1</vt:lpstr>
      <vt:lpstr>tlOutputCh4Analytic2Chart3Type2</vt:lpstr>
      <vt:lpstr>tlOutputCh4Analytic2Chart3Type3</vt:lpstr>
      <vt:lpstr>tlOutputCh4Analytic2Chart3Type4</vt:lpstr>
      <vt:lpstr>tlOutputCh4Analytic2Chart3XaxisTitle</vt:lpstr>
      <vt:lpstr>tlOutputCh4Analytic2Chart3XValue1</vt:lpstr>
      <vt:lpstr>tlOutputCh4Analytic2Chart3XValue10</vt:lpstr>
      <vt:lpstr>tlOutputCh4Analytic2Chart3XValue11</vt:lpstr>
      <vt:lpstr>tlOutputCh4Analytic2Chart3XValue12</vt:lpstr>
      <vt:lpstr>tlOutputCh4Analytic2Chart3XValue2</vt:lpstr>
      <vt:lpstr>tlOutputCh4Analytic2Chart3XValue3</vt:lpstr>
      <vt:lpstr>tlOutputCh4Analytic2Chart3XValue4</vt:lpstr>
      <vt:lpstr>tlOutputCh4Analytic2Chart3XValue5</vt:lpstr>
      <vt:lpstr>tlOutputCh4Analytic2Chart3XValue6</vt:lpstr>
      <vt:lpstr>tlOutputCh4Analytic2Chart3XValue7</vt:lpstr>
      <vt:lpstr>tlOutputCh4Analytic2Chart3XValue8</vt:lpstr>
      <vt:lpstr>tlOutputCh4Analytic2Chart3XValue9</vt:lpstr>
      <vt:lpstr>tlOutputCh4Analytic2Chart3YaxisTitle</vt:lpstr>
      <vt:lpstr>tlOutputCh4Analytic2Chart3YValue1</vt:lpstr>
      <vt:lpstr>tlOutputCh4Analytic2Chart3YValue10</vt:lpstr>
      <vt:lpstr>tlOutputCh4Analytic2Chart3YValue11</vt:lpstr>
      <vt:lpstr>tlOutputCh4Analytic2Chart3YValue12</vt:lpstr>
      <vt:lpstr>tlOutputCh4Analytic2Chart3YValue2</vt:lpstr>
      <vt:lpstr>tlOutputCh4Analytic2Chart3YValue3</vt:lpstr>
      <vt:lpstr>tlOutputCh4Analytic2Chart3YValue4</vt:lpstr>
      <vt:lpstr>tlOutputCh4Analytic2Chart3YValue5</vt:lpstr>
      <vt:lpstr>tlOutputCh4Analytic2Chart3YValue6</vt:lpstr>
      <vt:lpstr>tlOutputCh4Analytic2Chart3YValue7</vt:lpstr>
      <vt:lpstr>tlOutputCh4Analytic2Chart3YValue8</vt:lpstr>
      <vt:lpstr>tlOutputCh4Analytic2Chart3YValue9</vt:lpstr>
      <vt:lpstr>tlOutputCh4Analytic2Chart4BubbleSize1</vt:lpstr>
      <vt:lpstr>tlOutputCh4Analytic2Chart4BubbleSize10</vt:lpstr>
      <vt:lpstr>tlOutputCh4Analytic2Chart4BubbleSize11</vt:lpstr>
      <vt:lpstr>tlOutputCh4Analytic2Chart4BubbleSize12</vt:lpstr>
      <vt:lpstr>tlOutputCh4Analytic2Chart4BubbleSize2</vt:lpstr>
      <vt:lpstr>tlOutputCh4Analytic2Chart4BubbleSize3</vt:lpstr>
      <vt:lpstr>tlOutputCh4Analytic2Chart4BubbleSize4</vt:lpstr>
      <vt:lpstr>tlOutputCh4Analytic2Chart4BubbleSize5</vt:lpstr>
      <vt:lpstr>tlOutputCh4Analytic2Chart4BubbleSize6</vt:lpstr>
      <vt:lpstr>tlOutputCh4Analytic2Chart4BubbleSize7</vt:lpstr>
      <vt:lpstr>tlOutputCh4Analytic2Chart4BubbleSize8</vt:lpstr>
      <vt:lpstr>tlOutputCh4Analytic2Chart4BubbleSize9</vt:lpstr>
      <vt:lpstr>tlOutputCh4Analytic2Chart4Heading</vt:lpstr>
      <vt:lpstr>tlOutputCh4Analytic2Chart4Label1</vt:lpstr>
      <vt:lpstr>tlOutputCh4Analytic2Chart4Label10</vt:lpstr>
      <vt:lpstr>tlOutputCh4Analytic2Chart4Label11</vt:lpstr>
      <vt:lpstr>tlOutputCh4Analytic2Chart4Label12</vt:lpstr>
      <vt:lpstr>tlOutputCh4Analytic2Chart4Label2</vt:lpstr>
      <vt:lpstr>tlOutputCh4Analytic2Chart4Label3</vt:lpstr>
      <vt:lpstr>tlOutputCh4Analytic2Chart4Label4</vt:lpstr>
      <vt:lpstr>tlOutputCh4Analytic2Chart4Label5</vt:lpstr>
      <vt:lpstr>tlOutputCh4Analytic2Chart4Label6</vt:lpstr>
      <vt:lpstr>tlOutputCh4Analytic2Chart4Label7</vt:lpstr>
      <vt:lpstr>tlOutputCh4Analytic2Chart4Label8</vt:lpstr>
      <vt:lpstr>tlOutputCh4Analytic2Chart4Label9</vt:lpstr>
      <vt:lpstr>tlOutputCh4Analytic2Chart4Type1</vt:lpstr>
      <vt:lpstr>tlOutputCh4Analytic2Chart4Type2</vt:lpstr>
      <vt:lpstr>tlOutputCh4Analytic2Chart4Type3</vt:lpstr>
      <vt:lpstr>tlOutputCh4Analytic2Chart4Type4</vt:lpstr>
      <vt:lpstr>tlOutputCh4Analytic2Chart4XaxisTitle</vt:lpstr>
      <vt:lpstr>tlOutputCh4Analytic2Chart4XValue1</vt:lpstr>
      <vt:lpstr>tlOutputCh4Analytic2Chart4XValue10</vt:lpstr>
      <vt:lpstr>tlOutputCh4Analytic2Chart4XValue11</vt:lpstr>
      <vt:lpstr>tlOutputCh4Analytic2Chart4XValue12</vt:lpstr>
      <vt:lpstr>tlOutputCh4Analytic2Chart4XValue2</vt:lpstr>
      <vt:lpstr>tlOutputCh4Analytic2Chart4XValue3</vt:lpstr>
      <vt:lpstr>tlOutputCh4Analytic2Chart4XValue4</vt:lpstr>
      <vt:lpstr>tlOutputCh4Analytic2Chart4XValue5</vt:lpstr>
      <vt:lpstr>tlOutputCh4Analytic2Chart4XValue6</vt:lpstr>
      <vt:lpstr>tlOutputCh4Analytic2Chart4XValue7</vt:lpstr>
      <vt:lpstr>tlOutputCh4Analytic2Chart4XValue8</vt:lpstr>
      <vt:lpstr>tlOutputCh4Analytic2Chart4XValue9</vt:lpstr>
      <vt:lpstr>tlOutputCh4Analytic2Chart4YaxisTitle</vt:lpstr>
      <vt:lpstr>tlOutputCh4Analytic2Chart4YValue1</vt:lpstr>
      <vt:lpstr>tlOutputCh4Analytic2Chart4YValue10</vt:lpstr>
      <vt:lpstr>tlOutputCh4Analytic2Chart4YValue11</vt:lpstr>
      <vt:lpstr>tlOutputCh4Analytic2Chart4YValue12</vt:lpstr>
      <vt:lpstr>tlOutputCh4Analytic2Chart4YValue2</vt:lpstr>
      <vt:lpstr>tlOutputCh4Analytic2Chart4YValue3</vt:lpstr>
      <vt:lpstr>tlOutputCh4Analytic2Chart4YValue4</vt:lpstr>
      <vt:lpstr>tlOutputCh4Analytic2Chart4YValue5</vt:lpstr>
      <vt:lpstr>tlOutputCh4Analytic2Chart4YValue6</vt:lpstr>
      <vt:lpstr>tlOutputCh4Analytic2Chart4YValue7</vt:lpstr>
      <vt:lpstr>tlOutputCh4Analytic2Chart4YValue8</vt:lpstr>
      <vt:lpstr>tlOutputCh4Analytic2Chart4YValue9</vt:lpstr>
      <vt:lpstr>tlOutputCh4Analytic2Chart5BubbleSize1</vt:lpstr>
      <vt:lpstr>tlOutputCh4Analytic2Chart5BubbleSize10</vt:lpstr>
      <vt:lpstr>tlOutputCh4Analytic2Chart5BubbleSize11</vt:lpstr>
      <vt:lpstr>tlOutputCh4Analytic2Chart5BubbleSize12</vt:lpstr>
      <vt:lpstr>tlOutputCh4Analytic2Chart5BubbleSize2</vt:lpstr>
      <vt:lpstr>tlOutputCh4Analytic2Chart5BubbleSize3</vt:lpstr>
      <vt:lpstr>tlOutputCh4Analytic2Chart5BubbleSize4</vt:lpstr>
      <vt:lpstr>tlOutputCh4Analytic2Chart5BubbleSize5</vt:lpstr>
      <vt:lpstr>tlOutputCh4Analytic2Chart5BubbleSize6</vt:lpstr>
      <vt:lpstr>tlOutputCh4Analytic2Chart5BubbleSize7</vt:lpstr>
      <vt:lpstr>tlOutputCh4Analytic2Chart5BubbleSize8</vt:lpstr>
      <vt:lpstr>tlOutputCh4Analytic2Chart5BubbleSize9</vt:lpstr>
      <vt:lpstr>tlOutputCh4Analytic2Chart5Heading</vt:lpstr>
      <vt:lpstr>tlOutputCh4Analytic2Chart5Label1</vt:lpstr>
      <vt:lpstr>tlOutputCh4Analytic2Chart5Label10</vt:lpstr>
      <vt:lpstr>tlOutputCh4Analytic2Chart5Label11</vt:lpstr>
      <vt:lpstr>tlOutputCh4Analytic2Chart5Label12</vt:lpstr>
      <vt:lpstr>tlOutputCh4Analytic2Chart5Label2</vt:lpstr>
      <vt:lpstr>tlOutputCh4Analytic2Chart5Label3</vt:lpstr>
      <vt:lpstr>tlOutputCh4Analytic2Chart5Label4</vt:lpstr>
      <vt:lpstr>tlOutputCh4Analytic2Chart5Label5</vt:lpstr>
      <vt:lpstr>tlOutputCh4Analytic2Chart5Label6</vt:lpstr>
      <vt:lpstr>tlOutputCh4Analytic2Chart5Label7</vt:lpstr>
      <vt:lpstr>tlOutputCh4Analytic2Chart5Label8</vt:lpstr>
      <vt:lpstr>tlOutputCh4Analytic2Chart5Label9</vt:lpstr>
      <vt:lpstr>tlOutputCh4Analytic2Chart5Type1</vt:lpstr>
      <vt:lpstr>tlOutputCh4Analytic2Chart5Type2</vt:lpstr>
      <vt:lpstr>tlOutputCh4Analytic2Chart5Type3</vt:lpstr>
      <vt:lpstr>tlOutputCh4Analytic2Chart5Type4</vt:lpstr>
      <vt:lpstr>tlOutputCh4Analytic2Chart5XaxisTitle</vt:lpstr>
      <vt:lpstr>tlOutputCh4Analytic2Chart5XValue1</vt:lpstr>
      <vt:lpstr>tlOutputCh4Analytic2Chart5XValue10</vt:lpstr>
      <vt:lpstr>tlOutputCh4Analytic2Chart5XValue11</vt:lpstr>
      <vt:lpstr>tlOutputCh4Analytic2Chart5XValue12</vt:lpstr>
      <vt:lpstr>tlOutputCh4Analytic2Chart5XValue2</vt:lpstr>
      <vt:lpstr>tlOutputCh4Analytic2Chart5XValue3</vt:lpstr>
      <vt:lpstr>tlOutputCh4Analytic2Chart5XValue4</vt:lpstr>
      <vt:lpstr>tlOutputCh4Analytic2Chart5XValue5</vt:lpstr>
      <vt:lpstr>tlOutputCh4Analytic2Chart5XValue6</vt:lpstr>
      <vt:lpstr>tlOutputCh4Analytic2Chart5XValue7</vt:lpstr>
      <vt:lpstr>tlOutputCh4Analytic2Chart5XValue8</vt:lpstr>
      <vt:lpstr>tlOutputCh4Analytic2Chart5XValue9</vt:lpstr>
      <vt:lpstr>tlOutputCh4Analytic2Chart5YaxisTitle</vt:lpstr>
      <vt:lpstr>tlOutputCh4Analytic2Chart5YValue1</vt:lpstr>
      <vt:lpstr>tlOutputCh4Analytic2Chart5YValue10</vt:lpstr>
      <vt:lpstr>tlOutputCh4Analytic2Chart5YValue11</vt:lpstr>
      <vt:lpstr>tlOutputCh4Analytic2Chart5YValue12</vt:lpstr>
      <vt:lpstr>tlOutputCh4Analytic2Chart5YValue2</vt:lpstr>
      <vt:lpstr>tlOutputCh4Analytic2Chart5YValue3</vt:lpstr>
      <vt:lpstr>tlOutputCh4Analytic2Chart5YValue4</vt:lpstr>
      <vt:lpstr>tlOutputCh4Analytic2Chart5YValue5</vt:lpstr>
      <vt:lpstr>tlOutputCh4Analytic2Chart5YValue6</vt:lpstr>
      <vt:lpstr>tlOutputCh4Analytic2Chart5YValue7</vt:lpstr>
      <vt:lpstr>tlOutputCh4Analytic2Chart5YValue8</vt:lpstr>
      <vt:lpstr>tlOutputCh4Analytic2Chart5YValue9</vt:lpstr>
      <vt:lpstr>tlOutputCh4AnalyticsEmp1Req</vt:lpstr>
      <vt:lpstr>tlOutputCh4AnalyticsExp</vt:lpstr>
      <vt:lpstr>tlOutputCh4CustProfitTot</vt:lpstr>
      <vt:lpstr>tlOutputCh4Emp1GaugeMax</vt:lpstr>
      <vt:lpstr>tlOutputCh4Emp1GaugeMin</vt:lpstr>
      <vt:lpstr>tlOutputCh4Emp1GaugeValue</vt:lpstr>
      <vt:lpstr>tlOutputCh4GPaLTot</vt:lpstr>
      <vt:lpstr>tlOutputCh4MarketDemandTot</vt:lpstr>
      <vt:lpstr>tlOutputCh4MarkPlanEmp1Req</vt:lpstr>
      <vt:lpstr>tlOutputCh4MarkPlanExp</vt:lpstr>
      <vt:lpstr>tlOutputCh4NetSalesTot</vt:lpstr>
      <vt:lpstr>tlOutputCh4NewSlotAvailGaugeMax</vt:lpstr>
      <vt:lpstr>tlOutputCh4NewSlotAvailGaugeMin</vt:lpstr>
      <vt:lpstr>tlOutputCh4NewSlotAvailGaugeValue</vt:lpstr>
      <vt:lpstr>tlOutputCh4Prod1Close</vt:lpstr>
      <vt:lpstr>tlOutputCh4Prod1CustProfit</vt:lpstr>
      <vt:lpstr>tlOutputCh4Prod1CustProfitTot</vt:lpstr>
      <vt:lpstr>tlOutputCh4Prod1GPaL</vt:lpstr>
      <vt:lpstr>tlOutputCh4Prod1GPaLpBrandCogs</vt:lpstr>
      <vt:lpstr>tlOutputCh4Prod1GPaLpGPaL</vt:lpstr>
      <vt:lpstr>tlOutputCh4Prod1GPaLpGPaLmar</vt:lpstr>
      <vt:lpstr>tlOutputCh4Prod1GPaLpLog</vt:lpstr>
      <vt:lpstr>tlOutputCh4Prod1MktSize</vt:lpstr>
      <vt:lpstr>tlOutputCh4Prod1NetSales</vt:lpstr>
      <vt:lpstr>tlOutputCh4Prod1NewSlotEmp1</vt:lpstr>
      <vt:lpstr>tlOutputCh4Prod1NewSlotExp</vt:lpstr>
      <vt:lpstr>tlOutputCh4Prod1Open</vt:lpstr>
      <vt:lpstr>tlOutputCh4Prod1PromoEmp1</vt:lpstr>
      <vt:lpstr>tlOutputCh4Prod1PromoExp</vt:lpstr>
      <vt:lpstr>tloutputCh4Prod1Slot1AvgPromoDis</vt:lpstr>
      <vt:lpstr>tloutputCh4Prod1Slot1AvgPromoPrice</vt:lpstr>
      <vt:lpstr>tloutputCh4Prod1Slot1AvgSellPrice</vt:lpstr>
      <vt:lpstr>tloutputCh4Prod1Slot1CM</vt:lpstr>
      <vt:lpstr>tlOutputCh4Prod1Slot1CustProfitTot</vt:lpstr>
      <vt:lpstr>tloutputCh4Prod1Slot1RSPHigh</vt:lpstr>
      <vt:lpstr>tloutputCh4Prod1Slot1RSPLow</vt:lpstr>
      <vt:lpstr>tlOutputCh4Prod1Slot1SP</vt:lpstr>
      <vt:lpstr>tloutputCh4Prod1Slot2AvgPromoDis</vt:lpstr>
      <vt:lpstr>tloutputCh4Prod1Slot2AvgPromoPrice</vt:lpstr>
      <vt:lpstr>tloutputCh4Prod1Slot2AvgSellPrice</vt:lpstr>
      <vt:lpstr>tloutputCh4Prod1Slot2CM</vt:lpstr>
      <vt:lpstr>tlOutputCh4Prod1Slot2CustProfitTot</vt:lpstr>
      <vt:lpstr>tloutputCh4Prod1Slot2RSPHigh</vt:lpstr>
      <vt:lpstr>tloutputCh4Prod1Slot2RSPLow</vt:lpstr>
      <vt:lpstr>tlOutputCh4Prod1Slot2SP</vt:lpstr>
      <vt:lpstr>tloutputCh4Prod1Slot3AvgPromoDis</vt:lpstr>
      <vt:lpstr>tloutputCh4Prod1Slot3AvgPromoPrice</vt:lpstr>
      <vt:lpstr>tloutputCh4Prod1Slot3AvgSellPrice</vt:lpstr>
      <vt:lpstr>tloutputCh4Prod1Slot3CM</vt:lpstr>
      <vt:lpstr>tlOutputCh4Prod1Slot3CustProfitTot</vt:lpstr>
      <vt:lpstr>tloutputCh4Prod1Slot3RSPHigh</vt:lpstr>
      <vt:lpstr>tloutputCh4Prod1Slot3RSPLow</vt:lpstr>
      <vt:lpstr>tlOutputCh4Prod1Slot3SP</vt:lpstr>
      <vt:lpstr>tlOutputCh4Prod1VolForcast</vt:lpstr>
      <vt:lpstr>tlOutputCh4Prod2Close</vt:lpstr>
      <vt:lpstr>tlOutputCh4Prod2CustProfit</vt:lpstr>
      <vt:lpstr>tlOutputCh4Prod2CustProfitTot</vt:lpstr>
      <vt:lpstr>tlOutputCh4Prod2GPaL</vt:lpstr>
      <vt:lpstr>tlOutputCh4Prod2GPaLpBrandCogs</vt:lpstr>
      <vt:lpstr>tlOutputCh4Prod2GPaLpGPaL</vt:lpstr>
      <vt:lpstr>tlOutputCh4Prod2GPaLpGPaLmar</vt:lpstr>
      <vt:lpstr>tlOutputCh4Prod2GPaLpLog</vt:lpstr>
      <vt:lpstr>tlOutputCh4Prod2n3MktSize</vt:lpstr>
      <vt:lpstr>tlOutputCh4Prod2NetSales</vt:lpstr>
      <vt:lpstr>tlOutputCh4Prod2NewSlotEmp1</vt:lpstr>
      <vt:lpstr>tlOutputCh4Prod2NewSlotExp</vt:lpstr>
      <vt:lpstr>tlOutputCh4Prod2Open</vt:lpstr>
      <vt:lpstr>tlOutputCh4Prod2PromoEmp1</vt:lpstr>
      <vt:lpstr>tlOutputCh4Prod2PromoExp</vt:lpstr>
      <vt:lpstr>tloutputCh4Prod2Slot1AvgPromoDis</vt:lpstr>
      <vt:lpstr>tloutputCh4Prod2Slot1AvgPromoPrice</vt:lpstr>
      <vt:lpstr>tloutputCh4Prod2Slot1AvgSellPrice</vt:lpstr>
      <vt:lpstr>tloutputCh4Prod2Slot1CM</vt:lpstr>
      <vt:lpstr>tlOutputCh4Prod2Slot1CustProfitTot</vt:lpstr>
      <vt:lpstr>tloutputCh4Prod2Slot1RSPHigh</vt:lpstr>
      <vt:lpstr>tloutputCh4Prod2Slot1RSPLow</vt:lpstr>
      <vt:lpstr>tlOutputCh4Prod2Slot1SP</vt:lpstr>
      <vt:lpstr>tloutputCh4Prod2Slot2AvgPromoDis</vt:lpstr>
      <vt:lpstr>tloutputCh4Prod2Slot2AvgPromoPrice</vt:lpstr>
      <vt:lpstr>tloutputCh4Prod2Slot2AvgSellPrice</vt:lpstr>
      <vt:lpstr>tloutputCh4Prod2Slot2CM</vt:lpstr>
      <vt:lpstr>tlOutputCh4Prod2Slot2CustProfitTot</vt:lpstr>
      <vt:lpstr>tloutputCh4Prod2Slot2RSPHigh</vt:lpstr>
      <vt:lpstr>tloutputCh4Prod2Slot2RSPLow</vt:lpstr>
      <vt:lpstr>tlOutputCh4Prod2Slot2SP</vt:lpstr>
      <vt:lpstr>tloutputCh4Prod2Slot3AvgPromoDis</vt:lpstr>
      <vt:lpstr>tloutputCh4Prod2Slot3AvgPromoPrice</vt:lpstr>
      <vt:lpstr>tloutputCh4Prod2Slot3AvgSellPrice</vt:lpstr>
      <vt:lpstr>tloutputCh4Prod2Slot3CM</vt:lpstr>
      <vt:lpstr>tlOutputCh4Prod2Slot3CustProfitTot</vt:lpstr>
      <vt:lpstr>tloutputCh4Prod2Slot3RSPHigh</vt:lpstr>
      <vt:lpstr>tloutputCh4Prod2Slot3RSPLow</vt:lpstr>
      <vt:lpstr>tlOutputCh4Prod2Slot3SP</vt:lpstr>
      <vt:lpstr>tlOutputCh4Prod2VolForcast</vt:lpstr>
      <vt:lpstr>tlOutputCh4Prod3Close</vt:lpstr>
      <vt:lpstr>tlOutputCh4Prod3CustProfit</vt:lpstr>
      <vt:lpstr>tlOutputCh4Prod3CustProfitTot</vt:lpstr>
      <vt:lpstr>tlOutputCh4Prod3GPaL</vt:lpstr>
      <vt:lpstr>tlOutputCh4Prod3GPaLpBrandCogs</vt:lpstr>
      <vt:lpstr>tlOutputCh4Prod3GPaLpGPaL</vt:lpstr>
      <vt:lpstr>tlOutputCh4Prod3GPaLpGPaLmar</vt:lpstr>
      <vt:lpstr>tlOutputCh4Prod3GPaLpLog</vt:lpstr>
      <vt:lpstr>tlOutputCh4Prod3NetSales</vt:lpstr>
      <vt:lpstr>tlOutputCh4Prod3NewSlotEmp1</vt:lpstr>
      <vt:lpstr>tlOutputCh4Prod3NewSlotExp</vt:lpstr>
      <vt:lpstr>tlOutputCh4Prod3Open</vt:lpstr>
      <vt:lpstr>tlOutputCh4Prod3PromoEmp1</vt:lpstr>
      <vt:lpstr>tlOutputCh4Prod3PromoExp</vt:lpstr>
      <vt:lpstr>tloutputCh4Prod3Slot1AvgPromoDis</vt:lpstr>
      <vt:lpstr>tloutputCh4Prod3Slot1AvgPromoPrice</vt:lpstr>
      <vt:lpstr>tloutputCh4Prod3Slot1AvgSellPrice</vt:lpstr>
      <vt:lpstr>tloutputCh4Prod3Slot1CM</vt:lpstr>
      <vt:lpstr>tlOutputCh4Prod3Slot1CustProfitTot</vt:lpstr>
      <vt:lpstr>tloutputCh4Prod3Slot1RSPHigh</vt:lpstr>
      <vt:lpstr>tloutputCh4Prod3Slot1RSPLow</vt:lpstr>
      <vt:lpstr>tlOutputCh4Prod3Slot1SP</vt:lpstr>
      <vt:lpstr>tloutputCh4Prod3Slot2AvgPromoDis</vt:lpstr>
      <vt:lpstr>tloutputCh4Prod3Slot2AvgPromoPrice</vt:lpstr>
      <vt:lpstr>tloutputCh4Prod3Slot2AvgSellPrice</vt:lpstr>
      <vt:lpstr>tloutputCh4Prod3Slot2CM</vt:lpstr>
      <vt:lpstr>tlOutputCh4Prod3Slot2CustProfitTot</vt:lpstr>
      <vt:lpstr>tloutputCh4Prod3Slot2RSPHigh</vt:lpstr>
      <vt:lpstr>tloutputCh4Prod3Slot2RSPLow</vt:lpstr>
      <vt:lpstr>tlOutputCh4Prod3Slot2SP</vt:lpstr>
      <vt:lpstr>tloutputCh4Prod3Slot3AvgPromoDis</vt:lpstr>
      <vt:lpstr>tloutputCh4Prod3Slot3AvgPromoPrice</vt:lpstr>
      <vt:lpstr>tloutputCh4Prod3Slot3AvgSellPrice</vt:lpstr>
      <vt:lpstr>tloutputCh4Prod3Slot3CM</vt:lpstr>
      <vt:lpstr>tlOutputCh4Prod3Slot3CustProfitTot</vt:lpstr>
      <vt:lpstr>tloutputCh4Prod3Slot3RSPHigh</vt:lpstr>
      <vt:lpstr>tloutputCh4Prod3Slot3RSPLow</vt:lpstr>
      <vt:lpstr>tlOutputCh4Prod3Slot3SP</vt:lpstr>
      <vt:lpstr>tlOutputCh4Prod3VolForcast</vt:lpstr>
      <vt:lpstr>tlOutputCh4Prod4Close</vt:lpstr>
      <vt:lpstr>tlOutputCh4Prod4CustProfit</vt:lpstr>
      <vt:lpstr>tlOutputCh4Prod4CustProfitTot</vt:lpstr>
      <vt:lpstr>tlOutputCh4Prod4GPaL</vt:lpstr>
      <vt:lpstr>tlOutputCh4Prod4GPaLpBrandCogs</vt:lpstr>
      <vt:lpstr>tlOutputCh4Prod4GPaLpGPaL</vt:lpstr>
      <vt:lpstr>tlOutputCh4Prod4GPaLpGPaLmar</vt:lpstr>
      <vt:lpstr>tlOutputCh4Prod4GPaLpLog</vt:lpstr>
      <vt:lpstr>tlOutputCh4Prod4MktSize</vt:lpstr>
      <vt:lpstr>tlOutputCh4Prod4NetSales</vt:lpstr>
      <vt:lpstr>tlOutputCh4Prod4NewSlotEmp1</vt:lpstr>
      <vt:lpstr>tlOutputCh4Prod4NewSlotExp</vt:lpstr>
      <vt:lpstr>tlOutputCh4Prod4Open</vt:lpstr>
      <vt:lpstr>tlOutputCh4Prod4PromoEmp1</vt:lpstr>
      <vt:lpstr>tlOutputCh4Prod4PromoExp</vt:lpstr>
      <vt:lpstr>tloutputCh4Prod4Slot1AvgPromoDis</vt:lpstr>
      <vt:lpstr>tloutputCh4Prod4Slot1AvgPromoPrice</vt:lpstr>
      <vt:lpstr>tloutputCh4Prod4Slot1AvgSellPrice</vt:lpstr>
      <vt:lpstr>tloutputCh4Prod4Slot1CM</vt:lpstr>
      <vt:lpstr>tlOutputCh4Prod4Slot1CustProfitTot</vt:lpstr>
      <vt:lpstr>tloutputCh4Prod4Slot1RSPHigh</vt:lpstr>
      <vt:lpstr>tloutputCh4Prod4Slot1RSPLow</vt:lpstr>
      <vt:lpstr>tlOutputCh4Prod4Slot1SP</vt:lpstr>
      <vt:lpstr>tloutputCh4Prod4Slot2AvgPromoDis</vt:lpstr>
      <vt:lpstr>tloutputCh4Prod4Slot2AvgPromoPrice</vt:lpstr>
      <vt:lpstr>tloutputCh4Prod4Slot2AvgSellPrice</vt:lpstr>
      <vt:lpstr>tloutputCh4Prod4Slot2CM</vt:lpstr>
      <vt:lpstr>tlOutputCh4Prod4Slot2CustProfitTot</vt:lpstr>
      <vt:lpstr>tloutputCh4Prod4Slot2RSPHigh</vt:lpstr>
      <vt:lpstr>tloutputCh4Prod4Slot2RSPLow</vt:lpstr>
      <vt:lpstr>tlOutputCh4Prod4Slot2SP</vt:lpstr>
      <vt:lpstr>tloutputCh4Prod4Slot3AvgPromoDis</vt:lpstr>
      <vt:lpstr>tloutputCh4Prod4Slot3AvgPromoPrice</vt:lpstr>
      <vt:lpstr>tloutputCh4Prod4Slot3AvgSellPrice</vt:lpstr>
      <vt:lpstr>tloutputCh4Prod4Slot3CM</vt:lpstr>
      <vt:lpstr>tlOutputCh4Prod4Slot3CustProfitTot</vt:lpstr>
      <vt:lpstr>tloutputCh4Prod4Slot3RSPHigh</vt:lpstr>
      <vt:lpstr>tloutputCh4Prod4Slot3RSPLow</vt:lpstr>
      <vt:lpstr>tlOutputCh4Prod4Slot3SP</vt:lpstr>
      <vt:lpstr>tlOutputCh4Prod4VolForcast</vt:lpstr>
      <vt:lpstr>tlOutputCh4PromoWeeksAvailGaugeMax</vt:lpstr>
      <vt:lpstr>tlOutputCh4PromoWeeksAvailGaugeMin</vt:lpstr>
      <vt:lpstr>tlOutputCh4PromoWeeksAvailGaugeValue</vt:lpstr>
      <vt:lpstr>tlOutputCh4TTCondition</vt:lpstr>
      <vt:lpstr>tlOutputCh4TTHeading</vt:lpstr>
      <vt:lpstr>tlOutputCh4TTUnCondition</vt:lpstr>
      <vt:lpstr>tlOutputCh4ValDriv1Emp1</vt:lpstr>
      <vt:lpstr>tlOutputCh4ValDriv1Exp</vt:lpstr>
      <vt:lpstr>tlOutputCh4ValDriv2Emp1</vt:lpstr>
      <vt:lpstr>tlOutputCh4ValDriv2Exp</vt:lpstr>
      <vt:lpstr>tlOutputCh4ValDriv3Emp1</vt:lpstr>
      <vt:lpstr>tlOutputCh4ValDriv3Exp</vt:lpstr>
      <vt:lpstr>tlOutputCh4ValDriv4Emp1</vt:lpstr>
      <vt:lpstr>tlOutputCh4ValDriv4Exp</vt:lpstr>
      <vt:lpstr>tlOutputCh4ValDriv5Emp1</vt:lpstr>
      <vt:lpstr>tlOutputCh4ValDriv5Exp</vt:lpstr>
      <vt:lpstr>tlOutputCh4ValDrivCondEmp1</vt:lpstr>
      <vt:lpstr>tlOutputCh4ValDrivCondExp</vt:lpstr>
      <vt:lpstr>tlOutputCh4ValDrivEmp1Tot</vt:lpstr>
      <vt:lpstr>tlOutputCh4ValDrivExpTot</vt:lpstr>
      <vt:lpstr>tlOutputCh4VolForecastTot</vt:lpstr>
      <vt:lpstr>tlOutputCh4VtCp</vt:lpstr>
      <vt:lpstr>tlOutputCh4VtDeprExp</vt:lpstr>
      <vt:lpstr>tlOutputCh4VtDeprExpPct</vt:lpstr>
      <vt:lpstr>tlOutputCh4VtDeprExpPctPVol</vt:lpstr>
      <vt:lpstr>tlOutputCh4VtDeprExpPVol</vt:lpstr>
      <vt:lpstr>tlOutputCh4VtDiscounts</vt:lpstr>
      <vt:lpstr>tlOutputCh4VtDiscountsPct</vt:lpstr>
      <vt:lpstr>tlOutputCh4VtDiscountsPctPVol</vt:lpstr>
      <vt:lpstr>tlOutputCh4VtDiscountsPVol</vt:lpstr>
      <vt:lpstr>tlOutputCh4VtExcise</vt:lpstr>
      <vt:lpstr>tlOutputCh4VtExcisePct</vt:lpstr>
      <vt:lpstr>tlOutputCh4VtExcisePctPVol</vt:lpstr>
      <vt:lpstr>tlOutputCh4VtExcisePVol</vt:lpstr>
      <vt:lpstr>tlOutputCh4VtGP</vt:lpstr>
      <vt:lpstr>tlOutputCh4VtGPaL</vt:lpstr>
      <vt:lpstr>tlOutputCh4VtGPaLPct</vt:lpstr>
      <vt:lpstr>tlOutputCh4VtGPaLPctPVol</vt:lpstr>
      <vt:lpstr>tlOutputCh4VtGPaLPVol</vt:lpstr>
      <vt:lpstr>tlOutputCh4VtGPPct</vt:lpstr>
      <vt:lpstr>tlOutputCh4VtGPPctPVol</vt:lpstr>
      <vt:lpstr>tlOutputCh4VtGPPVol</vt:lpstr>
      <vt:lpstr>tlOutputCh4VtGrossSales</vt:lpstr>
      <vt:lpstr>tlOutputCh4VtGrossSalesPct</vt:lpstr>
      <vt:lpstr>tlOutputCh4VtGrossSalesPctPVol</vt:lpstr>
      <vt:lpstr>tlOutputCh4VtGrossSalesPVol</vt:lpstr>
      <vt:lpstr>tlOutputCh4VtLabourExp</vt:lpstr>
      <vt:lpstr>tlOutputCh4VtLabourExpPct</vt:lpstr>
      <vt:lpstr>tlOutputCh4VtLabourExpPctPVol</vt:lpstr>
      <vt:lpstr>tlOutputCh4VtLabourExpPVol</vt:lpstr>
      <vt:lpstr>tlOutputCh4VtLogExp</vt:lpstr>
      <vt:lpstr>tlOutputCh4VtLogExpPct</vt:lpstr>
      <vt:lpstr>tlOutputCh4VtLogExpPctPVol</vt:lpstr>
      <vt:lpstr>tlOutputCh4VtLogExpPVol</vt:lpstr>
      <vt:lpstr>tlOutputCh4VtMachExp</vt:lpstr>
      <vt:lpstr>tlOutputCh4VtMachExpPct</vt:lpstr>
      <vt:lpstr>tlOutputCh4VtMachExpPctPVol</vt:lpstr>
      <vt:lpstr>tlOutputCh4VtMachExpPVol</vt:lpstr>
      <vt:lpstr>tlOutputCh4VtMatExp</vt:lpstr>
      <vt:lpstr>tlOutputCh4VtMatExpPct</vt:lpstr>
      <vt:lpstr>tlOutputCh4VtMatExpPctPVol</vt:lpstr>
      <vt:lpstr>tlOutputCh4VtMatExpPVol</vt:lpstr>
      <vt:lpstr>tlOutputCh4Vtstaple1</vt:lpstr>
      <vt:lpstr>tlOutputCh4Vtstaple2</vt:lpstr>
      <vt:lpstr>tlOutputCh4Vtstaple3</vt:lpstr>
      <vt:lpstr>tlOutputCh4Vtstaple4</vt:lpstr>
      <vt:lpstr>tlOutputCh4VtTotalCOGs</vt:lpstr>
      <vt:lpstr>tlOutputCh4VtTotalCOGsPct</vt:lpstr>
      <vt:lpstr>tlOutputCh4VtTotalCOGsPctPVol</vt:lpstr>
      <vt:lpstr>tlOutputCh4VtTotalCOGsPVol</vt:lpstr>
      <vt:lpstr>tlOutputCh4VtTotalRev</vt:lpstr>
      <vt:lpstr>tlOutputCh4VtTotalRevPct</vt:lpstr>
      <vt:lpstr>tlOutputCh4VtTotalRevPctPVol</vt:lpstr>
      <vt:lpstr>tlOutputCh4VtTotalRevPVol</vt:lpstr>
      <vt:lpstr>tlOutputCh4VtTurn</vt:lpstr>
      <vt:lpstr>tlOutputCh4VtTurnPct</vt:lpstr>
      <vt:lpstr>tlOutputCh4VtTurnPctPVol</vt:lpstr>
      <vt:lpstr>tlOutputCh4VtTurnPVol</vt:lpstr>
      <vt:lpstr>tlOutputCh4VtUnitsSold</vt:lpstr>
      <vt:lpstr>tlOutputCh4VtVolSold</vt:lpstr>
      <vt:lpstr>tlOutputCh4VtWd</vt:lpstr>
      <vt:lpstr>tlOutputCh4WaterfallDelta1</vt:lpstr>
      <vt:lpstr>tlOutputCh4WaterfallDelta2</vt:lpstr>
      <vt:lpstr>tlOutputCh4WaterfallDelta3</vt:lpstr>
      <vt:lpstr>tlOutputCh4WaterfallDelta4</vt:lpstr>
      <vt:lpstr>tlOutputCh4WaterfallEnd</vt:lpstr>
      <vt:lpstr>tlOutputCh4WaterfallInvisible1</vt:lpstr>
      <vt:lpstr>tlOutputCh4WaterfallInvisible2</vt:lpstr>
      <vt:lpstr>tlOutputCh4WaterfallInvisible3</vt:lpstr>
      <vt:lpstr>tlOutputCh4WaterfallInvisible4</vt:lpstr>
      <vt:lpstr>tlOutputCh4WaterfallInvisible5</vt:lpstr>
      <vt:lpstr>tlOutputCh4WaterfallInvisible6</vt:lpstr>
      <vt:lpstr>tlOutputCh4WaterfallStart</vt:lpstr>
      <vt:lpstr>tlOutputCh4WaterfallVisible1</vt:lpstr>
      <vt:lpstr>tlOutputCh4WaterfallVisible2</vt:lpstr>
      <vt:lpstr>tlOutputCh4WaterfallVisible3</vt:lpstr>
      <vt:lpstr>tlOutputCh4WaterfallVisible4</vt:lpstr>
      <vt:lpstr>tlOutputCh4WaterfallVisible5</vt:lpstr>
      <vt:lpstr>tlOutputCh4WaterfallVisible6</vt:lpstr>
      <vt:lpstr>tlOutputCh4WaterfallxLabel1</vt:lpstr>
      <vt:lpstr>tlOutputCh4WaterfallxLabel2</vt:lpstr>
      <vt:lpstr>tlOutputCh4WaterfallxLabel3</vt:lpstr>
      <vt:lpstr>tlOutputCh4WaterfallxLabel4</vt:lpstr>
      <vt:lpstr>tlOutputCh4WaterfallxLabel5</vt:lpstr>
      <vt:lpstr>tlOutputCh4WaterfallxLabel6</vt:lpstr>
      <vt:lpstr>tlOutputChartEmp1Heading</vt:lpstr>
      <vt:lpstr>tlOutputChartEmp1Marketing</vt:lpstr>
      <vt:lpstr>tlOutputChartEmp1NewSlots</vt:lpstr>
      <vt:lpstr>tlOutputChartEmp1PackInnovation</vt:lpstr>
      <vt:lpstr>tlOutputChartEmp1Promotions</vt:lpstr>
      <vt:lpstr>tlOutputChartEmp1Reports</vt:lpstr>
      <vt:lpstr>tlOutputChartEmp1SI</vt:lpstr>
      <vt:lpstr>tlOutputChartEmp1Unassigned</vt:lpstr>
      <vt:lpstr>tlOutputChartEmp1ValDriv</vt:lpstr>
      <vt:lpstr>tlOutputDB1Item1</vt:lpstr>
      <vt:lpstr>tlOutputDB1Item1Label</vt:lpstr>
      <vt:lpstr>tlOutputDB1Item2</vt:lpstr>
      <vt:lpstr>tlOutputDB1Item2Label</vt:lpstr>
      <vt:lpstr>tlOutputDB1Item3</vt:lpstr>
      <vt:lpstr>tlOutputDB1Item3Label</vt:lpstr>
      <vt:lpstr>tlOutputDB1Item4</vt:lpstr>
      <vt:lpstr>tlOutputDB1Item4Label</vt:lpstr>
      <vt:lpstr>tlOutputDB1SubItem1</vt:lpstr>
      <vt:lpstr>tlOutputDB1SubItem2</vt:lpstr>
      <vt:lpstr>tlOutputDB1SubItem3</vt:lpstr>
      <vt:lpstr>tlOutputDB1SubItem4</vt:lpstr>
      <vt:lpstr>tlOutputDB2Item1</vt:lpstr>
      <vt:lpstr>tlOutputDB2Item1Label</vt:lpstr>
      <vt:lpstr>tlOutputDB2Item2</vt:lpstr>
      <vt:lpstr>tlOutputDB2Item2Label</vt:lpstr>
      <vt:lpstr>tlOutputDB2Item3</vt:lpstr>
      <vt:lpstr>tlOutputDB2Item3Label</vt:lpstr>
      <vt:lpstr>tlOutputDB2Item4</vt:lpstr>
      <vt:lpstr>tlOutputDB2Item4Label</vt:lpstr>
      <vt:lpstr>tlOutputDB2SubItem1</vt:lpstr>
      <vt:lpstr>tlOutputDB2SubItem2</vt:lpstr>
      <vt:lpstr>tlOutputDB2SubItem3</vt:lpstr>
      <vt:lpstr>tlOutputDB2SubItem4</vt:lpstr>
      <vt:lpstr>tlOutputDB3Item1</vt:lpstr>
      <vt:lpstr>tlOutputDB3Item1Label</vt:lpstr>
      <vt:lpstr>tlOutputDB3Item2</vt:lpstr>
      <vt:lpstr>tlOutputDB3Item2Label</vt:lpstr>
      <vt:lpstr>tlOutputDB3Item3</vt:lpstr>
      <vt:lpstr>tlOutputDB3Item3Label</vt:lpstr>
      <vt:lpstr>tlOutputDB3Item4</vt:lpstr>
      <vt:lpstr>tlOutputDB3Item4Label</vt:lpstr>
      <vt:lpstr>tlOutputDB3SubItem1</vt:lpstr>
      <vt:lpstr>tlOutputDB3SubItem2</vt:lpstr>
      <vt:lpstr>tlOutputDB3SubItem3</vt:lpstr>
      <vt:lpstr>tlOutputDB3SubItem4</vt:lpstr>
      <vt:lpstr>tlOutputDB4Item1</vt:lpstr>
      <vt:lpstr>tlOutputDB4Item1Label</vt:lpstr>
      <vt:lpstr>tlOutputDB4Item2</vt:lpstr>
      <vt:lpstr>tlOutputDB4Item2Label</vt:lpstr>
      <vt:lpstr>tlOutputDB4Item3</vt:lpstr>
      <vt:lpstr>tlOutputDB4Item3Label</vt:lpstr>
      <vt:lpstr>tlOutputDB4Item4</vt:lpstr>
      <vt:lpstr>tlOutputDB4Item4Label</vt:lpstr>
      <vt:lpstr>tlOutputDB4SubItem1</vt:lpstr>
      <vt:lpstr>tlOutputDB4SubItem2</vt:lpstr>
      <vt:lpstr>tlOutputDB4SubItem3</vt:lpstr>
      <vt:lpstr>tlOutputDB4SubItem4</vt:lpstr>
      <vt:lpstr>tlOutputDB5Item1</vt:lpstr>
      <vt:lpstr>tlOutputDB5Item1Label</vt:lpstr>
      <vt:lpstr>tlOutputDB5Item2</vt:lpstr>
      <vt:lpstr>tlOutputDB5Item2Label</vt:lpstr>
      <vt:lpstr>tlOutputDB5Item3</vt:lpstr>
      <vt:lpstr>tlOutputDB5Item3Label</vt:lpstr>
      <vt:lpstr>tlOutputDB5Item4</vt:lpstr>
      <vt:lpstr>tlOutputDB5Item4Label</vt:lpstr>
      <vt:lpstr>tlOutputDB5SubItem1</vt:lpstr>
      <vt:lpstr>tlOutputDB5SubItem2</vt:lpstr>
      <vt:lpstr>tlOutputDB5SubItem3</vt:lpstr>
      <vt:lpstr>tlOutputDB5SubItem4</vt:lpstr>
      <vt:lpstr>tlOutputDB6Item1</vt:lpstr>
      <vt:lpstr>tlOutputDB6Item1Label</vt:lpstr>
      <vt:lpstr>tlOutputDB6Item2</vt:lpstr>
      <vt:lpstr>tlOutputDB6Item2Label</vt:lpstr>
      <vt:lpstr>tlOutputDB6Item3</vt:lpstr>
      <vt:lpstr>tlOutputDB6Item3Label</vt:lpstr>
      <vt:lpstr>tlOutputDB6Item4</vt:lpstr>
      <vt:lpstr>tlOutputDB6Item4Label</vt:lpstr>
      <vt:lpstr>tlOutputDB6SubItem1</vt:lpstr>
      <vt:lpstr>tlOutputDB6SubItem2</vt:lpstr>
      <vt:lpstr>tlOutputDB6SubItem3</vt:lpstr>
      <vt:lpstr>tlOutputDB6SubItem4</vt:lpstr>
      <vt:lpstr>tlOutputDecSumCh1Prod1Slot1</vt:lpstr>
      <vt:lpstr>tlOutputDecSumCh1Prod1Slot1CP</vt:lpstr>
      <vt:lpstr>tlOutputDecSumCh1Prod1Slot1Pack</vt:lpstr>
      <vt:lpstr>tlOutputDecSumCh1Prod1Slot1Promo1</vt:lpstr>
      <vt:lpstr>tlOutputDecSumCh1Prod1Slot1Promo2</vt:lpstr>
      <vt:lpstr>tlOutputDecSumCh1Prod1Slot1PS1</vt:lpstr>
      <vt:lpstr>tlOutputDecSumCh1Prod1Slot1PS2</vt:lpstr>
      <vt:lpstr>tlOutputDecSumCh1Prod1Slot1PW1</vt:lpstr>
      <vt:lpstr>tlOutputDecSumCh1Prod1Slot1PW2</vt:lpstr>
      <vt:lpstr>tlOutputDecSumCh1Prod1Slot1SF</vt:lpstr>
      <vt:lpstr>tlOutputDecSumCh1Prod1Slot2</vt:lpstr>
      <vt:lpstr>tlOutputDecSumCh1Prod1Slot2CP</vt:lpstr>
      <vt:lpstr>tlOutputDecSumCh1Prod1Slot2Pack</vt:lpstr>
      <vt:lpstr>tlOutputDecSumCh1Prod1Slot2Promo1</vt:lpstr>
      <vt:lpstr>tlOutputDecSumCh1Prod1Slot2Promo2</vt:lpstr>
      <vt:lpstr>tlOutputDecSumCh1Prod1Slot2PS1</vt:lpstr>
      <vt:lpstr>tlOutputDecSumCh1Prod1Slot2PS2</vt:lpstr>
      <vt:lpstr>tlOutputDecSumCh1Prod1Slot2PW1</vt:lpstr>
      <vt:lpstr>tlOutputDecSumCh1Prod1Slot2PW2</vt:lpstr>
      <vt:lpstr>tlOutputDecSumCh1Prod1Slot2SF</vt:lpstr>
      <vt:lpstr>tlOutputDecSumCh1Prod1Slot3</vt:lpstr>
      <vt:lpstr>tlOutputDecSumCh1Prod1Slot3CP</vt:lpstr>
      <vt:lpstr>tlOutputDecSumCh1Prod1Slot3Pack</vt:lpstr>
      <vt:lpstr>tlOutputDecSumCh1Prod1Slot3Promo1</vt:lpstr>
      <vt:lpstr>tlOutputDecSumCh1Prod1Slot3Promo2</vt:lpstr>
      <vt:lpstr>tlOutputDecSumCh1Prod1Slot3PS1</vt:lpstr>
      <vt:lpstr>tlOutputDecSumCh1Prod1Slot3PS2</vt:lpstr>
      <vt:lpstr>tlOutputDecSumCh1Prod1Slot3PW1</vt:lpstr>
      <vt:lpstr>tlOutputDecSumCh1Prod1Slot3PW2</vt:lpstr>
      <vt:lpstr>tlOutputDecSumCh1Prod1Slot3SF</vt:lpstr>
      <vt:lpstr>tlOutputDecSumCh1Prod2Slot1</vt:lpstr>
      <vt:lpstr>tlOutputDecSumCh1Prod2Slot1CP</vt:lpstr>
      <vt:lpstr>tlOutputDecSumCh1Prod2Slot1Pack</vt:lpstr>
      <vt:lpstr>tlOutputDecSumCh1Prod2Slot1Promo1</vt:lpstr>
      <vt:lpstr>tlOutputDecSumCh1Prod2Slot1Promo2</vt:lpstr>
      <vt:lpstr>tlOutputDecSumCh1Prod2Slot1PS1</vt:lpstr>
      <vt:lpstr>tlOutputDecSumCh1Prod2Slot1PS2</vt:lpstr>
      <vt:lpstr>tlOutputDecSumCh1Prod2Slot1PW1</vt:lpstr>
      <vt:lpstr>tlOutputDecSumCh1Prod2Slot1PW2</vt:lpstr>
      <vt:lpstr>tlOutputDecSumCh1Prod2Slot1SF</vt:lpstr>
      <vt:lpstr>tlOutputDecSumCh1Prod2Slot2</vt:lpstr>
      <vt:lpstr>tlOutputDecSumCh1Prod2Slot2CP</vt:lpstr>
      <vt:lpstr>tlOutputDecSumCh1Prod2Slot2Pack</vt:lpstr>
      <vt:lpstr>tlOutputDecSumCh1Prod2Slot2Promo1</vt:lpstr>
      <vt:lpstr>tlOutputDecSumCh1Prod2Slot2Promo2</vt:lpstr>
      <vt:lpstr>tlOutputDecSumCh1Prod2Slot2PS1</vt:lpstr>
      <vt:lpstr>tlOutputDecSumCh1Prod2Slot2PS2</vt:lpstr>
      <vt:lpstr>tlOutputDecSumCh1Prod2Slot2PW1</vt:lpstr>
      <vt:lpstr>tlOutputDecSumCh1Prod2Slot2PW2</vt:lpstr>
      <vt:lpstr>tlOutputDecSumCh1Prod2Slot2SF</vt:lpstr>
      <vt:lpstr>tlOutputDecSumCh1Prod2Slot3</vt:lpstr>
      <vt:lpstr>tlOutputDecSumCh1Prod2Slot3CP</vt:lpstr>
      <vt:lpstr>tlOutputDecSumCh1Prod2Slot3Pack</vt:lpstr>
      <vt:lpstr>tlOutputDecSumCh1Prod2Slot3Promo1</vt:lpstr>
      <vt:lpstr>tlOutputDecSumCh1Prod2Slot3Promo2</vt:lpstr>
      <vt:lpstr>tlOutputDecSumCh1Prod2Slot3PS1</vt:lpstr>
      <vt:lpstr>tlOutputDecSumCh1Prod2Slot3PS2</vt:lpstr>
      <vt:lpstr>tlOutputDecSumCh1Prod2Slot3PW1</vt:lpstr>
      <vt:lpstr>tlOutputDecSumCh1Prod2Slot3PW2</vt:lpstr>
      <vt:lpstr>tlOutputDecSumCh1Prod2Slot3SF</vt:lpstr>
      <vt:lpstr>tlOutputDecSumCh1Prod3Slot1</vt:lpstr>
      <vt:lpstr>tlOutputDecSumCh1Prod3Slot1CP</vt:lpstr>
      <vt:lpstr>tlOutputDecSumCh1Prod3Slot1Pack</vt:lpstr>
      <vt:lpstr>tlOutputDecSumCh1Prod3Slot1Promo1</vt:lpstr>
      <vt:lpstr>tlOutputDecSumCh1Prod3Slot1Promo2</vt:lpstr>
      <vt:lpstr>tlOutputDecSumCh1Prod3Slot1PS1</vt:lpstr>
      <vt:lpstr>tlOutputDecSumCh1Prod3Slot1PS2</vt:lpstr>
      <vt:lpstr>tlOutputDecSumCh1Prod3Slot1PW1</vt:lpstr>
      <vt:lpstr>tlOutputDecSumCh1Prod3Slot1PW2</vt:lpstr>
      <vt:lpstr>tlOutputDecSumCh1Prod3Slot1SF</vt:lpstr>
      <vt:lpstr>tlOutputDecSumCh1Prod3Slot2</vt:lpstr>
      <vt:lpstr>tlOutputDecSumCh1Prod3Slot2CP</vt:lpstr>
      <vt:lpstr>tlOutputDecSumCh1Prod3Slot2Pack</vt:lpstr>
      <vt:lpstr>tlOutputDecSumCh1Prod3Slot2Promo1</vt:lpstr>
      <vt:lpstr>tlOutputDecSumCh1Prod3Slot2Promo2</vt:lpstr>
      <vt:lpstr>tlOutputDecSumCh1Prod3Slot2PS1</vt:lpstr>
      <vt:lpstr>tlOutputDecSumCh1Prod3Slot2PS2</vt:lpstr>
      <vt:lpstr>tlOutputDecSumCh1Prod3Slot2PW1</vt:lpstr>
      <vt:lpstr>tlOutputDecSumCh1Prod3Slot2PW2</vt:lpstr>
      <vt:lpstr>tlOutputDecSumCh1Prod3Slot2SF</vt:lpstr>
      <vt:lpstr>tlOutputDecSumCh1Prod3Slot3</vt:lpstr>
      <vt:lpstr>tlOutputDecSumCh1Prod3Slot3CP</vt:lpstr>
      <vt:lpstr>tlOutputDecSumCh1Prod3Slot3Pack</vt:lpstr>
      <vt:lpstr>tlOutputDecSumCh1Prod3Slot3Promo1</vt:lpstr>
      <vt:lpstr>tlOutputDecSumCh1Prod3Slot3Promo2</vt:lpstr>
      <vt:lpstr>tlOutputDecSumCh1Prod3Slot3PS1</vt:lpstr>
      <vt:lpstr>tlOutputDecSumCh1Prod3Slot3PS2</vt:lpstr>
      <vt:lpstr>tlOutputDecSumCh1Prod3Slot3PW1</vt:lpstr>
      <vt:lpstr>tlOutputDecSumCh1Prod3Slot3PW2</vt:lpstr>
      <vt:lpstr>tlOutputDecSumCh1Prod3Slot3SF</vt:lpstr>
      <vt:lpstr>tlOutputDecSumCh1Prod4Slot1</vt:lpstr>
      <vt:lpstr>tlOutputDecSumCh1Prod4Slot1CP</vt:lpstr>
      <vt:lpstr>tlOutputDecSumCh1Prod4Slot1Pack</vt:lpstr>
      <vt:lpstr>tlOutputDecSumCh1Prod4Slot1Promo1</vt:lpstr>
      <vt:lpstr>tlOutputDecSumCh1Prod4Slot1Promo2</vt:lpstr>
      <vt:lpstr>tlOutputDecSumCh1Prod4Slot1PS1</vt:lpstr>
      <vt:lpstr>tlOutputDecSumCh1Prod4Slot1PS2</vt:lpstr>
      <vt:lpstr>tlOutputDecSumCh1Prod4Slot1PW1</vt:lpstr>
      <vt:lpstr>tlOutputDecSumCh1Prod4Slot1PW2</vt:lpstr>
      <vt:lpstr>tlOutputDecSumCh1Prod4Slot1SF</vt:lpstr>
      <vt:lpstr>tlOutputDecSumCh1Prod4Slot2</vt:lpstr>
      <vt:lpstr>tlOutputDecSumCh1Prod4Slot2CP</vt:lpstr>
      <vt:lpstr>tlOutputDecSumCh1Prod4Slot2Pack</vt:lpstr>
      <vt:lpstr>tlOutputDecSumCh1Prod4Slot2Promo1</vt:lpstr>
      <vt:lpstr>tlOutputDecSumCh1Prod4Slot2Promo2</vt:lpstr>
      <vt:lpstr>tlOutputDecSumCh1Prod4Slot2PS1</vt:lpstr>
      <vt:lpstr>tlOutputDecSumCh1Prod4Slot2PS2</vt:lpstr>
      <vt:lpstr>tlOutputDecSumCh1Prod4Slot2PW1</vt:lpstr>
      <vt:lpstr>tlOutputDecSumCh1Prod4Slot2PW2</vt:lpstr>
      <vt:lpstr>tlOutputDecSumCh1Prod4Slot2SF</vt:lpstr>
      <vt:lpstr>tlOutputDecSumCh1Prod4Slot3</vt:lpstr>
      <vt:lpstr>tlOutputDecSumCh1Prod4Slot3CP</vt:lpstr>
      <vt:lpstr>tlOutputDecSumCh1Prod4Slot3Pack</vt:lpstr>
      <vt:lpstr>tlOutputDecSumCh1Prod4Slot3Promo1</vt:lpstr>
      <vt:lpstr>tlOutputDecSumCh1Prod4Slot3Promo2</vt:lpstr>
      <vt:lpstr>tlOutputDecSumCh1Prod4Slot3PS1</vt:lpstr>
      <vt:lpstr>tlOutputDecSumCh1Prod4Slot3PS2</vt:lpstr>
      <vt:lpstr>tlOutputDecSumCh1Prod4Slot3PW1</vt:lpstr>
      <vt:lpstr>tlOutputDecSumCh1Prod4Slot3PW2</vt:lpstr>
      <vt:lpstr>tlOutputDecSumCh1Prod4Slot3SF</vt:lpstr>
      <vt:lpstr>tlOutputDecSumCh2Prod1Slot1</vt:lpstr>
      <vt:lpstr>tlOutputDecSumCh2Prod1Slot1CP</vt:lpstr>
      <vt:lpstr>tlOutputDecSumCh2Prod1Slot1Pack</vt:lpstr>
      <vt:lpstr>tlOutputDecSumCh2Prod1Slot1Promo1</vt:lpstr>
      <vt:lpstr>tlOutputDecSumCh2Prod1Slot1Promo2</vt:lpstr>
      <vt:lpstr>tlOutputDecSumCh2Prod1Slot1PS1</vt:lpstr>
      <vt:lpstr>tlOutputDecSumCh2Prod1Slot1PS2</vt:lpstr>
      <vt:lpstr>tlOutputDecSumCh2Prod1Slot1PW1</vt:lpstr>
      <vt:lpstr>tlOutputDecSumCh2Prod1Slot1PW2</vt:lpstr>
      <vt:lpstr>tlOutputDecSumCh2Prod1Slot1SF</vt:lpstr>
      <vt:lpstr>tlOutputDecSumCh2Prod1Slot2</vt:lpstr>
      <vt:lpstr>tlOutputDecSumCh2Prod1Slot2CP</vt:lpstr>
      <vt:lpstr>tlOutputDecSumCh2Prod1Slot2Pack</vt:lpstr>
      <vt:lpstr>tlOutputDecSumCh2Prod1Slot2Promo1</vt:lpstr>
      <vt:lpstr>tlOutputDecSumCh2Prod1Slot2Promo2</vt:lpstr>
      <vt:lpstr>tlOutputDecSumCh2Prod1Slot2PS1</vt:lpstr>
      <vt:lpstr>tlOutputDecSumCh2Prod1Slot2PS2</vt:lpstr>
      <vt:lpstr>tlOutputDecSumCh2Prod1Slot2PW1</vt:lpstr>
      <vt:lpstr>tlOutputDecSumCh2Prod1Slot2PW2</vt:lpstr>
      <vt:lpstr>tlOutputDecSumCh2Prod1Slot2SF</vt:lpstr>
      <vt:lpstr>tlOutputDecSumCh2Prod1Slot3</vt:lpstr>
      <vt:lpstr>tlOutputDecSumCh2Prod1Slot3CP</vt:lpstr>
      <vt:lpstr>tlOutputDecSumCh2Prod1Slot3Pack</vt:lpstr>
      <vt:lpstr>tlOutputDecSumCh2Prod1Slot3Promo1</vt:lpstr>
      <vt:lpstr>tlOutputDecSumCh2Prod1Slot3Promo2</vt:lpstr>
      <vt:lpstr>tlOutputDecSumCh2Prod1Slot3PS1</vt:lpstr>
      <vt:lpstr>tlOutputDecSumCh2Prod1Slot3PS2</vt:lpstr>
      <vt:lpstr>tlOutputDecSumCh2Prod1Slot3PW1</vt:lpstr>
      <vt:lpstr>tlOutputDecSumCh2Prod1Slot3PW2</vt:lpstr>
      <vt:lpstr>tlOutputDecSumCh2Prod1Slot3SF</vt:lpstr>
      <vt:lpstr>tlOutputDecSumCh2Prod2Slot1</vt:lpstr>
      <vt:lpstr>tlOutputDecSumCh2Prod2Slot1CP</vt:lpstr>
      <vt:lpstr>tlOutputDecSumCh2Prod2Slot1Pack</vt:lpstr>
      <vt:lpstr>tlOutputDecSumCh2Prod2Slot1Promo1</vt:lpstr>
      <vt:lpstr>tlOutputDecSumCh2Prod2Slot1Promo2</vt:lpstr>
      <vt:lpstr>tlOutputDecSumCh2Prod2Slot1PS1</vt:lpstr>
      <vt:lpstr>tlOutputDecSumCh2Prod2Slot1PS2</vt:lpstr>
      <vt:lpstr>tlOutputDecSumCh2Prod2Slot1PW1</vt:lpstr>
      <vt:lpstr>tlOutputDecSumCh2Prod2Slot1PW2</vt:lpstr>
      <vt:lpstr>tlOutputDecSumCh2Prod2Slot1SF</vt:lpstr>
      <vt:lpstr>tlOutputDecSumCh2Prod2Slot2</vt:lpstr>
      <vt:lpstr>tlOutputDecSumCh2Prod2Slot2CP</vt:lpstr>
      <vt:lpstr>tlOutputDecSumCh2Prod2Slot2Pack</vt:lpstr>
      <vt:lpstr>tlOutputDecSumCh2Prod2Slot2Promo1</vt:lpstr>
      <vt:lpstr>tlOutputDecSumCh2Prod2Slot2Promo2</vt:lpstr>
      <vt:lpstr>tlOutputDecSumCh2Prod2Slot2PS1</vt:lpstr>
      <vt:lpstr>tlOutputDecSumCh2Prod2Slot2PS2</vt:lpstr>
      <vt:lpstr>tlOutputDecSumCh2Prod2Slot2PW1</vt:lpstr>
      <vt:lpstr>tlOutputDecSumCh2Prod2Slot2PW2</vt:lpstr>
      <vt:lpstr>tlOutputDecSumCh2Prod2Slot2SF</vt:lpstr>
      <vt:lpstr>tlOutputDecSumCh2Prod2Slot3</vt:lpstr>
      <vt:lpstr>tlOutputDecSumCh2Prod2Slot3CP</vt:lpstr>
      <vt:lpstr>tlOutputDecSumCh2Prod2Slot3Pack</vt:lpstr>
      <vt:lpstr>tlOutputDecSumCh2Prod2Slot3Promo1</vt:lpstr>
      <vt:lpstr>tlOutputDecSumCh2Prod2Slot3Promo2</vt:lpstr>
      <vt:lpstr>tlOutputDecSumCh2Prod2Slot3PS1</vt:lpstr>
      <vt:lpstr>tlOutputDecSumCh2Prod2Slot3PS2</vt:lpstr>
      <vt:lpstr>tlOutputDecSumCh2Prod2Slot3PW1</vt:lpstr>
      <vt:lpstr>tlOutputDecSumCh2Prod2Slot3PW2</vt:lpstr>
      <vt:lpstr>tlOutputDecSumCh2Prod2Slot3SF</vt:lpstr>
      <vt:lpstr>tlOutputDecSumCh2Prod3Slot1</vt:lpstr>
      <vt:lpstr>tlOutputDecSumCh2Prod3Slot1CP</vt:lpstr>
      <vt:lpstr>tlOutputDecSumCh2Prod3Slot1Pack</vt:lpstr>
      <vt:lpstr>tlOutputDecSumCh2Prod3Slot1Promo1</vt:lpstr>
      <vt:lpstr>tlOutputDecSumCh2Prod3Slot1Promo2</vt:lpstr>
      <vt:lpstr>tlOutputDecSumCh2Prod3Slot1PS1</vt:lpstr>
      <vt:lpstr>tlOutputDecSumCh2Prod3Slot1PS2</vt:lpstr>
      <vt:lpstr>tlOutputDecSumCh2Prod3Slot1PW1</vt:lpstr>
      <vt:lpstr>tlOutputDecSumCh2Prod3Slot1PW2</vt:lpstr>
      <vt:lpstr>tlOutputDecSumCh2Prod3Slot1SF</vt:lpstr>
      <vt:lpstr>tlOutputDecSumCh2Prod3Slot2</vt:lpstr>
      <vt:lpstr>tlOutputDecSumCh2Prod3Slot2CP</vt:lpstr>
      <vt:lpstr>tlOutputDecSumCh2Prod3Slot2Pack</vt:lpstr>
      <vt:lpstr>tlOutputDecSumCh2Prod3Slot2Promo1</vt:lpstr>
      <vt:lpstr>tlOutputDecSumCh2Prod3Slot2Promo2</vt:lpstr>
      <vt:lpstr>tlOutputDecSumCh2Prod3Slot2PS1</vt:lpstr>
      <vt:lpstr>tlOutputDecSumCh2Prod3Slot2PS2</vt:lpstr>
      <vt:lpstr>tlOutputDecSumCh2Prod3Slot2PW1</vt:lpstr>
      <vt:lpstr>tlOutputDecSumCh2Prod3Slot2PW2</vt:lpstr>
      <vt:lpstr>tlOutputDecSumCh2Prod3Slot2SF</vt:lpstr>
      <vt:lpstr>tlOutputDecSumCh2Prod3Slot3</vt:lpstr>
      <vt:lpstr>tlOutputDecSumCh2Prod3Slot3CP</vt:lpstr>
      <vt:lpstr>tlOutputDecSumCh2Prod3Slot3Pack</vt:lpstr>
      <vt:lpstr>tlOutputDecSumCh2Prod3Slot3Promo1</vt:lpstr>
      <vt:lpstr>tlOutputDecSumCh2Prod3Slot3Promo2</vt:lpstr>
      <vt:lpstr>tlOutputDecSumCh2Prod3Slot3PS1</vt:lpstr>
      <vt:lpstr>tlOutputDecSumCh2Prod3Slot3PS2</vt:lpstr>
      <vt:lpstr>tlOutputDecSumCh2Prod3Slot3PW1</vt:lpstr>
      <vt:lpstr>tlOutputDecSumCh2Prod3Slot3PW2</vt:lpstr>
      <vt:lpstr>tlOutputDecSumCh2Prod3Slot3SF</vt:lpstr>
      <vt:lpstr>tlOutputDecSumCh2Prod4Slot1</vt:lpstr>
      <vt:lpstr>tlOutputDecSumCh2Prod4Slot1CP</vt:lpstr>
      <vt:lpstr>tlOutputDecSumCh2Prod4Slot1Pack</vt:lpstr>
      <vt:lpstr>tlOutputDecSumCh2Prod4Slot1Promo1</vt:lpstr>
      <vt:lpstr>tlOutputDecSumCh2Prod4Slot1Promo2</vt:lpstr>
      <vt:lpstr>tlOutputDecSumCh2Prod4Slot1PS1</vt:lpstr>
      <vt:lpstr>tlOutputDecSumCh2Prod4Slot1PS2</vt:lpstr>
      <vt:lpstr>tlOutputDecSumCh2Prod4Slot1PW1</vt:lpstr>
      <vt:lpstr>tlOutputDecSumCh2Prod4Slot1PW2</vt:lpstr>
      <vt:lpstr>tlOutputDecSumCh2Prod4Slot1SF</vt:lpstr>
      <vt:lpstr>tlOutputDecSumCh2Prod4Slot2</vt:lpstr>
      <vt:lpstr>tlOutputDecSumCh2Prod4Slot2CP</vt:lpstr>
      <vt:lpstr>tlOutputDecSumCh2Prod4Slot2Pack</vt:lpstr>
      <vt:lpstr>tlOutputDecSumCh2Prod4Slot2Promo1</vt:lpstr>
      <vt:lpstr>tlOutputDecSumCh2Prod4Slot2Promo2</vt:lpstr>
      <vt:lpstr>tlOutputDecSumCh2Prod4Slot2PS1</vt:lpstr>
      <vt:lpstr>tlOutputDecSumCh2Prod4Slot2PS2</vt:lpstr>
      <vt:lpstr>tlOutputDecSumCh2Prod4Slot2PW1</vt:lpstr>
      <vt:lpstr>tlOutputDecSumCh2Prod4Slot2PW2</vt:lpstr>
      <vt:lpstr>tlOutputDecSumCh2Prod4Slot2SF</vt:lpstr>
      <vt:lpstr>tlOutputDecSumCh2Prod4Slot3</vt:lpstr>
      <vt:lpstr>tlOutputDecSumCh2Prod4Slot3CP</vt:lpstr>
      <vt:lpstr>tlOutputDecSumCh2Prod4Slot3Pack</vt:lpstr>
      <vt:lpstr>tlOutputDecSumCh2Prod4Slot3Promo1</vt:lpstr>
      <vt:lpstr>tlOutputDecSumCh2Prod4Slot3Promo2</vt:lpstr>
      <vt:lpstr>tlOutputDecSumCh2Prod4Slot3PS1</vt:lpstr>
      <vt:lpstr>tlOutputDecSumCh2Prod4Slot3PS2</vt:lpstr>
      <vt:lpstr>tlOutputDecSumCh2Prod4Slot3PW1</vt:lpstr>
      <vt:lpstr>tlOutputDecSumCh2Prod4Slot3PW2</vt:lpstr>
      <vt:lpstr>tlOutputDecSumCh2Prod4Slot3SF</vt:lpstr>
      <vt:lpstr>tlOutputDecSumCh3Prod1Slot1</vt:lpstr>
      <vt:lpstr>tlOutputDecSumCh3Prod1Slot1CP</vt:lpstr>
      <vt:lpstr>tlOutputDecSumCh3Prod1Slot1Pack</vt:lpstr>
      <vt:lpstr>tlOutputDecSumCh3Prod1Slot1Promo1</vt:lpstr>
      <vt:lpstr>tlOutputDecSumCh3Prod1Slot1Promo2</vt:lpstr>
      <vt:lpstr>tlOutputDecSumCh3Prod1Slot1PS1</vt:lpstr>
      <vt:lpstr>tlOutputDecSumCh3Prod1Slot1PS2</vt:lpstr>
      <vt:lpstr>tlOutputDecSumCh3Prod1Slot1PW1</vt:lpstr>
      <vt:lpstr>tlOutputDecSumCh3Prod1Slot1PW2</vt:lpstr>
      <vt:lpstr>tlOutputDecSumCh3Prod1Slot1SF</vt:lpstr>
      <vt:lpstr>tlOutputDecSumCh3Prod1Slot2</vt:lpstr>
      <vt:lpstr>tlOutputDecSumCh3Prod1Slot2CP</vt:lpstr>
      <vt:lpstr>tlOutputDecSumCh3Prod1Slot2Pack</vt:lpstr>
      <vt:lpstr>tlOutputDecSumCh3Prod1Slot2Promo1</vt:lpstr>
      <vt:lpstr>tlOutputDecSumCh3Prod1Slot2Promo2</vt:lpstr>
      <vt:lpstr>tlOutputDecSumCh3Prod1Slot2PS1</vt:lpstr>
      <vt:lpstr>tlOutputDecSumCh3Prod1Slot2PS2</vt:lpstr>
      <vt:lpstr>tlOutputDecSumCh3Prod1Slot2PW1</vt:lpstr>
      <vt:lpstr>tlOutputDecSumCh3Prod1Slot2PW2</vt:lpstr>
      <vt:lpstr>tlOutputDecSumCh3Prod1Slot2SF</vt:lpstr>
      <vt:lpstr>tlOutputDecSumCh3Prod1Slot3</vt:lpstr>
      <vt:lpstr>tlOutputDecSumCh3Prod1Slot3CP</vt:lpstr>
      <vt:lpstr>tlOutputDecSumCh3Prod1Slot3Pack</vt:lpstr>
      <vt:lpstr>tlOutputDecSumCh3Prod1Slot3Promo1</vt:lpstr>
      <vt:lpstr>tlOutputDecSumCh3Prod1Slot3Promo2</vt:lpstr>
      <vt:lpstr>tlOutputDecSumCh3Prod1Slot3PS1</vt:lpstr>
      <vt:lpstr>tlOutputDecSumCh3Prod1Slot3PS2</vt:lpstr>
      <vt:lpstr>tlOutputDecSumCh3Prod1Slot3PW1</vt:lpstr>
      <vt:lpstr>tlOutputDecSumCh3Prod1Slot3PW2</vt:lpstr>
      <vt:lpstr>tlOutputDecSumCh3Prod1Slot3SF</vt:lpstr>
      <vt:lpstr>tlOutputDecSumCh3Prod2Slot1</vt:lpstr>
      <vt:lpstr>tlOutputDecSumCh3Prod2Slot1CP</vt:lpstr>
      <vt:lpstr>tlOutputDecSumCh3Prod2Slot1Pack</vt:lpstr>
      <vt:lpstr>tlOutputDecSumCh3Prod2Slot1Promo1</vt:lpstr>
      <vt:lpstr>tlOutputDecSumCh3Prod2Slot1Promo2</vt:lpstr>
      <vt:lpstr>tlOutputDecSumCh3Prod2Slot1PS1</vt:lpstr>
      <vt:lpstr>tlOutputDecSumCh3Prod2Slot1PS2</vt:lpstr>
      <vt:lpstr>tlOutputDecSumCh3Prod2Slot1PW1</vt:lpstr>
      <vt:lpstr>tlOutputDecSumCh3Prod2Slot1PW2</vt:lpstr>
      <vt:lpstr>tlOutputDecSumCh3Prod2Slot1SF</vt:lpstr>
      <vt:lpstr>tlOutputDecSumCh3Prod2Slot2</vt:lpstr>
      <vt:lpstr>tlOutputDecSumCh3Prod2Slot2CP</vt:lpstr>
      <vt:lpstr>tlOutputDecSumCh3Prod2Slot2Pack</vt:lpstr>
      <vt:lpstr>tlOutputDecSumCh3Prod2Slot2Promo1</vt:lpstr>
      <vt:lpstr>tlOutputDecSumCh3Prod2Slot2Promo2</vt:lpstr>
      <vt:lpstr>tlOutputDecSumCh3Prod2Slot2PS1</vt:lpstr>
      <vt:lpstr>tlOutputDecSumCh3Prod2Slot2PS2</vt:lpstr>
      <vt:lpstr>tlOutputDecSumCh3Prod2Slot2PW1</vt:lpstr>
      <vt:lpstr>tlOutputDecSumCh3Prod2Slot2PW2</vt:lpstr>
      <vt:lpstr>tlOutputDecSumCh3Prod2Slot2SF</vt:lpstr>
      <vt:lpstr>tlOutputDecSumCh3Prod2Slot3</vt:lpstr>
      <vt:lpstr>tlOutputDecSumCh3Prod2Slot3CP</vt:lpstr>
      <vt:lpstr>tlOutputDecSumCh3Prod2Slot3Pack</vt:lpstr>
      <vt:lpstr>tlOutputDecSumCh3Prod2Slot3Promo1</vt:lpstr>
      <vt:lpstr>tlOutputDecSumCh3Prod2Slot3Promo2</vt:lpstr>
      <vt:lpstr>tlOutputDecSumCh3Prod2Slot3PS1</vt:lpstr>
      <vt:lpstr>tlOutputDecSumCh3Prod2Slot3PS2</vt:lpstr>
      <vt:lpstr>tlOutputDecSumCh3Prod2Slot3PW1</vt:lpstr>
      <vt:lpstr>tlOutputDecSumCh3Prod2Slot3PW2</vt:lpstr>
      <vt:lpstr>tlOutputDecSumCh3Prod2Slot3SF</vt:lpstr>
      <vt:lpstr>tlOutputDecSumCh3Prod3Slot1</vt:lpstr>
      <vt:lpstr>tlOutputDecSumCh3Prod3Slot1CP</vt:lpstr>
      <vt:lpstr>tlOutputDecSumCh3Prod3Slot1Pack</vt:lpstr>
      <vt:lpstr>tlOutputDecSumCh3Prod3Slot1Promo1</vt:lpstr>
      <vt:lpstr>tlOutputDecSumCh3Prod3Slot1Promo2</vt:lpstr>
      <vt:lpstr>tlOutputDecSumCh3Prod3Slot1PS1</vt:lpstr>
      <vt:lpstr>tlOutputDecSumCh3Prod3Slot1PS2</vt:lpstr>
      <vt:lpstr>tlOutputDecSumCh3Prod3Slot1PW1</vt:lpstr>
      <vt:lpstr>tlOutputDecSumCh3Prod3Slot1PW2</vt:lpstr>
      <vt:lpstr>tlOutputDecSumCh3Prod3Slot1SF</vt:lpstr>
      <vt:lpstr>tlOutputDecSumCh3Prod3Slot2</vt:lpstr>
      <vt:lpstr>tlOutputDecSumCh3Prod3Slot2CP</vt:lpstr>
      <vt:lpstr>tlOutputDecSumCh3Prod3Slot2Pack</vt:lpstr>
      <vt:lpstr>tlOutputDecSumCh3Prod3Slot2Promo1</vt:lpstr>
      <vt:lpstr>tlOutputDecSumCh3Prod3Slot2Promo2</vt:lpstr>
      <vt:lpstr>tlOutputDecSumCh3Prod3Slot2PS1</vt:lpstr>
      <vt:lpstr>tlOutputDecSumCh3Prod3Slot2PS2</vt:lpstr>
      <vt:lpstr>tlOutputDecSumCh3Prod3Slot2PW1</vt:lpstr>
      <vt:lpstr>tlOutputDecSumCh3Prod3Slot2PW2</vt:lpstr>
      <vt:lpstr>tlOutputDecSumCh3Prod3Slot2SF</vt:lpstr>
      <vt:lpstr>tlOutputDecSumCh3Prod3Slot3</vt:lpstr>
      <vt:lpstr>tlOutputDecSumCh3Prod3Slot3CP</vt:lpstr>
      <vt:lpstr>tlOutputDecSumCh3Prod3Slot3Pack</vt:lpstr>
      <vt:lpstr>tlOutputDecSumCh3Prod3Slot3Promo1</vt:lpstr>
      <vt:lpstr>tlOutputDecSumCh3Prod3Slot3Promo2</vt:lpstr>
      <vt:lpstr>tlOutputDecSumCh3Prod3Slot3PS1</vt:lpstr>
      <vt:lpstr>tlOutputDecSumCh3Prod3Slot3PS2</vt:lpstr>
      <vt:lpstr>tlOutputDecSumCh3Prod3Slot3PW1</vt:lpstr>
      <vt:lpstr>tlOutputDecSumCh3Prod3Slot3PW2</vt:lpstr>
      <vt:lpstr>tlOutputDecSumCh3Prod3Slot3SF</vt:lpstr>
      <vt:lpstr>tlOutputDecSumCh3Prod4Slot1</vt:lpstr>
      <vt:lpstr>tlOutputDecSumCh3Prod4Slot1CP</vt:lpstr>
      <vt:lpstr>tlOutputDecSumCh3Prod4Slot1Pack</vt:lpstr>
      <vt:lpstr>tlOutputDecSumCh3Prod4Slot1Promo1</vt:lpstr>
      <vt:lpstr>tlOutputDecSumCh3Prod4Slot1Promo2</vt:lpstr>
      <vt:lpstr>tlOutputDecSumCh3Prod4Slot1PS1</vt:lpstr>
      <vt:lpstr>tlOutputDecSumCh3Prod4Slot1PS2</vt:lpstr>
      <vt:lpstr>tlOutputDecSumCh3Prod4Slot1PW1</vt:lpstr>
      <vt:lpstr>tlOutputDecSumCh3Prod4Slot1PW2</vt:lpstr>
      <vt:lpstr>tlOutputDecSumCh3Prod4Slot1SF</vt:lpstr>
      <vt:lpstr>tlOutputDecSumCh3Prod4Slot2</vt:lpstr>
      <vt:lpstr>tlOutputDecSumCh3Prod4Slot2CP</vt:lpstr>
      <vt:lpstr>tlOutputDecSumCh3Prod4Slot2Pack</vt:lpstr>
      <vt:lpstr>tlOutputDecSumCh3Prod4Slot2Promo1</vt:lpstr>
      <vt:lpstr>tlOutputDecSumCh3Prod4Slot2Promo2</vt:lpstr>
      <vt:lpstr>tlOutputDecSumCh3Prod4Slot2PS1</vt:lpstr>
      <vt:lpstr>tlOutputDecSumCh3Prod4Slot2PS2</vt:lpstr>
      <vt:lpstr>tlOutputDecSumCh3Prod4Slot2PW1</vt:lpstr>
      <vt:lpstr>tlOutputDecSumCh3Prod4Slot2PW2</vt:lpstr>
      <vt:lpstr>tlOutputDecSumCh3Prod4Slot2SF</vt:lpstr>
      <vt:lpstr>tlOutputDecSumCh3Prod4Slot3</vt:lpstr>
      <vt:lpstr>tlOutputDecSumCh3Prod4Slot3CP</vt:lpstr>
      <vt:lpstr>tlOutputDecSumCh3Prod4Slot3Pack</vt:lpstr>
      <vt:lpstr>tlOutputDecSumCh3Prod4Slot3Promo1</vt:lpstr>
      <vt:lpstr>tlOutputDecSumCh3Prod4Slot3Promo2</vt:lpstr>
      <vt:lpstr>tlOutputDecSumCh3Prod4Slot3PS1</vt:lpstr>
      <vt:lpstr>tlOutputDecSumCh3Prod4Slot3PS2</vt:lpstr>
      <vt:lpstr>tlOutputDecSumCh3Prod4Slot3PW1</vt:lpstr>
      <vt:lpstr>tlOutputDecSumCh3Prod4Slot3PW2</vt:lpstr>
      <vt:lpstr>tlOutputDecSumCh3Prod4Slot3SF</vt:lpstr>
      <vt:lpstr>tlOutputDecSumCh4Prod1Slot1</vt:lpstr>
      <vt:lpstr>tlOutputDecSumCh4Prod1Slot1CP</vt:lpstr>
      <vt:lpstr>tlOutputDecSumCh4Prod1Slot1Pack</vt:lpstr>
      <vt:lpstr>tlOutputDecSumCh4Prod1Slot1Promo1</vt:lpstr>
      <vt:lpstr>tlOutputDecSumCh4Prod1Slot1Promo2</vt:lpstr>
      <vt:lpstr>tlOutputDecSumCh4Prod1Slot1PS1</vt:lpstr>
      <vt:lpstr>tlOutputDecSumCh4Prod1Slot1PS2</vt:lpstr>
      <vt:lpstr>tlOutputDecSumCh4Prod1Slot1PW1</vt:lpstr>
      <vt:lpstr>tlOutputDecSumCh4Prod1Slot1PW2</vt:lpstr>
      <vt:lpstr>tlOutputDecSumCh4Prod1Slot1SF</vt:lpstr>
      <vt:lpstr>tlOutputDecSumCh4Prod1Slot2</vt:lpstr>
      <vt:lpstr>tlOutputDecSumCh4Prod1Slot2CP</vt:lpstr>
      <vt:lpstr>tlOutputDecSumCh4Prod1Slot2Pack</vt:lpstr>
      <vt:lpstr>tlOutputDecSumCh4Prod1Slot2Promo1</vt:lpstr>
      <vt:lpstr>tlOutputDecSumCh4Prod1Slot2Promo2</vt:lpstr>
      <vt:lpstr>tlOutputDecSumCh4Prod1Slot2PS1</vt:lpstr>
      <vt:lpstr>tlOutputDecSumCh4Prod1Slot2PS2</vt:lpstr>
      <vt:lpstr>tlOutputDecSumCh4Prod1Slot2PW1</vt:lpstr>
      <vt:lpstr>tlOutputDecSumCh4Prod1Slot2PW2</vt:lpstr>
      <vt:lpstr>tlOutputDecSumCh4Prod1Slot2SF</vt:lpstr>
      <vt:lpstr>tlOutputDecSumCh4Prod1Slot3</vt:lpstr>
      <vt:lpstr>tlOutputDecSumCh4Prod1Slot3CP</vt:lpstr>
      <vt:lpstr>tlOutputDecSumCh4Prod1Slot3Pack</vt:lpstr>
      <vt:lpstr>tlOutputDecSumCh4Prod1Slot3Promo1</vt:lpstr>
      <vt:lpstr>tlOutputDecSumCh4Prod1Slot3Promo2</vt:lpstr>
      <vt:lpstr>tlOutputDecSumCh4Prod1Slot3PS1</vt:lpstr>
      <vt:lpstr>tlOutputDecSumCh4Prod1Slot3PS2</vt:lpstr>
      <vt:lpstr>tlOutputDecSumCh4Prod1Slot3PW1</vt:lpstr>
      <vt:lpstr>tlOutputDecSumCh4Prod1Slot3PW2</vt:lpstr>
      <vt:lpstr>tlOutputDecSumCh4Prod1Slot3SF</vt:lpstr>
      <vt:lpstr>tlOutputDecSumCh4Prod2Slot1</vt:lpstr>
      <vt:lpstr>tlOutputDecSumCh4Prod2Slot1CP</vt:lpstr>
      <vt:lpstr>tlOutputDecSumCh4Prod2Slot1Pack</vt:lpstr>
      <vt:lpstr>tlOutputDecSumCh4Prod2Slot1Promo1</vt:lpstr>
      <vt:lpstr>tlOutputDecSumCh4Prod2Slot1Promo2</vt:lpstr>
      <vt:lpstr>tlOutputDecSumCh4Prod2Slot1PS1</vt:lpstr>
      <vt:lpstr>tlOutputDecSumCh4Prod2Slot1PS2</vt:lpstr>
      <vt:lpstr>tlOutputDecSumCh4Prod2Slot1PW1</vt:lpstr>
      <vt:lpstr>tlOutputDecSumCh4Prod2Slot1PW2</vt:lpstr>
      <vt:lpstr>tlOutputDecSumCh4Prod2Slot1SF</vt:lpstr>
      <vt:lpstr>tlOutputDecSumCh4Prod2Slot2</vt:lpstr>
      <vt:lpstr>tlOutputDecSumCh4Prod2Slot2CP</vt:lpstr>
      <vt:lpstr>tlOutputDecSumCh4Prod2Slot2Pack</vt:lpstr>
      <vt:lpstr>tlOutputDecSumCh4Prod2Slot2Promo1</vt:lpstr>
      <vt:lpstr>tlOutputDecSumCh4Prod2Slot2Promo2</vt:lpstr>
      <vt:lpstr>tlOutputDecSumCh4Prod2Slot2PS1</vt:lpstr>
      <vt:lpstr>tlOutputDecSumCh4Prod2Slot2PS2</vt:lpstr>
      <vt:lpstr>tlOutputDecSumCh4Prod2Slot2PW1</vt:lpstr>
      <vt:lpstr>tlOutputDecSumCh4Prod2Slot2PW2</vt:lpstr>
      <vt:lpstr>tlOutputDecSumCh4Prod2Slot2SF</vt:lpstr>
      <vt:lpstr>tlOutputDecSumCh4Prod2Slot3</vt:lpstr>
      <vt:lpstr>tlOutputDecSumCh4Prod2Slot3CP</vt:lpstr>
      <vt:lpstr>tlOutputDecSumCh4Prod2Slot3Pack</vt:lpstr>
      <vt:lpstr>tlOutputDecSumCh4Prod2Slot3Promo1</vt:lpstr>
      <vt:lpstr>tlOutputDecSumCh4Prod2Slot3Promo2</vt:lpstr>
      <vt:lpstr>tlOutputDecSumCh4Prod2Slot3PS1</vt:lpstr>
      <vt:lpstr>tlOutputDecSumCh4Prod2Slot3PS2</vt:lpstr>
      <vt:lpstr>tlOutputDecSumCh4Prod2Slot3PW1</vt:lpstr>
      <vt:lpstr>tlOutputDecSumCh4Prod2Slot3PW2</vt:lpstr>
      <vt:lpstr>tlOutputDecSumCh4Prod2Slot3SF</vt:lpstr>
      <vt:lpstr>tlOutputDecSumCh4Prod3Slot1</vt:lpstr>
      <vt:lpstr>tlOutputDecSumCh4Prod3Slot1CP</vt:lpstr>
      <vt:lpstr>tlOutputDecSumCh4Prod3Slot1Pack</vt:lpstr>
      <vt:lpstr>tlOutputDecSumCh4Prod3Slot1Promo1</vt:lpstr>
      <vt:lpstr>tlOutputDecSumCh4Prod3Slot1Promo2</vt:lpstr>
      <vt:lpstr>tlOutputDecSumCh4Prod3Slot1PS1</vt:lpstr>
      <vt:lpstr>tlOutputDecSumCh4Prod3Slot1PS2</vt:lpstr>
      <vt:lpstr>tlOutputDecSumCh4Prod3Slot1PW1</vt:lpstr>
      <vt:lpstr>tlOutputDecSumCh4Prod3Slot1PW2</vt:lpstr>
      <vt:lpstr>tlOutputDecSumCh4Prod3Slot1SF</vt:lpstr>
      <vt:lpstr>tlOutputDecSumCh4Prod3Slot2</vt:lpstr>
      <vt:lpstr>tlOutputDecSumCh4Prod3Slot2CP</vt:lpstr>
      <vt:lpstr>tlOutputDecSumCh4Prod3Slot2Pack</vt:lpstr>
      <vt:lpstr>tlOutputDecSumCh4Prod3Slot2Promo1</vt:lpstr>
      <vt:lpstr>tlOutputDecSumCh4Prod3Slot2Promo2</vt:lpstr>
      <vt:lpstr>tlOutputDecSumCh4Prod3Slot2PS1</vt:lpstr>
      <vt:lpstr>tlOutputDecSumCh4Prod3Slot2PS2</vt:lpstr>
      <vt:lpstr>tlOutputDecSumCh4Prod3Slot2PW1</vt:lpstr>
      <vt:lpstr>tlOutputDecSumCh4Prod3Slot2PW2</vt:lpstr>
      <vt:lpstr>tlOutputDecSumCh4Prod3Slot2SF</vt:lpstr>
      <vt:lpstr>tlOutputDecSumCh4Prod3Slot3</vt:lpstr>
      <vt:lpstr>tlOutputDecSumCh4Prod3Slot3CP</vt:lpstr>
      <vt:lpstr>tlOutputDecSumCh4Prod3Slot3Pack</vt:lpstr>
      <vt:lpstr>tlOutputDecSumCh4Prod3Slot3Promo1</vt:lpstr>
      <vt:lpstr>tlOutputDecSumCh4Prod3Slot3Promo2</vt:lpstr>
      <vt:lpstr>tlOutputDecSumCh4Prod3Slot3PS1</vt:lpstr>
      <vt:lpstr>tlOutputDecSumCh4Prod3Slot3PS2</vt:lpstr>
      <vt:lpstr>tlOutputDecSumCh4Prod3Slot3PW1</vt:lpstr>
      <vt:lpstr>tlOutputDecSumCh4Prod3Slot3PW2</vt:lpstr>
      <vt:lpstr>tlOutputDecSumCh4Prod3Slot3SF</vt:lpstr>
      <vt:lpstr>tlOutputDecSumCh4Prod4Slot1</vt:lpstr>
      <vt:lpstr>tlOutputDecSumCh4Prod4Slot1CP</vt:lpstr>
      <vt:lpstr>tlOutputDecSumCh4Prod4Slot1Pack</vt:lpstr>
      <vt:lpstr>tlOutputDecSumCh4Prod4Slot1Promo1</vt:lpstr>
      <vt:lpstr>tlOutputDecSumCh4Prod4Slot1Promo2</vt:lpstr>
      <vt:lpstr>tlOutputDecSumCh4Prod4Slot1PS1</vt:lpstr>
      <vt:lpstr>tlOutputDecSumCh4Prod4Slot1PS2</vt:lpstr>
      <vt:lpstr>tlOutputDecSumCh4Prod4Slot1PW1</vt:lpstr>
      <vt:lpstr>tlOutputDecSumCh4Prod4Slot1PW2</vt:lpstr>
      <vt:lpstr>tlOutputDecSumCh4Prod4Slot1SF</vt:lpstr>
      <vt:lpstr>tlOutputDecSumCh4Prod4Slot2</vt:lpstr>
      <vt:lpstr>tlOutputDecSumCh4Prod4Slot2CP</vt:lpstr>
      <vt:lpstr>tlOutputDecSumCh4Prod4Slot2Pack</vt:lpstr>
      <vt:lpstr>tlOutputDecSumCh4Prod4Slot2Promo1</vt:lpstr>
      <vt:lpstr>tlOutputDecSumCh4Prod4Slot2Promo2</vt:lpstr>
      <vt:lpstr>tlOutputDecSumCh4Prod4Slot2PS1</vt:lpstr>
      <vt:lpstr>tlOutputDecSumCh4Prod4Slot2PS2</vt:lpstr>
      <vt:lpstr>tlOutputDecSumCh4Prod4Slot2PW1</vt:lpstr>
      <vt:lpstr>tlOutputDecSumCh4Prod4Slot2PW2</vt:lpstr>
      <vt:lpstr>tlOutputDecSumCh4Prod4Slot2SF</vt:lpstr>
      <vt:lpstr>tlOutputDecSumCh4Prod4Slot3</vt:lpstr>
      <vt:lpstr>tlOutputDecSumCh4Prod4Slot3CP</vt:lpstr>
      <vt:lpstr>tlOutputDecSumCh4Prod4Slot3Pack</vt:lpstr>
      <vt:lpstr>tlOutputDecSumCh4Prod4Slot3Promo1</vt:lpstr>
      <vt:lpstr>tlOutputDecSumCh4Prod4Slot3Promo2</vt:lpstr>
      <vt:lpstr>tlOutputDecSumCh4Prod4Slot3PS1</vt:lpstr>
      <vt:lpstr>tlOutputDecSumCh4Prod4Slot3PS2</vt:lpstr>
      <vt:lpstr>tlOutputDecSumCh4Prod4Slot3PW1</vt:lpstr>
      <vt:lpstr>tlOutputDecSumCh4Prod4Slot3PW2</vt:lpstr>
      <vt:lpstr>tlOutputDecSumCh4Prod4Slot3SF</vt:lpstr>
      <vt:lpstr>tlOutputExportValidation</vt:lpstr>
      <vt:lpstr>tlOutputPackAvailableListCh1</vt:lpstr>
      <vt:lpstr>tlOutputPackAvailableListCh2</vt:lpstr>
      <vt:lpstr>tlOutputPackAvailableListCh3</vt:lpstr>
      <vt:lpstr>tlOutputPackAvailableListCh4</vt:lpstr>
      <vt:lpstr>tlOutputPackInnovation1Emp1Req</vt:lpstr>
      <vt:lpstr>tlOutputPackInnovation1Exp</vt:lpstr>
      <vt:lpstr>tlOutputPackInnovation2Emp1Req</vt:lpstr>
      <vt:lpstr>tlOutputPackInnovation2Exp</vt:lpstr>
      <vt:lpstr>tlOutputPackInnovationList</vt:lpstr>
      <vt:lpstr>tlOutputPNLBMktExpTot</vt:lpstr>
      <vt:lpstr>tlOutputPNLBMktExpTotPct</vt:lpstr>
      <vt:lpstr>tlOutputPNLBMktExpTotPVol</vt:lpstr>
      <vt:lpstr>tlOutputPNLCh1CostRev</vt:lpstr>
      <vt:lpstr>tlOutputPNLCh1CostRevPct</vt:lpstr>
      <vt:lpstr>tlOutputPNLCh1DepExp</vt:lpstr>
      <vt:lpstr>tlOutputPNLCh1Discounts</vt:lpstr>
      <vt:lpstr>tlOutputPNLCh1Excise</vt:lpstr>
      <vt:lpstr>tlOutputPNLCh1GCC</vt:lpstr>
      <vt:lpstr>tlOutputPNLCh1GCCMargin</vt:lpstr>
      <vt:lpstr>tlOutputPNLCh1GM</vt:lpstr>
      <vt:lpstr>tlOutputPNLCh1GPaL</vt:lpstr>
      <vt:lpstr>tlOutputPNLCh1GPaLMargin</vt:lpstr>
      <vt:lpstr>tlOutputPNLCh1GroProfit</vt:lpstr>
      <vt:lpstr>tlOutputPNLCh1GrossSales</vt:lpstr>
      <vt:lpstr>tlOutputPNLCh1LabExp</vt:lpstr>
      <vt:lpstr>tlOutputPNLCh1LogExp</vt:lpstr>
      <vt:lpstr>tlOutputPNLCh1LogExpPct</vt:lpstr>
      <vt:lpstr>tlOutputPNLCh1MachExp</vt:lpstr>
      <vt:lpstr>tlOutputPNLCh1MatExp</vt:lpstr>
      <vt:lpstr>tlOutputPNLCh1NetRev</vt:lpstr>
      <vt:lpstr>tlOutputPNLCh1Overhead</vt:lpstr>
      <vt:lpstr>tlOutputPNLCh1OverheadPct</vt:lpstr>
      <vt:lpstr>tlOutputPNLCh1Sales</vt:lpstr>
      <vt:lpstr>tlOutputPNLCh1TMkt</vt:lpstr>
      <vt:lpstr>tlOutputPNLCh1Turn</vt:lpstr>
      <vt:lpstr>tlOutputPNLCh2CostRev</vt:lpstr>
      <vt:lpstr>tlOutputPNLCh2CostRevPct</vt:lpstr>
      <vt:lpstr>tlOutputPNLCh2DepExp</vt:lpstr>
      <vt:lpstr>tlOutputPNLCh2Discounts</vt:lpstr>
      <vt:lpstr>tlOutputPNLCh2Excise</vt:lpstr>
      <vt:lpstr>tlOutputPNLCh2GCC</vt:lpstr>
      <vt:lpstr>tlOutputPNLCh2GCCMargin</vt:lpstr>
      <vt:lpstr>tlOutputPNLCh2GM</vt:lpstr>
      <vt:lpstr>tlOutputPNLCh2GPaL</vt:lpstr>
      <vt:lpstr>tlOutputPNLCh2GPaLMargin</vt:lpstr>
      <vt:lpstr>tlOutputPNLCh2GroProfit</vt:lpstr>
      <vt:lpstr>tlOutputPNLCh2GrossSales</vt:lpstr>
      <vt:lpstr>tlOutputPNLCh2LabExp</vt:lpstr>
      <vt:lpstr>tlOutputPNLCh2LogExp</vt:lpstr>
      <vt:lpstr>tlOutputPNLCh2LogExpPct</vt:lpstr>
      <vt:lpstr>tlOutputPNLCh2MachExp</vt:lpstr>
      <vt:lpstr>tlOutputPNLCh2MatExp</vt:lpstr>
      <vt:lpstr>tlOutputPNLCh2NetRev</vt:lpstr>
      <vt:lpstr>tlOutputPNLCh2Overhead</vt:lpstr>
      <vt:lpstr>tlOutputPNLCh2OverheadPct</vt:lpstr>
      <vt:lpstr>tlOutputPNLCh2Sales</vt:lpstr>
      <vt:lpstr>tlOutputPNLCh2TMkt</vt:lpstr>
      <vt:lpstr>tlOutputPNLCh2Turn</vt:lpstr>
      <vt:lpstr>tlOutputPNLCh3CostRev</vt:lpstr>
      <vt:lpstr>tlOutputPNLCh3CostRevPct</vt:lpstr>
      <vt:lpstr>tlOutputPNLCh3DepExp</vt:lpstr>
      <vt:lpstr>tlOutputPNLCh3Discounts</vt:lpstr>
      <vt:lpstr>tlOutputPNLCh3Excise</vt:lpstr>
      <vt:lpstr>tlOutputPNLCh3GCC</vt:lpstr>
      <vt:lpstr>tlOutputPNLCh3GCCMargin</vt:lpstr>
      <vt:lpstr>tlOutputPNLCh3GM</vt:lpstr>
      <vt:lpstr>tlOutputPNLCh3GPaL</vt:lpstr>
      <vt:lpstr>tlOutputPNLCh3GPaLMargin</vt:lpstr>
      <vt:lpstr>tlOutputPNLCh3GroProfit</vt:lpstr>
      <vt:lpstr>tlOutputPNLCh3GrossSales</vt:lpstr>
      <vt:lpstr>tlOutputPNLCh3LabExp</vt:lpstr>
      <vt:lpstr>tlOutputPNLCh3LogExp</vt:lpstr>
      <vt:lpstr>tlOutputPNLCh3LogExpPct</vt:lpstr>
      <vt:lpstr>tlOutputPNLCh3MachExp</vt:lpstr>
      <vt:lpstr>tlOutputPNLCh3MatExp</vt:lpstr>
      <vt:lpstr>tlOutputPNLCh3NetRev</vt:lpstr>
      <vt:lpstr>tlOutputPNLCh3Overhead</vt:lpstr>
      <vt:lpstr>tlOutputPNLCh3OverheadPct</vt:lpstr>
      <vt:lpstr>tlOutputPNLCh3Sales</vt:lpstr>
      <vt:lpstr>tlOutputPNLCh3TMkt</vt:lpstr>
      <vt:lpstr>tlOutputPNLCh3Turn</vt:lpstr>
      <vt:lpstr>tlOutputPNLCh4CostRev</vt:lpstr>
      <vt:lpstr>tlOutputPNLCh4CostRevPct</vt:lpstr>
      <vt:lpstr>tlOutputPNLCh4DepExp</vt:lpstr>
      <vt:lpstr>tlOutputPNLCh4Discounts</vt:lpstr>
      <vt:lpstr>tlOutputPNLCh4Excise</vt:lpstr>
      <vt:lpstr>tlOutputPNLCh4GCC</vt:lpstr>
      <vt:lpstr>tlOutputPNLCh4GCCMargin</vt:lpstr>
      <vt:lpstr>tlOutputPNLCh4GM</vt:lpstr>
      <vt:lpstr>tlOutputPNLCh4GPaL</vt:lpstr>
      <vt:lpstr>tlOutputPNLCh4GPaLMargin</vt:lpstr>
      <vt:lpstr>tlOutputPNLCh4GroProfit</vt:lpstr>
      <vt:lpstr>tlOutputPNLCh4GrossSales</vt:lpstr>
      <vt:lpstr>tlOutputPNLCh4LabExp</vt:lpstr>
      <vt:lpstr>tlOutputPNLCh4LogExp</vt:lpstr>
      <vt:lpstr>tlOutputPNLCh4LogExpPct</vt:lpstr>
      <vt:lpstr>tlOutputPNLCh4MachExp</vt:lpstr>
      <vt:lpstr>tlOutputPNLCh4MatExp</vt:lpstr>
      <vt:lpstr>tlOutputPNLCh4NetRev</vt:lpstr>
      <vt:lpstr>tlOutputPNLCh4Overhead</vt:lpstr>
      <vt:lpstr>tlOutputPNLCh4OverheadPct</vt:lpstr>
      <vt:lpstr>tlOutputPNLCh4Sales</vt:lpstr>
      <vt:lpstr>tlOutputPNLCh4TMkt</vt:lpstr>
      <vt:lpstr>tlOutputPNLCh4Turn</vt:lpstr>
      <vt:lpstr>tlOutputPNLChTotGCC</vt:lpstr>
      <vt:lpstr>tlOutputPNLChTotGCCMargin</vt:lpstr>
      <vt:lpstr>tlOutputPNLChTotOverhead</vt:lpstr>
      <vt:lpstr>tlOutputPNLChTotOverheadPct</vt:lpstr>
      <vt:lpstr>tlOutputPNLChTotSales</vt:lpstr>
      <vt:lpstr>tlOutputPNLChTotTMkt</vt:lpstr>
      <vt:lpstr>tlOutputPNLCostRevTot</vt:lpstr>
      <vt:lpstr>tlOutputPNLCostRevTotPct</vt:lpstr>
      <vt:lpstr>tlOutputPNLCostRevTotPVol</vt:lpstr>
      <vt:lpstr>tlOutputPNLCTaxTot</vt:lpstr>
      <vt:lpstr>tlOutputPNLCTaxTotPct</vt:lpstr>
      <vt:lpstr>tlOutputPNLCTaxTotPVol</vt:lpstr>
      <vt:lpstr>tlOutputPNLDepExpTot</vt:lpstr>
      <vt:lpstr>tlOutputPNLDepExpTotPct</vt:lpstr>
      <vt:lpstr>tlOutputPNLDepExpTotPVol</vt:lpstr>
      <vt:lpstr>tlOutputPNLDiscountsTot</vt:lpstr>
      <vt:lpstr>tlOutputPNLDiscountsTotPVol</vt:lpstr>
      <vt:lpstr>tlOutputPNLEbitTot</vt:lpstr>
      <vt:lpstr>tlOutputPNLEbitTotPct</vt:lpstr>
      <vt:lpstr>tlOutputPNLEbitTotPVol</vt:lpstr>
      <vt:lpstr>tlOutputPNLEbtTot</vt:lpstr>
      <vt:lpstr>tlOutputPNLEbtTotPct</vt:lpstr>
      <vt:lpstr>tlOutputPNLEbtTotPVol</vt:lpstr>
      <vt:lpstr>tlOutputPNLExciseTot</vt:lpstr>
      <vt:lpstr>tlOutputPNLExciseTotPVol</vt:lpstr>
      <vt:lpstr>tlOutputPNLFinNetTot</vt:lpstr>
      <vt:lpstr>tlOutputPNLFinNetTotPct</vt:lpstr>
      <vt:lpstr>tlOutputPNLFinNetTotPVol</vt:lpstr>
      <vt:lpstr>tlOutputPNLGnAdminExp</vt:lpstr>
      <vt:lpstr>tlOutputPNLGnAdminExpPct</vt:lpstr>
      <vt:lpstr>tlOutputPNLGnAdminExpTotPVol</vt:lpstr>
      <vt:lpstr>tlOutputPNLGPaLTot</vt:lpstr>
      <vt:lpstr>tlOutputPNLGPaLTotPct</vt:lpstr>
      <vt:lpstr>tlOutputPNLGPaLTotPVol</vt:lpstr>
      <vt:lpstr>tlOutputPNLGroProfitTot</vt:lpstr>
      <vt:lpstr>tlOutputPNLGroProfitTotPct</vt:lpstr>
      <vt:lpstr>tlOutputPNLGroProfitTotPVol</vt:lpstr>
      <vt:lpstr>tlOutputPNLGrossSalesTot</vt:lpstr>
      <vt:lpstr>tlOutputPNLGrossSalesTotPVol</vt:lpstr>
      <vt:lpstr>tlOutputPNLLabExpTot</vt:lpstr>
      <vt:lpstr>tlOutputPNLLabExpTotPct</vt:lpstr>
      <vt:lpstr>tlOutputPNLLabExpTotPVol</vt:lpstr>
      <vt:lpstr>tlOutputPNLLogExpTot</vt:lpstr>
      <vt:lpstr>tlOutputPNLLogExpTotPct</vt:lpstr>
      <vt:lpstr>tlOutputPNLLogExpTotPVol</vt:lpstr>
      <vt:lpstr>tlOutputPNLMachExpTot</vt:lpstr>
      <vt:lpstr>tlOutputPNLMachExpTotPct</vt:lpstr>
      <vt:lpstr>tlOutputPNLMachExpTotPVol</vt:lpstr>
      <vt:lpstr>tlOutputPNLMatExpTot</vt:lpstr>
      <vt:lpstr>tlOutputPNLMatExpTotPct</vt:lpstr>
      <vt:lpstr>tlOutputPNLMatExpTotPVol</vt:lpstr>
      <vt:lpstr>tlOutputPNLNetIncTot</vt:lpstr>
      <vt:lpstr>tlOutputPNLNetIncTotPct</vt:lpstr>
      <vt:lpstr>tlOutputPNLNetIncTotPVol</vt:lpstr>
      <vt:lpstr>tlOutputPNLNetRevTot</vt:lpstr>
      <vt:lpstr>tlOutputPNLNetRevTotPct</vt:lpstr>
      <vt:lpstr>tlOutputPNLNetRevTotPVol</vt:lpstr>
      <vt:lpstr>tlOutputPNLOverheadExpTot</vt:lpstr>
      <vt:lpstr>tlOutputPNLOverheadExpTotPct</vt:lpstr>
      <vt:lpstr>tlOutputPNLOverheadExpTotPVol</vt:lpstr>
      <vt:lpstr>tlOutputPNLProd1BMkt</vt:lpstr>
      <vt:lpstr>tlOutputPNLProd1CostRev</vt:lpstr>
      <vt:lpstr>tlOutputPNLProd1CostRevPct</vt:lpstr>
      <vt:lpstr>tlOutputPNLProd1DepExp</vt:lpstr>
      <vt:lpstr>tlOutputPNLProd1Discounts</vt:lpstr>
      <vt:lpstr>tlOutputPNLProd1Excise</vt:lpstr>
      <vt:lpstr>tlOutputPNLProd1GBC</vt:lpstr>
      <vt:lpstr>tlOutputPNLProd1GBCMargin</vt:lpstr>
      <vt:lpstr>tlOutputPNLProd1GM</vt:lpstr>
      <vt:lpstr>tlOutputPNLProd1GPaL</vt:lpstr>
      <vt:lpstr>tlOutputPNLProd1GPaLMargin</vt:lpstr>
      <vt:lpstr>tlOutputPNLProd1GroProfit</vt:lpstr>
      <vt:lpstr>tlOutputPNLProd1GrossSales</vt:lpstr>
      <vt:lpstr>tlOutputPNLProd1LabExp</vt:lpstr>
      <vt:lpstr>tlOutputPNLProd1LogExp</vt:lpstr>
      <vt:lpstr>tlOutputPNLProd1LogExpPct</vt:lpstr>
      <vt:lpstr>tlOutputPNLProd1MachExp</vt:lpstr>
      <vt:lpstr>tlOutputPNLProd1MatExp</vt:lpstr>
      <vt:lpstr>tlOutputPNLProd1NetRev</vt:lpstr>
      <vt:lpstr>tlOutputPNLProd1Overhead</vt:lpstr>
      <vt:lpstr>tlOutputPNLProd1OverheadPct</vt:lpstr>
      <vt:lpstr>tlOutputPNLProd1TMkt</vt:lpstr>
      <vt:lpstr>tlOutputPNLProd1Turn</vt:lpstr>
      <vt:lpstr>tlOutputPNLProd2BMkt</vt:lpstr>
      <vt:lpstr>tlOutputPNLProd2CostRev</vt:lpstr>
      <vt:lpstr>tlOutputPNLProd2CostRevPct</vt:lpstr>
      <vt:lpstr>tlOutputPNLProd2DepExp</vt:lpstr>
      <vt:lpstr>tlOutputPNLProd2Discounts</vt:lpstr>
      <vt:lpstr>tlOutputPNLProd2Excise</vt:lpstr>
      <vt:lpstr>tlOutputPNLProd2GBC</vt:lpstr>
      <vt:lpstr>tlOutputPNLProd2GBCMargin</vt:lpstr>
      <vt:lpstr>tlOutputPNLProd2GM</vt:lpstr>
      <vt:lpstr>tlOutputPNLProd2GPaL</vt:lpstr>
      <vt:lpstr>tlOutputPNLProd2GPaLMargin</vt:lpstr>
      <vt:lpstr>tlOutputPNLProd2GroProfit</vt:lpstr>
      <vt:lpstr>tlOutputPNLProd2GrossSales</vt:lpstr>
      <vt:lpstr>tlOutputPNLProd2LabExp</vt:lpstr>
      <vt:lpstr>tlOutputPNLProd2LogExp</vt:lpstr>
      <vt:lpstr>tlOutputPNLProd2LogExpPct</vt:lpstr>
      <vt:lpstr>tlOutputPNLProd2MachExp</vt:lpstr>
      <vt:lpstr>tlOutputPNLProd2MatExp</vt:lpstr>
      <vt:lpstr>tlOutputPNLProd2NetRev</vt:lpstr>
      <vt:lpstr>tlOutputPNLProd2Overhead</vt:lpstr>
      <vt:lpstr>tlOutputPNLProd2OverheadPct</vt:lpstr>
      <vt:lpstr>tlOutputPNLProd2TMkt</vt:lpstr>
      <vt:lpstr>tlOutputPNLProd2Turn</vt:lpstr>
      <vt:lpstr>tlOutputPNLProd3BMkt</vt:lpstr>
      <vt:lpstr>tlOutputPNLProd3CostRev</vt:lpstr>
      <vt:lpstr>tlOutputPNLProd3CostRevPct</vt:lpstr>
      <vt:lpstr>tlOutputPNLProd3DepExp</vt:lpstr>
      <vt:lpstr>tlOutputPNLProd3Discounts</vt:lpstr>
      <vt:lpstr>tlOutputPNLProd3Excise</vt:lpstr>
      <vt:lpstr>tlOutputPNLProd3GBC</vt:lpstr>
      <vt:lpstr>tlOutputPNLProd3GBCMargin</vt:lpstr>
      <vt:lpstr>tlOutputPNLProd3GM</vt:lpstr>
      <vt:lpstr>tlOutputPNLProd3GPaL</vt:lpstr>
      <vt:lpstr>tlOutputPNLProd3GPaLMargin</vt:lpstr>
      <vt:lpstr>tlOutputPNLProd3GroProfit</vt:lpstr>
      <vt:lpstr>tlOutputPNLProd3GrossSales</vt:lpstr>
      <vt:lpstr>tlOutputPNLProd3LabExp</vt:lpstr>
      <vt:lpstr>tlOutputPNLProd3LogExp</vt:lpstr>
      <vt:lpstr>tlOutputPNLProd3LogExpPct</vt:lpstr>
      <vt:lpstr>tlOutputPNLProd3MachExp</vt:lpstr>
      <vt:lpstr>tlOutputPNLProd3MatExp</vt:lpstr>
      <vt:lpstr>tlOutputPNLProd3NetRev</vt:lpstr>
      <vt:lpstr>tlOutputPNLProd3Overhead</vt:lpstr>
      <vt:lpstr>tlOutputPNLProd3OverheadPct</vt:lpstr>
      <vt:lpstr>tlOutputPNLProd3TMkt</vt:lpstr>
      <vt:lpstr>tlOutputPNLProd3Turn</vt:lpstr>
      <vt:lpstr>tlOutputPNLProd4BMkt</vt:lpstr>
      <vt:lpstr>tlOutputPNLProd4CostRev</vt:lpstr>
      <vt:lpstr>tlOutputPNLProd4CostRevPct</vt:lpstr>
      <vt:lpstr>tlOutputPNLProd4DepExp</vt:lpstr>
      <vt:lpstr>tlOutputPNLProd4Discounts</vt:lpstr>
      <vt:lpstr>tlOutputPNLProd4Excise</vt:lpstr>
      <vt:lpstr>tlOutputPNLProd4GBC</vt:lpstr>
      <vt:lpstr>tlOutputPNLProd4GBCMargin</vt:lpstr>
      <vt:lpstr>tlOutputPNLProd4GM</vt:lpstr>
      <vt:lpstr>tlOutputPNLProd4GPaL</vt:lpstr>
      <vt:lpstr>tlOutputPNLProd4GPaLMargin</vt:lpstr>
      <vt:lpstr>tlOutputPNLProd4GroProfit</vt:lpstr>
      <vt:lpstr>tlOutputPNLProd4GrossSales</vt:lpstr>
      <vt:lpstr>tlOutputPNLProd4LabExp</vt:lpstr>
      <vt:lpstr>tlOutputPNLProd4LogExp</vt:lpstr>
      <vt:lpstr>tlOutputPNLProd4LogExpPct</vt:lpstr>
      <vt:lpstr>tlOutputPNLProd4MachExp</vt:lpstr>
      <vt:lpstr>tlOutputPNLProd4MatExp</vt:lpstr>
      <vt:lpstr>tlOutputPNLProd4NetRev</vt:lpstr>
      <vt:lpstr>tlOutputPNLProd4Overhead</vt:lpstr>
      <vt:lpstr>tlOutputPNLProd4OverheadPct</vt:lpstr>
      <vt:lpstr>tlOutputPNLProd4TMkt</vt:lpstr>
      <vt:lpstr>tlOutputPNLProd4Turn</vt:lpstr>
      <vt:lpstr>tlOutputPNLProdBMkt</vt:lpstr>
      <vt:lpstr>tlOutputPNLProdTMkt</vt:lpstr>
      <vt:lpstr>tlOutputPNLProdTotGBC</vt:lpstr>
      <vt:lpstr>tlOutputPNLProdTotGBCMargin</vt:lpstr>
      <vt:lpstr>tlOutputPNLProdTotOverhead</vt:lpstr>
      <vt:lpstr>tlOutputPNLProdTotOverheadPct</vt:lpstr>
      <vt:lpstr>tlOutputPNLRnDExpTot</vt:lpstr>
      <vt:lpstr>tlOutputPNLRnDExpTotPct</vt:lpstr>
      <vt:lpstr>tlOutputPNLRnDExpTotPVol</vt:lpstr>
      <vt:lpstr>tlOutputPNLSalesExpTot</vt:lpstr>
      <vt:lpstr>tlOutputPNLSalesExpTotPct</vt:lpstr>
      <vt:lpstr>tlOutputPNLSalesExpTotPVol</vt:lpstr>
      <vt:lpstr>tlOutputPNLTMktExpTot</vt:lpstr>
      <vt:lpstr>tlOutputPNLTMktExpTotPct</vt:lpstr>
      <vt:lpstr>tlOutputPNLTMktExpTotPVol</vt:lpstr>
      <vt:lpstr>tlOutputPNLTurnTot</vt:lpstr>
      <vt:lpstr>tlOutputPNLTurnTotPVol</vt:lpstr>
      <vt:lpstr>tlOutputProd1</vt:lpstr>
      <vt:lpstr>tlOutputProd1CustProfitTot</vt:lpstr>
      <vt:lpstr>tlOutputProd2</vt:lpstr>
      <vt:lpstr>tlOutputProd2CustProfitTot</vt:lpstr>
      <vt:lpstr>tlOutputProd3</vt:lpstr>
      <vt:lpstr>tlOutputProd3CustProfitTot</vt:lpstr>
      <vt:lpstr>tlOutputProd4</vt:lpstr>
      <vt:lpstr>tlOutputProd4CustProfitTot</vt:lpstr>
      <vt:lpstr>tlOutputReport1Code</vt:lpstr>
      <vt:lpstr>tlOutputReport2Code</vt:lpstr>
      <vt:lpstr>tlOutputReport3Code</vt:lpstr>
      <vt:lpstr>tlOutputReport4Code</vt:lpstr>
      <vt:lpstr>tlOutputReport5Code</vt:lpstr>
      <vt:lpstr>tlOutputReport6Code</vt:lpstr>
      <vt:lpstr>tlOutputRound</vt:lpstr>
      <vt:lpstr>tlOutputSI1CodeR1</vt:lpstr>
      <vt:lpstr>tlOutputSI1CodeR2</vt:lpstr>
      <vt:lpstr>tlOutputSI1CodeR3</vt:lpstr>
      <vt:lpstr>tlOutputSI1NameR1</vt:lpstr>
      <vt:lpstr>tlOutputSI1NameR2</vt:lpstr>
      <vt:lpstr>tlOutputSI1NameR3</vt:lpstr>
      <vt:lpstr>tlOutputSI2CodeR1</vt:lpstr>
      <vt:lpstr>tlOutputSI2CodeR2</vt:lpstr>
      <vt:lpstr>tlOutputSI2CodeR3</vt:lpstr>
      <vt:lpstr>tlOutputSI2NameR1</vt:lpstr>
      <vt:lpstr>tlOutputSI2NameR2</vt:lpstr>
      <vt:lpstr>tlOutputSI2NameR3</vt:lpstr>
      <vt:lpstr>tlOutputSI3CodeR1</vt:lpstr>
      <vt:lpstr>tlOutputSI3CodeR2</vt:lpstr>
      <vt:lpstr>tlOutputSI3CodeR3</vt:lpstr>
      <vt:lpstr>tlOutputSI3NameR1</vt:lpstr>
      <vt:lpstr>tlOutputSI3NameR2</vt:lpstr>
      <vt:lpstr>tlOutputSI3NameR3</vt:lpstr>
      <vt:lpstr>tlOutputSiEmp1Req</vt:lpstr>
      <vt:lpstr>tlOutputSiExp</vt:lpstr>
      <vt:lpstr>tlOutputSIList</vt:lpstr>
      <vt:lpstr>tlOutputTotTradeInv</vt:lpstr>
      <vt:lpstr>tlOutputValDriv1Exp</vt:lpstr>
      <vt:lpstr>tlOutputValDriv2Exp</vt:lpstr>
      <vt:lpstr>tlOutputValDriv3Exp</vt:lpstr>
      <vt:lpstr>tlOutputValDriv4Exp</vt:lpstr>
      <vt:lpstr>tlOutputValDriv5Exp</vt:lpstr>
      <vt:lpstr>tlOutputValDrivExpTot</vt:lpstr>
      <vt:lpstr>tlOutputWaterfallListCh1</vt:lpstr>
      <vt:lpstr>tlOutputWaterfallListCh2</vt:lpstr>
      <vt:lpstr>tlOutputWaterfallListCh3</vt:lpstr>
      <vt:lpstr>tlOutputWaterfallListCh4</vt:lpstr>
      <vt:lpstr>tlPackInnovation1</vt:lpstr>
      <vt:lpstr>tlTeamRound</vt:lpstr>
      <vt:lpstr>VTCh1_AvailableCount</vt:lpstr>
      <vt:lpstr>VTCh1_AvailableProgramDropDown</vt:lpstr>
      <vt:lpstr>VTCh1_Code</vt:lpstr>
      <vt:lpstr>VTCh1_currentRound</vt:lpstr>
      <vt:lpstr>VTCh1_DisplayedName</vt:lpstr>
      <vt:lpstr>VTCh1_Name</vt:lpstr>
      <vt:lpstr>VTCh1_selectedSeparator</vt:lpstr>
      <vt:lpstr>VTCh1_TotalAvailable</vt:lpstr>
      <vt:lpstr>VTCh1_WorksheetName</vt:lpstr>
      <vt:lpstr>VTCh1TestList</vt:lpstr>
      <vt:lpstr>VTCh2_AvailableCount</vt:lpstr>
      <vt:lpstr>VTCh2_AvailableProgramDropDown</vt:lpstr>
      <vt:lpstr>VTCh2_Code</vt:lpstr>
      <vt:lpstr>VTCh2_currentRound</vt:lpstr>
      <vt:lpstr>VTCh2_DisplayedName</vt:lpstr>
      <vt:lpstr>VTCh2_Index</vt:lpstr>
      <vt:lpstr>VTCh2_Name</vt:lpstr>
      <vt:lpstr>VTCh2_selectedSeparator</vt:lpstr>
      <vt:lpstr>VTCh2_TotalAvailable</vt:lpstr>
      <vt:lpstr>VTCh2_WorksheetName</vt:lpstr>
      <vt:lpstr>VTCh2TestList</vt:lpstr>
      <vt:lpstr>VTCh3_AvailableCount</vt:lpstr>
      <vt:lpstr>VTCh3_AvailableProgramDropDown</vt:lpstr>
      <vt:lpstr>VTCh3_Code</vt:lpstr>
      <vt:lpstr>VTCh3_currentRound</vt:lpstr>
      <vt:lpstr>VTCh3_DisplayedName</vt:lpstr>
      <vt:lpstr>VTCh3_Index</vt:lpstr>
      <vt:lpstr>VTCh3_Name</vt:lpstr>
      <vt:lpstr>VTCh3_selectedSeparator</vt:lpstr>
      <vt:lpstr>VTCh3_TotalAvailable</vt:lpstr>
      <vt:lpstr>VTCh3_WorksheetName</vt:lpstr>
      <vt:lpstr>VTCh3TestList</vt:lpstr>
      <vt:lpstr>VTCh4_AvailableCount</vt:lpstr>
      <vt:lpstr>VTCh4_AvailableProgramDropDown</vt:lpstr>
      <vt:lpstr>VTCh4_Code</vt:lpstr>
      <vt:lpstr>VTCh4_currentRound</vt:lpstr>
      <vt:lpstr>VTCh4_DisplayedName</vt:lpstr>
      <vt:lpstr>VTCh4_Index</vt:lpstr>
      <vt:lpstr>VTCh4_Name</vt:lpstr>
      <vt:lpstr>VTCh4_selectedSeparator</vt:lpstr>
      <vt:lpstr>VTCh4_TotalAvailable</vt:lpstr>
      <vt:lpstr>VTCh4_WorksheetName</vt:lpstr>
      <vt:lpstr>VTCh4TestList</vt:lpstr>
      <vt:lpstr>xxIndexTeam</vt:lpstr>
      <vt:lpstr>xxNumOfTeams</vt:lpstr>
      <vt:lpstr>xxRound</vt:lpstr>
      <vt:lpstr>xxSim0Tool1</vt:lpstr>
      <vt:lpstr>xxToolPrefix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Carlsberg VM Simulation</dc:title>
  <dc:creator>ville.nurmos@bts.com</dc:creator>
  <cp:lastModifiedBy>BTS</cp:lastModifiedBy>
  <cp:lastPrinted>2018-05-30T12:50:35Z</cp:lastPrinted>
  <dcterms:created xsi:type="dcterms:W3CDTF">2014-12-08T07:15:00Z</dcterms:created>
  <dcterms:modified xsi:type="dcterms:W3CDTF">2018-06-09T21:01:45Z</dcterms:modified>
</cp:coreProperties>
</file>